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0"/>
  <workbookPr defaultThemeVersion="124226"/>
  <mc:AlternateContent xmlns:mc="http://schemas.openxmlformats.org/markup-compatibility/2006">
    <mc:Choice Requires="x15">
      <x15ac:absPath xmlns:x15ac="http://schemas.microsoft.com/office/spreadsheetml/2010/11/ac" url="C:\Users\ggayet\Desktop\"/>
    </mc:Choice>
  </mc:AlternateContent>
  <xr:revisionPtr revIDLastSave="0" documentId="13_ncr:1_{4B426600-0D7E-4F44-AAE6-CB3C65658EDA}" xr6:coauthVersionLast="36" xr6:coauthVersionMax="36" xr10:uidLastSave="{00000000-0000-0000-0000-000000000000}"/>
  <bookViews>
    <workbookView xWindow="0" yWindow="0" windowWidth="28800" windowHeight="13605" tabRatio="926" xr2:uid="{00000000-000D-0000-FFFF-FFFF00000000}"/>
  </bookViews>
  <sheets>
    <sheet name="Eval-Avant impact" sheetId="38" r:id="rId1"/>
    <sheet name="Eval-Avec impact envisagé" sheetId="57" r:id="rId2"/>
    <sheet name="Eval-Après impact" sheetId="56" r:id="rId3"/>
    <sheet name="Eval-Avant action écologique" sheetId="59" r:id="rId4"/>
    <sheet name="Eval-Avec act. écol. envisagée" sheetId="60" r:id="rId5"/>
    <sheet name="Eval-Après action écologique" sheetId="58" r:id="rId6"/>
    <sheet name="SYNTHESE EVAL. EQ. FCT." sheetId="55" r:id="rId7"/>
    <sheet name="DETAILS EVAL. EQ. FCT.1" sheetId="61" r:id="rId8"/>
    <sheet name="DETAILS EVAL. EQ. FCT.2" sheetId="63" r:id="rId9"/>
    <sheet name="DONNEES" sheetId="32" r:id="rId10"/>
    <sheet name="Calcul auto." sheetId="36" r:id="rId11"/>
  </sheets>
  <definedNames>
    <definedName name="_ftn1" localSheetId="5">'Eval-Après action écologique'!#REF!</definedName>
    <definedName name="_ftn1" localSheetId="2">'Eval-Après impact'!#REF!</definedName>
    <definedName name="_ftn1" localSheetId="3">'Eval-Avant action écologique'!#REF!</definedName>
    <definedName name="_ftn1" localSheetId="0">'Eval-Avant impact'!#REF!</definedName>
    <definedName name="_ftn1" localSheetId="4">'Eval-Avec act. écol. envisagée'!#REF!</definedName>
    <definedName name="_ftn1" localSheetId="1">'Eval-Avec impact envisagé'!#REF!</definedName>
    <definedName name="_ftn2" localSheetId="5">'Eval-Après action écologique'!#REF!</definedName>
    <definedName name="_ftn2" localSheetId="2">'Eval-Après impact'!#REF!</definedName>
    <definedName name="_ftn2" localSheetId="3">'Eval-Avant action écologique'!#REF!</definedName>
    <definedName name="_ftn2" localSheetId="0">'Eval-Avant impact'!#REF!</definedName>
    <definedName name="_ftn2" localSheetId="4">'Eval-Avec act. écol. envisagée'!#REF!</definedName>
    <definedName name="_ftn2" localSheetId="1">'Eval-Avec impact envisagé'!#REF!</definedName>
    <definedName name="_ftn3" localSheetId="5">'Eval-Après action écologique'!#REF!</definedName>
    <definedName name="_ftn3" localSheetId="2">'Eval-Après impact'!#REF!</definedName>
    <definedName name="_ftn3" localSheetId="3">'Eval-Avant action écologique'!#REF!</definedName>
    <definedName name="_ftn3" localSheetId="0">'Eval-Avant impact'!#REF!</definedName>
    <definedName name="_ftn3" localSheetId="4">'Eval-Avec act. écol. envisagée'!#REF!</definedName>
    <definedName name="_ftn3" localSheetId="1">'Eval-Avec impact envisagé'!#REF!</definedName>
    <definedName name="_ftn4" localSheetId="5">'Eval-Après action écologique'!#REF!</definedName>
    <definedName name="_ftn4" localSheetId="2">'Eval-Après impact'!#REF!</definedName>
    <definedName name="_ftn4" localSheetId="3">'Eval-Avant action écologique'!#REF!</definedName>
    <definedName name="_ftn4" localSheetId="0">'Eval-Avant impact'!#REF!</definedName>
    <definedName name="_ftn4" localSheetId="4">'Eval-Avec act. écol. envisagée'!#REF!</definedName>
    <definedName name="_ftn4" localSheetId="1">'Eval-Avec impact envisagé'!#REF!</definedName>
    <definedName name="_ftnref1" localSheetId="5">'Eval-Après action écologique'!#REF!</definedName>
    <definedName name="_ftnref1" localSheetId="2">'Eval-Après impact'!#REF!</definedName>
    <definedName name="_ftnref1" localSheetId="3">'Eval-Avant action écologique'!#REF!</definedName>
    <definedName name="_ftnref1" localSheetId="0">'Eval-Avant impact'!#REF!</definedName>
    <definedName name="_ftnref1" localSheetId="4">'Eval-Avec act. écol. envisagée'!#REF!</definedName>
    <definedName name="_ftnref1" localSheetId="1">'Eval-Avec impact envisagé'!#REF!</definedName>
    <definedName name="_ftnref2" localSheetId="5">'Eval-Après action écologique'!#REF!</definedName>
    <definedName name="_ftnref2" localSheetId="2">'Eval-Après impact'!#REF!</definedName>
    <definedName name="_ftnref2" localSheetId="3">'Eval-Avant action écologique'!#REF!</definedName>
    <definedName name="_ftnref2" localSheetId="0">'Eval-Avant impact'!#REF!</definedName>
    <definedName name="_ftnref2" localSheetId="4">'Eval-Avec act. écol. envisagée'!#REF!</definedName>
    <definedName name="_ftnref2" localSheetId="1">'Eval-Avec impact envisagé'!#REF!</definedName>
    <definedName name="_ftnref3" localSheetId="5">'Eval-Après action écologique'!#REF!</definedName>
    <definedName name="_ftnref3" localSheetId="2">'Eval-Après impact'!#REF!</definedName>
    <definedName name="_ftnref3" localSheetId="3">'Eval-Avant action écologique'!#REF!</definedName>
    <definedName name="_ftnref3" localSheetId="0">'Eval-Avant impact'!#REF!</definedName>
    <definedName name="_ftnref3" localSheetId="4">'Eval-Avec act. écol. envisagée'!#REF!</definedName>
    <definedName name="_ftnref3" localSheetId="1">'Eval-Avec impact envisagé'!#REF!</definedName>
    <definedName name="_ftnref4" localSheetId="5">'Eval-Après action écologique'!#REF!</definedName>
    <definedName name="_ftnref4" localSheetId="2">'Eval-Après impact'!#REF!</definedName>
    <definedName name="_ftnref4" localSheetId="3">'Eval-Avant action écologique'!#REF!</definedName>
    <definedName name="_ftnref4" localSheetId="0">'Eval-Avant impact'!#REF!</definedName>
    <definedName name="_ftnref4" localSheetId="4">'Eval-Avec act. écol. envisagée'!#REF!</definedName>
    <definedName name="_ftnref4" localSheetId="1">'Eval-Avec impact envisagé'!#REF!</definedName>
    <definedName name="_Toc416445370" localSheetId="5">'Eval-Après action écologique'!#REF!</definedName>
    <definedName name="_Toc416445370" localSheetId="2">'Eval-Après impact'!#REF!</definedName>
    <definedName name="_Toc416445370" localSheetId="3">'Eval-Avant action écologique'!#REF!</definedName>
    <definedName name="_Toc416445370" localSheetId="0">'Eval-Avant impact'!#REF!</definedName>
    <definedName name="_Toc416445370" localSheetId="4">'Eval-Avec act. écol. envisagée'!#REF!</definedName>
    <definedName name="_Toc416445370" localSheetId="1">'Eval-Avec impact envisagé'!#REF!</definedName>
    <definedName name="_Toc416445372" localSheetId="5">'Eval-Après action écologique'!#REF!</definedName>
    <definedName name="_Toc416445372" localSheetId="2">'Eval-Après impact'!#REF!</definedName>
    <definedName name="_Toc416445372" localSheetId="3">'Eval-Avant action écologique'!#REF!</definedName>
    <definedName name="_Toc416445372" localSheetId="0">'Eval-Avant impact'!#REF!</definedName>
    <definedName name="_Toc416445372" localSheetId="4">'Eval-Avec act. écol. envisagée'!#REF!</definedName>
    <definedName name="_Toc416445372" localSheetId="1">'Eval-Avec impact envisagé'!#REF!</definedName>
    <definedName name="_Toc416445384" localSheetId="5">'Eval-Après action écologique'!$C$233</definedName>
    <definedName name="_Toc416445384" localSheetId="2">'Eval-Après impact'!$C$233</definedName>
    <definedName name="_Toc416445384" localSheetId="3">'Eval-Avant action écologique'!$C$233</definedName>
    <definedName name="_Toc416445384" localSheetId="0">'Eval-Avant impact'!$C$233</definedName>
    <definedName name="_Toc416445384" localSheetId="4">'Eval-Avec act. écol. envisagée'!$C$233</definedName>
    <definedName name="_Toc416445384" localSheetId="1">'Eval-Avec impact envisagé'!$C$233</definedName>
    <definedName name="_Toc416445386" localSheetId="5">'Eval-Après action écologique'!$D$237</definedName>
    <definedName name="_Toc416445386" localSheetId="2">'Eval-Après impact'!$D$237</definedName>
    <definedName name="_Toc416445386" localSheetId="3">'Eval-Avant action écologique'!$D$237</definedName>
    <definedName name="_Toc416445386" localSheetId="0">'Eval-Avant impact'!$D$237</definedName>
    <definedName name="_Toc416445386" localSheetId="4">'Eval-Avec act. écol. envisagée'!$D$237</definedName>
    <definedName name="_Toc416445386" localSheetId="1">'Eval-Avec impact envisagé'!$D$237</definedName>
    <definedName name="_Toc416445387" localSheetId="5">'Eval-Après action écologique'!$C$239</definedName>
    <definedName name="_Toc416445387" localSheetId="2">'Eval-Après impact'!$C$239</definedName>
    <definedName name="_Toc416445387" localSheetId="3">'Eval-Avant action écologique'!$C$239</definedName>
    <definedName name="_Toc416445387" localSheetId="0">'Eval-Avant impact'!$C$239</definedName>
    <definedName name="_Toc416445387" localSheetId="4">'Eval-Avec act. écol. envisagée'!$C$239</definedName>
    <definedName name="_Toc416445387" localSheetId="1">'Eval-Avec impact envisagé'!$C$239</definedName>
    <definedName name="_Toc416445390" localSheetId="5">'Eval-Après action écologique'!$D$300</definedName>
    <definedName name="_Toc416445390" localSheetId="2">'Eval-Après impact'!$D$300</definedName>
    <definedName name="_Toc416445390" localSheetId="3">'Eval-Avant action écologique'!$D$300</definedName>
    <definedName name="_Toc416445390" localSheetId="0">'Eval-Avant impact'!$D$300</definedName>
    <definedName name="_Toc416445390" localSheetId="4">'Eval-Avec act. écol. envisagée'!$D$300</definedName>
    <definedName name="_Toc416445390" localSheetId="1">'Eval-Avec impact envisagé'!$D$300</definedName>
    <definedName name="_Toc416445391" localSheetId="5">'Eval-Après action écologique'!$C$302</definedName>
    <definedName name="_Toc416445391" localSheetId="2">'Eval-Après impact'!$C$302</definedName>
    <definedName name="_Toc416445391" localSheetId="3">'Eval-Avant action écologique'!$C$302</definedName>
    <definedName name="_Toc416445391" localSheetId="0">'Eval-Avant impact'!$C$302</definedName>
    <definedName name="_Toc416445391" localSheetId="4">'Eval-Avec act. écol. envisagée'!$C$302</definedName>
    <definedName name="_Toc416445391" localSheetId="1">'Eval-Avec impact envisagé'!$C$302</definedName>
    <definedName name="_Toc416445393" localSheetId="5">'Eval-Après action écologique'!$C$359</definedName>
    <definedName name="_Toc416445393" localSheetId="2">'Eval-Après impact'!$C$359</definedName>
    <definedName name="_Toc416445393" localSheetId="3">'Eval-Avant action écologique'!$C$359</definedName>
    <definedName name="_Toc416445393" localSheetId="0">'Eval-Avant impact'!$C$359</definedName>
    <definedName name="_Toc416445393" localSheetId="4">'Eval-Avec act. écol. envisagée'!$C$359</definedName>
    <definedName name="_Toc416445393" localSheetId="1">'Eval-Avec impact envisagé'!$C$359</definedName>
    <definedName name="_Toc416445399" localSheetId="5">'Eval-Après action écologique'!$C$416</definedName>
    <definedName name="_Toc416445399" localSheetId="2">'Eval-Après impact'!$C$416</definedName>
    <definedName name="_Toc416445399" localSheetId="3">'Eval-Avant action écologique'!$C$416</definedName>
    <definedName name="_Toc416445399" localSheetId="0">'Eval-Avant impact'!$C$416</definedName>
    <definedName name="_Toc416445399" localSheetId="4">'Eval-Avec act. écol. envisagée'!$C$416</definedName>
    <definedName name="_Toc416445399" localSheetId="1">'Eval-Avec impact envisagé'!$C$416</definedName>
    <definedName name="_Toc416445406" localSheetId="5">'Eval-Après action écologique'!$D$452</definedName>
    <definedName name="_Toc416445406" localSheetId="2">'Eval-Après impact'!$D$452</definedName>
    <definedName name="_Toc416445406" localSheetId="3">'Eval-Avant action écologique'!$D$452</definedName>
    <definedName name="_Toc416445406" localSheetId="0">'Eval-Avant impact'!$D$452</definedName>
    <definedName name="_Toc416445406" localSheetId="4">'Eval-Avec act. écol. envisagée'!$D$452</definedName>
    <definedName name="_Toc416445406" localSheetId="1">'Eval-Avec impact envisagé'!$D$452</definedName>
    <definedName name="_Toc416445407" localSheetId="5">'Eval-Après action écologique'!$C$453</definedName>
    <definedName name="_Toc416445407" localSheetId="2">'Eval-Après impact'!$C$453</definedName>
    <definedName name="_Toc416445407" localSheetId="3">'Eval-Avant action écologique'!$C$453</definedName>
    <definedName name="_Toc416445407" localSheetId="0">'Eval-Avant impact'!$C$453</definedName>
    <definedName name="_Toc416445407" localSheetId="4">'Eval-Avec act. écol. envisagée'!$C$453</definedName>
    <definedName name="_Toc416445407" localSheetId="1">'Eval-Avec impact envisagé'!$C$453</definedName>
    <definedName name="_Toc416445408" localSheetId="5">'Eval-Après action écologique'!$C$459</definedName>
    <definedName name="_Toc416445408" localSheetId="2">'Eval-Après impact'!$C$459</definedName>
    <definedName name="_Toc416445408" localSheetId="3">'Eval-Avant action écologique'!$C$459</definedName>
    <definedName name="_Toc416445408" localSheetId="0">'Eval-Avant impact'!$C$459</definedName>
    <definedName name="_Toc416445408" localSheetId="4">'Eval-Avec act. écol. envisagée'!$C$459</definedName>
    <definedName name="_Toc416445408" localSheetId="1">'Eval-Avec impact envisagé'!$C$459</definedName>
    <definedName name="_Toc416445410" localSheetId="5">'Eval-Après action écologique'!$C$811</definedName>
    <definedName name="_Toc416445410" localSheetId="2">'Eval-Après impact'!$C$811</definedName>
    <definedName name="_Toc416445410" localSheetId="3">'Eval-Avant action écologique'!$C$811</definedName>
    <definedName name="_Toc416445410" localSheetId="0">'Eval-Avant impact'!$C$811</definedName>
    <definedName name="_Toc416445410" localSheetId="4">'Eval-Avec act. écol. envisagée'!$C$811</definedName>
    <definedName name="_Toc416445410" localSheetId="1">'Eval-Avec impact envisagé'!$C$811</definedName>
    <definedName name="_Toc416445411" localSheetId="5">'Eval-Après action écologique'!$C$815</definedName>
    <definedName name="_Toc416445411" localSheetId="2">'Eval-Après impact'!$C$815</definedName>
    <definedName name="_Toc416445411" localSheetId="3">'Eval-Avant action écologique'!$C$815</definedName>
    <definedName name="_Toc416445411" localSheetId="0">'Eval-Avant impact'!$C$815</definedName>
    <definedName name="_Toc416445411" localSheetId="4">'Eval-Avec act. écol. envisagée'!$C$815</definedName>
    <definedName name="_Toc416445411" localSheetId="1">'Eval-Avec impact envisagé'!$C$815</definedName>
    <definedName name="_Toc416445413" localSheetId="5">'Eval-Après action écologique'!$D$494</definedName>
    <definedName name="_Toc416445413" localSheetId="2">'Eval-Après impact'!$D$494</definedName>
    <definedName name="_Toc416445413" localSheetId="3">'Eval-Avant action écologique'!$D$494</definedName>
    <definedName name="_Toc416445413" localSheetId="0">'Eval-Avant impact'!$D$494</definedName>
    <definedName name="_Toc416445413" localSheetId="4">'Eval-Avec act. écol. envisagée'!$D$494</definedName>
    <definedName name="_Toc416445413" localSheetId="1">'Eval-Avec impact envisagé'!$D$494</definedName>
    <definedName name="_Toc416445414" localSheetId="5">'Eval-Après action écologique'!$C$495</definedName>
    <definedName name="_Toc416445414" localSheetId="2">'Eval-Après impact'!$C$495</definedName>
    <definedName name="_Toc416445414" localSheetId="3">'Eval-Avant action écologique'!$C$495</definedName>
    <definedName name="_Toc416445414" localSheetId="0">'Eval-Avant impact'!$C$495</definedName>
    <definedName name="_Toc416445414" localSheetId="4">'Eval-Avec act. écol. envisagée'!$C$495</definedName>
    <definedName name="_Toc416445414" localSheetId="1">'Eval-Avec impact envisagé'!$C$495</definedName>
    <definedName name="_Toc416445415" localSheetId="5">'Eval-Après action écologique'!$C$497</definedName>
    <definedName name="_Toc416445415" localSheetId="2">'Eval-Après impact'!$C$497</definedName>
    <definedName name="_Toc416445415" localSheetId="3">'Eval-Avant action écologique'!$C$497</definedName>
    <definedName name="_Toc416445415" localSheetId="0">'Eval-Avant impact'!$C$497</definedName>
    <definedName name="_Toc416445415" localSheetId="4">'Eval-Avec act. écol. envisagée'!$C$497</definedName>
    <definedName name="_Toc416445415" localSheetId="1">'Eval-Avec impact envisagé'!$C$497</definedName>
    <definedName name="_Toc416445416" localSheetId="5">'Eval-Après action écologique'!$C$501</definedName>
    <definedName name="_Toc416445416" localSheetId="2">'Eval-Après impact'!$C$501</definedName>
    <definedName name="_Toc416445416" localSheetId="3">'Eval-Avant action écologique'!$C$501</definedName>
    <definedName name="_Toc416445416" localSheetId="0">'Eval-Avant impact'!$C$501</definedName>
    <definedName name="_Toc416445416" localSheetId="4">'Eval-Avec act. écol. envisagée'!$C$501</definedName>
    <definedName name="_Toc416445416" localSheetId="1">'Eval-Avec impact envisagé'!$C$501</definedName>
    <definedName name="_Toc416445428" localSheetId="5">'Eval-Après action écologique'!$C$550</definedName>
    <definedName name="_Toc416445428" localSheetId="2">'Eval-Après impact'!$C$550</definedName>
    <definedName name="_Toc416445428" localSheetId="3">'Eval-Avant action écologique'!$C$550</definedName>
    <definedName name="_Toc416445428" localSheetId="0">'Eval-Avant impact'!$C$550</definedName>
    <definedName name="_Toc416445428" localSheetId="4">'Eval-Avec act. écol. envisagée'!$C$550</definedName>
    <definedName name="_Toc416445428" localSheetId="1">'Eval-Avec impact envisagé'!$C$550</definedName>
    <definedName name="_Toc416445429" localSheetId="5">'Eval-Après action écologique'!#REF!</definedName>
    <definedName name="_Toc416445429" localSheetId="2">'Eval-Après impact'!#REF!</definedName>
    <definedName name="_Toc416445429" localSheetId="3">'Eval-Avant action écologique'!#REF!</definedName>
    <definedName name="_Toc416445429" localSheetId="0">'Eval-Avant impact'!#REF!</definedName>
    <definedName name="_Toc416445429" localSheetId="4">'Eval-Avec act. écol. envisagée'!#REF!</definedName>
    <definedName name="_Toc416445429" localSheetId="1">'Eval-Avec impact envisagé'!#REF!</definedName>
    <definedName name="_Toc416445431" localSheetId="5">'Eval-Après action écologique'!$D$572</definedName>
    <definedName name="_Toc416445431" localSheetId="2">'Eval-Après impact'!$D$572</definedName>
    <definedName name="_Toc416445431" localSheetId="3">'Eval-Avant action écologique'!$D$572</definedName>
    <definedName name="_Toc416445431" localSheetId="0">'Eval-Avant impact'!$D$572</definedName>
    <definedName name="_Toc416445431" localSheetId="4">'Eval-Avec act. écol. envisagée'!$D$572</definedName>
    <definedName name="_Toc416445431" localSheetId="1">'Eval-Avec impact envisagé'!$D$572</definedName>
    <definedName name="_Toc416445432" localSheetId="5">'Eval-Après action écologique'!$C$574</definedName>
    <definedName name="_Toc416445432" localSheetId="2">'Eval-Après impact'!$C$574</definedName>
    <definedName name="_Toc416445432" localSheetId="3">'Eval-Avant action écologique'!$C$574</definedName>
    <definedName name="_Toc416445432" localSheetId="0">'Eval-Avant impact'!$C$574</definedName>
    <definedName name="_Toc416445432" localSheetId="4">'Eval-Avec act. écol. envisagée'!$C$574</definedName>
    <definedName name="_Toc416445432" localSheetId="1">'Eval-Avec impact envisagé'!$C$574</definedName>
    <definedName name="_Toc416445433" localSheetId="5">'Eval-Après action écologique'!$C$580</definedName>
    <definedName name="_Toc416445433" localSheetId="2">'Eval-Après impact'!$C$580</definedName>
    <definedName name="_Toc416445433" localSheetId="3">'Eval-Avant action écologique'!$C$580</definedName>
    <definedName name="_Toc416445433" localSheetId="0">'Eval-Avant impact'!$C$580</definedName>
    <definedName name="_Toc416445433" localSheetId="4">'Eval-Avec act. écol. envisagée'!$C$580</definedName>
    <definedName name="_Toc416445433" localSheetId="1">'Eval-Avec impact envisagé'!$C$580</definedName>
    <definedName name="_Toc416445434" localSheetId="5">'Eval-Après action écologique'!$C$592</definedName>
    <definedName name="_Toc416445434" localSheetId="2">'Eval-Après impact'!$C$592</definedName>
    <definedName name="_Toc416445434" localSheetId="3">'Eval-Avant action écologique'!$C$592</definedName>
    <definedName name="_Toc416445434" localSheetId="0">'Eval-Avant impact'!$C$592</definedName>
    <definedName name="_Toc416445434" localSheetId="4">'Eval-Avec act. écol. envisagée'!$C$592</definedName>
    <definedName name="_Toc416445434" localSheetId="1">'Eval-Avec impact envisagé'!$C$592</definedName>
    <definedName name="_Toc416445435" localSheetId="5">'Eval-Après action écologique'!$C$597</definedName>
    <definedName name="_Toc416445435" localSheetId="2">'Eval-Après impact'!$C$597</definedName>
    <definedName name="_Toc416445435" localSheetId="3">'Eval-Avant action écologique'!$C$597</definedName>
    <definedName name="_Toc416445435" localSheetId="0">'Eval-Avant impact'!$C$597</definedName>
    <definedName name="_Toc416445435" localSheetId="4">'Eval-Avec act. écol. envisagée'!$C$597</definedName>
    <definedName name="_Toc416445435" localSheetId="1">'Eval-Avec impact envisagé'!$C$597</definedName>
    <definedName name="_Toc416445436" localSheetId="5">'Eval-Après action écologique'!$C$586</definedName>
    <definedName name="_Toc416445436" localSheetId="2">'Eval-Après impact'!$C$586</definedName>
    <definedName name="_Toc416445436" localSheetId="3">'Eval-Avant action écologique'!$C$586</definedName>
    <definedName name="_Toc416445436" localSheetId="0">'Eval-Avant impact'!$C$586</definedName>
    <definedName name="_Toc416445436" localSheetId="4">'Eval-Avec act. écol. envisagée'!$C$586</definedName>
    <definedName name="_Toc416445436" localSheetId="1">'Eval-Avec impact envisagé'!$C$586</definedName>
    <definedName name="_Toc416445437" localSheetId="5">'Eval-Après action écologique'!#REF!</definedName>
    <definedName name="_Toc416445437" localSheetId="2">'Eval-Après impact'!#REF!</definedName>
    <definedName name="_Toc416445437" localSheetId="3">'Eval-Avant action écologique'!#REF!</definedName>
    <definedName name="_Toc416445437" localSheetId="0">'Eval-Avant impact'!#REF!</definedName>
    <definedName name="_Toc416445437" localSheetId="4">'Eval-Avec act. écol. envisagée'!#REF!</definedName>
    <definedName name="_Toc416445437" localSheetId="1">'Eval-Avec impact envisagé'!#REF!</definedName>
    <definedName name="_Toc416445438" localSheetId="5">'Eval-Après action écologique'!#REF!</definedName>
    <definedName name="_Toc416445438" localSheetId="2">'Eval-Après impact'!#REF!</definedName>
    <definedName name="_Toc416445438" localSheetId="3">'Eval-Avant action écologique'!#REF!</definedName>
    <definedName name="_Toc416445438" localSheetId="0">'Eval-Avant impact'!#REF!</definedName>
    <definedName name="_Toc416445438" localSheetId="4">'Eval-Avec act. écol. envisagée'!#REF!</definedName>
    <definedName name="_Toc416445438" localSheetId="1">'Eval-Avec impact envisagé'!#REF!</definedName>
    <definedName name="_Toc416445440" localSheetId="5">'Eval-Après action écologique'!$D$615</definedName>
    <definedName name="_Toc416445440" localSheetId="2">'Eval-Après impact'!$D$615</definedName>
    <definedName name="_Toc416445440" localSheetId="3">'Eval-Avant action écologique'!$D$615</definedName>
    <definedName name="_Toc416445440" localSheetId="0">'Eval-Avant impact'!$D$615</definedName>
    <definedName name="_Toc416445440" localSheetId="4">'Eval-Avec act. écol. envisagée'!$D$615</definedName>
    <definedName name="_Toc416445440" localSheetId="1">'Eval-Avec impact envisagé'!$D$615</definedName>
    <definedName name="_Toc416445441" localSheetId="5">'Eval-Après action écologique'!$C$617</definedName>
    <definedName name="_Toc416445441" localSheetId="2">'Eval-Après impact'!$C$617</definedName>
    <definedName name="_Toc416445441" localSheetId="3">'Eval-Avant action écologique'!$C$617</definedName>
    <definedName name="_Toc416445441" localSheetId="0">'Eval-Avant impact'!$C$617</definedName>
    <definedName name="_Toc416445441" localSheetId="4">'Eval-Avec act. écol. envisagée'!$C$617</definedName>
    <definedName name="_Toc416445441" localSheetId="1">'Eval-Avec impact envisagé'!$C$617</definedName>
    <definedName name="_Toc416445442" localSheetId="5">'Eval-Après action écologique'!$D$658</definedName>
    <definedName name="_Toc416445442" localSheetId="2">'Eval-Après impact'!$D$658</definedName>
    <definedName name="_Toc416445442" localSheetId="3">'Eval-Avant action écologique'!$D$658</definedName>
    <definedName name="_Toc416445442" localSheetId="0">'Eval-Avant impact'!$D$658</definedName>
    <definedName name="_Toc416445442" localSheetId="4">'Eval-Avec act. écol. envisagée'!$D$658</definedName>
    <definedName name="_Toc416445442" localSheetId="1">'Eval-Avec impact envisagé'!$D$658</definedName>
    <definedName name="_Toc416445443" localSheetId="5">'Eval-Après action écologique'!$C$660</definedName>
    <definedName name="_Toc416445443" localSheetId="2">'Eval-Après impact'!$C$660</definedName>
    <definedName name="_Toc416445443" localSheetId="3">'Eval-Avant action écologique'!$C$660</definedName>
    <definedName name="_Toc416445443" localSheetId="0">'Eval-Avant impact'!$C$660</definedName>
    <definedName name="_Toc416445443" localSheetId="4">'Eval-Avec act. écol. envisagée'!$C$660</definedName>
    <definedName name="_Toc416445443" localSheetId="1">'Eval-Avec impact envisagé'!$C$660</definedName>
    <definedName name="_Toc416445444" localSheetId="5">'Eval-Après action écologique'!$C$665</definedName>
    <definedName name="_Toc416445444" localSheetId="2">'Eval-Après impact'!$C$665</definedName>
    <definedName name="_Toc416445444" localSheetId="3">'Eval-Avant action écologique'!$C$665</definedName>
    <definedName name="_Toc416445444" localSheetId="0">'Eval-Avant impact'!$C$665</definedName>
    <definedName name="_Toc416445444" localSheetId="4">'Eval-Avec act. écol. envisagée'!$C$665</definedName>
    <definedName name="_Toc416445444" localSheetId="1">'Eval-Avec impact envisagé'!$C$665</definedName>
    <definedName name="_Toc416445445" localSheetId="5">'Eval-Après action écologique'!$C$674</definedName>
    <definedName name="_Toc416445445" localSheetId="2">'Eval-Après impact'!$C$674</definedName>
    <definedName name="_Toc416445445" localSheetId="3">'Eval-Avant action écologique'!$C$674</definedName>
    <definedName name="_Toc416445445" localSheetId="0">'Eval-Avant impact'!$C$674</definedName>
    <definedName name="_Toc416445445" localSheetId="4">'Eval-Avec act. écol. envisagée'!$C$674</definedName>
    <definedName name="_Toc416445445" localSheetId="1">'Eval-Avec impact envisagé'!$C$674</definedName>
    <definedName name="_Toc416445446" localSheetId="5">'Eval-Après action écologique'!$C$676</definedName>
    <definedName name="_Toc416445446" localSheetId="2">'Eval-Après impact'!$C$676</definedName>
    <definedName name="_Toc416445446" localSheetId="3">'Eval-Avant action écologique'!$C$676</definedName>
    <definedName name="_Toc416445446" localSheetId="0">'Eval-Avant impact'!$C$676</definedName>
    <definedName name="_Toc416445446" localSheetId="4">'Eval-Avec act. écol. envisagée'!$C$676</definedName>
    <definedName name="_Toc416445446" localSheetId="1">'Eval-Avec impact envisagé'!$C$676</definedName>
    <definedName name="_Toc416445447" localSheetId="5">'Eval-Après action écologique'!$C$680</definedName>
    <definedName name="_Toc416445447" localSheetId="2">'Eval-Après impact'!$C$680</definedName>
    <definedName name="_Toc416445447" localSheetId="3">'Eval-Avant action écologique'!$C$680</definedName>
    <definedName name="_Toc416445447" localSheetId="0">'Eval-Avant impact'!$C$680</definedName>
    <definedName name="_Toc416445447" localSheetId="4">'Eval-Avec act. écol. envisagée'!$C$680</definedName>
    <definedName name="_Toc416445447" localSheetId="1">'Eval-Avec impact envisagé'!$C$680</definedName>
    <definedName name="_Toc416445449" localSheetId="5">'Eval-Après action écologique'!$C$689</definedName>
    <definedName name="_Toc416445449" localSheetId="2">'Eval-Après impact'!$C$689</definedName>
    <definedName name="_Toc416445449" localSheetId="3">'Eval-Avant action écologique'!$C$689</definedName>
    <definedName name="_Toc416445449" localSheetId="0">'Eval-Avant impact'!$C$689</definedName>
    <definedName name="_Toc416445449" localSheetId="4">'Eval-Avec act. écol. envisagée'!$C$689</definedName>
    <definedName name="_Toc416445449" localSheetId="1">'Eval-Avec impact envisagé'!$C$689</definedName>
    <definedName name="_Toc416445450" localSheetId="5">'Eval-Après action écologique'!$C$694</definedName>
    <definedName name="_Toc416445450" localSheetId="2">'Eval-Après impact'!$C$694</definedName>
    <definedName name="_Toc416445450" localSheetId="3">'Eval-Avant action écologique'!$C$694</definedName>
    <definedName name="_Toc416445450" localSheetId="0">'Eval-Avant impact'!$C$694</definedName>
    <definedName name="_Toc416445450" localSheetId="4">'Eval-Avec act. écol. envisagée'!$C$694</definedName>
    <definedName name="_Toc416445450" localSheetId="1">'Eval-Avec impact envisagé'!$C$694</definedName>
    <definedName name="_Toc416445451" localSheetId="5">'Eval-Après action écologique'!$C$698</definedName>
    <definedName name="_Toc416445451" localSheetId="2">'Eval-Après impact'!$C$698</definedName>
    <definedName name="_Toc416445451" localSheetId="3">'Eval-Avant action écologique'!$C$698</definedName>
    <definedName name="_Toc416445451" localSheetId="0">'Eval-Avant impact'!$C$698</definedName>
    <definedName name="_Toc416445451" localSheetId="4">'Eval-Avec act. écol. envisagée'!$C$698</definedName>
    <definedName name="_Toc416445451" localSheetId="1">'Eval-Avec impact envisagé'!$C$698</definedName>
    <definedName name="_Toc416445452" localSheetId="5">'Eval-Après action écologique'!$C$702</definedName>
    <definedName name="_Toc416445452" localSheetId="2">'Eval-Après impact'!$C$702</definedName>
    <definedName name="_Toc416445452" localSheetId="3">'Eval-Avant action écologique'!$C$702</definedName>
    <definedName name="_Toc416445452" localSheetId="0">'Eval-Avant impact'!$C$702</definedName>
    <definedName name="_Toc416445452" localSheetId="4">'Eval-Avec act. écol. envisagée'!$C$702</definedName>
    <definedName name="_Toc416445452" localSheetId="1">'Eval-Avec impact envisagé'!$C$702</definedName>
    <definedName name="_Toc416445453" localSheetId="5">'Eval-Après action écologique'!$D$706</definedName>
    <definedName name="_Toc416445453" localSheetId="2">'Eval-Après impact'!$D$706</definedName>
    <definedName name="_Toc416445453" localSheetId="3">'Eval-Avant action écologique'!$D$706</definedName>
    <definedName name="_Toc416445453" localSheetId="0">'Eval-Avant impact'!$D$706</definedName>
    <definedName name="_Toc416445453" localSheetId="4">'Eval-Avec act. écol. envisagée'!$D$706</definedName>
    <definedName name="_Toc416445453" localSheetId="1">'Eval-Avec impact envisagé'!$D$706</definedName>
    <definedName name="_Toc416445454" localSheetId="5">'Eval-Après action écologique'!$C$708</definedName>
    <definedName name="_Toc416445454" localSheetId="2">'Eval-Après impact'!$C$708</definedName>
    <definedName name="_Toc416445454" localSheetId="3">'Eval-Avant action écologique'!$C$708</definedName>
    <definedName name="_Toc416445454" localSheetId="0">'Eval-Avant impact'!$C$708</definedName>
    <definedName name="_Toc416445454" localSheetId="4">'Eval-Avec act. écol. envisagée'!$C$708</definedName>
    <definedName name="_Toc416445454" localSheetId="1">'Eval-Avec impact envisagé'!$C$708</definedName>
    <definedName name="_Toc416445455" localSheetId="5">'Eval-Après action écologique'!$C$710</definedName>
    <definedName name="_Toc416445455" localSheetId="2">'Eval-Après impact'!$C$710</definedName>
    <definedName name="_Toc416445455" localSheetId="3">'Eval-Avant action écologique'!$C$710</definedName>
    <definedName name="_Toc416445455" localSheetId="0">'Eval-Avant impact'!$C$710</definedName>
    <definedName name="_Toc416445455" localSheetId="4">'Eval-Avec act. écol. envisagée'!$C$710</definedName>
    <definedName name="_Toc416445455" localSheetId="1">'Eval-Avec impact envisagé'!$C$710</definedName>
    <definedName name="_Toc416445457" localSheetId="5">'Eval-Après action écologique'!$C$729</definedName>
    <definedName name="_Toc416445457" localSheetId="2">'Eval-Après impact'!$C$729</definedName>
    <definedName name="_Toc416445457" localSheetId="3">'Eval-Avant action écologique'!$C$729</definedName>
    <definedName name="_Toc416445457" localSheetId="0">'Eval-Avant impact'!$C$729</definedName>
    <definedName name="_Toc416445457" localSheetId="4">'Eval-Avec act. écol. envisagée'!$C$729</definedName>
    <definedName name="_Toc416445457" localSheetId="1">'Eval-Avec impact envisagé'!$C$729</definedName>
    <definedName name="_Toc416445458" localSheetId="5">'Eval-Après action écologique'!$C$742</definedName>
    <definedName name="_Toc416445458" localSheetId="2">'Eval-Après impact'!$C$742</definedName>
    <definedName name="_Toc416445458" localSheetId="3">'Eval-Avant action écologique'!$C$742</definedName>
    <definedName name="_Toc416445458" localSheetId="0">'Eval-Avant impact'!$C$742</definedName>
    <definedName name="_Toc416445458" localSheetId="4">'Eval-Avec act. écol. envisagée'!$C$742</definedName>
    <definedName name="_Toc416445458" localSheetId="1">'Eval-Avec impact envisagé'!$C$742</definedName>
    <definedName name="_Toc416445460" localSheetId="5">'Eval-Après action écologique'!$C$744</definedName>
    <definedName name="_Toc416445460" localSheetId="2">'Eval-Après impact'!$C$744</definedName>
    <definedName name="_Toc416445460" localSheetId="3">'Eval-Avant action écologique'!$C$744</definedName>
    <definedName name="_Toc416445460" localSheetId="0">'Eval-Avant impact'!$C$744</definedName>
    <definedName name="_Toc416445460" localSheetId="4">'Eval-Avec act. écol. envisagée'!$C$744</definedName>
    <definedName name="_Toc416445460" localSheetId="1">'Eval-Avec impact envisagé'!$C$744</definedName>
    <definedName name="_Toc416445461" localSheetId="5">'Eval-Après action écologique'!#REF!</definedName>
    <definedName name="_Toc416445461" localSheetId="2">'Eval-Après impact'!#REF!</definedName>
    <definedName name="_Toc416445461" localSheetId="3">'Eval-Avant action écologique'!#REF!</definedName>
    <definedName name="_Toc416445461" localSheetId="0">'Eval-Avant impact'!#REF!</definedName>
    <definedName name="_Toc416445461" localSheetId="4">'Eval-Avec act. écol. envisagée'!#REF!</definedName>
    <definedName name="_Toc416445461" localSheetId="1">'Eval-Avec impact envisagé'!#REF!</definedName>
    <definedName name="_Toc416445462" localSheetId="5">'Eval-Après action écologique'!#REF!</definedName>
    <definedName name="_Toc416445462" localSheetId="2">'Eval-Après impact'!#REF!</definedName>
    <definedName name="_Toc416445462" localSheetId="3">'Eval-Avant action écologique'!#REF!</definedName>
    <definedName name="_Toc416445462" localSheetId="0">'Eval-Avant impact'!#REF!</definedName>
    <definedName name="_Toc416445462" localSheetId="4">'Eval-Avec act. écol. envisagée'!#REF!</definedName>
    <definedName name="_Toc416445462" localSheetId="1">'Eval-Avec impact envisagé'!#REF!</definedName>
    <definedName name="_Toc416445463" localSheetId="5">'Eval-Après action écologique'!$C$790</definedName>
    <definedName name="_Toc416445463" localSheetId="2">'Eval-Après impact'!$C$790</definedName>
    <definedName name="_Toc416445463" localSheetId="3">'Eval-Avant action écologique'!$C$790</definedName>
    <definedName name="_Toc416445463" localSheetId="0">'Eval-Avant impact'!$C$790</definedName>
    <definedName name="_Toc416445463" localSheetId="4">'Eval-Avec act. écol. envisagée'!$C$790</definedName>
    <definedName name="_Toc416445463" localSheetId="1">'Eval-Avec impact envisagé'!$C$790</definedName>
    <definedName name="_Toc416445464" localSheetId="5">'Eval-Après action écologique'!$C$827</definedName>
    <definedName name="_Toc416445464" localSheetId="2">'Eval-Après impact'!$C$827</definedName>
    <definedName name="_Toc416445464" localSheetId="3">'Eval-Avant action écologique'!$C$827</definedName>
    <definedName name="_Toc416445464" localSheetId="0">'Eval-Avant impact'!$C$827</definedName>
    <definedName name="_Toc416445464" localSheetId="4">'Eval-Avec act. écol. envisagée'!$C$827</definedName>
    <definedName name="_Toc416445464" localSheetId="1">'Eval-Avec impact envisagé'!$C$827</definedName>
    <definedName name="Print_Area" localSheetId="10">'Calcul auto.'!$B$1:$T$32</definedName>
    <definedName name="Print_Area" localSheetId="7">'DETAILS EVAL. EQ. FCT.1'!#REF!</definedName>
    <definedName name="Print_Area" localSheetId="8">'DETAILS EVAL. EQ. FCT.2'!#REF!</definedName>
    <definedName name="Print_Area" localSheetId="5">'Eval-Après action écologique'!$A$1:$AB$847</definedName>
    <definedName name="Print_Area" localSheetId="2">'Eval-Après impact'!$A$1:$AB$847</definedName>
    <definedName name="Print_Area" localSheetId="3">'Eval-Avant action écologique'!$A$1:$AB$847</definedName>
    <definedName name="Print_Area" localSheetId="0">'Eval-Avant impact'!$A$1:$AB$847</definedName>
    <definedName name="Print_Area" localSheetId="4">'Eval-Avec act. écol. envisagée'!$A$1:$AB$847</definedName>
    <definedName name="Print_Area" localSheetId="1">'Eval-Avec impact envisagé'!$A$1:$AB$847</definedName>
    <definedName name="Print_Area" localSheetId="6">'SYNTHESE EVAL. EQ. FCT.'!$P$13:$U$22</definedName>
    <definedName name="_xlnm.Print_Area" localSheetId="10">'Calcul auto.'!$A$1:$GI$388</definedName>
    <definedName name="_xlnm.Print_Area" localSheetId="7">'DETAILS EVAL. EQ. FCT.1'!$A$1:$AI$320</definedName>
    <definedName name="_xlnm.Print_Area" localSheetId="8">'DETAILS EVAL. EQ. FCT.2'!$A$1:$AK$172</definedName>
    <definedName name="_xlnm.Print_Area" localSheetId="9">DONNEES!$A$1:$ABO$7</definedName>
    <definedName name="_xlnm.Print_Area" localSheetId="5">'Eval-Après action écologique'!$A$1:$AB$900</definedName>
    <definedName name="_xlnm.Print_Area" localSheetId="2">'Eval-Après impact'!$A$1:$AB$900</definedName>
    <definedName name="_xlnm.Print_Area" localSheetId="3">'Eval-Avant action écologique'!$A$1:$AB$900</definedName>
    <definedName name="_xlnm.Print_Area" localSheetId="0">'Eval-Avant impact'!$A$1:$AB$900</definedName>
    <definedName name="_xlnm.Print_Area" localSheetId="4">'Eval-Avec act. écol. envisagée'!$A$1:$AB$900</definedName>
    <definedName name="_xlnm.Print_Area" localSheetId="1">'Eval-Avec impact envisagé'!$A$1:$AB$900</definedName>
    <definedName name="_xlnm.Print_Area" localSheetId="6">'SYNTHESE EVAL. EQ. FCT.'!$A$1:$AE$326</definedName>
  </definedNames>
  <calcPr calcId="191029"/>
</workbook>
</file>

<file path=xl/calcChain.xml><?xml version="1.0" encoding="utf-8"?>
<calcChain xmlns="http://schemas.openxmlformats.org/spreadsheetml/2006/main">
  <c r="T481" i="58" l="1" a="1"/>
  <c r="T481" i="58" s="1"/>
  <c r="T482" i="58" s="1"/>
  <c r="T481" i="60" a="1"/>
  <c r="T481" i="60" s="1"/>
  <c r="T482" i="60" s="1"/>
  <c r="T481" i="59" a="1"/>
  <c r="T481" i="59" s="1"/>
  <c r="T482" i="59" s="1"/>
  <c r="T481" i="56" a="1"/>
  <c r="T481" i="56" s="1"/>
  <c r="T482" i="56" s="1"/>
  <c r="T481" i="57" a="1"/>
  <c r="T481" i="57" s="1"/>
  <c r="T482" i="57" s="1"/>
  <c r="B106" i="58"/>
  <c r="B106" i="60"/>
  <c r="B106" i="59"/>
  <c r="B106" i="56"/>
  <c r="B106" i="57"/>
  <c r="B106" i="38"/>
  <c r="T481" i="38" l="1" a="1"/>
  <c r="T481" i="38" s="1"/>
  <c r="T482" i="38" s="1"/>
  <c r="W823" i="58" l="1"/>
  <c r="W817" i="58"/>
  <c r="W794" i="58"/>
  <c r="V784" i="58"/>
  <c r="B781" i="58"/>
  <c r="W784" i="58" s="1"/>
  <c r="W740" i="58"/>
  <c r="W727" i="58"/>
  <c r="W723" i="58"/>
  <c r="W719" i="58"/>
  <c r="W712" i="58"/>
  <c r="W709" i="58"/>
  <c r="W704" i="58"/>
  <c r="W700" i="58"/>
  <c r="W696" i="58"/>
  <c r="W692" i="58"/>
  <c r="W687" i="58"/>
  <c r="W683" i="58"/>
  <c r="W678" i="58"/>
  <c r="W671" i="58"/>
  <c r="W663" i="58"/>
  <c r="W656" i="58"/>
  <c r="T655" i="58"/>
  <c r="W642" i="58"/>
  <c r="T641" i="58"/>
  <c r="W632" i="58"/>
  <c r="T631" i="58"/>
  <c r="W505" i="58"/>
  <c r="W496" i="58"/>
  <c r="W492" i="58"/>
  <c r="W482" i="58"/>
  <c r="W481" i="58"/>
  <c r="T480" i="58"/>
  <c r="T371" i="58"/>
  <c r="W372" i="58" s="1"/>
  <c r="W357" i="58"/>
  <c r="W297" i="58"/>
  <c r="W231" i="58"/>
  <c r="W223" i="58"/>
  <c r="W214" i="58"/>
  <c r="W140" i="58"/>
  <c r="W823" i="60"/>
  <c r="W817" i="60"/>
  <c r="W794" i="60"/>
  <c r="V784" i="60"/>
  <c r="B781" i="60"/>
  <c r="W784" i="60" s="1"/>
  <c r="W740" i="60"/>
  <c r="W727" i="60"/>
  <c r="W723" i="60"/>
  <c r="W719" i="60"/>
  <c r="W712" i="60"/>
  <c r="W709" i="60"/>
  <c r="W704" i="60"/>
  <c r="W700" i="60"/>
  <c r="W696" i="60"/>
  <c r="W692" i="60"/>
  <c r="W687" i="60"/>
  <c r="W683" i="60"/>
  <c r="W678" i="60"/>
  <c r="W671" i="60"/>
  <c r="W663" i="60"/>
  <c r="W656" i="60"/>
  <c r="T655" i="60"/>
  <c r="W642" i="60"/>
  <c r="T641" i="60"/>
  <c r="W632" i="60"/>
  <c r="T631" i="60"/>
  <c r="W505" i="60"/>
  <c r="W496" i="60"/>
  <c r="W492" i="60"/>
  <c r="W482" i="60"/>
  <c r="T480" i="60"/>
  <c r="W481" i="60" s="1"/>
  <c r="T371" i="60"/>
  <c r="W372" i="60" s="1"/>
  <c r="W357" i="60"/>
  <c r="W297" i="60"/>
  <c r="W231" i="60"/>
  <c r="W223" i="60"/>
  <c r="W214" i="60"/>
  <c r="W140" i="60"/>
  <c r="W823" i="59"/>
  <c r="W817" i="59"/>
  <c r="W794" i="59"/>
  <c r="V784" i="59"/>
  <c r="B781" i="59"/>
  <c r="W784" i="59" s="1"/>
  <c r="W740" i="59"/>
  <c r="W727" i="59"/>
  <c r="W723" i="59"/>
  <c r="W719" i="59"/>
  <c r="W712" i="59"/>
  <c r="W709" i="59"/>
  <c r="W704" i="59"/>
  <c r="W700" i="59"/>
  <c r="W696" i="59"/>
  <c r="W692" i="59"/>
  <c r="W687" i="59"/>
  <c r="W683" i="59"/>
  <c r="W678" i="59"/>
  <c r="W671" i="59"/>
  <c r="W663" i="59"/>
  <c r="W656" i="59"/>
  <c r="T655" i="59"/>
  <c r="W642" i="59"/>
  <c r="T641" i="59"/>
  <c r="W632" i="59"/>
  <c r="T631" i="59"/>
  <c r="W505" i="59"/>
  <c r="W496" i="59"/>
  <c r="W492" i="59"/>
  <c r="W482" i="59"/>
  <c r="T480" i="59"/>
  <c r="W481" i="59" s="1"/>
  <c r="T371" i="59"/>
  <c r="W372" i="59" s="1"/>
  <c r="W357" i="59"/>
  <c r="W297" i="59"/>
  <c r="W231" i="59"/>
  <c r="W223" i="59"/>
  <c r="W214" i="59"/>
  <c r="W140" i="59"/>
  <c r="W823" i="56"/>
  <c r="W817" i="56"/>
  <c r="W794" i="56"/>
  <c r="V784" i="56"/>
  <c r="B781" i="56"/>
  <c r="W784" i="56" s="1"/>
  <c r="W740" i="56"/>
  <c r="W727" i="56"/>
  <c r="W723" i="56"/>
  <c r="W719" i="56"/>
  <c r="W712" i="56"/>
  <c r="W709" i="56"/>
  <c r="W704" i="56"/>
  <c r="W700" i="56"/>
  <c r="W696" i="56"/>
  <c r="W692" i="56"/>
  <c r="W687" i="56"/>
  <c r="W683" i="56"/>
  <c r="W678" i="56"/>
  <c r="W671" i="56"/>
  <c r="W663" i="56"/>
  <c r="W656" i="56"/>
  <c r="T655" i="56"/>
  <c r="W642" i="56"/>
  <c r="T641" i="56"/>
  <c r="W632" i="56"/>
  <c r="T631" i="56"/>
  <c r="W505" i="56"/>
  <c r="W496" i="56"/>
  <c r="W492" i="56"/>
  <c r="W482" i="56"/>
  <c r="T480" i="56"/>
  <c r="W481" i="56" s="1"/>
  <c r="T371" i="56"/>
  <c r="W372" i="56" s="1"/>
  <c r="W357" i="56"/>
  <c r="W297" i="56"/>
  <c r="W231" i="56"/>
  <c r="W223" i="56"/>
  <c r="W214" i="56"/>
  <c r="W140" i="56"/>
  <c r="W823" i="57"/>
  <c r="W817" i="57"/>
  <c r="W794" i="57"/>
  <c r="V784" i="57"/>
  <c r="B781" i="57"/>
  <c r="W784" i="57" s="1"/>
  <c r="W740" i="57"/>
  <c r="W727" i="57"/>
  <c r="W723" i="57"/>
  <c r="W719" i="57"/>
  <c r="W712" i="57"/>
  <c r="W709" i="57"/>
  <c r="W704" i="57"/>
  <c r="W700" i="57"/>
  <c r="W696" i="57"/>
  <c r="W692" i="57"/>
  <c r="W687" i="57"/>
  <c r="W683" i="57"/>
  <c r="W678" i="57"/>
  <c r="W671" i="57"/>
  <c r="W663" i="57"/>
  <c r="W656" i="57"/>
  <c r="T655" i="57"/>
  <c r="W642" i="57"/>
  <c r="T641" i="57"/>
  <c r="W632" i="57"/>
  <c r="T631" i="57"/>
  <c r="W505" i="57"/>
  <c r="W496" i="57"/>
  <c r="W492" i="57"/>
  <c r="W482" i="57"/>
  <c r="W481" i="57"/>
  <c r="T480" i="57"/>
  <c r="T371" i="57"/>
  <c r="W372" i="57" s="1"/>
  <c r="W357" i="57"/>
  <c r="W297" i="57"/>
  <c r="W231" i="57"/>
  <c r="W223" i="57"/>
  <c r="W214" i="57"/>
  <c r="W140" i="57"/>
  <c r="GB68" i="36" l="1"/>
  <c r="GB67" i="36"/>
  <c r="GB66" i="36"/>
  <c r="EV68" i="36"/>
  <c r="EV67" i="36"/>
  <c r="DP68" i="36"/>
  <c r="DP67" i="36"/>
  <c r="CJ68" i="36"/>
  <c r="CJ67" i="36"/>
  <c r="BD68" i="36"/>
  <c r="BD67" i="36"/>
  <c r="GG66" i="36" l="1"/>
  <c r="GG59" i="36"/>
  <c r="FA66" i="36"/>
  <c r="FA59" i="36"/>
  <c r="DU59" i="36"/>
  <c r="DU66" i="36"/>
  <c r="CO66" i="36"/>
  <c r="CO59" i="36"/>
  <c r="BI59" i="36"/>
  <c r="BI66" i="36"/>
  <c r="AC66" i="36"/>
  <c r="AC59" i="36"/>
  <c r="AR87" i="36" l="1"/>
  <c r="FP87" i="36"/>
  <c r="EJ87" i="36"/>
  <c r="DD87" i="36"/>
  <c r="BX87" i="36"/>
  <c r="L87" i="36"/>
  <c r="AP59" i="36" l="1"/>
  <c r="AO59" i="36"/>
  <c r="AN59" i="36"/>
  <c r="AM59" i="36"/>
  <c r="AL59" i="36"/>
  <c r="AJ59" i="36"/>
  <c r="BV59" i="36"/>
  <c r="BU59" i="36"/>
  <c r="BT59" i="36"/>
  <c r="BS59" i="36"/>
  <c r="BR59" i="36"/>
  <c r="BP59" i="36"/>
  <c r="EH59" i="36"/>
  <c r="EG59" i="36"/>
  <c r="EF59" i="36"/>
  <c r="EE59" i="36"/>
  <c r="ED59" i="36"/>
  <c r="EB59" i="36"/>
  <c r="FN59" i="36"/>
  <c r="FM59" i="36"/>
  <c r="FL59" i="36"/>
  <c r="FK59" i="36"/>
  <c r="FJ59" i="36"/>
  <c r="FH59" i="36"/>
  <c r="W496" i="38" l="1"/>
  <c r="FJ44" i="36" l="1"/>
  <c r="ED44" i="36"/>
  <c r="CX44" i="36"/>
  <c r="BR44" i="36"/>
  <c r="AL44" i="36"/>
  <c r="F44" i="36"/>
  <c r="N313" i="55" l="1"/>
  <c r="N312" i="55"/>
  <c r="J313" i="55"/>
  <c r="J312" i="55"/>
  <c r="I45" i="55" l="1"/>
  <c r="I42" i="55"/>
  <c r="I40" i="55"/>
  <c r="I38" i="55"/>
  <c r="V784" i="38" l="1"/>
  <c r="DN7" i="32" l="1"/>
  <c r="DN6" i="32"/>
  <c r="DN5" i="32"/>
  <c r="DN4" i="32"/>
  <c r="DN3" i="32"/>
  <c r="DN2" i="32"/>
  <c r="BK7" i="32"/>
  <c r="BK6" i="32"/>
  <c r="BK5" i="32"/>
  <c r="BK4" i="32"/>
  <c r="BK3" i="32"/>
  <c r="BK2" i="32"/>
  <c r="HA7" i="32"/>
  <c r="GZ7" i="32"/>
  <c r="GY7" i="32"/>
  <c r="GX7" i="32"/>
  <c r="GW7" i="32"/>
  <c r="GV7" i="32"/>
  <c r="GU7" i="32"/>
  <c r="GT7" i="32"/>
  <c r="GS7" i="32"/>
  <c r="GR7" i="32"/>
  <c r="GQ7" i="32"/>
  <c r="GP7" i="32"/>
  <c r="GO7" i="32"/>
  <c r="GN7" i="32"/>
  <c r="GM7" i="32"/>
  <c r="GL7" i="32"/>
  <c r="GK7" i="32"/>
  <c r="GJ7" i="32"/>
  <c r="GI7" i="32"/>
  <c r="GH7" i="32"/>
  <c r="GG7" i="32"/>
  <c r="GF7" i="32"/>
  <c r="GE7" i="32"/>
  <c r="GD7" i="32"/>
  <c r="GC7" i="32"/>
  <c r="HA6" i="32"/>
  <c r="GZ6" i="32"/>
  <c r="GY6" i="32"/>
  <c r="GX6" i="32"/>
  <c r="GW6" i="32"/>
  <c r="GV6" i="32"/>
  <c r="GU6" i="32"/>
  <c r="GT6" i="32"/>
  <c r="GS6" i="32"/>
  <c r="GR6" i="32"/>
  <c r="GQ6" i="32"/>
  <c r="GP6" i="32"/>
  <c r="GO6" i="32"/>
  <c r="GN6" i="32"/>
  <c r="GM6" i="32"/>
  <c r="GL6" i="32"/>
  <c r="GK6" i="32"/>
  <c r="GJ6" i="32"/>
  <c r="GI6" i="32"/>
  <c r="GH6" i="32"/>
  <c r="GG6" i="32"/>
  <c r="GF6" i="32"/>
  <c r="GE6" i="32"/>
  <c r="GD6" i="32"/>
  <c r="GC6" i="32"/>
  <c r="HA5" i="32"/>
  <c r="GZ5" i="32"/>
  <c r="GY5" i="32"/>
  <c r="GX5" i="32"/>
  <c r="GW5" i="32"/>
  <c r="GV5" i="32"/>
  <c r="GU5" i="32"/>
  <c r="GT5" i="32"/>
  <c r="GS5" i="32"/>
  <c r="GR5" i="32"/>
  <c r="GQ5" i="32"/>
  <c r="GP5" i="32"/>
  <c r="GO5" i="32"/>
  <c r="GN5" i="32"/>
  <c r="GM5" i="32"/>
  <c r="GL5" i="32"/>
  <c r="GK5" i="32"/>
  <c r="GJ5" i="32"/>
  <c r="GI5" i="32"/>
  <c r="GH5" i="32"/>
  <c r="GG5" i="32"/>
  <c r="GF5" i="32"/>
  <c r="GE5" i="32"/>
  <c r="GD5" i="32"/>
  <c r="GC5" i="32"/>
  <c r="HA4" i="32"/>
  <c r="GZ4" i="32"/>
  <c r="GY4" i="32"/>
  <c r="GX4" i="32"/>
  <c r="GW4" i="32"/>
  <c r="GV4" i="32"/>
  <c r="GU4" i="32"/>
  <c r="GT4" i="32"/>
  <c r="GS4" i="32"/>
  <c r="GR4" i="32"/>
  <c r="GQ4" i="32"/>
  <c r="GP4" i="32"/>
  <c r="GO4" i="32"/>
  <c r="GN4" i="32"/>
  <c r="GM4" i="32"/>
  <c r="GL4" i="32"/>
  <c r="GK4" i="32"/>
  <c r="GJ4" i="32"/>
  <c r="GI4" i="32"/>
  <c r="GH4" i="32"/>
  <c r="GG4" i="32"/>
  <c r="GF4" i="32"/>
  <c r="GE4" i="32"/>
  <c r="GD4" i="32"/>
  <c r="GC4" i="32"/>
  <c r="HA3" i="32"/>
  <c r="GZ3" i="32"/>
  <c r="GY3" i="32"/>
  <c r="GX3" i="32"/>
  <c r="GW3" i="32"/>
  <c r="GV3" i="32"/>
  <c r="GU3" i="32"/>
  <c r="GT3" i="32"/>
  <c r="GS3" i="32"/>
  <c r="GR3" i="32"/>
  <c r="GQ3" i="32"/>
  <c r="GP3" i="32"/>
  <c r="GO3" i="32"/>
  <c r="GN3" i="32"/>
  <c r="GM3" i="32"/>
  <c r="GL3" i="32"/>
  <c r="GK3" i="32"/>
  <c r="GJ3" i="32"/>
  <c r="GI3" i="32"/>
  <c r="GH3" i="32"/>
  <c r="GG3" i="32"/>
  <c r="GF3" i="32"/>
  <c r="GE3" i="32"/>
  <c r="GD3" i="32"/>
  <c r="GC3" i="32"/>
  <c r="HA2" i="32"/>
  <c r="GZ2" i="32"/>
  <c r="GY2" i="32"/>
  <c r="GX2" i="32"/>
  <c r="GW2" i="32"/>
  <c r="GV2" i="32"/>
  <c r="GU2" i="32"/>
  <c r="GT2" i="32"/>
  <c r="GS2" i="32"/>
  <c r="GR2" i="32"/>
  <c r="GQ2" i="32"/>
  <c r="GP2" i="32"/>
  <c r="GO2" i="32"/>
  <c r="GN2" i="32"/>
  <c r="GM2" i="32"/>
  <c r="GL2" i="32"/>
  <c r="GK2" i="32"/>
  <c r="GJ2" i="32"/>
  <c r="GI2" i="32"/>
  <c r="GH2" i="32"/>
  <c r="GG2" i="32"/>
  <c r="GF2" i="32"/>
  <c r="GE2" i="32"/>
  <c r="GD2" i="32"/>
  <c r="GC2" i="32"/>
  <c r="FJ48" i="36" l="1"/>
  <c r="FI48" i="36"/>
  <c r="FH48" i="36"/>
  <c r="ED48" i="36"/>
  <c r="EC48" i="36"/>
  <c r="EB48" i="36"/>
  <c r="CX48" i="36"/>
  <c r="CW48" i="36"/>
  <c r="CV48" i="36"/>
  <c r="BR48" i="36"/>
  <c r="BQ48" i="36"/>
  <c r="BP48" i="36"/>
  <c r="AL48" i="36"/>
  <c r="AK48" i="36"/>
  <c r="AJ48" i="36"/>
  <c r="F48" i="36"/>
  <c r="E48" i="36"/>
  <c r="D48" i="36"/>
  <c r="FN66" i="36"/>
  <c r="FM66" i="36"/>
  <c r="FL66" i="36"/>
  <c r="FK66" i="36"/>
  <c r="FJ66" i="36"/>
  <c r="EH66" i="36"/>
  <c r="EG66" i="36"/>
  <c r="EF66" i="36"/>
  <c r="EE66" i="36"/>
  <c r="ED66" i="36"/>
  <c r="BV66" i="36"/>
  <c r="BU66" i="36"/>
  <c r="BT66" i="36"/>
  <c r="BS66" i="36"/>
  <c r="BR66" i="36"/>
  <c r="AP66" i="36"/>
  <c r="AO66" i="36"/>
  <c r="AN66" i="36"/>
  <c r="AM66" i="36"/>
  <c r="AL66" i="36"/>
  <c r="J66" i="36"/>
  <c r="I66" i="36"/>
  <c r="H66" i="36"/>
  <c r="G66" i="36"/>
  <c r="F66" i="36"/>
  <c r="DB66" i="36"/>
  <c r="DA66" i="36"/>
  <c r="CZ66" i="36"/>
  <c r="CY66" i="36"/>
  <c r="CX66" i="36"/>
  <c r="FP84" i="36" l="1"/>
  <c r="EJ84" i="36"/>
  <c r="DD84" i="36"/>
  <c r="BX84" i="36"/>
  <c r="AR84" i="36"/>
  <c r="FF24" i="36"/>
  <c r="DZ24" i="36"/>
  <c r="CT24" i="36"/>
  <c r="BN24" i="36"/>
  <c r="AH24" i="36"/>
  <c r="B24" i="36"/>
  <c r="B13" i="36"/>
  <c r="W7" i="32" l="1"/>
  <c r="V7" i="32"/>
  <c r="U7" i="32"/>
  <c r="T7" i="32"/>
  <c r="S7" i="32"/>
  <c r="R7" i="32"/>
  <c r="Q7" i="32"/>
  <c r="P7" i="32"/>
  <c r="O7" i="32"/>
  <c r="N7" i="32"/>
  <c r="M7" i="32"/>
  <c r="L7" i="32"/>
  <c r="K7" i="32"/>
  <c r="J7" i="32"/>
  <c r="I7" i="32"/>
  <c r="H7" i="32"/>
  <c r="G7" i="32"/>
  <c r="F7" i="32"/>
  <c r="E7" i="32"/>
  <c r="D7" i="32"/>
  <c r="C7" i="32"/>
  <c r="B7" i="32"/>
  <c r="W6" i="32"/>
  <c r="V6" i="32"/>
  <c r="U6" i="32"/>
  <c r="T6" i="32"/>
  <c r="S6" i="32"/>
  <c r="R6" i="32"/>
  <c r="Q6" i="32"/>
  <c r="P6" i="32"/>
  <c r="O6" i="32"/>
  <c r="N6" i="32"/>
  <c r="M6" i="32"/>
  <c r="L6" i="32"/>
  <c r="K6" i="32"/>
  <c r="J6" i="32"/>
  <c r="I6" i="32"/>
  <c r="H6" i="32"/>
  <c r="G6" i="32"/>
  <c r="F6" i="32"/>
  <c r="E6" i="32"/>
  <c r="D6" i="32"/>
  <c r="C6" i="32"/>
  <c r="B6" i="32"/>
  <c r="W5" i="32"/>
  <c r="V5" i="32"/>
  <c r="U5" i="32"/>
  <c r="T5" i="32"/>
  <c r="S5" i="32"/>
  <c r="R5" i="32"/>
  <c r="Q5" i="32"/>
  <c r="P5" i="32"/>
  <c r="O5" i="32"/>
  <c r="N5" i="32"/>
  <c r="M5" i="32"/>
  <c r="L5" i="32"/>
  <c r="K5" i="32"/>
  <c r="J5" i="32"/>
  <c r="I5" i="32"/>
  <c r="H5" i="32"/>
  <c r="G5" i="32"/>
  <c r="F5" i="32"/>
  <c r="E5" i="32"/>
  <c r="D5" i="32"/>
  <c r="C5" i="32"/>
  <c r="B5" i="32"/>
  <c r="W4" i="32"/>
  <c r="V4" i="32"/>
  <c r="U4" i="32"/>
  <c r="T4" i="32"/>
  <c r="S4" i="32"/>
  <c r="R4" i="32"/>
  <c r="Q4" i="32"/>
  <c r="P4" i="32"/>
  <c r="O4" i="32"/>
  <c r="N4" i="32"/>
  <c r="M4" i="32"/>
  <c r="L4" i="32"/>
  <c r="K4" i="32"/>
  <c r="J4" i="32"/>
  <c r="I4" i="32"/>
  <c r="H4" i="32"/>
  <c r="G4" i="32"/>
  <c r="F4" i="32"/>
  <c r="E4" i="32"/>
  <c r="D4" i="32"/>
  <c r="C4" i="32"/>
  <c r="B4" i="32"/>
  <c r="W3" i="32"/>
  <c r="V3" i="32"/>
  <c r="U3" i="32"/>
  <c r="T3" i="32"/>
  <c r="S3" i="32"/>
  <c r="R3" i="32"/>
  <c r="Q3" i="32"/>
  <c r="P3" i="32"/>
  <c r="O3" i="32"/>
  <c r="N3" i="32"/>
  <c r="M3" i="32"/>
  <c r="L3" i="32"/>
  <c r="K3" i="32"/>
  <c r="J3" i="32"/>
  <c r="I3" i="32"/>
  <c r="H3" i="32"/>
  <c r="G3" i="32"/>
  <c r="F3" i="32"/>
  <c r="E3" i="32"/>
  <c r="D3" i="32"/>
  <c r="C3" i="32"/>
  <c r="B3" i="32"/>
  <c r="W2" i="32"/>
  <c r="V2" i="32"/>
  <c r="U2" i="32"/>
  <c r="T2" i="32"/>
  <c r="S2" i="32"/>
  <c r="R2" i="32"/>
  <c r="Q2" i="32"/>
  <c r="P2" i="32"/>
  <c r="O2" i="32"/>
  <c r="N2" i="32"/>
  <c r="M2" i="32"/>
  <c r="L2" i="32"/>
  <c r="K2" i="32"/>
  <c r="J2" i="32"/>
  <c r="I2" i="32"/>
  <c r="H2" i="32"/>
  <c r="G2" i="32"/>
  <c r="F2" i="32"/>
  <c r="E2" i="32"/>
  <c r="D2" i="32"/>
  <c r="C2" i="32"/>
  <c r="B2" i="32"/>
  <c r="U42" i="55" l="1"/>
  <c r="U45" i="55"/>
  <c r="U40" i="55"/>
  <c r="U38" i="55"/>
  <c r="YB7" i="32" l="1"/>
  <c r="YA7" i="32"/>
  <c r="XZ7" i="32"/>
  <c r="XY7" i="32"/>
  <c r="XX7" i="32"/>
  <c r="XW7" i="32"/>
  <c r="XV7" i="32"/>
  <c r="XU7" i="32"/>
  <c r="XT7" i="32"/>
  <c r="XS7" i="32"/>
  <c r="XR7" i="32"/>
  <c r="XQ7" i="32"/>
  <c r="XP7" i="32"/>
  <c r="XO7" i="32"/>
  <c r="XN7" i="32"/>
  <c r="XM7" i="32"/>
  <c r="XL7" i="32"/>
  <c r="XK7" i="32"/>
  <c r="XJ7" i="32"/>
  <c r="XI7" i="32"/>
  <c r="XH7" i="32"/>
  <c r="XG7" i="32"/>
  <c r="XF7" i="32"/>
  <c r="XE7" i="32"/>
  <c r="XD7" i="32"/>
  <c r="XC7" i="32"/>
  <c r="XB7" i="32"/>
  <c r="XA7" i="32"/>
  <c r="WZ7" i="32"/>
  <c r="WY7" i="32"/>
  <c r="WX7" i="32"/>
  <c r="WW7" i="32"/>
  <c r="WV7" i="32"/>
  <c r="WU7" i="32"/>
  <c r="WT7" i="32"/>
  <c r="WS7" i="32"/>
  <c r="WR7" i="32"/>
  <c r="WQ7" i="32"/>
  <c r="WP7" i="32"/>
  <c r="WO7" i="32"/>
  <c r="WN7" i="32"/>
  <c r="WM7" i="32"/>
  <c r="WL7" i="32"/>
  <c r="WK7" i="32"/>
  <c r="WJ7" i="32"/>
  <c r="WI7" i="32"/>
  <c r="WH7" i="32"/>
  <c r="WG7" i="32"/>
  <c r="WF7" i="32"/>
  <c r="WE7" i="32"/>
  <c r="WD7" i="32"/>
  <c r="WC7" i="32"/>
  <c r="WB7" i="32"/>
  <c r="WA7" i="32"/>
  <c r="VZ7" i="32"/>
  <c r="VY7" i="32"/>
  <c r="VX7" i="32"/>
  <c r="VW7" i="32"/>
  <c r="VV7" i="32"/>
  <c r="VU7" i="32"/>
  <c r="VT7" i="32"/>
  <c r="VS7" i="32"/>
  <c r="VR7" i="32"/>
  <c r="VQ7" i="32"/>
  <c r="VP7" i="32"/>
  <c r="VO7" i="32"/>
  <c r="VN7" i="32"/>
  <c r="VM7" i="32"/>
  <c r="VL7" i="32"/>
  <c r="VK7" i="32"/>
  <c r="VJ7" i="32"/>
  <c r="VI7" i="32"/>
  <c r="VH7" i="32"/>
  <c r="VG7" i="32"/>
  <c r="VF7" i="32"/>
  <c r="VE7" i="32"/>
  <c r="VD7" i="32"/>
  <c r="VC7" i="32"/>
  <c r="VB7" i="32"/>
  <c r="VA7" i="32"/>
  <c r="UZ7" i="32"/>
  <c r="UY7" i="32"/>
  <c r="UX7" i="32"/>
  <c r="UW7" i="32"/>
  <c r="UV7" i="32"/>
  <c r="UU7" i="32"/>
  <c r="UT7" i="32"/>
  <c r="US7" i="32"/>
  <c r="UR7" i="32"/>
  <c r="UQ7" i="32"/>
  <c r="UP7" i="32"/>
  <c r="UO7" i="32"/>
  <c r="UN7" i="32"/>
  <c r="UM7" i="32"/>
  <c r="UL7" i="32"/>
  <c r="UK7" i="32"/>
  <c r="UJ7" i="32"/>
  <c r="UI7" i="32"/>
  <c r="UH7" i="32"/>
  <c r="UG7" i="32"/>
  <c r="UF7" i="32"/>
  <c r="UE7" i="32"/>
  <c r="UD7" i="32"/>
  <c r="UC7" i="32"/>
  <c r="UB7" i="32"/>
  <c r="UA7" i="32"/>
  <c r="TZ7" i="32"/>
  <c r="TY7" i="32"/>
  <c r="TX7" i="32"/>
  <c r="TW7" i="32"/>
  <c r="TV7" i="32"/>
  <c r="TU7" i="32"/>
  <c r="TT7" i="32"/>
  <c r="TS7" i="32"/>
  <c r="TR7" i="32"/>
  <c r="TQ7" i="32"/>
  <c r="TP7" i="32"/>
  <c r="TO7" i="32"/>
  <c r="TN7" i="32"/>
  <c r="TM7" i="32"/>
  <c r="TL7" i="32"/>
  <c r="TK7" i="32"/>
  <c r="TJ7" i="32"/>
  <c r="TI7" i="32"/>
  <c r="TH7" i="32"/>
  <c r="TG7" i="32"/>
  <c r="TF7" i="32"/>
  <c r="TE7" i="32"/>
  <c r="TD7" i="32"/>
  <c r="TC7" i="32"/>
  <c r="TB7" i="32"/>
  <c r="TA7" i="32"/>
  <c r="SZ7" i="32"/>
  <c r="SY7" i="32"/>
  <c r="SX7" i="32"/>
  <c r="SW7" i="32"/>
  <c r="SV7" i="32"/>
  <c r="SU7" i="32"/>
  <c r="ST7" i="32"/>
  <c r="SS7" i="32"/>
  <c r="SR7" i="32"/>
  <c r="SQ7" i="32"/>
  <c r="SP7" i="32"/>
  <c r="SO7" i="32"/>
  <c r="SN7" i="32"/>
  <c r="SM7" i="32"/>
  <c r="SL7" i="32"/>
  <c r="SK7" i="32"/>
  <c r="SJ7" i="32"/>
  <c r="SI7" i="32"/>
  <c r="SH7" i="32"/>
  <c r="SG7" i="32"/>
  <c r="SF7" i="32"/>
  <c r="SE7" i="32"/>
  <c r="SD7" i="32"/>
  <c r="SC7" i="32"/>
  <c r="SB7" i="32"/>
  <c r="SA7" i="32"/>
  <c r="RZ7" i="32"/>
  <c r="RY7" i="32"/>
  <c r="RX7" i="32"/>
  <c r="RW7" i="32"/>
  <c r="RV7" i="32"/>
  <c r="RU7" i="32"/>
  <c r="RT7" i="32"/>
  <c r="RS7" i="32"/>
  <c r="RR7" i="32"/>
  <c r="RQ7" i="32"/>
  <c r="RP7" i="32"/>
  <c r="RO7" i="32"/>
  <c r="RN7" i="32"/>
  <c r="RM7" i="32"/>
  <c r="RL7" i="32"/>
  <c r="RK7" i="32"/>
  <c r="RJ7" i="32"/>
  <c r="RI7" i="32"/>
  <c r="RH7" i="32"/>
  <c r="RG7" i="32"/>
  <c r="RF7" i="32"/>
  <c r="RE7" i="32"/>
  <c r="RD7" i="32"/>
  <c r="RC7" i="32"/>
  <c r="RB7" i="32"/>
  <c r="RA7" i="32"/>
  <c r="QZ7" i="32"/>
  <c r="QY7" i="32"/>
  <c r="QX7" i="32"/>
  <c r="QW7" i="32"/>
  <c r="QV7" i="32"/>
  <c r="QU7" i="32"/>
  <c r="QT7" i="32"/>
  <c r="QS7" i="32"/>
  <c r="QR7" i="32"/>
  <c r="QQ7" i="32"/>
  <c r="QP7" i="32"/>
  <c r="QO7" i="32"/>
  <c r="QN7" i="32"/>
  <c r="QM7" i="32"/>
  <c r="QL7" i="32"/>
  <c r="QK7" i="32"/>
  <c r="QJ7" i="32"/>
  <c r="QI7" i="32"/>
  <c r="QH7" i="32"/>
  <c r="QG7" i="32"/>
  <c r="QF7" i="32"/>
  <c r="QE7" i="32"/>
  <c r="QD7" i="32"/>
  <c r="QC7" i="32"/>
  <c r="QB7" i="32"/>
  <c r="QA7" i="32"/>
  <c r="PZ7" i="32"/>
  <c r="PY7" i="32"/>
  <c r="PX7" i="32"/>
  <c r="PW7" i="32"/>
  <c r="PV7" i="32"/>
  <c r="PU7" i="32"/>
  <c r="PT7" i="32"/>
  <c r="PS7" i="32"/>
  <c r="PR7" i="32"/>
  <c r="PQ7" i="32"/>
  <c r="PP7" i="32"/>
  <c r="PO7" i="32"/>
  <c r="PN7" i="32"/>
  <c r="PM7" i="32"/>
  <c r="PL7" i="32"/>
  <c r="PK7" i="32"/>
  <c r="PJ7" i="32"/>
  <c r="PI7" i="32"/>
  <c r="PH7" i="32"/>
  <c r="PG7" i="32"/>
  <c r="PF7" i="32"/>
  <c r="PE7" i="32"/>
  <c r="PD7" i="32"/>
  <c r="PC7" i="32"/>
  <c r="PB7" i="32"/>
  <c r="PA7" i="32"/>
  <c r="OZ7" i="32"/>
  <c r="OY7" i="32"/>
  <c r="OX7" i="32"/>
  <c r="OW7" i="32"/>
  <c r="OV7" i="32"/>
  <c r="OU7" i="32"/>
  <c r="OT7" i="32"/>
  <c r="OS7" i="32"/>
  <c r="OR7" i="32"/>
  <c r="OQ7" i="32"/>
  <c r="OP7" i="32"/>
  <c r="OO7" i="32"/>
  <c r="ON7" i="32"/>
  <c r="OM7" i="32"/>
  <c r="OL7" i="32"/>
  <c r="OK7" i="32"/>
  <c r="OJ7" i="32"/>
  <c r="OI7" i="32"/>
  <c r="OH7" i="32"/>
  <c r="OG7" i="32"/>
  <c r="OF7" i="32"/>
  <c r="OE7" i="32"/>
  <c r="OD7" i="32"/>
  <c r="OC7" i="32"/>
  <c r="OB7" i="32"/>
  <c r="OA7" i="32"/>
  <c r="NZ7" i="32"/>
  <c r="NY7" i="32"/>
  <c r="NX7" i="32"/>
  <c r="NW7" i="32"/>
  <c r="NV7" i="32"/>
  <c r="NU7" i="32"/>
  <c r="NT7" i="32"/>
  <c r="NS7" i="32"/>
  <c r="NR7" i="32"/>
  <c r="NQ7" i="32"/>
  <c r="NP7" i="32"/>
  <c r="NO7" i="32"/>
  <c r="NN7" i="32"/>
  <c r="NM7" i="32"/>
  <c r="NL7" i="32"/>
  <c r="NK7" i="32"/>
  <c r="NJ7" i="32"/>
  <c r="NI7" i="32"/>
  <c r="NH7" i="32"/>
  <c r="NG7" i="32"/>
  <c r="NF7" i="32"/>
  <c r="NE7" i="32"/>
  <c r="ND7" i="32"/>
  <c r="NC7" i="32"/>
  <c r="NB7" i="32"/>
  <c r="NA7" i="32"/>
  <c r="MZ7" i="32"/>
  <c r="MY7" i="32"/>
  <c r="MX7" i="32"/>
  <c r="MW7" i="32"/>
  <c r="MV7" i="32"/>
  <c r="MU7" i="32"/>
  <c r="MT7" i="32"/>
  <c r="MS7" i="32"/>
  <c r="MR7" i="32"/>
  <c r="MQ7" i="32"/>
  <c r="MP7" i="32"/>
  <c r="MO7" i="32"/>
  <c r="MN7" i="32"/>
  <c r="MM7" i="32"/>
  <c r="ML7" i="32"/>
  <c r="MK7" i="32"/>
  <c r="MJ7" i="32"/>
  <c r="MI7" i="32"/>
  <c r="MH7" i="32"/>
  <c r="MG7" i="32"/>
  <c r="MF7" i="32"/>
  <c r="ME7" i="32"/>
  <c r="MD7" i="32"/>
  <c r="MC7" i="32"/>
  <c r="MB7" i="32"/>
  <c r="MA7" i="32"/>
  <c r="LZ7" i="32"/>
  <c r="LY7" i="32"/>
  <c r="LX7" i="32"/>
  <c r="LW7" i="32"/>
  <c r="LV7" i="32"/>
  <c r="LU7" i="32"/>
  <c r="LT7" i="32"/>
  <c r="LS7" i="32"/>
  <c r="LR7" i="32"/>
  <c r="LQ7" i="32"/>
  <c r="LP7" i="32"/>
  <c r="LO7" i="32"/>
  <c r="LN7" i="32"/>
  <c r="LM7" i="32"/>
  <c r="LL7" i="32"/>
  <c r="LK7" i="32"/>
  <c r="LJ7" i="32"/>
  <c r="LI7" i="32"/>
  <c r="LH7" i="32"/>
  <c r="LG7" i="32"/>
  <c r="LF7" i="32"/>
  <c r="LE7" i="32"/>
  <c r="LD7" i="32"/>
  <c r="LC7" i="32"/>
  <c r="LB7" i="32"/>
  <c r="LA7" i="32"/>
  <c r="KZ7" i="32"/>
  <c r="KY7" i="32"/>
  <c r="KX7" i="32"/>
  <c r="KW7" i="32"/>
  <c r="KV7" i="32"/>
  <c r="KU7" i="32"/>
  <c r="KT7" i="32"/>
  <c r="KS7" i="32"/>
  <c r="KR7" i="32"/>
  <c r="KQ7" i="32"/>
  <c r="KP7" i="32"/>
  <c r="KO7" i="32"/>
  <c r="KN7" i="32"/>
  <c r="KM7" i="32"/>
  <c r="KL7" i="32"/>
  <c r="KK7" i="32"/>
  <c r="KJ7" i="32"/>
  <c r="KI7" i="32"/>
  <c r="KH7" i="32"/>
  <c r="KG7" i="32"/>
  <c r="KF7" i="32"/>
  <c r="KE7" i="32"/>
  <c r="KD7" i="32"/>
  <c r="KC7" i="32"/>
  <c r="KB7" i="32"/>
  <c r="KA7" i="32"/>
  <c r="JZ7" i="32"/>
  <c r="JY7" i="32"/>
  <c r="JX7" i="32"/>
  <c r="JW7" i="32"/>
  <c r="JV7" i="32"/>
  <c r="JU7" i="32"/>
  <c r="JT7" i="32"/>
  <c r="JS7" i="32"/>
  <c r="JR7" i="32"/>
  <c r="JQ7" i="32"/>
  <c r="JP7" i="32"/>
  <c r="JO7" i="32"/>
  <c r="JN7" i="32"/>
  <c r="JM7" i="32"/>
  <c r="JL7" i="32"/>
  <c r="JK7" i="32"/>
  <c r="JJ7" i="32"/>
  <c r="JI7" i="32"/>
  <c r="JH7" i="32"/>
  <c r="JG7" i="32"/>
  <c r="JF7" i="32"/>
  <c r="JE7" i="32"/>
  <c r="JD7" i="32"/>
  <c r="JC7" i="32"/>
  <c r="JB7" i="32"/>
  <c r="JA7" i="32"/>
  <c r="IZ7" i="32"/>
  <c r="IY7" i="32"/>
  <c r="IX7" i="32"/>
  <c r="IW7" i="32"/>
  <c r="IV7" i="32"/>
  <c r="IU7" i="32"/>
  <c r="IT7" i="32"/>
  <c r="IS7" i="32"/>
  <c r="IR7" i="32"/>
  <c r="IQ7" i="32"/>
  <c r="IP7" i="32"/>
  <c r="IO7" i="32"/>
  <c r="IN7" i="32"/>
  <c r="IM7" i="32"/>
  <c r="IL7" i="32"/>
  <c r="IK7" i="32"/>
  <c r="IJ7" i="32"/>
  <c r="II7" i="32"/>
  <c r="IH7" i="32"/>
  <c r="IG7" i="32"/>
  <c r="IF7" i="32"/>
  <c r="IE7" i="32"/>
  <c r="ID7" i="32"/>
  <c r="IC7" i="32"/>
  <c r="IB7" i="32"/>
  <c r="IA7" i="32"/>
  <c r="HZ7" i="32"/>
  <c r="HY7" i="32"/>
  <c r="HX7" i="32"/>
  <c r="HW7" i="32"/>
  <c r="HV7" i="32"/>
  <c r="HU7" i="32"/>
  <c r="HT7" i="32"/>
  <c r="HS7" i="32"/>
  <c r="HR7" i="32"/>
  <c r="HQ7" i="32"/>
  <c r="HP7" i="32"/>
  <c r="HO7" i="32"/>
  <c r="HN7" i="32"/>
  <c r="HM7" i="32"/>
  <c r="HL7" i="32"/>
  <c r="HK7" i="32"/>
  <c r="HJ7" i="32"/>
  <c r="HI7" i="32"/>
  <c r="HH7" i="32"/>
  <c r="HG7" i="32"/>
  <c r="HF7" i="32"/>
  <c r="HE7" i="32"/>
  <c r="HD7" i="32"/>
  <c r="HC7" i="32"/>
  <c r="HB7" i="32"/>
  <c r="GB7" i="32"/>
  <c r="GA7" i="32"/>
  <c r="FZ7" i="32"/>
  <c r="FY7" i="32"/>
  <c r="FX7" i="32"/>
  <c r="FW7" i="32"/>
  <c r="FV7" i="32"/>
  <c r="FU7" i="32"/>
  <c r="FT7" i="32"/>
  <c r="FS7" i="32"/>
  <c r="FR7" i="32"/>
  <c r="FQ7" i="32"/>
  <c r="FP7" i="32"/>
  <c r="FO7" i="32"/>
  <c r="FN7" i="32"/>
  <c r="FM7" i="32"/>
  <c r="FL7" i="32"/>
  <c r="FK7" i="32"/>
  <c r="FJ7" i="32"/>
  <c r="FI7" i="32"/>
  <c r="FH7" i="32"/>
  <c r="FG7" i="32"/>
  <c r="FF7" i="32"/>
  <c r="FE7" i="32"/>
  <c r="FD7" i="32"/>
  <c r="FC7" i="32"/>
  <c r="FB7" i="32"/>
  <c r="FA7" i="32"/>
  <c r="EZ7" i="32"/>
  <c r="EY7" i="32"/>
  <c r="EX7" i="32"/>
  <c r="EW7" i="32"/>
  <c r="EV7" i="32"/>
  <c r="EU7" i="32"/>
  <c r="ET7" i="32"/>
  <c r="ES7" i="32"/>
  <c r="ER7" i="32"/>
  <c r="EQ7" i="32"/>
  <c r="EP7" i="32"/>
  <c r="EO7" i="32"/>
  <c r="EN7" i="32"/>
  <c r="EM7" i="32"/>
  <c r="EL7" i="32"/>
  <c r="EK7" i="32"/>
  <c r="EJ7" i="32"/>
  <c r="EI7" i="32"/>
  <c r="EH7" i="32"/>
  <c r="EG7" i="32"/>
  <c r="EF7" i="32"/>
  <c r="EE7" i="32"/>
  <c r="ED7" i="32"/>
  <c r="EC7" i="32"/>
  <c r="EB7" i="32"/>
  <c r="EA7" i="32"/>
  <c r="DZ7" i="32"/>
  <c r="DY7" i="32"/>
  <c r="DX7" i="32"/>
  <c r="DW7" i="32"/>
  <c r="DV7" i="32"/>
  <c r="DU7" i="32"/>
  <c r="DT7" i="32"/>
  <c r="DS7" i="32"/>
  <c r="DR7" i="32"/>
  <c r="DQ7" i="32"/>
  <c r="DP7" i="32"/>
  <c r="DO7" i="32"/>
  <c r="DM7" i="32"/>
  <c r="DL7" i="32"/>
  <c r="DK7" i="32"/>
  <c r="DJ7" i="32"/>
  <c r="DI7" i="32"/>
  <c r="DH7" i="32"/>
  <c r="DG7" i="32"/>
  <c r="DF7" i="32"/>
  <c r="DE7" i="32"/>
  <c r="DD7" i="32"/>
  <c r="DC7" i="32"/>
  <c r="DB7" i="32"/>
  <c r="DA7" i="32"/>
  <c r="CZ7" i="32"/>
  <c r="CY7" i="32"/>
  <c r="CX7" i="32"/>
  <c r="CW7" i="32"/>
  <c r="CV7" i="32"/>
  <c r="CU7" i="32"/>
  <c r="CT7" i="32"/>
  <c r="CS7" i="32"/>
  <c r="CR7" i="32"/>
  <c r="CQ7" i="32"/>
  <c r="CP7" i="32"/>
  <c r="CO7" i="32"/>
  <c r="CN7" i="32"/>
  <c r="CM7" i="32"/>
  <c r="CL7" i="32"/>
  <c r="CK7" i="32"/>
  <c r="CJ7" i="32"/>
  <c r="CI7" i="32"/>
  <c r="CH7" i="32"/>
  <c r="CG7" i="32"/>
  <c r="CF7" i="32"/>
  <c r="CE7" i="32"/>
  <c r="CD7" i="32"/>
  <c r="CC7" i="32"/>
  <c r="CB7" i="32"/>
  <c r="CA7" i="32"/>
  <c r="BZ7" i="32"/>
  <c r="BY7" i="32"/>
  <c r="BX7" i="32"/>
  <c r="BW7" i="32"/>
  <c r="BV7" i="32"/>
  <c r="BU7" i="32"/>
  <c r="BT7" i="32"/>
  <c r="BS7" i="32"/>
  <c r="BR7" i="32"/>
  <c r="BQ7" i="32"/>
  <c r="BP7" i="32"/>
  <c r="BO7" i="32"/>
  <c r="BN7" i="32"/>
  <c r="BM7" i="32"/>
  <c r="BL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YB6" i="32"/>
  <c r="YA6" i="32"/>
  <c r="XZ6" i="32"/>
  <c r="XY6" i="32"/>
  <c r="XX6" i="32"/>
  <c r="XW6" i="32"/>
  <c r="XV6" i="32"/>
  <c r="XU6" i="32"/>
  <c r="XT6" i="32"/>
  <c r="XS6" i="32"/>
  <c r="XR6" i="32"/>
  <c r="XQ6" i="32"/>
  <c r="XP6" i="32"/>
  <c r="XO6" i="32"/>
  <c r="XN6" i="32"/>
  <c r="XM6" i="32"/>
  <c r="XL6" i="32"/>
  <c r="XK6" i="32"/>
  <c r="XJ6" i="32"/>
  <c r="XI6" i="32"/>
  <c r="XH6" i="32"/>
  <c r="XG6" i="32"/>
  <c r="XF6" i="32"/>
  <c r="XE6" i="32"/>
  <c r="XD6" i="32"/>
  <c r="XC6" i="32"/>
  <c r="XB6" i="32"/>
  <c r="XA6" i="32"/>
  <c r="WZ6" i="32"/>
  <c r="WY6" i="32"/>
  <c r="WX6" i="32"/>
  <c r="WW6" i="32"/>
  <c r="WV6" i="32"/>
  <c r="WU6" i="32"/>
  <c r="WT6" i="32"/>
  <c r="WS6" i="32"/>
  <c r="WR6" i="32"/>
  <c r="WQ6" i="32"/>
  <c r="WP6" i="32"/>
  <c r="WO6" i="32"/>
  <c r="WN6" i="32"/>
  <c r="WM6" i="32"/>
  <c r="WL6" i="32"/>
  <c r="WK6" i="32"/>
  <c r="WJ6" i="32"/>
  <c r="WI6" i="32"/>
  <c r="WH6" i="32"/>
  <c r="WG6" i="32"/>
  <c r="WF6" i="32"/>
  <c r="WE6" i="32"/>
  <c r="WD6" i="32"/>
  <c r="WC6" i="32"/>
  <c r="WB6" i="32"/>
  <c r="WA6" i="32"/>
  <c r="VZ6" i="32"/>
  <c r="VY6" i="32"/>
  <c r="VX6" i="32"/>
  <c r="VW6" i="32"/>
  <c r="VV6" i="32"/>
  <c r="VU6" i="32"/>
  <c r="VT6" i="32"/>
  <c r="VS6" i="32"/>
  <c r="VR6" i="32"/>
  <c r="VQ6" i="32"/>
  <c r="VP6" i="32"/>
  <c r="VO6" i="32"/>
  <c r="VN6" i="32"/>
  <c r="VM6" i="32"/>
  <c r="VL6" i="32"/>
  <c r="VK6" i="32"/>
  <c r="VJ6" i="32"/>
  <c r="VI6" i="32"/>
  <c r="VH6" i="32"/>
  <c r="VG6" i="32"/>
  <c r="VF6" i="32"/>
  <c r="VE6" i="32"/>
  <c r="VD6" i="32"/>
  <c r="VC6" i="32"/>
  <c r="VB6" i="32"/>
  <c r="VA6" i="32"/>
  <c r="UZ6" i="32"/>
  <c r="UY6" i="32"/>
  <c r="UX6" i="32"/>
  <c r="UW6" i="32"/>
  <c r="UV6" i="32"/>
  <c r="UU6" i="32"/>
  <c r="UT6" i="32"/>
  <c r="US6" i="32"/>
  <c r="UR6" i="32"/>
  <c r="UQ6" i="32"/>
  <c r="UP6" i="32"/>
  <c r="UO6" i="32"/>
  <c r="UN6" i="32"/>
  <c r="UM6" i="32"/>
  <c r="UL6" i="32"/>
  <c r="UK6" i="32"/>
  <c r="UJ6" i="32"/>
  <c r="UI6" i="32"/>
  <c r="UH6" i="32"/>
  <c r="UG6" i="32"/>
  <c r="UF6" i="32"/>
  <c r="UE6" i="32"/>
  <c r="UD6" i="32"/>
  <c r="UC6" i="32"/>
  <c r="UB6" i="32"/>
  <c r="UA6" i="32"/>
  <c r="TZ6" i="32"/>
  <c r="TY6" i="32"/>
  <c r="TX6" i="32"/>
  <c r="TW6" i="32"/>
  <c r="TV6" i="32"/>
  <c r="TU6" i="32"/>
  <c r="TT6" i="32"/>
  <c r="TS6" i="32"/>
  <c r="TR6" i="32"/>
  <c r="TQ6" i="32"/>
  <c r="TP6" i="32"/>
  <c r="TO6" i="32"/>
  <c r="TN6" i="32"/>
  <c r="TM6" i="32"/>
  <c r="TL6" i="32"/>
  <c r="TK6" i="32"/>
  <c r="TJ6" i="32"/>
  <c r="TI6" i="32"/>
  <c r="TH6" i="32"/>
  <c r="TG6" i="32"/>
  <c r="TF6" i="32"/>
  <c r="TE6" i="32"/>
  <c r="TD6" i="32"/>
  <c r="TC6" i="32"/>
  <c r="TB6" i="32"/>
  <c r="TA6" i="32"/>
  <c r="SZ6" i="32"/>
  <c r="SY6" i="32"/>
  <c r="SX6" i="32"/>
  <c r="SW6" i="32"/>
  <c r="SV6" i="32"/>
  <c r="SU6" i="32"/>
  <c r="ST6" i="32"/>
  <c r="SS6" i="32"/>
  <c r="SR6" i="32"/>
  <c r="SQ6" i="32"/>
  <c r="SP6" i="32"/>
  <c r="SO6" i="32"/>
  <c r="SN6" i="32"/>
  <c r="SM6" i="32"/>
  <c r="SL6" i="32"/>
  <c r="SK6" i="32"/>
  <c r="SJ6" i="32"/>
  <c r="SI6" i="32"/>
  <c r="SH6" i="32"/>
  <c r="SG6" i="32"/>
  <c r="SF6" i="32"/>
  <c r="SE6" i="32"/>
  <c r="SD6" i="32"/>
  <c r="SC6" i="32"/>
  <c r="SB6" i="32"/>
  <c r="SA6" i="32"/>
  <c r="RZ6" i="32"/>
  <c r="RY6" i="32"/>
  <c r="RX6" i="32"/>
  <c r="RW6" i="32"/>
  <c r="RV6" i="32"/>
  <c r="RU6" i="32"/>
  <c r="RT6" i="32"/>
  <c r="RS6" i="32"/>
  <c r="RR6" i="32"/>
  <c r="RQ6" i="32"/>
  <c r="RP6" i="32"/>
  <c r="RO6" i="32"/>
  <c r="RN6" i="32"/>
  <c r="RM6" i="32"/>
  <c r="RL6" i="32"/>
  <c r="RK6" i="32"/>
  <c r="RJ6" i="32"/>
  <c r="RI6" i="32"/>
  <c r="RH6" i="32"/>
  <c r="RG6" i="32"/>
  <c r="RF6" i="32"/>
  <c r="RE6" i="32"/>
  <c r="RD6" i="32"/>
  <c r="RC6" i="32"/>
  <c r="RB6" i="32"/>
  <c r="RA6" i="32"/>
  <c r="QZ6" i="32"/>
  <c r="QY6" i="32"/>
  <c r="QX6" i="32"/>
  <c r="QW6" i="32"/>
  <c r="QV6" i="32"/>
  <c r="QU6" i="32"/>
  <c r="QT6" i="32"/>
  <c r="QS6" i="32"/>
  <c r="QR6" i="32"/>
  <c r="QQ6" i="32"/>
  <c r="QP6" i="32"/>
  <c r="QO6" i="32"/>
  <c r="QN6" i="32"/>
  <c r="QM6" i="32"/>
  <c r="QL6" i="32"/>
  <c r="QK6" i="32"/>
  <c r="QJ6" i="32"/>
  <c r="QI6" i="32"/>
  <c r="QH6" i="32"/>
  <c r="QG6" i="32"/>
  <c r="QF6" i="32"/>
  <c r="QE6" i="32"/>
  <c r="QD6" i="32"/>
  <c r="QC6" i="32"/>
  <c r="QB6" i="32"/>
  <c r="QA6" i="32"/>
  <c r="PZ6" i="32"/>
  <c r="PY6" i="32"/>
  <c r="PX6" i="32"/>
  <c r="PW6" i="32"/>
  <c r="PV6" i="32"/>
  <c r="PU6" i="32"/>
  <c r="PT6" i="32"/>
  <c r="PS6" i="32"/>
  <c r="PR6" i="32"/>
  <c r="PQ6" i="32"/>
  <c r="PP6" i="32"/>
  <c r="PO6" i="32"/>
  <c r="PN6" i="32"/>
  <c r="PM6" i="32"/>
  <c r="PL6" i="32"/>
  <c r="PK6" i="32"/>
  <c r="PJ6" i="32"/>
  <c r="PI6" i="32"/>
  <c r="PH6" i="32"/>
  <c r="PG6" i="32"/>
  <c r="PF6" i="32"/>
  <c r="PE6" i="32"/>
  <c r="PD6" i="32"/>
  <c r="PC6" i="32"/>
  <c r="PB6" i="32"/>
  <c r="PA6" i="32"/>
  <c r="OZ6" i="32"/>
  <c r="OY6" i="32"/>
  <c r="OX6" i="32"/>
  <c r="OW6" i="32"/>
  <c r="OV6" i="32"/>
  <c r="OU6" i="32"/>
  <c r="OT6" i="32"/>
  <c r="OS6" i="32"/>
  <c r="OR6" i="32"/>
  <c r="OQ6" i="32"/>
  <c r="OP6" i="32"/>
  <c r="OO6" i="32"/>
  <c r="ON6" i="32"/>
  <c r="OM6" i="32"/>
  <c r="OL6" i="32"/>
  <c r="OK6" i="32"/>
  <c r="OJ6" i="32"/>
  <c r="OI6" i="32"/>
  <c r="OH6" i="32"/>
  <c r="OG6" i="32"/>
  <c r="OF6" i="32"/>
  <c r="OE6" i="32"/>
  <c r="OD6" i="32"/>
  <c r="OC6" i="32"/>
  <c r="OB6" i="32"/>
  <c r="OA6" i="32"/>
  <c r="NZ6" i="32"/>
  <c r="NY6" i="32"/>
  <c r="NX6" i="32"/>
  <c r="NW6" i="32"/>
  <c r="NV6" i="32"/>
  <c r="NU6" i="32"/>
  <c r="NT6" i="32"/>
  <c r="NS6" i="32"/>
  <c r="NR6" i="32"/>
  <c r="NQ6" i="32"/>
  <c r="NP6" i="32"/>
  <c r="NO6" i="32"/>
  <c r="NN6" i="32"/>
  <c r="NM6" i="32"/>
  <c r="NL6" i="32"/>
  <c r="NK6" i="32"/>
  <c r="NJ6" i="32"/>
  <c r="NI6" i="32"/>
  <c r="NH6" i="32"/>
  <c r="NG6" i="32"/>
  <c r="NF6" i="32"/>
  <c r="NE6" i="32"/>
  <c r="ND6" i="32"/>
  <c r="NC6" i="32"/>
  <c r="NB6" i="32"/>
  <c r="NA6" i="32"/>
  <c r="MZ6" i="32"/>
  <c r="MY6" i="32"/>
  <c r="MX6" i="32"/>
  <c r="MW6" i="32"/>
  <c r="MV6" i="32"/>
  <c r="MU6" i="32"/>
  <c r="MT6" i="32"/>
  <c r="MS6" i="32"/>
  <c r="MR6" i="32"/>
  <c r="MQ6" i="32"/>
  <c r="MP6" i="32"/>
  <c r="MO6" i="32"/>
  <c r="MN6" i="32"/>
  <c r="MM6" i="32"/>
  <c r="ML6" i="32"/>
  <c r="MK6" i="32"/>
  <c r="MJ6" i="32"/>
  <c r="MI6" i="32"/>
  <c r="MH6" i="32"/>
  <c r="MG6" i="32"/>
  <c r="MF6" i="32"/>
  <c r="ME6" i="32"/>
  <c r="MD6" i="32"/>
  <c r="MC6" i="32"/>
  <c r="MB6" i="32"/>
  <c r="MA6" i="32"/>
  <c r="LZ6" i="32"/>
  <c r="LY6" i="32"/>
  <c r="LX6" i="32"/>
  <c r="LW6" i="32"/>
  <c r="LV6" i="32"/>
  <c r="LU6" i="32"/>
  <c r="LT6" i="32"/>
  <c r="LS6" i="32"/>
  <c r="LR6" i="32"/>
  <c r="LQ6" i="32"/>
  <c r="LP6" i="32"/>
  <c r="LO6" i="32"/>
  <c r="LN6" i="32"/>
  <c r="LM6" i="32"/>
  <c r="LL6" i="32"/>
  <c r="LK6" i="32"/>
  <c r="LJ6" i="32"/>
  <c r="LI6" i="32"/>
  <c r="LH6" i="32"/>
  <c r="LG6" i="32"/>
  <c r="LF6" i="32"/>
  <c r="LE6" i="32"/>
  <c r="LD6" i="32"/>
  <c r="LC6" i="32"/>
  <c r="LB6" i="32"/>
  <c r="LA6" i="32"/>
  <c r="KZ6" i="32"/>
  <c r="KY6" i="32"/>
  <c r="KX6" i="32"/>
  <c r="KW6" i="32"/>
  <c r="KV6" i="32"/>
  <c r="KU6" i="32"/>
  <c r="KT6" i="32"/>
  <c r="KS6" i="32"/>
  <c r="KR6" i="32"/>
  <c r="KQ6" i="32"/>
  <c r="KP6" i="32"/>
  <c r="KO6" i="32"/>
  <c r="KN6" i="32"/>
  <c r="KM6" i="32"/>
  <c r="KL6" i="32"/>
  <c r="KK6" i="32"/>
  <c r="KJ6" i="32"/>
  <c r="KI6" i="32"/>
  <c r="KH6" i="32"/>
  <c r="KG6" i="32"/>
  <c r="KF6" i="32"/>
  <c r="KE6" i="32"/>
  <c r="KD6" i="32"/>
  <c r="KC6" i="32"/>
  <c r="KB6" i="32"/>
  <c r="KA6" i="32"/>
  <c r="JZ6" i="32"/>
  <c r="JY6" i="32"/>
  <c r="JX6" i="32"/>
  <c r="JW6" i="32"/>
  <c r="JV6" i="32"/>
  <c r="JU6" i="32"/>
  <c r="JT6" i="32"/>
  <c r="JS6" i="32"/>
  <c r="JR6" i="32"/>
  <c r="JQ6" i="32"/>
  <c r="JP6" i="32"/>
  <c r="JO6" i="32"/>
  <c r="JN6" i="32"/>
  <c r="JM6" i="32"/>
  <c r="JL6" i="32"/>
  <c r="JK6" i="32"/>
  <c r="JJ6" i="32"/>
  <c r="JI6" i="32"/>
  <c r="JH6" i="32"/>
  <c r="JG6" i="32"/>
  <c r="JF6" i="32"/>
  <c r="JE6" i="32"/>
  <c r="JD6" i="32"/>
  <c r="JC6" i="32"/>
  <c r="JB6" i="32"/>
  <c r="JA6" i="32"/>
  <c r="IZ6" i="32"/>
  <c r="IY6" i="32"/>
  <c r="IX6" i="32"/>
  <c r="IW6" i="32"/>
  <c r="IV6" i="32"/>
  <c r="IU6" i="32"/>
  <c r="IT6" i="32"/>
  <c r="IS6" i="32"/>
  <c r="IR6" i="32"/>
  <c r="IQ6" i="32"/>
  <c r="IP6" i="32"/>
  <c r="IO6" i="32"/>
  <c r="IN6" i="32"/>
  <c r="IM6" i="32"/>
  <c r="IL6" i="32"/>
  <c r="IK6" i="32"/>
  <c r="IJ6" i="32"/>
  <c r="II6" i="32"/>
  <c r="IH6" i="32"/>
  <c r="IG6" i="32"/>
  <c r="IF6" i="32"/>
  <c r="IE6" i="32"/>
  <c r="ID6" i="32"/>
  <c r="IC6" i="32"/>
  <c r="IB6" i="32"/>
  <c r="IA6" i="32"/>
  <c r="HZ6" i="32"/>
  <c r="HY6" i="32"/>
  <c r="HX6" i="32"/>
  <c r="HW6" i="32"/>
  <c r="HV6" i="32"/>
  <c r="HU6" i="32"/>
  <c r="HT6" i="32"/>
  <c r="HS6" i="32"/>
  <c r="HR6" i="32"/>
  <c r="HQ6" i="32"/>
  <c r="HP6" i="32"/>
  <c r="HO6" i="32"/>
  <c r="HN6" i="32"/>
  <c r="HM6" i="32"/>
  <c r="HL6" i="32"/>
  <c r="HK6" i="32"/>
  <c r="HJ6" i="32"/>
  <c r="HI6" i="32"/>
  <c r="HH6" i="32"/>
  <c r="HG6" i="32"/>
  <c r="HF6" i="32"/>
  <c r="HE6" i="32"/>
  <c r="HD6" i="32"/>
  <c r="HC6" i="32"/>
  <c r="HB6" i="32"/>
  <c r="GB6" i="32"/>
  <c r="GA6" i="32"/>
  <c r="FZ6" i="32"/>
  <c r="FY6" i="32"/>
  <c r="FX6" i="32"/>
  <c r="FW6" i="32"/>
  <c r="FV6" i="32"/>
  <c r="FU6" i="32"/>
  <c r="FT6" i="32"/>
  <c r="FS6" i="32"/>
  <c r="FR6" i="32"/>
  <c r="FQ6" i="32"/>
  <c r="FP6" i="32"/>
  <c r="FO6" i="32"/>
  <c r="FN6" i="32"/>
  <c r="FM6" i="32"/>
  <c r="FL6" i="32"/>
  <c r="FK6" i="32"/>
  <c r="FJ6" i="32"/>
  <c r="FI6" i="32"/>
  <c r="FH6" i="32"/>
  <c r="FG6" i="32"/>
  <c r="FF6" i="32"/>
  <c r="FE6" i="32"/>
  <c r="FD6" i="32"/>
  <c r="FC6" i="32"/>
  <c r="FB6" i="32"/>
  <c r="FA6" i="32"/>
  <c r="EZ6" i="32"/>
  <c r="EY6" i="32"/>
  <c r="EX6" i="32"/>
  <c r="EW6" i="32"/>
  <c r="EV6" i="32"/>
  <c r="EU6" i="32"/>
  <c r="ET6" i="32"/>
  <c r="ES6" i="32"/>
  <c r="ER6" i="32"/>
  <c r="EQ6" i="32"/>
  <c r="EP6" i="32"/>
  <c r="EO6" i="32"/>
  <c r="EN6" i="32"/>
  <c r="EM6" i="32"/>
  <c r="EL6" i="32"/>
  <c r="EK6" i="32"/>
  <c r="EJ6" i="32"/>
  <c r="EI6" i="32"/>
  <c r="EH6" i="32"/>
  <c r="EG6" i="32"/>
  <c r="EF6" i="32"/>
  <c r="EE6" i="32"/>
  <c r="ED6" i="32"/>
  <c r="EC6" i="32"/>
  <c r="EB6" i="32"/>
  <c r="EA6" i="32"/>
  <c r="DZ6" i="32"/>
  <c r="DY6" i="32"/>
  <c r="DX6" i="32"/>
  <c r="DW6" i="32"/>
  <c r="DV6" i="32"/>
  <c r="DU6" i="32"/>
  <c r="DT6" i="32"/>
  <c r="DS6" i="32"/>
  <c r="DR6" i="32"/>
  <c r="DQ6" i="32"/>
  <c r="DP6" i="32"/>
  <c r="DO6" i="32"/>
  <c r="DM6" i="32"/>
  <c r="DL6" i="32"/>
  <c r="DK6" i="32"/>
  <c r="DJ6" i="32"/>
  <c r="DI6" i="32"/>
  <c r="DH6" i="32"/>
  <c r="DG6" i="32"/>
  <c r="DF6" i="32"/>
  <c r="DE6" i="32"/>
  <c r="DD6" i="32"/>
  <c r="DC6" i="32"/>
  <c r="DB6" i="32"/>
  <c r="DA6" i="32"/>
  <c r="CZ6" i="32"/>
  <c r="CY6" i="32"/>
  <c r="CX6" i="32"/>
  <c r="CW6" i="32"/>
  <c r="CV6" i="32"/>
  <c r="CU6" i="32"/>
  <c r="CT6" i="32"/>
  <c r="CS6" i="32"/>
  <c r="CR6" i="32"/>
  <c r="CQ6" i="32"/>
  <c r="CP6" i="32"/>
  <c r="CO6" i="32"/>
  <c r="CN6" i="32"/>
  <c r="CM6" i="32"/>
  <c r="CL6" i="32"/>
  <c r="CK6" i="32"/>
  <c r="CJ6" i="32"/>
  <c r="CI6" i="32"/>
  <c r="CH6" i="32"/>
  <c r="CG6" i="32"/>
  <c r="CF6" i="32"/>
  <c r="CE6" i="32"/>
  <c r="CD6" i="32"/>
  <c r="CC6" i="32"/>
  <c r="CB6" i="32"/>
  <c r="CA6" i="32"/>
  <c r="BZ6" i="32"/>
  <c r="BY6" i="32"/>
  <c r="BX6" i="32"/>
  <c r="BW6" i="32"/>
  <c r="BV6" i="32"/>
  <c r="BU6" i="32"/>
  <c r="BT6" i="32"/>
  <c r="BS6" i="32"/>
  <c r="BR6" i="32"/>
  <c r="BQ6" i="32"/>
  <c r="BP6" i="32"/>
  <c r="BO6" i="32"/>
  <c r="BN6" i="32"/>
  <c r="BM6" i="32"/>
  <c r="BL6" i="32"/>
  <c r="BJ6" i="32"/>
  <c r="BI6" i="32"/>
  <c r="BH6" i="32"/>
  <c r="BG6" i="32"/>
  <c r="BF6" i="32"/>
  <c r="BE6" i="32"/>
  <c r="BD6" i="32"/>
  <c r="BC6" i="32"/>
  <c r="BB6" i="32"/>
  <c r="BA6" i="32"/>
  <c r="AZ6" i="32"/>
  <c r="AY6" i="32"/>
  <c r="AX6" i="32"/>
  <c r="AW6" i="32"/>
  <c r="AV6" i="32"/>
  <c r="AU6" i="32"/>
  <c r="AT6" i="32"/>
  <c r="AS6" i="32"/>
  <c r="AR6" i="32"/>
  <c r="AQ6" i="32"/>
  <c r="AP6" i="32"/>
  <c r="AO6" i="32"/>
  <c r="AN6" i="32"/>
  <c r="AM6" i="32"/>
  <c r="AL6" i="32"/>
  <c r="AK6" i="32"/>
  <c r="AJ6" i="32"/>
  <c r="AI6" i="32"/>
  <c r="AH6" i="32"/>
  <c r="AG6" i="32"/>
  <c r="AF6" i="32"/>
  <c r="AE6" i="32"/>
  <c r="AD6" i="32"/>
  <c r="AC6" i="32"/>
  <c r="AB6" i="32"/>
  <c r="AA6" i="32"/>
  <c r="Z6" i="32"/>
  <c r="Y6" i="32"/>
  <c r="X6" i="32"/>
  <c r="YB5" i="32"/>
  <c r="YA5" i="32"/>
  <c r="XZ5" i="32"/>
  <c r="XY5" i="32"/>
  <c r="XX5" i="32"/>
  <c r="XW5" i="32"/>
  <c r="XV5" i="32"/>
  <c r="XU5" i="32"/>
  <c r="XT5" i="32"/>
  <c r="XS5" i="32"/>
  <c r="XR5" i="32"/>
  <c r="XQ5" i="32"/>
  <c r="XP5" i="32"/>
  <c r="XO5" i="32"/>
  <c r="XN5" i="32"/>
  <c r="XM5" i="32"/>
  <c r="XL5" i="32"/>
  <c r="XK5" i="32"/>
  <c r="XJ5" i="32"/>
  <c r="XI5" i="32"/>
  <c r="XH5" i="32"/>
  <c r="XG5" i="32"/>
  <c r="XF5" i="32"/>
  <c r="XE5" i="32"/>
  <c r="XD5" i="32"/>
  <c r="XC5" i="32"/>
  <c r="XB5" i="32"/>
  <c r="XA5" i="32"/>
  <c r="WZ5" i="32"/>
  <c r="WY5" i="32"/>
  <c r="WX5" i="32"/>
  <c r="WW5" i="32"/>
  <c r="WV5" i="32"/>
  <c r="WU5" i="32"/>
  <c r="WT5" i="32"/>
  <c r="WS5" i="32"/>
  <c r="WR5" i="32"/>
  <c r="WQ5" i="32"/>
  <c r="WP5" i="32"/>
  <c r="WO5" i="32"/>
  <c r="WN5" i="32"/>
  <c r="WM5" i="32"/>
  <c r="WL5" i="32"/>
  <c r="WK5" i="32"/>
  <c r="WJ5" i="32"/>
  <c r="WI5" i="32"/>
  <c r="WH5" i="32"/>
  <c r="WG5" i="32"/>
  <c r="WF5" i="32"/>
  <c r="WE5" i="32"/>
  <c r="WD5" i="32"/>
  <c r="WC5" i="32"/>
  <c r="WB5" i="32"/>
  <c r="WA5" i="32"/>
  <c r="VZ5" i="32"/>
  <c r="VY5" i="32"/>
  <c r="VX5" i="32"/>
  <c r="VW5" i="32"/>
  <c r="VV5" i="32"/>
  <c r="VU5" i="32"/>
  <c r="VT5" i="32"/>
  <c r="VS5" i="32"/>
  <c r="VR5" i="32"/>
  <c r="VQ5" i="32"/>
  <c r="VP5" i="32"/>
  <c r="VO5" i="32"/>
  <c r="VN5" i="32"/>
  <c r="VM5" i="32"/>
  <c r="VL5" i="32"/>
  <c r="VK5" i="32"/>
  <c r="VJ5" i="32"/>
  <c r="VI5" i="32"/>
  <c r="VH5" i="32"/>
  <c r="VG5" i="32"/>
  <c r="VF5" i="32"/>
  <c r="VE5" i="32"/>
  <c r="VD5" i="32"/>
  <c r="VC5" i="32"/>
  <c r="VB5" i="32"/>
  <c r="VA5" i="32"/>
  <c r="UZ5" i="32"/>
  <c r="UY5" i="32"/>
  <c r="UX5" i="32"/>
  <c r="UW5" i="32"/>
  <c r="UV5" i="32"/>
  <c r="UU5" i="32"/>
  <c r="UT5" i="32"/>
  <c r="US5" i="32"/>
  <c r="UR5" i="32"/>
  <c r="UQ5" i="32"/>
  <c r="UP5" i="32"/>
  <c r="UO5" i="32"/>
  <c r="UN5" i="32"/>
  <c r="UM5" i="32"/>
  <c r="UL5" i="32"/>
  <c r="UK5" i="32"/>
  <c r="UJ5" i="32"/>
  <c r="UI5" i="32"/>
  <c r="UH5" i="32"/>
  <c r="UG5" i="32"/>
  <c r="UF5" i="32"/>
  <c r="UE5" i="32"/>
  <c r="UD5" i="32"/>
  <c r="UC5" i="32"/>
  <c r="UB5" i="32"/>
  <c r="UA5" i="32"/>
  <c r="TZ5" i="32"/>
  <c r="TY5" i="32"/>
  <c r="TX5" i="32"/>
  <c r="TW5" i="32"/>
  <c r="TV5" i="32"/>
  <c r="TU5" i="32"/>
  <c r="TT5" i="32"/>
  <c r="TS5" i="32"/>
  <c r="TR5" i="32"/>
  <c r="TQ5" i="32"/>
  <c r="TP5" i="32"/>
  <c r="TO5" i="32"/>
  <c r="TN5" i="32"/>
  <c r="TM5" i="32"/>
  <c r="TL5" i="32"/>
  <c r="TK5" i="32"/>
  <c r="TJ5" i="32"/>
  <c r="TI5" i="32"/>
  <c r="TH5" i="32"/>
  <c r="TG5" i="32"/>
  <c r="TF5" i="32"/>
  <c r="TE5" i="32"/>
  <c r="TD5" i="32"/>
  <c r="TC5" i="32"/>
  <c r="TB5" i="32"/>
  <c r="TA5" i="32"/>
  <c r="SZ5" i="32"/>
  <c r="SY5" i="32"/>
  <c r="SX5" i="32"/>
  <c r="SW5" i="32"/>
  <c r="SV5" i="32"/>
  <c r="SU5" i="32"/>
  <c r="ST5" i="32"/>
  <c r="SS5" i="32"/>
  <c r="SR5" i="32"/>
  <c r="SQ5" i="32"/>
  <c r="SP5" i="32"/>
  <c r="SO5" i="32"/>
  <c r="SN5" i="32"/>
  <c r="SM5" i="32"/>
  <c r="SL5" i="32"/>
  <c r="SK5" i="32"/>
  <c r="SJ5" i="32"/>
  <c r="SI5" i="32"/>
  <c r="SH5" i="32"/>
  <c r="SG5" i="32"/>
  <c r="SF5" i="32"/>
  <c r="SE5" i="32"/>
  <c r="SD5" i="32"/>
  <c r="SC5" i="32"/>
  <c r="SB5" i="32"/>
  <c r="SA5" i="32"/>
  <c r="RZ5" i="32"/>
  <c r="RY5" i="32"/>
  <c r="RX5" i="32"/>
  <c r="RW5" i="32"/>
  <c r="RV5" i="32"/>
  <c r="RU5" i="32"/>
  <c r="RT5" i="32"/>
  <c r="RS5" i="32"/>
  <c r="RR5" i="32"/>
  <c r="RQ5" i="32"/>
  <c r="RP5" i="32"/>
  <c r="RO5" i="32"/>
  <c r="RN5" i="32"/>
  <c r="RM5" i="32"/>
  <c r="RL5" i="32"/>
  <c r="RK5" i="32"/>
  <c r="RJ5" i="32"/>
  <c r="RI5" i="32"/>
  <c r="RH5" i="32"/>
  <c r="RG5" i="32"/>
  <c r="RF5" i="32"/>
  <c r="RE5" i="32"/>
  <c r="RD5" i="32"/>
  <c r="RC5" i="32"/>
  <c r="RB5" i="32"/>
  <c r="RA5" i="32"/>
  <c r="QZ5" i="32"/>
  <c r="QY5" i="32"/>
  <c r="QX5" i="32"/>
  <c r="QW5" i="32"/>
  <c r="QV5" i="32"/>
  <c r="QU5" i="32"/>
  <c r="QT5" i="32"/>
  <c r="QS5" i="32"/>
  <c r="QR5" i="32"/>
  <c r="QQ5" i="32"/>
  <c r="QP5" i="32"/>
  <c r="QO5" i="32"/>
  <c r="QN5" i="32"/>
  <c r="QM5" i="32"/>
  <c r="QL5" i="32"/>
  <c r="QK5" i="32"/>
  <c r="QJ5" i="32"/>
  <c r="QI5" i="32"/>
  <c r="QH5" i="32"/>
  <c r="QG5" i="32"/>
  <c r="QF5" i="32"/>
  <c r="QE5" i="32"/>
  <c r="QD5" i="32"/>
  <c r="QC5" i="32"/>
  <c r="QB5" i="32"/>
  <c r="QA5" i="32"/>
  <c r="PZ5" i="32"/>
  <c r="PY5" i="32"/>
  <c r="PX5" i="32"/>
  <c r="PW5" i="32"/>
  <c r="PV5" i="32"/>
  <c r="PU5" i="32"/>
  <c r="PT5" i="32"/>
  <c r="PS5" i="32"/>
  <c r="PR5" i="32"/>
  <c r="PQ5" i="32"/>
  <c r="PP5" i="32"/>
  <c r="PO5" i="32"/>
  <c r="PN5" i="32"/>
  <c r="PM5" i="32"/>
  <c r="PL5" i="32"/>
  <c r="PK5" i="32"/>
  <c r="PJ5" i="32"/>
  <c r="PI5" i="32"/>
  <c r="PH5" i="32"/>
  <c r="PG5" i="32"/>
  <c r="PF5" i="32"/>
  <c r="PE5" i="32"/>
  <c r="PD5" i="32"/>
  <c r="PC5" i="32"/>
  <c r="PB5" i="32"/>
  <c r="PA5" i="32"/>
  <c r="OZ5" i="32"/>
  <c r="OY5" i="32"/>
  <c r="OX5" i="32"/>
  <c r="OW5" i="32"/>
  <c r="OV5" i="32"/>
  <c r="OU5" i="32"/>
  <c r="OT5" i="32"/>
  <c r="OS5" i="32"/>
  <c r="OR5" i="32"/>
  <c r="OQ5" i="32"/>
  <c r="OP5" i="32"/>
  <c r="OO5" i="32"/>
  <c r="ON5" i="32"/>
  <c r="OM5" i="32"/>
  <c r="OL5" i="32"/>
  <c r="OK5" i="32"/>
  <c r="OJ5" i="32"/>
  <c r="OI5" i="32"/>
  <c r="OH5" i="32"/>
  <c r="OG5" i="32"/>
  <c r="OF5" i="32"/>
  <c r="OE5" i="32"/>
  <c r="OD5" i="32"/>
  <c r="OC5" i="32"/>
  <c r="OB5" i="32"/>
  <c r="OA5" i="32"/>
  <c r="NZ5" i="32"/>
  <c r="NY5" i="32"/>
  <c r="NX5" i="32"/>
  <c r="NW5" i="32"/>
  <c r="NV5" i="32"/>
  <c r="NU5" i="32"/>
  <c r="NT5" i="32"/>
  <c r="NS5" i="32"/>
  <c r="NR5" i="32"/>
  <c r="NQ5" i="32"/>
  <c r="NP5" i="32"/>
  <c r="NO5" i="32"/>
  <c r="NN5" i="32"/>
  <c r="NM5" i="32"/>
  <c r="NL5" i="32"/>
  <c r="NK5" i="32"/>
  <c r="NJ5" i="32"/>
  <c r="NI5" i="32"/>
  <c r="NH5" i="32"/>
  <c r="NG5" i="32"/>
  <c r="NF5" i="32"/>
  <c r="NE5" i="32"/>
  <c r="ND5" i="32"/>
  <c r="NC5" i="32"/>
  <c r="NB5" i="32"/>
  <c r="NA5" i="32"/>
  <c r="MZ5" i="32"/>
  <c r="MY5" i="32"/>
  <c r="MX5" i="32"/>
  <c r="MW5" i="32"/>
  <c r="MV5" i="32"/>
  <c r="MU5" i="32"/>
  <c r="MT5" i="32"/>
  <c r="MS5" i="32"/>
  <c r="MR5" i="32"/>
  <c r="MQ5" i="32"/>
  <c r="MP5" i="32"/>
  <c r="MO5" i="32"/>
  <c r="MN5" i="32"/>
  <c r="MM5" i="32"/>
  <c r="ML5" i="32"/>
  <c r="MK5" i="32"/>
  <c r="MJ5" i="32"/>
  <c r="MI5" i="32"/>
  <c r="MH5" i="32"/>
  <c r="MG5" i="32"/>
  <c r="MF5" i="32"/>
  <c r="ME5" i="32"/>
  <c r="MD5" i="32"/>
  <c r="MC5" i="32"/>
  <c r="MB5" i="32"/>
  <c r="MA5" i="32"/>
  <c r="LZ5" i="32"/>
  <c r="LY5" i="32"/>
  <c r="LX5" i="32"/>
  <c r="LW5" i="32"/>
  <c r="LV5" i="32"/>
  <c r="LU5" i="32"/>
  <c r="LT5" i="32"/>
  <c r="LS5" i="32"/>
  <c r="LR5" i="32"/>
  <c r="LQ5" i="32"/>
  <c r="LP5" i="32"/>
  <c r="LO5" i="32"/>
  <c r="LN5" i="32"/>
  <c r="LM5" i="32"/>
  <c r="LL5" i="32"/>
  <c r="LK5" i="32"/>
  <c r="LJ5" i="32"/>
  <c r="LI5" i="32"/>
  <c r="LH5" i="32"/>
  <c r="LG5" i="32"/>
  <c r="LF5" i="32"/>
  <c r="LE5" i="32"/>
  <c r="LD5" i="32"/>
  <c r="LC5" i="32"/>
  <c r="LB5" i="32"/>
  <c r="LA5" i="32"/>
  <c r="KZ5" i="32"/>
  <c r="KY5" i="32"/>
  <c r="KX5" i="32"/>
  <c r="KW5" i="32"/>
  <c r="KV5" i="32"/>
  <c r="KU5" i="32"/>
  <c r="KT5" i="32"/>
  <c r="KS5" i="32"/>
  <c r="KR5" i="32"/>
  <c r="KQ5" i="32"/>
  <c r="KP5" i="32"/>
  <c r="KO5" i="32"/>
  <c r="KN5" i="32"/>
  <c r="KM5" i="32"/>
  <c r="KL5" i="32"/>
  <c r="KK5" i="32"/>
  <c r="KJ5" i="32"/>
  <c r="KI5" i="32"/>
  <c r="KH5" i="32"/>
  <c r="KG5" i="32"/>
  <c r="KF5" i="32"/>
  <c r="KE5" i="32"/>
  <c r="KD5" i="32"/>
  <c r="KC5" i="32"/>
  <c r="KB5" i="32"/>
  <c r="KA5" i="32"/>
  <c r="JZ5" i="32"/>
  <c r="JY5" i="32"/>
  <c r="JX5" i="32"/>
  <c r="JW5" i="32"/>
  <c r="JV5" i="32"/>
  <c r="JU5" i="32"/>
  <c r="JT5" i="32"/>
  <c r="JS5" i="32"/>
  <c r="JR5" i="32"/>
  <c r="JQ5" i="32"/>
  <c r="JP5" i="32"/>
  <c r="JO5" i="32"/>
  <c r="JN5" i="32"/>
  <c r="JM5" i="32"/>
  <c r="JL5" i="32"/>
  <c r="JK5" i="32"/>
  <c r="JJ5" i="32"/>
  <c r="JI5" i="32"/>
  <c r="JH5" i="32"/>
  <c r="JG5" i="32"/>
  <c r="JF5" i="32"/>
  <c r="JE5" i="32"/>
  <c r="JD5" i="32"/>
  <c r="JC5" i="32"/>
  <c r="JB5" i="32"/>
  <c r="JA5" i="32"/>
  <c r="IZ5" i="32"/>
  <c r="IY5" i="32"/>
  <c r="IX5" i="32"/>
  <c r="IW5" i="32"/>
  <c r="IV5" i="32"/>
  <c r="IU5" i="32"/>
  <c r="IT5" i="32"/>
  <c r="IS5" i="32"/>
  <c r="IR5" i="32"/>
  <c r="IQ5" i="32"/>
  <c r="IP5" i="32"/>
  <c r="IO5" i="32"/>
  <c r="IN5" i="32"/>
  <c r="IM5" i="32"/>
  <c r="IL5" i="32"/>
  <c r="IK5" i="32"/>
  <c r="IJ5" i="32"/>
  <c r="II5" i="32"/>
  <c r="IH5" i="32"/>
  <c r="IG5" i="32"/>
  <c r="IF5" i="32"/>
  <c r="IE5" i="32"/>
  <c r="ID5" i="32"/>
  <c r="IC5" i="32"/>
  <c r="IB5" i="32"/>
  <c r="IA5" i="32"/>
  <c r="HZ5" i="32"/>
  <c r="HY5" i="32"/>
  <c r="HX5" i="32"/>
  <c r="HW5" i="32"/>
  <c r="HV5" i="32"/>
  <c r="HU5" i="32"/>
  <c r="HT5" i="32"/>
  <c r="HS5" i="32"/>
  <c r="HR5" i="32"/>
  <c r="HQ5" i="32"/>
  <c r="HP5" i="32"/>
  <c r="HO5" i="32"/>
  <c r="HN5" i="32"/>
  <c r="HM5" i="32"/>
  <c r="HL5" i="32"/>
  <c r="HK5" i="32"/>
  <c r="HJ5" i="32"/>
  <c r="HI5" i="32"/>
  <c r="HH5" i="32"/>
  <c r="HG5" i="32"/>
  <c r="HF5" i="32"/>
  <c r="HE5" i="32"/>
  <c r="HD5" i="32"/>
  <c r="HC5" i="32"/>
  <c r="HB5" i="32"/>
  <c r="GB5" i="32"/>
  <c r="GA5" i="32"/>
  <c r="FZ5" i="32"/>
  <c r="FY5" i="32"/>
  <c r="FX5" i="32"/>
  <c r="FW5" i="32"/>
  <c r="FV5" i="32"/>
  <c r="FU5" i="32"/>
  <c r="FT5" i="32"/>
  <c r="FS5" i="32"/>
  <c r="FR5" i="32"/>
  <c r="FQ5" i="32"/>
  <c r="FP5" i="32"/>
  <c r="FO5" i="32"/>
  <c r="FN5" i="32"/>
  <c r="FM5" i="32"/>
  <c r="FL5" i="32"/>
  <c r="FK5" i="32"/>
  <c r="FJ5" i="32"/>
  <c r="FI5" i="32"/>
  <c r="FH5" i="32"/>
  <c r="FG5" i="32"/>
  <c r="FF5" i="32"/>
  <c r="FE5" i="32"/>
  <c r="FD5" i="32"/>
  <c r="FC5" i="32"/>
  <c r="FB5" i="32"/>
  <c r="FA5" i="32"/>
  <c r="EZ5" i="32"/>
  <c r="EY5" i="32"/>
  <c r="EX5" i="32"/>
  <c r="EW5" i="32"/>
  <c r="EV5" i="32"/>
  <c r="EU5" i="32"/>
  <c r="ET5" i="32"/>
  <c r="ES5" i="32"/>
  <c r="ER5" i="32"/>
  <c r="EQ5" i="32"/>
  <c r="EP5" i="32"/>
  <c r="EO5" i="32"/>
  <c r="EN5" i="32"/>
  <c r="EM5" i="32"/>
  <c r="EL5" i="32"/>
  <c r="EK5" i="32"/>
  <c r="EJ5" i="32"/>
  <c r="EI5" i="32"/>
  <c r="EH5" i="32"/>
  <c r="EG5" i="32"/>
  <c r="EF5" i="32"/>
  <c r="EE5" i="32"/>
  <c r="ED5" i="32"/>
  <c r="EC5" i="32"/>
  <c r="EB5" i="32"/>
  <c r="EA5" i="32"/>
  <c r="DZ5" i="32"/>
  <c r="DY5" i="32"/>
  <c r="DX5" i="32"/>
  <c r="DW5" i="32"/>
  <c r="DV5" i="32"/>
  <c r="DU5" i="32"/>
  <c r="DT5" i="32"/>
  <c r="DS5" i="32"/>
  <c r="DR5" i="32"/>
  <c r="DQ5" i="32"/>
  <c r="DP5" i="32"/>
  <c r="DO5" i="32"/>
  <c r="DM5" i="32"/>
  <c r="DL5" i="32"/>
  <c r="DK5" i="32"/>
  <c r="DJ5" i="32"/>
  <c r="DI5" i="32"/>
  <c r="DH5" i="32"/>
  <c r="DG5" i="32"/>
  <c r="DF5" i="32"/>
  <c r="DE5" i="32"/>
  <c r="DD5" i="32"/>
  <c r="DC5" i="32"/>
  <c r="DB5" i="32"/>
  <c r="DA5" i="32"/>
  <c r="CZ5" i="32"/>
  <c r="CY5" i="32"/>
  <c r="CX5" i="32"/>
  <c r="CW5" i="32"/>
  <c r="CV5" i="32"/>
  <c r="CU5" i="32"/>
  <c r="CT5" i="32"/>
  <c r="CS5" i="32"/>
  <c r="CR5" i="32"/>
  <c r="CQ5" i="32"/>
  <c r="CP5" i="32"/>
  <c r="CO5" i="32"/>
  <c r="CN5" i="32"/>
  <c r="CM5" i="32"/>
  <c r="CL5" i="32"/>
  <c r="CK5" i="32"/>
  <c r="CJ5" i="32"/>
  <c r="CI5" i="32"/>
  <c r="CH5" i="32"/>
  <c r="CG5" i="32"/>
  <c r="CF5" i="32"/>
  <c r="CE5" i="32"/>
  <c r="CD5" i="32"/>
  <c r="CC5" i="32"/>
  <c r="CB5" i="32"/>
  <c r="CA5" i="32"/>
  <c r="BZ5" i="32"/>
  <c r="BY5" i="32"/>
  <c r="BX5" i="32"/>
  <c r="BW5" i="32"/>
  <c r="BV5" i="32"/>
  <c r="BU5" i="32"/>
  <c r="BT5" i="32"/>
  <c r="BS5" i="32"/>
  <c r="BR5" i="32"/>
  <c r="BQ5" i="32"/>
  <c r="BP5" i="32"/>
  <c r="BO5" i="32"/>
  <c r="BN5" i="32"/>
  <c r="BM5" i="32"/>
  <c r="BL5" i="32"/>
  <c r="BJ5" i="32"/>
  <c r="BI5" i="32"/>
  <c r="BH5" i="32"/>
  <c r="BG5" i="32"/>
  <c r="BF5" i="32"/>
  <c r="BE5" i="32"/>
  <c r="BD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YB4" i="32"/>
  <c r="YA4" i="32"/>
  <c r="XZ4" i="32"/>
  <c r="XY4" i="32"/>
  <c r="XX4" i="32"/>
  <c r="XW4" i="32"/>
  <c r="XV4" i="32"/>
  <c r="XU4" i="32"/>
  <c r="XT4" i="32"/>
  <c r="XS4" i="32"/>
  <c r="XR4" i="32"/>
  <c r="XQ4" i="32"/>
  <c r="XP4" i="32"/>
  <c r="XO4" i="32"/>
  <c r="XN4" i="32"/>
  <c r="XM4" i="32"/>
  <c r="XL4" i="32"/>
  <c r="XK4" i="32"/>
  <c r="XJ4" i="32"/>
  <c r="XI4" i="32"/>
  <c r="XH4" i="32"/>
  <c r="XG4" i="32"/>
  <c r="XF4" i="32"/>
  <c r="XE4" i="32"/>
  <c r="XD4" i="32"/>
  <c r="XC4" i="32"/>
  <c r="XB4" i="32"/>
  <c r="XA4" i="32"/>
  <c r="WZ4" i="32"/>
  <c r="WY4" i="32"/>
  <c r="WX4" i="32"/>
  <c r="WW4" i="32"/>
  <c r="WV4" i="32"/>
  <c r="WU4" i="32"/>
  <c r="WT4" i="32"/>
  <c r="WS4" i="32"/>
  <c r="WR4" i="32"/>
  <c r="WQ4" i="32"/>
  <c r="WP4" i="32"/>
  <c r="WO4" i="32"/>
  <c r="WN4" i="32"/>
  <c r="WM4" i="32"/>
  <c r="WL4" i="32"/>
  <c r="WK4" i="32"/>
  <c r="WJ4" i="32"/>
  <c r="WI4" i="32"/>
  <c r="WH4" i="32"/>
  <c r="WG4" i="32"/>
  <c r="WF4" i="32"/>
  <c r="WE4" i="32"/>
  <c r="WD4" i="32"/>
  <c r="WC4" i="32"/>
  <c r="WB4" i="32"/>
  <c r="WA4" i="32"/>
  <c r="VZ4" i="32"/>
  <c r="VY4" i="32"/>
  <c r="VX4" i="32"/>
  <c r="VW4" i="32"/>
  <c r="VV4" i="32"/>
  <c r="VU4" i="32"/>
  <c r="VT4" i="32"/>
  <c r="VS4" i="32"/>
  <c r="VR4" i="32"/>
  <c r="VQ4" i="32"/>
  <c r="VP4" i="32"/>
  <c r="VO4" i="32"/>
  <c r="VN4" i="32"/>
  <c r="VM4" i="32"/>
  <c r="VL4" i="32"/>
  <c r="VK4" i="32"/>
  <c r="VJ4" i="32"/>
  <c r="VI4" i="32"/>
  <c r="VH4" i="32"/>
  <c r="VG4" i="32"/>
  <c r="VF4" i="32"/>
  <c r="VE4" i="32"/>
  <c r="VD4" i="32"/>
  <c r="VC4" i="32"/>
  <c r="VB4" i="32"/>
  <c r="VA4" i="32"/>
  <c r="UZ4" i="32"/>
  <c r="UY4" i="32"/>
  <c r="UX4" i="32"/>
  <c r="UW4" i="32"/>
  <c r="UV4" i="32"/>
  <c r="UU4" i="32"/>
  <c r="UT4" i="32"/>
  <c r="US4" i="32"/>
  <c r="UR4" i="32"/>
  <c r="UQ4" i="32"/>
  <c r="UP4" i="32"/>
  <c r="UO4" i="32"/>
  <c r="UN4" i="32"/>
  <c r="UM4" i="32"/>
  <c r="UL4" i="32"/>
  <c r="UK4" i="32"/>
  <c r="UJ4" i="32"/>
  <c r="UI4" i="32"/>
  <c r="UH4" i="32"/>
  <c r="UG4" i="32"/>
  <c r="UF4" i="32"/>
  <c r="UE4" i="32"/>
  <c r="UD4" i="32"/>
  <c r="UC4" i="32"/>
  <c r="UB4" i="32"/>
  <c r="UA4" i="32"/>
  <c r="TZ4" i="32"/>
  <c r="TY4" i="32"/>
  <c r="TX4" i="32"/>
  <c r="TW4" i="32"/>
  <c r="TV4" i="32"/>
  <c r="TU4" i="32"/>
  <c r="TT4" i="32"/>
  <c r="TS4" i="32"/>
  <c r="TR4" i="32"/>
  <c r="TQ4" i="32"/>
  <c r="TP4" i="32"/>
  <c r="TO4" i="32"/>
  <c r="TN4" i="32"/>
  <c r="TM4" i="32"/>
  <c r="TL4" i="32"/>
  <c r="TK4" i="32"/>
  <c r="TJ4" i="32"/>
  <c r="TI4" i="32"/>
  <c r="TH4" i="32"/>
  <c r="TG4" i="32"/>
  <c r="TF4" i="32"/>
  <c r="TE4" i="32"/>
  <c r="TD4" i="32"/>
  <c r="TC4" i="32"/>
  <c r="TB4" i="32"/>
  <c r="TA4" i="32"/>
  <c r="SZ4" i="32"/>
  <c r="SY4" i="32"/>
  <c r="SX4" i="32"/>
  <c r="SW4" i="32"/>
  <c r="SV4" i="32"/>
  <c r="SU4" i="32"/>
  <c r="ST4" i="32"/>
  <c r="SS4" i="32"/>
  <c r="SR4" i="32"/>
  <c r="SQ4" i="32"/>
  <c r="SP4" i="32"/>
  <c r="SO4" i="32"/>
  <c r="SN4" i="32"/>
  <c r="SM4" i="32"/>
  <c r="SL4" i="32"/>
  <c r="SK4" i="32"/>
  <c r="SJ4" i="32"/>
  <c r="SI4" i="32"/>
  <c r="SH4" i="32"/>
  <c r="SG4" i="32"/>
  <c r="SF4" i="32"/>
  <c r="SE4" i="32"/>
  <c r="SD4" i="32"/>
  <c r="SC4" i="32"/>
  <c r="SB4" i="32"/>
  <c r="SA4" i="32"/>
  <c r="RZ4" i="32"/>
  <c r="RY4" i="32"/>
  <c r="RX4" i="32"/>
  <c r="RW4" i="32"/>
  <c r="RV4" i="32"/>
  <c r="RU4" i="32"/>
  <c r="RT4" i="32"/>
  <c r="RS4" i="32"/>
  <c r="RR4" i="32"/>
  <c r="RQ4" i="32"/>
  <c r="RP4" i="32"/>
  <c r="RO4" i="32"/>
  <c r="RN4" i="32"/>
  <c r="RM4" i="32"/>
  <c r="RL4" i="32"/>
  <c r="RK4" i="32"/>
  <c r="RJ4" i="32"/>
  <c r="RI4" i="32"/>
  <c r="RH4" i="32"/>
  <c r="RG4" i="32"/>
  <c r="RF4" i="32"/>
  <c r="RE4" i="32"/>
  <c r="RD4" i="32"/>
  <c r="RC4" i="32"/>
  <c r="RB4" i="32"/>
  <c r="RA4" i="32"/>
  <c r="QZ4" i="32"/>
  <c r="QY4" i="32"/>
  <c r="QX4" i="32"/>
  <c r="QW4" i="32"/>
  <c r="QV4" i="32"/>
  <c r="QU4" i="32"/>
  <c r="QT4" i="32"/>
  <c r="QS4" i="32"/>
  <c r="QR4" i="32"/>
  <c r="QQ4" i="32"/>
  <c r="QP4" i="32"/>
  <c r="QO4" i="32"/>
  <c r="QN4" i="32"/>
  <c r="QM4" i="32"/>
  <c r="QL4" i="32"/>
  <c r="QK4" i="32"/>
  <c r="QJ4" i="32"/>
  <c r="QI4" i="32"/>
  <c r="QH4" i="32"/>
  <c r="QG4" i="32"/>
  <c r="QF4" i="32"/>
  <c r="QE4" i="32"/>
  <c r="QD4" i="32"/>
  <c r="QC4" i="32"/>
  <c r="QB4" i="32"/>
  <c r="QA4" i="32"/>
  <c r="PZ4" i="32"/>
  <c r="PY4" i="32"/>
  <c r="PX4" i="32"/>
  <c r="PW4" i="32"/>
  <c r="PV4" i="32"/>
  <c r="PU4" i="32"/>
  <c r="PT4" i="32"/>
  <c r="PS4" i="32"/>
  <c r="PR4" i="32"/>
  <c r="PQ4" i="32"/>
  <c r="PP4" i="32"/>
  <c r="PO4" i="32"/>
  <c r="PN4" i="32"/>
  <c r="PM4" i="32"/>
  <c r="PL4" i="32"/>
  <c r="PK4" i="32"/>
  <c r="PJ4" i="32"/>
  <c r="PI4" i="32"/>
  <c r="PH4" i="32"/>
  <c r="PG4" i="32"/>
  <c r="PF4" i="32"/>
  <c r="PE4" i="32"/>
  <c r="PD4" i="32"/>
  <c r="PC4" i="32"/>
  <c r="PB4" i="32"/>
  <c r="PA4" i="32"/>
  <c r="OZ4" i="32"/>
  <c r="OY4" i="32"/>
  <c r="OX4" i="32"/>
  <c r="OW4" i="32"/>
  <c r="OV4" i="32"/>
  <c r="OU4" i="32"/>
  <c r="OT4" i="32"/>
  <c r="OS4" i="32"/>
  <c r="OR4" i="32"/>
  <c r="OQ4" i="32"/>
  <c r="OP4" i="32"/>
  <c r="OO4" i="32"/>
  <c r="ON4" i="32"/>
  <c r="OM4" i="32"/>
  <c r="OL4" i="32"/>
  <c r="OK4" i="32"/>
  <c r="OJ4" i="32"/>
  <c r="OI4" i="32"/>
  <c r="OH4" i="32"/>
  <c r="OG4" i="32"/>
  <c r="OF4" i="32"/>
  <c r="OE4" i="32"/>
  <c r="OD4" i="32"/>
  <c r="OC4" i="32"/>
  <c r="OB4" i="32"/>
  <c r="OA4" i="32"/>
  <c r="NZ4" i="32"/>
  <c r="NY4" i="32"/>
  <c r="NX4" i="32"/>
  <c r="NW4" i="32"/>
  <c r="NV4" i="32"/>
  <c r="NU4" i="32"/>
  <c r="NT4" i="32"/>
  <c r="NS4" i="32"/>
  <c r="NR4" i="32"/>
  <c r="NQ4" i="32"/>
  <c r="NP4" i="32"/>
  <c r="NO4" i="32"/>
  <c r="NN4" i="32"/>
  <c r="NM4" i="32"/>
  <c r="NL4" i="32"/>
  <c r="NK4" i="32"/>
  <c r="NJ4" i="32"/>
  <c r="NI4" i="32"/>
  <c r="NH4" i="32"/>
  <c r="NG4" i="32"/>
  <c r="NF4" i="32"/>
  <c r="NE4" i="32"/>
  <c r="ND4" i="32"/>
  <c r="NC4" i="32"/>
  <c r="NB4" i="32"/>
  <c r="NA4" i="32"/>
  <c r="MZ4" i="32"/>
  <c r="MY4" i="32"/>
  <c r="MX4" i="32"/>
  <c r="MW4" i="32"/>
  <c r="MV4" i="32"/>
  <c r="MU4" i="32"/>
  <c r="MT4" i="32"/>
  <c r="MS4" i="32"/>
  <c r="MR4" i="32"/>
  <c r="MQ4" i="32"/>
  <c r="MP4" i="32"/>
  <c r="MO4" i="32"/>
  <c r="MN4" i="32"/>
  <c r="MM4" i="32"/>
  <c r="ML4" i="32"/>
  <c r="MK4" i="32"/>
  <c r="MJ4" i="32"/>
  <c r="MI4" i="32"/>
  <c r="MH4" i="32"/>
  <c r="MG4" i="32"/>
  <c r="MF4" i="32"/>
  <c r="ME4" i="32"/>
  <c r="MD4" i="32"/>
  <c r="MC4" i="32"/>
  <c r="MB4" i="32"/>
  <c r="MA4" i="32"/>
  <c r="LZ4" i="32"/>
  <c r="LY4" i="32"/>
  <c r="LX4" i="32"/>
  <c r="LW4" i="32"/>
  <c r="LV4" i="32"/>
  <c r="LU4" i="32"/>
  <c r="LT4" i="32"/>
  <c r="LS4" i="32"/>
  <c r="LR4" i="32"/>
  <c r="LQ4" i="32"/>
  <c r="LP4" i="32"/>
  <c r="LO4" i="32"/>
  <c r="LN4" i="32"/>
  <c r="LM4" i="32"/>
  <c r="LL4" i="32"/>
  <c r="LK4" i="32"/>
  <c r="LJ4" i="32"/>
  <c r="LI4" i="32"/>
  <c r="LH4" i="32"/>
  <c r="LG4" i="32"/>
  <c r="LF4" i="32"/>
  <c r="LE4" i="32"/>
  <c r="LD4" i="32"/>
  <c r="LC4" i="32"/>
  <c r="LB4" i="32"/>
  <c r="LA4" i="32"/>
  <c r="KZ4" i="32"/>
  <c r="KY4" i="32"/>
  <c r="KX4" i="32"/>
  <c r="KW4" i="32"/>
  <c r="KV4" i="32"/>
  <c r="KU4" i="32"/>
  <c r="KT4" i="32"/>
  <c r="KS4" i="32"/>
  <c r="KR4" i="32"/>
  <c r="KQ4" i="32"/>
  <c r="KP4" i="32"/>
  <c r="KO4" i="32"/>
  <c r="KN4" i="32"/>
  <c r="KM4" i="32"/>
  <c r="KL4" i="32"/>
  <c r="KK4" i="32"/>
  <c r="KJ4" i="32"/>
  <c r="KI4" i="32"/>
  <c r="KH4" i="32"/>
  <c r="KG4" i="32"/>
  <c r="KF4" i="32"/>
  <c r="KE4" i="32"/>
  <c r="KD4" i="32"/>
  <c r="KC4" i="32"/>
  <c r="KB4" i="32"/>
  <c r="KA4" i="32"/>
  <c r="JZ4" i="32"/>
  <c r="JY4" i="32"/>
  <c r="JX4" i="32"/>
  <c r="JW4" i="32"/>
  <c r="JV4" i="32"/>
  <c r="JU4" i="32"/>
  <c r="JT4" i="32"/>
  <c r="JS4" i="32"/>
  <c r="JR4" i="32"/>
  <c r="JQ4" i="32"/>
  <c r="JP4" i="32"/>
  <c r="JO4" i="32"/>
  <c r="JN4" i="32"/>
  <c r="JM4" i="32"/>
  <c r="JL4" i="32"/>
  <c r="JK4" i="32"/>
  <c r="JJ4" i="32"/>
  <c r="JI4" i="32"/>
  <c r="JH4" i="32"/>
  <c r="JG4" i="32"/>
  <c r="JF4" i="32"/>
  <c r="JE4" i="32"/>
  <c r="JD4" i="32"/>
  <c r="JC4" i="32"/>
  <c r="JB4" i="32"/>
  <c r="JA4" i="32"/>
  <c r="IZ4" i="32"/>
  <c r="IY4" i="32"/>
  <c r="IX4" i="32"/>
  <c r="IW4" i="32"/>
  <c r="IV4" i="32"/>
  <c r="IU4" i="32"/>
  <c r="IT4" i="32"/>
  <c r="IS4" i="32"/>
  <c r="IR4" i="32"/>
  <c r="IQ4" i="32"/>
  <c r="IP4" i="32"/>
  <c r="IO4" i="32"/>
  <c r="IN4" i="32"/>
  <c r="IM4" i="32"/>
  <c r="IL4" i="32"/>
  <c r="IK4" i="32"/>
  <c r="IJ4" i="32"/>
  <c r="II4" i="32"/>
  <c r="IH4" i="32"/>
  <c r="IG4" i="32"/>
  <c r="IF4" i="32"/>
  <c r="IE4" i="32"/>
  <c r="ID4" i="32"/>
  <c r="IC4" i="32"/>
  <c r="IB4" i="32"/>
  <c r="IA4" i="32"/>
  <c r="HZ4" i="32"/>
  <c r="HY4" i="32"/>
  <c r="HX4" i="32"/>
  <c r="HW4" i="32"/>
  <c r="HV4" i="32"/>
  <c r="HU4" i="32"/>
  <c r="HT4" i="32"/>
  <c r="HS4" i="32"/>
  <c r="HR4" i="32"/>
  <c r="HQ4" i="32"/>
  <c r="HP4" i="32"/>
  <c r="HO4" i="32"/>
  <c r="HN4" i="32"/>
  <c r="HM4" i="32"/>
  <c r="HL4" i="32"/>
  <c r="HK4" i="32"/>
  <c r="HJ4" i="32"/>
  <c r="HI4" i="32"/>
  <c r="HH4" i="32"/>
  <c r="HG4" i="32"/>
  <c r="HF4" i="32"/>
  <c r="HE4" i="32"/>
  <c r="HD4" i="32"/>
  <c r="HC4" i="32"/>
  <c r="HB4" i="32"/>
  <c r="GB4" i="32"/>
  <c r="GA4" i="32"/>
  <c r="FZ4" i="32"/>
  <c r="FY4" i="32"/>
  <c r="FX4" i="32"/>
  <c r="FW4" i="32"/>
  <c r="FV4" i="32"/>
  <c r="FU4" i="32"/>
  <c r="FT4" i="32"/>
  <c r="FS4" i="32"/>
  <c r="FR4" i="32"/>
  <c r="FQ4" i="32"/>
  <c r="FP4" i="32"/>
  <c r="FO4" i="32"/>
  <c r="FN4" i="32"/>
  <c r="FM4" i="32"/>
  <c r="FL4" i="32"/>
  <c r="FK4" i="32"/>
  <c r="FJ4" i="32"/>
  <c r="FI4" i="32"/>
  <c r="FH4" i="32"/>
  <c r="FG4" i="32"/>
  <c r="FF4" i="32"/>
  <c r="FE4" i="32"/>
  <c r="FD4" i="32"/>
  <c r="FC4" i="32"/>
  <c r="FB4" i="32"/>
  <c r="FA4" i="32"/>
  <c r="EZ4" i="32"/>
  <c r="EY4" i="32"/>
  <c r="EX4" i="32"/>
  <c r="EW4" i="32"/>
  <c r="EV4" i="32"/>
  <c r="EU4" i="32"/>
  <c r="ET4" i="32"/>
  <c r="ES4" i="32"/>
  <c r="ER4" i="32"/>
  <c r="EQ4" i="32"/>
  <c r="EP4" i="32"/>
  <c r="EO4" i="32"/>
  <c r="EN4" i="32"/>
  <c r="EM4" i="32"/>
  <c r="EL4" i="32"/>
  <c r="EK4" i="32"/>
  <c r="EJ4" i="32"/>
  <c r="EI4" i="32"/>
  <c r="EH4" i="32"/>
  <c r="EG4" i="32"/>
  <c r="EF4" i="32"/>
  <c r="EE4" i="32"/>
  <c r="ED4" i="32"/>
  <c r="EC4" i="32"/>
  <c r="EB4" i="32"/>
  <c r="EA4" i="32"/>
  <c r="DZ4" i="32"/>
  <c r="DY4" i="32"/>
  <c r="DX4" i="32"/>
  <c r="DW4" i="32"/>
  <c r="DV4" i="32"/>
  <c r="DU4" i="32"/>
  <c r="DT4" i="32"/>
  <c r="DS4" i="32"/>
  <c r="DR4" i="32"/>
  <c r="DQ4" i="32"/>
  <c r="DP4" i="32"/>
  <c r="DO4" i="32"/>
  <c r="DM4" i="32"/>
  <c r="DL4" i="32"/>
  <c r="DK4" i="32"/>
  <c r="DJ4" i="32"/>
  <c r="DI4" i="32"/>
  <c r="DH4" i="32"/>
  <c r="DG4" i="32"/>
  <c r="DF4" i="32"/>
  <c r="DE4" i="32"/>
  <c r="DD4" i="32"/>
  <c r="DC4" i="32"/>
  <c r="DB4" i="32"/>
  <c r="DA4" i="32"/>
  <c r="CZ4" i="32"/>
  <c r="CY4" i="32"/>
  <c r="CX4" i="32"/>
  <c r="CW4" i="32"/>
  <c r="CV4" i="32"/>
  <c r="CU4" i="32"/>
  <c r="CT4" i="32"/>
  <c r="CS4" i="32"/>
  <c r="CR4" i="32"/>
  <c r="CQ4" i="32"/>
  <c r="CP4" i="32"/>
  <c r="CO4" i="32"/>
  <c r="CN4" i="32"/>
  <c r="CM4" i="32"/>
  <c r="CL4" i="32"/>
  <c r="CK4" i="32"/>
  <c r="CJ4" i="32"/>
  <c r="CI4" i="32"/>
  <c r="CH4" i="32"/>
  <c r="CG4" i="32"/>
  <c r="CF4" i="32"/>
  <c r="CE4" i="32"/>
  <c r="CD4" i="32"/>
  <c r="CC4" i="32"/>
  <c r="CB4" i="32"/>
  <c r="CA4" i="32"/>
  <c r="BZ4" i="32"/>
  <c r="BY4" i="32"/>
  <c r="BX4" i="32"/>
  <c r="BW4" i="32"/>
  <c r="BV4" i="32"/>
  <c r="BU4" i="32"/>
  <c r="BT4" i="32"/>
  <c r="BS4" i="32"/>
  <c r="BR4" i="32"/>
  <c r="BQ4" i="32"/>
  <c r="BP4" i="32"/>
  <c r="BO4" i="32"/>
  <c r="BN4" i="32"/>
  <c r="BM4" i="32"/>
  <c r="BL4" i="32"/>
  <c r="BJ4" i="32"/>
  <c r="BI4" i="32"/>
  <c r="BH4" i="32"/>
  <c r="BG4" i="32"/>
  <c r="BF4" i="32"/>
  <c r="BE4" i="32"/>
  <c r="BD4" i="32"/>
  <c r="BC4" i="32"/>
  <c r="BB4" i="32"/>
  <c r="BA4" i="32"/>
  <c r="AZ4" i="32"/>
  <c r="AY4" i="32"/>
  <c r="AX4" i="32"/>
  <c r="AW4" i="32"/>
  <c r="AV4" i="32"/>
  <c r="AU4" i="32"/>
  <c r="AT4" i="32"/>
  <c r="AS4" i="32"/>
  <c r="AR4" i="32"/>
  <c r="AQ4" i="32"/>
  <c r="AP4" i="32"/>
  <c r="AO4" i="32"/>
  <c r="AN4" i="32"/>
  <c r="AM4" i="32"/>
  <c r="AL4" i="32"/>
  <c r="AK4" i="32"/>
  <c r="AJ4" i="32"/>
  <c r="AI4" i="32"/>
  <c r="AH4" i="32"/>
  <c r="AG4" i="32"/>
  <c r="AF4" i="32"/>
  <c r="AE4" i="32"/>
  <c r="AD4" i="32"/>
  <c r="AC4" i="32"/>
  <c r="AB4" i="32"/>
  <c r="AA4" i="32"/>
  <c r="Z4" i="32"/>
  <c r="Y4" i="32"/>
  <c r="X4" i="32"/>
  <c r="YB3" i="32"/>
  <c r="YA3" i="32"/>
  <c r="XZ3" i="32"/>
  <c r="XY3" i="32"/>
  <c r="XX3" i="32"/>
  <c r="XW3" i="32"/>
  <c r="XV3" i="32"/>
  <c r="XU3" i="32"/>
  <c r="XT3" i="32"/>
  <c r="XS3" i="32"/>
  <c r="XR3" i="32"/>
  <c r="XQ3" i="32"/>
  <c r="XP3" i="32"/>
  <c r="XO3" i="32"/>
  <c r="XN3" i="32"/>
  <c r="XM3" i="32"/>
  <c r="XL3" i="32"/>
  <c r="XK3" i="32"/>
  <c r="XJ3" i="32"/>
  <c r="XI3" i="32"/>
  <c r="XH3" i="32"/>
  <c r="XG3" i="32"/>
  <c r="XF3" i="32"/>
  <c r="XE3" i="32"/>
  <c r="XD3" i="32"/>
  <c r="XC3" i="32"/>
  <c r="XB3" i="32"/>
  <c r="XA3" i="32"/>
  <c r="WZ3" i="32"/>
  <c r="WY3" i="32"/>
  <c r="WX3" i="32"/>
  <c r="WW3" i="32"/>
  <c r="WV3" i="32"/>
  <c r="WU3" i="32"/>
  <c r="WT3" i="32"/>
  <c r="WS3" i="32"/>
  <c r="WR3" i="32"/>
  <c r="WQ3" i="32"/>
  <c r="WP3" i="32"/>
  <c r="WO3" i="32"/>
  <c r="WN3" i="32"/>
  <c r="WM3" i="32"/>
  <c r="WL3" i="32"/>
  <c r="WK3" i="32"/>
  <c r="WJ3" i="32"/>
  <c r="WI3" i="32"/>
  <c r="WH3" i="32"/>
  <c r="WG3" i="32"/>
  <c r="WF3" i="32"/>
  <c r="WE3" i="32"/>
  <c r="WD3" i="32"/>
  <c r="WC3" i="32"/>
  <c r="WB3" i="32"/>
  <c r="WA3" i="32"/>
  <c r="VZ3" i="32"/>
  <c r="VY3" i="32"/>
  <c r="VX3" i="32"/>
  <c r="VW3" i="32"/>
  <c r="VV3" i="32"/>
  <c r="VU3" i="32"/>
  <c r="VT3" i="32"/>
  <c r="VS3" i="32"/>
  <c r="VR3" i="32"/>
  <c r="VQ3" i="32"/>
  <c r="VP3" i="32"/>
  <c r="VO3" i="32"/>
  <c r="VN3" i="32"/>
  <c r="VM3" i="32"/>
  <c r="VL3" i="32"/>
  <c r="VK3" i="32"/>
  <c r="VJ3" i="32"/>
  <c r="VI3" i="32"/>
  <c r="VH3" i="32"/>
  <c r="VG3" i="32"/>
  <c r="VF3" i="32"/>
  <c r="VE3" i="32"/>
  <c r="VD3" i="32"/>
  <c r="VC3" i="32"/>
  <c r="VB3" i="32"/>
  <c r="VA3" i="32"/>
  <c r="UZ3" i="32"/>
  <c r="UY3" i="32"/>
  <c r="UX3" i="32"/>
  <c r="UW3" i="32"/>
  <c r="UV3" i="32"/>
  <c r="UU3" i="32"/>
  <c r="UT3" i="32"/>
  <c r="US3" i="32"/>
  <c r="UR3" i="32"/>
  <c r="UQ3" i="32"/>
  <c r="UP3" i="32"/>
  <c r="UO3" i="32"/>
  <c r="UN3" i="32"/>
  <c r="UM3" i="32"/>
  <c r="UL3" i="32"/>
  <c r="UK3" i="32"/>
  <c r="UJ3" i="32"/>
  <c r="UI3" i="32"/>
  <c r="UH3" i="32"/>
  <c r="UG3" i="32"/>
  <c r="UF3" i="32"/>
  <c r="UE3" i="32"/>
  <c r="UD3" i="32"/>
  <c r="UC3" i="32"/>
  <c r="UB3" i="32"/>
  <c r="UA3" i="32"/>
  <c r="TZ3" i="32"/>
  <c r="TY3" i="32"/>
  <c r="TX3" i="32"/>
  <c r="TW3" i="32"/>
  <c r="TV3" i="32"/>
  <c r="TU3" i="32"/>
  <c r="TT3" i="32"/>
  <c r="TS3" i="32"/>
  <c r="TR3" i="32"/>
  <c r="TQ3" i="32"/>
  <c r="TP3" i="32"/>
  <c r="TO3" i="32"/>
  <c r="TN3" i="32"/>
  <c r="TM3" i="32"/>
  <c r="TL3" i="32"/>
  <c r="TK3" i="32"/>
  <c r="TJ3" i="32"/>
  <c r="TI3" i="32"/>
  <c r="TH3" i="32"/>
  <c r="TG3" i="32"/>
  <c r="TF3" i="32"/>
  <c r="TE3" i="32"/>
  <c r="TD3" i="32"/>
  <c r="TC3" i="32"/>
  <c r="TB3" i="32"/>
  <c r="TA3" i="32"/>
  <c r="SZ3" i="32"/>
  <c r="SY3" i="32"/>
  <c r="SX3" i="32"/>
  <c r="SW3" i="32"/>
  <c r="SV3" i="32"/>
  <c r="SU3" i="32"/>
  <c r="ST3" i="32"/>
  <c r="SS3" i="32"/>
  <c r="SR3" i="32"/>
  <c r="SQ3" i="32"/>
  <c r="SP3" i="32"/>
  <c r="SO3" i="32"/>
  <c r="SN3" i="32"/>
  <c r="SM3" i="32"/>
  <c r="SL3" i="32"/>
  <c r="SK3" i="32"/>
  <c r="SJ3" i="32"/>
  <c r="SI3" i="32"/>
  <c r="SH3" i="32"/>
  <c r="SG3" i="32"/>
  <c r="SF3" i="32"/>
  <c r="SE3" i="32"/>
  <c r="SD3" i="32"/>
  <c r="SC3" i="32"/>
  <c r="SB3" i="32"/>
  <c r="SA3" i="32"/>
  <c r="RZ3" i="32"/>
  <c r="RY3" i="32"/>
  <c r="RX3" i="32"/>
  <c r="RW3" i="32"/>
  <c r="RV3" i="32"/>
  <c r="RU3" i="32"/>
  <c r="RT3" i="32"/>
  <c r="RS3" i="32"/>
  <c r="RR3" i="32"/>
  <c r="RQ3" i="32"/>
  <c r="RP3" i="32"/>
  <c r="RO3" i="32"/>
  <c r="RN3" i="32"/>
  <c r="RM3" i="32"/>
  <c r="RL3" i="32"/>
  <c r="RK3" i="32"/>
  <c r="RJ3" i="32"/>
  <c r="RI3" i="32"/>
  <c r="RH3" i="32"/>
  <c r="RG3" i="32"/>
  <c r="RF3" i="32"/>
  <c r="RE3" i="32"/>
  <c r="RD3" i="32"/>
  <c r="RC3" i="32"/>
  <c r="RB3" i="32"/>
  <c r="RA3" i="32"/>
  <c r="QZ3" i="32"/>
  <c r="QY3" i="32"/>
  <c r="QX3" i="32"/>
  <c r="QW3" i="32"/>
  <c r="QV3" i="32"/>
  <c r="QU3" i="32"/>
  <c r="QT3" i="32"/>
  <c r="QS3" i="32"/>
  <c r="QR3" i="32"/>
  <c r="QQ3" i="32"/>
  <c r="QP3" i="32"/>
  <c r="QO3" i="32"/>
  <c r="QN3" i="32"/>
  <c r="QM3" i="32"/>
  <c r="QL3" i="32"/>
  <c r="QK3" i="32"/>
  <c r="QJ3" i="32"/>
  <c r="QI3" i="32"/>
  <c r="QH3" i="32"/>
  <c r="QG3" i="32"/>
  <c r="QF3" i="32"/>
  <c r="QE3" i="32"/>
  <c r="QD3" i="32"/>
  <c r="QC3" i="32"/>
  <c r="QB3" i="32"/>
  <c r="QA3" i="32"/>
  <c r="PZ3" i="32"/>
  <c r="PY3" i="32"/>
  <c r="PX3" i="32"/>
  <c r="PW3" i="32"/>
  <c r="PV3" i="32"/>
  <c r="PU3" i="32"/>
  <c r="PT3" i="32"/>
  <c r="PS3" i="32"/>
  <c r="PR3" i="32"/>
  <c r="PQ3" i="32"/>
  <c r="PP3" i="32"/>
  <c r="PO3" i="32"/>
  <c r="PN3" i="32"/>
  <c r="PM3" i="32"/>
  <c r="PL3" i="32"/>
  <c r="PK3" i="32"/>
  <c r="PJ3" i="32"/>
  <c r="PI3" i="32"/>
  <c r="PH3" i="32"/>
  <c r="PG3" i="32"/>
  <c r="PF3" i="32"/>
  <c r="PE3" i="32"/>
  <c r="PD3" i="32"/>
  <c r="PC3" i="32"/>
  <c r="PB3" i="32"/>
  <c r="PA3" i="32"/>
  <c r="OZ3" i="32"/>
  <c r="OY3" i="32"/>
  <c r="OX3" i="32"/>
  <c r="OW3" i="32"/>
  <c r="OV3" i="32"/>
  <c r="OU3" i="32"/>
  <c r="OT3" i="32"/>
  <c r="OS3" i="32"/>
  <c r="OR3" i="32"/>
  <c r="OQ3" i="32"/>
  <c r="OP3" i="32"/>
  <c r="OO3" i="32"/>
  <c r="ON3" i="32"/>
  <c r="OM3" i="32"/>
  <c r="OL3" i="32"/>
  <c r="OK3" i="32"/>
  <c r="OJ3" i="32"/>
  <c r="OI3" i="32"/>
  <c r="OH3" i="32"/>
  <c r="OG3" i="32"/>
  <c r="OF3" i="32"/>
  <c r="OE3" i="32"/>
  <c r="OD3" i="32"/>
  <c r="OC3" i="32"/>
  <c r="OB3" i="32"/>
  <c r="OA3" i="32"/>
  <c r="NZ3" i="32"/>
  <c r="NY3" i="32"/>
  <c r="NX3" i="32"/>
  <c r="NW3" i="32"/>
  <c r="NV3" i="32"/>
  <c r="NU3" i="32"/>
  <c r="NT3" i="32"/>
  <c r="NS3" i="32"/>
  <c r="NR3" i="32"/>
  <c r="NQ3" i="32"/>
  <c r="NP3" i="32"/>
  <c r="NO3" i="32"/>
  <c r="NN3" i="32"/>
  <c r="NM3" i="32"/>
  <c r="NL3" i="32"/>
  <c r="NK3" i="32"/>
  <c r="NJ3" i="32"/>
  <c r="NI3" i="32"/>
  <c r="NH3" i="32"/>
  <c r="NG3" i="32"/>
  <c r="NF3" i="32"/>
  <c r="NE3" i="32"/>
  <c r="ND3" i="32"/>
  <c r="NC3" i="32"/>
  <c r="NB3" i="32"/>
  <c r="NA3" i="32"/>
  <c r="MZ3" i="32"/>
  <c r="MY3" i="32"/>
  <c r="MX3" i="32"/>
  <c r="MW3" i="32"/>
  <c r="MV3" i="32"/>
  <c r="MU3" i="32"/>
  <c r="MT3" i="32"/>
  <c r="MS3" i="32"/>
  <c r="MR3" i="32"/>
  <c r="MQ3" i="32"/>
  <c r="MP3" i="32"/>
  <c r="MO3" i="32"/>
  <c r="MN3" i="32"/>
  <c r="MM3" i="32"/>
  <c r="ML3" i="32"/>
  <c r="MK3" i="32"/>
  <c r="MJ3" i="32"/>
  <c r="MI3" i="32"/>
  <c r="MH3" i="32"/>
  <c r="MG3" i="32"/>
  <c r="MF3" i="32"/>
  <c r="ME3" i="32"/>
  <c r="MD3" i="32"/>
  <c r="MC3" i="32"/>
  <c r="MB3" i="32"/>
  <c r="MA3" i="32"/>
  <c r="LZ3" i="32"/>
  <c r="LY3" i="32"/>
  <c r="LX3" i="32"/>
  <c r="LW3" i="32"/>
  <c r="LV3" i="32"/>
  <c r="LU3" i="32"/>
  <c r="LT3" i="32"/>
  <c r="LS3" i="32"/>
  <c r="LR3" i="32"/>
  <c r="LQ3" i="32"/>
  <c r="LP3" i="32"/>
  <c r="LO3" i="32"/>
  <c r="LN3" i="32"/>
  <c r="LM3" i="32"/>
  <c r="LL3" i="32"/>
  <c r="LK3" i="32"/>
  <c r="LJ3" i="32"/>
  <c r="LI3" i="32"/>
  <c r="LH3" i="32"/>
  <c r="LG3" i="32"/>
  <c r="LF3" i="32"/>
  <c r="LE3" i="32"/>
  <c r="LD3" i="32"/>
  <c r="LC3" i="32"/>
  <c r="LB3" i="32"/>
  <c r="LA3" i="32"/>
  <c r="KZ3" i="32"/>
  <c r="KY3" i="32"/>
  <c r="KX3" i="32"/>
  <c r="KW3" i="32"/>
  <c r="KV3" i="32"/>
  <c r="KU3" i="32"/>
  <c r="KT3" i="32"/>
  <c r="KS3" i="32"/>
  <c r="KR3" i="32"/>
  <c r="KQ3" i="32"/>
  <c r="KP3" i="32"/>
  <c r="KO3" i="32"/>
  <c r="KN3" i="32"/>
  <c r="KM3" i="32"/>
  <c r="KL3" i="32"/>
  <c r="KK3" i="32"/>
  <c r="KJ3" i="32"/>
  <c r="KI3" i="32"/>
  <c r="KH3" i="32"/>
  <c r="KG3" i="32"/>
  <c r="KF3" i="32"/>
  <c r="KE3" i="32"/>
  <c r="KD3" i="32"/>
  <c r="KC3" i="32"/>
  <c r="KB3" i="32"/>
  <c r="KA3" i="32"/>
  <c r="JZ3" i="32"/>
  <c r="JY3" i="32"/>
  <c r="JX3" i="32"/>
  <c r="JW3" i="32"/>
  <c r="JV3" i="32"/>
  <c r="JU3" i="32"/>
  <c r="JT3" i="32"/>
  <c r="JS3" i="32"/>
  <c r="JR3" i="32"/>
  <c r="JQ3" i="32"/>
  <c r="JP3" i="32"/>
  <c r="JO3" i="32"/>
  <c r="JN3" i="32"/>
  <c r="JM3" i="32"/>
  <c r="JL3" i="32"/>
  <c r="JK3" i="32"/>
  <c r="JJ3" i="32"/>
  <c r="JI3" i="32"/>
  <c r="JH3" i="32"/>
  <c r="JG3" i="32"/>
  <c r="JF3" i="32"/>
  <c r="JE3" i="32"/>
  <c r="JD3" i="32"/>
  <c r="JC3" i="32"/>
  <c r="JB3" i="32"/>
  <c r="JA3" i="32"/>
  <c r="IZ3" i="32"/>
  <c r="IY3" i="32"/>
  <c r="IX3" i="32"/>
  <c r="IW3" i="32"/>
  <c r="IV3" i="32"/>
  <c r="IU3" i="32"/>
  <c r="IT3" i="32"/>
  <c r="IS3" i="32"/>
  <c r="IR3" i="32"/>
  <c r="IQ3" i="32"/>
  <c r="IP3" i="32"/>
  <c r="IO3" i="32"/>
  <c r="IN3" i="32"/>
  <c r="IM3" i="32"/>
  <c r="IL3" i="32"/>
  <c r="IK3" i="32"/>
  <c r="IJ3" i="32"/>
  <c r="II3" i="32"/>
  <c r="IH3" i="32"/>
  <c r="IG3" i="32"/>
  <c r="IF3" i="32"/>
  <c r="IE3" i="32"/>
  <c r="ID3" i="32"/>
  <c r="IC3" i="32"/>
  <c r="IB3" i="32"/>
  <c r="IA3" i="32"/>
  <c r="HZ3" i="32"/>
  <c r="HY3" i="32"/>
  <c r="HX3" i="32"/>
  <c r="HW3" i="32"/>
  <c r="HV3" i="32"/>
  <c r="HU3" i="32"/>
  <c r="HT3" i="32"/>
  <c r="HS3" i="32"/>
  <c r="HR3" i="32"/>
  <c r="HQ3" i="32"/>
  <c r="HP3" i="32"/>
  <c r="HO3" i="32"/>
  <c r="HN3" i="32"/>
  <c r="HM3" i="32"/>
  <c r="HL3" i="32"/>
  <c r="HK3" i="32"/>
  <c r="HJ3" i="32"/>
  <c r="HI3" i="32"/>
  <c r="HH3" i="32"/>
  <c r="HG3" i="32"/>
  <c r="HF3" i="32"/>
  <c r="HE3" i="32"/>
  <c r="HD3" i="32"/>
  <c r="HC3" i="32"/>
  <c r="HB3" i="32"/>
  <c r="GB3" i="32"/>
  <c r="GA3" i="32"/>
  <c r="FZ3" i="32"/>
  <c r="FY3" i="32"/>
  <c r="FX3" i="32"/>
  <c r="FW3" i="32"/>
  <c r="FV3" i="32"/>
  <c r="FU3" i="32"/>
  <c r="FT3" i="32"/>
  <c r="FS3" i="32"/>
  <c r="FR3" i="32"/>
  <c r="FQ3" i="32"/>
  <c r="FP3" i="32"/>
  <c r="FO3" i="32"/>
  <c r="FN3" i="32"/>
  <c r="FM3" i="32"/>
  <c r="FL3" i="32"/>
  <c r="FK3" i="32"/>
  <c r="FJ3" i="32"/>
  <c r="FI3" i="32"/>
  <c r="FH3" i="32"/>
  <c r="FG3" i="32"/>
  <c r="FF3" i="32"/>
  <c r="FE3" i="32"/>
  <c r="FD3" i="32"/>
  <c r="FC3" i="32"/>
  <c r="FB3" i="32"/>
  <c r="FA3" i="32"/>
  <c r="EZ3" i="32"/>
  <c r="EY3" i="32"/>
  <c r="EX3" i="32"/>
  <c r="EW3" i="32"/>
  <c r="EV3" i="32"/>
  <c r="EU3" i="32"/>
  <c r="ET3" i="32"/>
  <c r="ES3" i="32"/>
  <c r="ER3" i="32"/>
  <c r="EQ3" i="32"/>
  <c r="EP3" i="32"/>
  <c r="EO3" i="32"/>
  <c r="EN3" i="32"/>
  <c r="EM3" i="32"/>
  <c r="EL3" i="32"/>
  <c r="EK3" i="32"/>
  <c r="EJ3" i="32"/>
  <c r="EI3" i="32"/>
  <c r="EH3" i="32"/>
  <c r="EG3" i="32"/>
  <c r="EF3" i="32"/>
  <c r="EE3" i="32"/>
  <c r="ED3" i="32"/>
  <c r="EC3" i="32"/>
  <c r="EB3" i="32"/>
  <c r="EA3" i="32"/>
  <c r="DZ3" i="32"/>
  <c r="DY3" i="32"/>
  <c r="DX3" i="32"/>
  <c r="DW3" i="32"/>
  <c r="DV3" i="32"/>
  <c r="DU3" i="32"/>
  <c r="DT3" i="32"/>
  <c r="DS3" i="32"/>
  <c r="DR3" i="32"/>
  <c r="DQ3" i="32"/>
  <c r="DP3" i="32"/>
  <c r="DO3" i="32"/>
  <c r="DM3" i="32"/>
  <c r="DL3" i="32"/>
  <c r="DK3" i="32"/>
  <c r="DJ3" i="32"/>
  <c r="DI3" i="32"/>
  <c r="DH3" i="32"/>
  <c r="DG3" i="32"/>
  <c r="DF3" i="32"/>
  <c r="DE3" i="32"/>
  <c r="DD3" i="32"/>
  <c r="DC3" i="32"/>
  <c r="DB3" i="32"/>
  <c r="DA3" i="32"/>
  <c r="CZ3" i="32"/>
  <c r="CY3" i="32"/>
  <c r="CX3" i="32"/>
  <c r="CW3" i="32"/>
  <c r="CV3" i="32"/>
  <c r="CU3" i="32"/>
  <c r="CT3" i="32"/>
  <c r="CS3" i="32"/>
  <c r="CR3" i="32"/>
  <c r="CQ3" i="32"/>
  <c r="CP3" i="32"/>
  <c r="CO3" i="32"/>
  <c r="CN3" i="32"/>
  <c r="CM3" i="32"/>
  <c r="CL3" i="32"/>
  <c r="CK3" i="32"/>
  <c r="CJ3" i="32"/>
  <c r="CI3" i="32"/>
  <c r="CH3" i="32"/>
  <c r="CG3" i="32"/>
  <c r="CF3" i="32"/>
  <c r="CE3" i="32"/>
  <c r="CD3" i="32"/>
  <c r="CC3" i="32"/>
  <c r="CB3" i="32"/>
  <c r="CA3" i="32"/>
  <c r="BZ3" i="32"/>
  <c r="BY3" i="32"/>
  <c r="BX3" i="32"/>
  <c r="BW3" i="32"/>
  <c r="BV3" i="32"/>
  <c r="BU3" i="32"/>
  <c r="BT3" i="32"/>
  <c r="BS3" i="32"/>
  <c r="BR3" i="32"/>
  <c r="BQ3" i="32"/>
  <c r="BP3" i="32"/>
  <c r="BO3" i="32"/>
  <c r="BN3" i="32"/>
  <c r="BM3" i="32"/>
  <c r="BL3" i="32"/>
  <c r="BJ3" i="32"/>
  <c r="BI3" i="32"/>
  <c r="BH3" i="32"/>
  <c r="BG3" i="32"/>
  <c r="BF3" i="32"/>
  <c r="BE3" i="32"/>
  <c r="BD3" i="32"/>
  <c r="BC3" i="32"/>
  <c r="BB3" i="32"/>
  <c r="BA3" i="32"/>
  <c r="AZ3" i="32"/>
  <c r="AY3" i="32"/>
  <c r="AX3" i="32"/>
  <c r="AW3" i="32"/>
  <c r="AV3" i="32"/>
  <c r="AU3" i="32"/>
  <c r="AT3" i="32"/>
  <c r="AS3" i="32"/>
  <c r="AR3" i="32"/>
  <c r="AQ3" i="32"/>
  <c r="AP3" i="32"/>
  <c r="AO3" i="32"/>
  <c r="AN3" i="32"/>
  <c r="AM3" i="32"/>
  <c r="AL3" i="32"/>
  <c r="AK3" i="32"/>
  <c r="AJ3" i="32"/>
  <c r="AI3" i="32"/>
  <c r="AH3" i="32"/>
  <c r="AG3" i="32"/>
  <c r="AF3" i="32"/>
  <c r="AE3" i="32"/>
  <c r="AD3" i="32"/>
  <c r="AC3" i="32"/>
  <c r="AB3" i="32"/>
  <c r="AA3" i="32"/>
  <c r="Z3" i="32"/>
  <c r="Y3" i="32"/>
  <c r="X3" i="32"/>
  <c r="YB2" i="32"/>
  <c r="YA2" i="32"/>
  <c r="XZ2" i="32"/>
  <c r="XY2" i="32"/>
  <c r="XX2" i="32"/>
  <c r="XW2" i="32"/>
  <c r="XV2" i="32"/>
  <c r="XU2" i="32"/>
  <c r="XT2" i="32"/>
  <c r="XS2" i="32"/>
  <c r="XR2" i="32"/>
  <c r="XQ2" i="32"/>
  <c r="XP2" i="32"/>
  <c r="XO2" i="32"/>
  <c r="XN2" i="32"/>
  <c r="XM2" i="32"/>
  <c r="XL2" i="32"/>
  <c r="XK2" i="32"/>
  <c r="XJ2" i="32"/>
  <c r="XI2" i="32"/>
  <c r="XH2" i="32"/>
  <c r="XG2" i="32"/>
  <c r="XF2" i="32"/>
  <c r="XE2" i="32"/>
  <c r="XD2" i="32"/>
  <c r="XC2" i="32"/>
  <c r="XB2" i="32"/>
  <c r="XA2" i="32"/>
  <c r="WZ2" i="32"/>
  <c r="WY2" i="32"/>
  <c r="WX2" i="32"/>
  <c r="WW2" i="32"/>
  <c r="WV2" i="32"/>
  <c r="WU2" i="32"/>
  <c r="WT2" i="32"/>
  <c r="WS2" i="32"/>
  <c r="WR2" i="32"/>
  <c r="WQ2" i="32"/>
  <c r="WP2" i="32"/>
  <c r="WO2" i="32"/>
  <c r="WN2" i="32"/>
  <c r="WM2" i="32"/>
  <c r="WL2" i="32"/>
  <c r="WK2" i="32"/>
  <c r="WJ2" i="32"/>
  <c r="WI2" i="32"/>
  <c r="WH2" i="32"/>
  <c r="WG2" i="32"/>
  <c r="WF2" i="32"/>
  <c r="WE2" i="32"/>
  <c r="WD2" i="32"/>
  <c r="WC2" i="32"/>
  <c r="WB2" i="32"/>
  <c r="WA2" i="32"/>
  <c r="VZ2" i="32"/>
  <c r="VY2" i="32"/>
  <c r="VX2" i="32"/>
  <c r="VW2" i="32"/>
  <c r="VV2" i="32"/>
  <c r="VU2" i="32"/>
  <c r="VT2" i="32"/>
  <c r="VS2" i="32"/>
  <c r="VR2" i="32"/>
  <c r="VQ2" i="32"/>
  <c r="VP2" i="32"/>
  <c r="VO2" i="32"/>
  <c r="VN2" i="32"/>
  <c r="VM2" i="32"/>
  <c r="VL2" i="32"/>
  <c r="VK2" i="32"/>
  <c r="VJ2" i="32"/>
  <c r="VI2" i="32"/>
  <c r="VH2" i="32"/>
  <c r="VG2" i="32"/>
  <c r="VF2" i="32"/>
  <c r="VE2" i="32"/>
  <c r="VD2" i="32"/>
  <c r="VC2" i="32"/>
  <c r="VB2" i="32"/>
  <c r="VA2" i="32"/>
  <c r="UZ2" i="32"/>
  <c r="UY2" i="32"/>
  <c r="UX2" i="32"/>
  <c r="UW2" i="32"/>
  <c r="UV2" i="32"/>
  <c r="UU2" i="32"/>
  <c r="UT2" i="32"/>
  <c r="US2" i="32"/>
  <c r="UR2" i="32"/>
  <c r="UQ2" i="32"/>
  <c r="UP2" i="32"/>
  <c r="UO2" i="32"/>
  <c r="UN2" i="32"/>
  <c r="UM2" i="32"/>
  <c r="UL2" i="32"/>
  <c r="UK2" i="32"/>
  <c r="UJ2" i="32"/>
  <c r="UI2" i="32"/>
  <c r="UH2" i="32"/>
  <c r="UG2" i="32"/>
  <c r="UF2" i="32"/>
  <c r="UE2" i="32"/>
  <c r="UD2" i="32"/>
  <c r="UC2" i="32"/>
  <c r="UB2" i="32"/>
  <c r="UA2" i="32"/>
  <c r="TZ2" i="32"/>
  <c r="TY2" i="32"/>
  <c r="TX2" i="32"/>
  <c r="TW2" i="32"/>
  <c r="TV2" i="32"/>
  <c r="TU2" i="32"/>
  <c r="TT2" i="32"/>
  <c r="TS2" i="32"/>
  <c r="TR2" i="32"/>
  <c r="TQ2" i="32"/>
  <c r="TP2" i="32"/>
  <c r="TO2" i="32"/>
  <c r="TN2" i="32"/>
  <c r="TM2" i="32"/>
  <c r="TL2" i="32"/>
  <c r="TK2" i="32"/>
  <c r="TJ2" i="32"/>
  <c r="TI2" i="32"/>
  <c r="TH2" i="32"/>
  <c r="TG2" i="32"/>
  <c r="TF2" i="32"/>
  <c r="TE2" i="32"/>
  <c r="TD2" i="32"/>
  <c r="TC2" i="32"/>
  <c r="TB2" i="32"/>
  <c r="TA2" i="32"/>
  <c r="SZ2" i="32"/>
  <c r="SY2" i="32"/>
  <c r="SX2" i="32"/>
  <c r="SW2" i="32"/>
  <c r="SV2" i="32"/>
  <c r="SU2" i="32"/>
  <c r="ST2" i="32"/>
  <c r="SS2" i="32"/>
  <c r="SR2" i="32"/>
  <c r="SQ2" i="32"/>
  <c r="SP2" i="32"/>
  <c r="SO2" i="32"/>
  <c r="SN2" i="32"/>
  <c r="SM2" i="32"/>
  <c r="SL2" i="32"/>
  <c r="SK2" i="32"/>
  <c r="SJ2" i="32"/>
  <c r="SI2" i="32"/>
  <c r="SH2" i="32"/>
  <c r="SG2" i="32"/>
  <c r="SF2" i="32"/>
  <c r="SE2" i="32"/>
  <c r="SD2" i="32"/>
  <c r="SC2" i="32"/>
  <c r="SB2" i="32"/>
  <c r="SA2" i="32"/>
  <c r="RZ2" i="32"/>
  <c r="RY2" i="32"/>
  <c r="RX2" i="32"/>
  <c r="RW2" i="32"/>
  <c r="RV2" i="32"/>
  <c r="RU2" i="32"/>
  <c r="RT2" i="32"/>
  <c r="RS2" i="32"/>
  <c r="RR2" i="32"/>
  <c r="RQ2" i="32"/>
  <c r="RP2" i="32"/>
  <c r="RO2" i="32"/>
  <c r="RN2" i="32"/>
  <c r="RM2" i="32"/>
  <c r="RL2" i="32"/>
  <c r="RK2" i="32"/>
  <c r="RJ2" i="32"/>
  <c r="RI2" i="32"/>
  <c r="RH2" i="32"/>
  <c r="RG2" i="32"/>
  <c r="RF2" i="32"/>
  <c r="RE2" i="32"/>
  <c r="RD2" i="32"/>
  <c r="RC2" i="32"/>
  <c r="RB2" i="32"/>
  <c r="RA2" i="32"/>
  <c r="QZ2" i="32"/>
  <c r="QY2" i="32"/>
  <c r="QX2" i="32"/>
  <c r="QW2" i="32"/>
  <c r="QV2" i="32"/>
  <c r="QU2" i="32"/>
  <c r="QT2" i="32"/>
  <c r="QS2" i="32"/>
  <c r="QR2" i="32"/>
  <c r="QQ2" i="32"/>
  <c r="QP2" i="32"/>
  <c r="QO2" i="32"/>
  <c r="QN2" i="32"/>
  <c r="QM2" i="32"/>
  <c r="QL2" i="32"/>
  <c r="QK2" i="32"/>
  <c r="QJ2" i="32"/>
  <c r="QI2" i="32"/>
  <c r="QH2" i="32"/>
  <c r="QG2" i="32"/>
  <c r="QF2" i="32"/>
  <c r="QE2" i="32"/>
  <c r="QD2" i="32"/>
  <c r="QC2" i="32"/>
  <c r="QB2" i="32"/>
  <c r="QA2" i="32"/>
  <c r="PZ2" i="32"/>
  <c r="PY2" i="32"/>
  <c r="PX2" i="32"/>
  <c r="PW2" i="32"/>
  <c r="PV2" i="32"/>
  <c r="PU2" i="32"/>
  <c r="PT2" i="32"/>
  <c r="PS2" i="32"/>
  <c r="PR2" i="32"/>
  <c r="PQ2" i="32"/>
  <c r="PP2" i="32"/>
  <c r="PO2" i="32"/>
  <c r="PN2" i="32"/>
  <c r="PM2" i="32"/>
  <c r="PL2" i="32"/>
  <c r="PK2" i="32"/>
  <c r="PJ2" i="32"/>
  <c r="PI2" i="32"/>
  <c r="PH2" i="32"/>
  <c r="PG2" i="32"/>
  <c r="PF2" i="32"/>
  <c r="PE2" i="32"/>
  <c r="PD2" i="32"/>
  <c r="PC2" i="32"/>
  <c r="PB2" i="32"/>
  <c r="PA2" i="32"/>
  <c r="OZ2" i="32"/>
  <c r="OY2" i="32"/>
  <c r="OX2" i="32"/>
  <c r="OW2" i="32"/>
  <c r="OV2" i="32"/>
  <c r="OU2" i="32"/>
  <c r="OT2" i="32"/>
  <c r="OS2" i="32"/>
  <c r="OR2" i="32"/>
  <c r="OQ2" i="32"/>
  <c r="OP2" i="32"/>
  <c r="OO2" i="32"/>
  <c r="ON2" i="32"/>
  <c r="OM2" i="32"/>
  <c r="OL2" i="32"/>
  <c r="OK2" i="32"/>
  <c r="OJ2" i="32"/>
  <c r="OI2" i="32"/>
  <c r="OH2" i="32"/>
  <c r="OG2" i="32"/>
  <c r="OF2" i="32"/>
  <c r="OE2" i="32"/>
  <c r="OD2" i="32"/>
  <c r="OC2" i="32"/>
  <c r="OB2" i="32"/>
  <c r="OA2" i="32"/>
  <c r="NZ2" i="32"/>
  <c r="NY2" i="32"/>
  <c r="NX2" i="32"/>
  <c r="NW2" i="32"/>
  <c r="NV2" i="32"/>
  <c r="NU2" i="32"/>
  <c r="NT2" i="32"/>
  <c r="NS2" i="32"/>
  <c r="NR2" i="32"/>
  <c r="NQ2" i="32"/>
  <c r="NP2" i="32"/>
  <c r="NO2" i="32"/>
  <c r="NN2" i="32"/>
  <c r="NM2" i="32"/>
  <c r="NL2" i="32"/>
  <c r="NK2" i="32"/>
  <c r="NJ2" i="32"/>
  <c r="NI2" i="32"/>
  <c r="NH2" i="32"/>
  <c r="NG2" i="32"/>
  <c r="NF2" i="32"/>
  <c r="NE2" i="32"/>
  <c r="ND2" i="32"/>
  <c r="NC2" i="32"/>
  <c r="NB2" i="32"/>
  <c r="NA2" i="32"/>
  <c r="MZ2" i="32"/>
  <c r="MY2" i="32"/>
  <c r="MX2" i="32"/>
  <c r="MW2" i="32"/>
  <c r="MV2" i="32"/>
  <c r="MU2" i="32"/>
  <c r="MT2" i="32"/>
  <c r="MS2" i="32"/>
  <c r="MR2" i="32"/>
  <c r="MQ2" i="32"/>
  <c r="MP2" i="32"/>
  <c r="MO2" i="32"/>
  <c r="MN2" i="32"/>
  <c r="MM2" i="32"/>
  <c r="ML2" i="32"/>
  <c r="MK2" i="32"/>
  <c r="MJ2" i="32"/>
  <c r="MI2" i="32"/>
  <c r="MH2" i="32"/>
  <c r="MG2" i="32"/>
  <c r="MF2" i="32"/>
  <c r="ME2" i="32"/>
  <c r="MD2" i="32"/>
  <c r="MC2" i="32"/>
  <c r="MB2" i="32"/>
  <c r="MA2" i="32"/>
  <c r="LZ2" i="32"/>
  <c r="LY2" i="32"/>
  <c r="LX2" i="32"/>
  <c r="LW2" i="32"/>
  <c r="LV2" i="32"/>
  <c r="LU2" i="32"/>
  <c r="LT2" i="32"/>
  <c r="LS2" i="32"/>
  <c r="LR2" i="32"/>
  <c r="LQ2" i="32"/>
  <c r="LP2" i="32"/>
  <c r="LO2" i="32"/>
  <c r="LN2" i="32"/>
  <c r="LM2" i="32"/>
  <c r="LL2" i="32"/>
  <c r="LK2" i="32"/>
  <c r="LJ2" i="32"/>
  <c r="LI2" i="32"/>
  <c r="LH2" i="32"/>
  <c r="LG2" i="32"/>
  <c r="LF2" i="32"/>
  <c r="LE2" i="32"/>
  <c r="LD2" i="32"/>
  <c r="LC2" i="32"/>
  <c r="LB2" i="32"/>
  <c r="LA2" i="32"/>
  <c r="KZ2" i="32"/>
  <c r="KY2" i="32"/>
  <c r="KX2" i="32"/>
  <c r="KW2" i="32"/>
  <c r="KV2" i="32"/>
  <c r="KU2" i="32"/>
  <c r="KT2" i="32"/>
  <c r="KS2" i="32"/>
  <c r="KR2" i="32"/>
  <c r="KQ2" i="32"/>
  <c r="KP2" i="32"/>
  <c r="KO2" i="32"/>
  <c r="KN2" i="32"/>
  <c r="KM2" i="32"/>
  <c r="KL2" i="32"/>
  <c r="KK2" i="32"/>
  <c r="KJ2" i="32"/>
  <c r="KI2" i="32"/>
  <c r="KH2" i="32"/>
  <c r="KG2" i="32"/>
  <c r="KF2" i="32"/>
  <c r="KE2" i="32"/>
  <c r="KD2" i="32"/>
  <c r="KC2" i="32"/>
  <c r="KB2" i="32"/>
  <c r="KA2" i="32"/>
  <c r="JZ2" i="32"/>
  <c r="JY2" i="32"/>
  <c r="JX2" i="32"/>
  <c r="JW2" i="32"/>
  <c r="JV2" i="32"/>
  <c r="JU2" i="32"/>
  <c r="JT2" i="32"/>
  <c r="JS2" i="32"/>
  <c r="JR2" i="32"/>
  <c r="JQ2" i="32"/>
  <c r="JP2" i="32"/>
  <c r="JO2" i="32"/>
  <c r="JN2" i="32"/>
  <c r="JM2" i="32"/>
  <c r="JL2" i="32"/>
  <c r="JK2" i="32"/>
  <c r="JJ2" i="32"/>
  <c r="JI2" i="32"/>
  <c r="JH2" i="32"/>
  <c r="JG2" i="32"/>
  <c r="JF2" i="32"/>
  <c r="JE2" i="32"/>
  <c r="JD2" i="32"/>
  <c r="JC2" i="32"/>
  <c r="JB2" i="32"/>
  <c r="JA2" i="32"/>
  <c r="IZ2" i="32"/>
  <c r="IY2" i="32"/>
  <c r="IX2" i="32"/>
  <c r="IW2" i="32"/>
  <c r="IV2" i="32"/>
  <c r="IU2" i="32"/>
  <c r="IT2" i="32"/>
  <c r="IS2" i="32"/>
  <c r="IR2" i="32"/>
  <c r="IQ2" i="32"/>
  <c r="IP2" i="32"/>
  <c r="IO2" i="32"/>
  <c r="IN2" i="32"/>
  <c r="IM2" i="32"/>
  <c r="IL2" i="32"/>
  <c r="IK2" i="32"/>
  <c r="IJ2" i="32"/>
  <c r="II2" i="32"/>
  <c r="IH2" i="32"/>
  <c r="IG2" i="32"/>
  <c r="IF2" i="32"/>
  <c r="IE2" i="32"/>
  <c r="ID2" i="32"/>
  <c r="IC2" i="32"/>
  <c r="IB2" i="32"/>
  <c r="IA2" i="32"/>
  <c r="HZ2" i="32"/>
  <c r="HY2" i="32"/>
  <c r="HX2" i="32"/>
  <c r="HW2" i="32"/>
  <c r="HV2" i="32"/>
  <c r="HU2" i="32"/>
  <c r="HT2" i="32"/>
  <c r="HS2" i="32"/>
  <c r="HR2" i="32"/>
  <c r="HQ2" i="32"/>
  <c r="HP2" i="32"/>
  <c r="HO2" i="32"/>
  <c r="HN2" i="32"/>
  <c r="HM2" i="32"/>
  <c r="HL2" i="32"/>
  <c r="HK2" i="32"/>
  <c r="HJ2" i="32"/>
  <c r="HI2" i="32"/>
  <c r="HH2" i="32"/>
  <c r="HG2" i="32"/>
  <c r="HF2" i="32"/>
  <c r="HE2" i="32"/>
  <c r="HD2" i="32"/>
  <c r="HC2" i="32"/>
  <c r="HB2" i="32"/>
  <c r="GB2" i="32"/>
  <c r="GA2" i="32"/>
  <c r="FZ2" i="32"/>
  <c r="FY2" i="32"/>
  <c r="FX2" i="32"/>
  <c r="FW2" i="32"/>
  <c r="FV2" i="32"/>
  <c r="FU2" i="32"/>
  <c r="FT2" i="32"/>
  <c r="FS2" i="32"/>
  <c r="FR2" i="32"/>
  <c r="FQ2" i="32"/>
  <c r="FP2" i="32"/>
  <c r="FO2" i="32"/>
  <c r="FN2" i="32"/>
  <c r="FM2" i="32"/>
  <c r="FL2" i="32"/>
  <c r="FK2" i="32"/>
  <c r="FJ2" i="32"/>
  <c r="FI2" i="32"/>
  <c r="FH2" i="32"/>
  <c r="FG2" i="32"/>
  <c r="FF2" i="32"/>
  <c r="FE2" i="32"/>
  <c r="FD2" i="32"/>
  <c r="FC2" i="32"/>
  <c r="FB2" i="32"/>
  <c r="FA2" i="32"/>
  <c r="EZ2" i="32"/>
  <c r="EY2" i="32"/>
  <c r="EX2" i="32"/>
  <c r="EW2" i="32"/>
  <c r="EV2" i="32"/>
  <c r="EU2" i="32"/>
  <c r="ET2" i="32"/>
  <c r="ES2" i="32"/>
  <c r="ER2" i="32"/>
  <c r="EQ2" i="32"/>
  <c r="EP2" i="32"/>
  <c r="EO2" i="32"/>
  <c r="EN2" i="32"/>
  <c r="EM2" i="32"/>
  <c r="EL2" i="32"/>
  <c r="EK2" i="32"/>
  <c r="EJ2" i="32"/>
  <c r="EI2" i="32"/>
  <c r="EH2" i="32"/>
  <c r="EG2" i="32"/>
  <c r="EF2" i="32"/>
  <c r="EE2" i="32"/>
  <c r="ED2" i="32"/>
  <c r="EC2" i="32"/>
  <c r="EB2" i="32"/>
  <c r="EA2" i="32"/>
  <c r="DZ2" i="32"/>
  <c r="DY2" i="32"/>
  <c r="DX2" i="32"/>
  <c r="DW2" i="32"/>
  <c r="DV2" i="32"/>
  <c r="DU2" i="32"/>
  <c r="DT2" i="32"/>
  <c r="DS2" i="32"/>
  <c r="DR2" i="32"/>
  <c r="DQ2" i="32"/>
  <c r="DP2" i="32"/>
  <c r="DO2" i="32"/>
  <c r="DM2" i="32"/>
  <c r="DL2" i="32"/>
  <c r="DK2" i="32"/>
  <c r="DJ2" i="32"/>
  <c r="DI2" i="32"/>
  <c r="DH2" i="32"/>
  <c r="DG2" i="32"/>
  <c r="DF2" i="32"/>
  <c r="DE2" i="32"/>
  <c r="DD2" i="32"/>
  <c r="DC2" i="32"/>
  <c r="DB2" i="32"/>
  <c r="DA2" i="32"/>
  <c r="CZ2" i="32"/>
  <c r="CY2" i="32"/>
  <c r="CX2" i="32"/>
  <c r="CW2" i="32"/>
  <c r="CV2" i="32"/>
  <c r="CU2" i="32"/>
  <c r="CT2" i="32"/>
  <c r="CS2" i="32"/>
  <c r="CR2" i="32"/>
  <c r="CQ2" i="32"/>
  <c r="CP2" i="32"/>
  <c r="CO2" i="32"/>
  <c r="CN2" i="32"/>
  <c r="CM2" i="32"/>
  <c r="CL2" i="32"/>
  <c r="CK2" i="32"/>
  <c r="CJ2" i="32"/>
  <c r="CI2" i="32"/>
  <c r="CH2" i="32"/>
  <c r="CG2" i="32"/>
  <c r="CF2" i="32"/>
  <c r="CE2" i="32"/>
  <c r="CD2" i="32"/>
  <c r="CC2" i="32"/>
  <c r="CB2" i="32"/>
  <c r="CA2" i="32"/>
  <c r="BZ2" i="32"/>
  <c r="BY2" i="32"/>
  <c r="BX2" i="32"/>
  <c r="BW2" i="32"/>
  <c r="BV2" i="32"/>
  <c r="BU2" i="32"/>
  <c r="BT2" i="32"/>
  <c r="BS2" i="32"/>
  <c r="BR2" i="32"/>
  <c r="BQ2" i="32"/>
  <c r="BP2" i="32"/>
  <c r="BO2" i="32"/>
  <c r="BN2" i="32"/>
  <c r="BM2" i="32"/>
  <c r="BL2" i="32"/>
  <c r="BJ2" i="32"/>
  <c r="BI2" i="32"/>
  <c r="BH2" i="32"/>
  <c r="BG2" i="32"/>
  <c r="BF2" i="32"/>
  <c r="BE2" i="32"/>
  <c r="BD2" i="32"/>
  <c r="BC2" i="32"/>
  <c r="BB2" i="32"/>
  <c r="BA2" i="32"/>
  <c r="AZ2" i="32"/>
  <c r="AY2" i="32"/>
  <c r="AX2" i="32"/>
  <c r="AW2" i="32"/>
  <c r="AV2" i="32"/>
  <c r="AU2" i="32"/>
  <c r="AT2" i="32"/>
  <c r="AS2" i="32"/>
  <c r="AR2" i="32"/>
  <c r="AQ2" i="32"/>
  <c r="AP2" i="32"/>
  <c r="AO2" i="32"/>
  <c r="AN2" i="32"/>
  <c r="AM2" i="32"/>
  <c r="AL2" i="32"/>
  <c r="AK2" i="32"/>
  <c r="AJ2" i="32"/>
  <c r="AI2" i="32"/>
  <c r="AH2" i="32"/>
  <c r="AG2" i="32"/>
  <c r="AF2" i="32"/>
  <c r="AE2" i="32"/>
  <c r="AD2" i="32"/>
  <c r="AC2" i="32"/>
  <c r="AB2" i="32"/>
  <c r="AA2" i="32"/>
  <c r="Z2" i="32"/>
  <c r="Y2" i="32"/>
  <c r="X2" i="32"/>
  <c r="W692" i="38" l="1"/>
  <c r="GH59" i="36" l="1"/>
  <c r="YU7" i="32"/>
  <c r="EY66" i="36"/>
  <c r="EX66" i="36"/>
  <c r="EW66" i="36"/>
  <c r="EV66" i="36"/>
  <c r="ZB6" i="32"/>
  <c r="FB66" i="36"/>
  <c r="EZ66" i="36"/>
  <c r="E375" i="36"/>
  <c r="FB59" i="36"/>
  <c r="YU6" i="32"/>
  <c r="E376" i="36"/>
  <c r="GF66" i="36"/>
  <c r="ZB7" i="32"/>
  <c r="GE66" i="36"/>
  <c r="GC66" i="36"/>
  <c r="GH66" i="36"/>
  <c r="GD66" i="36"/>
  <c r="CP59" i="36"/>
  <c r="YU4" i="32"/>
  <c r="AT59" i="36"/>
  <c r="BK59" i="36" s="1"/>
  <c r="BJ59" i="36"/>
  <c r="YU3" i="32"/>
  <c r="BH66" i="36"/>
  <c r="BD66" i="36"/>
  <c r="BJ66" i="36"/>
  <c r="BE66" i="36"/>
  <c r="ZB3" i="32"/>
  <c r="BG66" i="36"/>
  <c r="BF66" i="36"/>
  <c r="CP66" i="36"/>
  <c r="CK66" i="36"/>
  <c r="CL66" i="36"/>
  <c r="CN66" i="36"/>
  <c r="CJ66" i="36"/>
  <c r="ZB4" i="32"/>
  <c r="CM66" i="36"/>
  <c r="Q82" i="61"/>
  <c r="E372" i="36"/>
  <c r="Q83" i="61"/>
  <c r="E373" i="36"/>
  <c r="AAM3" i="32" l="1"/>
  <c r="FX66" i="36"/>
  <c r="FW66" i="36"/>
  <c r="FV66" i="36"/>
  <c r="FU66" i="36"/>
  <c r="FT66" i="36"/>
  <c r="ER66" i="36"/>
  <c r="EQ66" i="36"/>
  <c r="EP66" i="36"/>
  <c r="EO66" i="36"/>
  <c r="EN66" i="36"/>
  <c r="CF66" i="36"/>
  <c r="CE66" i="36"/>
  <c r="CD66" i="36"/>
  <c r="CC66" i="36"/>
  <c r="CB66" i="36"/>
  <c r="AZ66" i="36"/>
  <c r="AY66" i="36"/>
  <c r="AX66" i="36"/>
  <c r="AW66" i="36"/>
  <c r="AV66" i="36"/>
  <c r="F375" i="36" l="1"/>
  <c r="O375" i="36" s="1"/>
  <c r="AAT6" i="32"/>
  <c r="FC66" i="36"/>
  <c r="F376" i="36"/>
  <c r="O376" i="36" s="1"/>
  <c r="GI66" i="36"/>
  <c r="AAT7" i="32"/>
  <c r="F373" i="36"/>
  <c r="AAT4" i="32"/>
  <c r="CQ66" i="36"/>
  <c r="F372" i="36"/>
  <c r="BK66" i="36"/>
  <c r="AAT3" i="32"/>
  <c r="BI63" i="36"/>
  <c r="AC63" i="36"/>
  <c r="R170" i="55" l="1"/>
  <c r="R164" i="55"/>
  <c r="K170" i="55"/>
  <c r="K164" i="55"/>
  <c r="Y159" i="55" l="1"/>
  <c r="N266" i="55"/>
  <c r="W823" i="38" l="1"/>
  <c r="W817" i="38"/>
  <c r="W794" i="38"/>
  <c r="B781" i="38"/>
  <c r="W784" i="38" s="1"/>
  <c r="W740" i="38"/>
  <c r="W727" i="38"/>
  <c r="W723" i="38"/>
  <c r="W719" i="38"/>
  <c r="W712" i="38"/>
  <c r="W709" i="38"/>
  <c r="W704" i="38"/>
  <c r="W700" i="38"/>
  <c r="W696" i="38"/>
  <c r="W687" i="38"/>
  <c r="W683" i="38"/>
  <c r="W678" i="38"/>
  <c r="W671" i="38"/>
  <c r="W663" i="38"/>
  <c r="T655" i="38"/>
  <c r="W656" i="38" s="1"/>
  <c r="T641" i="38"/>
  <c r="W642" i="38" s="1"/>
  <c r="T631" i="38"/>
  <c r="W632" i="38" s="1"/>
  <c r="W505" i="38"/>
  <c r="W492" i="38"/>
  <c r="W482" i="38"/>
  <c r="T480" i="38"/>
  <c r="W481" i="38" s="1"/>
  <c r="T371" i="38"/>
  <c r="W372" i="38" s="1"/>
  <c r="W357" i="38"/>
  <c r="W297" i="38"/>
  <c r="W231" i="38"/>
  <c r="W223" i="38"/>
  <c r="W214" i="38"/>
  <c r="W140" i="38"/>
  <c r="K118" i="55" l="1"/>
  <c r="L81" i="55"/>
  <c r="L78" i="55"/>
  <c r="L75" i="55"/>
  <c r="L72" i="55"/>
  <c r="L69" i="55"/>
  <c r="L66" i="55"/>
  <c r="L63" i="55"/>
  <c r="L60" i="55"/>
  <c r="K85" i="55"/>
  <c r="L57" i="55"/>
  <c r="L54" i="55"/>
  <c r="L52" i="55"/>
  <c r="K48" i="55"/>
  <c r="K49" i="55"/>
  <c r="I36" i="55"/>
  <c r="I26" i="55"/>
  <c r="K21" i="55"/>
  <c r="K20" i="55"/>
  <c r="H16" i="55"/>
  <c r="M38" i="55" l="1"/>
  <c r="M45" i="55"/>
  <c r="M40" i="55"/>
  <c r="U285" i="61"/>
  <c r="U319" i="61"/>
  <c r="U318" i="61"/>
  <c r="U317" i="61"/>
  <c r="U316" i="61"/>
  <c r="U315" i="61"/>
  <c r="U314" i="61"/>
  <c r="U313" i="61"/>
  <c r="U312" i="61"/>
  <c r="U309" i="61"/>
  <c r="U308" i="61"/>
  <c r="U307" i="61"/>
  <c r="U306" i="61"/>
  <c r="U303" i="61"/>
  <c r="U299" i="61"/>
  <c r="U298" i="61"/>
  <c r="U297" i="61"/>
  <c r="U296" i="61"/>
  <c r="U295" i="61"/>
  <c r="U294" i="61"/>
  <c r="U293" i="61"/>
  <c r="U292" i="61"/>
  <c r="U289" i="61"/>
  <c r="U288" i="61"/>
  <c r="U287" i="61"/>
  <c r="U286" i="61"/>
  <c r="U281" i="61"/>
  <c r="O245" i="61" l="1"/>
  <c r="O246" i="61"/>
  <c r="O247" i="61"/>
  <c r="O239" i="61"/>
  <c r="O240" i="61"/>
  <c r="O241" i="61"/>
  <c r="O236" i="61"/>
  <c r="O237" i="61"/>
  <c r="O238" i="61"/>
  <c r="O248" i="61"/>
  <c r="O249" i="61"/>
  <c r="O250" i="61"/>
  <c r="O251" i="61"/>
  <c r="O252" i="61"/>
  <c r="O253" i="61"/>
  <c r="O233" i="61"/>
  <c r="O234" i="61"/>
  <c r="O235" i="61"/>
  <c r="O209" i="61"/>
  <c r="O210" i="61"/>
  <c r="O211" i="61"/>
  <c r="O203" i="61"/>
  <c r="O204" i="61"/>
  <c r="O205" i="61"/>
  <c r="O206" i="61"/>
  <c r="O207" i="61"/>
  <c r="O208" i="61"/>
  <c r="O217" i="61"/>
  <c r="O218" i="61"/>
  <c r="O219" i="61"/>
  <c r="O228" i="61"/>
  <c r="O229" i="61"/>
  <c r="O230" i="61"/>
  <c r="O225" i="61"/>
  <c r="O226" i="61"/>
  <c r="O227" i="61"/>
  <c r="O222" i="61"/>
  <c r="O223" i="61"/>
  <c r="O224" i="61"/>
  <c r="O242" i="61"/>
  <c r="O243" i="61"/>
  <c r="O244" i="61"/>
  <c r="O214" i="61"/>
  <c r="O213" i="61"/>
  <c r="O212" i="61"/>
  <c r="O185" i="61" l="1"/>
  <c r="O64" i="61" l="1"/>
  <c r="O65" i="61"/>
  <c r="O66" i="61"/>
  <c r="O67" i="61"/>
  <c r="O68" i="61"/>
  <c r="O69" i="61"/>
  <c r="O70" i="61"/>
  <c r="O71" i="61"/>
  <c r="O72" i="61"/>
  <c r="O73" i="61"/>
  <c r="O74" i="61"/>
  <c r="O75" i="61"/>
  <c r="O81" i="61"/>
  <c r="O82" i="61"/>
  <c r="O83" i="61"/>
  <c r="O89" i="61"/>
  <c r="O90" i="61"/>
  <c r="O91" i="61"/>
  <c r="O92" i="6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26" i="61"/>
  <c r="O125" i="61"/>
  <c r="O124" i="61"/>
  <c r="O88" i="61"/>
  <c r="O87" i="61"/>
  <c r="O86" i="61"/>
  <c r="O80" i="61"/>
  <c r="O79" i="61"/>
  <c r="O78" i="61"/>
  <c r="O63" i="61"/>
  <c r="O62" i="61"/>
  <c r="O61" i="61"/>
  <c r="O53" i="61"/>
  <c r="O54" i="61"/>
  <c r="O55" i="61"/>
  <c r="O56" i="61"/>
  <c r="O57" i="61"/>
  <c r="O58" i="61"/>
  <c r="O50" i="61"/>
  <c r="O51" i="61"/>
  <c r="O52" i="61"/>
  <c r="O49" i="61"/>
  <c r="O47" i="61"/>
  <c r="O48" i="61"/>
  <c r="O31" i="61" l="1"/>
  <c r="J270" i="55" l="1"/>
  <c r="N270" i="55" l="1"/>
  <c r="N277" i="55"/>
  <c r="J277" i="55"/>
  <c r="W49" i="55" l="1"/>
  <c r="W48" i="55"/>
  <c r="U94" i="55"/>
  <c r="U89" i="55"/>
  <c r="I94" i="55"/>
  <c r="I89" i="55"/>
  <c r="W119" i="55"/>
  <c r="W118" i="55"/>
  <c r="U104" i="55"/>
  <c r="W85" i="55"/>
  <c r="X81" i="55"/>
  <c r="X78" i="55"/>
  <c r="X75" i="55"/>
  <c r="X72" i="55"/>
  <c r="X69" i="55"/>
  <c r="X66" i="55"/>
  <c r="X63" i="55"/>
  <c r="X60" i="55"/>
  <c r="X57" i="55"/>
  <c r="X54" i="55"/>
  <c r="X52" i="55"/>
  <c r="U36" i="55"/>
  <c r="Y38" i="55" s="1"/>
  <c r="U26" i="55"/>
  <c r="W21" i="55"/>
  <c r="W20" i="55"/>
  <c r="K119" i="55"/>
  <c r="I104" i="55"/>
  <c r="T16" i="55"/>
  <c r="Y40" i="55" l="1"/>
  <c r="Y45" i="55"/>
  <c r="GG87" i="36"/>
  <c r="FP86" i="36"/>
  <c r="FP85" i="36"/>
  <c r="FP83" i="36"/>
  <c r="GF83" i="36" s="1"/>
  <c r="FQ82" i="36"/>
  <c r="FQ81" i="36"/>
  <c r="FP80" i="36"/>
  <c r="FP79" i="36"/>
  <c r="FN65" i="36"/>
  <c r="FM65" i="36"/>
  <c r="FL65" i="36"/>
  <c r="FK65" i="36"/>
  <c r="FJ65" i="36"/>
  <c r="GG64" i="36"/>
  <c r="FN64" i="36"/>
  <c r="FM64" i="36"/>
  <c r="FL64" i="36"/>
  <c r="FK64" i="36"/>
  <c r="FI64" i="36"/>
  <c r="GG63" i="36"/>
  <c r="FN63" i="36"/>
  <c r="FM63" i="36"/>
  <c r="FL63" i="36"/>
  <c r="FK63" i="36"/>
  <c r="FJ63" i="36"/>
  <c r="FN62" i="36"/>
  <c r="FM62" i="36"/>
  <c r="FL62" i="36"/>
  <c r="FK62" i="36"/>
  <c r="FJ62" i="36"/>
  <c r="FI62" i="36"/>
  <c r="FH62" i="36"/>
  <c r="FN61" i="36"/>
  <c r="FM61" i="36"/>
  <c r="FL61" i="36"/>
  <c r="FK61" i="36"/>
  <c r="FJ61" i="36"/>
  <c r="FI61" i="36"/>
  <c r="FH61" i="36"/>
  <c r="FN60" i="36"/>
  <c r="FM60" i="36"/>
  <c r="FL60" i="36"/>
  <c r="FK60" i="36"/>
  <c r="FJ60" i="36"/>
  <c r="FI60" i="36"/>
  <c r="FH60" i="36"/>
  <c r="FO58" i="36"/>
  <c r="FN57" i="36"/>
  <c r="FL57" i="36"/>
  <c r="GC57" i="36" s="1"/>
  <c r="FN56" i="36"/>
  <c r="FM56" i="36"/>
  <c r="FL56" i="36"/>
  <c r="FK56" i="36"/>
  <c r="FJ56" i="36"/>
  <c r="GB56" i="36" s="1"/>
  <c r="FQ55" i="36"/>
  <c r="FQ54" i="36"/>
  <c r="FQ53" i="36"/>
  <c r="FQ52" i="36"/>
  <c r="FQ51" i="36"/>
  <c r="FP50" i="36"/>
  <c r="GD50" i="36" s="1"/>
  <c r="FP49" i="36"/>
  <c r="GG48" i="36"/>
  <c r="GF48" i="36"/>
  <c r="GG47" i="36"/>
  <c r="FJ47" i="36"/>
  <c r="FH47" i="36"/>
  <c r="GD47" i="36" s="1"/>
  <c r="GG46" i="36"/>
  <c r="FJ46" i="36"/>
  <c r="FH46" i="36"/>
  <c r="GF46" i="36" s="1"/>
  <c r="FN45" i="36"/>
  <c r="FM45" i="36"/>
  <c r="FL45" i="36"/>
  <c r="FK45" i="36"/>
  <c r="FJ45" i="36"/>
  <c r="FN43" i="36"/>
  <c r="FM43" i="36"/>
  <c r="FL43" i="36"/>
  <c r="FK43" i="36"/>
  <c r="FJ43" i="36"/>
  <c r="FN42" i="36"/>
  <c r="FM42" i="36"/>
  <c r="FL42" i="36"/>
  <c r="FK42" i="36"/>
  <c r="FN41" i="36"/>
  <c r="FM41" i="36"/>
  <c r="FL41" i="36"/>
  <c r="FK41" i="36"/>
  <c r="FJ41" i="36"/>
  <c r="GF28" i="36"/>
  <c r="GC28" i="36"/>
  <c r="GH28" i="36" s="1"/>
  <c r="GA28" i="36"/>
  <c r="GF27" i="36"/>
  <c r="GC27" i="36"/>
  <c r="GB27" i="36" s="1"/>
  <c r="GA27" i="36"/>
  <c r="GF26" i="36"/>
  <c r="GC26" i="36"/>
  <c r="GB26" i="36" s="1"/>
  <c r="GA26" i="36"/>
  <c r="GF25" i="36"/>
  <c r="GC25" i="36"/>
  <c r="GA25" i="36"/>
  <c r="GF24" i="36"/>
  <c r="GC24" i="36"/>
  <c r="GA24" i="36"/>
  <c r="GF23" i="36"/>
  <c r="GC23" i="36"/>
  <c r="GB23" i="36" s="1"/>
  <c r="GA23" i="36"/>
  <c r="FY23" i="36"/>
  <c r="FX23" i="36"/>
  <c r="FW23" i="36"/>
  <c r="FV23" i="36"/>
  <c r="FU23" i="36"/>
  <c r="FT23" i="36"/>
  <c r="FS23" i="36"/>
  <c r="FR23" i="36"/>
  <c r="FQ23" i="36"/>
  <c r="FP23" i="36"/>
  <c r="FO23" i="36"/>
  <c r="FN23" i="36"/>
  <c r="FM23" i="36"/>
  <c r="FL23" i="36"/>
  <c r="FK23" i="36"/>
  <c r="FJ23" i="36"/>
  <c r="FI23" i="36"/>
  <c r="FH23" i="36"/>
  <c r="FG23" i="36"/>
  <c r="FF23" i="36"/>
  <c r="GF22" i="36"/>
  <c r="GC22" i="36"/>
  <c r="GB22" i="36" s="1"/>
  <c r="GA22" i="36"/>
  <c r="FY22" i="36"/>
  <c r="FX22" i="36"/>
  <c r="FW22" i="36"/>
  <c r="FV22" i="36"/>
  <c r="FU22" i="36"/>
  <c r="FT22" i="36"/>
  <c r="FS22" i="36"/>
  <c r="FR22" i="36"/>
  <c r="FQ22" i="36"/>
  <c r="FP22" i="36"/>
  <c r="FO22" i="36"/>
  <c r="FN22" i="36"/>
  <c r="FM22" i="36"/>
  <c r="FL22" i="36"/>
  <c r="FK22" i="36"/>
  <c r="FJ22" i="36"/>
  <c r="FI22" i="36"/>
  <c r="FH22" i="36"/>
  <c r="FG22" i="36"/>
  <c r="FF22" i="36"/>
  <c r="GF21" i="36"/>
  <c r="GC21" i="36"/>
  <c r="GA21" i="36"/>
  <c r="FY21" i="36"/>
  <c r="FX21" i="36"/>
  <c r="FW21" i="36"/>
  <c r="FV21" i="36"/>
  <c r="FU21" i="36"/>
  <c r="FT21" i="36"/>
  <c r="FS21" i="36"/>
  <c r="FR21" i="36"/>
  <c r="FQ21" i="36"/>
  <c r="FP21" i="36"/>
  <c r="FO21" i="36"/>
  <c r="FN21" i="36"/>
  <c r="FM21" i="36"/>
  <c r="FL21" i="36"/>
  <c r="FK21" i="36"/>
  <c r="FJ21" i="36"/>
  <c r="FI21" i="36"/>
  <c r="FH21" i="36"/>
  <c r="FG21" i="36"/>
  <c r="FF21" i="36"/>
  <c r="GF20" i="36"/>
  <c r="GC20" i="36"/>
  <c r="GB20" i="36" s="1"/>
  <c r="GA20" i="36"/>
  <c r="FY20" i="36"/>
  <c r="FX20" i="36"/>
  <c r="FW20" i="36"/>
  <c r="FV20" i="36"/>
  <c r="FU20" i="36"/>
  <c r="FT20" i="36"/>
  <c r="FS20" i="36"/>
  <c r="FR20" i="36"/>
  <c r="FQ20" i="36"/>
  <c r="FP20" i="36"/>
  <c r="FO20" i="36"/>
  <c r="FN20" i="36"/>
  <c r="FM20" i="36"/>
  <c r="FL20" i="36"/>
  <c r="FK20" i="36"/>
  <c r="FJ20" i="36"/>
  <c r="FI20" i="36"/>
  <c r="FH20" i="36"/>
  <c r="FG20" i="36"/>
  <c r="FF20" i="36"/>
  <c r="GF19" i="36"/>
  <c r="GC19" i="36"/>
  <c r="GB19" i="36" s="1"/>
  <c r="GA19" i="36"/>
  <c r="FY19" i="36"/>
  <c r="FX19" i="36"/>
  <c r="FW19" i="36"/>
  <c r="FV19" i="36"/>
  <c r="FU19" i="36"/>
  <c r="FT19" i="36"/>
  <c r="FS19" i="36"/>
  <c r="FR19" i="36"/>
  <c r="FQ19" i="36"/>
  <c r="FP19" i="36"/>
  <c r="FO19" i="36"/>
  <c r="FN19" i="36"/>
  <c r="FM19" i="36"/>
  <c r="FL19" i="36"/>
  <c r="FK19" i="36"/>
  <c r="FJ19" i="36"/>
  <c r="FI19" i="36"/>
  <c r="FH19" i="36"/>
  <c r="FG19" i="36"/>
  <c r="FF19" i="36"/>
  <c r="GF18" i="36"/>
  <c r="GC18" i="36"/>
  <c r="GB18" i="36" s="1"/>
  <c r="GA18" i="36"/>
  <c r="FY18" i="36"/>
  <c r="FX18" i="36"/>
  <c r="FW18" i="36"/>
  <c r="FV18" i="36"/>
  <c r="FU18" i="36"/>
  <c r="FT18" i="36"/>
  <c r="FS18" i="36"/>
  <c r="FR18" i="36"/>
  <c r="FQ18" i="36"/>
  <c r="FP18" i="36"/>
  <c r="FO18" i="36"/>
  <c r="FN18" i="36"/>
  <c r="FM18" i="36"/>
  <c r="FL18" i="36"/>
  <c r="FK18" i="36"/>
  <c r="FJ18" i="36"/>
  <c r="FI18" i="36"/>
  <c r="FH18" i="36"/>
  <c r="FG18" i="36"/>
  <c r="FF18" i="36"/>
  <c r="GF17" i="36"/>
  <c r="GC17" i="36"/>
  <c r="GA17" i="36"/>
  <c r="FY17" i="36"/>
  <c r="FX17" i="36"/>
  <c r="FW17" i="36"/>
  <c r="FV17" i="36"/>
  <c r="FU17" i="36"/>
  <c r="FT17" i="36"/>
  <c r="FS17" i="36"/>
  <c r="FR17" i="36"/>
  <c r="FQ17" i="36"/>
  <c r="FP17" i="36"/>
  <c r="FO17" i="36"/>
  <c r="FN17" i="36"/>
  <c r="FM17" i="36"/>
  <c r="FL17" i="36"/>
  <c r="FK17" i="36"/>
  <c r="FJ17" i="36"/>
  <c r="FI17" i="36"/>
  <c r="FH17" i="36"/>
  <c r="FG17" i="36"/>
  <c r="FF17" i="36"/>
  <c r="GF16" i="36"/>
  <c r="GC16" i="36"/>
  <c r="GA16" i="36"/>
  <c r="FY16" i="36"/>
  <c r="FX16" i="36"/>
  <c r="FW16" i="36"/>
  <c r="FV16" i="36"/>
  <c r="FU16" i="36"/>
  <c r="FT16" i="36"/>
  <c r="FS16" i="36"/>
  <c r="FR16" i="36"/>
  <c r="FQ16" i="36"/>
  <c r="FP16" i="36"/>
  <c r="FO16" i="36"/>
  <c r="FN16" i="36"/>
  <c r="FM16" i="36"/>
  <c r="FL16" i="36"/>
  <c r="FK16" i="36"/>
  <c r="FJ16" i="36"/>
  <c r="FI16" i="36"/>
  <c r="FH16" i="36"/>
  <c r="FG16" i="36"/>
  <c r="FF16" i="36"/>
  <c r="GF15" i="36"/>
  <c r="GC15" i="36"/>
  <c r="GB15" i="36" s="1"/>
  <c r="GA15" i="36"/>
  <c r="FY15" i="36"/>
  <c r="FX15" i="36"/>
  <c r="FW15" i="36"/>
  <c r="FV15" i="36"/>
  <c r="FU15" i="36"/>
  <c r="FT15" i="36"/>
  <c r="FS15" i="36"/>
  <c r="FR15" i="36"/>
  <c r="FQ15" i="36"/>
  <c r="FP15" i="36"/>
  <c r="FO15" i="36"/>
  <c r="FN15" i="36"/>
  <c r="FM15" i="36"/>
  <c r="FL15" i="36"/>
  <c r="FK15" i="36"/>
  <c r="FJ15" i="36"/>
  <c r="FI15" i="36"/>
  <c r="FH15" i="36"/>
  <c r="FG15" i="36"/>
  <c r="FF15" i="36"/>
  <c r="GF14" i="36"/>
  <c r="GC14" i="36"/>
  <c r="GB14" i="36" s="1"/>
  <c r="GA14" i="36"/>
  <c r="FY14" i="36"/>
  <c r="FX14" i="36"/>
  <c r="FW14" i="36"/>
  <c r="FV14" i="36"/>
  <c r="FU14" i="36"/>
  <c r="FT14" i="36"/>
  <c r="FS14" i="36"/>
  <c r="FR14" i="36"/>
  <c r="FQ14" i="36"/>
  <c r="FP14" i="36"/>
  <c r="FO14" i="36"/>
  <c r="FN14" i="36"/>
  <c r="FM14" i="36"/>
  <c r="FL14" i="36"/>
  <c r="FK14" i="36"/>
  <c r="FJ14" i="36"/>
  <c r="FI14" i="36"/>
  <c r="FH14" i="36"/>
  <c r="FG14" i="36"/>
  <c r="FF14" i="36"/>
  <c r="GF13" i="36"/>
  <c r="GC13" i="36"/>
  <c r="GA13" i="36"/>
  <c r="FY13" i="36"/>
  <c r="FX13" i="36"/>
  <c r="FW13" i="36"/>
  <c r="FV13" i="36"/>
  <c r="FU13" i="36"/>
  <c r="FT13" i="36"/>
  <c r="FS13" i="36"/>
  <c r="FR13" i="36"/>
  <c r="FQ13" i="36"/>
  <c r="FP13" i="36"/>
  <c r="FO13" i="36"/>
  <c r="FN13" i="36"/>
  <c r="FM13" i="36"/>
  <c r="FL13" i="36"/>
  <c r="FK13" i="36"/>
  <c r="FJ13" i="36"/>
  <c r="FI13" i="36"/>
  <c r="FH13" i="36"/>
  <c r="FG13" i="36"/>
  <c r="FF13" i="36"/>
  <c r="GF12" i="36"/>
  <c r="GC12" i="36"/>
  <c r="GB12" i="36" s="1"/>
  <c r="GA12" i="36"/>
  <c r="FY12" i="36"/>
  <c r="FX12" i="36"/>
  <c r="FW12" i="36"/>
  <c r="FV12" i="36"/>
  <c r="FU12" i="36"/>
  <c r="FT12" i="36"/>
  <c r="FS12" i="36"/>
  <c r="FR12" i="36"/>
  <c r="FQ12" i="36"/>
  <c r="FP12" i="36"/>
  <c r="FO12" i="36"/>
  <c r="FN12" i="36"/>
  <c r="FM12" i="36"/>
  <c r="FL12" i="36"/>
  <c r="FK12" i="36"/>
  <c r="FJ12" i="36"/>
  <c r="FI12" i="36"/>
  <c r="FH12" i="36"/>
  <c r="FG12" i="36"/>
  <c r="FF12" i="36"/>
  <c r="GF11" i="36"/>
  <c r="GC11" i="36"/>
  <c r="GB11" i="36" s="1"/>
  <c r="GA11" i="36"/>
  <c r="FY11" i="36"/>
  <c r="FX11" i="36"/>
  <c r="FW11" i="36"/>
  <c r="FV11" i="36"/>
  <c r="FU11" i="36"/>
  <c r="FT11" i="36"/>
  <c r="FS11" i="36"/>
  <c r="FR11" i="36"/>
  <c r="FQ11" i="36"/>
  <c r="FP11" i="36"/>
  <c r="FO11" i="36"/>
  <c r="FN11" i="36"/>
  <c r="FM11" i="36"/>
  <c r="FL11" i="36"/>
  <c r="FK11" i="36"/>
  <c r="FJ11" i="36"/>
  <c r="FI11" i="36"/>
  <c r="FH11" i="36"/>
  <c r="FG11" i="36"/>
  <c r="FF11" i="36"/>
  <c r="GF10" i="36"/>
  <c r="GC10" i="36"/>
  <c r="GB10" i="36" s="1"/>
  <c r="GA10" i="36"/>
  <c r="FL10" i="36"/>
  <c r="FK10" i="36"/>
  <c r="FJ10" i="36"/>
  <c r="FI10" i="36"/>
  <c r="FH10" i="36"/>
  <c r="FG10" i="36"/>
  <c r="FF10" i="36"/>
  <c r="GF9" i="36"/>
  <c r="GC9" i="36"/>
  <c r="GB9" i="36" s="1"/>
  <c r="GA9" i="36"/>
  <c r="FL9" i="36"/>
  <c r="FK9" i="36"/>
  <c r="FJ9" i="36"/>
  <c r="FI9" i="36"/>
  <c r="FH9" i="36"/>
  <c r="FG9" i="36"/>
  <c r="FF9" i="36"/>
  <c r="FA87" i="36"/>
  <c r="EJ86" i="36"/>
  <c r="EJ85" i="36"/>
  <c r="EZ84" i="36"/>
  <c r="EJ83" i="36"/>
  <c r="EZ83" i="36" s="1"/>
  <c r="EK82" i="36"/>
  <c r="EK81" i="36"/>
  <c r="EJ80" i="36"/>
  <c r="EJ79" i="36"/>
  <c r="EH65" i="36"/>
  <c r="EG65" i="36"/>
  <c r="EF65" i="36"/>
  <c r="EE65" i="36"/>
  <c r="ED65" i="36"/>
  <c r="FA64" i="36"/>
  <c r="EH64" i="36"/>
  <c r="EG64" i="36"/>
  <c r="EF64" i="36"/>
  <c r="EE64" i="36"/>
  <c r="EC64" i="36"/>
  <c r="FA63" i="36"/>
  <c r="EH63" i="36"/>
  <c r="EG63" i="36"/>
  <c r="EF63" i="36"/>
  <c r="EE63" i="36"/>
  <c r="ED63" i="36"/>
  <c r="EH62" i="36"/>
  <c r="EG62" i="36"/>
  <c r="EF62" i="36"/>
  <c r="EE62" i="36"/>
  <c r="ED62" i="36"/>
  <c r="EC62" i="36"/>
  <c r="EB62" i="36"/>
  <c r="EH61" i="36"/>
  <c r="EG61" i="36"/>
  <c r="EF61" i="36"/>
  <c r="EE61" i="36"/>
  <c r="ED61" i="36"/>
  <c r="EC61" i="36"/>
  <c r="EB61" i="36"/>
  <c r="EH60" i="36"/>
  <c r="EG60" i="36"/>
  <c r="EF60" i="36"/>
  <c r="EE60" i="36"/>
  <c r="ED60" i="36"/>
  <c r="EC60" i="36"/>
  <c r="EB60" i="36"/>
  <c r="EI58" i="36"/>
  <c r="EZ58" i="36" s="1"/>
  <c r="EH57" i="36"/>
  <c r="EF57" i="36"/>
  <c r="EH56" i="36"/>
  <c r="EG56" i="36"/>
  <c r="EF56" i="36"/>
  <c r="EE56" i="36"/>
  <c r="ED56" i="36"/>
  <c r="EV56" i="36" s="1"/>
  <c r="EK55" i="36"/>
  <c r="EK54" i="36"/>
  <c r="EK53" i="36"/>
  <c r="EK52" i="36"/>
  <c r="EK51" i="36"/>
  <c r="EJ50" i="36"/>
  <c r="EX50" i="36" s="1"/>
  <c r="EJ49" i="36"/>
  <c r="FA48" i="36"/>
  <c r="EY48" i="36"/>
  <c r="FA47" i="36"/>
  <c r="ED47" i="36"/>
  <c r="EB47" i="36"/>
  <c r="EX47" i="36" s="1"/>
  <c r="FA46" i="36"/>
  <c r="ED46" i="36"/>
  <c r="EB46" i="36"/>
  <c r="EV46" i="36" s="1"/>
  <c r="EH45" i="36"/>
  <c r="EG45" i="36"/>
  <c r="EF45" i="36"/>
  <c r="EE45" i="36"/>
  <c r="ED45" i="36"/>
  <c r="EH43" i="36"/>
  <c r="EG43" i="36"/>
  <c r="EF43" i="36"/>
  <c r="EE43" i="36"/>
  <c r="ED43" i="36"/>
  <c r="EH42" i="36"/>
  <c r="EG42" i="36"/>
  <c r="EF42" i="36"/>
  <c r="EE42" i="36"/>
  <c r="EH41" i="36"/>
  <c r="EG41" i="36"/>
  <c r="EF41" i="36"/>
  <c r="EE41" i="36"/>
  <c r="ED41" i="36"/>
  <c r="EZ28" i="36"/>
  <c r="EW28" i="36"/>
  <c r="EU28" i="36"/>
  <c r="EZ27" i="36"/>
  <c r="EW27" i="36"/>
  <c r="EV27" i="36" s="1"/>
  <c r="EU27" i="36"/>
  <c r="EZ26" i="36"/>
  <c r="EW26" i="36"/>
  <c r="EU26" i="36"/>
  <c r="EZ25" i="36"/>
  <c r="EW25" i="36"/>
  <c r="EU25" i="36"/>
  <c r="EZ24" i="36"/>
  <c r="EW24" i="36"/>
  <c r="EV24" i="36" s="1"/>
  <c r="EU24" i="36"/>
  <c r="EZ23" i="36"/>
  <c r="EW23" i="36"/>
  <c r="EU23" i="36"/>
  <c r="ES23" i="36"/>
  <c r="ER23" i="36"/>
  <c r="EQ23" i="36"/>
  <c r="EP23" i="36"/>
  <c r="EO23" i="36"/>
  <c r="EN23" i="36"/>
  <c r="EM23" i="36"/>
  <c r="EL23" i="36"/>
  <c r="EK23" i="36"/>
  <c r="EJ23" i="36"/>
  <c r="EI23" i="36"/>
  <c r="EH23" i="36"/>
  <c r="EG23" i="36"/>
  <c r="EF23" i="36"/>
  <c r="EE23" i="36"/>
  <c r="ED23" i="36"/>
  <c r="EC23" i="36"/>
  <c r="EB23" i="36"/>
  <c r="EA23" i="36"/>
  <c r="DZ23" i="36"/>
  <c r="EZ22" i="36"/>
  <c r="EW22" i="36"/>
  <c r="EV22" i="36" s="1"/>
  <c r="EU22" i="36"/>
  <c r="ES22" i="36"/>
  <c r="ER22" i="36"/>
  <c r="EQ22" i="36"/>
  <c r="EP22" i="36"/>
  <c r="EO22" i="36"/>
  <c r="EN22" i="36"/>
  <c r="EM22" i="36"/>
  <c r="EL22" i="36"/>
  <c r="EK22" i="36"/>
  <c r="EJ22" i="36"/>
  <c r="EI22" i="36"/>
  <c r="EH22" i="36"/>
  <c r="EG22" i="36"/>
  <c r="EF22" i="36"/>
  <c r="EE22" i="36"/>
  <c r="ED22" i="36"/>
  <c r="EC22" i="36"/>
  <c r="EB22" i="36"/>
  <c r="EA22" i="36"/>
  <c r="DZ22" i="36"/>
  <c r="EZ21" i="36"/>
  <c r="EW21" i="36"/>
  <c r="EV21" i="36" s="1"/>
  <c r="EU21" i="36"/>
  <c r="ES21" i="36"/>
  <c r="ER21" i="36"/>
  <c r="EQ21" i="36"/>
  <c r="EP21" i="36"/>
  <c r="EO21" i="36"/>
  <c r="EN21" i="36"/>
  <c r="EM21" i="36"/>
  <c r="EL21" i="36"/>
  <c r="EK21" i="36"/>
  <c r="EJ21" i="36"/>
  <c r="EI21" i="36"/>
  <c r="EH21" i="36"/>
  <c r="EG21" i="36"/>
  <c r="EF21" i="36"/>
  <c r="EE21" i="36"/>
  <c r="ED21" i="36"/>
  <c r="EC21" i="36"/>
  <c r="EB21" i="36"/>
  <c r="EA21" i="36"/>
  <c r="DZ21" i="36"/>
  <c r="EZ20" i="36"/>
  <c r="EW20" i="36"/>
  <c r="EV20" i="36" s="1"/>
  <c r="EU20" i="36"/>
  <c r="ES20" i="36"/>
  <c r="ER20" i="36"/>
  <c r="EQ20" i="36"/>
  <c r="EP20" i="36"/>
  <c r="EO20" i="36"/>
  <c r="EN20" i="36"/>
  <c r="EM20" i="36"/>
  <c r="EL20" i="36"/>
  <c r="EK20" i="36"/>
  <c r="EJ20" i="36"/>
  <c r="EI20" i="36"/>
  <c r="EH20" i="36"/>
  <c r="EG20" i="36"/>
  <c r="EF20" i="36"/>
  <c r="EE20" i="36"/>
  <c r="ED20" i="36"/>
  <c r="EC20" i="36"/>
  <c r="EB20" i="36"/>
  <c r="EA20" i="36"/>
  <c r="DZ20" i="36"/>
  <c r="EZ19" i="36"/>
  <c r="EW19" i="36"/>
  <c r="EV19" i="36" s="1"/>
  <c r="EU19" i="36"/>
  <c r="ES19" i="36"/>
  <c r="ER19" i="36"/>
  <c r="EQ19" i="36"/>
  <c r="EP19" i="36"/>
  <c r="EO19" i="36"/>
  <c r="EN19" i="36"/>
  <c r="EM19" i="36"/>
  <c r="EL19" i="36"/>
  <c r="EK19" i="36"/>
  <c r="EJ19" i="36"/>
  <c r="EI19" i="36"/>
  <c r="EH19" i="36"/>
  <c r="EG19" i="36"/>
  <c r="EF19" i="36"/>
  <c r="EE19" i="36"/>
  <c r="ED19" i="36"/>
  <c r="EC19" i="36"/>
  <c r="EB19" i="36"/>
  <c r="EA19" i="36"/>
  <c r="DZ19" i="36"/>
  <c r="EZ18" i="36"/>
  <c r="EW18" i="36"/>
  <c r="EV18" i="36" s="1"/>
  <c r="EU18" i="36"/>
  <c r="ES18" i="36"/>
  <c r="ER18" i="36"/>
  <c r="EQ18" i="36"/>
  <c r="EP18" i="36"/>
  <c r="EO18" i="36"/>
  <c r="EN18" i="36"/>
  <c r="EM18" i="36"/>
  <c r="EL18" i="36"/>
  <c r="EK18" i="36"/>
  <c r="EJ18" i="36"/>
  <c r="EI18" i="36"/>
  <c r="EH18" i="36"/>
  <c r="EG18" i="36"/>
  <c r="EF18" i="36"/>
  <c r="EE18" i="36"/>
  <c r="ED18" i="36"/>
  <c r="EC18" i="36"/>
  <c r="EB18" i="36"/>
  <c r="EA18" i="36"/>
  <c r="DZ18" i="36"/>
  <c r="EZ17" i="36"/>
  <c r="EW17" i="36"/>
  <c r="EV17" i="36" s="1"/>
  <c r="EU17" i="36"/>
  <c r="ES17" i="36"/>
  <c r="ER17" i="36"/>
  <c r="EQ17" i="36"/>
  <c r="EP17" i="36"/>
  <c r="EO17" i="36"/>
  <c r="EN17" i="36"/>
  <c r="EM17" i="36"/>
  <c r="EL17" i="36"/>
  <c r="EK17" i="36"/>
  <c r="EJ17" i="36"/>
  <c r="EI17" i="36"/>
  <c r="EH17" i="36"/>
  <c r="EG17" i="36"/>
  <c r="EF17" i="36"/>
  <c r="EE17" i="36"/>
  <c r="ED17" i="36"/>
  <c r="EC17" i="36"/>
  <c r="EB17" i="36"/>
  <c r="EA17" i="36"/>
  <c r="DZ17" i="36"/>
  <c r="EZ16" i="36"/>
  <c r="EW16" i="36"/>
  <c r="EV16" i="36" s="1"/>
  <c r="EU16" i="36"/>
  <c r="ES16" i="36"/>
  <c r="ER16" i="36"/>
  <c r="EQ16" i="36"/>
  <c r="EP16" i="36"/>
  <c r="EO16" i="36"/>
  <c r="EN16" i="36"/>
  <c r="EM16" i="36"/>
  <c r="EL16" i="36"/>
  <c r="EK16" i="36"/>
  <c r="EJ16" i="36"/>
  <c r="EI16" i="36"/>
  <c r="EH16" i="36"/>
  <c r="EG16" i="36"/>
  <c r="EF16" i="36"/>
  <c r="EE16" i="36"/>
  <c r="ED16" i="36"/>
  <c r="EC16" i="36"/>
  <c r="EB16" i="36"/>
  <c r="EA16" i="36"/>
  <c r="DZ16" i="36"/>
  <c r="EZ15" i="36"/>
  <c r="EW15" i="36"/>
  <c r="EU15" i="36"/>
  <c r="ES15" i="36"/>
  <c r="ER15" i="36"/>
  <c r="EQ15" i="36"/>
  <c r="EP15" i="36"/>
  <c r="EO15" i="36"/>
  <c r="EN15" i="36"/>
  <c r="EM15" i="36"/>
  <c r="EL15" i="36"/>
  <c r="EK15" i="36"/>
  <c r="EJ15" i="36"/>
  <c r="EI15" i="36"/>
  <c r="EH15" i="36"/>
  <c r="EG15" i="36"/>
  <c r="EF15" i="36"/>
  <c r="EE15" i="36"/>
  <c r="ED15" i="36"/>
  <c r="EC15" i="36"/>
  <c r="EB15" i="36"/>
  <c r="EA15" i="36"/>
  <c r="DZ15" i="36"/>
  <c r="EZ14" i="36"/>
  <c r="EW14" i="36"/>
  <c r="EU14" i="36"/>
  <c r="ES14" i="36"/>
  <c r="ER14" i="36"/>
  <c r="EQ14" i="36"/>
  <c r="EP14" i="36"/>
  <c r="EO14" i="36"/>
  <c r="EN14" i="36"/>
  <c r="EM14" i="36"/>
  <c r="EL14" i="36"/>
  <c r="EK14" i="36"/>
  <c r="EJ14" i="36"/>
  <c r="EI14" i="36"/>
  <c r="EH14" i="36"/>
  <c r="EG14" i="36"/>
  <c r="EF14" i="36"/>
  <c r="EE14" i="36"/>
  <c r="ED14" i="36"/>
  <c r="EC14" i="36"/>
  <c r="EB14" i="36"/>
  <c r="EA14" i="36"/>
  <c r="DZ14" i="36"/>
  <c r="EZ13" i="36"/>
  <c r="EW13" i="36"/>
  <c r="EU13" i="36"/>
  <c r="ES13" i="36"/>
  <c r="ER13" i="36"/>
  <c r="EQ13" i="36"/>
  <c r="EP13" i="36"/>
  <c r="EO13" i="36"/>
  <c r="EN13" i="36"/>
  <c r="EM13" i="36"/>
  <c r="EL13" i="36"/>
  <c r="EK13" i="36"/>
  <c r="EJ13" i="36"/>
  <c r="EI13" i="36"/>
  <c r="EH13" i="36"/>
  <c r="EG13" i="36"/>
  <c r="EF13" i="36"/>
  <c r="EE13" i="36"/>
  <c r="ED13" i="36"/>
  <c r="EC13" i="36"/>
  <c r="EB13" i="36"/>
  <c r="EA13" i="36"/>
  <c r="DZ13" i="36"/>
  <c r="EZ12" i="36"/>
  <c r="EW12" i="36"/>
  <c r="EV12" i="36" s="1"/>
  <c r="EU12" i="36"/>
  <c r="ES12" i="36"/>
  <c r="ER12" i="36"/>
  <c r="EQ12" i="36"/>
  <c r="EP12" i="36"/>
  <c r="EO12" i="36"/>
  <c r="EN12" i="36"/>
  <c r="EM12" i="36"/>
  <c r="EL12" i="36"/>
  <c r="EK12" i="36"/>
  <c r="EJ12" i="36"/>
  <c r="EI12" i="36"/>
  <c r="EH12" i="36"/>
  <c r="EG12" i="36"/>
  <c r="EF12" i="36"/>
  <c r="EE12" i="36"/>
  <c r="ED12" i="36"/>
  <c r="EC12" i="36"/>
  <c r="EB12" i="36"/>
  <c r="EA12" i="36"/>
  <c r="DZ12" i="36"/>
  <c r="EZ11" i="36"/>
  <c r="EW11" i="36"/>
  <c r="EV11" i="36" s="1"/>
  <c r="EU11" i="36"/>
  <c r="ES11" i="36"/>
  <c r="ER11" i="36"/>
  <c r="EQ11" i="36"/>
  <c r="EP11" i="36"/>
  <c r="EO11" i="36"/>
  <c r="EN11" i="36"/>
  <c r="EM11" i="36"/>
  <c r="EL11" i="36"/>
  <c r="EK11" i="36"/>
  <c r="EJ11" i="36"/>
  <c r="EI11" i="36"/>
  <c r="EH11" i="36"/>
  <c r="EG11" i="36"/>
  <c r="EF11" i="36"/>
  <c r="EE11" i="36"/>
  <c r="ED11" i="36"/>
  <c r="EC11" i="36"/>
  <c r="EB11" i="36"/>
  <c r="EA11" i="36"/>
  <c r="DZ11" i="36"/>
  <c r="EZ10" i="36"/>
  <c r="EW10" i="36"/>
  <c r="EV10" i="36" s="1"/>
  <c r="EU10" i="36"/>
  <c r="EF10" i="36"/>
  <c r="EE10" i="36"/>
  <c r="ED10" i="36"/>
  <c r="EC10" i="36"/>
  <c r="EB10" i="36"/>
  <c r="EA10" i="36"/>
  <c r="DZ10" i="36"/>
  <c r="EZ9" i="36"/>
  <c r="EW9" i="36"/>
  <c r="EU9" i="36"/>
  <c r="EF9" i="36"/>
  <c r="EE9" i="36"/>
  <c r="ED9" i="36"/>
  <c r="EC9" i="36"/>
  <c r="EB9" i="36"/>
  <c r="EA9" i="36"/>
  <c r="DZ9" i="36"/>
  <c r="DU87" i="36"/>
  <c r="DD86" i="36"/>
  <c r="DD85" i="36"/>
  <c r="DD83" i="36"/>
  <c r="DE82" i="36"/>
  <c r="DE81" i="36"/>
  <c r="DD80" i="36"/>
  <c r="DD79" i="36"/>
  <c r="DP66" i="36"/>
  <c r="DB65" i="36"/>
  <c r="DA65" i="36"/>
  <c r="CZ65" i="36"/>
  <c r="CY65" i="36"/>
  <c r="CX65" i="36"/>
  <c r="DU64" i="36"/>
  <c r="DB64" i="36"/>
  <c r="DA64" i="36"/>
  <c r="CZ64" i="36"/>
  <c r="CY64" i="36"/>
  <c r="CW64" i="36"/>
  <c r="DU63" i="36"/>
  <c r="DB63" i="36"/>
  <c r="DA63" i="36"/>
  <c r="CZ63" i="36"/>
  <c r="CY63" i="36"/>
  <c r="CX63" i="36"/>
  <c r="DB62" i="36"/>
  <c r="DA62" i="36"/>
  <c r="CZ62" i="36"/>
  <c r="CY62" i="36"/>
  <c r="CX62" i="36"/>
  <c r="CW62" i="36"/>
  <c r="CV62" i="36"/>
  <c r="DB61" i="36"/>
  <c r="DA61" i="36"/>
  <c r="CZ61" i="36"/>
  <c r="CY61" i="36"/>
  <c r="CX61" i="36"/>
  <c r="CW61" i="36"/>
  <c r="CV61" i="36"/>
  <c r="DB60" i="36"/>
  <c r="DA60" i="36"/>
  <c r="CZ60" i="36"/>
  <c r="CY60" i="36"/>
  <c r="CX60" i="36"/>
  <c r="CW60" i="36"/>
  <c r="CV60" i="36"/>
  <c r="DB59" i="36"/>
  <c r="DA59" i="36"/>
  <c r="CZ59" i="36"/>
  <c r="CY59" i="36"/>
  <c r="CX59" i="36"/>
  <c r="CV59" i="36"/>
  <c r="DC58" i="36"/>
  <c r="DB57" i="36"/>
  <c r="CZ57" i="36"/>
  <c r="DB56" i="36"/>
  <c r="DA56" i="36"/>
  <c r="CZ56" i="36"/>
  <c r="CY56" i="36"/>
  <c r="CX56" i="36"/>
  <c r="DP56" i="36" s="1"/>
  <c r="DE55" i="36"/>
  <c r="DE54" i="36"/>
  <c r="DE53" i="36"/>
  <c r="DE52" i="36"/>
  <c r="DE51" i="36"/>
  <c r="DD50" i="36"/>
  <c r="DR50" i="36" s="1"/>
  <c r="DD49" i="36"/>
  <c r="DU48" i="36"/>
  <c r="DU47" i="36"/>
  <c r="CX47" i="36"/>
  <c r="CV47" i="36"/>
  <c r="DP47" i="36" s="1"/>
  <c r="DU46" i="36"/>
  <c r="CX46" i="36"/>
  <c r="CV46" i="36"/>
  <c r="DP46" i="36" s="1"/>
  <c r="DB45" i="36"/>
  <c r="DA45" i="36"/>
  <c r="CZ45" i="36"/>
  <c r="CY45" i="36"/>
  <c r="CX45" i="36"/>
  <c r="DB43" i="36"/>
  <c r="DA43" i="36"/>
  <c r="CZ43" i="36"/>
  <c r="CY43" i="36"/>
  <c r="CX43" i="36"/>
  <c r="DB42" i="36"/>
  <c r="DA42" i="36"/>
  <c r="CZ42" i="36"/>
  <c r="CY42" i="36"/>
  <c r="DB41" i="36"/>
  <c r="DA41" i="36"/>
  <c r="CZ41" i="36"/>
  <c r="CY41" i="36"/>
  <c r="CX41" i="36"/>
  <c r="DT28" i="36"/>
  <c r="DQ28" i="36"/>
  <c r="DR28" i="36" s="1"/>
  <c r="DO28" i="36"/>
  <c r="DT27" i="36"/>
  <c r="DQ27" i="36"/>
  <c r="DS27" i="36" s="1"/>
  <c r="DO27" i="36"/>
  <c r="DT26" i="36"/>
  <c r="DQ26" i="36"/>
  <c r="DP26" i="36" s="1"/>
  <c r="DO26" i="36"/>
  <c r="DT25" i="36"/>
  <c r="DQ25" i="36"/>
  <c r="DP25" i="36" s="1"/>
  <c r="DO25" i="36"/>
  <c r="DT24" i="36"/>
  <c r="DQ24" i="36"/>
  <c r="DS24" i="36" s="1"/>
  <c r="DO24" i="36"/>
  <c r="DT23" i="36"/>
  <c r="DQ23" i="36"/>
  <c r="DR23" i="36" s="1"/>
  <c r="DO23" i="36"/>
  <c r="DM23" i="36"/>
  <c r="DL23" i="36"/>
  <c r="DK23" i="36"/>
  <c r="DJ23" i="36"/>
  <c r="DI23" i="36"/>
  <c r="DH23" i="36"/>
  <c r="DG23" i="36"/>
  <c r="DF23" i="36"/>
  <c r="DE23" i="36"/>
  <c r="DD23" i="36"/>
  <c r="DC23" i="36"/>
  <c r="DB23" i="36"/>
  <c r="DA23" i="36"/>
  <c r="CZ23" i="36"/>
  <c r="CY23" i="36"/>
  <c r="CX23" i="36"/>
  <c r="CW23" i="36"/>
  <c r="CV23" i="36"/>
  <c r="CU23" i="36"/>
  <c r="CT23" i="36"/>
  <c r="DT22" i="36"/>
  <c r="DQ22" i="36"/>
  <c r="DP22" i="36" s="1"/>
  <c r="DO22" i="36"/>
  <c r="DM22" i="36"/>
  <c r="DL22" i="36"/>
  <c r="DK22" i="36"/>
  <c r="DJ22" i="36"/>
  <c r="DI22" i="36"/>
  <c r="DH22" i="36"/>
  <c r="DG22" i="36"/>
  <c r="DF22" i="36"/>
  <c r="DE22" i="36"/>
  <c r="DD22" i="36"/>
  <c r="DC22" i="36"/>
  <c r="DB22" i="36"/>
  <c r="DA22" i="36"/>
  <c r="CZ22" i="36"/>
  <c r="CY22" i="36"/>
  <c r="CX22" i="36"/>
  <c r="CW22" i="36"/>
  <c r="CV22" i="36"/>
  <c r="CU22" i="36"/>
  <c r="CT22" i="36"/>
  <c r="DT21" i="36"/>
  <c r="DQ21" i="36"/>
  <c r="DR21" i="36" s="1"/>
  <c r="DO21" i="36"/>
  <c r="DM21" i="36"/>
  <c r="DL21" i="36"/>
  <c r="DK21" i="36"/>
  <c r="DJ21" i="36"/>
  <c r="DI21" i="36"/>
  <c r="DH21" i="36"/>
  <c r="DG21" i="36"/>
  <c r="DF21" i="36"/>
  <c r="DE21" i="36"/>
  <c r="DD21" i="36"/>
  <c r="DC21" i="36"/>
  <c r="DB21" i="36"/>
  <c r="DA21" i="36"/>
  <c r="CZ21" i="36"/>
  <c r="CY21" i="36"/>
  <c r="CX21" i="36"/>
  <c r="CW21" i="36"/>
  <c r="CV21" i="36"/>
  <c r="CU21" i="36"/>
  <c r="CT21" i="36"/>
  <c r="DT20" i="36"/>
  <c r="DQ20" i="36"/>
  <c r="DP20" i="36" s="1"/>
  <c r="DO20" i="36"/>
  <c r="DM20" i="36"/>
  <c r="DL20" i="36"/>
  <c r="DK20" i="36"/>
  <c r="DJ20" i="36"/>
  <c r="DI20" i="36"/>
  <c r="DH20" i="36"/>
  <c r="DG20" i="36"/>
  <c r="DF20" i="36"/>
  <c r="DE20" i="36"/>
  <c r="DD20" i="36"/>
  <c r="DC20" i="36"/>
  <c r="DB20" i="36"/>
  <c r="DA20" i="36"/>
  <c r="CZ20" i="36"/>
  <c r="CY20" i="36"/>
  <c r="CX20" i="36"/>
  <c r="CW20" i="36"/>
  <c r="CV20" i="36"/>
  <c r="CU20" i="36"/>
  <c r="CT20" i="36"/>
  <c r="DT19" i="36"/>
  <c r="DQ19" i="36"/>
  <c r="DV19" i="36" s="1"/>
  <c r="DO19" i="36"/>
  <c r="DM19" i="36"/>
  <c r="DL19" i="36"/>
  <c r="DK19" i="36"/>
  <c r="DJ19" i="36"/>
  <c r="DI19" i="36"/>
  <c r="DH19" i="36"/>
  <c r="DG19" i="36"/>
  <c r="DF19" i="36"/>
  <c r="DE19" i="36"/>
  <c r="DD19" i="36"/>
  <c r="DC19" i="36"/>
  <c r="DB19" i="36"/>
  <c r="DA19" i="36"/>
  <c r="CZ19" i="36"/>
  <c r="CY19" i="36"/>
  <c r="CX19" i="36"/>
  <c r="CW19" i="36"/>
  <c r="CV19" i="36"/>
  <c r="CU19" i="36"/>
  <c r="CT19" i="36"/>
  <c r="DT18" i="36"/>
  <c r="DQ18" i="36"/>
  <c r="DS18" i="36" s="1"/>
  <c r="DO18" i="36"/>
  <c r="DM18" i="36"/>
  <c r="DL18" i="36"/>
  <c r="DK18" i="36"/>
  <c r="DJ18" i="36"/>
  <c r="DI18" i="36"/>
  <c r="DH18" i="36"/>
  <c r="DG18" i="36"/>
  <c r="DF18" i="36"/>
  <c r="DE18" i="36"/>
  <c r="DD18" i="36"/>
  <c r="DC18" i="36"/>
  <c r="DB18" i="36"/>
  <c r="DA18" i="36"/>
  <c r="CZ18" i="36"/>
  <c r="CY18" i="36"/>
  <c r="CX18" i="36"/>
  <c r="CW18" i="36"/>
  <c r="CV18" i="36"/>
  <c r="CU18" i="36"/>
  <c r="CT18" i="36"/>
  <c r="DT17" i="36"/>
  <c r="DQ17" i="36"/>
  <c r="DP17" i="36" s="1"/>
  <c r="DO17" i="36"/>
  <c r="DM17" i="36"/>
  <c r="DL17" i="36"/>
  <c r="DK17" i="36"/>
  <c r="DJ17" i="36"/>
  <c r="DI17" i="36"/>
  <c r="DH17" i="36"/>
  <c r="DG17" i="36"/>
  <c r="DF17" i="36"/>
  <c r="DE17" i="36"/>
  <c r="DD17" i="36"/>
  <c r="DC17" i="36"/>
  <c r="DB17" i="36"/>
  <c r="DA17" i="36"/>
  <c r="CZ17" i="36"/>
  <c r="CY17" i="36"/>
  <c r="CX17" i="36"/>
  <c r="CW17" i="36"/>
  <c r="CV17" i="36"/>
  <c r="CU17" i="36"/>
  <c r="CT17" i="36"/>
  <c r="DT16" i="36"/>
  <c r="DQ16" i="36"/>
  <c r="DP16" i="36" s="1"/>
  <c r="DO16" i="36"/>
  <c r="DM16" i="36"/>
  <c r="DL16" i="36"/>
  <c r="DK16" i="36"/>
  <c r="DJ16" i="36"/>
  <c r="DI16" i="36"/>
  <c r="DH16" i="36"/>
  <c r="DG16" i="36"/>
  <c r="DF16" i="36"/>
  <c r="DE16" i="36"/>
  <c r="DD16" i="36"/>
  <c r="DC16" i="36"/>
  <c r="DB16" i="36"/>
  <c r="DA16" i="36"/>
  <c r="CZ16" i="36"/>
  <c r="CY16" i="36"/>
  <c r="CX16" i="36"/>
  <c r="CW16" i="36"/>
  <c r="CV16" i="36"/>
  <c r="CU16" i="36"/>
  <c r="CT16" i="36"/>
  <c r="DT15" i="36"/>
  <c r="DQ15" i="36"/>
  <c r="DP15" i="36" s="1"/>
  <c r="DO15" i="36"/>
  <c r="DM15" i="36"/>
  <c r="DL15" i="36"/>
  <c r="DK15" i="36"/>
  <c r="DJ15" i="36"/>
  <c r="DI15" i="36"/>
  <c r="DH15" i="36"/>
  <c r="DG15" i="36"/>
  <c r="DF15" i="36"/>
  <c r="DE15" i="36"/>
  <c r="DD15" i="36"/>
  <c r="DC15" i="36"/>
  <c r="DB15" i="36"/>
  <c r="DA15" i="36"/>
  <c r="CZ15" i="36"/>
  <c r="CY15" i="36"/>
  <c r="CX15" i="36"/>
  <c r="CW15" i="36"/>
  <c r="CV15" i="36"/>
  <c r="CU15" i="36"/>
  <c r="CT15" i="36"/>
  <c r="DT14" i="36"/>
  <c r="DQ14" i="36"/>
  <c r="DP14" i="36" s="1"/>
  <c r="DO14" i="36"/>
  <c r="DM14" i="36"/>
  <c r="DL14" i="36"/>
  <c r="DK14" i="36"/>
  <c r="DJ14" i="36"/>
  <c r="DI14" i="36"/>
  <c r="DH14" i="36"/>
  <c r="DG14" i="36"/>
  <c r="DF14" i="36"/>
  <c r="DE14" i="36"/>
  <c r="DD14" i="36"/>
  <c r="DC14" i="36"/>
  <c r="DB14" i="36"/>
  <c r="DA14" i="36"/>
  <c r="CZ14" i="36"/>
  <c r="CY14" i="36"/>
  <c r="CX14" i="36"/>
  <c r="CW14" i="36"/>
  <c r="CV14" i="36"/>
  <c r="CU14" i="36"/>
  <c r="CT14" i="36"/>
  <c r="DT13" i="36"/>
  <c r="DQ13" i="36"/>
  <c r="DP13" i="36" s="1"/>
  <c r="DO13" i="36"/>
  <c r="DM13" i="36"/>
  <c r="DL13" i="36"/>
  <c r="DK13" i="36"/>
  <c r="DJ13" i="36"/>
  <c r="DI13" i="36"/>
  <c r="DH13" i="36"/>
  <c r="DG13" i="36"/>
  <c r="DF13" i="36"/>
  <c r="DE13" i="36"/>
  <c r="DD13" i="36"/>
  <c r="DC13" i="36"/>
  <c r="DB13" i="36"/>
  <c r="DA13" i="36"/>
  <c r="CZ13" i="36"/>
  <c r="CY13" i="36"/>
  <c r="CX13" i="36"/>
  <c r="CW13" i="36"/>
  <c r="CV13" i="36"/>
  <c r="CU13" i="36"/>
  <c r="CT13" i="36"/>
  <c r="DT12" i="36"/>
  <c r="DQ12" i="36"/>
  <c r="DP12" i="36" s="1"/>
  <c r="DO12" i="36"/>
  <c r="DM12" i="36"/>
  <c r="DL12" i="36"/>
  <c r="DK12" i="36"/>
  <c r="DJ12" i="36"/>
  <c r="DI12" i="36"/>
  <c r="DH12" i="36"/>
  <c r="DG12" i="36"/>
  <c r="DF12" i="36"/>
  <c r="DE12" i="36"/>
  <c r="DD12" i="36"/>
  <c r="DC12" i="36"/>
  <c r="DB12" i="36"/>
  <c r="DA12" i="36"/>
  <c r="CZ12" i="36"/>
  <c r="CY12" i="36"/>
  <c r="CX12" i="36"/>
  <c r="CW12" i="36"/>
  <c r="CV12" i="36"/>
  <c r="CU12" i="36"/>
  <c r="CT12" i="36"/>
  <c r="DT11" i="36"/>
  <c r="DQ11" i="36"/>
  <c r="DP11" i="36" s="1"/>
  <c r="DO11" i="36"/>
  <c r="DM11" i="36"/>
  <c r="DL11" i="36"/>
  <c r="DK11" i="36"/>
  <c r="DJ11" i="36"/>
  <c r="DI11" i="36"/>
  <c r="DH11" i="36"/>
  <c r="DG11" i="36"/>
  <c r="DF11" i="36"/>
  <c r="DE11" i="36"/>
  <c r="DD11" i="36"/>
  <c r="DC11" i="36"/>
  <c r="DB11" i="36"/>
  <c r="DA11" i="36"/>
  <c r="CZ11" i="36"/>
  <c r="CY11" i="36"/>
  <c r="CX11" i="36"/>
  <c r="CW11" i="36"/>
  <c r="CV11" i="36"/>
  <c r="CU11" i="36"/>
  <c r="CT11" i="36"/>
  <c r="DT10" i="36"/>
  <c r="DQ10" i="36"/>
  <c r="DP10" i="36" s="1"/>
  <c r="DO10" i="36"/>
  <c r="CZ10" i="36"/>
  <c r="CY10" i="36"/>
  <c r="CX10" i="36"/>
  <c r="CW10" i="36"/>
  <c r="CV10" i="36"/>
  <c r="CU10" i="36"/>
  <c r="CT10" i="36"/>
  <c r="DT9" i="36"/>
  <c r="DQ9" i="36"/>
  <c r="DP9" i="36" s="1"/>
  <c r="DO9" i="36"/>
  <c r="CZ9" i="36"/>
  <c r="CY9" i="36"/>
  <c r="CX9" i="36"/>
  <c r="CW9" i="36"/>
  <c r="CV9" i="36"/>
  <c r="CU9" i="36"/>
  <c r="CT9" i="36"/>
  <c r="CO87" i="36"/>
  <c r="BX86" i="36"/>
  <c r="BX85" i="36"/>
  <c r="CN84" i="36"/>
  <c r="BX83" i="36"/>
  <c r="CN83" i="36" s="1"/>
  <c r="BY82" i="36"/>
  <c r="BY81" i="36"/>
  <c r="BX80" i="36"/>
  <c r="BX79" i="36"/>
  <c r="BV65" i="36"/>
  <c r="BU65" i="36"/>
  <c r="BT65" i="36"/>
  <c r="BS65" i="36"/>
  <c r="BR65" i="36"/>
  <c r="CO64" i="36"/>
  <c r="BV64" i="36"/>
  <c r="BU64" i="36"/>
  <c r="BT64" i="36"/>
  <c r="BS64" i="36"/>
  <c r="BQ64" i="36"/>
  <c r="CO63" i="36"/>
  <c r="BV63" i="36"/>
  <c r="BU63" i="36"/>
  <c r="BT63" i="36"/>
  <c r="BS63" i="36"/>
  <c r="BR63" i="36"/>
  <c r="BV62" i="36"/>
  <c r="BU62" i="36"/>
  <c r="BT62" i="36"/>
  <c r="BS62" i="36"/>
  <c r="BR62" i="36"/>
  <c r="BQ62" i="36"/>
  <c r="BP62" i="36"/>
  <c r="BV61" i="36"/>
  <c r="BU61" i="36"/>
  <c r="BT61" i="36"/>
  <c r="BS61" i="36"/>
  <c r="BR61" i="36"/>
  <c r="BQ61" i="36"/>
  <c r="BP61" i="36"/>
  <c r="BV60" i="36"/>
  <c r="BU60" i="36"/>
  <c r="BT60" i="36"/>
  <c r="BS60" i="36"/>
  <c r="BR60" i="36"/>
  <c r="BQ60" i="36"/>
  <c r="BP60" i="36"/>
  <c r="BW58" i="36"/>
  <c r="BV57" i="36"/>
  <c r="BT57" i="36"/>
  <c r="BV56" i="36"/>
  <c r="BU56" i="36"/>
  <c r="BT56" i="36"/>
  <c r="BS56" i="36"/>
  <c r="BR56" i="36"/>
  <c r="CJ56" i="36" s="1"/>
  <c r="BY55" i="36"/>
  <c r="BY54" i="36"/>
  <c r="BY53" i="36"/>
  <c r="BY52" i="36"/>
  <c r="BY51" i="36"/>
  <c r="BX50" i="36"/>
  <c r="CL50" i="36" s="1"/>
  <c r="BX49" i="36"/>
  <c r="CO48" i="36"/>
  <c r="CN48" i="36"/>
  <c r="CO47" i="36"/>
  <c r="BR47" i="36"/>
  <c r="BP47" i="36"/>
  <c r="CN47" i="36" s="1"/>
  <c r="CO46" i="36"/>
  <c r="BR46" i="36"/>
  <c r="BP46" i="36"/>
  <c r="CM46" i="36" s="1"/>
  <c r="BV45" i="36"/>
  <c r="BU45" i="36"/>
  <c r="BT45" i="36"/>
  <c r="BS45" i="36"/>
  <c r="BR45" i="36"/>
  <c r="BV43" i="36"/>
  <c r="BU43" i="36"/>
  <c r="BT43" i="36"/>
  <c r="BS43" i="36"/>
  <c r="BR43" i="36"/>
  <c r="BV42" i="36"/>
  <c r="BU42" i="36"/>
  <c r="BT42" i="36"/>
  <c r="BS42" i="36"/>
  <c r="BV41" i="36"/>
  <c r="BU41" i="36"/>
  <c r="BT41" i="36"/>
  <c r="BS41" i="36"/>
  <c r="BR41" i="36"/>
  <c r="CN28" i="36"/>
  <c r="CK28" i="36"/>
  <c r="CJ28" i="36" s="1"/>
  <c r="CI28" i="36"/>
  <c r="CN27" i="36"/>
  <c r="CK27" i="36"/>
  <c r="CJ27" i="36" s="1"/>
  <c r="CI27" i="36"/>
  <c r="CN26" i="36"/>
  <c r="CK26" i="36"/>
  <c r="CJ26" i="36" s="1"/>
  <c r="CI26" i="36"/>
  <c r="CN25" i="36"/>
  <c r="CK25" i="36"/>
  <c r="CJ25" i="36" s="1"/>
  <c r="CI25" i="36"/>
  <c r="CN24" i="36"/>
  <c r="CK24" i="36"/>
  <c r="CJ24" i="36" s="1"/>
  <c r="CI24" i="36"/>
  <c r="CN23" i="36"/>
  <c r="CK23" i="36"/>
  <c r="CJ23" i="36" s="1"/>
  <c r="CI23" i="36"/>
  <c r="CG23" i="36"/>
  <c r="CF23" i="36"/>
  <c r="CE23" i="36"/>
  <c r="CD23" i="36"/>
  <c r="CC23" i="36"/>
  <c r="CB23" i="36"/>
  <c r="CA23" i="36"/>
  <c r="BZ23" i="36"/>
  <c r="BY23" i="36"/>
  <c r="BX23" i="36"/>
  <c r="BW23" i="36"/>
  <c r="BV23" i="36"/>
  <c r="BU23" i="36"/>
  <c r="BT23" i="36"/>
  <c r="BS23" i="36"/>
  <c r="BR23" i="36"/>
  <c r="BQ23" i="36"/>
  <c r="BP23" i="36"/>
  <c r="BO23" i="36"/>
  <c r="BN23" i="36"/>
  <c r="CN22" i="36"/>
  <c r="CK22" i="36"/>
  <c r="CM22" i="36" s="1"/>
  <c r="CI22" i="36"/>
  <c r="CG22" i="36"/>
  <c r="CF22" i="36"/>
  <c r="CE22" i="36"/>
  <c r="CD22" i="36"/>
  <c r="CC22" i="36"/>
  <c r="CB22" i="36"/>
  <c r="CA22" i="36"/>
  <c r="BZ22" i="36"/>
  <c r="BY22" i="36"/>
  <c r="BX22" i="36"/>
  <c r="BW22" i="36"/>
  <c r="BV22" i="36"/>
  <c r="BU22" i="36"/>
  <c r="BT22" i="36"/>
  <c r="BS22" i="36"/>
  <c r="BR22" i="36"/>
  <c r="BQ22" i="36"/>
  <c r="BP22" i="36"/>
  <c r="BO22" i="36"/>
  <c r="BN22" i="36"/>
  <c r="CN21" i="36"/>
  <c r="CK21" i="36"/>
  <c r="CP21" i="36" s="1"/>
  <c r="CI21" i="36"/>
  <c r="CG21" i="36"/>
  <c r="CF21" i="36"/>
  <c r="CE21" i="36"/>
  <c r="CD21" i="36"/>
  <c r="CC21" i="36"/>
  <c r="CB21" i="36"/>
  <c r="CA21" i="36"/>
  <c r="BZ21" i="36"/>
  <c r="BY21" i="36"/>
  <c r="BX21" i="36"/>
  <c r="BW21" i="36"/>
  <c r="BV21" i="36"/>
  <c r="BU21" i="36"/>
  <c r="BT21" i="36"/>
  <c r="BS21" i="36"/>
  <c r="BR21" i="36"/>
  <c r="BQ21" i="36"/>
  <c r="BP21" i="36"/>
  <c r="BO21" i="36"/>
  <c r="BN21" i="36"/>
  <c r="CN20" i="36"/>
  <c r="CK20" i="36"/>
  <c r="CJ20" i="36" s="1"/>
  <c r="CI20" i="36"/>
  <c r="CG20" i="36"/>
  <c r="CF20" i="36"/>
  <c r="CE20" i="36"/>
  <c r="CD20" i="36"/>
  <c r="CC20" i="36"/>
  <c r="CB20" i="36"/>
  <c r="CA20" i="36"/>
  <c r="BZ20" i="36"/>
  <c r="BY20" i="36"/>
  <c r="BX20" i="36"/>
  <c r="BW20" i="36"/>
  <c r="BV20" i="36"/>
  <c r="BU20" i="36"/>
  <c r="BT20" i="36"/>
  <c r="BS20" i="36"/>
  <c r="BR20" i="36"/>
  <c r="BQ20" i="36"/>
  <c r="BP20" i="36"/>
  <c r="BO20" i="36"/>
  <c r="BN20" i="36"/>
  <c r="CN19" i="36"/>
  <c r="CK19" i="36"/>
  <c r="CJ19" i="36" s="1"/>
  <c r="CI19" i="36"/>
  <c r="CG19" i="36"/>
  <c r="CF19" i="36"/>
  <c r="CE19" i="36"/>
  <c r="CD19" i="36"/>
  <c r="CC19" i="36"/>
  <c r="CB19" i="36"/>
  <c r="CA19" i="36"/>
  <c r="BZ19" i="36"/>
  <c r="BY19" i="36"/>
  <c r="BX19" i="36"/>
  <c r="BW19" i="36"/>
  <c r="BV19" i="36"/>
  <c r="BU19" i="36"/>
  <c r="BT19" i="36"/>
  <c r="BS19" i="36"/>
  <c r="BR19" i="36"/>
  <c r="BQ19" i="36"/>
  <c r="BP19" i="36"/>
  <c r="BO19" i="36"/>
  <c r="BN19" i="36"/>
  <c r="CN18" i="36"/>
  <c r="CK18" i="36"/>
  <c r="CM18" i="36" s="1"/>
  <c r="CI18" i="36"/>
  <c r="CG18" i="36"/>
  <c r="CF18" i="36"/>
  <c r="CE18" i="36"/>
  <c r="CD18" i="36"/>
  <c r="CC18" i="36"/>
  <c r="CB18" i="36"/>
  <c r="CA18" i="36"/>
  <c r="BZ18" i="36"/>
  <c r="BY18" i="36"/>
  <c r="BX18" i="36"/>
  <c r="BW18" i="36"/>
  <c r="BV18" i="36"/>
  <c r="BU18" i="36"/>
  <c r="BT18" i="36"/>
  <c r="BS18" i="36"/>
  <c r="BR18" i="36"/>
  <c r="BQ18" i="36"/>
  <c r="BP18" i="36"/>
  <c r="BO18" i="36"/>
  <c r="BN18" i="36"/>
  <c r="CN17" i="36"/>
  <c r="CK17" i="36"/>
  <c r="CP17" i="36" s="1"/>
  <c r="CI17" i="36"/>
  <c r="CG17" i="36"/>
  <c r="CF17" i="36"/>
  <c r="CE17" i="36"/>
  <c r="CD17" i="36"/>
  <c r="CC17" i="36"/>
  <c r="CB17" i="36"/>
  <c r="CA17" i="36"/>
  <c r="BZ17" i="36"/>
  <c r="BY17" i="36"/>
  <c r="BX17" i="36"/>
  <c r="BW17" i="36"/>
  <c r="BV17" i="36"/>
  <c r="BU17" i="36"/>
  <c r="BT17" i="36"/>
  <c r="BS17" i="36"/>
  <c r="BR17" i="36"/>
  <c r="BQ17" i="36"/>
  <c r="BP17" i="36"/>
  <c r="BO17" i="36"/>
  <c r="BN17" i="36"/>
  <c r="CN16" i="36"/>
  <c r="CK16" i="36"/>
  <c r="CJ16" i="36" s="1"/>
  <c r="CI16" i="36"/>
  <c r="CG16" i="36"/>
  <c r="CF16" i="36"/>
  <c r="CE16" i="36"/>
  <c r="CD16" i="36"/>
  <c r="CC16" i="36"/>
  <c r="CB16" i="36"/>
  <c r="CA16" i="36"/>
  <c r="BZ16" i="36"/>
  <c r="BY16" i="36"/>
  <c r="BX16" i="36"/>
  <c r="BW16" i="36"/>
  <c r="BV16" i="36"/>
  <c r="BU16" i="36"/>
  <c r="BT16" i="36"/>
  <c r="BS16" i="36"/>
  <c r="BR16" i="36"/>
  <c r="BQ16" i="36"/>
  <c r="BP16" i="36"/>
  <c r="BO16" i="36"/>
  <c r="BN16" i="36"/>
  <c r="CN15" i="36"/>
  <c r="CK15" i="36"/>
  <c r="CJ15" i="36" s="1"/>
  <c r="CI15" i="36"/>
  <c r="CG15" i="36"/>
  <c r="CF15" i="36"/>
  <c r="CE15" i="36"/>
  <c r="CD15" i="36"/>
  <c r="CC15" i="36"/>
  <c r="CB15" i="36"/>
  <c r="CA15" i="36"/>
  <c r="BZ15" i="36"/>
  <c r="BY15" i="36"/>
  <c r="BX15" i="36"/>
  <c r="BW15" i="36"/>
  <c r="BV15" i="36"/>
  <c r="BU15" i="36"/>
  <c r="BT15" i="36"/>
  <c r="BS15" i="36"/>
  <c r="BR15" i="36"/>
  <c r="BQ15" i="36"/>
  <c r="BP15" i="36"/>
  <c r="BO15" i="36"/>
  <c r="BN15" i="36"/>
  <c r="CN14" i="36"/>
  <c r="CK14" i="36"/>
  <c r="CM14" i="36" s="1"/>
  <c r="CI14" i="36"/>
  <c r="CG14" i="36"/>
  <c r="CF14" i="36"/>
  <c r="CE14" i="36"/>
  <c r="CD14" i="36"/>
  <c r="CC14" i="36"/>
  <c r="CB14" i="36"/>
  <c r="CA14" i="36"/>
  <c r="BZ14" i="36"/>
  <c r="BY14" i="36"/>
  <c r="BX14" i="36"/>
  <c r="BW14" i="36"/>
  <c r="BV14" i="36"/>
  <c r="BU14" i="36"/>
  <c r="BT14" i="36"/>
  <c r="BS14" i="36"/>
  <c r="BR14" i="36"/>
  <c r="BQ14" i="36"/>
  <c r="BP14" i="36"/>
  <c r="BO14" i="36"/>
  <c r="BN14" i="36"/>
  <c r="CN13" i="36"/>
  <c r="CK13" i="36"/>
  <c r="CI13" i="36"/>
  <c r="CG13" i="36"/>
  <c r="CF13" i="36"/>
  <c r="CE13" i="36"/>
  <c r="CD13" i="36"/>
  <c r="CC13" i="36"/>
  <c r="CB13" i="36"/>
  <c r="CA13" i="36"/>
  <c r="BZ13" i="36"/>
  <c r="BY13" i="36"/>
  <c r="BX13" i="36"/>
  <c r="BW13" i="36"/>
  <c r="BV13" i="36"/>
  <c r="BU13" i="36"/>
  <c r="BT13" i="36"/>
  <c r="BS13" i="36"/>
  <c r="BR13" i="36"/>
  <c r="BQ13" i="36"/>
  <c r="BP13" i="36"/>
  <c r="BO13" i="36"/>
  <c r="BN13" i="36"/>
  <c r="CN12" i="36"/>
  <c r="CK12" i="36"/>
  <c r="CJ12" i="36" s="1"/>
  <c r="CI12" i="36"/>
  <c r="BT12" i="36"/>
  <c r="BS12" i="36"/>
  <c r="BR12" i="36"/>
  <c r="BQ12" i="36"/>
  <c r="BP12" i="36"/>
  <c r="BO12" i="36"/>
  <c r="BN12" i="36"/>
  <c r="CN11" i="36"/>
  <c r="CK11" i="36"/>
  <c r="CJ11" i="36" s="1"/>
  <c r="CI11" i="36"/>
  <c r="BT11" i="36"/>
  <c r="BS11" i="36"/>
  <c r="BR11" i="36"/>
  <c r="BQ11" i="36"/>
  <c r="BP11" i="36"/>
  <c r="BO11" i="36"/>
  <c r="BN11" i="36"/>
  <c r="CN10" i="36"/>
  <c r="CK10" i="36"/>
  <c r="CM10" i="36" s="1"/>
  <c r="CI10" i="36"/>
  <c r="BT10" i="36"/>
  <c r="BS10" i="36"/>
  <c r="BR10" i="36"/>
  <c r="BQ10" i="36"/>
  <c r="BP10" i="36"/>
  <c r="BO10" i="36"/>
  <c r="BN10" i="36"/>
  <c r="CN9" i="36"/>
  <c r="CK9" i="36"/>
  <c r="CM9" i="36" s="1"/>
  <c r="CI9" i="36"/>
  <c r="BT9" i="36"/>
  <c r="BS9" i="36"/>
  <c r="BR9" i="36"/>
  <c r="BQ9" i="36"/>
  <c r="BP9" i="36"/>
  <c r="BO9" i="36"/>
  <c r="BN9" i="36"/>
  <c r="BI87" i="36"/>
  <c r="AR86" i="36"/>
  <c r="AR85" i="36"/>
  <c r="AR83" i="36"/>
  <c r="BH83" i="36" s="1"/>
  <c r="AS82" i="36"/>
  <c r="AS81" i="36"/>
  <c r="AR80" i="36"/>
  <c r="AR79" i="36"/>
  <c r="AP65" i="36"/>
  <c r="AO65" i="36"/>
  <c r="AN65" i="36"/>
  <c r="AM65" i="36"/>
  <c r="AL65" i="36"/>
  <c r="BI64" i="36"/>
  <c r="AP64" i="36"/>
  <c r="AO64" i="36"/>
  <c r="AN64" i="36"/>
  <c r="AM64" i="36"/>
  <c r="AK64" i="36"/>
  <c r="AP63" i="36"/>
  <c r="AO63" i="36"/>
  <c r="AN63" i="36"/>
  <c r="AM63" i="36"/>
  <c r="AL63" i="36"/>
  <c r="AP62" i="36"/>
  <c r="AO62" i="36"/>
  <c r="AN62" i="36"/>
  <c r="AM62" i="36"/>
  <c r="AL62" i="36"/>
  <c r="AK62" i="36"/>
  <c r="AJ62" i="36"/>
  <c r="AP61" i="36"/>
  <c r="AO61" i="36"/>
  <c r="AN61" i="36"/>
  <c r="AM61" i="36"/>
  <c r="AL61" i="36"/>
  <c r="AK61" i="36"/>
  <c r="AJ61" i="36"/>
  <c r="AP60" i="36"/>
  <c r="AO60" i="36"/>
  <c r="AN60" i="36"/>
  <c r="AM60" i="36"/>
  <c r="AL60" i="36"/>
  <c r="AK60" i="36"/>
  <c r="AJ60" i="36"/>
  <c r="AQ58" i="36"/>
  <c r="AP57" i="36"/>
  <c r="AN57" i="36"/>
  <c r="AP56" i="36"/>
  <c r="AO56" i="36"/>
  <c r="AN56" i="36"/>
  <c r="AM56" i="36"/>
  <c r="AL56" i="36"/>
  <c r="BD56" i="36" s="1"/>
  <c r="AS55" i="36"/>
  <c r="AS54" i="36"/>
  <c r="AS53" i="36"/>
  <c r="AS52" i="36"/>
  <c r="AS51" i="36"/>
  <c r="AR50" i="36"/>
  <c r="BF50" i="36" s="1"/>
  <c r="AR49" i="36"/>
  <c r="BI48" i="36"/>
  <c r="BE48" i="36"/>
  <c r="BI47" i="36"/>
  <c r="AL47" i="36"/>
  <c r="AJ47" i="36"/>
  <c r="BH47" i="36" s="1"/>
  <c r="BI46" i="36"/>
  <c r="AL46" i="36"/>
  <c r="AJ46" i="36"/>
  <c r="BG46" i="36" s="1"/>
  <c r="AP45" i="36"/>
  <c r="AO45" i="36"/>
  <c r="AN45" i="36"/>
  <c r="AM45" i="36"/>
  <c r="AL45" i="36"/>
  <c r="AP43" i="36"/>
  <c r="AO43" i="36"/>
  <c r="AN43" i="36"/>
  <c r="AM43" i="36"/>
  <c r="AL43" i="36"/>
  <c r="AP42" i="36"/>
  <c r="AO42" i="36"/>
  <c r="AN42" i="36"/>
  <c r="AM42" i="36"/>
  <c r="AP41" i="36"/>
  <c r="AO41" i="36"/>
  <c r="AN41" i="36"/>
  <c r="AM41" i="36"/>
  <c r="AL41" i="36"/>
  <c r="BH28" i="36"/>
  <c r="BE28" i="36"/>
  <c r="BD28" i="36" s="1"/>
  <c r="BC28" i="36"/>
  <c r="BH27" i="36"/>
  <c r="BE27" i="36"/>
  <c r="BD27" i="36" s="1"/>
  <c r="BC27" i="36"/>
  <c r="BH26" i="36"/>
  <c r="BE26" i="36"/>
  <c r="BD26" i="36" s="1"/>
  <c r="BC26" i="36"/>
  <c r="BH25" i="36"/>
  <c r="BE25" i="36"/>
  <c r="BD25" i="36" s="1"/>
  <c r="BC25" i="36"/>
  <c r="BH24" i="36"/>
  <c r="BE24" i="36"/>
  <c r="BD24" i="36" s="1"/>
  <c r="BC24" i="36"/>
  <c r="BH23" i="36"/>
  <c r="BE23" i="36"/>
  <c r="BD23" i="36" s="1"/>
  <c r="BC23" i="36"/>
  <c r="BA23" i="36"/>
  <c r="AZ23" i="36"/>
  <c r="AY23" i="36"/>
  <c r="AX23" i="36"/>
  <c r="AW23" i="36"/>
  <c r="AV23" i="36"/>
  <c r="AU23" i="36"/>
  <c r="AT23" i="36"/>
  <c r="AS23" i="36"/>
  <c r="AR23" i="36"/>
  <c r="AQ23" i="36"/>
  <c r="AP23" i="36"/>
  <c r="AO23" i="36"/>
  <c r="AN23" i="36"/>
  <c r="AM23" i="36"/>
  <c r="AL23" i="36"/>
  <c r="AK23" i="36"/>
  <c r="AJ23" i="36"/>
  <c r="AI23" i="36"/>
  <c r="AH23" i="36"/>
  <c r="BH22" i="36"/>
  <c r="BE22" i="36"/>
  <c r="BD22" i="36" s="1"/>
  <c r="BC22" i="36"/>
  <c r="BA22" i="36"/>
  <c r="AZ22" i="36"/>
  <c r="AY22" i="36"/>
  <c r="AX22" i="36"/>
  <c r="AW22" i="36"/>
  <c r="AV22" i="36"/>
  <c r="AU22" i="36"/>
  <c r="AT22" i="36"/>
  <c r="AS22" i="36"/>
  <c r="AR22" i="36"/>
  <c r="AQ22" i="36"/>
  <c r="AP22" i="36"/>
  <c r="AO22" i="36"/>
  <c r="AN22" i="36"/>
  <c r="AM22" i="36"/>
  <c r="AL22" i="36"/>
  <c r="AK22" i="36"/>
  <c r="AJ22" i="36"/>
  <c r="AI22" i="36"/>
  <c r="AH22" i="36"/>
  <c r="BH21" i="36"/>
  <c r="BE21" i="36"/>
  <c r="BD21" i="36" s="1"/>
  <c r="BC21" i="36"/>
  <c r="BA21" i="36"/>
  <c r="AZ21" i="36"/>
  <c r="AY21" i="36"/>
  <c r="AX21" i="36"/>
  <c r="AW21" i="36"/>
  <c r="AV21" i="36"/>
  <c r="AU21" i="36"/>
  <c r="AT21" i="36"/>
  <c r="AS21" i="36"/>
  <c r="AR21" i="36"/>
  <c r="AQ21" i="36"/>
  <c r="AP21" i="36"/>
  <c r="AO21" i="36"/>
  <c r="AN21" i="36"/>
  <c r="AM21" i="36"/>
  <c r="AL21" i="36"/>
  <c r="AK21" i="36"/>
  <c r="AJ21" i="36"/>
  <c r="AI21" i="36"/>
  <c r="AH21" i="36"/>
  <c r="BH20" i="36"/>
  <c r="BE20" i="36"/>
  <c r="BD20" i="36" s="1"/>
  <c r="BC20" i="36"/>
  <c r="BA20" i="36"/>
  <c r="AZ20" i="36"/>
  <c r="AY20" i="36"/>
  <c r="AX20" i="36"/>
  <c r="AW20" i="36"/>
  <c r="AV20" i="36"/>
  <c r="AU20" i="36"/>
  <c r="AT20" i="36"/>
  <c r="AS20" i="36"/>
  <c r="AR20" i="36"/>
  <c r="AQ20" i="36"/>
  <c r="AP20" i="36"/>
  <c r="AO20" i="36"/>
  <c r="AN20" i="36"/>
  <c r="AM20" i="36"/>
  <c r="AL20" i="36"/>
  <c r="AK20" i="36"/>
  <c r="AJ20" i="36"/>
  <c r="AI20" i="36"/>
  <c r="AH20" i="36"/>
  <c r="BH19" i="36"/>
  <c r="BE19" i="36"/>
  <c r="BD19" i="36" s="1"/>
  <c r="BC19" i="36"/>
  <c r="BA19" i="36"/>
  <c r="AZ19" i="36"/>
  <c r="AY19" i="36"/>
  <c r="AX19" i="36"/>
  <c r="AW19" i="36"/>
  <c r="AV19" i="36"/>
  <c r="AU19" i="36"/>
  <c r="AT19" i="36"/>
  <c r="AS19" i="36"/>
  <c r="AR19" i="36"/>
  <c r="AQ19" i="36"/>
  <c r="AP19" i="36"/>
  <c r="AO19" i="36"/>
  <c r="AN19" i="36"/>
  <c r="AM19" i="36"/>
  <c r="AL19" i="36"/>
  <c r="AK19" i="36"/>
  <c r="AJ19" i="36"/>
  <c r="AI19" i="36"/>
  <c r="AH19" i="36"/>
  <c r="BH18" i="36"/>
  <c r="BE18" i="36"/>
  <c r="BD18" i="36" s="1"/>
  <c r="BC18" i="36"/>
  <c r="BA18" i="36"/>
  <c r="AZ18" i="36"/>
  <c r="AY18" i="36"/>
  <c r="AX18" i="36"/>
  <c r="AW18" i="36"/>
  <c r="AV18" i="36"/>
  <c r="AU18" i="36"/>
  <c r="AT18" i="36"/>
  <c r="AS18" i="36"/>
  <c r="AR18" i="36"/>
  <c r="AQ18" i="36"/>
  <c r="AP18" i="36"/>
  <c r="AO18" i="36"/>
  <c r="AN18" i="36"/>
  <c r="AM18" i="36"/>
  <c r="AL18" i="36"/>
  <c r="AK18" i="36"/>
  <c r="AJ18" i="36"/>
  <c r="AI18" i="36"/>
  <c r="AH18" i="36"/>
  <c r="BH17" i="36"/>
  <c r="BE17" i="36"/>
  <c r="BD17" i="36" s="1"/>
  <c r="BC17" i="36"/>
  <c r="BA17" i="36"/>
  <c r="AZ17" i="36"/>
  <c r="AY17" i="36"/>
  <c r="AX17" i="36"/>
  <c r="AW17" i="36"/>
  <c r="AV17" i="36"/>
  <c r="AU17" i="36"/>
  <c r="AT17" i="36"/>
  <c r="AS17" i="36"/>
  <c r="AR17" i="36"/>
  <c r="AQ17" i="36"/>
  <c r="AP17" i="36"/>
  <c r="AO17" i="36"/>
  <c r="AN17" i="36"/>
  <c r="AM17" i="36"/>
  <c r="AL17" i="36"/>
  <c r="AK17" i="36"/>
  <c r="AJ17" i="36"/>
  <c r="AI17" i="36"/>
  <c r="AH17" i="36"/>
  <c r="BH16" i="36"/>
  <c r="BE16" i="36"/>
  <c r="BD16" i="36" s="1"/>
  <c r="BC16" i="36"/>
  <c r="BA16" i="36"/>
  <c r="AZ16" i="36"/>
  <c r="AY16" i="36"/>
  <c r="AX16" i="36"/>
  <c r="AW16" i="36"/>
  <c r="AV16" i="36"/>
  <c r="AU16" i="36"/>
  <c r="AT16" i="36"/>
  <c r="AS16" i="36"/>
  <c r="AR16" i="36"/>
  <c r="AQ16" i="36"/>
  <c r="AP16" i="36"/>
  <c r="AO16" i="36"/>
  <c r="AN16" i="36"/>
  <c r="AM16" i="36"/>
  <c r="AL16" i="36"/>
  <c r="AK16" i="36"/>
  <c r="AJ16" i="36"/>
  <c r="AI16" i="36"/>
  <c r="AH16" i="36"/>
  <c r="BH15" i="36"/>
  <c r="BE15" i="36"/>
  <c r="BD15" i="36" s="1"/>
  <c r="BC15" i="36"/>
  <c r="BA15" i="36"/>
  <c r="AZ15" i="36"/>
  <c r="AY15" i="36"/>
  <c r="AX15" i="36"/>
  <c r="AW15" i="36"/>
  <c r="AV15" i="36"/>
  <c r="AU15" i="36"/>
  <c r="AT15" i="36"/>
  <c r="AS15" i="36"/>
  <c r="AR15" i="36"/>
  <c r="AQ15" i="36"/>
  <c r="AP15" i="36"/>
  <c r="AO15" i="36"/>
  <c r="AN15" i="36"/>
  <c r="AM15" i="36"/>
  <c r="AL15" i="36"/>
  <c r="AK15" i="36"/>
  <c r="AJ15" i="36"/>
  <c r="AI15" i="36"/>
  <c r="AH15" i="36"/>
  <c r="BH14" i="36"/>
  <c r="BE14" i="36"/>
  <c r="BD14" i="36" s="1"/>
  <c r="BC14" i="36"/>
  <c r="BA14" i="36"/>
  <c r="AZ14" i="36"/>
  <c r="AY14" i="36"/>
  <c r="AX14" i="36"/>
  <c r="AW14" i="36"/>
  <c r="AV14" i="36"/>
  <c r="AU14" i="36"/>
  <c r="AT14" i="36"/>
  <c r="AS14" i="36"/>
  <c r="AR14" i="36"/>
  <c r="AQ14" i="36"/>
  <c r="AP14" i="36"/>
  <c r="AO14" i="36"/>
  <c r="AN14" i="36"/>
  <c r="AM14" i="36"/>
  <c r="AL14" i="36"/>
  <c r="AK14" i="36"/>
  <c r="AJ14" i="36"/>
  <c r="AI14" i="36"/>
  <c r="AH14" i="36"/>
  <c r="BH13" i="36"/>
  <c r="BE13" i="36"/>
  <c r="BD13" i="36" s="1"/>
  <c r="BC13" i="36"/>
  <c r="BA13" i="36"/>
  <c r="AZ13" i="36"/>
  <c r="AY13" i="36"/>
  <c r="AX13" i="36"/>
  <c r="AW13" i="36"/>
  <c r="AV13" i="36"/>
  <c r="AU13" i="36"/>
  <c r="AT13" i="36"/>
  <c r="AS13" i="36"/>
  <c r="AR13" i="36"/>
  <c r="AQ13" i="36"/>
  <c r="AP13" i="36"/>
  <c r="AO13" i="36"/>
  <c r="AN13" i="36"/>
  <c r="AM13" i="36"/>
  <c r="AL13" i="36"/>
  <c r="AK13" i="36"/>
  <c r="AJ13" i="36"/>
  <c r="AI13" i="36"/>
  <c r="AH13" i="36"/>
  <c r="BH12" i="36"/>
  <c r="BE12" i="36"/>
  <c r="BD12" i="36" s="1"/>
  <c r="BC12" i="36"/>
  <c r="AN12" i="36"/>
  <c r="AM12" i="36"/>
  <c r="AL12" i="36"/>
  <c r="AK12" i="36"/>
  <c r="AJ12" i="36"/>
  <c r="AI12" i="36"/>
  <c r="AH12" i="36"/>
  <c r="BH11" i="36"/>
  <c r="BE11" i="36"/>
  <c r="BD11" i="36" s="1"/>
  <c r="BC11" i="36"/>
  <c r="AN11" i="36"/>
  <c r="AM11" i="36"/>
  <c r="AL11" i="36"/>
  <c r="AK11" i="36"/>
  <c r="AJ11" i="36"/>
  <c r="AI11" i="36"/>
  <c r="AH11" i="36"/>
  <c r="BH10" i="36"/>
  <c r="BE10" i="36"/>
  <c r="BD10" i="36" s="1"/>
  <c r="BC10" i="36"/>
  <c r="AN10" i="36"/>
  <c r="AM10" i="36"/>
  <c r="AL10" i="36"/>
  <c r="AK10" i="36"/>
  <c r="AJ10" i="36"/>
  <c r="AI10" i="36"/>
  <c r="AH10" i="36"/>
  <c r="BH9" i="36"/>
  <c r="BE9" i="36"/>
  <c r="BD9" i="36" s="1"/>
  <c r="BA12" i="36" s="1"/>
  <c r="BC9" i="36"/>
  <c r="AN9" i="36"/>
  <c r="AM9" i="36"/>
  <c r="AL9" i="36"/>
  <c r="AK9" i="36"/>
  <c r="AJ9" i="36"/>
  <c r="AI9" i="36"/>
  <c r="AH9" i="36"/>
  <c r="DV18" i="36"/>
  <c r="DS83" i="36" l="1"/>
  <c r="DT83" i="36"/>
  <c r="DR18" i="36"/>
  <c r="BJ20" i="36"/>
  <c r="DV20" i="36"/>
  <c r="DV27" i="36"/>
  <c r="GB63" i="36"/>
  <c r="FX63" i="36"/>
  <c r="FT63" i="36"/>
  <c r="FW63" i="36"/>
  <c r="FU63" i="36"/>
  <c r="FV63" i="36"/>
  <c r="GB65" i="36"/>
  <c r="FV65" i="36"/>
  <c r="FU65" i="36"/>
  <c r="FT65" i="36"/>
  <c r="FW65" i="36"/>
  <c r="FX65" i="36"/>
  <c r="GF51" i="36"/>
  <c r="GB51" i="36"/>
  <c r="GD51" i="36"/>
  <c r="GC51" i="36"/>
  <c r="GE51" i="36"/>
  <c r="EV63" i="36"/>
  <c r="EQ63" i="36"/>
  <c r="EP63" i="36"/>
  <c r="EO63" i="36"/>
  <c r="ER63" i="36"/>
  <c r="EN63" i="36"/>
  <c r="EV65" i="36"/>
  <c r="EP65" i="36"/>
  <c r="EO65" i="36"/>
  <c r="ER65" i="36"/>
  <c r="EN65" i="36"/>
  <c r="EQ65" i="36"/>
  <c r="EY51" i="36"/>
  <c r="EX51" i="36"/>
  <c r="EW51" i="36"/>
  <c r="EZ51" i="36"/>
  <c r="EV51" i="36"/>
  <c r="EX17" i="36"/>
  <c r="DR27" i="36"/>
  <c r="DQ51" i="36"/>
  <c r="DT51" i="36"/>
  <c r="DP51" i="36"/>
  <c r="DS51" i="36"/>
  <c r="DR51" i="36"/>
  <c r="DP63" i="36"/>
  <c r="DI63" i="36"/>
  <c r="DL63" i="36"/>
  <c r="DH63" i="36"/>
  <c r="DK63" i="36"/>
  <c r="DJ63" i="36"/>
  <c r="DP65" i="36"/>
  <c r="DI65" i="36"/>
  <c r="DL65" i="36"/>
  <c r="DH65" i="36"/>
  <c r="DK65" i="36"/>
  <c r="DJ65" i="36"/>
  <c r="CJ63" i="36"/>
  <c r="CC63" i="36"/>
  <c r="CF63" i="36"/>
  <c r="CB63" i="36"/>
  <c r="CE63" i="36"/>
  <c r="CD63" i="36"/>
  <c r="CJ65" i="36"/>
  <c r="CD65" i="36"/>
  <c r="CC65" i="36"/>
  <c r="CF65" i="36"/>
  <c r="CB65" i="36"/>
  <c r="CE65" i="36"/>
  <c r="BD63" i="36"/>
  <c r="AZ63" i="36"/>
  <c r="AV63" i="36"/>
  <c r="AY63" i="36"/>
  <c r="AX63" i="36"/>
  <c r="AW63" i="36"/>
  <c r="BH51" i="36"/>
  <c r="BD51" i="36"/>
  <c r="BF51" i="36"/>
  <c r="BE51" i="36"/>
  <c r="BG51" i="36"/>
  <c r="BD65" i="36"/>
  <c r="AX65" i="36"/>
  <c r="AW65" i="36"/>
  <c r="AV65" i="36"/>
  <c r="AZ65" i="36"/>
  <c r="AY65" i="36"/>
  <c r="CM51" i="36"/>
  <c r="CL51" i="36"/>
  <c r="CK51" i="36"/>
  <c r="CN51" i="36"/>
  <c r="CJ51" i="36"/>
  <c r="DU13" i="36"/>
  <c r="DU17" i="36"/>
  <c r="DR14" i="36"/>
  <c r="DS22" i="36"/>
  <c r="DR15" i="36"/>
  <c r="BJ25" i="36"/>
  <c r="DS17" i="36"/>
  <c r="DV28" i="36"/>
  <c r="CT25" i="36"/>
  <c r="DV15" i="36"/>
  <c r="DR19" i="36"/>
  <c r="DS23" i="36"/>
  <c r="DS15" i="36"/>
  <c r="DS19" i="36"/>
  <c r="DV23" i="36"/>
  <c r="DS28" i="36"/>
  <c r="DR10" i="36"/>
  <c r="DV14" i="36"/>
  <c r="DS10" i="36"/>
  <c r="DS14" i="36"/>
  <c r="DU16" i="36"/>
  <c r="DU20" i="36"/>
  <c r="EY58" i="36"/>
  <c r="E166" i="36"/>
  <c r="YO7" i="32"/>
  <c r="GH53" i="36"/>
  <c r="YS7" i="32"/>
  <c r="GH57" i="36"/>
  <c r="GD63" i="36"/>
  <c r="GC63" i="36"/>
  <c r="GH63" i="36"/>
  <c r="GF63" i="36"/>
  <c r="YY7" i="32"/>
  <c r="GE63" i="36"/>
  <c r="E382" i="36"/>
  <c r="GH86" i="36"/>
  <c r="ZV7" i="32"/>
  <c r="E136" i="36"/>
  <c r="YG7" i="32"/>
  <c r="GH45" i="36"/>
  <c r="E184" i="36"/>
  <c r="GH54" i="36"/>
  <c r="YP7" i="32"/>
  <c r="YX7" i="32"/>
  <c r="GH62" i="36"/>
  <c r="ZO7" i="32"/>
  <c r="GH79" i="36"/>
  <c r="ZW7" i="32"/>
  <c r="GH87" i="36"/>
  <c r="GE27" i="36"/>
  <c r="E130" i="36"/>
  <c r="GH42" i="36"/>
  <c r="YD7" i="32"/>
  <c r="E118" i="36"/>
  <c r="GH43" i="36"/>
  <c r="YE7" i="32"/>
  <c r="E154" i="36"/>
  <c r="GH46" i="36"/>
  <c r="YH7" i="32"/>
  <c r="E160" i="36"/>
  <c r="GH52" i="36"/>
  <c r="YN7" i="32"/>
  <c r="GH56" i="36"/>
  <c r="YR7" i="32"/>
  <c r="GH60" i="36"/>
  <c r="YV7" i="32"/>
  <c r="ZQ7" i="32"/>
  <c r="GH81" i="36"/>
  <c r="GH85" i="36"/>
  <c r="ZU7" i="32"/>
  <c r="E112" i="36"/>
  <c r="GH44" i="36"/>
  <c r="YF7" i="32"/>
  <c r="YK7" i="32"/>
  <c r="GH49" i="36"/>
  <c r="GC65" i="36"/>
  <c r="GH65" i="36"/>
  <c r="GF65" i="36"/>
  <c r="GE65" i="36"/>
  <c r="GD65" i="36"/>
  <c r="ZA7" i="32"/>
  <c r="GH82" i="36"/>
  <c r="ZR7" i="32"/>
  <c r="E178" i="36"/>
  <c r="GH50" i="36"/>
  <c r="YL7" i="32"/>
  <c r="ZS7" i="32"/>
  <c r="GH83" i="36"/>
  <c r="GE23" i="36"/>
  <c r="E124" i="36"/>
  <c r="YC7" i="32"/>
  <c r="GH41" i="36"/>
  <c r="E148" i="36"/>
  <c r="GH47" i="36"/>
  <c r="YI7" i="32"/>
  <c r="E142" i="36"/>
  <c r="GH48" i="36"/>
  <c r="YJ7" i="32"/>
  <c r="E172" i="36"/>
  <c r="YM7" i="32"/>
  <c r="GH51" i="36"/>
  <c r="E190" i="36"/>
  <c r="GH55" i="36"/>
  <c r="YQ7" i="32"/>
  <c r="GH58" i="36"/>
  <c r="YT7" i="32"/>
  <c r="GH61" i="36"/>
  <c r="YW7" i="32"/>
  <c r="GH64" i="36"/>
  <c r="YZ7" i="32"/>
  <c r="GH80" i="36"/>
  <c r="ZP7" i="32"/>
  <c r="GH84" i="36"/>
  <c r="ZT7" i="32"/>
  <c r="E135" i="36"/>
  <c r="FB45" i="36"/>
  <c r="YG6" i="32"/>
  <c r="E177" i="36"/>
  <c r="YL6" i="32"/>
  <c r="FB50" i="36"/>
  <c r="E183" i="36"/>
  <c r="FB54" i="36"/>
  <c r="YP6" i="32"/>
  <c r="FB62" i="36"/>
  <c r="YX6" i="32"/>
  <c r="FB79" i="36"/>
  <c r="ZO6" i="32"/>
  <c r="EY83" i="36"/>
  <c r="FB83" i="36"/>
  <c r="ZS6" i="32"/>
  <c r="FB87" i="36"/>
  <c r="ZW6" i="32"/>
  <c r="E123" i="36"/>
  <c r="FB41" i="36"/>
  <c r="YC6" i="32"/>
  <c r="E147" i="36"/>
  <c r="FB47" i="36"/>
  <c r="YI6" i="32"/>
  <c r="E141" i="36"/>
  <c r="FB48" i="36"/>
  <c r="YJ6" i="32"/>
  <c r="YM6" i="32"/>
  <c r="FB51" i="36"/>
  <c r="E189" i="36"/>
  <c r="FB55" i="36"/>
  <c r="YQ6" i="32"/>
  <c r="FB58" i="36"/>
  <c r="YT6" i="32"/>
  <c r="YW6" i="32"/>
  <c r="FB61" i="36"/>
  <c r="YZ6" i="32"/>
  <c r="FB64" i="36"/>
  <c r="FB80" i="36"/>
  <c r="ZP6" i="32"/>
  <c r="FB84" i="36"/>
  <c r="ZT6" i="32"/>
  <c r="FB42" i="36"/>
  <c r="YD6" i="32"/>
  <c r="E117" i="36"/>
  <c r="FB43" i="36"/>
  <c r="YE6" i="32"/>
  <c r="E153" i="36"/>
  <c r="YH6" i="32"/>
  <c r="FB46" i="36"/>
  <c r="E159" i="36"/>
  <c r="YN6" i="32"/>
  <c r="FB52" i="36"/>
  <c r="YR6" i="32"/>
  <c r="FB56" i="36"/>
  <c r="YV6" i="32"/>
  <c r="FB60" i="36"/>
  <c r="ZQ6" i="32"/>
  <c r="FB81" i="36"/>
  <c r="ZU6" i="32"/>
  <c r="FB85" i="36"/>
  <c r="E111" i="36"/>
  <c r="YF6" i="32"/>
  <c r="FB44" i="36"/>
  <c r="E195" i="36"/>
  <c r="FB49" i="36"/>
  <c r="YK6" i="32"/>
  <c r="E165" i="36"/>
  <c r="FB53" i="36"/>
  <c r="YO6" i="32"/>
  <c r="FB57" i="36"/>
  <c r="YS6" i="32"/>
  <c r="EY63" i="36"/>
  <c r="YY6" i="32"/>
  <c r="EX63" i="36"/>
  <c r="FB63" i="36"/>
  <c r="EZ63" i="36"/>
  <c r="EW63" i="36"/>
  <c r="E381" i="36"/>
  <c r="EX65" i="36"/>
  <c r="ZA6" i="32"/>
  <c r="FB65" i="36"/>
  <c r="EZ65" i="36"/>
  <c r="EW65" i="36"/>
  <c r="EY65" i="36"/>
  <c r="ZR6" i="32"/>
  <c r="FB82" i="36"/>
  <c r="ZV6" i="32"/>
  <c r="FB86" i="36"/>
  <c r="E122" i="36"/>
  <c r="YC5" i="32"/>
  <c r="DV41" i="36"/>
  <c r="E140" i="36"/>
  <c r="YJ5" i="32"/>
  <c r="DV48" i="36"/>
  <c r="E188" i="36"/>
  <c r="DV55" i="36"/>
  <c r="YQ5" i="32"/>
  <c r="DT63" i="36"/>
  <c r="DS63" i="36"/>
  <c r="YY5" i="32"/>
  <c r="DR63" i="36"/>
  <c r="DV63" i="36"/>
  <c r="DQ63" i="36"/>
  <c r="DV85" i="36"/>
  <c r="ZU5" i="32"/>
  <c r="E128" i="36"/>
  <c r="DV42" i="36"/>
  <c r="YD5" i="32"/>
  <c r="E152" i="36"/>
  <c r="DV46" i="36"/>
  <c r="YH5" i="32"/>
  <c r="YR5" i="32"/>
  <c r="DV56" i="36"/>
  <c r="DV59" i="36"/>
  <c r="YU5" i="32"/>
  <c r="DV62" i="36"/>
  <c r="YX5" i="32"/>
  <c r="DV82" i="36"/>
  <c r="ZR5" i="32"/>
  <c r="DV86" i="36"/>
  <c r="ZV5" i="32"/>
  <c r="DR16" i="36"/>
  <c r="DU15" i="36"/>
  <c r="E110" i="36"/>
  <c r="DV44" i="36"/>
  <c r="YF5" i="32"/>
  <c r="DV49" i="36"/>
  <c r="YK5" i="32"/>
  <c r="E164" i="36"/>
  <c r="DV53" i="36"/>
  <c r="YO5" i="32"/>
  <c r="DV57" i="36"/>
  <c r="YS5" i="32"/>
  <c r="DV61" i="36"/>
  <c r="YW5" i="32"/>
  <c r="YZ5" i="32"/>
  <c r="DV64" i="36"/>
  <c r="ZO5" i="32"/>
  <c r="DV79" i="36"/>
  <c r="DV83" i="36"/>
  <c r="ZS5" i="32"/>
  <c r="DV87" i="36"/>
  <c r="ZW5" i="32"/>
  <c r="E146" i="36"/>
  <c r="YI5" i="32"/>
  <c r="DV47" i="36"/>
  <c r="E170" i="36"/>
  <c r="DV51" i="36"/>
  <c r="YM5" i="32"/>
  <c r="DV58" i="36"/>
  <c r="YT5" i="32"/>
  <c r="DS65" i="36"/>
  <c r="DR65" i="36"/>
  <c r="DQ65" i="36"/>
  <c r="ZA5" i="32"/>
  <c r="DV65" i="36"/>
  <c r="DT65" i="36"/>
  <c r="DV81" i="36"/>
  <c r="ZQ5" i="32"/>
  <c r="YE5" i="32"/>
  <c r="DV43" i="36"/>
  <c r="YN5" i="32"/>
  <c r="DV52" i="36"/>
  <c r="DR66" i="36"/>
  <c r="DV66" i="36"/>
  <c r="DQ66" i="36"/>
  <c r="DT66" i="36"/>
  <c r="DS66" i="36"/>
  <c r="ZB5" i="32"/>
  <c r="DS13" i="36"/>
  <c r="DS16" i="36"/>
  <c r="DV45" i="36"/>
  <c r="YG5" i="32"/>
  <c r="E176" i="36"/>
  <c r="DV50" i="36"/>
  <c r="YL5" i="32"/>
  <c r="E182" i="36"/>
  <c r="DV54" i="36"/>
  <c r="YP5" i="32"/>
  <c r="YV5" i="32"/>
  <c r="DV60" i="36"/>
  <c r="ZP5" i="32"/>
  <c r="DV80" i="36"/>
  <c r="ZT5" i="32"/>
  <c r="DV84" i="36"/>
  <c r="CP43" i="36"/>
  <c r="YE4" i="32"/>
  <c r="E385" i="36"/>
  <c r="CP56" i="36"/>
  <c r="YR4" i="32"/>
  <c r="YV4" i="32"/>
  <c r="CP60" i="36"/>
  <c r="E301" i="36"/>
  <c r="CP85" i="36"/>
  <c r="ZU4" i="32"/>
  <c r="CP44" i="36"/>
  <c r="YF4" i="32"/>
  <c r="YK4" i="32"/>
  <c r="CP49" i="36"/>
  <c r="CL65" i="36"/>
  <c r="CK65" i="36"/>
  <c r="CP65" i="36"/>
  <c r="CN65" i="36"/>
  <c r="ZA4" i="32"/>
  <c r="CM65" i="36"/>
  <c r="Q80" i="61"/>
  <c r="E313" i="36"/>
  <c r="CP82" i="36"/>
  <c r="ZR4" i="32"/>
  <c r="CP86" i="36"/>
  <c r="ZV4" i="32"/>
  <c r="CP41" i="36"/>
  <c r="YC4" i="32"/>
  <c r="CP47" i="36"/>
  <c r="YI4" i="32"/>
  <c r="CP48" i="36"/>
  <c r="YJ4" i="32"/>
  <c r="YM4" i="32"/>
  <c r="CP51" i="36"/>
  <c r="YQ4" i="32"/>
  <c r="CP55" i="36"/>
  <c r="E229" i="36"/>
  <c r="CP58" i="36"/>
  <c r="YT4" i="32"/>
  <c r="CP61" i="36"/>
  <c r="YW4" i="32"/>
  <c r="E277" i="36"/>
  <c r="CP64" i="36"/>
  <c r="YZ4" i="32"/>
  <c r="E235" i="36"/>
  <c r="CP80" i="36"/>
  <c r="ZP4" i="32"/>
  <c r="CP84" i="36"/>
  <c r="ZT4" i="32"/>
  <c r="CP42" i="36"/>
  <c r="YD4" i="32"/>
  <c r="YH4" i="32"/>
  <c r="CP46" i="36"/>
  <c r="CP52" i="36"/>
  <c r="YN4" i="32"/>
  <c r="ZQ4" i="32"/>
  <c r="CP81" i="36"/>
  <c r="YO4" i="32"/>
  <c r="CP53" i="36"/>
  <c r="YS4" i="32"/>
  <c r="CP57" i="36"/>
  <c r="CM63" i="36"/>
  <c r="CL63" i="36"/>
  <c r="YY4" i="32"/>
  <c r="CP63" i="36"/>
  <c r="CN63" i="36"/>
  <c r="CK63" i="36"/>
  <c r="Q72" i="61"/>
  <c r="E379" i="36"/>
  <c r="CP45" i="36"/>
  <c r="YG4" i="32"/>
  <c r="CP50" i="36"/>
  <c r="YL4" i="32"/>
  <c r="CP54" i="36"/>
  <c r="YP4" i="32"/>
  <c r="YX4" i="32"/>
  <c r="CP62" i="36"/>
  <c r="E319" i="36"/>
  <c r="ZO4" i="32"/>
  <c r="CP79" i="36"/>
  <c r="ZS4" i="32"/>
  <c r="CP83" i="36"/>
  <c r="ZW4" i="32"/>
  <c r="CP87" i="36"/>
  <c r="YO3" i="32"/>
  <c r="BJ53" i="36"/>
  <c r="YS3" i="32"/>
  <c r="BJ57" i="36"/>
  <c r="BG63" i="36"/>
  <c r="BF63" i="36"/>
  <c r="BJ63" i="36"/>
  <c r="BH63" i="36"/>
  <c r="YY3" i="32"/>
  <c r="BE63" i="36"/>
  <c r="BJ83" i="36"/>
  <c r="ZS3" i="32"/>
  <c r="Q237" i="61"/>
  <c r="BJ50" i="36"/>
  <c r="YL3" i="32"/>
  <c r="BJ84" i="36"/>
  <c r="ZT3" i="32"/>
  <c r="BJ24" i="36"/>
  <c r="Q207" i="61"/>
  <c r="BJ42" i="36"/>
  <c r="YD3" i="32"/>
  <c r="YE3" i="32"/>
  <c r="BJ43" i="36"/>
  <c r="BJ46" i="36"/>
  <c r="YH3" i="32"/>
  <c r="BJ52" i="36"/>
  <c r="YN3" i="32"/>
  <c r="BJ56" i="36"/>
  <c r="YR3" i="32"/>
  <c r="YV3" i="32"/>
  <c r="BJ60" i="36"/>
  <c r="BF65" i="36"/>
  <c r="BE65" i="36"/>
  <c r="BJ65" i="36"/>
  <c r="ZA3" i="32"/>
  <c r="BH65" i="36"/>
  <c r="BG65" i="36"/>
  <c r="BD82" i="36"/>
  <c r="BJ82" i="36"/>
  <c r="ZR3" i="32"/>
  <c r="BJ86" i="36"/>
  <c r="ZV3" i="32"/>
  <c r="Q213" i="61"/>
  <c r="BJ44" i="36"/>
  <c r="YF3" i="32"/>
  <c r="Q234" i="61"/>
  <c r="BJ49" i="36"/>
  <c r="YK3" i="32"/>
  <c r="BJ79" i="36"/>
  <c r="ZO3" i="32"/>
  <c r="BJ87" i="36"/>
  <c r="ZW3" i="32"/>
  <c r="BG28" i="36"/>
  <c r="Q218" i="61"/>
  <c r="BJ45" i="36"/>
  <c r="YG3" i="32"/>
  <c r="BJ54" i="36"/>
  <c r="YP3" i="32"/>
  <c r="YX3" i="32"/>
  <c r="BJ62" i="36"/>
  <c r="BJ64" i="36"/>
  <c r="YZ3" i="32"/>
  <c r="BJ80" i="36"/>
  <c r="ZP3" i="32"/>
  <c r="Q204" i="61"/>
  <c r="YC3" i="32"/>
  <c r="BJ41" i="36"/>
  <c r="BJ47" i="36"/>
  <c r="YI3" i="32"/>
  <c r="BJ48" i="36"/>
  <c r="YJ3" i="32"/>
  <c r="YM3" i="32"/>
  <c r="BJ51" i="36"/>
  <c r="Q252" i="61"/>
  <c r="YQ3" i="32"/>
  <c r="BJ55" i="36"/>
  <c r="BJ58" i="36"/>
  <c r="YT3" i="32"/>
  <c r="BJ61" i="36"/>
  <c r="YW3" i="32"/>
  <c r="BG81" i="36"/>
  <c r="ZQ3" i="32"/>
  <c r="BJ81" i="36"/>
  <c r="ZU3" i="32"/>
  <c r="BJ85" i="36"/>
  <c r="Q71" i="61"/>
  <c r="E378" i="36"/>
  <c r="Q79" i="61"/>
  <c r="E312" i="36"/>
  <c r="E316" i="36"/>
  <c r="E315" i="36"/>
  <c r="E380" i="36"/>
  <c r="E314" i="36"/>
  <c r="E374" i="36"/>
  <c r="DJ66" i="36"/>
  <c r="DI66" i="36"/>
  <c r="DL66" i="36"/>
  <c r="DH66" i="36"/>
  <c r="DK66" i="36"/>
  <c r="EX49" i="36"/>
  <c r="DR12" i="36"/>
  <c r="DS12" i="36"/>
  <c r="DU12" i="36"/>
  <c r="DU11" i="36"/>
  <c r="DS11" i="36"/>
  <c r="DR11" i="36"/>
  <c r="DU9" i="36"/>
  <c r="DS9" i="36"/>
  <c r="CT26" i="36"/>
  <c r="DA68" i="36" s="1"/>
  <c r="Q214" i="61"/>
  <c r="E109" i="36"/>
  <c r="Q235" i="61"/>
  <c r="E193" i="36"/>
  <c r="CK57" i="36"/>
  <c r="E223" i="36"/>
  <c r="CF61" i="36"/>
  <c r="E283" i="36"/>
  <c r="CJ82" i="36"/>
  <c r="E337" i="36"/>
  <c r="E230" i="36"/>
  <c r="E302" i="36"/>
  <c r="Q51" i="61"/>
  <c r="E225" i="36"/>
  <c r="Q65" i="61"/>
  <c r="E285" i="36"/>
  <c r="Q140" i="61"/>
  <c r="E243" i="36"/>
  <c r="GG58" i="36"/>
  <c r="Q55" i="61"/>
  <c r="E232" i="36"/>
  <c r="Q144" i="61"/>
  <c r="E304" i="36"/>
  <c r="BG24" i="36"/>
  <c r="CM23" i="36"/>
  <c r="GE11" i="36"/>
  <c r="E180" i="36"/>
  <c r="Q249" i="61"/>
  <c r="E295" i="36"/>
  <c r="E386" i="36"/>
  <c r="E332" i="36"/>
  <c r="E290" i="36"/>
  <c r="E272" i="36"/>
  <c r="Q62" i="61"/>
  <c r="E309" i="36"/>
  <c r="Q131" i="61"/>
  <c r="E267" i="36"/>
  <c r="GB49" i="36"/>
  <c r="E196" i="36"/>
  <c r="Q52" i="61"/>
  <c r="E226" i="36"/>
  <c r="Q135" i="61"/>
  <c r="GB82" i="36"/>
  <c r="E340" i="36"/>
  <c r="DV12" i="36"/>
  <c r="EX21" i="36"/>
  <c r="EX84" i="36"/>
  <c r="GE15" i="36"/>
  <c r="GE58" i="36"/>
  <c r="E144" i="36"/>
  <c r="Q226" i="61"/>
  <c r="E138" i="36"/>
  <c r="Q229" i="61"/>
  <c r="E168" i="36"/>
  <c r="Q240" i="61"/>
  <c r="CJ41" i="36"/>
  <c r="Q205" i="61"/>
  <c r="E121" i="36"/>
  <c r="Q227" i="61"/>
  <c r="E145" i="36"/>
  <c r="Q230" i="61"/>
  <c r="E139" i="36"/>
  <c r="Q241" i="61"/>
  <c r="E169" i="36"/>
  <c r="Q253" i="61"/>
  <c r="E187" i="36"/>
  <c r="E241" i="36"/>
  <c r="E194" i="36"/>
  <c r="E224" i="36"/>
  <c r="AA226" i="36" s="1"/>
  <c r="E284" i="36"/>
  <c r="E320" i="36"/>
  <c r="E326" i="36"/>
  <c r="E296" i="36"/>
  <c r="E129" i="36"/>
  <c r="E171" i="36"/>
  <c r="Q54" i="61"/>
  <c r="E231" i="36"/>
  <c r="Q134" i="61"/>
  <c r="EV82" i="36"/>
  <c r="E339" i="36"/>
  <c r="Q146" i="61"/>
  <c r="E273" i="36"/>
  <c r="Q66" i="61"/>
  <c r="E286" i="36"/>
  <c r="Q126" i="61"/>
  <c r="E322" i="36"/>
  <c r="Q138" i="61"/>
  <c r="E328" i="36"/>
  <c r="Q150" i="61"/>
  <c r="E298" i="36"/>
  <c r="E162" i="36"/>
  <c r="Q246" i="61"/>
  <c r="Q247" i="61"/>
  <c r="E163" i="36"/>
  <c r="E271" i="36"/>
  <c r="E266" i="36"/>
  <c r="Q128" i="61"/>
  <c r="E237" i="36"/>
  <c r="Q49" i="61"/>
  <c r="E388" i="36"/>
  <c r="Q132" i="61"/>
  <c r="E268" i="36"/>
  <c r="DV13" i="36"/>
  <c r="DV17" i="36"/>
  <c r="DS21" i="36"/>
  <c r="GC58" i="36"/>
  <c r="Q219" i="61"/>
  <c r="E133" i="36"/>
  <c r="Q238" i="61"/>
  <c r="E175" i="36"/>
  <c r="Q250" i="61"/>
  <c r="E181" i="36"/>
  <c r="E307" i="36"/>
  <c r="E325" i="36"/>
  <c r="E116" i="36"/>
  <c r="E158" i="36"/>
  <c r="DP82" i="36"/>
  <c r="E338" i="36"/>
  <c r="Q74" i="61"/>
  <c r="E279" i="36"/>
  <c r="Q143" i="61"/>
  <c r="E303" i="36"/>
  <c r="Q58" i="61"/>
  <c r="E334" i="36"/>
  <c r="Q69" i="61"/>
  <c r="E292" i="36"/>
  <c r="Q147" i="61"/>
  <c r="E274" i="36"/>
  <c r="BJ22" i="36"/>
  <c r="CP28" i="36"/>
  <c r="DV16" i="36"/>
  <c r="DR20" i="36"/>
  <c r="DV21" i="36"/>
  <c r="BJ23" i="36"/>
  <c r="BJ28" i="36"/>
  <c r="DR9" i="36"/>
  <c r="DR13" i="36"/>
  <c r="DR17" i="36"/>
  <c r="DS20" i="36"/>
  <c r="DS26" i="36"/>
  <c r="EY84" i="36"/>
  <c r="GE18" i="36"/>
  <c r="GE48" i="36"/>
  <c r="GF58" i="36"/>
  <c r="AY9" i="36"/>
  <c r="E114" i="36"/>
  <c r="Q210" i="61"/>
  <c r="E150" i="36"/>
  <c r="Q223" i="61"/>
  <c r="E156" i="36"/>
  <c r="Q243" i="61"/>
  <c r="BZ9" i="36"/>
  <c r="Q208" i="61"/>
  <c r="E127" i="36"/>
  <c r="Q211" i="61"/>
  <c r="E115" i="36"/>
  <c r="Q224" i="61"/>
  <c r="E151" i="36"/>
  <c r="Q244" i="61"/>
  <c r="E157" i="36"/>
  <c r="CK59" i="36"/>
  <c r="E331" i="36"/>
  <c r="CJ62" i="36"/>
  <c r="E289" i="36"/>
  <c r="CJ64" i="36"/>
  <c r="E265" i="36"/>
  <c r="DU10" i="36"/>
  <c r="DV10" i="36" s="1"/>
  <c r="DU14" i="36"/>
  <c r="DU22" i="36"/>
  <c r="E134" i="36"/>
  <c r="E308" i="36"/>
  <c r="E278" i="36"/>
  <c r="E236" i="36"/>
  <c r="E242" i="36"/>
  <c r="Q48" i="61"/>
  <c r="E387" i="36"/>
  <c r="Q57" i="61"/>
  <c r="E333" i="36"/>
  <c r="Q68" i="61"/>
  <c r="E291" i="36"/>
  <c r="Q125" i="61"/>
  <c r="E321" i="36"/>
  <c r="Q137" i="61"/>
  <c r="E327" i="36"/>
  <c r="Q149" i="61"/>
  <c r="E297" i="36"/>
  <c r="GB48" i="36"/>
  <c r="GB57" i="36"/>
  <c r="Q63" i="61"/>
  <c r="E310" i="36"/>
  <c r="Q75" i="61"/>
  <c r="E280" i="36"/>
  <c r="Q129" i="61"/>
  <c r="E238" i="36"/>
  <c r="Q141" i="61"/>
  <c r="E244" i="36"/>
  <c r="E132" i="36"/>
  <c r="E276" i="36"/>
  <c r="E264" i="36"/>
  <c r="E108" i="36"/>
  <c r="E192" i="36"/>
  <c r="AX57" i="36"/>
  <c r="F222" i="36" s="1"/>
  <c r="E222" i="36"/>
  <c r="E282" i="36"/>
  <c r="E234" i="36"/>
  <c r="E240" i="36"/>
  <c r="E306" i="36"/>
  <c r="E120" i="36"/>
  <c r="BE55" i="36"/>
  <c r="E186" i="36"/>
  <c r="E228" i="36"/>
  <c r="E336" i="36"/>
  <c r="E270" i="36"/>
  <c r="E174" i="36"/>
  <c r="E300" i="36"/>
  <c r="E126" i="36"/>
  <c r="E384" i="36"/>
  <c r="BG59" i="36"/>
  <c r="E330" i="36"/>
  <c r="E288" i="36"/>
  <c r="E318" i="36"/>
  <c r="E324" i="36"/>
  <c r="E294" i="36"/>
  <c r="BN25" i="36"/>
  <c r="CA9" i="36"/>
  <c r="CM19" i="36"/>
  <c r="BH57" i="36"/>
  <c r="CM26" i="36"/>
  <c r="CB9" i="36"/>
  <c r="AO11" i="36"/>
  <c r="BA11" i="36"/>
  <c r="AP12" i="36"/>
  <c r="AX12" i="36"/>
  <c r="AZ9" i="36"/>
  <c r="BA10" i="36"/>
  <c r="AP11" i="36"/>
  <c r="BA9" i="36"/>
  <c r="AZ12" i="36"/>
  <c r="BD46" i="36"/>
  <c r="AZ59" i="36"/>
  <c r="BD87" i="36"/>
  <c r="AZ10" i="36"/>
  <c r="AW11" i="36"/>
  <c r="BF59" i="36"/>
  <c r="AO10" i="36"/>
  <c r="AW10" i="36"/>
  <c r="AX11" i="36"/>
  <c r="AY12" i="36"/>
  <c r="AO9" i="36"/>
  <c r="AW9" i="36"/>
  <c r="AP10" i="36"/>
  <c r="AX10" i="36"/>
  <c r="AY11" i="36"/>
  <c r="AP9" i="36"/>
  <c r="AX9" i="36"/>
  <c r="AY10" i="36"/>
  <c r="AZ11" i="36"/>
  <c r="AO12" i="36"/>
  <c r="AW12" i="36"/>
  <c r="AH26" i="36"/>
  <c r="AO68" i="36" s="1"/>
  <c r="BD55" i="36"/>
  <c r="AU62" i="36"/>
  <c r="BD79" i="36"/>
  <c r="CJ52" i="36"/>
  <c r="CJ80" i="36"/>
  <c r="DZ25" i="36"/>
  <c r="FA57" i="36"/>
  <c r="GG9" i="36"/>
  <c r="GG10" i="36"/>
  <c r="FF25" i="36"/>
  <c r="GG14" i="36"/>
  <c r="GG18" i="36"/>
  <c r="GG57" i="36"/>
  <c r="GB60" i="36"/>
  <c r="GB81" i="36"/>
  <c r="CO57" i="36"/>
  <c r="DP50" i="36"/>
  <c r="DP54" i="36"/>
  <c r="DF60" i="36"/>
  <c r="DQ82" i="36"/>
  <c r="GD42" i="36"/>
  <c r="GB43" i="36"/>
  <c r="GB86" i="36"/>
  <c r="BI24" i="36"/>
  <c r="BI28" i="36"/>
  <c r="BD60" i="36"/>
  <c r="BE85" i="36"/>
  <c r="CM41" i="36"/>
  <c r="CJ59" i="36"/>
  <c r="CJ60" i="36"/>
  <c r="CJ81" i="36"/>
  <c r="CJ85" i="36"/>
  <c r="DK41" i="36"/>
  <c r="DT58" i="36"/>
  <c r="DP79" i="36"/>
  <c r="DN83" i="36"/>
  <c r="EW41" i="36"/>
  <c r="EV58" i="36"/>
  <c r="EV60" i="36"/>
  <c r="EV64" i="36"/>
  <c r="EZ80" i="36"/>
  <c r="GB44" i="36"/>
  <c r="GC64" i="36"/>
  <c r="GB80" i="36"/>
  <c r="BD54" i="36"/>
  <c r="BD57" i="36"/>
  <c r="BF86" i="36"/>
  <c r="CJ48" i="36"/>
  <c r="CJ61" i="36"/>
  <c r="CT27" i="36"/>
  <c r="DP18" i="36"/>
  <c r="DU18" i="36" s="1"/>
  <c r="DP19" i="36"/>
  <c r="DU19" i="36" s="1"/>
  <c r="DP21" i="36"/>
  <c r="DU21" i="36" s="1"/>
  <c r="DP23" i="36"/>
  <c r="DU23" i="36" s="1"/>
  <c r="DU25" i="36"/>
  <c r="DS42" i="36"/>
  <c r="DI56" i="36"/>
  <c r="DP59" i="36"/>
  <c r="DP62" i="36"/>
  <c r="DP84" i="36"/>
  <c r="EV43" i="36"/>
  <c r="EV57" i="36"/>
  <c r="FA58" i="36"/>
  <c r="GB58" i="36"/>
  <c r="FW59" i="36"/>
  <c r="GB61" i="36"/>
  <c r="GB55" i="36"/>
  <c r="EV54" i="36"/>
  <c r="EW55" i="36"/>
  <c r="DP86" i="36"/>
  <c r="DP81" i="36"/>
  <c r="DP64" i="36"/>
  <c r="ER43" i="36"/>
  <c r="EO64" i="36"/>
  <c r="EU54" i="36"/>
  <c r="EW59" i="36"/>
  <c r="EV59" i="36"/>
  <c r="EL61" i="36"/>
  <c r="EV62" i="36"/>
  <c r="GB53" i="36"/>
  <c r="GB79" i="36"/>
  <c r="GD79" i="36"/>
  <c r="FV59" i="36"/>
  <c r="GB64" i="36"/>
  <c r="GB87" i="36"/>
  <c r="GE80" i="36"/>
  <c r="GF82" i="36"/>
  <c r="GE86" i="36"/>
  <c r="GD80" i="36"/>
  <c r="GB84" i="36"/>
  <c r="GD56" i="36"/>
  <c r="GB62" i="36"/>
  <c r="FZ83" i="36"/>
  <c r="GD83" i="36"/>
  <c r="GB52" i="36"/>
  <c r="GB54" i="36"/>
  <c r="GC62" i="36"/>
  <c r="GB83" i="36"/>
  <c r="GD85" i="36"/>
  <c r="FZ86" i="36"/>
  <c r="GE82" i="36"/>
  <c r="GC83" i="36"/>
  <c r="GC41" i="36"/>
  <c r="GB45" i="36"/>
  <c r="GB46" i="36"/>
  <c r="GE55" i="36"/>
  <c r="GB59" i="36"/>
  <c r="GF62" i="36"/>
  <c r="GA82" i="36"/>
  <c r="GB85" i="36"/>
  <c r="GF86" i="36"/>
  <c r="GC86" i="36"/>
  <c r="GB41" i="36"/>
  <c r="GF43" i="36"/>
  <c r="GB50" i="36"/>
  <c r="FV56" i="36"/>
  <c r="FZ80" i="36"/>
  <c r="GE12" i="36"/>
  <c r="GE20" i="36"/>
  <c r="GC82" i="36"/>
  <c r="GE83" i="36"/>
  <c r="GF42" i="36"/>
  <c r="GB42" i="36"/>
  <c r="GF44" i="36"/>
  <c r="GG45" i="36"/>
  <c r="GD46" i="36"/>
  <c r="GB47" i="36"/>
  <c r="FX57" i="36"/>
  <c r="FY58" i="36"/>
  <c r="FS60" i="36"/>
  <c r="FX61" i="36"/>
  <c r="GF61" i="36"/>
  <c r="FR62" i="36"/>
  <c r="GD81" i="36"/>
  <c r="GC85" i="36"/>
  <c r="EW86" i="36"/>
  <c r="EV52" i="36"/>
  <c r="EW82" i="36"/>
  <c r="EY42" i="36"/>
  <c r="EM60" i="36"/>
  <c r="EV61" i="36"/>
  <c r="EV81" i="36"/>
  <c r="EV85" i="36"/>
  <c r="EX83" i="36"/>
  <c r="EN41" i="36"/>
  <c r="EZ43" i="36"/>
  <c r="EV45" i="36"/>
  <c r="EV47" i="36"/>
  <c r="EV49" i="36"/>
  <c r="EY55" i="36"/>
  <c r="EX80" i="36"/>
  <c r="ET84" i="36"/>
  <c r="EW87" i="36"/>
  <c r="EZ79" i="36"/>
  <c r="EV42" i="36"/>
  <c r="EP45" i="36"/>
  <c r="EZ56" i="36"/>
  <c r="EV79" i="36"/>
  <c r="EV83" i="36"/>
  <c r="EV87" i="36"/>
  <c r="EY50" i="36"/>
  <c r="ET50" i="36"/>
  <c r="EV53" i="36"/>
  <c r="EX64" i="36"/>
  <c r="EX79" i="36"/>
  <c r="EW83" i="36"/>
  <c r="EV41" i="36"/>
  <c r="EP43" i="36"/>
  <c r="EV44" i="36"/>
  <c r="FA45" i="36"/>
  <c r="EV48" i="36"/>
  <c r="EW49" i="36"/>
  <c r="EV50" i="36"/>
  <c r="EX54" i="36"/>
  <c r="EV55" i="36"/>
  <c r="ER57" i="36"/>
  <c r="EM64" i="36"/>
  <c r="EV80" i="36"/>
  <c r="EV84" i="36"/>
  <c r="EV86" i="36"/>
  <c r="EY87" i="36"/>
  <c r="DQ86" i="36"/>
  <c r="DR83" i="36"/>
  <c r="DP83" i="36"/>
  <c r="DQ83" i="36"/>
  <c r="DP55" i="36"/>
  <c r="DO51" i="36"/>
  <c r="DP53" i="36"/>
  <c r="DP44" i="36"/>
  <c r="DS56" i="36"/>
  <c r="DP58" i="36"/>
  <c r="DH56" i="36"/>
  <c r="DS58" i="36"/>
  <c r="DR80" i="36"/>
  <c r="DU45" i="36"/>
  <c r="DP45" i="36"/>
  <c r="DR85" i="36"/>
  <c r="DP85" i="36"/>
  <c r="DK43" i="36"/>
  <c r="DP43" i="36"/>
  <c r="DR52" i="36"/>
  <c r="DP52" i="36"/>
  <c r="DO52" i="36"/>
  <c r="DL57" i="36"/>
  <c r="DU57" i="36"/>
  <c r="DQ57" i="36"/>
  <c r="DP57" i="36"/>
  <c r="DS41" i="36"/>
  <c r="DP41" i="36"/>
  <c r="DT50" i="36"/>
  <c r="DS48" i="36"/>
  <c r="DP48" i="36"/>
  <c r="DR49" i="36"/>
  <c r="DQ49" i="36"/>
  <c r="DP49" i="36"/>
  <c r="DU58" i="36"/>
  <c r="DO82" i="36"/>
  <c r="DS80" i="36"/>
  <c r="DT54" i="36"/>
  <c r="DR56" i="36"/>
  <c r="DQ56" i="36"/>
  <c r="DR60" i="36"/>
  <c r="DP60" i="36"/>
  <c r="DP61" i="36"/>
  <c r="DP80" i="36"/>
  <c r="DS84" i="36"/>
  <c r="DP87" i="36"/>
  <c r="DR82" i="36"/>
  <c r="DL42" i="36"/>
  <c r="DP42" i="36"/>
  <c r="DK59" i="36"/>
  <c r="DH62" i="36"/>
  <c r="DT79" i="36"/>
  <c r="DR86" i="36"/>
  <c r="CM80" i="36"/>
  <c r="CK79" i="36"/>
  <c r="CJ79" i="36"/>
  <c r="CK58" i="36"/>
  <c r="CJ57" i="36"/>
  <c r="CM58" i="36"/>
  <c r="CJ58" i="36"/>
  <c r="CO58" i="36"/>
  <c r="CN58" i="36"/>
  <c r="CN80" i="36"/>
  <c r="CF64" i="36"/>
  <c r="CF43" i="36"/>
  <c r="CK45" i="36"/>
  <c r="CN87" i="36"/>
  <c r="CM50" i="36"/>
  <c r="CJ43" i="36"/>
  <c r="CN60" i="36"/>
  <c r="CJ83" i="36"/>
  <c r="CH87" i="36"/>
  <c r="CM11" i="36"/>
  <c r="CL82" i="36"/>
  <c r="CN42" i="36"/>
  <c r="CJ42" i="36"/>
  <c r="CJ45" i="36"/>
  <c r="CJ46" i="36"/>
  <c r="CL49" i="36"/>
  <c r="CL53" i="36"/>
  <c r="CN55" i="36"/>
  <c r="CF57" i="36"/>
  <c r="CI82" i="36"/>
  <c r="CH84" i="36"/>
  <c r="CH86" i="36"/>
  <c r="CJ87" i="36"/>
  <c r="CL52" i="36"/>
  <c r="CN54" i="36"/>
  <c r="CK85" i="36"/>
  <c r="CF45" i="36"/>
  <c r="CJ50" i="36"/>
  <c r="CJ54" i="36"/>
  <c r="CK61" i="36"/>
  <c r="CH80" i="36"/>
  <c r="CM15" i="36"/>
  <c r="CK83" i="36"/>
  <c r="CO26" i="36"/>
  <c r="CL42" i="36"/>
  <c r="CJ44" i="36"/>
  <c r="CO45" i="36"/>
  <c r="CL46" i="36"/>
  <c r="CJ47" i="36"/>
  <c r="CJ49" i="36"/>
  <c r="CJ53" i="36"/>
  <c r="CJ55" i="36"/>
  <c r="CG58" i="36"/>
  <c r="CD64" i="36"/>
  <c r="CN81" i="36"/>
  <c r="CJ84" i="36"/>
  <c r="CJ86" i="36"/>
  <c r="BE80" i="36"/>
  <c r="BH80" i="36"/>
  <c r="BE54" i="36"/>
  <c r="BD53" i="36"/>
  <c r="BH54" i="36"/>
  <c r="BG53" i="36"/>
  <c r="BB80" i="36"/>
  <c r="BD64" i="36"/>
  <c r="BF80" i="36"/>
  <c r="BD43" i="36"/>
  <c r="BD80" i="36"/>
  <c r="AY41" i="36"/>
  <c r="AZ45" i="36"/>
  <c r="BB50" i="36"/>
  <c r="BF58" i="36"/>
  <c r="BH84" i="36"/>
  <c r="BJ21" i="36"/>
  <c r="BD41" i="36"/>
  <c r="BF44" i="36"/>
  <c r="BD45" i="36"/>
  <c r="BF49" i="36"/>
  <c r="BD50" i="36"/>
  <c r="BF56" i="36"/>
  <c r="BD58" i="36"/>
  <c r="BB86" i="36"/>
  <c r="BF25" i="36"/>
  <c r="BI12" i="36"/>
  <c r="BI16" i="36"/>
  <c r="BI25" i="36"/>
  <c r="AW42" i="36"/>
  <c r="BD42" i="36"/>
  <c r="AV44" i="36"/>
  <c r="BI45" i="36"/>
  <c r="BF46" i="36"/>
  <c r="BD47" i="36"/>
  <c r="BB49" i="36"/>
  <c r="BD52" i="36"/>
  <c r="BG54" i="36"/>
  <c r="BH55" i="36"/>
  <c r="BI58" i="36"/>
  <c r="BD59" i="36"/>
  <c r="BD61" i="36"/>
  <c r="BG85" i="36"/>
  <c r="BD86" i="36"/>
  <c r="BC82" i="36"/>
  <c r="BE58" i="36"/>
  <c r="BI21" i="36"/>
  <c r="BH79" i="36"/>
  <c r="BD84" i="36"/>
  <c r="BG25" i="36"/>
  <c r="BF48" i="36"/>
  <c r="BD44" i="36"/>
  <c r="BD48" i="36"/>
  <c r="BD49" i="36"/>
  <c r="AZ57" i="36"/>
  <c r="BI57" i="36"/>
  <c r="BH60" i="36"/>
  <c r="BF62" i="36"/>
  <c r="BD62" i="36"/>
  <c r="BD81" i="36"/>
  <c r="BD83" i="36"/>
  <c r="BD85" i="36"/>
  <c r="BH87" i="36"/>
  <c r="EX62" i="36"/>
  <c r="EL62" i="36"/>
  <c r="EW62" i="36"/>
  <c r="CL84" i="36"/>
  <c r="CL86" i="36"/>
  <c r="DR48" i="36"/>
  <c r="DR84" i="36"/>
  <c r="BH61" i="36"/>
  <c r="AT61" i="36"/>
  <c r="BB79" i="36"/>
  <c r="CD43" i="36"/>
  <c r="CH79" i="36"/>
  <c r="CN79" i="36"/>
  <c r="EX44" i="36"/>
  <c r="EZ44" i="36"/>
  <c r="EW44" i="36"/>
  <c r="EX61" i="36"/>
  <c r="EZ61" i="36"/>
  <c r="ER61" i="36"/>
  <c r="EY61" i="36"/>
  <c r="EP61" i="36"/>
  <c r="EO61" i="36"/>
  <c r="ET86" i="36"/>
  <c r="EX86" i="36"/>
  <c r="GD41" i="36"/>
  <c r="FV41" i="36"/>
  <c r="GE41" i="36"/>
  <c r="GC49" i="36"/>
  <c r="GD49" i="36"/>
  <c r="GA51" i="36"/>
  <c r="GD53" i="36"/>
  <c r="GC53" i="36"/>
  <c r="BF79" i="36"/>
  <c r="CK84" i="36"/>
  <c r="DT48" i="36"/>
  <c r="BN27" i="36"/>
  <c r="CO27" i="36"/>
  <c r="DK60" i="36"/>
  <c r="EX52" i="36"/>
  <c r="EW52" i="36"/>
  <c r="EP59" i="36"/>
  <c r="EN59" i="36"/>
  <c r="EZ59" i="36"/>
  <c r="GB16" i="36"/>
  <c r="GG16" i="36" s="1"/>
  <c r="GE16" i="36"/>
  <c r="FU41" i="36"/>
  <c r="GD64" i="36"/>
  <c r="FV64" i="36"/>
  <c r="GE64" i="36"/>
  <c r="FU64" i="36"/>
  <c r="FZ84" i="36"/>
  <c r="GD84" i="36"/>
  <c r="GD87" i="36"/>
  <c r="GC87" i="36"/>
  <c r="DT46" i="36"/>
  <c r="DR46" i="36"/>
  <c r="DQ55" i="36"/>
  <c r="DR55" i="36"/>
  <c r="EX53" i="36"/>
  <c r="EW53" i="36"/>
  <c r="EX56" i="36"/>
  <c r="EP56" i="36"/>
  <c r="EO56" i="36"/>
  <c r="BI11" i="36"/>
  <c r="BI23" i="36"/>
  <c r="BE61" i="36"/>
  <c r="DT42" i="36"/>
  <c r="DR42" i="36"/>
  <c r="DK42" i="36"/>
  <c r="DT81" i="36"/>
  <c r="DQ81" i="36"/>
  <c r="EU82" i="36"/>
  <c r="EX82" i="36"/>
  <c r="CM79" i="36"/>
  <c r="CM84" i="36"/>
  <c r="GE9" i="36"/>
  <c r="CD41" i="36"/>
  <c r="CB41" i="36"/>
  <c r="CF59" i="36"/>
  <c r="CB59" i="36"/>
  <c r="EV13" i="36"/>
  <c r="FA13" i="36" s="1"/>
  <c r="EX13" i="36"/>
  <c r="EX41" i="36"/>
  <c r="EO41" i="36"/>
  <c r="ER42" i="36"/>
  <c r="EX45" i="36"/>
  <c r="EQ45" i="36"/>
  <c r="EW61" i="36"/>
  <c r="EP62" i="36"/>
  <c r="ET83" i="36"/>
  <c r="EX85" i="36"/>
  <c r="EW85" i="36"/>
  <c r="GD52" i="36"/>
  <c r="GF52" i="36"/>
  <c r="GC52" i="36"/>
  <c r="BE49" i="36"/>
  <c r="CO25" i="36"/>
  <c r="CK87" i="36"/>
  <c r="DQ52" i="36"/>
  <c r="DJ56" i="36"/>
  <c r="FX42" i="36"/>
  <c r="FR61" i="36"/>
  <c r="BH49" i="36"/>
  <c r="BE60" i="36"/>
  <c r="CO24" i="36"/>
  <c r="CO28" i="36"/>
  <c r="DT52" i="36"/>
  <c r="DZ26" i="36"/>
  <c r="EW64" i="36"/>
  <c r="CM53" i="36"/>
  <c r="DR44" i="36"/>
  <c r="DT44" i="36"/>
  <c r="DH44" i="36"/>
  <c r="EV14" i="36"/>
  <c r="FA14" i="36" s="1"/>
  <c r="FB14" i="36"/>
  <c r="BG48" i="36"/>
  <c r="BF82" i="36"/>
  <c r="CL24" i="36"/>
  <c r="CL57" i="36"/>
  <c r="BF45" i="36"/>
  <c r="BG45" i="36"/>
  <c r="AX45" i="36"/>
  <c r="BH46" i="36"/>
  <c r="BF53" i="36"/>
  <c r="BE53" i="36"/>
  <c r="BH53" i="36"/>
  <c r="BH64" i="36"/>
  <c r="BE64" i="36"/>
  <c r="CN46" i="36"/>
  <c r="CH49" i="36"/>
  <c r="CI51" i="36"/>
  <c r="CI53" i="36"/>
  <c r="CN53" i="36"/>
  <c r="CI55" i="36"/>
  <c r="CL56" i="36"/>
  <c r="CC56" i="36"/>
  <c r="DQ87" i="36"/>
  <c r="DR87" i="36"/>
  <c r="FW45" i="36"/>
  <c r="FV45" i="36"/>
  <c r="GD45" i="36"/>
  <c r="BH48" i="36"/>
  <c r="CM24" i="36"/>
  <c r="CP27" i="36"/>
  <c r="CL28" i="36"/>
  <c r="CM57" i="36"/>
  <c r="CL80" i="36"/>
  <c r="GE84" i="36"/>
  <c r="BI10" i="36"/>
  <c r="BI14" i="36"/>
  <c r="BI15" i="36"/>
  <c r="BI18" i="36"/>
  <c r="BI19" i="36"/>
  <c r="BI20" i="36"/>
  <c r="BI22" i="36"/>
  <c r="AV45" i="36"/>
  <c r="BE45" i="36"/>
  <c r="BC53" i="36"/>
  <c r="AT60" i="36"/>
  <c r="AX64" i="36"/>
  <c r="BF85" i="36"/>
  <c r="BH85" i="36"/>
  <c r="BB85" i="36"/>
  <c r="BE87" i="36"/>
  <c r="BN26" i="36"/>
  <c r="CO12" i="36"/>
  <c r="CO16" i="36"/>
  <c r="CO20" i="36"/>
  <c r="CN41" i="36"/>
  <c r="CF41" i="36"/>
  <c r="CK41" i="36"/>
  <c r="CN43" i="36"/>
  <c r="CK43" i="36"/>
  <c r="CB43" i="36"/>
  <c r="CM43" i="36"/>
  <c r="CB45" i="36"/>
  <c r="CD57" i="36"/>
  <c r="CE59" i="36"/>
  <c r="CD59" i="36"/>
  <c r="BZ61" i="36"/>
  <c r="CN64" i="36"/>
  <c r="CK64" i="36"/>
  <c r="CA64" i="36"/>
  <c r="CM64" i="36"/>
  <c r="CM87" i="36"/>
  <c r="DR22" i="36"/>
  <c r="DV22" i="36"/>
  <c r="DR24" i="36"/>
  <c r="DV24" i="36"/>
  <c r="DQ44" i="36"/>
  <c r="DT61" i="36"/>
  <c r="DS61" i="36"/>
  <c r="DI61" i="36"/>
  <c r="DR61" i="36"/>
  <c r="DK61" i="36"/>
  <c r="DR62" i="36"/>
  <c r="DT62" i="36"/>
  <c r="DL62" i="36"/>
  <c r="DF62" i="36"/>
  <c r="DS62" i="36"/>
  <c r="DJ62" i="36"/>
  <c r="DQ62" i="36"/>
  <c r="DI62" i="36"/>
  <c r="DN84" i="36"/>
  <c r="DT84" i="36"/>
  <c r="EY25" i="36"/>
  <c r="EV25" i="36"/>
  <c r="FA25" i="36" s="1"/>
  <c r="GB13" i="36"/>
  <c r="GE13" i="36"/>
  <c r="GB17" i="36"/>
  <c r="GE17" i="36"/>
  <c r="GB21" i="36"/>
  <c r="GG21" i="36" s="1"/>
  <c r="GE21" i="36"/>
  <c r="GG26" i="36"/>
  <c r="GD54" i="36"/>
  <c r="GA54" i="36"/>
  <c r="CM49" i="36"/>
  <c r="CM55" i="36"/>
  <c r="CL85" i="36"/>
  <c r="CH85" i="36"/>
  <c r="DS64" i="36"/>
  <c r="DI64" i="36"/>
  <c r="DG64" i="36"/>
  <c r="DR64" i="36"/>
  <c r="BJ27" i="36"/>
  <c r="CP18" i="36"/>
  <c r="BH81" i="36"/>
  <c r="CL45" i="36"/>
  <c r="CM45" i="36"/>
  <c r="CD45" i="36"/>
  <c r="CN49" i="36"/>
  <c r="FB26" i="36"/>
  <c r="EV26" i="36"/>
  <c r="FA26" i="36" s="1"/>
  <c r="EY26" i="36"/>
  <c r="CP14" i="36"/>
  <c r="CP22" i="36"/>
  <c r="CP24" i="36"/>
  <c r="CM27" i="36"/>
  <c r="CM28" i="36"/>
  <c r="CK80" i="36"/>
  <c r="CM83" i="36"/>
  <c r="EX26" i="36"/>
  <c r="AW45" i="36"/>
  <c r="BH45" i="36"/>
  <c r="BG47" i="36"/>
  <c r="BE47" i="36"/>
  <c r="AY59" i="36"/>
  <c r="AV59" i="36"/>
  <c r="BG60" i="36"/>
  <c r="AX60" i="36"/>
  <c r="AW60" i="36"/>
  <c r="BE81" i="36"/>
  <c r="CO11" i="36"/>
  <c r="CO15" i="36"/>
  <c r="CO19" i="36"/>
  <c r="CO23" i="36"/>
  <c r="CL44" i="36"/>
  <c r="CN44" i="36"/>
  <c r="CC45" i="36"/>
  <c r="CN45" i="36"/>
  <c r="CK49" i="36"/>
  <c r="CN52" i="36"/>
  <c r="CK53" i="36"/>
  <c r="CK55" i="36"/>
  <c r="CN56" i="36"/>
  <c r="CN61" i="36"/>
  <c r="CM61" i="36"/>
  <c r="CD61" i="36"/>
  <c r="CB61" i="36"/>
  <c r="CL62" i="36"/>
  <c r="CC62" i="36"/>
  <c r="CN62" i="36"/>
  <c r="CM85" i="36"/>
  <c r="DS43" i="36"/>
  <c r="DS44" i="36"/>
  <c r="DR53" i="36"/>
  <c r="DQ53" i="36"/>
  <c r="FB28" i="36"/>
  <c r="EV28" i="36"/>
  <c r="FA28" i="36" s="1"/>
  <c r="ES58" i="36"/>
  <c r="EW58" i="36"/>
  <c r="GE25" i="36"/>
  <c r="GB25" i="36"/>
  <c r="GG25" i="36" s="1"/>
  <c r="GD25" i="36"/>
  <c r="GD43" i="36"/>
  <c r="GE43" i="36"/>
  <c r="FV43" i="36"/>
  <c r="GC43" i="36"/>
  <c r="FU43" i="36"/>
  <c r="FX43" i="36"/>
  <c r="FT43" i="36"/>
  <c r="BG49" i="36"/>
  <c r="AX61" i="36"/>
  <c r="CE42" i="36"/>
  <c r="DU26" i="36"/>
  <c r="DJ42" i="36"/>
  <c r="DQ42" i="36"/>
  <c r="DT47" i="36"/>
  <c r="DS47" i="36"/>
  <c r="DI59" i="36"/>
  <c r="DF59" i="36"/>
  <c r="EZ46" i="36"/>
  <c r="EX46" i="36"/>
  <c r="EU51" i="36"/>
  <c r="EX87" i="36"/>
  <c r="EZ87" i="36"/>
  <c r="ET87" i="36"/>
  <c r="GE24" i="36"/>
  <c r="GB24" i="36"/>
  <c r="GG24" i="36" s="1"/>
  <c r="GE28" i="36"/>
  <c r="GB28" i="36"/>
  <c r="GG28" i="36" s="1"/>
  <c r="GD44" i="36"/>
  <c r="GC44" i="36"/>
  <c r="FZ50" i="36"/>
  <c r="GD55" i="36"/>
  <c r="GC55" i="36"/>
  <c r="GF55" i="36"/>
  <c r="FU59" i="36"/>
  <c r="FT59" i="36"/>
  <c r="FX59" i="36"/>
  <c r="FR59" i="36"/>
  <c r="DQ58" i="36"/>
  <c r="DM58" i="36"/>
  <c r="DZ27" i="36"/>
  <c r="EZ42" i="36"/>
  <c r="EX42" i="36"/>
  <c r="EQ42" i="36"/>
  <c r="EX43" i="36"/>
  <c r="EW43" i="36"/>
  <c r="EO43" i="36"/>
  <c r="EN43" i="36"/>
  <c r="EY43" i="36"/>
  <c r="EX55" i="36"/>
  <c r="EZ55" i="36"/>
  <c r="EU55" i="36"/>
  <c r="EO59" i="36"/>
  <c r="ER59" i="36"/>
  <c r="EL59" i="36"/>
  <c r="EQ59" i="36"/>
  <c r="EU81" i="36"/>
  <c r="EX81" i="36"/>
  <c r="GG22" i="36"/>
  <c r="GA55" i="36"/>
  <c r="GD61" i="36"/>
  <c r="GE61" i="36"/>
  <c r="FV61" i="36"/>
  <c r="GC61" i="36"/>
  <c r="FU61" i="36"/>
  <c r="FT61" i="36"/>
  <c r="GD62" i="36"/>
  <c r="FV62" i="36"/>
  <c r="FU62" i="36"/>
  <c r="DT55" i="36"/>
  <c r="DH60" i="36"/>
  <c r="DQ60" i="36"/>
  <c r="EP41" i="36"/>
  <c r="EY41" i="36"/>
  <c r="EZ52" i="36"/>
  <c r="EN61" i="36"/>
  <c r="EO62" i="36"/>
  <c r="EZ62" i="36"/>
  <c r="EP64" i="36"/>
  <c r="EY64" i="36"/>
  <c r="FX41" i="36"/>
  <c r="GF41" i="36"/>
  <c r="GC56" i="36"/>
  <c r="FX64" i="36"/>
  <c r="GF64" i="36"/>
  <c r="GE87" i="36"/>
  <c r="DS52" i="36"/>
  <c r="DO55" i="36"/>
  <c r="DL56" i="36"/>
  <c r="DT56" i="36"/>
  <c r="DJ60" i="36"/>
  <c r="DN86" i="36"/>
  <c r="ER41" i="36"/>
  <c r="EZ41" i="36"/>
  <c r="EW56" i="36"/>
  <c r="ER64" i="36"/>
  <c r="EZ64" i="36"/>
  <c r="FF27" i="36"/>
  <c r="GG11" i="36"/>
  <c r="FF26" i="36"/>
  <c r="GG12" i="36"/>
  <c r="GG15" i="36"/>
  <c r="GG19" i="36"/>
  <c r="GG20" i="36"/>
  <c r="GG23" i="36"/>
  <c r="FT41" i="36"/>
  <c r="FW42" i="36"/>
  <c r="GE42" i="36"/>
  <c r="FU56" i="36"/>
  <c r="GF56" i="36"/>
  <c r="FS64" i="36"/>
  <c r="FZ87" i="36"/>
  <c r="GF87" i="36"/>
  <c r="FZ79" i="36"/>
  <c r="GC79" i="36"/>
  <c r="GD57" i="36"/>
  <c r="GE46" i="36"/>
  <c r="GF60" i="36"/>
  <c r="FU60" i="36"/>
  <c r="GC60" i="36"/>
  <c r="FV60" i="36"/>
  <c r="FR60" i="36"/>
  <c r="FT60" i="36"/>
  <c r="GD60" i="36"/>
  <c r="GF81" i="36"/>
  <c r="GC81" i="36"/>
  <c r="GE81" i="36"/>
  <c r="GE10" i="36"/>
  <c r="GE14" i="36"/>
  <c r="GE19" i="36"/>
  <c r="GH24" i="36"/>
  <c r="GH25" i="36"/>
  <c r="GD48" i="36"/>
  <c r="GE57" i="36"/>
  <c r="GE79" i="36"/>
  <c r="GE45" i="36"/>
  <c r="FX45" i="36"/>
  <c r="FT45" i="36"/>
  <c r="GF45" i="36"/>
  <c r="FU45" i="36"/>
  <c r="GC45" i="36"/>
  <c r="GE49" i="36"/>
  <c r="FZ49" i="36"/>
  <c r="GF49" i="36"/>
  <c r="FW60" i="36"/>
  <c r="GE60" i="36"/>
  <c r="GF79" i="36"/>
  <c r="GA81" i="36"/>
  <c r="GE85" i="36"/>
  <c r="FZ85" i="36"/>
  <c r="GF85" i="36"/>
  <c r="FV57" i="36"/>
  <c r="GE22" i="36"/>
  <c r="GF57" i="36"/>
  <c r="GF47" i="36"/>
  <c r="GC47" i="36"/>
  <c r="GE47" i="36"/>
  <c r="GE53" i="36"/>
  <c r="GA53" i="36"/>
  <c r="GF53" i="36"/>
  <c r="GF54" i="36"/>
  <c r="GC54" i="36"/>
  <c r="GE54" i="36"/>
  <c r="FX60" i="36"/>
  <c r="FW41" i="36"/>
  <c r="FV42" i="36"/>
  <c r="GC42" i="36"/>
  <c r="FW43" i="36"/>
  <c r="FT44" i="36"/>
  <c r="GE44" i="36"/>
  <c r="GA52" i="36"/>
  <c r="GE52" i="36"/>
  <c r="FT56" i="36"/>
  <c r="FX56" i="36"/>
  <c r="GE56" i="36"/>
  <c r="FS61" i="36"/>
  <c r="FW61" i="36"/>
  <c r="FT62" i="36"/>
  <c r="FX62" i="36"/>
  <c r="GE62" i="36"/>
  <c r="FW64" i="36"/>
  <c r="FU42" i="36"/>
  <c r="FW56" i="36"/>
  <c r="FS62" i="36"/>
  <c r="FW62" i="36"/>
  <c r="EY46" i="36"/>
  <c r="EZ60" i="36"/>
  <c r="EO60" i="36"/>
  <c r="EW60" i="36"/>
  <c r="EP60" i="36"/>
  <c r="EL60" i="36"/>
  <c r="EN60" i="36"/>
  <c r="FB25" i="36"/>
  <c r="EV9" i="36"/>
  <c r="EX9" i="36"/>
  <c r="EY45" i="36"/>
  <c r="ER45" i="36"/>
  <c r="EN45" i="36"/>
  <c r="EZ45" i="36"/>
  <c r="EO45" i="36"/>
  <c r="EW45" i="36"/>
  <c r="EY49" i="36"/>
  <c r="ET49" i="36"/>
  <c r="EZ49" i="36"/>
  <c r="EQ60" i="36"/>
  <c r="EY60" i="36"/>
  <c r="EY85" i="36"/>
  <c r="ET85" i="36"/>
  <c r="EZ85" i="36"/>
  <c r="EV15" i="36"/>
  <c r="FA15" i="36" s="1"/>
  <c r="EX15" i="36"/>
  <c r="EV23" i="36"/>
  <c r="FA23" i="36" s="1"/>
  <c r="EX23" i="36"/>
  <c r="EW57" i="36"/>
  <c r="EP57" i="36"/>
  <c r="EX57" i="36"/>
  <c r="ET79" i="36"/>
  <c r="EY79" i="36"/>
  <c r="EW79" i="36"/>
  <c r="EY57" i="36"/>
  <c r="EX60" i="36"/>
  <c r="EZ81" i="36"/>
  <c r="EW81" i="36"/>
  <c r="EY81" i="36"/>
  <c r="EX11" i="36"/>
  <c r="EX19" i="36"/>
  <c r="EZ57" i="36"/>
  <c r="EZ47" i="36"/>
  <c r="EW47" i="36"/>
  <c r="EY47" i="36"/>
  <c r="EY53" i="36"/>
  <c r="EU53" i="36"/>
  <c r="EZ53" i="36"/>
  <c r="EZ54" i="36"/>
  <c r="EW54" i="36"/>
  <c r="EY54" i="36"/>
  <c r="ER60" i="36"/>
  <c r="ET80" i="36"/>
  <c r="EY80" i="36"/>
  <c r="EQ41" i="36"/>
  <c r="EP42" i="36"/>
  <c r="EW42" i="36"/>
  <c r="EQ43" i="36"/>
  <c r="EN44" i="36"/>
  <c r="EY44" i="36"/>
  <c r="EU52" i="36"/>
  <c r="EY52" i="36"/>
  <c r="EN56" i="36"/>
  <c r="ER56" i="36"/>
  <c r="EY56" i="36"/>
  <c r="EM61" i="36"/>
  <c r="EQ61" i="36"/>
  <c r="EN62" i="36"/>
  <c r="ER62" i="36"/>
  <c r="EY62" i="36"/>
  <c r="EQ64" i="36"/>
  <c r="EO42" i="36"/>
  <c r="EQ56" i="36"/>
  <c r="EM62" i="36"/>
  <c r="EQ62" i="36"/>
  <c r="DS45" i="36"/>
  <c r="DL45" i="36"/>
  <c r="DH45" i="36"/>
  <c r="DQ41" i="36"/>
  <c r="DJ41" i="36"/>
  <c r="DL41" i="36"/>
  <c r="DT41" i="36"/>
  <c r="DQ43" i="36"/>
  <c r="DJ43" i="36"/>
  <c r="DL43" i="36"/>
  <c r="DT43" i="36"/>
  <c r="DI45" i="36"/>
  <c r="DQ45" i="36"/>
  <c r="DS46" i="36"/>
  <c r="DN50" i="36"/>
  <c r="DO54" i="36"/>
  <c r="DS57" i="36"/>
  <c r="DT57" i="36"/>
  <c r="DR81" i="36"/>
  <c r="DS85" i="36"/>
  <c r="DN85" i="36"/>
  <c r="DT85" i="36"/>
  <c r="DS87" i="36"/>
  <c r="DR57" i="36"/>
  <c r="DQ79" i="36"/>
  <c r="DP24" i="36"/>
  <c r="DU24" i="36" s="1"/>
  <c r="DP27" i="36"/>
  <c r="DU27" i="36" s="1"/>
  <c r="DP28" i="36"/>
  <c r="DU28" i="36" s="1"/>
  <c r="DH41" i="36"/>
  <c r="DH43" i="36"/>
  <c r="DJ45" i="36"/>
  <c r="DR45" i="36"/>
  <c r="DQ47" i="36"/>
  <c r="DS55" i="36"/>
  <c r="DT60" i="36"/>
  <c r="DI60" i="36"/>
  <c r="DG60" i="36"/>
  <c r="DL60" i="36"/>
  <c r="DS60" i="36"/>
  <c r="DG61" i="36"/>
  <c r="DL61" i="36"/>
  <c r="DK64" i="36"/>
  <c r="DO81" i="36"/>
  <c r="DS81" i="36"/>
  <c r="DN87" i="36"/>
  <c r="DT87" i="36"/>
  <c r="DR54" i="36"/>
  <c r="DN79" i="36"/>
  <c r="DR79" i="36"/>
  <c r="DS54" i="36"/>
  <c r="DS79" i="36"/>
  <c r="DI41" i="36"/>
  <c r="DR41" i="36"/>
  <c r="DI43" i="36"/>
  <c r="DR43" i="36"/>
  <c r="DK45" i="36"/>
  <c r="DT45" i="36"/>
  <c r="DR47" i="36"/>
  <c r="DS49" i="36"/>
  <c r="DN49" i="36"/>
  <c r="DT49" i="36"/>
  <c r="DS53" i="36"/>
  <c r="DO53" i="36"/>
  <c r="DT53" i="36"/>
  <c r="DQ54" i="36"/>
  <c r="DJ57" i="36"/>
  <c r="DL59" i="36"/>
  <c r="DH59" i="36"/>
  <c r="DJ59" i="36"/>
  <c r="DQ61" i="36"/>
  <c r="DJ61" i="36"/>
  <c r="DF61" i="36"/>
  <c r="DH61" i="36"/>
  <c r="DQ64" i="36"/>
  <c r="DJ64" i="36"/>
  <c r="DL64" i="36"/>
  <c r="DT64" i="36"/>
  <c r="DN80" i="36"/>
  <c r="DT80" i="36"/>
  <c r="DQ85" i="36"/>
  <c r="DI42" i="36"/>
  <c r="DK56" i="36"/>
  <c r="DG62" i="36"/>
  <c r="DK62" i="36"/>
  <c r="CM13" i="36"/>
  <c r="CM17" i="36"/>
  <c r="CP20" i="36"/>
  <c r="CM21" i="36"/>
  <c r="CM12" i="36"/>
  <c r="CM16" i="36"/>
  <c r="CP19" i="36"/>
  <c r="CM20" i="36"/>
  <c r="CP23" i="36"/>
  <c r="CK50" i="36"/>
  <c r="CJ9" i="36"/>
  <c r="CJ10" i="36"/>
  <c r="CO10" i="36" s="1"/>
  <c r="CJ13" i="36"/>
  <c r="CO13" i="36" s="1"/>
  <c r="CJ14" i="36"/>
  <c r="CO14" i="36" s="1"/>
  <c r="CJ17" i="36"/>
  <c r="CO17" i="36" s="1"/>
  <c r="CJ18" i="36"/>
  <c r="CO18" i="36" s="1"/>
  <c r="CJ21" i="36"/>
  <c r="CO21" i="36" s="1"/>
  <c r="CJ22" i="36"/>
  <c r="CO22" i="36" s="1"/>
  <c r="CE41" i="36"/>
  <c r="CL41" i="36"/>
  <c r="CD42" i="36"/>
  <c r="CK42" i="36"/>
  <c r="CE43" i="36"/>
  <c r="CL43" i="36"/>
  <c r="CB44" i="36"/>
  <c r="CM44" i="36"/>
  <c r="CK47" i="36"/>
  <c r="CI52" i="36"/>
  <c r="CM52" i="36"/>
  <c r="CK54" i="36"/>
  <c r="CL55" i="36"/>
  <c r="CB56" i="36"/>
  <c r="CF56" i="36"/>
  <c r="CM56" i="36"/>
  <c r="CC59" i="36"/>
  <c r="BZ60" i="36"/>
  <c r="CD60" i="36"/>
  <c r="CK60" i="36"/>
  <c r="CA61" i="36"/>
  <c r="CE61" i="36"/>
  <c r="CL61" i="36"/>
  <c r="CB62" i="36"/>
  <c r="CF62" i="36"/>
  <c r="CM62" i="36"/>
  <c r="CE64" i="36"/>
  <c r="CL64" i="36"/>
  <c r="CK81" i="36"/>
  <c r="CH83" i="36"/>
  <c r="CN85" i="36"/>
  <c r="CL87" i="36"/>
  <c r="CL47" i="36"/>
  <c r="CL54" i="36"/>
  <c r="CA60" i="36"/>
  <c r="CE60" i="36"/>
  <c r="CL60" i="36"/>
  <c r="CL81" i="36"/>
  <c r="CN50" i="36"/>
  <c r="CC41" i="36"/>
  <c r="CF42" i="36"/>
  <c r="CM42" i="36"/>
  <c r="CC43" i="36"/>
  <c r="CK44" i="36"/>
  <c r="CE45" i="36"/>
  <c r="CM47" i="36"/>
  <c r="CH50" i="36"/>
  <c r="CK52" i="36"/>
  <c r="CI54" i="36"/>
  <c r="CM54" i="36"/>
  <c r="CD56" i="36"/>
  <c r="CK56" i="36"/>
  <c r="BZ59" i="36"/>
  <c r="CB60" i="36"/>
  <c r="CF60" i="36"/>
  <c r="CM60" i="36"/>
  <c r="CC61" i="36"/>
  <c r="BZ62" i="36"/>
  <c r="CD62" i="36"/>
  <c r="CK62" i="36"/>
  <c r="CC64" i="36"/>
  <c r="CI81" i="36"/>
  <c r="CM81" i="36"/>
  <c r="CC42" i="36"/>
  <c r="CE56" i="36"/>
  <c r="CC60" i="36"/>
  <c r="CA62" i="36"/>
  <c r="CE62" i="36"/>
  <c r="BH43" i="36"/>
  <c r="AW43" i="36"/>
  <c r="BG43" i="36"/>
  <c r="AZ43" i="36"/>
  <c r="AV43" i="36"/>
  <c r="BE43" i="36"/>
  <c r="BE52" i="36"/>
  <c r="BG52" i="36"/>
  <c r="BC52" i="36"/>
  <c r="BH52" i="36"/>
  <c r="BG42" i="36"/>
  <c r="AZ42" i="36"/>
  <c r="BF42" i="36"/>
  <c r="AY42" i="36"/>
  <c r="BH42" i="36"/>
  <c r="BB83" i="36"/>
  <c r="BF83" i="36"/>
  <c r="AH25" i="36"/>
  <c r="AX42" i="36"/>
  <c r="BE56" i="36"/>
  <c r="AX56" i="36"/>
  <c r="BG56" i="36"/>
  <c r="AV56" i="36"/>
  <c r="BH56" i="36"/>
  <c r="AW56" i="36"/>
  <c r="AZ56" i="36"/>
  <c r="BH41" i="36"/>
  <c r="AW41" i="36"/>
  <c r="BG41" i="36"/>
  <c r="AZ41" i="36"/>
  <c r="AV41" i="36"/>
  <c r="BE41" i="36"/>
  <c r="AX43" i="36"/>
  <c r="BF43" i="36"/>
  <c r="AY56" i="36"/>
  <c r="BE84" i="36"/>
  <c r="BF84" i="36"/>
  <c r="BB84" i="36"/>
  <c r="AX41" i="36"/>
  <c r="BF41" i="36"/>
  <c r="BE42" i="36"/>
  <c r="AY43" i="36"/>
  <c r="BE44" i="36"/>
  <c r="BG44" i="36"/>
  <c r="BH44" i="36"/>
  <c r="BF52" i="36"/>
  <c r="BE62" i="36"/>
  <c r="AX62" i="36"/>
  <c r="AT62" i="36"/>
  <c r="BG62" i="36"/>
  <c r="AZ62" i="36"/>
  <c r="BH62" i="36"/>
  <c r="AW62" i="36"/>
  <c r="AV62" i="36"/>
  <c r="AY62" i="36"/>
  <c r="AY61" i="36"/>
  <c r="AY64" i="36"/>
  <c r="BF87" i="36"/>
  <c r="BH59" i="36"/>
  <c r="BF47" i="36"/>
  <c r="BC51" i="36"/>
  <c r="BF54" i="36"/>
  <c r="BC55" i="36"/>
  <c r="BG55" i="36"/>
  <c r="BA58" i="36"/>
  <c r="AX59" i="36"/>
  <c r="AU60" i="36"/>
  <c r="AY60" i="36"/>
  <c r="BF60" i="36"/>
  <c r="AV61" i="36"/>
  <c r="AZ61" i="36"/>
  <c r="BG61" i="36"/>
  <c r="AU64" i="36"/>
  <c r="AZ64" i="36"/>
  <c r="BG64" i="36"/>
  <c r="BF81" i="36"/>
  <c r="BB87" i="36"/>
  <c r="BG87" i="36"/>
  <c r="BF55" i="36"/>
  <c r="AW59" i="36"/>
  <c r="AU61" i="36"/>
  <c r="BF61" i="36"/>
  <c r="BF64" i="36"/>
  <c r="BE59" i="36"/>
  <c r="AY45" i="36"/>
  <c r="BC54" i="36"/>
  <c r="AV60" i="36"/>
  <c r="AZ60" i="36"/>
  <c r="AW61" i="36"/>
  <c r="AW64" i="36"/>
  <c r="BC81" i="36"/>
  <c r="GG27" i="36"/>
  <c r="GD26" i="36"/>
  <c r="GD11" i="36"/>
  <c r="GD12" i="36"/>
  <c r="GH12" i="36" s="1"/>
  <c r="GD13" i="36"/>
  <c r="GH13" i="36"/>
  <c r="GD14" i="36"/>
  <c r="GH14" i="36"/>
  <c r="GD15" i="36"/>
  <c r="GH15" i="36"/>
  <c r="GD16" i="36"/>
  <c r="GH16" i="36"/>
  <c r="GD17" i="36"/>
  <c r="GH17" i="36"/>
  <c r="GD18" i="36"/>
  <c r="GH18" i="36"/>
  <c r="GD19" i="36"/>
  <c r="GH19" i="36"/>
  <c r="GD20" i="36"/>
  <c r="GH20" i="36"/>
  <c r="GD21" i="36"/>
  <c r="GH21" i="36"/>
  <c r="GD22" i="36"/>
  <c r="GH22" i="36"/>
  <c r="GD23" i="36"/>
  <c r="GH23" i="36"/>
  <c r="GE26" i="36"/>
  <c r="GD27" i="36"/>
  <c r="GH27" i="36"/>
  <c r="GC48" i="36"/>
  <c r="GC50" i="36"/>
  <c r="GF50" i="36"/>
  <c r="GE50" i="36"/>
  <c r="GE59" i="36"/>
  <c r="GD59" i="36"/>
  <c r="GC59" i="36"/>
  <c r="GF59" i="36"/>
  <c r="GH26" i="36"/>
  <c r="GD9" i="36"/>
  <c r="GD10" i="36"/>
  <c r="GD24" i="36"/>
  <c r="GD28" i="36"/>
  <c r="GF80" i="36"/>
  <c r="GD82" i="36"/>
  <c r="GF84" i="36"/>
  <c r="GD86" i="36"/>
  <c r="GD58" i="36"/>
  <c r="GC80" i="36"/>
  <c r="GC84" i="36"/>
  <c r="EY12" i="36"/>
  <c r="FA12" i="36"/>
  <c r="EY27" i="36"/>
  <c r="FA27" i="36"/>
  <c r="FB27" i="36"/>
  <c r="EY9" i="36"/>
  <c r="EY11" i="36"/>
  <c r="FA11" i="36"/>
  <c r="FB11" i="36" s="1"/>
  <c r="EY13" i="36"/>
  <c r="FB13" i="36"/>
  <c r="EY15" i="36"/>
  <c r="FB15" i="36"/>
  <c r="EY17" i="36"/>
  <c r="FA17" i="36"/>
  <c r="FB17" i="36"/>
  <c r="EY19" i="36"/>
  <c r="FA19" i="36"/>
  <c r="FB19" i="36"/>
  <c r="EY21" i="36"/>
  <c r="FA21" i="36"/>
  <c r="FB21" i="36"/>
  <c r="EY23" i="36"/>
  <c r="FB23" i="36"/>
  <c r="FB24" i="36"/>
  <c r="EX24" i="36"/>
  <c r="EY24" i="36"/>
  <c r="EY10" i="36"/>
  <c r="FA10" i="36"/>
  <c r="EY14" i="36"/>
  <c r="EY16" i="36"/>
  <c r="FA16" i="36"/>
  <c r="FB16" i="36"/>
  <c r="EY18" i="36"/>
  <c r="FA18" i="36"/>
  <c r="FB18" i="36"/>
  <c r="EY20" i="36"/>
  <c r="FA20" i="36"/>
  <c r="FB20" i="36"/>
  <c r="EY22" i="36"/>
  <c r="FA22" i="36"/>
  <c r="FB22" i="36"/>
  <c r="EX10" i="36"/>
  <c r="EX12" i="36"/>
  <c r="FB12" i="36" s="1"/>
  <c r="EX14" i="36"/>
  <c r="EX16" i="36"/>
  <c r="EX18" i="36"/>
  <c r="EX20" i="36"/>
  <c r="EX22" i="36"/>
  <c r="FA24" i="36"/>
  <c r="EX27" i="36"/>
  <c r="EW48" i="36"/>
  <c r="EX25" i="36"/>
  <c r="EY28" i="36"/>
  <c r="EZ48" i="36"/>
  <c r="EW50" i="36"/>
  <c r="EX28" i="36"/>
  <c r="EX48" i="36"/>
  <c r="EZ50" i="36"/>
  <c r="EX59" i="36"/>
  <c r="EY59" i="36"/>
  <c r="EZ82" i="36"/>
  <c r="EY82" i="36"/>
  <c r="EZ86" i="36"/>
  <c r="EY86" i="36"/>
  <c r="EX58" i="36"/>
  <c r="EW80" i="36"/>
  <c r="EW84" i="36"/>
  <c r="DR25" i="36"/>
  <c r="DV25" i="36"/>
  <c r="DT59" i="36"/>
  <c r="DS25" i="36"/>
  <c r="DR26" i="36"/>
  <c r="DV26" i="36"/>
  <c r="DR59" i="36"/>
  <c r="DS59" i="36"/>
  <c r="DQ48" i="36"/>
  <c r="DQ50" i="36"/>
  <c r="DS50" i="36"/>
  <c r="DQ59" i="36"/>
  <c r="DT82" i="36"/>
  <c r="DS82" i="36"/>
  <c r="DT86" i="36"/>
  <c r="DS86" i="36"/>
  <c r="DR58" i="36"/>
  <c r="DQ80" i="36"/>
  <c r="DQ84" i="36"/>
  <c r="CN82" i="36"/>
  <c r="CM82" i="36"/>
  <c r="CN86" i="36"/>
  <c r="CM86" i="36"/>
  <c r="CM25" i="36"/>
  <c r="CL26" i="36"/>
  <c r="CP26" i="36"/>
  <c r="CM48" i="36"/>
  <c r="CK48" i="36"/>
  <c r="CL25" i="36"/>
  <c r="CP25" i="36"/>
  <c r="CL48" i="36"/>
  <c r="CM59" i="36"/>
  <c r="CL59" i="36"/>
  <c r="CL9" i="36"/>
  <c r="CL10" i="36"/>
  <c r="CL11" i="36"/>
  <c r="CL12" i="36"/>
  <c r="CP12" i="36" s="1"/>
  <c r="CL13" i="36"/>
  <c r="CL14" i="36"/>
  <c r="CL15" i="36"/>
  <c r="CL16" i="36"/>
  <c r="CP16" i="36" s="1"/>
  <c r="CL17" i="36"/>
  <c r="CL18" i="36"/>
  <c r="CL19" i="36"/>
  <c r="CL20" i="36"/>
  <c r="CL21" i="36"/>
  <c r="CL22" i="36"/>
  <c r="CL23" i="36"/>
  <c r="CL27" i="36"/>
  <c r="CN59" i="36"/>
  <c r="CK82" i="36"/>
  <c r="CK86" i="36"/>
  <c r="CN57" i="36"/>
  <c r="CL58" i="36"/>
  <c r="CL79" i="36"/>
  <c r="CL83" i="36"/>
  <c r="BJ17" i="36"/>
  <c r="BF17" i="36"/>
  <c r="BG17" i="36"/>
  <c r="AH27" i="36"/>
  <c r="BF14" i="36"/>
  <c r="BJ14" i="36" s="1"/>
  <c r="BG14" i="36"/>
  <c r="BJ18" i="36"/>
  <c r="BF18" i="36"/>
  <c r="BG18" i="36"/>
  <c r="BG50" i="36"/>
  <c r="BE50" i="36"/>
  <c r="BG11" i="36"/>
  <c r="BF11" i="36"/>
  <c r="BJ11" i="36" s="1"/>
  <c r="BF15" i="36"/>
  <c r="BG15" i="36"/>
  <c r="BJ19" i="36"/>
  <c r="BF19" i="36"/>
  <c r="BG19" i="36"/>
  <c r="BG9" i="36"/>
  <c r="BF9" i="36"/>
  <c r="BF13" i="36"/>
  <c r="BG13" i="36"/>
  <c r="BF10" i="36"/>
  <c r="BJ10" i="36" s="1"/>
  <c r="BG10" i="36"/>
  <c r="BI9" i="36"/>
  <c r="BF12" i="36"/>
  <c r="BJ12" i="36" s="1"/>
  <c r="BG12" i="36"/>
  <c r="BI13" i="36"/>
  <c r="BF16" i="36"/>
  <c r="BJ16" i="36" s="1"/>
  <c r="BG16" i="36"/>
  <c r="BI17" i="36"/>
  <c r="BG26" i="36"/>
  <c r="BI26" i="36"/>
  <c r="BJ26" i="36"/>
  <c r="BF26" i="36"/>
  <c r="BI27" i="36"/>
  <c r="BH50" i="36"/>
  <c r="BG79" i="36"/>
  <c r="BG83" i="36"/>
  <c r="BG20" i="36"/>
  <c r="BG21" i="36"/>
  <c r="BG22" i="36"/>
  <c r="BG23" i="36"/>
  <c r="BF24" i="36"/>
  <c r="BG27" i="36"/>
  <c r="BF28" i="36"/>
  <c r="BE79" i="36"/>
  <c r="BH82" i="36"/>
  <c r="BE82" i="36"/>
  <c r="BG82" i="36"/>
  <c r="BE83" i="36"/>
  <c r="BH86" i="36"/>
  <c r="BE86" i="36"/>
  <c r="BG86" i="36"/>
  <c r="BF57" i="36"/>
  <c r="BE57" i="36"/>
  <c r="BF20" i="36"/>
  <c r="BF21" i="36"/>
  <c r="BF22" i="36"/>
  <c r="BF23" i="36"/>
  <c r="BF27" i="36"/>
  <c r="BG57" i="36"/>
  <c r="BG58" i="36"/>
  <c r="BH58" i="36"/>
  <c r="BG80" i="36"/>
  <c r="BG84" i="36"/>
  <c r="W28" i="36"/>
  <c r="W27" i="36"/>
  <c r="W26" i="36"/>
  <c r="W25" i="36"/>
  <c r="W24" i="36"/>
  <c r="W23" i="36"/>
  <c r="W22" i="36"/>
  <c r="W21" i="36"/>
  <c r="W20" i="36"/>
  <c r="W19" i="36"/>
  <c r="W18" i="36"/>
  <c r="W17" i="36"/>
  <c r="W16" i="36"/>
  <c r="W15" i="36"/>
  <c r="W14" i="36"/>
  <c r="W13" i="36"/>
  <c r="W12" i="36"/>
  <c r="W11" i="36"/>
  <c r="W10" i="36"/>
  <c r="W9" i="36"/>
  <c r="AC87" i="36"/>
  <c r="L86" i="36"/>
  <c r="L85" i="36"/>
  <c r="L84" i="36"/>
  <c r="L83" i="36"/>
  <c r="AB83" i="36" s="1"/>
  <c r="M82" i="36"/>
  <c r="M81" i="36"/>
  <c r="L80" i="36"/>
  <c r="L79" i="36"/>
  <c r="X66" i="36"/>
  <c r="J65" i="36"/>
  <c r="I65" i="36"/>
  <c r="H65" i="36"/>
  <c r="G65" i="36"/>
  <c r="F65" i="36"/>
  <c r="AC64" i="36"/>
  <c r="J64" i="36"/>
  <c r="I64" i="36"/>
  <c r="H64" i="36"/>
  <c r="G64" i="36"/>
  <c r="E64" i="36"/>
  <c r="J63" i="36"/>
  <c r="I63" i="36"/>
  <c r="H63" i="36"/>
  <c r="G63" i="36"/>
  <c r="F63" i="36"/>
  <c r="J62" i="36"/>
  <c r="I62" i="36"/>
  <c r="H62" i="36"/>
  <c r="G62" i="36"/>
  <c r="F62" i="36"/>
  <c r="E62" i="36"/>
  <c r="D62" i="36"/>
  <c r="J61" i="36"/>
  <c r="I61" i="36"/>
  <c r="H61" i="36"/>
  <c r="G61" i="36"/>
  <c r="F61" i="36"/>
  <c r="E61" i="36"/>
  <c r="D61" i="36"/>
  <c r="J60" i="36"/>
  <c r="I60" i="36"/>
  <c r="H60" i="36"/>
  <c r="G60" i="36"/>
  <c r="F60" i="36"/>
  <c r="E60" i="36"/>
  <c r="D60" i="36"/>
  <c r="J59" i="36"/>
  <c r="I59" i="36"/>
  <c r="H59" i="36"/>
  <c r="G59" i="36"/>
  <c r="F59" i="36"/>
  <c r="D59" i="36"/>
  <c r="K58" i="36"/>
  <c r="J57" i="36"/>
  <c r="H57" i="36"/>
  <c r="J56" i="36"/>
  <c r="I56" i="36"/>
  <c r="H56" i="36"/>
  <c r="G56" i="36"/>
  <c r="F56" i="36"/>
  <c r="X56" i="36" s="1"/>
  <c r="M55" i="36"/>
  <c r="M54" i="36"/>
  <c r="M53" i="36"/>
  <c r="M52" i="36"/>
  <c r="M51" i="36"/>
  <c r="X51" i="36" s="1"/>
  <c r="L50" i="36"/>
  <c r="L49" i="36"/>
  <c r="AC48" i="36"/>
  <c r="X48" i="36"/>
  <c r="AC47" i="36"/>
  <c r="F47" i="36"/>
  <c r="D47" i="36"/>
  <c r="Z47" i="36" s="1"/>
  <c r="AC46" i="36"/>
  <c r="F46" i="36"/>
  <c r="D46" i="36"/>
  <c r="AA46" i="36" s="1"/>
  <c r="J45" i="36"/>
  <c r="I45" i="36"/>
  <c r="H45" i="36"/>
  <c r="G45" i="36"/>
  <c r="F45" i="36"/>
  <c r="J43" i="36"/>
  <c r="I43" i="36"/>
  <c r="H43" i="36"/>
  <c r="G43" i="36"/>
  <c r="F43" i="36"/>
  <c r="J42" i="36"/>
  <c r="I42" i="36"/>
  <c r="H42" i="36"/>
  <c r="G42" i="36"/>
  <c r="J41" i="36"/>
  <c r="I41" i="36"/>
  <c r="H41" i="36"/>
  <c r="G41" i="36"/>
  <c r="F41" i="36"/>
  <c r="AB28" i="36"/>
  <c r="Y28" i="36"/>
  <c r="X28" i="36" s="1"/>
  <c r="AB27" i="36"/>
  <c r="Y27" i="36"/>
  <c r="X27" i="36" s="1"/>
  <c r="AB26" i="36"/>
  <c r="Y26" i="36"/>
  <c r="X26" i="36" s="1"/>
  <c r="AB25" i="36"/>
  <c r="Y25" i="36"/>
  <c r="X25" i="36" s="1"/>
  <c r="AB24" i="36"/>
  <c r="Y24" i="36"/>
  <c r="X24" i="36" s="1"/>
  <c r="AB23" i="36"/>
  <c r="Y23" i="36"/>
  <c r="X23" i="36" s="1"/>
  <c r="U23" i="36"/>
  <c r="T23" i="36"/>
  <c r="S23" i="36"/>
  <c r="R23" i="36"/>
  <c r="Q23" i="36"/>
  <c r="P23" i="36"/>
  <c r="O23" i="36"/>
  <c r="N23" i="36"/>
  <c r="M23" i="36"/>
  <c r="L23" i="36"/>
  <c r="K23" i="36"/>
  <c r="J23" i="36"/>
  <c r="I23" i="36"/>
  <c r="H23" i="36"/>
  <c r="G23" i="36"/>
  <c r="F23" i="36"/>
  <c r="E23" i="36"/>
  <c r="D23" i="36"/>
  <c r="C23" i="36"/>
  <c r="B23" i="36"/>
  <c r="AB22" i="36"/>
  <c r="Y22" i="36"/>
  <c r="X22" i="36" s="1"/>
  <c r="U22" i="36"/>
  <c r="T22" i="36"/>
  <c r="S22" i="36"/>
  <c r="R22" i="36"/>
  <c r="Q22" i="36"/>
  <c r="P22" i="36"/>
  <c r="O22" i="36"/>
  <c r="N22" i="36"/>
  <c r="M22" i="36"/>
  <c r="L22" i="36"/>
  <c r="K22" i="36"/>
  <c r="J22" i="36"/>
  <c r="I22" i="36"/>
  <c r="H22" i="36"/>
  <c r="G22" i="36"/>
  <c r="F22" i="36"/>
  <c r="E22" i="36"/>
  <c r="D22" i="36"/>
  <c r="C22" i="36"/>
  <c r="B22" i="36"/>
  <c r="AB21" i="36"/>
  <c r="Y21" i="36"/>
  <c r="X21" i="36" s="1"/>
  <c r="U21" i="36"/>
  <c r="T21" i="36"/>
  <c r="S21" i="36"/>
  <c r="R21" i="36"/>
  <c r="Q21" i="36"/>
  <c r="P21" i="36"/>
  <c r="O21" i="36"/>
  <c r="N21" i="36"/>
  <c r="M21" i="36"/>
  <c r="L21" i="36"/>
  <c r="K21" i="36"/>
  <c r="J21" i="36"/>
  <c r="I21" i="36"/>
  <c r="H21" i="36"/>
  <c r="G21" i="36"/>
  <c r="F21" i="36"/>
  <c r="E21" i="36"/>
  <c r="D21" i="36"/>
  <c r="C21" i="36"/>
  <c r="B21" i="36"/>
  <c r="AB20" i="36"/>
  <c r="Y20" i="36"/>
  <c r="X20" i="36" s="1"/>
  <c r="U20" i="36"/>
  <c r="T20" i="36"/>
  <c r="S20" i="36"/>
  <c r="R20" i="36"/>
  <c r="Q20" i="36"/>
  <c r="P20" i="36"/>
  <c r="O20" i="36"/>
  <c r="N20" i="36"/>
  <c r="M20" i="36"/>
  <c r="L20" i="36"/>
  <c r="K20" i="36"/>
  <c r="J20" i="36"/>
  <c r="I20" i="36"/>
  <c r="H20" i="36"/>
  <c r="G20" i="36"/>
  <c r="F20" i="36"/>
  <c r="E20" i="36"/>
  <c r="D20" i="36"/>
  <c r="C20" i="36"/>
  <c r="B20" i="36"/>
  <c r="AB19" i="36"/>
  <c r="Y19" i="36"/>
  <c r="X19" i="36" s="1"/>
  <c r="U19" i="36"/>
  <c r="T19" i="36"/>
  <c r="S19" i="36"/>
  <c r="R19" i="36"/>
  <c r="Q19" i="36"/>
  <c r="P19" i="36"/>
  <c r="O19" i="36"/>
  <c r="N19" i="36"/>
  <c r="M19" i="36"/>
  <c r="L19" i="36"/>
  <c r="K19" i="36"/>
  <c r="J19" i="36"/>
  <c r="I19" i="36"/>
  <c r="H19" i="36"/>
  <c r="G19" i="36"/>
  <c r="F19" i="36"/>
  <c r="E19" i="36"/>
  <c r="D19" i="36"/>
  <c r="C19" i="36"/>
  <c r="B19" i="36"/>
  <c r="AB18" i="36"/>
  <c r="Y18" i="36"/>
  <c r="X18" i="36" s="1"/>
  <c r="U18" i="36"/>
  <c r="T18" i="36"/>
  <c r="S18" i="36"/>
  <c r="R18" i="36"/>
  <c r="Q18" i="36"/>
  <c r="P18" i="36"/>
  <c r="O18" i="36"/>
  <c r="N18" i="36"/>
  <c r="M18" i="36"/>
  <c r="L18" i="36"/>
  <c r="K18" i="36"/>
  <c r="J18" i="36"/>
  <c r="I18" i="36"/>
  <c r="H18" i="36"/>
  <c r="G18" i="36"/>
  <c r="F18" i="36"/>
  <c r="E18" i="36"/>
  <c r="D18" i="36"/>
  <c r="C18" i="36"/>
  <c r="B18" i="36"/>
  <c r="AB17" i="36"/>
  <c r="Y17" i="36"/>
  <c r="X17" i="36" s="1"/>
  <c r="U17" i="36"/>
  <c r="T17" i="36"/>
  <c r="S17" i="36"/>
  <c r="R17" i="36"/>
  <c r="Q17" i="36"/>
  <c r="P17" i="36"/>
  <c r="O17" i="36"/>
  <c r="N17" i="36"/>
  <c r="M17" i="36"/>
  <c r="L17" i="36"/>
  <c r="K17" i="36"/>
  <c r="J17" i="36"/>
  <c r="I17" i="36"/>
  <c r="H17" i="36"/>
  <c r="G17" i="36"/>
  <c r="F17" i="36"/>
  <c r="E17" i="36"/>
  <c r="D17" i="36"/>
  <c r="C17" i="36"/>
  <c r="B17" i="36"/>
  <c r="AB16" i="36"/>
  <c r="Y16" i="36"/>
  <c r="X16" i="36" s="1"/>
  <c r="U16" i="36"/>
  <c r="T16" i="36"/>
  <c r="S16" i="36"/>
  <c r="R16" i="36"/>
  <c r="Q16" i="36"/>
  <c r="P16" i="36"/>
  <c r="O16" i="36"/>
  <c r="N16" i="36"/>
  <c r="M16" i="36"/>
  <c r="L16" i="36"/>
  <c r="K16" i="36"/>
  <c r="J16" i="36"/>
  <c r="I16" i="36"/>
  <c r="H16" i="36"/>
  <c r="G16" i="36"/>
  <c r="F16" i="36"/>
  <c r="E16" i="36"/>
  <c r="D16" i="36"/>
  <c r="C16" i="36"/>
  <c r="B16" i="36"/>
  <c r="AB15" i="36"/>
  <c r="Y15" i="36"/>
  <c r="X15" i="36" s="1"/>
  <c r="U15" i="36"/>
  <c r="T15" i="36"/>
  <c r="S15" i="36"/>
  <c r="R15" i="36"/>
  <c r="Q15" i="36"/>
  <c r="P15" i="36"/>
  <c r="O15" i="36"/>
  <c r="N15" i="36"/>
  <c r="M15" i="36"/>
  <c r="L15" i="36"/>
  <c r="K15" i="36"/>
  <c r="J15" i="36"/>
  <c r="I15" i="36"/>
  <c r="H15" i="36"/>
  <c r="G15" i="36"/>
  <c r="F15" i="36"/>
  <c r="E15" i="36"/>
  <c r="D15" i="36"/>
  <c r="C15" i="36"/>
  <c r="B15" i="36"/>
  <c r="AB14" i="36"/>
  <c r="Y14" i="36"/>
  <c r="X14" i="36" s="1"/>
  <c r="U14" i="36"/>
  <c r="T14" i="36"/>
  <c r="S14" i="36"/>
  <c r="R14" i="36"/>
  <c r="Q14" i="36"/>
  <c r="P14" i="36"/>
  <c r="O14" i="36"/>
  <c r="N14" i="36"/>
  <c r="M14" i="36"/>
  <c r="L14" i="36"/>
  <c r="K14" i="36"/>
  <c r="J14" i="36"/>
  <c r="I14" i="36"/>
  <c r="H14" i="36"/>
  <c r="G14" i="36"/>
  <c r="F14" i="36"/>
  <c r="E14" i="36"/>
  <c r="D14" i="36"/>
  <c r="C14" i="36"/>
  <c r="B14" i="36"/>
  <c r="AB13" i="36"/>
  <c r="Y13" i="36"/>
  <c r="X13" i="36" s="1"/>
  <c r="U13" i="36"/>
  <c r="T13" i="36"/>
  <c r="S13" i="36"/>
  <c r="R13" i="36"/>
  <c r="Q13" i="36"/>
  <c r="P13" i="36"/>
  <c r="O13" i="36"/>
  <c r="N13" i="36"/>
  <c r="M13" i="36"/>
  <c r="L13" i="36"/>
  <c r="K13" i="36"/>
  <c r="J13" i="36"/>
  <c r="I13" i="36"/>
  <c r="H13" i="36"/>
  <c r="G13" i="36"/>
  <c r="F13" i="36"/>
  <c r="E13" i="36"/>
  <c r="D13" i="36"/>
  <c r="C13" i="36"/>
  <c r="AB12" i="36"/>
  <c r="Y12" i="36"/>
  <c r="X12" i="36" s="1"/>
  <c r="H12" i="36"/>
  <c r="G12" i="36"/>
  <c r="F12" i="36"/>
  <c r="E12" i="36"/>
  <c r="D12" i="36"/>
  <c r="C12" i="36"/>
  <c r="B12" i="36"/>
  <c r="AB11" i="36"/>
  <c r="Y11" i="36"/>
  <c r="X11" i="36" s="1"/>
  <c r="H11" i="36"/>
  <c r="G11" i="36"/>
  <c r="F11" i="36"/>
  <c r="E11" i="36"/>
  <c r="D11" i="36"/>
  <c r="C11" i="36"/>
  <c r="B11" i="36"/>
  <c r="AB10" i="36"/>
  <c r="Y10" i="36"/>
  <c r="X10" i="36" s="1"/>
  <c r="H10" i="36"/>
  <c r="G10" i="36"/>
  <c r="F10" i="36"/>
  <c r="E10" i="36"/>
  <c r="D10" i="36"/>
  <c r="C10" i="36"/>
  <c r="B10" i="36"/>
  <c r="AB9" i="36"/>
  <c r="Y9" i="36"/>
  <c r="X9" i="36" s="1"/>
  <c r="H9" i="36"/>
  <c r="G9" i="36"/>
  <c r="F9" i="36"/>
  <c r="E9" i="36"/>
  <c r="D9" i="36"/>
  <c r="C9" i="36"/>
  <c r="B9" i="36"/>
  <c r="B25" i="36" l="1"/>
  <c r="AB51" i="36"/>
  <c r="AA51" i="36"/>
  <c r="Z51" i="36"/>
  <c r="Y51" i="36"/>
  <c r="X63" i="36"/>
  <c r="T63" i="36"/>
  <c r="P63" i="36"/>
  <c r="S63" i="36"/>
  <c r="Q63" i="36"/>
  <c r="R63" i="36"/>
  <c r="X65" i="36"/>
  <c r="Q65" i="36"/>
  <c r="T65" i="36"/>
  <c r="P65" i="36"/>
  <c r="S65" i="36"/>
  <c r="R65" i="36"/>
  <c r="GH9" i="36"/>
  <c r="FV10" i="36"/>
  <c r="FN9" i="36"/>
  <c r="FB10" i="36"/>
  <c r="BJ9" i="36"/>
  <c r="DK68" i="36"/>
  <c r="DW68" i="36" s="1"/>
  <c r="DB67" i="36"/>
  <c r="GG17" i="36"/>
  <c r="FM9" i="36"/>
  <c r="FU10" i="36"/>
  <c r="FN10" i="36"/>
  <c r="FF29" i="36" s="1"/>
  <c r="FL70" i="36" s="1"/>
  <c r="FX10" i="36"/>
  <c r="FM10" i="36"/>
  <c r="GH10" i="36"/>
  <c r="FY9" i="36"/>
  <c r="FW10" i="36"/>
  <c r="FX9" i="36"/>
  <c r="GG13" i="36"/>
  <c r="FF31" i="36" s="1"/>
  <c r="FO72" i="36" s="1"/>
  <c r="FV9" i="36"/>
  <c r="FU9" i="36"/>
  <c r="FY10" i="36"/>
  <c r="FW9" i="36"/>
  <c r="EN10" i="36"/>
  <c r="EM10" i="36"/>
  <c r="EL10" i="36"/>
  <c r="EI9" i="36"/>
  <c r="EK9" i="36"/>
  <c r="EJ9" i="36"/>
  <c r="FA9" i="36"/>
  <c r="DZ31" i="36" s="1"/>
  <c r="ER10" i="36"/>
  <c r="EQ9" i="36"/>
  <c r="EH10" i="36"/>
  <c r="EO9" i="36"/>
  <c r="EG9" i="36"/>
  <c r="EO10" i="36"/>
  <c r="EG10" i="36"/>
  <c r="ER9" i="36"/>
  <c r="EQ10" i="36"/>
  <c r="EP9" i="36"/>
  <c r="EH9" i="36"/>
  <c r="DZ29" i="36" s="1"/>
  <c r="EF70" i="36" s="1"/>
  <c r="EP10" i="36"/>
  <c r="ES9" i="36"/>
  <c r="ES10" i="36"/>
  <c r="EM9" i="36"/>
  <c r="EL9" i="36"/>
  <c r="EN9" i="36"/>
  <c r="EJ10" i="36"/>
  <c r="EK10" i="36"/>
  <c r="EI10" i="36"/>
  <c r="DB9" i="36"/>
  <c r="DA10" i="36"/>
  <c r="DV9" i="36"/>
  <c r="DL9" i="36"/>
  <c r="DK10" i="36"/>
  <c r="DB10" i="36"/>
  <c r="DM10" i="36"/>
  <c r="DK9" i="36"/>
  <c r="DI9" i="36"/>
  <c r="DJ10" i="36"/>
  <c r="DA9" i="36"/>
  <c r="DJ9" i="36"/>
  <c r="DM9" i="36"/>
  <c r="DI10" i="36"/>
  <c r="DL10" i="36"/>
  <c r="CP11" i="36"/>
  <c r="S238" i="61"/>
  <c r="Z285" i="36"/>
  <c r="Z381" i="36"/>
  <c r="GI86" i="36"/>
  <c r="ABN7" i="32"/>
  <c r="GI42" i="36"/>
  <c r="ZY7" i="32"/>
  <c r="ABM7" i="32"/>
  <c r="GI85" i="36"/>
  <c r="ZZ7" i="32"/>
  <c r="GI43" i="36"/>
  <c r="GI57" i="36"/>
  <c r="AAK7" i="32"/>
  <c r="ABI7" i="32"/>
  <c r="GI81" i="36"/>
  <c r="GI61" i="36"/>
  <c r="AAO7" i="32"/>
  <c r="ABJ7" i="32"/>
  <c r="GI82" i="36"/>
  <c r="GI83" i="36"/>
  <c r="ABK7" i="32"/>
  <c r="GI52" i="36"/>
  <c r="AAF7" i="32"/>
  <c r="GI53" i="36"/>
  <c r="AAG7" i="32"/>
  <c r="GI49" i="36"/>
  <c r="AAC7" i="32"/>
  <c r="GI87" i="36"/>
  <c r="ABO7" i="32"/>
  <c r="AAD7" i="32"/>
  <c r="GI50" i="36"/>
  <c r="GI63" i="36"/>
  <c r="AAQ7" i="32"/>
  <c r="F382" i="36"/>
  <c r="O382" i="36" s="1"/>
  <c r="AAB7" i="32"/>
  <c r="GI45" i="36"/>
  <c r="AAR7" i="32"/>
  <c r="GI64" i="36"/>
  <c r="AAI7" i="32"/>
  <c r="GI55" i="36"/>
  <c r="ABL7" i="32"/>
  <c r="GI84" i="36"/>
  <c r="AAS7" i="32"/>
  <c r="GI65" i="36"/>
  <c r="GI56" i="36"/>
  <c r="AAJ7" i="32"/>
  <c r="GI44" i="36"/>
  <c r="AAA7" i="32"/>
  <c r="AAN7" i="32"/>
  <c r="GI60" i="36"/>
  <c r="GI79" i="36"/>
  <c r="ABG7" i="32"/>
  <c r="GI41" i="36"/>
  <c r="ZX7" i="32"/>
  <c r="AAH7" i="32"/>
  <c r="GI54" i="36"/>
  <c r="AAE7" i="32"/>
  <c r="GI51" i="36"/>
  <c r="GI62" i="36"/>
  <c r="AAP7" i="32"/>
  <c r="AAL7" i="32"/>
  <c r="GI58" i="36"/>
  <c r="ABH7" i="32"/>
  <c r="GI80" i="36"/>
  <c r="AA238" i="36"/>
  <c r="FC56" i="36"/>
  <c r="AAJ6" i="32"/>
  <c r="AAA6" i="32"/>
  <c r="FC44" i="36"/>
  <c r="AAG6" i="32"/>
  <c r="FC53" i="36"/>
  <c r="ABM6" i="32"/>
  <c r="FC85" i="36"/>
  <c r="FC51" i="36"/>
  <c r="AAE6" i="32"/>
  <c r="AAP6" i="32"/>
  <c r="FC62" i="36"/>
  <c r="FC61" i="36"/>
  <c r="AAO6" i="32"/>
  <c r="AAK6" i="32"/>
  <c r="FC57" i="36"/>
  <c r="AAC6" i="32"/>
  <c r="FC49" i="36"/>
  <c r="AAN6" i="32"/>
  <c r="FC60" i="36"/>
  <c r="FC81" i="36"/>
  <c r="ABI6" i="32"/>
  <c r="ABO6" i="32"/>
  <c r="FC87" i="36"/>
  <c r="FC58" i="36"/>
  <c r="AAL6" i="32"/>
  <c r="FC82" i="36"/>
  <c r="ABJ6" i="32"/>
  <c r="ZX6" i="32"/>
  <c r="FC41" i="36"/>
  <c r="FC65" i="36"/>
  <c r="AAS6" i="32"/>
  <c r="FC52" i="36"/>
  <c r="AAF6" i="32"/>
  <c r="FC80" i="36"/>
  <c r="ABH6" i="32"/>
  <c r="AAB6" i="32"/>
  <c r="FC45" i="36"/>
  <c r="AAI6" i="32"/>
  <c r="FC55" i="36"/>
  <c r="FC43" i="36"/>
  <c r="ZZ6" i="32"/>
  <c r="ABK6" i="32"/>
  <c r="FC83" i="36"/>
  <c r="FC64" i="36"/>
  <c r="AAR6" i="32"/>
  <c r="FC84" i="36"/>
  <c r="ABL6" i="32"/>
  <c r="ZY6" i="32"/>
  <c r="FC42" i="36"/>
  <c r="ABG6" i="32"/>
  <c r="FC79" i="36"/>
  <c r="FC86" i="36"/>
  <c r="ABN6" i="32"/>
  <c r="FC50" i="36"/>
  <c r="AAD6" i="32"/>
  <c r="FC54" i="36"/>
  <c r="AAH6" i="32"/>
  <c r="FC63" i="36"/>
  <c r="AAQ6" i="32"/>
  <c r="F381" i="36"/>
  <c r="O381" i="36" s="1"/>
  <c r="ABI5" i="32"/>
  <c r="DW81" i="36"/>
  <c r="AAH5" i="32"/>
  <c r="DW54" i="36"/>
  <c r="AAL5" i="32"/>
  <c r="DW58" i="36"/>
  <c r="AAP5" i="32"/>
  <c r="DW62" i="36"/>
  <c r="AAD5" i="32"/>
  <c r="DW50" i="36"/>
  <c r="DW59" i="36"/>
  <c r="AAM5" i="32"/>
  <c r="DW53" i="36"/>
  <c r="AAG5" i="32"/>
  <c r="DW49" i="36"/>
  <c r="AAC5" i="32"/>
  <c r="DW79" i="36"/>
  <c r="ABG5" i="32"/>
  <c r="DW87" i="36"/>
  <c r="ABO5" i="32"/>
  <c r="ZZ5" i="32"/>
  <c r="DW43" i="36"/>
  <c r="DW86" i="36"/>
  <c r="ABN5" i="32"/>
  <c r="DW55" i="36"/>
  <c r="AAI5" i="32"/>
  <c r="DW44" i="36"/>
  <c r="AAA5" i="32"/>
  <c r="DW82" i="36"/>
  <c r="ABJ5" i="32"/>
  <c r="DW60" i="36"/>
  <c r="AAN5" i="32"/>
  <c r="DT68" i="36"/>
  <c r="ZD5" i="32"/>
  <c r="DV68" i="36"/>
  <c r="DR68" i="36"/>
  <c r="DW65" i="36"/>
  <c r="AAS5" i="32"/>
  <c r="ZY5" i="32"/>
  <c r="DW42" i="36"/>
  <c r="DW52" i="36"/>
  <c r="AAF5" i="32"/>
  <c r="DW51" i="36"/>
  <c r="AAE5" i="32"/>
  <c r="DW61" i="36"/>
  <c r="AAO5" i="32"/>
  <c r="DW45" i="36"/>
  <c r="AAB5" i="32"/>
  <c r="AAT5" i="32"/>
  <c r="DW66" i="36"/>
  <c r="DW80" i="36"/>
  <c r="ABH5" i="32"/>
  <c r="DW57" i="36"/>
  <c r="AAK5" i="32"/>
  <c r="DW41" i="36"/>
  <c r="ZX5" i="32"/>
  <c r="ABM5" i="32"/>
  <c r="DW85" i="36"/>
  <c r="DW64" i="36"/>
  <c r="AAR5" i="32"/>
  <c r="DW84" i="36"/>
  <c r="ABL5" i="32"/>
  <c r="AAJ5" i="32"/>
  <c r="DW56" i="36"/>
  <c r="ABK5" i="32"/>
  <c r="DW83" i="36"/>
  <c r="DW63" i="36"/>
  <c r="AAQ5" i="32"/>
  <c r="CQ54" i="36"/>
  <c r="AAH4" i="32"/>
  <c r="ABK4" i="32"/>
  <c r="CQ83" i="36"/>
  <c r="CQ56" i="36"/>
  <c r="AAJ4" i="32"/>
  <c r="CQ44" i="36"/>
  <c r="AAA4" i="32"/>
  <c r="AAE4" i="32"/>
  <c r="CQ51" i="36"/>
  <c r="CQ80" i="36"/>
  <c r="ABH4" i="32"/>
  <c r="CQ81" i="36"/>
  <c r="ABI4" i="32"/>
  <c r="AAP4" i="32"/>
  <c r="CQ62" i="36"/>
  <c r="CQ61" i="36"/>
  <c r="AAO4" i="32"/>
  <c r="AAB4" i="32"/>
  <c r="CQ45" i="36"/>
  <c r="AAG4" i="32"/>
  <c r="CQ53" i="36"/>
  <c r="CQ58" i="36"/>
  <c r="AAL4" i="32"/>
  <c r="CQ82" i="36"/>
  <c r="ABJ4" i="32"/>
  <c r="ABO4" i="32"/>
  <c r="CQ87" i="36"/>
  <c r="AAN4" i="32"/>
  <c r="CQ60" i="36"/>
  <c r="CQ52" i="36"/>
  <c r="AAF4" i="32"/>
  <c r="CQ64" i="36"/>
  <c r="AAR4" i="32"/>
  <c r="CQ42" i="36"/>
  <c r="ZY4" i="32"/>
  <c r="ZZ4" i="32"/>
  <c r="CQ43" i="36"/>
  <c r="CQ55" i="36"/>
  <c r="AAI4" i="32"/>
  <c r="AAC4" i="32"/>
  <c r="CQ49" i="36"/>
  <c r="S247" i="61"/>
  <c r="CQ86" i="36"/>
  <c r="ABN4" i="32"/>
  <c r="S224" i="61"/>
  <c r="AAQ4" i="32"/>
  <c r="CQ63" i="36"/>
  <c r="F379" i="36"/>
  <c r="CQ50" i="36"/>
  <c r="AAD4" i="32"/>
  <c r="CQ85" i="36"/>
  <c r="ABM4" i="32"/>
  <c r="AAK4" i="32"/>
  <c r="CQ57" i="36"/>
  <c r="ZX4" i="32"/>
  <c r="CQ41" i="36"/>
  <c r="ABG4" i="32"/>
  <c r="CQ79" i="36"/>
  <c r="CQ84" i="36"/>
  <c r="ABL4" i="32"/>
  <c r="CQ65" i="36"/>
  <c r="AAS4" i="32"/>
  <c r="F313" i="36"/>
  <c r="BK87" i="36"/>
  <c r="ABO3" i="32"/>
  <c r="AAR3" i="32"/>
  <c r="BK64" i="36"/>
  <c r="AAL3" i="32"/>
  <c r="BK58" i="36"/>
  <c r="BK41" i="36"/>
  <c r="ZX3" i="32"/>
  <c r="BK56" i="36"/>
  <c r="AAJ3" i="32"/>
  <c r="BK61" i="36"/>
  <c r="AAO3" i="32"/>
  <c r="BK65" i="36"/>
  <c r="AAS3" i="32"/>
  <c r="AAE3" i="32"/>
  <c r="BK51" i="36"/>
  <c r="ABL3" i="32"/>
  <c r="BK84" i="36"/>
  <c r="BK44" i="36"/>
  <c r="AAA3" i="32"/>
  <c r="ABI3" i="32"/>
  <c r="BK81" i="36"/>
  <c r="AAI3" i="32"/>
  <c r="BK55" i="36"/>
  <c r="BK62" i="36"/>
  <c r="AAP3" i="32"/>
  <c r="AAB3" i="32"/>
  <c r="BK45" i="36"/>
  <c r="ABH3" i="32"/>
  <c r="BK80" i="36"/>
  <c r="BK57" i="36"/>
  <c r="AAK3" i="32"/>
  <c r="BK53" i="36"/>
  <c r="AAG3" i="32"/>
  <c r="BK86" i="36"/>
  <c r="ABN3" i="32"/>
  <c r="BH68" i="36"/>
  <c r="BJ68" i="36"/>
  <c r="ZD3" i="32"/>
  <c r="BF68" i="36"/>
  <c r="BK49" i="36"/>
  <c r="AAC3" i="32"/>
  <c r="AH34" i="36"/>
  <c r="AK77" i="36" s="1"/>
  <c r="BF77" i="36" s="1"/>
  <c r="AAH3" i="32"/>
  <c r="BK54" i="36"/>
  <c r="BK83" i="36"/>
  <c r="ABK3" i="32"/>
  <c r="BK52" i="36"/>
  <c r="AAF3" i="32"/>
  <c r="ZZ3" i="32"/>
  <c r="BK43" i="36"/>
  <c r="ABM3" i="32"/>
  <c r="BK85" i="36"/>
  <c r="AAN3" i="32"/>
  <c r="BK60" i="36"/>
  <c r="BK79" i="36"/>
  <c r="ABG3" i="32"/>
  <c r="ABJ3" i="32"/>
  <c r="BK82" i="36"/>
  <c r="BK42" i="36"/>
  <c r="ZY3" i="32"/>
  <c r="AAD3" i="32"/>
  <c r="BK50" i="36"/>
  <c r="AH32" i="36"/>
  <c r="AH35" i="36"/>
  <c r="AM75" i="36" s="1"/>
  <c r="BE75" i="36" s="1"/>
  <c r="BK63" i="36"/>
  <c r="AAQ3" i="32"/>
  <c r="AD42" i="36"/>
  <c r="YD2" i="32"/>
  <c r="AD46" i="36"/>
  <c r="YH2" i="32"/>
  <c r="AD52" i="36"/>
  <c r="YN2" i="32"/>
  <c r="Q67" i="61"/>
  <c r="AD62" i="36"/>
  <c r="YX2" i="32"/>
  <c r="E275" i="36"/>
  <c r="YZ2" i="32"/>
  <c r="AD64" i="36"/>
  <c r="E317" i="36"/>
  <c r="X318" i="36" s="1"/>
  <c r="AD79" i="36"/>
  <c r="ZO2" i="32"/>
  <c r="Q136" i="61"/>
  <c r="AD83" i="36"/>
  <c r="ZS2" i="32"/>
  <c r="YK2" i="32"/>
  <c r="AD49" i="36"/>
  <c r="Q64" i="61"/>
  <c r="AD61" i="36"/>
  <c r="YW2" i="32"/>
  <c r="E233" i="36"/>
  <c r="X234" i="36" s="1"/>
  <c r="ZP2" i="32"/>
  <c r="AD80" i="36"/>
  <c r="Q139" i="61"/>
  <c r="ZT2" i="32"/>
  <c r="AD84" i="36"/>
  <c r="AD45" i="36"/>
  <c r="YG2" i="32"/>
  <c r="AD50" i="36"/>
  <c r="YL2" i="32"/>
  <c r="AD54" i="36"/>
  <c r="YP2" i="32"/>
  <c r="Q61" i="61"/>
  <c r="AD60" i="36"/>
  <c r="YV2" i="32"/>
  <c r="AD65" i="36"/>
  <c r="AB65" i="36"/>
  <c r="Y65" i="36"/>
  <c r="ZA2" i="32"/>
  <c r="AA65" i="36"/>
  <c r="Z65" i="36"/>
  <c r="Q130" i="61"/>
  <c r="AD81" i="36"/>
  <c r="ZQ2" i="32"/>
  <c r="E299" i="36"/>
  <c r="Y301" i="36" s="1"/>
  <c r="AD85" i="36"/>
  <c r="ZU2" i="32"/>
  <c r="AD43" i="36"/>
  <c r="YE2" i="32"/>
  <c r="Q47" i="61"/>
  <c r="AD56" i="36"/>
  <c r="YR2" i="32"/>
  <c r="Q56" i="61"/>
  <c r="YU2" i="32"/>
  <c r="AD59" i="36"/>
  <c r="Q148" i="61"/>
  <c r="AD87" i="36"/>
  <c r="ZW2" i="32"/>
  <c r="YF2" i="32"/>
  <c r="AD44" i="36"/>
  <c r="AD53" i="36"/>
  <c r="YO2" i="32"/>
  <c r="Q50" i="61"/>
  <c r="AD57" i="36"/>
  <c r="YS2" i="32"/>
  <c r="AD41" i="36"/>
  <c r="YC2" i="32"/>
  <c r="AD47" i="36"/>
  <c r="YI2" i="32"/>
  <c r="YJ2" i="32"/>
  <c r="AD48" i="36"/>
  <c r="YM2" i="32"/>
  <c r="AD51" i="36"/>
  <c r="YQ2" i="32"/>
  <c r="AD55" i="36"/>
  <c r="E227" i="36"/>
  <c r="Y229" i="36" s="1"/>
  <c r="AD58" i="36"/>
  <c r="YT2" i="32"/>
  <c r="Y63" i="36"/>
  <c r="AB63" i="36"/>
  <c r="YY2" i="32"/>
  <c r="AD63" i="36"/>
  <c r="AA63" i="36"/>
  <c r="Z63" i="36"/>
  <c r="AA66" i="36"/>
  <c r="Z66" i="36"/>
  <c r="AD66" i="36"/>
  <c r="Y66" i="36"/>
  <c r="AB66" i="36"/>
  <c r="ZB2" i="32"/>
  <c r="Q133" i="61"/>
  <c r="AD82" i="36"/>
  <c r="ZR2" i="32"/>
  <c r="Q145" i="61"/>
  <c r="AD86" i="36"/>
  <c r="ZV2" i="32"/>
  <c r="GI59" i="36"/>
  <c r="AAM7" i="32"/>
  <c r="FC59" i="36"/>
  <c r="AAM6" i="32"/>
  <c r="CQ59" i="36"/>
  <c r="AAM4" i="32"/>
  <c r="F312" i="36"/>
  <c r="F378" i="36"/>
  <c r="S229" i="61"/>
  <c r="Q81" i="61"/>
  <c r="E371" i="36"/>
  <c r="Y373" i="36" s="1"/>
  <c r="R66" i="36"/>
  <c r="Q66" i="36"/>
  <c r="T66" i="36"/>
  <c r="P66" i="36"/>
  <c r="S66" i="36"/>
  <c r="Q73" i="61"/>
  <c r="Q78" i="61"/>
  <c r="E311" i="36"/>
  <c r="X312" i="36" s="1"/>
  <c r="Q142" i="61"/>
  <c r="Q127" i="61"/>
  <c r="Q124" i="61"/>
  <c r="Q70" i="61"/>
  <c r="E377" i="36"/>
  <c r="X378" i="36" s="1"/>
  <c r="Q53" i="61"/>
  <c r="F316" i="36"/>
  <c r="O316" i="36" s="1"/>
  <c r="F315" i="36"/>
  <c r="O315" i="36" s="1"/>
  <c r="Z237" i="36"/>
  <c r="AA268" i="36"/>
  <c r="AA286" i="36"/>
  <c r="F374" i="36"/>
  <c r="O374" i="36" s="1"/>
  <c r="F380" i="36"/>
  <c r="O380" i="36" s="1"/>
  <c r="F314" i="36"/>
  <c r="O314" i="36" s="1"/>
  <c r="AA298" i="36"/>
  <c r="S49" i="61"/>
  <c r="S80" i="61"/>
  <c r="S129" i="61"/>
  <c r="S137" i="61"/>
  <c r="Z225" i="36"/>
  <c r="Z279" i="36"/>
  <c r="FP10" i="36"/>
  <c r="FO10" i="36"/>
  <c r="FQ10" i="36"/>
  <c r="FT9" i="36"/>
  <c r="FS9" i="36"/>
  <c r="FR9" i="36"/>
  <c r="FQ9" i="36"/>
  <c r="FP9" i="36"/>
  <c r="FO9" i="36"/>
  <c r="FR10" i="36"/>
  <c r="FS10" i="36"/>
  <c r="FT10" i="36"/>
  <c r="GH11" i="36"/>
  <c r="DE10" i="36"/>
  <c r="DF10" i="36"/>
  <c r="DH10" i="36"/>
  <c r="DG10" i="36"/>
  <c r="DV11" i="36"/>
  <c r="CT30" i="36" s="1"/>
  <c r="DC10" i="36"/>
  <c r="DD10" i="36"/>
  <c r="DE9" i="36"/>
  <c r="DD9" i="36"/>
  <c r="DC9" i="36"/>
  <c r="DF9" i="36"/>
  <c r="DH9" i="36"/>
  <c r="DG9" i="36"/>
  <c r="DU68" i="36"/>
  <c r="E206" i="36"/>
  <c r="Z267" i="36"/>
  <c r="Q111" i="61"/>
  <c r="S204" i="61"/>
  <c r="S210" i="61"/>
  <c r="S235" i="61"/>
  <c r="S214" i="61"/>
  <c r="S131" i="61"/>
  <c r="S144" i="61"/>
  <c r="S75" i="61"/>
  <c r="S126" i="61"/>
  <c r="S57" i="61"/>
  <c r="S66" i="61"/>
  <c r="S51" i="61"/>
  <c r="S230" i="61"/>
  <c r="S249" i="61"/>
  <c r="S74" i="61"/>
  <c r="S147" i="61"/>
  <c r="S244" i="61"/>
  <c r="S223" i="61"/>
  <c r="S134" i="61"/>
  <c r="S213" i="61"/>
  <c r="S253" i="61"/>
  <c r="S227" i="61"/>
  <c r="S219" i="61"/>
  <c r="S146" i="61"/>
  <c r="S149" i="61"/>
  <c r="S65" i="61"/>
  <c r="S58" i="61"/>
  <c r="S69" i="61"/>
  <c r="S141" i="61"/>
  <c r="S83" i="61"/>
  <c r="S63" i="61"/>
  <c r="S79" i="61"/>
  <c r="AH29" i="36"/>
  <c r="AN70" i="36" s="1"/>
  <c r="AH33" i="36"/>
  <c r="AK76" i="36" s="1"/>
  <c r="BH76" i="36" s="1"/>
  <c r="S52" i="61"/>
  <c r="S205" i="61"/>
  <c r="S237" i="61"/>
  <c r="S226" i="61"/>
  <c r="S207" i="61"/>
  <c r="S218" i="61"/>
  <c r="S246" i="61"/>
  <c r="S208" i="61"/>
  <c r="S211" i="61"/>
  <c r="S140" i="61"/>
  <c r="S150" i="61"/>
  <c r="S68" i="61"/>
  <c r="S71" i="61"/>
  <c r="S72" i="61"/>
  <c r="S62" i="61"/>
  <c r="S132" i="61"/>
  <c r="S252" i="61"/>
  <c r="S135" i="61"/>
  <c r="S234" i="61"/>
  <c r="S243" i="61"/>
  <c r="S240" i="61"/>
  <c r="S241" i="61"/>
  <c r="S250" i="61"/>
  <c r="S128" i="61"/>
  <c r="S48" i="61"/>
  <c r="S125" i="61"/>
  <c r="S143" i="61"/>
  <c r="S138" i="61"/>
  <c r="S55" i="61"/>
  <c r="Y42" i="55"/>
  <c r="S54" i="61"/>
  <c r="S82" i="61"/>
  <c r="U11" i="36"/>
  <c r="E239" i="36"/>
  <c r="X240" i="36" s="1"/>
  <c r="Q236" i="61"/>
  <c r="E173" i="36"/>
  <c r="E305" i="36"/>
  <c r="Y307" i="36" s="1"/>
  <c r="E263" i="36"/>
  <c r="Y265" i="36" s="1"/>
  <c r="Q203" i="61"/>
  <c r="E119" i="36"/>
  <c r="Q225" i="61"/>
  <c r="E143" i="36"/>
  <c r="Q228" i="61"/>
  <c r="E137" i="36"/>
  <c r="Q239" i="61"/>
  <c r="E167" i="36"/>
  <c r="Q251" i="61"/>
  <c r="E185" i="36"/>
  <c r="X82" i="36"/>
  <c r="E335" i="36"/>
  <c r="X336" i="36" s="1"/>
  <c r="E269" i="36"/>
  <c r="Y271" i="36" s="1"/>
  <c r="Q212" i="61"/>
  <c r="E107" i="36"/>
  <c r="Q233" i="61"/>
  <c r="E191" i="36"/>
  <c r="Q245" i="61"/>
  <c r="E161" i="36"/>
  <c r="E221" i="36"/>
  <c r="Y223" i="36" s="1"/>
  <c r="AC226" i="36" s="1"/>
  <c r="E281" i="36"/>
  <c r="Y283" i="36" s="1"/>
  <c r="Q217" i="61"/>
  <c r="E131" i="36"/>
  <c r="Q248" i="61"/>
  <c r="E179" i="36"/>
  <c r="S12" i="36"/>
  <c r="Q206" i="61"/>
  <c r="E125" i="36"/>
  <c r="Q209" i="61"/>
  <c r="E113" i="36"/>
  <c r="Q222" i="61"/>
  <c r="E149" i="36"/>
  <c r="Q242" i="61"/>
  <c r="E155" i="36"/>
  <c r="E383" i="36"/>
  <c r="Y385" i="36" s="1"/>
  <c r="E329" i="36"/>
  <c r="Y331" i="36" s="1"/>
  <c r="E287" i="36"/>
  <c r="X288" i="36" s="1"/>
  <c r="E323" i="36"/>
  <c r="X324" i="36" s="1"/>
  <c r="E293" i="36"/>
  <c r="X294" i="36" s="1"/>
  <c r="E204" i="36"/>
  <c r="AH28" i="36"/>
  <c r="AN69" i="36" s="1"/>
  <c r="AP67" i="36"/>
  <c r="BW11" i="36"/>
  <c r="BY11" i="36"/>
  <c r="BX11" i="36"/>
  <c r="CP13" i="36"/>
  <c r="CO9" i="36"/>
  <c r="BN31" i="36" s="1"/>
  <c r="CF12" i="36"/>
  <c r="CE11" i="36"/>
  <c r="CD10" i="36"/>
  <c r="BV10" i="36"/>
  <c r="CG9" i="36"/>
  <c r="CC9" i="36"/>
  <c r="BU9" i="36"/>
  <c r="CD12" i="36"/>
  <c r="BV12" i="36"/>
  <c r="CC11" i="36"/>
  <c r="BU11" i="36"/>
  <c r="CE9" i="36"/>
  <c r="CE10" i="36"/>
  <c r="CD9" i="36"/>
  <c r="BV9" i="36"/>
  <c r="CE12" i="36"/>
  <c r="CD11" i="36"/>
  <c r="BV11" i="36"/>
  <c r="CG10" i="36"/>
  <c r="CC10" i="36"/>
  <c r="BU10" i="36"/>
  <c r="CF9" i="36"/>
  <c r="CG11" i="36"/>
  <c r="CF10" i="36"/>
  <c r="CG12" i="36"/>
  <c r="CC12" i="36"/>
  <c r="BU12" i="36"/>
  <c r="CF11" i="36"/>
  <c r="CB12" i="36"/>
  <c r="CA12" i="36"/>
  <c r="BZ12" i="36"/>
  <c r="BZ10" i="36"/>
  <c r="CB10" i="36"/>
  <c r="CA10" i="36"/>
  <c r="BY9" i="36"/>
  <c r="BW9" i="36"/>
  <c r="BX9" i="36"/>
  <c r="BX12" i="36"/>
  <c r="BW12" i="36"/>
  <c r="BY12" i="36"/>
  <c r="BX10" i="36"/>
  <c r="BW10" i="36"/>
  <c r="BY10" i="36"/>
  <c r="CA11" i="36"/>
  <c r="BZ11" i="36"/>
  <c r="CB11" i="36"/>
  <c r="CP10" i="36"/>
  <c r="CP9" i="36"/>
  <c r="CP15" i="36"/>
  <c r="AY68" i="36"/>
  <c r="AV11" i="36"/>
  <c r="AT11" i="36"/>
  <c r="AU11" i="36"/>
  <c r="AR11" i="36"/>
  <c r="AQ11" i="36"/>
  <c r="AS11" i="36"/>
  <c r="AS12" i="36"/>
  <c r="AR12" i="36"/>
  <c r="AQ12" i="36"/>
  <c r="AS9" i="36"/>
  <c r="AR9" i="36"/>
  <c r="AQ9" i="36"/>
  <c r="BJ15" i="36"/>
  <c r="AT9" i="36"/>
  <c r="AV9" i="36"/>
  <c r="AU9" i="36"/>
  <c r="AV12" i="36"/>
  <c r="AU12" i="36"/>
  <c r="AT12" i="36"/>
  <c r="AU10" i="36"/>
  <c r="AT10" i="36"/>
  <c r="AV10" i="36"/>
  <c r="BJ13" i="36"/>
  <c r="AQ10" i="36"/>
  <c r="AS10" i="36"/>
  <c r="AR10" i="36"/>
  <c r="Q11" i="36"/>
  <c r="S11" i="36"/>
  <c r="I12" i="36"/>
  <c r="R12" i="36"/>
  <c r="U12" i="36"/>
  <c r="R11" i="36"/>
  <c r="I11" i="36"/>
  <c r="J11" i="36"/>
  <c r="T11" i="36"/>
  <c r="J12" i="36"/>
  <c r="T12" i="36"/>
  <c r="Q12" i="36"/>
  <c r="Z387" i="36"/>
  <c r="F180" i="36"/>
  <c r="F186" i="36"/>
  <c r="F120" i="36"/>
  <c r="F384" i="36"/>
  <c r="F265" i="36"/>
  <c r="F175" i="36"/>
  <c r="F224" i="36"/>
  <c r="O224" i="36" s="1"/>
  <c r="F266" i="36"/>
  <c r="O266" i="36" s="1"/>
  <c r="F129" i="36"/>
  <c r="F237" i="36"/>
  <c r="O237" i="36" s="1"/>
  <c r="F321" i="36"/>
  <c r="O321" i="36" s="1"/>
  <c r="F135" i="36"/>
  <c r="F188" i="36"/>
  <c r="F267" i="36"/>
  <c r="O267" i="36" s="1"/>
  <c r="F333" i="36"/>
  <c r="O333" i="36" s="1"/>
  <c r="F118" i="36"/>
  <c r="F278" i="36"/>
  <c r="O278" i="36" s="1"/>
  <c r="F242" i="36"/>
  <c r="O242" i="36" s="1"/>
  <c r="F115" i="36"/>
  <c r="F306" i="36"/>
  <c r="F163" i="36"/>
  <c r="F244" i="36"/>
  <c r="O244" i="36" s="1"/>
  <c r="F319" i="36"/>
  <c r="F235" i="36"/>
  <c r="F241" i="36"/>
  <c r="F158" i="36"/>
  <c r="F386" i="36"/>
  <c r="O386" i="36" s="1"/>
  <c r="Z315" i="36"/>
  <c r="AA388" i="36"/>
  <c r="Z339" i="36"/>
  <c r="AA340" i="36"/>
  <c r="AA244" i="36"/>
  <c r="F308" i="36"/>
  <c r="O308" i="36" s="1"/>
  <c r="Z273" i="36"/>
  <c r="F294" i="36"/>
  <c r="F240" i="36"/>
  <c r="F289" i="36"/>
  <c r="F325" i="36"/>
  <c r="F236" i="36"/>
  <c r="O236" i="36" s="1"/>
  <c r="F116" i="36"/>
  <c r="F182" i="36"/>
  <c r="F130" i="36"/>
  <c r="F304" i="36"/>
  <c r="O304" i="36" s="1"/>
  <c r="F136" i="36"/>
  <c r="F298" i="36"/>
  <c r="O298" i="36" s="1"/>
  <c r="F297" i="36"/>
  <c r="O297" i="36" s="1"/>
  <c r="F332" i="36"/>
  <c r="O332" i="36" s="1"/>
  <c r="F290" i="36"/>
  <c r="O290" i="36" s="1"/>
  <c r="F223" i="36"/>
  <c r="F162" i="36"/>
  <c r="F169" i="36"/>
  <c r="F110" i="36"/>
  <c r="F273" i="36"/>
  <c r="O273" i="36" s="1"/>
  <c r="F337" i="36"/>
  <c r="F338" i="36"/>
  <c r="O338" i="36" s="1"/>
  <c r="F170" i="36"/>
  <c r="F123" i="36"/>
  <c r="AA376" i="36"/>
  <c r="AA232" i="36"/>
  <c r="AA274" i="36"/>
  <c r="F274" i="36"/>
  <c r="O274" i="36" s="1"/>
  <c r="AA328" i="36"/>
  <c r="AA292" i="36"/>
  <c r="F326" i="36"/>
  <c r="O326" i="36" s="1"/>
  <c r="AA322" i="36"/>
  <c r="AA382" i="36"/>
  <c r="Z297" i="36"/>
  <c r="AA316" i="36"/>
  <c r="Z291" i="36"/>
  <c r="X85" i="36"/>
  <c r="F264" i="36"/>
  <c r="F276" i="36"/>
  <c r="F228" i="36"/>
  <c r="F288" i="36"/>
  <c r="F127" i="36"/>
  <c r="F331" i="36"/>
  <c r="F181" i="36"/>
  <c r="F307" i="36"/>
  <c r="F385" i="36"/>
  <c r="F157" i="36"/>
  <c r="F109" i="36"/>
  <c r="F128" i="36"/>
  <c r="F284" i="36"/>
  <c r="O284" i="36" s="1"/>
  <c r="F296" i="36"/>
  <c r="O296" i="36" s="1"/>
  <c r="F122" i="36"/>
  <c r="F176" i="36"/>
  <c r="F134" i="36"/>
  <c r="F387" i="36"/>
  <c r="O387" i="36" s="1"/>
  <c r="F111" i="36"/>
  <c r="F303" i="36"/>
  <c r="O303" i="36" s="1"/>
  <c r="F310" i="36"/>
  <c r="O310" i="36" s="1"/>
  <c r="F322" i="36"/>
  <c r="O322" i="36" s="1"/>
  <c r="F280" i="36"/>
  <c r="O280" i="36" s="1"/>
  <c r="F334" i="36"/>
  <c r="O334" i="36" s="1"/>
  <c r="F283" i="36"/>
  <c r="F133" i="36"/>
  <c r="F187" i="36"/>
  <c r="F193" i="36"/>
  <c r="F286" i="36"/>
  <c r="O286" i="36" s="1"/>
  <c r="F318" i="36"/>
  <c r="F336" i="36"/>
  <c r="F126" i="36"/>
  <c r="F234" i="36"/>
  <c r="F229" i="36"/>
  <c r="F271" i="36"/>
  <c r="F279" i="36"/>
  <c r="O279" i="36" s="1"/>
  <c r="Z375" i="36"/>
  <c r="Z243" i="36"/>
  <c r="Z309" i="36"/>
  <c r="F232" i="36"/>
  <c r="O232" i="36" s="1"/>
  <c r="F238" i="36"/>
  <c r="O238" i="36" s="1"/>
  <c r="AA304" i="36"/>
  <c r="F328" i="36"/>
  <c r="O328" i="36" s="1"/>
  <c r="Z303" i="36"/>
  <c r="F330" i="36"/>
  <c r="F168" i="36"/>
  <c r="F324" i="36"/>
  <c r="F156" i="36"/>
  <c r="F114" i="36"/>
  <c r="F164" i="36"/>
  <c r="F194" i="36"/>
  <c r="F320" i="36"/>
  <c r="O320" i="36" s="1"/>
  <c r="F302" i="36"/>
  <c r="O302" i="36" s="1"/>
  <c r="F225" i="36"/>
  <c r="O225" i="36" s="1"/>
  <c r="F309" i="36"/>
  <c r="O309" i="36" s="1"/>
  <c r="F388" i="36"/>
  <c r="O388" i="36" s="1"/>
  <c r="F112" i="36"/>
  <c r="F226" i="36"/>
  <c r="O226" i="36" s="1"/>
  <c r="F268" i="36"/>
  <c r="O268" i="36" s="1"/>
  <c r="F124" i="36"/>
  <c r="F117" i="36"/>
  <c r="F230" i="36"/>
  <c r="O230" i="36" s="1"/>
  <c r="F231" i="36"/>
  <c r="O231" i="36" s="1"/>
  <c r="F301" i="36"/>
  <c r="F277" i="36"/>
  <c r="F300" i="36"/>
  <c r="F132" i="36"/>
  <c r="F327" i="36"/>
  <c r="O327" i="36" s="1"/>
  <c r="F121" i="36"/>
  <c r="F282" i="36"/>
  <c r="F291" i="36"/>
  <c r="O291" i="36" s="1"/>
  <c r="F192" i="36"/>
  <c r="F108" i="36"/>
  <c r="F270" i="36"/>
  <c r="F174" i="36"/>
  <c r="F295" i="36"/>
  <c r="Z321" i="36"/>
  <c r="F243" i="36"/>
  <c r="O243" i="36" s="1"/>
  <c r="F292" i="36"/>
  <c r="O292" i="36" s="1"/>
  <c r="AA310" i="36"/>
  <c r="F285" i="36"/>
  <c r="O285" i="36" s="1"/>
  <c r="CY78" i="36"/>
  <c r="DC78" i="36"/>
  <c r="AA280" i="36"/>
  <c r="AA334" i="36"/>
  <c r="Z327" i="36"/>
  <c r="Z231" i="36"/>
  <c r="Z333" i="36"/>
  <c r="F178" i="36"/>
  <c r="F340" i="36"/>
  <c r="O340" i="36" s="1"/>
  <c r="F166" i="36"/>
  <c r="F160" i="36"/>
  <c r="F190" i="36"/>
  <c r="F172" i="36"/>
  <c r="F196" i="36"/>
  <c r="F184" i="36"/>
  <c r="F177" i="36"/>
  <c r="F195" i="36"/>
  <c r="F189" i="36"/>
  <c r="F183" i="36"/>
  <c r="F165" i="36"/>
  <c r="F159" i="36"/>
  <c r="F171" i="36"/>
  <c r="F339" i="36"/>
  <c r="O339" i="36" s="1"/>
  <c r="X276" i="36"/>
  <c r="F272" i="36"/>
  <c r="O272" i="36" s="1"/>
  <c r="FM68" i="36"/>
  <c r="FN67" i="36"/>
  <c r="FL69" i="36"/>
  <c r="FK70" i="36"/>
  <c r="FO78" i="36"/>
  <c r="FK78" i="36"/>
  <c r="EI70" i="36"/>
  <c r="EE70" i="36"/>
  <c r="EE78" i="36"/>
  <c r="EI78" i="36"/>
  <c r="EH67" i="36"/>
  <c r="EG68" i="36"/>
  <c r="BU68" i="36"/>
  <c r="BV67" i="36"/>
  <c r="BS78" i="36"/>
  <c r="BW78" i="36"/>
  <c r="AQ70" i="36"/>
  <c r="BI75" i="36"/>
  <c r="BI77" i="36"/>
  <c r="AL73" i="36"/>
  <c r="AM74" i="36"/>
  <c r="AQ78" i="36"/>
  <c r="AM78" i="36"/>
  <c r="BI68" i="36"/>
  <c r="AB49" i="36"/>
  <c r="Z53" i="36"/>
  <c r="X57" i="36"/>
  <c r="AB61" i="36"/>
  <c r="V50" i="36"/>
  <c r="AB81" i="36"/>
  <c r="S41" i="36"/>
  <c r="Z55" i="36"/>
  <c r="X84" i="36"/>
  <c r="Z87" i="36"/>
  <c r="AB54" i="36"/>
  <c r="P60" i="36"/>
  <c r="AB85" i="36"/>
  <c r="Z42" i="36"/>
  <c r="AB43" i="36"/>
  <c r="Z52" i="36"/>
  <c r="Z56" i="36"/>
  <c r="Q59" i="36"/>
  <c r="AA62" i="36"/>
  <c r="X83" i="36"/>
  <c r="X86" i="36"/>
  <c r="CT31" i="36"/>
  <c r="AH31" i="36"/>
  <c r="Y52" i="36"/>
  <c r="W54" i="36"/>
  <c r="AB52" i="36"/>
  <c r="Q43" i="36"/>
  <c r="V49" i="36"/>
  <c r="W81" i="36"/>
  <c r="V86" i="36"/>
  <c r="S43" i="36"/>
  <c r="AB47" i="36"/>
  <c r="AA49" i="36"/>
  <c r="Q61" i="36"/>
  <c r="P62" i="36"/>
  <c r="Q41" i="36"/>
  <c r="Y42" i="36"/>
  <c r="AA54" i="36"/>
  <c r="P56" i="36"/>
  <c r="Y56" i="36"/>
  <c r="X62" i="36"/>
  <c r="AA81" i="36"/>
  <c r="Z85" i="36"/>
  <c r="T42" i="36"/>
  <c r="X41" i="36"/>
  <c r="AA42" i="36"/>
  <c r="X43" i="36"/>
  <c r="X50" i="36"/>
  <c r="W52" i="36"/>
  <c r="Q56" i="36"/>
  <c r="AA56" i="36"/>
  <c r="X87" i="36"/>
  <c r="AA60" i="36"/>
  <c r="I9" i="36"/>
  <c r="AB41" i="36"/>
  <c r="X46" i="36"/>
  <c r="Y47" i="36"/>
  <c r="R56" i="36"/>
  <c r="Q9" i="36"/>
  <c r="U10" i="36"/>
  <c r="AB44" i="36"/>
  <c r="P44" i="36"/>
  <c r="AA44" i="36"/>
  <c r="R57" i="36"/>
  <c r="Y44" i="36"/>
  <c r="X58" i="36"/>
  <c r="AB60" i="36"/>
  <c r="Y60" i="36"/>
  <c r="N60" i="36"/>
  <c r="R60" i="36"/>
  <c r="T60" i="36"/>
  <c r="V84" i="36"/>
  <c r="S45" i="36"/>
  <c r="Q45" i="36"/>
  <c r="AB45" i="36"/>
  <c r="N59" i="36"/>
  <c r="X59" i="36"/>
  <c r="X45" i="36"/>
  <c r="Z62" i="36"/>
  <c r="Y62" i="36"/>
  <c r="Q62" i="36"/>
  <c r="AB62" i="36"/>
  <c r="T62" i="36"/>
  <c r="N62" i="36"/>
  <c r="R62" i="36"/>
  <c r="S64" i="36"/>
  <c r="V83" i="36"/>
  <c r="R42" i="36"/>
  <c r="X47" i="36"/>
  <c r="Y49" i="36"/>
  <c r="X52" i="36"/>
  <c r="Y54" i="36"/>
  <c r="T56" i="36"/>
  <c r="AB56" i="36"/>
  <c r="AB87" i="36"/>
  <c r="AA47" i="36"/>
  <c r="AA52" i="36"/>
  <c r="Y81" i="36"/>
  <c r="V79" i="36"/>
  <c r="AB79" i="36"/>
  <c r="X79" i="36"/>
  <c r="T10" i="36"/>
  <c r="T9" i="36"/>
  <c r="R10" i="36"/>
  <c r="J10" i="36"/>
  <c r="R9" i="36"/>
  <c r="J9" i="36"/>
  <c r="S9" i="36"/>
  <c r="S10" i="36"/>
  <c r="Q10" i="36"/>
  <c r="W51" i="36"/>
  <c r="AA53" i="36"/>
  <c r="W53" i="36"/>
  <c r="Y53" i="36"/>
  <c r="AB53" i="36"/>
  <c r="X53" i="36"/>
  <c r="Y61" i="36"/>
  <c r="R61" i="36"/>
  <c r="N61" i="36"/>
  <c r="AA61" i="36"/>
  <c r="T61" i="36"/>
  <c r="P61" i="36"/>
  <c r="S61" i="36"/>
  <c r="Z61" i="36"/>
  <c r="O61" i="36"/>
  <c r="X61" i="36"/>
  <c r="Y64" i="36"/>
  <c r="R64" i="36"/>
  <c r="AA64" i="36"/>
  <c r="T64" i="36"/>
  <c r="O64" i="36"/>
  <c r="X64" i="36"/>
  <c r="AB64" i="36"/>
  <c r="Q64" i="36"/>
  <c r="V80" i="36"/>
  <c r="X80" i="36"/>
  <c r="W82" i="36"/>
  <c r="U9" i="36"/>
  <c r="I10" i="36"/>
  <c r="Y55" i="36"/>
  <c r="AA55" i="36"/>
  <c r="W55" i="36"/>
  <c r="AB55" i="36"/>
  <c r="X55" i="36"/>
  <c r="Z64" i="36"/>
  <c r="AA43" i="36"/>
  <c r="T43" i="36"/>
  <c r="P43" i="36"/>
  <c r="Y43" i="36"/>
  <c r="R43" i="36"/>
  <c r="Z43" i="36"/>
  <c r="Z46" i="36"/>
  <c r="AB46" i="36"/>
  <c r="AC57" i="36"/>
  <c r="T57" i="36"/>
  <c r="AC58" i="36"/>
  <c r="U58" i="36"/>
  <c r="AA85" i="36"/>
  <c r="V85" i="36"/>
  <c r="Y85" i="36"/>
  <c r="AA41" i="36"/>
  <c r="T41" i="36"/>
  <c r="P41" i="36"/>
  <c r="Y41" i="36"/>
  <c r="R41" i="36"/>
  <c r="Z41" i="36"/>
  <c r="AC45" i="36"/>
  <c r="Y45" i="36"/>
  <c r="R45" i="36"/>
  <c r="AA45" i="36"/>
  <c r="T45" i="36"/>
  <c r="P45" i="36"/>
  <c r="Z45" i="36"/>
  <c r="T59" i="36"/>
  <c r="P59" i="36"/>
  <c r="R59" i="36"/>
  <c r="S59" i="36"/>
  <c r="Y87" i="36"/>
  <c r="AA87" i="36"/>
  <c r="V87" i="36"/>
  <c r="Q42" i="36"/>
  <c r="X42" i="36"/>
  <c r="AB42" i="36"/>
  <c r="Z44" i="36"/>
  <c r="Z49" i="36"/>
  <c r="Z54" i="36"/>
  <c r="O60" i="36"/>
  <c r="S60" i="36"/>
  <c r="Z60" i="36"/>
  <c r="Z81" i="36"/>
  <c r="S42" i="36"/>
  <c r="X44" i="36"/>
  <c r="X49" i="36"/>
  <c r="X54" i="36"/>
  <c r="S56" i="36"/>
  <c r="Q60" i="36"/>
  <c r="X60" i="36"/>
  <c r="O62" i="36"/>
  <c r="S62" i="36"/>
  <c r="X81" i="36"/>
  <c r="Y235" i="36" l="1"/>
  <c r="AC238" i="36" s="1"/>
  <c r="FF28" i="36"/>
  <c r="FK69" i="36" s="1"/>
  <c r="CT33" i="36"/>
  <c r="CW76" i="36" s="1"/>
  <c r="DG76" i="36" s="1"/>
  <c r="F218" i="36" s="1"/>
  <c r="O218" i="36" s="1"/>
  <c r="CT28" i="36"/>
  <c r="CX69" i="36" s="1"/>
  <c r="ZE5" i="32" s="1"/>
  <c r="CT29" i="36"/>
  <c r="CZ70" i="36" s="1"/>
  <c r="CT34" i="36"/>
  <c r="CW77" i="36" s="1"/>
  <c r="DV77" i="36" s="1"/>
  <c r="FF32" i="36"/>
  <c r="FK74" i="36" s="1"/>
  <c r="GH74" i="36" s="1"/>
  <c r="FF34" i="36"/>
  <c r="FI77" i="36" s="1"/>
  <c r="GC77" i="36" s="1"/>
  <c r="FF35" i="36"/>
  <c r="FK75" i="36" s="1"/>
  <c r="GG75" i="36" s="1"/>
  <c r="FF33" i="36"/>
  <c r="FI76" i="36" s="1"/>
  <c r="FS76" i="36" s="1"/>
  <c r="GI76" i="36" s="1"/>
  <c r="FO69" i="36"/>
  <c r="DZ33" i="36"/>
  <c r="EC76" i="36" s="1"/>
  <c r="FA76" i="36" s="1"/>
  <c r="EI72" i="36"/>
  <c r="ZH6" i="32" s="1"/>
  <c r="F206" i="36"/>
  <c r="O206" i="36" s="1"/>
  <c r="CT32" i="36"/>
  <c r="BI76" i="36"/>
  <c r="E216" i="36"/>
  <c r="AAV5" i="32"/>
  <c r="DL67" i="36"/>
  <c r="F200" i="36" s="1"/>
  <c r="O200" i="36" s="1"/>
  <c r="DT67" i="36"/>
  <c r="DU67" i="36"/>
  <c r="E200" i="36"/>
  <c r="ZC5" i="32"/>
  <c r="DV67" i="36"/>
  <c r="DR67" i="36"/>
  <c r="CT35" i="36"/>
  <c r="CY75" i="36" s="1"/>
  <c r="DT75" i="36" s="1"/>
  <c r="DP76" i="36"/>
  <c r="DU76" i="36"/>
  <c r="GG74" i="36"/>
  <c r="GB74" i="36"/>
  <c r="E218" i="36"/>
  <c r="BG77" i="36"/>
  <c r="BD77" i="36"/>
  <c r="BD76" i="36"/>
  <c r="GG76" i="36"/>
  <c r="GB76" i="36"/>
  <c r="GB75" i="36"/>
  <c r="FO70" i="36"/>
  <c r="FJ69" i="36"/>
  <c r="ZE7" i="32" s="1"/>
  <c r="GG77" i="36"/>
  <c r="GB77" i="36"/>
  <c r="FF30" i="36"/>
  <c r="FO71" i="36" s="1"/>
  <c r="ZG7" i="32" s="1"/>
  <c r="FJ73" i="36"/>
  <c r="FT73" i="36" s="1"/>
  <c r="DZ34" i="36"/>
  <c r="EC77" i="36" s="1"/>
  <c r="DZ32" i="36"/>
  <c r="FB9" i="36"/>
  <c r="DZ30" i="36" s="1"/>
  <c r="EI71" i="36" s="1"/>
  <c r="ZG6" i="32" s="1"/>
  <c r="EV76" i="36"/>
  <c r="DZ35" i="36"/>
  <c r="EE75" i="36" s="1"/>
  <c r="DZ28" i="36"/>
  <c r="CY74" i="36"/>
  <c r="DV74" i="36" s="1"/>
  <c r="CX73" i="36"/>
  <c r="ZI5" i="32" s="1"/>
  <c r="N340" i="36"/>
  <c r="S340" i="36" s="1"/>
  <c r="BI67" i="36"/>
  <c r="E342" i="36"/>
  <c r="BD75" i="36"/>
  <c r="BF75" i="36"/>
  <c r="AW75" i="36"/>
  <c r="ABC3" i="32" s="1"/>
  <c r="DT76" i="36"/>
  <c r="I297" i="36"/>
  <c r="U297" i="36" s="1"/>
  <c r="BG75" i="36"/>
  <c r="BH75" i="36"/>
  <c r="I303" i="36"/>
  <c r="U303" i="36" s="1"/>
  <c r="N322" i="36"/>
  <c r="W322" i="36" s="1"/>
  <c r="L304" i="36"/>
  <c r="U304" i="36" s="1"/>
  <c r="K237" i="36"/>
  <c r="W237" i="36" s="1"/>
  <c r="N298" i="36"/>
  <c r="S298" i="36" s="1"/>
  <c r="AB381" i="36"/>
  <c r="Y319" i="36"/>
  <c r="AC322" i="36" s="1"/>
  <c r="X228" i="36"/>
  <c r="AB231" i="36" s="1"/>
  <c r="GH70" i="36"/>
  <c r="ZF7" i="32"/>
  <c r="GF67" i="36"/>
  <c r="ZC7" i="32"/>
  <c r="GH67" i="36"/>
  <c r="GD67" i="36"/>
  <c r="AC286" i="36"/>
  <c r="GH72" i="36"/>
  <c r="ZH7" i="32"/>
  <c r="GH78" i="36"/>
  <c r="ZN7" i="32"/>
  <c r="GH68" i="36"/>
  <c r="GD68" i="36"/>
  <c r="GF68" i="36"/>
  <c r="ZD7" i="32"/>
  <c r="EZ68" i="36"/>
  <c r="FB68" i="36"/>
  <c r="EX68" i="36"/>
  <c r="ZD6" i="32"/>
  <c r="ZF6" i="32"/>
  <c r="FB70" i="36"/>
  <c r="EZ67" i="36"/>
  <c r="EX67" i="36"/>
  <c r="FB67" i="36"/>
  <c r="ZC6" i="32"/>
  <c r="ZN6" i="32"/>
  <c r="FB78" i="36"/>
  <c r="ABD5" i="32"/>
  <c r="DH69" i="36"/>
  <c r="K297" i="36"/>
  <c r="W297" i="36" s="1"/>
  <c r="AB279" i="36"/>
  <c r="DV78" i="36"/>
  <c r="ZN5" i="32"/>
  <c r="AC268" i="36"/>
  <c r="AB237" i="36"/>
  <c r="L286" i="36"/>
  <c r="U286" i="36" s="1"/>
  <c r="N292" i="36"/>
  <c r="W292" i="36" s="1"/>
  <c r="I243" i="36"/>
  <c r="U243" i="36" s="1"/>
  <c r="K309" i="36"/>
  <c r="S309" i="36" s="1"/>
  <c r="DQ76" i="36"/>
  <c r="ZL5" i="32"/>
  <c r="CN68" i="36"/>
  <c r="CP68" i="36"/>
  <c r="ZD4" i="32"/>
  <c r="CL68" i="36"/>
  <c r="CP78" i="36"/>
  <c r="ZN4" i="32"/>
  <c r="BN30" i="36"/>
  <c r="BW71" i="36" s="1"/>
  <c r="CK71" i="36" s="1"/>
  <c r="ZC4" i="32"/>
  <c r="CN67" i="36"/>
  <c r="CL67" i="36"/>
  <c r="CP67" i="36"/>
  <c r="BJ74" i="36"/>
  <c r="ZJ3" i="32"/>
  <c r="BG76" i="36"/>
  <c r="AZ67" i="36"/>
  <c r="F198" i="36" s="1"/>
  <c r="BH67" i="36"/>
  <c r="BJ67" i="36"/>
  <c r="BF67" i="36"/>
  <c r="ZC3" i="32"/>
  <c r="ZM3" i="32"/>
  <c r="BJ77" i="36"/>
  <c r="ZI3" i="32"/>
  <c r="BJ73" i="36"/>
  <c r="BF76" i="36"/>
  <c r="BH77" i="36"/>
  <c r="AH30" i="36"/>
  <c r="AQ71" i="36" s="1"/>
  <c r="E360" i="36" s="1"/>
  <c r="AAV3" i="32"/>
  <c r="BK68" i="36"/>
  <c r="E210" i="36"/>
  <c r="Q114" i="61"/>
  <c r="BJ76" i="36"/>
  <c r="ZL3" i="32"/>
  <c r="BE76" i="36"/>
  <c r="BJ78" i="36"/>
  <c r="ZN3" i="32"/>
  <c r="BE77" i="36"/>
  <c r="S117" i="61" s="1"/>
  <c r="AU76" i="36"/>
  <c r="F216" i="36" s="1"/>
  <c r="AU77" i="36"/>
  <c r="Q117" i="61"/>
  <c r="BJ75" i="36"/>
  <c r="ZK3" i="32"/>
  <c r="AAB2" i="32"/>
  <c r="AE45" i="36"/>
  <c r="ZZ2" i="32"/>
  <c r="AE43" i="36"/>
  <c r="AAF2" i="32"/>
  <c r="AE52" i="36"/>
  <c r="ABI2" i="32"/>
  <c r="AE81" i="36"/>
  <c r="ZX2" i="32"/>
  <c r="AE41" i="36"/>
  <c r="ABM2" i="32"/>
  <c r="AE85" i="36"/>
  <c r="AE80" i="36"/>
  <c r="ABH2" i="32"/>
  <c r="AE64" i="36"/>
  <c r="AAR2" i="32"/>
  <c r="AAO2" i="32"/>
  <c r="AE61" i="36"/>
  <c r="AE79" i="36"/>
  <c r="ABG2" i="32"/>
  <c r="AE62" i="36"/>
  <c r="AAP2" i="32"/>
  <c r="AE59" i="36"/>
  <c r="AAM2" i="32"/>
  <c r="AE84" i="36"/>
  <c r="ABL2" i="32"/>
  <c r="AAK2" i="32"/>
  <c r="AE57" i="36"/>
  <c r="AAC2" i="32"/>
  <c r="AE49" i="36"/>
  <c r="AE50" i="36"/>
  <c r="AAD2" i="32"/>
  <c r="AE55" i="36"/>
  <c r="AAI2" i="32"/>
  <c r="AE83" i="36"/>
  <c r="ABK2" i="32"/>
  <c r="AE56" i="36"/>
  <c r="AAJ2" i="32"/>
  <c r="AE63" i="36"/>
  <c r="AAQ2" i="32"/>
  <c r="AAS2" i="32"/>
  <c r="AE65" i="36"/>
  <c r="AE66" i="36"/>
  <c r="AAT2" i="32"/>
  <c r="AE87" i="36"/>
  <c r="ABO2" i="32"/>
  <c r="AE60" i="36"/>
  <c r="AAN2" i="32"/>
  <c r="AE54" i="36"/>
  <c r="AAH2" i="32"/>
  <c r="AE42" i="36"/>
  <c r="ZY2" i="32"/>
  <c r="AE58" i="36"/>
  <c r="AAL2" i="32"/>
  <c r="ABJ2" i="32"/>
  <c r="AE82" i="36"/>
  <c r="AAG2" i="32"/>
  <c r="AE53" i="36"/>
  <c r="AE51" i="36"/>
  <c r="AAE2" i="32"/>
  <c r="AE44" i="36"/>
  <c r="AAA2" i="32"/>
  <c r="AE86" i="36"/>
  <c r="ABN2" i="32"/>
  <c r="S81" i="61"/>
  <c r="S78" i="61"/>
  <c r="S130" i="61"/>
  <c r="S73" i="61"/>
  <c r="S148" i="61"/>
  <c r="S47" i="61"/>
  <c r="S142" i="61"/>
  <c r="F311" i="36"/>
  <c r="O311" i="36" s="1"/>
  <c r="F371" i="36"/>
  <c r="S64" i="61"/>
  <c r="S61" i="61"/>
  <c r="S67" i="61"/>
  <c r="S70" i="61"/>
  <c r="F377" i="36"/>
  <c r="O377" i="36" s="1"/>
  <c r="K273" i="36"/>
  <c r="W273" i="36" s="1"/>
  <c r="L316" i="36"/>
  <c r="U316" i="36" s="1"/>
  <c r="N316" i="36"/>
  <c r="S316" i="36" s="1"/>
  <c r="K285" i="36"/>
  <c r="S285" i="36" s="1"/>
  <c r="N286" i="36"/>
  <c r="W286" i="36" s="1"/>
  <c r="L244" i="36"/>
  <c r="U244" i="36" s="1"/>
  <c r="K315" i="36"/>
  <c r="S315" i="36" s="1"/>
  <c r="N280" i="36"/>
  <c r="S280" i="36" s="1"/>
  <c r="N376" i="36"/>
  <c r="L382" i="36"/>
  <c r="U382" i="36" s="1"/>
  <c r="K279" i="36"/>
  <c r="S279" i="36" s="1"/>
  <c r="K231" i="36"/>
  <c r="S231" i="36" s="1"/>
  <c r="I279" i="36"/>
  <c r="U279" i="36" s="1"/>
  <c r="I225" i="36"/>
  <c r="U225" i="36" s="1"/>
  <c r="N334" i="36"/>
  <c r="W334" i="36" s="1"/>
  <c r="N328" i="36"/>
  <c r="W328" i="36" s="1"/>
  <c r="K291" i="36"/>
  <c r="W291" i="36" s="1"/>
  <c r="K327" i="36"/>
  <c r="S327" i="36" s="1"/>
  <c r="L322" i="36"/>
  <c r="U322" i="36" s="1"/>
  <c r="K375" i="36"/>
  <c r="S375" i="36" s="1"/>
  <c r="N274" i="36"/>
  <c r="S274" i="36" s="1"/>
  <c r="I333" i="36"/>
  <c r="U333" i="36" s="1"/>
  <c r="I237" i="36"/>
  <c r="U237" i="36" s="1"/>
  <c r="I291" i="36"/>
  <c r="U291" i="36" s="1"/>
  <c r="I309" i="36"/>
  <c r="U309" i="36" s="1"/>
  <c r="AC388" i="36"/>
  <c r="GG73" i="36"/>
  <c r="DC70" i="36"/>
  <c r="CY70" i="36"/>
  <c r="DM70" i="36" s="1"/>
  <c r="DC69" i="36"/>
  <c r="CY69" i="36"/>
  <c r="CZ69" i="36"/>
  <c r="DC72" i="36"/>
  <c r="DP77" i="36"/>
  <c r="DU77" i="36"/>
  <c r="DU69" i="36"/>
  <c r="DC71" i="36"/>
  <c r="DP69" i="36"/>
  <c r="K303" i="36"/>
  <c r="S303" i="36" s="1"/>
  <c r="L268" i="36"/>
  <c r="U268" i="36" s="1"/>
  <c r="I267" i="36"/>
  <c r="U267" i="36" s="1"/>
  <c r="AM70" i="36"/>
  <c r="BA70" i="36" s="1"/>
  <c r="K321" i="36"/>
  <c r="W321" i="36" s="1"/>
  <c r="K339" i="36"/>
  <c r="S339" i="36" s="1"/>
  <c r="Q105" i="61"/>
  <c r="E248" i="36"/>
  <c r="N310" i="36"/>
  <c r="E247" i="36"/>
  <c r="K243" i="36"/>
  <c r="W243" i="36" s="1"/>
  <c r="L280" i="36"/>
  <c r="U280" i="36" s="1"/>
  <c r="N268" i="36"/>
  <c r="W268" i="36" s="1"/>
  <c r="I375" i="36"/>
  <c r="U375" i="36" s="1"/>
  <c r="I381" i="36"/>
  <c r="U381" i="36" s="1"/>
  <c r="I231" i="36"/>
  <c r="U231" i="36" s="1"/>
  <c r="I273" i="36"/>
  <c r="U273" i="36" s="1"/>
  <c r="K333" i="36"/>
  <c r="W333" i="36" s="1"/>
  <c r="L226" i="36"/>
  <c r="U226" i="36" s="1"/>
  <c r="I315" i="36"/>
  <c r="U315" i="36" s="1"/>
  <c r="L298" i="36"/>
  <c r="U298" i="36" s="1"/>
  <c r="N238" i="36"/>
  <c r="S238" i="36" s="1"/>
  <c r="L340" i="36"/>
  <c r="U340" i="36" s="1"/>
  <c r="L292" i="36"/>
  <c r="U292" i="36" s="1"/>
  <c r="E255" i="36"/>
  <c r="Q108" i="61"/>
  <c r="L310" i="36"/>
  <c r="U310" i="36" s="1"/>
  <c r="AB297" i="36"/>
  <c r="E205" i="36"/>
  <c r="Q90" i="61"/>
  <c r="E207" i="36"/>
  <c r="Z207" i="36" s="1"/>
  <c r="Q91" i="61"/>
  <c r="E208" i="36"/>
  <c r="AA208" i="36" s="1"/>
  <c r="K267" i="36"/>
  <c r="S267" i="36" s="1"/>
  <c r="K381" i="36"/>
  <c r="W381" i="36" s="1"/>
  <c r="L232" i="36"/>
  <c r="U232" i="36" s="1"/>
  <c r="N226" i="36"/>
  <c r="W226" i="36" s="1"/>
  <c r="Q87" i="61"/>
  <c r="E201" i="36"/>
  <c r="Z201" i="36" s="1"/>
  <c r="I327" i="36"/>
  <c r="U327" i="36" s="1"/>
  <c r="E370" i="36"/>
  <c r="AC304" i="36"/>
  <c r="AC376" i="36"/>
  <c r="E199" i="36"/>
  <c r="N244" i="36"/>
  <c r="S244" i="36" s="1"/>
  <c r="L376" i="36"/>
  <c r="U376" i="36" s="1"/>
  <c r="I321" i="36"/>
  <c r="U321" i="36" s="1"/>
  <c r="N382" i="36"/>
  <c r="S382" i="36" s="1"/>
  <c r="N232" i="36"/>
  <c r="S232" i="36" s="1"/>
  <c r="L274" i="36"/>
  <c r="U274" i="36" s="1"/>
  <c r="I285" i="36"/>
  <c r="U285" i="36" s="1"/>
  <c r="L334" i="36"/>
  <c r="U334" i="36" s="1"/>
  <c r="N304" i="36"/>
  <c r="W304" i="36" s="1"/>
  <c r="K225" i="36"/>
  <c r="W225" i="36" s="1"/>
  <c r="L238" i="36"/>
  <c r="U238" i="36" s="1"/>
  <c r="I339" i="36"/>
  <c r="U339" i="36" s="1"/>
  <c r="Q120" i="61"/>
  <c r="E249" i="36"/>
  <c r="Q121" i="61"/>
  <c r="E250" i="36"/>
  <c r="E256" i="36"/>
  <c r="Q88" i="61"/>
  <c r="E202" i="36"/>
  <c r="L328" i="36"/>
  <c r="U328" i="36" s="1"/>
  <c r="I387" i="36"/>
  <c r="U387" i="36" s="1"/>
  <c r="K387" i="36"/>
  <c r="W387" i="36" s="1"/>
  <c r="AB339" i="36"/>
  <c r="S206" i="61"/>
  <c r="S251" i="61"/>
  <c r="S245" i="61"/>
  <c r="S209" i="61"/>
  <c r="S233" i="61"/>
  <c r="S217" i="61"/>
  <c r="S203" i="61"/>
  <c r="M42" i="55"/>
  <c r="S248" i="61"/>
  <c r="S225" i="61"/>
  <c r="S239" i="61"/>
  <c r="S212" i="61"/>
  <c r="S242" i="61"/>
  <c r="S222" i="61"/>
  <c r="E348" i="36"/>
  <c r="E354" i="36"/>
  <c r="E246" i="36"/>
  <c r="E198" i="36"/>
  <c r="AC334" i="36"/>
  <c r="AC232" i="36"/>
  <c r="AC310" i="36"/>
  <c r="AC274" i="36"/>
  <c r="AB315" i="36"/>
  <c r="AB327" i="36"/>
  <c r="AB291" i="36"/>
  <c r="AB243" i="36"/>
  <c r="BW72" i="36"/>
  <c r="Q103" i="61" s="1"/>
  <c r="BN35" i="36"/>
  <c r="BS75" i="36" s="1"/>
  <c r="CL75" i="36" s="1"/>
  <c r="AQ69" i="36"/>
  <c r="AM69" i="36"/>
  <c r="F204" i="36"/>
  <c r="AL69" i="36"/>
  <c r="AQ72" i="36"/>
  <c r="BN34" i="36"/>
  <c r="BQ77" i="36" s="1"/>
  <c r="BN33" i="36"/>
  <c r="BQ76" i="36" s="1"/>
  <c r="BN32" i="36"/>
  <c r="BN29" i="36"/>
  <c r="BN28" i="36"/>
  <c r="N388" i="36"/>
  <c r="S388" i="36" s="1"/>
  <c r="L388" i="36"/>
  <c r="U388" i="36" s="1"/>
  <c r="F299" i="36"/>
  <c r="F335" i="36"/>
  <c r="O335" i="36" s="1"/>
  <c r="F221" i="36"/>
  <c r="F269" i="36"/>
  <c r="O269" i="36" s="1"/>
  <c r="DS78" i="36"/>
  <c r="DM78" i="36"/>
  <c r="DR78" i="36"/>
  <c r="DI78" i="36"/>
  <c r="DQ78" i="36"/>
  <c r="DU78" i="36"/>
  <c r="DT78" i="36"/>
  <c r="DP78" i="36"/>
  <c r="X372" i="36"/>
  <c r="AB375" i="36" s="1"/>
  <c r="X282" i="36"/>
  <c r="AB285" i="36" s="1"/>
  <c r="X384" i="36"/>
  <c r="AB387" i="36" s="1"/>
  <c r="X306" i="36"/>
  <c r="AB309" i="36" s="1"/>
  <c r="Y325" i="36"/>
  <c r="AC328" i="36" s="1"/>
  <c r="X300" i="36"/>
  <c r="AB303" i="36" s="1"/>
  <c r="F323" i="36"/>
  <c r="O323" i="36" s="1"/>
  <c r="F263" i="36"/>
  <c r="O263" i="36" s="1"/>
  <c r="F173" i="36"/>
  <c r="Y289" i="36"/>
  <c r="AC292" i="36" s="1"/>
  <c r="Y313" i="36"/>
  <c r="AC316" i="36" s="1"/>
  <c r="X330" i="36"/>
  <c r="AB333" i="36" s="1"/>
  <c r="Y295" i="36"/>
  <c r="AC298" i="36" s="1"/>
  <c r="X270" i="36"/>
  <c r="AB273" i="36" s="1"/>
  <c r="X264" i="36"/>
  <c r="AB267" i="36" s="1"/>
  <c r="Y277" i="36"/>
  <c r="AC280" i="36" s="1"/>
  <c r="Y379" i="36"/>
  <c r="AC382" i="36" s="1"/>
  <c r="X222" i="36"/>
  <c r="AB225" i="36" s="1"/>
  <c r="F233" i="36"/>
  <c r="O233" i="36" s="1"/>
  <c r="F317" i="36"/>
  <c r="O317" i="36" s="1"/>
  <c r="F191" i="36"/>
  <c r="Y337" i="36"/>
  <c r="AC340" i="36" s="1"/>
  <c r="F227" i="36"/>
  <c r="F239" i="36"/>
  <c r="O239" i="36" s="1"/>
  <c r="Y241" i="36"/>
  <c r="AC244" i="36" s="1"/>
  <c r="AB321" i="36"/>
  <c r="F275" i="36"/>
  <c r="O275" i="36" s="1"/>
  <c r="F287" i="36"/>
  <c r="O287" i="36" s="1"/>
  <c r="F281" i="36"/>
  <c r="F305" i="36"/>
  <c r="O305" i="36" s="1"/>
  <c r="F293" i="36"/>
  <c r="F383" i="36"/>
  <c r="O383" i="36" s="1"/>
  <c r="F185" i="36"/>
  <c r="F179" i="36"/>
  <c r="F155" i="36"/>
  <c r="F161" i="36"/>
  <c r="F167" i="36"/>
  <c r="F131" i="36"/>
  <c r="F125" i="36"/>
  <c r="F107" i="36"/>
  <c r="F119" i="36"/>
  <c r="F113" i="36"/>
  <c r="F329" i="36"/>
  <c r="GC72" i="36"/>
  <c r="GG72" i="36"/>
  <c r="GF72" i="36"/>
  <c r="GB72" i="36"/>
  <c r="GE72" i="36"/>
  <c r="FY72" i="36"/>
  <c r="GD72" i="36"/>
  <c r="FW68" i="36"/>
  <c r="GG68" i="36"/>
  <c r="GG67" i="36"/>
  <c r="FX67" i="36"/>
  <c r="FY78" i="36"/>
  <c r="GF78" i="36"/>
  <c r="GD78" i="36"/>
  <c r="GG78" i="36"/>
  <c r="GE78" i="36"/>
  <c r="GB78" i="36"/>
  <c r="FU78" i="36"/>
  <c r="GC78" i="36"/>
  <c r="GB70" i="36"/>
  <c r="GF70" i="36"/>
  <c r="GC70" i="36"/>
  <c r="GG70" i="36"/>
  <c r="FV70" i="36"/>
  <c r="GD70" i="36"/>
  <c r="FU70" i="36"/>
  <c r="GE70" i="36"/>
  <c r="FY70" i="36"/>
  <c r="FA70" i="36"/>
  <c r="EZ70" i="36"/>
  <c r="EV70" i="36"/>
  <c r="EY70" i="36"/>
  <c r="EX70" i="36"/>
  <c r="EW70" i="36"/>
  <c r="EO70" i="36"/>
  <c r="EP70" i="36"/>
  <c r="ES70" i="36"/>
  <c r="EQ68" i="36"/>
  <c r="FA68" i="36"/>
  <c r="EV72" i="36"/>
  <c r="EW72" i="36"/>
  <c r="EW71" i="36"/>
  <c r="FA78" i="36"/>
  <c r="EV78" i="36"/>
  <c r="EY78" i="36"/>
  <c r="ES78" i="36"/>
  <c r="EX78" i="36"/>
  <c r="EW78" i="36"/>
  <c r="EO78" i="36"/>
  <c r="EZ78" i="36"/>
  <c r="FA67" i="36"/>
  <c r="ER67" i="36"/>
  <c r="CE68" i="36"/>
  <c r="CO68" i="36"/>
  <c r="CM78" i="36"/>
  <c r="CL78" i="36"/>
  <c r="CO78" i="36"/>
  <c r="CJ78" i="36"/>
  <c r="CK78" i="36"/>
  <c r="CC78" i="36"/>
  <c r="CN78" i="36"/>
  <c r="CG78" i="36"/>
  <c r="CF67" i="36"/>
  <c r="CO67" i="36"/>
  <c r="AW74" i="36"/>
  <c r="BI74" i="36"/>
  <c r="BD74" i="36"/>
  <c r="BG74" i="36"/>
  <c r="BH74" i="36"/>
  <c r="BE74" i="36"/>
  <c r="BF74" i="36"/>
  <c r="BG73" i="36"/>
  <c r="BD73" i="36"/>
  <c r="BI73" i="36"/>
  <c r="BH73" i="36"/>
  <c r="AV73" i="36"/>
  <c r="BF73" i="36"/>
  <c r="BE73" i="36"/>
  <c r="AW78" i="36"/>
  <c r="BD78" i="36"/>
  <c r="BI78" i="36"/>
  <c r="BE78" i="36"/>
  <c r="BF78" i="36"/>
  <c r="BA78" i="36"/>
  <c r="BG78" i="36"/>
  <c r="BH78" i="36"/>
  <c r="AA80" i="36"/>
  <c r="AB80" i="36"/>
  <c r="Z80" i="36"/>
  <c r="Y80" i="36"/>
  <c r="Z82" i="36"/>
  <c r="AA82" i="36"/>
  <c r="Y82" i="36"/>
  <c r="AB82" i="36"/>
  <c r="AA86" i="36"/>
  <c r="Y86" i="36"/>
  <c r="AB86" i="36"/>
  <c r="Z86" i="36"/>
  <c r="Z83" i="36"/>
  <c r="AA83" i="36"/>
  <c r="Y83" i="36"/>
  <c r="Y84" i="36"/>
  <c r="AB84" i="36"/>
  <c r="Z84" i="36"/>
  <c r="AA84" i="36"/>
  <c r="AA26" i="36"/>
  <c r="AA25" i="36"/>
  <c r="AD24" i="36"/>
  <c r="AD23" i="36"/>
  <c r="Z22" i="36"/>
  <c r="AC22" i="36"/>
  <c r="AA20" i="36"/>
  <c r="AD19" i="36"/>
  <c r="AD18" i="36"/>
  <c r="AA17" i="36"/>
  <c r="AA13" i="36"/>
  <c r="AA10" i="36"/>
  <c r="AC10" i="36"/>
  <c r="AA9" i="36"/>
  <c r="E346" i="36" l="1"/>
  <c r="GH75" i="36"/>
  <c r="GE75" i="36"/>
  <c r="GF75" i="36"/>
  <c r="ZJ7" i="32"/>
  <c r="GD74" i="36"/>
  <c r="DT69" i="36"/>
  <c r="GH76" i="36"/>
  <c r="GD76" i="36"/>
  <c r="ZL7" i="32"/>
  <c r="GC76" i="36"/>
  <c r="E220" i="36"/>
  <c r="AA220" i="36" s="1"/>
  <c r="ZL6" i="32"/>
  <c r="E219" i="36"/>
  <c r="Z219" i="36" s="1"/>
  <c r="ZM5" i="32"/>
  <c r="DT77" i="36"/>
  <c r="DR77" i="36"/>
  <c r="E212" i="36"/>
  <c r="DS77" i="36"/>
  <c r="DV75" i="36"/>
  <c r="DQ77" i="36"/>
  <c r="DG77" i="36"/>
  <c r="ABE5" i="32" s="1"/>
  <c r="DR69" i="36"/>
  <c r="DQ69" i="36"/>
  <c r="DW76" i="36"/>
  <c r="DS76" i="36"/>
  <c r="DM69" i="36"/>
  <c r="DI69" i="36"/>
  <c r="DV76" i="36"/>
  <c r="DR76" i="36"/>
  <c r="H283" i="36"/>
  <c r="T283" i="36" s="1"/>
  <c r="AE283" i="36" s="1"/>
  <c r="O281" i="36"/>
  <c r="P301" i="36"/>
  <c r="O299" i="36"/>
  <c r="G372" i="36"/>
  <c r="J375" i="36" s="1"/>
  <c r="O371" i="36"/>
  <c r="P331" i="36"/>
  <c r="O329" i="36"/>
  <c r="G294" i="36"/>
  <c r="T294" i="36" s="1"/>
  <c r="AD294" i="36" s="1"/>
  <c r="O293" i="36"/>
  <c r="P228" i="36"/>
  <c r="O227" i="36"/>
  <c r="O221" i="36"/>
  <c r="GE77" i="36"/>
  <c r="GE74" i="36"/>
  <c r="E358" i="36"/>
  <c r="GH77" i="36"/>
  <c r="GE76" i="36"/>
  <c r="GD77" i="36"/>
  <c r="GC74" i="36"/>
  <c r="GF74" i="36"/>
  <c r="FU74" i="36"/>
  <c r="F358" i="36" s="1"/>
  <c r="O358" i="36" s="1"/>
  <c r="EZ72" i="36"/>
  <c r="FB72" i="36"/>
  <c r="EW76" i="36"/>
  <c r="EY72" i="36"/>
  <c r="DS69" i="36"/>
  <c r="E260" i="36"/>
  <c r="DV69" i="36"/>
  <c r="DJ69" i="36"/>
  <c r="FS77" i="36"/>
  <c r="GI77" i="36" s="1"/>
  <c r="E214" i="36"/>
  <c r="GF76" i="36"/>
  <c r="ZM7" i="32"/>
  <c r="GF77" i="36"/>
  <c r="EZ76" i="36"/>
  <c r="FB76" i="36"/>
  <c r="GE73" i="36"/>
  <c r="GC75" i="36"/>
  <c r="ZK7" i="32"/>
  <c r="FU75" i="36"/>
  <c r="ABC7" i="32" s="1"/>
  <c r="GH73" i="36"/>
  <c r="GD75" i="36"/>
  <c r="EX72" i="36"/>
  <c r="FA72" i="36"/>
  <c r="E369" i="36"/>
  <c r="EM76" i="36"/>
  <c r="FC76" i="36" s="1"/>
  <c r="W231" i="36"/>
  <c r="ES71" i="36"/>
  <c r="F363" i="36" s="1"/>
  <c r="O363" i="36" s="1"/>
  <c r="ES72" i="36"/>
  <c r="FC72" i="36" s="1"/>
  <c r="EX76" i="36"/>
  <c r="EY76" i="36"/>
  <c r="AAU5" i="32"/>
  <c r="BI70" i="36"/>
  <c r="W298" i="36"/>
  <c r="DS73" i="36"/>
  <c r="DW67" i="36"/>
  <c r="DR73" i="36"/>
  <c r="AA202" i="36"/>
  <c r="DI75" i="36"/>
  <c r="F344" i="36" s="1"/>
  <c r="O344" i="36" s="1"/>
  <c r="DP74" i="36"/>
  <c r="DU75" i="36"/>
  <c r="ZK5" i="32"/>
  <c r="DQ75" i="36"/>
  <c r="DS75" i="36"/>
  <c r="DP75" i="36"/>
  <c r="DU73" i="36"/>
  <c r="E344" i="36"/>
  <c r="DR75" i="36"/>
  <c r="DU74" i="36"/>
  <c r="DV73" i="36"/>
  <c r="DP73" i="36"/>
  <c r="DT73" i="36"/>
  <c r="DQ73" i="36"/>
  <c r="DH73" i="36"/>
  <c r="F350" i="36" s="1"/>
  <c r="O350" i="36" s="1"/>
  <c r="E350" i="36"/>
  <c r="ZJ5" i="32"/>
  <c r="DI74" i="36"/>
  <c r="F356" i="36" s="1"/>
  <c r="O356" i="36" s="1"/>
  <c r="DS74" i="36"/>
  <c r="E356" i="36"/>
  <c r="DT74" i="36"/>
  <c r="DQ74" i="36"/>
  <c r="DR74" i="36"/>
  <c r="CO71" i="36"/>
  <c r="N323" i="55"/>
  <c r="CJ71" i="36"/>
  <c r="BK75" i="36"/>
  <c r="F342" i="36"/>
  <c r="FU69" i="36"/>
  <c r="GF69" i="36"/>
  <c r="F220" i="36"/>
  <c r="O220" i="36" s="1"/>
  <c r="GF73" i="36"/>
  <c r="ZI7" i="32"/>
  <c r="GD71" i="36"/>
  <c r="GC73" i="36"/>
  <c r="E352" i="36"/>
  <c r="FA71" i="36"/>
  <c r="EX71" i="36"/>
  <c r="EY71" i="36"/>
  <c r="FB71" i="36"/>
  <c r="E363" i="36"/>
  <c r="EZ71" i="36"/>
  <c r="EV71" i="36"/>
  <c r="E252" i="36"/>
  <c r="BD70" i="36"/>
  <c r="S111" i="61"/>
  <c r="FV69" i="36"/>
  <c r="GC71" i="36"/>
  <c r="GG71" i="36"/>
  <c r="GC69" i="36"/>
  <c r="FT69" i="36"/>
  <c r="F262" i="36" s="1"/>
  <c r="O262" i="36" s="1"/>
  <c r="GG69" i="36"/>
  <c r="E364" i="36"/>
  <c r="ABD7" i="32"/>
  <c r="GH71" i="36"/>
  <c r="GH69" i="36"/>
  <c r="GF71" i="36"/>
  <c r="GB71" i="36"/>
  <c r="GB69" i="36"/>
  <c r="E262" i="36"/>
  <c r="GE71" i="36"/>
  <c r="FY71" i="36"/>
  <c r="AAY7" i="32" s="1"/>
  <c r="FY69" i="36"/>
  <c r="GD69" i="36"/>
  <c r="GE69" i="36"/>
  <c r="GB73" i="36"/>
  <c r="GD73" i="36"/>
  <c r="EZ75" i="36"/>
  <c r="EV75" i="36"/>
  <c r="FB75" i="36"/>
  <c r="E345" i="36"/>
  <c r="FA75" i="36"/>
  <c r="EW75" i="36"/>
  <c r="ZK6" i="32"/>
  <c r="EX75" i="36"/>
  <c r="EY75" i="36"/>
  <c r="EO75" i="36"/>
  <c r="EE74" i="36"/>
  <c r="ED73" i="36"/>
  <c r="EW77" i="36"/>
  <c r="EY77" i="36"/>
  <c r="FA77" i="36"/>
  <c r="FB77" i="36"/>
  <c r="EV77" i="36"/>
  <c r="EZ77" i="36"/>
  <c r="ZM6" i="32"/>
  <c r="EM77" i="36"/>
  <c r="E213" i="36"/>
  <c r="EX77" i="36"/>
  <c r="EF69" i="36"/>
  <c r="EE69" i="36"/>
  <c r="ED69" i="36"/>
  <c r="EI69" i="36"/>
  <c r="W340" i="36"/>
  <c r="CO75" i="36"/>
  <c r="CJ75" i="36"/>
  <c r="BD71" i="36"/>
  <c r="S114" i="61"/>
  <c r="BI71" i="36"/>
  <c r="AX70" i="36"/>
  <c r="BE70" i="36"/>
  <c r="AW70" i="36"/>
  <c r="BK70" i="36" s="1"/>
  <c r="CL71" i="36"/>
  <c r="E361" i="36"/>
  <c r="W279" i="36"/>
  <c r="S333" i="36"/>
  <c r="BG70" i="36"/>
  <c r="BH70" i="36"/>
  <c r="BF70" i="36"/>
  <c r="S322" i="36"/>
  <c r="S237" i="36"/>
  <c r="W280" i="36"/>
  <c r="BE71" i="36"/>
  <c r="CK75" i="36"/>
  <c r="CN75" i="36"/>
  <c r="W232" i="36"/>
  <c r="S334" i="36"/>
  <c r="S292" i="36"/>
  <c r="S297" i="36"/>
  <c r="W316" i="36"/>
  <c r="S328" i="36"/>
  <c r="S273" i="36"/>
  <c r="S243" i="36"/>
  <c r="W309" i="36"/>
  <c r="W375" i="36"/>
  <c r="GI70" i="36"/>
  <c r="AAX7" i="32"/>
  <c r="GI78" i="36"/>
  <c r="ABF7" i="32"/>
  <c r="AAV7" i="32"/>
  <c r="GI68" i="36"/>
  <c r="W238" i="36"/>
  <c r="F352" i="36"/>
  <c r="O352" i="36" s="1"/>
  <c r="ABA7" i="32"/>
  <c r="GI73" i="36"/>
  <c r="GI67" i="36"/>
  <c r="AAU7" i="32"/>
  <c r="AAZ7" i="32"/>
  <c r="GI72" i="36"/>
  <c r="FC70" i="36"/>
  <c r="AAX6" i="32"/>
  <c r="AAU6" i="32"/>
  <c r="FC67" i="36"/>
  <c r="FC68" i="36"/>
  <c r="AAV6" i="32"/>
  <c r="FC78" i="36"/>
  <c r="ABF6" i="32"/>
  <c r="AAW5" i="32"/>
  <c r="DW69" i="36"/>
  <c r="F260" i="36"/>
  <c r="O260" i="36" s="1"/>
  <c r="W285" i="36"/>
  <c r="S291" i="36"/>
  <c r="S304" i="36"/>
  <c r="W339" i="36"/>
  <c r="ZH5" i="32"/>
  <c r="DV72" i="36"/>
  <c r="F212" i="36"/>
  <c r="O212" i="36" s="1"/>
  <c r="DW78" i="36"/>
  <c r="ABF5" i="32"/>
  <c r="E362" i="36"/>
  <c r="DV71" i="36"/>
  <c r="ZG5" i="32"/>
  <c r="DQ70" i="36"/>
  <c r="DV70" i="36"/>
  <c r="ZF5" i="32"/>
  <c r="CQ68" i="36"/>
  <c r="AAV4" i="32"/>
  <c r="E217" i="36"/>
  <c r="CP76" i="36"/>
  <c r="ZL4" i="32"/>
  <c r="Q115" i="61"/>
  <c r="CQ78" i="36"/>
  <c r="ABF4" i="32"/>
  <c r="ZG4" i="32"/>
  <c r="CP71" i="36"/>
  <c r="AAU4" i="32"/>
  <c r="CQ67" i="36"/>
  <c r="CM71" i="36"/>
  <c r="S100" i="61" s="1"/>
  <c r="Q100" i="61"/>
  <c r="CP72" i="36"/>
  <c r="ZH4" i="32"/>
  <c r="E211" i="36"/>
  <c r="CP77" i="36"/>
  <c r="ZM4" i="32"/>
  <c r="Q118" i="61"/>
  <c r="CN71" i="36"/>
  <c r="CG71" i="36"/>
  <c r="F361" i="36" s="1"/>
  <c r="ZK4" i="32"/>
  <c r="CP75" i="36"/>
  <c r="Q112" i="61"/>
  <c r="BJ71" i="36"/>
  <c r="ZG3" i="32"/>
  <c r="ABA3" i="32"/>
  <c r="BK73" i="36"/>
  <c r="BF71" i="36"/>
  <c r="BH71" i="36"/>
  <c r="ABB3" i="32"/>
  <c r="BK74" i="36"/>
  <c r="Q96" i="61"/>
  <c r="BJ70" i="36"/>
  <c r="ZF3" i="32"/>
  <c r="Q99" i="61"/>
  <c r="ABD3" i="32"/>
  <c r="BK76" i="36"/>
  <c r="BK67" i="36"/>
  <c r="AAU3" i="32"/>
  <c r="BG71" i="36"/>
  <c r="Q102" i="61"/>
  <c r="BJ72" i="36"/>
  <c r="ZH3" i="32"/>
  <c r="BK78" i="36"/>
  <c r="ABF3" i="32"/>
  <c r="BA71" i="36"/>
  <c r="F360" i="36" s="1"/>
  <c r="AV69" i="36"/>
  <c r="F258" i="36" s="1"/>
  <c r="ZE3" i="32"/>
  <c r="BJ69" i="36"/>
  <c r="F210" i="36"/>
  <c r="ABE3" i="32"/>
  <c r="BK77" i="36"/>
  <c r="Q93" i="61"/>
  <c r="G264" i="36"/>
  <c r="N296" i="55"/>
  <c r="N299" i="55"/>
  <c r="S136" i="61"/>
  <c r="S139" i="61"/>
  <c r="S133" i="61"/>
  <c r="S145" i="61"/>
  <c r="S127" i="61"/>
  <c r="N287" i="55"/>
  <c r="N292" i="55"/>
  <c r="N294" i="55"/>
  <c r="H289" i="36"/>
  <c r="T289" i="36" s="1"/>
  <c r="AE289" i="36" s="1"/>
  <c r="G187" i="55"/>
  <c r="N289" i="55"/>
  <c r="R187" i="55"/>
  <c r="W327" i="36"/>
  <c r="S286" i="36"/>
  <c r="W303" i="36"/>
  <c r="S387" i="36"/>
  <c r="S225" i="36"/>
  <c r="S381" i="36"/>
  <c r="S376" i="36"/>
  <c r="W376" i="36"/>
  <c r="N295" i="55"/>
  <c r="W315" i="36"/>
  <c r="W382" i="36"/>
  <c r="W388" i="36"/>
  <c r="W274" i="36"/>
  <c r="W244" i="36"/>
  <c r="S108" i="61"/>
  <c r="Z249" i="36"/>
  <c r="E254" i="36"/>
  <c r="Z255" i="36" s="1"/>
  <c r="DU70" i="36"/>
  <c r="DP70" i="36"/>
  <c r="DS70" i="36"/>
  <c r="DI70" i="36"/>
  <c r="DS72" i="36"/>
  <c r="DR70" i="36"/>
  <c r="DJ70" i="36"/>
  <c r="DT70" i="36"/>
  <c r="DU72" i="36"/>
  <c r="DT72" i="36"/>
  <c r="DR72" i="36"/>
  <c r="DP72" i="36"/>
  <c r="DQ72" i="36"/>
  <c r="DM72" i="36"/>
  <c r="E368" i="36"/>
  <c r="AA370" i="36" s="1"/>
  <c r="DS71" i="36"/>
  <c r="DR71" i="36"/>
  <c r="DQ71" i="36"/>
  <c r="DP71" i="36"/>
  <c r="DT71" i="36"/>
  <c r="DM71" i="36"/>
  <c r="DU71" i="36"/>
  <c r="AA250" i="36"/>
  <c r="H265" i="36"/>
  <c r="P277" i="36"/>
  <c r="O277" i="36" s="1"/>
  <c r="H295" i="36"/>
  <c r="M298" i="36" s="1"/>
  <c r="P288" i="36"/>
  <c r="O288" i="36" s="1"/>
  <c r="P295" i="36"/>
  <c r="P313" i="36"/>
  <c r="O313" i="36" s="1"/>
  <c r="H313" i="36"/>
  <c r="T313" i="36" s="1"/>
  <c r="AE313" i="36" s="1"/>
  <c r="P270" i="36"/>
  <c r="O270" i="36" s="1"/>
  <c r="P271" i="36"/>
  <c r="O271" i="36" s="1"/>
  <c r="H337" i="36"/>
  <c r="T337" i="36" s="1"/>
  <c r="AE337" i="36" s="1"/>
  <c r="P336" i="36"/>
  <c r="O336" i="36" s="1"/>
  <c r="G312" i="36"/>
  <c r="T312" i="36" s="1"/>
  <c r="AD312" i="36" s="1"/>
  <c r="G270" i="36"/>
  <c r="P264" i="36"/>
  <c r="O264" i="36" s="1"/>
  <c r="G288" i="36"/>
  <c r="T288" i="36" s="1"/>
  <c r="AD288" i="36" s="1"/>
  <c r="G336" i="36"/>
  <c r="P312" i="36"/>
  <c r="O312" i="36" s="1"/>
  <c r="H271" i="36"/>
  <c r="T271" i="36" s="1"/>
  <c r="AE271" i="36" s="1"/>
  <c r="P265" i="36"/>
  <c r="O265" i="36" s="1"/>
  <c r="P289" i="36"/>
  <c r="O289" i="36" s="1"/>
  <c r="P337" i="36"/>
  <c r="O337" i="36" s="1"/>
  <c r="S90" i="61"/>
  <c r="E367" i="36"/>
  <c r="N300" i="55"/>
  <c r="W310" i="36"/>
  <c r="S310" i="36"/>
  <c r="P385" i="36"/>
  <c r="O385" i="36" s="1"/>
  <c r="P324" i="36"/>
  <c r="O324" i="36" s="1"/>
  <c r="CL72" i="36"/>
  <c r="S321" i="36"/>
  <c r="S268" i="36"/>
  <c r="S226" i="36"/>
  <c r="W267" i="36"/>
  <c r="S120" i="61"/>
  <c r="S121" i="61"/>
  <c r="S91" i="61"/>
  <c r="N288" i="55"/>
  <c r="S87" i="61"/>
  <c r="S88" i="61"/>
  <c r="P241" i="36"/>
  <c r="O241" i="36" s="1"/>
  <c r="G306" i="36"/>
  <c r="T306" i="36" s="1"/>
  <c r="AD306" i="36" s="1"/>
  <c r="CN72" i="36"/>
  <c r="S105" i="61"/>
  <c r="E343" i="36"/>
  <c r="N293" i="55"/>
  <c r="P319" i="36"/>
  <c r="O319" i="36" s="1"/>
  <c r="P234" i="36"/>
  <c r="O234" i="36" s="1"/>
  <c r="H235" i="36"/>
  <c r="T235" i="36" s="1"/>
  <c r="AE235" i="36" s="1"/>
  <c r="P235" i="36"/>
  <c r="O235" i="36" s="1"/>
  <c r="G318" i="36"/>
  <c r="G234" i="36"/>
  <c r="H385" i="36"/>
  <c r="T385" i="36" s="1"/>
  <c r="AE385" i="36" s="1"/>
  <c r="G240" i="36"/>
  <c r="P330" i="36"/>
  <c r="H301" i="36"/>
  <c r="T301" i="36" s="1"/>
  <c r="AE301" i="36" s="1"/>
  <c r="G324" i="36"/>
  <c r="P306" i="36"/>
  <c r="O306" i="36" s="1"/>
  <c r="P276" i="36"/>
  <c r="O276" i="36" s="1"/>
  <c r="P384" i="36"/>
  <c r="O384" i="36" s="1"/>
  <c r="P240" i="36"/>
  <c r="O240" i="36" s="1"/>
  <c r="P325" i="36"/>
  <c r="O325" i="36" s="1"/>
  <c r="P307" i="36"/>
  <c r="O307" i="36" s="1"/>
  <c r="H319" i="36"/>
  <c r="M322" i="36" s="1"/>
  <c r="H277" i="36"/>
  <c r="T277" i="36" s="1"/>
  <c r="AE277" i="36" s="1"/>
  <c r="P373" i="36"/>
  <c r="P294" i="36"/>
  <c r="G282" i="36"/>
  <c r="J285" i="36" s="1"/>
  <c r="G228" i="36"/>
  <c r="J231" i="36" s="1"/>
  <c r="G330" i="36"/>
  <c r="T330" i="36" s="1"/>
  <c r="AD330" i="36" s="1"/>
  <c r="G378" i="36"/>
  <c r="J381" i="36" s="1"/>
  <c r="P222" i="36"/>
  <c r="G300" i="36"/>
  <c r="J303" i="36" s="1"/>
  <c r="G384" i="36"/>
  <c r="H241" i="36"/>
  <c r="T241" i="36" s="1"/>
  <c r="AE241" i="36" s="1"/>
  <c r="H331" i="36"/>
  <c r="M334" i="36" s="1"/>
  <c r="H325" i="36"/>
  <c r="T325" i="36" s="1"/>
  <c r="AE325" i="36" s="1"/>
  <c r="H307" i="36"/>
  <c r="T307" i="36" s="1"/>
  <c r="AE307" i="36" s="1"/>
  <c r="P318" i="36"/>
  <c r="O318" i="36" s="1"/>
  <c r="G276" i="36"/>
  <c r="T276" i="36" s="1"/>
  <c r="AD276" i="36" s="1"/>
  <c r="E366" i="36"/>
  <c r="E258" i="36"/>
  <c r="CK72" i="36"/>
  <c r="CJ72" i="36"/>
  <c r="CC75" i="36"/>
  <c r="F343" i="36" s="1"/>
  <c r="CM75" i="36"/>
  <c r="CO72" i="36"/>
  <c r="CM72" i="36"/>
  <c r="CG72" i="36"/>
  <c r="BG69" i="36"/>
  <c r="BE69" i="36"/>
  <c r="BD69" i="36"/>
  <c r="AW69" i="36"/>
  <c r="BE72" i="36"/>
  <c r="BH69" i="36"/>
  <c r="BF69" i="36"/>
  <c r="BI69" i="36"/>
  <c r="BI72" i="36"/>
  <c r="BA69" i="36"/>
  <c r="AX69" i="36"/>
  <c r="BH72" i="36"/>
  <c r="BA72" i="36"/>
  <c r="BF72" i="36"/>
  <c r="BG72" i="36"/>
  <c r="BD72" i="36"/>
  <c r="CM77" i="36"/>
  <c r="CN77" i="36"/>
  <c r="CA77" i="36"/>
  <c r="CJ77" i="36"/>
  <c r="CL77" i="36"/>
  <c r="CK77" i="36"/>
  <c r="CO77" i="36"/>
  <c r="G240" i="55"/>
  <c r="BS74" i="36"/>
  <c r="BR73" i="36"/>
  <c r="BW70" i="36"/>
  <c r="BT70" i="36"/>
  <c r="BS70" i="36"/>
  <c r="G235" i="55"/>
  <c r="BW69" i="36"/>
  <c r="BT69" i="36"/>
  <c r="BS69" i="36"/>
  <c r="BR69" i="36"/>
  <c r="CL76" i="36"/>
  <c r="CO76" i="36"/>
  <c r="CM76" i="36"/>
  <c r="CJ76" i="36"/>
  <c r="CN76" i="36"/>
  <c r="CA76" i="36"/>
  <c r="CK76" i="36"/>
  <c r="P300" i="36"/>
  <c r="H373" i="36"/>
  <c r="T373" i="36" s="1"/>
  <c r="AE373" i="36" s="1"/>
  <c r="P372" i="36"/>
  <c r="P283" i="36"/>
  <c r="P378" i="36"/>
  <c r="O378" i="36" s="1"/>
  <c r="P229" i="36"/>
  <c r="P223" i="36"/>
  <c r="H229" i="36"/>
  <c r="M232" i="36" s="1"/>
  <c r="G222" i="36"/>
  <c r="T222" i="36" s="1"/>
  <c r="AD222" i="36" s="1"/>
  <c r="H223" i="36"/>
  <c r="F247" i="36"/>
  <c r="F201" i="36"/>
  <c r="O201" i="36" s="1"/>
  <c r="F250" i="36"/>
  <c r="O250" i="36" s="1"/>
  <c r="F348" i="36"/>
  <c r="F354" i="36"/>
  <c r="F199" i="36"/>
  <c r="F207" i="36"/>
  <c r="O207" i="36" s="1"/>
  <c r="F255" i="36"/>
  <c r="O255" i="36" s="1"/>
  <c r="F370" i="36"/>
  <c r="O370" i="36" s="1"/>
  <c r="F248" i="36"/>
  <c r="O248" i="36" s="1"/>
  <c r="F246" i="36"/>
  <c r="F205" i="36"/>
  <c r="F249" i="36"/>
  <c r="O249" i="36" s="1"/>
  <c r="F202" i="36"/>
  <c r="L202" i="36" s="1"/>
  <c r="U202" i="36" s="1"/>
  <c r="F208" i="36"/>
  <c r="O208" i="36" s="1"/>
  <c r="F256" i="36"/>
  <c r="O256" i="36" s="1"/>
  <c r="H379" i="36"/>
  <c r="P379" i="36"/>
  <c r="O379" i="36" s="1"/>
  <c r="P282" i="36"/>
  <c r="P9" i="36"/>
  <c r="N9" i="36"/>
  <c r="O9" i="36"/>
  <c r="AC11" i="36"/>
  <c r="AC14" i="36"/>
  <c r="AC19" i="36"/>
  <c r="AA27" i="36"/>
  <c r="Z18" i="36"/>
  <c r="AC15" i="36"/>
  <c r="AC18" i="36"/>
  <c r="AC20" i="36"/>
  <c r="AA11" i="36"/>
  <c r="AC16" i="36"/>
  <c r="AA18" i="36"/>
  <c r="AA22" i="36"/>
  <c r="AC26" i="36"/>
  <c r="AD26" i="36"/>
  <c r="Z10" i="36"/>
  <c r="AC12" i="36"/>
  <c r="AA19" i="36"/>
  <c r="AD22" i="36"/>
  <c r="AC28" i="36"/>
  <c r="Z14" i="36"/>
  <c r="AA23" i="36"/>
  <c r="AA14" i="36"/>
  <c r="N11" i="36" s="1"/>
  <c r="Z26" i="36"/>
  <c r="AC27" i="36"/>
  <c r="AA15" i="36"/>
  <c r="AC21" i="36"/>
  <c r="AC23" i="36"/>
  <c r="AC24" i="36"/>
  <c r="Z17" i="36"/>
  <c r="AD17" i="36"/>
  <c r="Z21" i="36"/>
  <c r="AD21" i="36"/>
  <c r="Z20" i="36"/>
  <c r="AD20" i="36"/>
  <c r="AA21" i="36"/>
  <c r="Z11" i="36"/>
  <c r="AA12" i="36"/>
  <c r="AC13" i="36"/>
  <c r="Z15" i="36"/>
  <c r="AA16" i="36"/>
  <c r="AC17" i="36"/>
  <c r="Z19" i="36"/>
  <c r="Z23" i="36"/>
  <c r="AA24" i="36"/>
  <c r="AC25" i="36"/>
  <c r="Z27" i="36"/>
  <c r="AA28" i="36"/>
  <c r="Z9" i="36"/>
  <c r="Z13" i="36"/>
  <c r="Z25" i="36"/>
  <c r="AD25" i="36"/>
  <c r="Z12" i="36"/>
  <c r="AD12" i="36" s="1"/>
  <c r="Z16" i="36"/>
  <c r="Z24" i="36"/>
  <c r="Z28" i="36"/>
  <c r="AD28" i="36" s="1"/>
  <c r="F369" i="36" l="1"/>
  <c r="O369" i="36" s="1"/>
  <c r="O331" i="36"/>
  <c r="O301" i="36"/>
  <c r="AA262" i="36"/>
  <c r="Z213" i="36"/>
  <c r="DW77" i="36"/>
  <c r="J297" i="36"/>
  <c r="R297" i="36" s="1"/>
  <c r="T372" i="36"/>
  <c r="AD372" i="36" s="1"/>
  <c r="M286" i="36"/>
  <c r="V286" i="36" s="1"/>
  <c r="AI286" i="36" s="1"/>
  <c r="O222" i="36"/>
  <c r="F214" i="36"/>
  <c r="O214" i="36" s="1"/>
  <c r="AAZ6" i="32"/>
  <c r="FC71" i="36"/>
  <c r="AA214" i="36"/>
  <c r="DW74" i="36"/>
  <c r="O229" i="36"/>
  <c r="O282" i="36"/>
  <c r="O294" i="36"/>
  <c r="O372" i="36"/>
  <c r="O330" i="36"/>
  <c r="O373" i="36"/>
  <c r="O300" i="36"/>
  <c r="O228" i="36"/>
  <c r="O223" i="36"/>
  <c r="O295" i="36"/>
  <c r="O283" i="36"/>
  <c r="L220" i="36"/>
  <c r="U220" i="36" s="1"/>
  <c r="L208" i="36"/>
  <c r="U208" i="36" s="1"/>
  <c r="GI71" i="36"/>
  <c r="AA358" i="36"/>
  <c r="ABE7" i="32"/>
  <c r="ABB7" i="32"/>
  <c r="GI74" i="36"/>
  <c r="F364" i="36"/>
  <c r="O364" i="36" s="1"/>
  <c r="N220" i="36"/>
  <c r="W220" i="36" s="1"/>
  <c r="AA352" i="36"/>
  <c r="ABD6" i="32"/>
  <c r="DW75" i="36"/>
  <c r="GI75" i="36"/>
  <c r="F346" i="36"/>
  <c r="O346" i="36" s="1"/>
  <c r="Z345" i="36"/>
  <c r="Z363" i="36"/>
  <c r="AAY6" i="32"/>
  <c r="F219" i="36"/>
  <c r="O219" i="36" s="1"/>
  <c r="N325" i="55"/>
  <c r="AD27" i="36"/>
  <c r="ABA5" i="32"/>
  <c r="N352" i="36"/>
  <c r="S352" i="36" s="1"/>
  <c r="ABB5" i="32"/>
  <c r="ABC5" i="32"/>
  <c r="DW73" i="36"/>
  <c r="AA346" i="36"/>
  <c r="L358" i="36"/>
  <c r="U358" i="36" s="1"/>
  <c r="N262" i="36"/>
  <c r="W262" i="36" s="1"/>
  <c r="S103" i="61"/>
  <c r="S96" i="61"/>
  <c r="GI69" i="36"/>
  <c r="AAW7" i="32"/>
  <c r="AA364" i="36"/>
  <c r="S102" i="61"/>
  <c r="AAX3" i="32"/>
  <c r="F252" i="36"/>
  <c r="EY74" i="36"/>
  <c r="FB74" i="36"/>
  <c r="EO74" i="36"/>
  <c r="FA74" i="36"/>
  <c r="EW74" i="36"/>
  <c r="ZJ6" i="32"/>
  <c r="E357" i="36"/>
  <c r="Z357" i="36" s="1"/>
  <c r="EZ74" i="36"/>
  <c r="EX74" i="36"/>
  <c r="EV74" i="36"/>
  <c r="FC77" i="36"/>
  <c r="ABE6" i="32"/>
  <c r="F213" i="36"/>
  <c r="O213" i="36" s="1"/>
  <c r="F345" i="36"/>
  <c r="O345" i="36" s="1"/>
  <c r="FC75" i="36"/>
  <c r="ABC6" i="32"/>
  <c r="ZE6" i="32"/>
  <c r="E261" i="36"/>
  <c r="Z261" i="36" s="1"/>
  <c r="ES69" i="36"/>
  <c r="EY69" i="36"/>
  <c r="EP69" i="36"/>
  <c r="EV69" i="36"/>
  <c r="EO69" i="36"/>
  <c r="EW69" i="36"/>
  <c r="EZ69" i="36"/>
  <c r="FB69" i="36"/>
  <c r="EX69" i="36"/>
  <c r="EN69" i="36"/>
  <c r="FA69" i="36"/>
  <c r="E351" i="36"/>
  <c r="Z351" i="36" s="1"/>
  <c r="EV73" i="36"/>
  <c r="EN73" i="36"/>
  <c r="EW73" i="36"/>
  <c r="EY73" i="36"/>
  <c r="ZI6" i="32"/>
  <c r="FB73" i="36"/>
  <c r="EX73" i="36"/>
  <c r="FA73" i="36"/>
  <c r="EZ73" i="36"/>
  <c r="S115" i="61"/>
  <c r="S112" i="61"/>
  <c r="S99" i="61"/>
  <c r="L352" i="36"/>
  <c r="U352" i="36" s="1"/>
  <c r="K201" i="36"/>
  <c r="S201" i="36" s="1"/>
  <c r="J267" i="36"/>
  <c r="R267" i="36" s="1"/>
  <c r="T264" i="36"/>
  <c r="AD264" i="36" s="1"/>
  <c r="T265" i="36"/>
  <c r="AE265" i="36" s="1"/>
  <c r="N208" i="36"/>
  <c r="S208" i="36" s="1"/>
  <c r="N358" i="36"/>
  <c r="W358" i="36" s="1"/>
  <c r="DW71" i="36"/>
  <c r="AAY5" i="32"/>
  <c r="F368" i="36"/>
  <c r="O368" i="36" s="1"/>
  <c r="DW72" i="36"/>
  <c r="AAZ5" i="32"/>
  <c r="I213" i="36"/>
  <c r="U213" i="36" s="1"/>
  <c r="F254" i="36"/>
  <c r="O254" i="36" s="1"/>
  <c r="DW70" i="36"/>
  <c r="AAX5" i="32"/>
  <c r="E259" i="36"/>
  <c r="ZE4" i="32"/>
  <c r="CP69" i="36"/>
  <c r="Q94" i="61"/>
  <c r="AAY4" i="32"/>
  <c r="CQ71" i="36"/>
  <c r="CQ76" i="36"/>
  <c r="ABD4" i="32"/>
  <c r="E253" i="36"/>
  <c r="CP70" i="36"/>
  <c r="ZF4" i="32"/>
  <c r="Q97" i="61"/>
  <c r="E355" i="36"/>
  <c r="CP74" i="36"/>
  <c r="ZJ4" i="32"/>
  <c r="Q109" i="61"/>
  <c r="CQ77" i="36"/>
  <c r="ABE4" i="32"/>
  <c r="E349" i="36"/>
  <c r="CP73" i="36"/>
  <c r="ZI4" i="32"/>
  <c r="Q106" i="61"/>
  <c r="N286" i="55"/>
  <c r="S118" i="61"/>
  <c r="F367" i="36"/>
  <c r="CQ72" i="36"/>
  <c r="AAZ4" i="32"/>
  <c r="ABC4" i="32"/>
  <c r="CQ75" i="36"/>
  <c r="AAW3" i="32"/>
  <c r="BK69" i="36"/>
  <c r="AAZ3" i="32"/>
  <c r="BK72" i="36"/>
  <c r="BK71" i="36"/>
  <c r="AAY3" i="32"/>
  <c r="M268" i="36"/>
  <c r="R268" i="36" s="1"/>
  <c r="T295" i="36"/>
  <c r="AE295" i="36" s="1"/>
  <c r="S93" i="61"/>
  <c r="N319" i="55"/>
  <c r="J325" i="55"/>
  <c r="M292" i="36"/>
  <c r="V292" i="36" s="1"/>
  <c r="AI292" i="36" s="1"/>
  <c r="J291" i="36"/>
  <c r="V291" i="36" s="1"/>
  <c r="AH291" i="36" s="1"/>
  <c r="J273" i="36"/>
  <c r="V273" i="36" s="1"/>
  <c r="AH273" i="36" s="1"/>
  <c r="M274" i="36"/>
  <c r="R274" i="36" s="1"/>
  <c r="T270" i="36"/>
  <c r="AD270" i="36" s="1"/>
  <c r="J324" i="55" s="1"/>
  <c r="J292" i="55"/>
  <c r="I201" i="36"/>
  <c r="U201" i="36" s="1"/>
  <c r="N202" i="36"/>
  <c r="O202" i="36" s="1"/>
  <c r="AA256" i="36"/>
  <c r="Z369" i="36"/>
  <c r="F362" i="36"/>
  <c r="O362" i="36" s="1"/>
  <c r="K249" i="36"/>
  <c r="S249" i="36" s="1"/>
  <c r="N250" i="36"/>
  <c r="S250" i="36" s="1"/>
  <c r="L250" i="36"/>
  <c r="U250" i="36" s="1"/>
  <c r="M340" i="36"/>
  <c r="R340" i="36" s="1"/>
  <c r="J309" i="36"/>
  <c r="Q309" i="36" s="1"/>
  <c r="J294" i="55"/>
  <c r="J279" i="36"/>
  <c r="Q279" i="36" s="1"/>
  <c r="J296" i="55"/>
  <c r="J315" i="36"/>
  <c r="Q315" i="36" s="1"/>
  <c r="M316" i="36"/>
  <c r="V316" i="36" s="1"/>
  <c r="AI316" i="36" s="1"/>
  <c r="R240" i="55"/>
  <c r="N324" i="55"/>
  <c r="M244" i="36"/>
  <c r="R244" i="36" s="1"/>
  <c r="T336" i="36"/>
  <c r="AD336" i="36" s="1"/>
  <c r="J320" i="55" s="1"/>
  <c r="J339" i="36"/>
  <c r="R339" i="36" s="1"/>
  <c r="J300" i="55"/>
  <c r="J299" i="55"/>
  <c r="J319" i="55"/>
  <c r="T331" i="36"/>
  <c r="AE331" i="36" s="1"/>
  <c r="N317" i="55"/>
  <c r="L262" i="36"/>
  <c r="U262" i="36" s="1"/>
  <c r="T319" i="36"/>
  <c r="AE319" i="36" s="1"/>
  <c r="T324" i="36"/>
  <c r="AD324" i="36" s="1"/>
  <c r="J321" i="55" s="1"/>
  <c r="I249" i="36"/>
  <c r="U249" i="36" s="1"/>
  <c r="K207" i="36"/>
  <c r="S207" i="36" s="1"/>
  <c r="N318" i="55"/>
  <c r="I207" i="36"/>
  <c r="J327" i="36"/>
  <c r="Q327" i="36" s="1"/>
  <c r="M388" i="36"/>
  <c r="Q388" i="36" s="1"/>
  <c r="M238" i="36"/>
  <c r="V238" i="36" s="1"/>
  <c r="AI238" i="36" s="1"/>
  <c r="J333" i="36"/>
  <c r="R333" i="36" s="1"/>
  <c r="T228" i="36"/>
  <c r="AD228" i="36" s="1"/>
  <c r="T229" i="36"/>
  <c r="AE229" i="36" s="1"/>
  <c r="M310" i="36"/>
  <c r="V310" i="36" s="1"/>
  <c r="AI310" i="36" s="1"/>
  <c r="T240" i="36"/>
  <c r="AD240" i="36" s="1"/>
  <c r="J322" i="55" s="1"/>
  <c r="J321" i="36"/>
  <c r="R321" i="36" s="1"/>
  <c r="M328" i="36"/>
  <c r="R328" i="36" s="1"/>
  <c r="J243" i="36"/>
  <c r="Q243" i="36" s="1"/>
  <c r="T234" i="36"/>
  <c r="AD234" i="36" s="1"/>
  <c r="J318" i="55" s="1"/>
  <c r="T300" i="36"/>
  <c r="AD300" i="36" s="1"/>
  <c r="J323" i="55" s="1"/>
  <c r="T378" i="36"/>
  <c r="AD378" i="36" s="1"/>
  <c r="T318" i="36"/>
  <c r="AD318" i="36" s="1"/>
  <c r="N321" i="55"/>
  <c r="AD16" i="36"/>
  <c r="AD14" i="36"/>
  <c r="J237" i="36"/>
  <c r="R237" i="36" s="1"/>
  <c r="T384" i="36"/>
  <c r="AD384" i="36" s="1"/>
  <c r="J286" i="55" s="1"/>
  <c r="T282" i="36"/>
  <c r="AD282" i="36" s="1"/>
  <c r="J293" i="55" s="1"/>
  <c r="M304" i="36"/>
  <c r="Q304" i="36" s="1"/>
  <c r="J387" i="36"/>
  <c r="R387" i="36" s="1"/>
  <c r="M280" i="36"/>
  <c r="R280" i="36" s="1"/>
  <c r="AD11" i="36"/>
  <c r="F366" i="36"/>
  <c r="J225" i="36"/>
  <c r="R225" i="36" s="1"/>
  <c r="CK73" i="36"/>
  <c r="CO73" i="36"/>
  <c r="CB73" i="36"/>
  <c r="CJ73" i="36"/>
  <c r="CL73" i="36"/>
  <c r="CM73" i="36"/>
  <c r="CN73" i="36"/>
  <c r="CG69" i="36"/>
  <c r="CD69" i="36"/>
  <c r="CN69" i="36"/>
  <c r="CO69" i="36"/>
  <c r="CJ69" i="36"/>
  <c r="CC69" i="36"/>
  <c r="CK69" i="36"/>
  <c r="CM69" i="36"/>
  <c r="CB69" i="36"/>
  <c r="CL69" i="36"/>
  <c r="F217" i="36"/>
  <c r="CM74" i="36"/>
  <c r="CL74" i="36"/>
  <c r="CC74" i="36"/>
  <c r="CK74" i="36"/>
  <c r="CO74" i="36"/>
  <c r="CN74" i="36"/>
  <c r="CJ74" i="36"/>
  <c r="F211" i="36"/>
  <c r="CD70" i="36"/>
  <c r="CO70" i="36"/>
  <c r="CC70" i="36"/>
  <c r="CN70" i="36"/>
  <c r="CJ70" i="36"/>
  <c r="CG70" i="36"/>
  <c r="CK70" i="36"/>
  <c r="CL70" i="36"/>
  <c r="CM70" i="36"/>
  <c r="P12" i="36"/>
  <c r="O12" i="36"/>
  <c r="N12" i="36"/>
  <c r="L12" i="36"/>
  <c r="K12" i="36"/>
  <c r="M12" i="36"/>
  <c r="AD15" i="36"/>
  <c r="O11" i="36"/>
  <c r="P11" i="36"/>
  <c r="K11" i="36"/>
  <c r="M11" i="36"/>
  <c r="L11" i="36"/>
  <c r="AD13" i="36"/>
  <c r="P10" i="36"/>
  <c r="O10" i="36"/>
  <c r="N10" i="36"/>
  <c r="M376" i="36"/>
  <c r="V376" i="36" s="1"/>
  <c r="AI376" i="36" s="1"/>
  <c r="T379" i="36"/>
  <c r="AE379" i="36" s="1"/>
  <c r="M382" i="36"/>
  <c r="R382" i="36" s="1"/>
  <c r="T223" i="36"/>
  <c r="AE223" i="36" s="1"/>
  <c r="J287" i="55" s="1"/>
  <c r="M226" i="36"/>
  <c r="R226" i="36" s="1"/>
  <c r="Q303" i="36"/>
  <c r="V303" i="36"/>
  <c r="AH303" i="36" s="1"/>
  <c r="R303" i="36"/>
  <c r="Q297" i="36"/>
  <c r="AF297" i="36" s="1"/>
  <c r="R232" i="36"/>
  <c r="Q232" i="36"/>
  <c r="V232" i="36"/>
  <c r="AI232" i="36" s="1"/>
  <c r="Q322" i="36"/>
  <c r="R322" i="36"/>
  <c r="V322" i="36"/>
  <c r="AI322" i="36" s="1"/>
  <c r="Q334" i="36"/>
  <c r="R334" i="36"/>
  <c r="V334" i="36"/>
  <c r="AI334" i="36" s="1"/>
  <c r="R381" i="36"/>
  <c r="Q381" i="36"/>
  <c r="V381" i="36"/>
  <c r="AH381" i="36" s="1"/>
  <c r="R375" i="36"/>
  <c r="Q375" i="36"/>
  <c r="V375" i="36"/>
  <c r="AH375" i="36" s="1"/>
  <c r="V285" i="36"/>
  <c r="AH285" i="36" s="1"/>
  <c r="R285" i="36"/>
  <c r="Q285" i="36"/>
  <c r="Q298" i="36"/>
  <c r="V298" i="36"/>
  <c r="AI298" i="36" s="1"/>
  <c r="R298" i="36"/>
  <c r="R231" i="36"/>
  <c r="Q231" i="36"/>
  <c r="V231" i="36"/>
  <c r="AH231" i="36" s="1"/>
  <c r="L10" i="36"/>
  <c r="K10" i="36"/>
  <c r="M10" i="36"/>
  <c r="L9" i="36"/>
  <c r="K9" i="36"/>
  <c r="M9" i="36"/>
  <c r="AD10" i="36"/>
  <c r="AC9" i="36"/>
  <c r="AA48" i="36"/>
  <c r="Y48" i="36"/>
  <c r="AB48" i="36"/>
  <c r="Z48" i="36"/>
  <c r="AB50" i="36"/>
  <c r="Z50" i="36"/>
  <c r="AA50" i="36"/>
  <c r="Y50" i="36"/>
  <c r="AB57" i="36"/>
  <c r="AA57" i="36"/>
  <c r="Y57" i="36"/>
  <c r="Z57" i="36"/>
  <c r="AB58" i="36"/>
  <c r="Z58" i="36"/>
  <c r="AA58" i="36"/>
  <c r="Y58" i="36"/>
  <c r="Z79" i="36"/>
  <c r="AA79" i="36"/>
  <c r="Y79" i="36"/>
  <c r="AB59" i="36"/>
  <c r="Z59" i="36"/>
  <c r="AA59" i="36"/>
  <c r="Y59" i="36"/>
  <c r="AG298" i="36" l="1"/>
  <c r="N304" i="55"/>
  <c r="U207" i="36"/>
  <c r="AF285" i="36"/>
  <c r="AF375" i="36"/>
  <c r="AG232" i="36"/>
  <c r="AG322" i="36"/>
  <c r="AF303" i="36"/>
  <c r="AF231" i="36"/>
  <c r="AF381" i="36"/>
  <c r="AG334" i="36"/>
  <c r="L214" i="36"/>
  <c r="U214" i="36" s="1"/>
  <c r="N214" i="36"/>
  <c r="W214" i="36" s="1"/>
  <c r="V297" i="36"/>
  <c r="AH297" i="36" s="1"/>
  <c r="R286" i="36"/>
  <c r="Q286" i="36"/>
  <c r="N346" i="36"/>
  <c r="W346" i="36" s="1"/>
  <c r="L346" i="36"/>
  <c r="U346" i="36" s="1"/>
  <c r="W352" i="36"/>
  <c r="S220" i="36"/>
  <c r="I219" i="36"/>
  <c r="U219" i="36" s="1"/>
  <c r="K219" i="36"/>
  <c r="S262" i="36"/>
  <c r="K213" i="36"/>
  <c r="W213" i="36" s="1"/>
  <c r="K255" i="36"/>
  <c r="W255" i="36" s="1"/>
  <c r="L370" i="36"/>
  <c r="U370" i="36" s="1"/>
  <c r="S97" i="61"/>
  <c r="R192" i="55"/>
  <c r="FC69" i="36"/>
  <c r="F261" i="36"/>
  <c r="O261" i="36" s="1"/>
  <c r="AAW6" i="32"/>
  <c r="K345" i="36"/>
  <c r="I345" i="36"/>
  <c r="ABA6" i="32"/>
  <c r="FC73" i="36"/>
  <c r="F351" i="36"/>
  <c r="O351" i="36" s="1"/>
  <c r="FC74" i="36"/>
  <c r="F357" i="36"/>
  <c r="O357" i="36" s="1"/>
  <c r="ABB6" i="32"/>
  <c r="Q291" i="36"/>
  <c r="N370" i="36"/>
  <c r="S370" i="36" s="1"/>
  <c r="I255" i="36"/>
  <c r="U255" i="36" s="1"/>
  <c r="W201" i="36"/>
  <c r="K369" i="36"/>
  <c r="W369" i="36" s="1"/>
  <c r="Q267" i="36"/>
  <c r="AF267" i="36" s="1"/>
  <c r="V267" i="36"/>
  <c r="AH267" i="36" s="1"/>
  <c r="W208" i="36"/>
  <c r="W249" i="36"/>
  <c r="Q292" i="36"/>
  <c r="R292" i="36"/>
  <c r="Q268" i="36"/>
  <c r="AG268" i="36" s="1"/>
  <c r="S358" i="36"/>
  <c r="I369" i="36"/>
  <c r="L256" i="36"/>
  <c r="U256" i="36" s="1"/>
  <c r="N256" i="36"/>
  <c r="S256" i="36" s="1"/>
  <c r="CQ73" i="36"/>
  <c r="ABA4" i="32"/>
  <c r="V268" i="36"/>
  <c r="AI268" i="36" s="1"/>
  <c r="CQ70" i="36"/>
  <c r="AAX4" i="32"/>
  <c r="S109" i="61"/>
  <c r="CQ74" i="36"/>
  <c r="ABB4" i="32"/>
  <c r="CQ69" i="36"/>
  <c r="AAW4" i="32"/>
  <c r="S94" i="61"/>
  <c r="S106" i="61"/>
  <c r="V340" i="36"/>
  <c r="AI340" i="36" s="1"/>
  <c r="Q340" i="36"/>
  <c r="AG340" i="36" s="1"/>
  <c r="R291" i="36"/>
  <c r="N320" i="55"/>
  <c r="Q274" i="36"/>
  <c r="AG274" i="36" s="1"/>
  <c r="Q273" i="36"/>
  <c r="V274" i="36"/>
  <c r="AI274" i="36" s="1"/>
  <c r="R324" i="55" s="1"/>
  <c r="R273" i="36"/>
  <c r="S124" i="61"/>
  <c r="J295" i="55"/>
  <c r="S53" i="61"/>
  <c r="S56" i="61"/>
  <c r="S50" i="61"/>
  <c r="J289" i="55"/>
  <c r="K187" i="55"/>
  <c r="R300" i="55"/>
  <c r="S202" i="36"/>
  <c r="R235" i="55"/>
  <c r="W202" i="36"/>
  <c r="N322" i="55"/>
  <c r="W250" i="36"/>
  <c r="N364" i="36"/>
  <c r="S364" i="36" s="1"/>
  <c r="L364" i="36"/>
  <c r="U364" i="36" s="1"/>
  <c r="I363" i="36"/>
  <c r="U363" i="36" s="1"/>
  <c r="K363" i="36"/>
  <c r="S363" i="36" s="1"/>
  <c r="W207" i="36"/>
  <c r="R325" i="55"/>
  <c r="Q244" i="36"/>
  <c r="AG244" i="36" s="1"/>
  <c r="R309" i="36"/>
  <c r="AF309" i="36" s="1"/>
  <c r="V244" i="36"/>
  <c r="AI244" i="36" s="1"/>
  <c r="V309" i="36"/>
  <c r="AH309" i="36" s="1"/>
  <c r="R292" i="55" s="1"/>
  <c r="R388" i="36"/>
  <c r="AG388" i="36" s="1"/>
  <c r="Q328" i="36"/>
  <c r="AG328" i="36" s="1"/>
  <c r="Q316" i="36"/>
  <c r="R316" i="36"/>
  <c r="V388" i="36"/>
  <c r="AI388" i="36" s="1"/>
  <c r="R279" i="36"/>
  <c r="AF279" i="36" s="1"/>
  <c r="V328" i="36"/>
  <c r="AI328" i="36" s="1"/>
  <c r="Q339" i="36"/>
  <c r="AF339" i="36" s="1"/>
  <c r="V279" i="36"/>
  <c r="AH279" i="36" s="1"/>
  <c r="V339" i="36"/>
  <c r="AH339" i="36" s="1"/>
  <c r="V243" i="36"/>
  <c r="AH243" i="36" s="1"/>
  <c r="R238" i="36"/>
  <c r="R216" i="55"/>
  <c r="J288" i="55"/>
  <c r="R288" i="55" s="1"/>
  <c r="V315" i="36"/>
  <c r="AH315" i="36" s="1"/>
  <c r="R299" i="55" s="1"/>
  <c r="R315" i="36"/>
  <c r="AF315" i="36" s="1"/>
  <c r="Q238" i="36"/>
  <c r="V321" i="36"/>
  <c r="AH321" i="36" s="1"/>
  <c r="K240" i="55"/>
  <c r="V327" i="36"/>
  <c r="AH327" i="36" s="1"/>
  <c r="Q333" i="36"/>
  <c r="AF333" i="36" s="1"/>
  <c r="Q321" i="36"/>
  <c r="AF321" i="36" s="1"/>
  <c r="J317" i="55"/>
  <c r="V333" i="36"/>
  <c r="AH333" i="36" s="1"/>
  <c r="R327" i="36"/>
  <c r="AF327" i="36" s="1"/>
  <c r="Q280" i="36"/>
  <c r="AG280" i="36" s="1"/>
  <c r="N314" i="55"/>
  <c r="V237" i="36"/>
  <c r="AH237" i="36" s="1"/>
  <c r="R318" i="55" s="1"/>
  <c r="Q310" i="36"/>
  <c r="V280" i="36"/>
  <c r="AI280" i="36" s="1"/>
  <c r="R310" i="36"/>
  <c r="R243" i="36"/>
  <c r="AF243" i="36" s="1"/>
  <c r="R304" i="36"/>
  <c r="AG304" i="36" s="1"/>
  <c r="K235" i="55"/>
  <c r="Q237" i="36"/>
  <c r="AF237" i="36" s="1"/>
  <c r="Q387" i="36"/>
  <c r="AF387" i="36" s="1"/>
  <c r="V304" i="36"/>
  <c r="AI304" i="36" s="1"/>
  <c r="R323" i="55" s="1"/>
  <c r="V387" i="36"/>
  <c r="AH387" i="36" s="1"/>
  <c r="S228" i="61"/>
  <c r="S236" i="61"/>
  <c r="R294" i="55"/>
  <c r="R293" i="55"/>
  <c r="Q225" i="36"/>
  <c r="AF225" i="36" s="1"/>
  <c r="V382" i="36"/>
  <c r="AI382" i="36" s="1"/>
  <c r="Q376" i="36"/>
  <c r="R376" i="36"/>
  <c r="V225" i="36"/>
  <c r="AH225" i="36" s="1"/>
  <c r="F259" i="36"/>
  <c r="F253" i="36"/>
  <c r="F349" i="36"/>
  <c r="F355" i="36"/>
  <c r="Q382" i="36"/>
  <c r="AG382" i="36" s="1"/>
  <c r="V226" i="36"/>
  <c r="AI226" i="36" s="1"/>
  <c r="Q226" i="36"/>
  <c r="AG226" i="36" s="1"/>
  <c r="AD9" i="36"/>
  <c r="B26" i="36"/>
  <c r="B27" i="36"/>
  <c r="B28" i="36"/>
  <c r="B35" i="36"/>
  <c r="G75" i="36" s="1"/>
  <c r="B29" i="36"/>
  <c r="B33" i="36"/>
  <c r="E76" i="36" s="1"/>
  <c r="B34" i="36"/>
  <c r="E77" i="36" s="1"/>
  <c r="B32" i="36"/>
  <c r="S214" i="36" l="1"/>
  <c r="AG316" i="36"/>
  <c r="AG292" i="36"/>
  <c r="N311" i="55"/>
  <c r="U345" i="36"/>
  <c r="N308" i="55"/>
  <c r="U369" i="36"/>
  <c r="AG376" i="36"/>
  <c r="AG286" i="36"/>
  <c r="AG238" i="36"/>
  <c r="AF273" i="36"/>
  <c r="AG310" i="36"/>
  <c r="AF291" i="36"/>
  <c r="S346" i="36"/>
  <c r="W219" i="36"/>
  <c r="S219" i="36"/>
  <c r="S213" i="36"/>
  <c r="Y187" i="55"/>
  <c r="R319" i="55"/>
  <c r="S255" i="36"/>
  <c r="R296" i="55"/>
  <c r="R287" i="55"/>
  <c r="N306" i="55"/>
  <c r="I357" i="36"/>
  <c r="K357" i="36"/>
  <c r="I261" i="36"/>
  <c r="U261" i="36" s="1"/>
  <c r="K261" i="36"/>
  <c r="I351" i="36"/>
  <c r="K351" i="36"/>
  <c r="W345" i="36"/>
  <c r="S345" i="36"/>
  <c r="W370" i="36"/>
  <c r="S369" i="36"/>
  <c r="W256" i="36"/>
  <c r="AD75" i="36"/>
  <c r="ZK2" i="32"/>
  <c r="ZL2" i="32"/>
  <c r="AD76" i="36"/>
  <c r="AD77" i="36"/>
  <c r="ZM2" i="32"/>
  <c r="R320" i="55"/>
  <c r="R295" i="55"/>
  <c r="E209" i="36"/>
  <c r="Q116" i="61"/>
  <c r="E215" i="36"/>
  <c r="Q113" i="61"/>
  <c r="E341" i="36"/>
  <c r="Q110" i="61"/>
  <c r="R289" i="55"/>
  <c r="R322" i="55"/>
  <c r="N307" i="55"/>
  <c r="W364" i="36"/>
  <c r="W363" i="36"/>
  <c r="R286" i="55"/>
  <c r="R321" i="55"/>
  <c r="Y240" i="55"/>
  <c r="R317" i="55"/>
  <c r="Y235" i="55"/>
  <c r="K78" i="36"/>
  <c r="G78" i="36"/>
  <c r="AC77" i="36"/>
  <c r="O77" i="36"/>
  <c r="X77" i="36"/>
  <c r="H69" i="36"/>
  <c r="F69" i="36"/>
  <c r="K69" i="36"/>
  <c r="G69" i="36"/>
  <c r="AC76" i="36"/>
  <c r="O76" i="36"/>
  <c r="X76" i="36"/>
  <c r="G70" i="36"/>
  <c r="K70" i="36"/>
  <c r="H70" i="36"/>
  <c r="I68" i="36"/>
  <c r="X68" i="36" s="1"/>
  <c r="J67" i="36"/>
  <c r="X67" i="36" s="1"/>
  <c r="F73" i="36"/>
  <c r="G74" i="36"/>
  <c r="AC75" i="36"/>
  <c r="Q75" i="36"/>
  <c r="X75" i="36"/>
  <c r="Y76" i="36"/>
  <c r="AA76" i="36"/>
  <c r="Z76" i="36"/>
  <c r="Y75" i="36"/>
  <c r="AB75" i="36"/>
  <c r="Z75" i="36"/>
  <c r="Y77" i="36"/>
  <c r="AB77" i="36"/>
  <c r="AA77" i="36"/>
  <c r="B31" i="36"/>
  <c r="K72" i="36" s="1"/>
  <c r="B30" i="36"/>
  <c r="K71" i="36" s="1"/>
  <c r="N310" i="55" l="1"/>
  <c r="U357" i="36"/>
  <c r="N309" i="55"/>
  <c r="U351" i="36"/>
  <c r="W261" i="36"/>
  <c r="S261" i="36"/>
  <c r="W357" i="36"/>
  <c r="S357" i="36"/>
  <c r="W351" i="36"/>
  <c r="S351" i="36"/>
  <c r="AD74" i="36"/>
  <c r="ZJ2" i="32"/>
  <c r="AE76" i="36"/>
  <c r="ABD2" i="32"/>
  <c r="AD73" i="36"/>
  <c r="ZI2" i="32"/>
  <c r="AD71" i="36"/>
  <c r="ZG2" i="32"/>
  <c r="AE75" i="36"/>
  <c r="ABC2" i="32"/>
  <c r="AB67" i="36"/>
  <c r="AD67" i="36"/>
  <c r="Z67" i="36"/>
  <c r="ZC2" i="32"/>
  <c r="AD70" i="36"/>
  <c r="ZF2" i="32"/>
  <c r="AD69" i="36"/>
  <c r="ZE2" i="32"/>
  <c r="AD78" i="36"/>
  <c r="ZN2" i="32"/>
  <c r="ZH2" i="32"/>
  <c r="AD72" i="36"/>
  <c r="ZD2" i="32"/>
  <c r="AB68" i="36"/>
  <c r="Z68" i="36"/>
  <c r="AD68" i="36"/>
  <c r="ABE2" i="32"/>
  <c r="AE77" i="36"/>
  <c r="E245" i="36"/>
  <c r="Q119" i="61"/>
  <c r="E197" i="36"/>
  <c r="Q86" i="61"/>
  <c r="E203" i="36"/>
  <c r="Q89" i="61"/>
  <c r="E365" i="36"/>
  <c r="Q101" i="61"/>
  <c r="E353" i="36"/>
  <c r="Q107" i="61"/>
  <c r="E257" i="36"/>
  <c r="Q92" i="61"/>
  <c r="E347" i="36"/>
  <c r="Q104" i="61"/>
  <c r="E359" i="36"/>
  <c r="Q98" i="61"/>
  <c r="E251" i="36"/>
  <c r="Q95" i="61"/>
  <c r="F341" i="36"/>
  <c r="X216" i="36"/>
  <c r="AB219" i="36" s="1"/>
  <c r="Y217" i="36"/>
  <c r="AC220" i="36" s="1"/>
  <c r="F209" i="36"/>
  <c r="F215" i="36"/>
  <c r="Y343" i="36"/>
  <c r="AC346" i="36" s="1"/>
  <c r="X342" i="36"/>
  <c r="AB345" i="36" s="1"/>
  <c r="X210" i="36"/>
  <c r="AB213" i="36" s="1"/>
  <c r="Y211" i="36"/>
  <c r="AC214" i="36" s="1"/>
  <c r="S68" i="36"/>
  <c r="AC68" i="36"/>
  <c r="AC74" i="36"/>
  <c r="Q74" i="36"/>
  <c r="X74" i="36"/>
  <c r="AC69" i="36"/>
  <c r="Q69" i="36"/>
  <c r="U69" i="36"/>
  <c r="R69" i="36"/>
  <c r="X69" i="36"/>
  <c r="P69" i="36"/>
  <c r="AC71" i="36"/>
  <c r="U71" i="36"/>
  <c r="X71" i="36"/>
  <c r="AC73" i="36"/>
  <c r="P73" i="36"/>
  <c r="X73" i="36"/>
  <c r="U78" i="36"/>
  <c r="AC78" i="36"/>
  <c r="X78" i="36"/>
  <c r="Q78" i="36"/>
  <c r="AC72" i="36"/>
  <c r="U72" i="36"/>
  <c r="X72" i="36"/>
  <c r="T67" i="36"/>
  <c r="AC67" i="36"/>
  <c r="AC70" i="36"/>
  <c r="Q70" i="36"/>
  <c r="U70" i="36"/>
  <c r="R70" i="36"/>
  <c r="X70" i="36"/>
  <c r="Z77" i="36"/>
  <c r="S116" i="61" s="1"/>
  <c r="AA72" i="36"/>
  <c r="AA75" i="36"/>
  <c r="S110" i="61" s="1"/>
  <c r="AB76" i="36"/>
  <c r="S113" i="61" s="1"/>
  <c r="Z71" i="36"/>
  <c r="Y71" i="36"/>
  <c r="AB71" i="36"/>
  <c r="AA71" i="36"/>
  <c r="AB70" i="36"/>
  <c r="AA70" i="36"/>
  <c r="Y70" i="36"/>
  <c r="Z70" i="36"/>
  <c r="Y78" i="36"/>
  <c r="Z78" i="36"/>
  <c r="AB78" i="36"/>
  <c r="AA78" i="36"/>
  <c r="Z72" i="36"/>
  <c r="Y72" i="36"/>
  <c r="AB72" i="36"/>
  <c r="AB69" i="36"/>
  <c r="Y69" i="36"/>
  <c r="Z69" i="36"/>
  <c r="AA69" i="36"/>
  <c r="Z73" i="36"/>
  <c r="AA73" i="36"/>
  <c r="Y73" i="36"/>
  <c r="AB73" i="36"/>
  <c r="Y74" i="36"/>
  <c r="AA74" i="36"/>
  <c r="AB74" i="36"/>
  <c r="Z74" i="36"/>
  <c r="O209" i="36" l="1"/>
  <c r="O215" i="36"/>
  <c r="O341" i="36"/>
  <c r="AE71" i="36"/>
  <c r="AAY2" i="32"/>
  <c r="AE68" i="36"/>
  <c r="AAV2" i="32"/>
  <c r="ABA2" i="32"/>
  <c r="AE73" i="36"/>
  <c r="AE72" i="36"/>
  <c r="AAZ2" i="32"/>
  <c r="AAW2" i="32"/>
  <c r="AE69" i="36"/>
  <c r="AE67" i="36"/>
  <c r="AAU2" i="32"/>
  <c r="AE78" i="36"/>
  <c r="ABF2" i="32"/>
  <c r="AAX2" i="32"/>
  <c r="AE70" i="36"/>
  <c r="ABB2" i="32"/>
  <c r="AE74" i="36"/>
  <c r="S86" i="61"/>
  <c r="S89" i="61"/>
  <c r="S119" i="61"/>
  <c r="S101" i="61"/>
  <c r="S95" i="61"/>
  <c r="S98" i="61"/>
  <c r="S92" i="61"/>
  <c r="S104" i="61"/>
  <c r="S107" i="61"/>
  <c r="G192" i="55"/>
  <c r="P217" i="36"/>
  <c r="P342" i="36"/>
  <c r="P216" i="36"/>
  <c r="G216" i="36"/>
  <c r="J219" i="36" s="1"/>
  <c r="H211" i="36"/>
  <c r="T211" i="36" s="1"/>
  <c r="AE211" i="36" s="1"/>
  <c r="G210" i="36"/>
  <c r="J213" i="36" s="1"/>
  <c r="G342" i="36"/>
  <c r="T342" i="36" s="1"/>
  <c r="AD342" i="36" s="1"/>
  <c r="P211" i="36"/>
  <c r="P343" i="36"/>
  <c r="P210" i="36"/>
  <c r="O210" i="36" s="1"/>
  <c r="H343" i="36"/>
  <c r="M346" i="36" s="1"/>
  <c r="H217" i="36"/>
  <c r="T217" i="36" s="1"/>
  <c r="AE217" i="36" s="1"/>
  <c r="F251" i="36"/>
  <c r="F197" i="36"/>
  <c r="F245" i="36"/>
  <c r="F359" i="36"/>
  <c r="X366" i="36"/>
  <c r="AB369" i="36" s="1"/>
  <c r="Y367" i="36"/>
  <c r="AC370" i="36" s="1"/>
  <c r="X252" i="36"/>
  <c r="AB255" i="36" s="1"/>
  <c r="Y253" i="36"/>
  <c r="AC256" i="36" s="1"/>
  <c r="X246" i="36"/>
  <c r="AB249" i="36" s="1"/>
  <c r="Y247" i="36"/>
  <c r="AC250" i="36" s="1"/>
  <c r="F347" i="36"/>
  <c r="F353" i="36"/>
  <c r="F203" i="36"/>
  <c r="F365" i="36"/>
  <c r="F257" i="36"/>
  <c r="Y259" i="36"/>
  <c r="AC262" i="36" s="1"/>
  <c r="X258" i="36"/>
  <c r="AB261" i="36" s="1"/>
  <c r="Y355" i="36"/>
  <c r="AC358" i="36" s="1"/>
  <c r="X354" i="36"/>
  <c r="AB357" i="36" s="1"/>
  <c r="X204" i="36"/>
  <c r="AB207" i="36" s="1"/>
  <c r="Y205" i="36"/>
  <c r="AC208" i="36" s="1"/>
  <c r="X198" i="36"/>
  <c r="AB201" i="36" s="1"/>
  <c r="Y199" i="36"/>
  <c r="AC202" i="36" s="1"/>
  <c r="Y361" i="36"/>
  <c r="AC364" i="36" s="1"/>
  <c r="X360" i="36"/>
  <c r="AB363" i="36" s="1"/>
  <c r="X348" i="36"/>
  <c r="AB351" i="36" s="1"/>
  <c r="Y349" i="36"/>
  <c r="AC352" i="36" s="1"/>
  <c r="O343" i="36" l="1"/>
  <c r="O217" i="36"/>
  <c r="O216" i="36"/>
  <c r="O203" i="36"/>
  <c r="O251" i="36"/>
  <c r="O353" i="36"/>
  <c r="O359" i="36"/>
  <c r="O257" i="36"/>
  <c r="O347" i="36"/>
  <c r="O245" i="36"/>
  <c r="O342" i="36"/>
  <c r="O365" i="36"/>
  <c r="O211" i="36"/>
  <c r="T216" i="36"/>
  <c r="AD216" i="36" s="1"/>
  <c r="G247" i="55"/>
  <c r="G348" i="36"/>
  <c r="J351" i="36" s="1"/>
  <c r="P367" i="36"/>
  <c r="P354" i="36"/>
  <c r="P246" i="36"/>
  <c r="G258" i="36"/>
  <c r="H361" i="36"/>
  <c r="T361" i="36" s="1"/>
  <c r="AE361" i="36" s="1"/>
  <c r="G198" i="36"/>
  <c r="T198" i="36" s="1"/>
  <c r="AD198" i="36" s="1"/>
  <c r="O197" i="36"/>
  <c r="P253" i="36"/>
  <c r="P247" i="36"/>
  <c r="G221" i="55"/>
  <c r="M214" i="36"/>
  <c r="Q214" i="36" s="1"/>
  <c r="P252" i="36"/>
  <c r="P355" i="36"/>
  <c r="H367" i="36"/>
  <c r="M370" i="36" s="1"/>
  <c r="T210" i="36"/>
  <c r="AD210" i="36" s="1"/>
  <c r="J345" i="36"/>
  <c r="V345" i="36" s="1"/>
  <c r="AH345" i="36" s="1"/>
  <c r="T343" i="36"/>
  <c r="AE343" i="36" s="1"/>
  <c r="J311" i="55" s="1"/>
  <c r="G252" i="36"/>
  <c r="T252" i="36" s="1"/>
  <c r="AD252" i="36" s="1"/>
  <c r="P366" i="36"/>
  <c r="G354" i="36"/>
  <c r="T354" i="36" s="1"/>
  <c r="AD354" i="36" s="1"/>
  <c r="H355" i="36"/>
  <c r="M358" i="36" s="1"/>
  <c r="G366" i="36"/>
  <c r="J369" i="36" s="1"/>
  <c r="M220" i="36"/>
  <c r="V220" i="36" s="1"/>
  <c r="AI220" i="36" s="1"/>
  <c r="H253" i="36"/>
  <c r="T253" i="36" s="1"/>
  <c r="AE253" i="36" s="1"/>
  <c r="H247" i="36"/>
  <c r="M250" i="36" s="1"/>
  <c r="G246" i="36"/>
  <c r="T246" i="36" s="1"/>
  <c r="AD246" i="36" s="1"/>
  <c r="P360" i="36"/>
  <c r="O360" i="36" s="1"/>
  <c r="H349" i="36"/>
  <c r="T349" i="36" s="1"/>
  <c r="AE349" i="36" s="1"/>
  <c r="P204" i="36"/>
  <c r="P199" i="36"/>
  <c r="P361" i="36"/>
  <c r="H259" i="36"/>
  <c r="G360" i="36"/>
  <c r="T360" i="36" s="1"/>
  <c r="AD360" i="36" s="1"/>
  <c r="P258" i="36"/>
  <c r="P348" i="36"/>
  <c r="P259" i="36"/>
  <c r="P205" i="36"/>
  <c r="H205" i="36"/>
  <c r="P198" i="36"/>
  <c r="O198" i="36" s="1"/>
  <c r="G216" i="55"/>
  <c r="G204" i="36"/>
  <c r="J207" i="36" s="1"/>
  <c r="H199" i="36"/>
  <c r="P349" i="36"/>
  <c r="G211" i="55"/>
  <c r="G197" i="55"/>
  <c r="G206" i="55"/>
  <c r="G226" i="55"/>
  <c r="Q346" i="36"/>
  <c r="R346" i="36"/>
  <c r="V346" i="36"/>
  <c r="AI346" i="36" s="1"/>
  <c r="R213" i="36"/>
  <c r="V213" i="36"/>
  <c r="AH213" i="36" s="1"/>
  <c r="Q213" i="36"/>
  <c r="Q219" i="36"/>
  <c r="V219" i="36"/>
  <c r="AH219" i="36" s="1"/>
  <c r="R312" i="55" s="1"/>
  <c r="R219" i="36"/>
  <c r="AG346" i="36" l="1"/>
  <c r="AF219" i="36"/>
  <c r="AF213" i="36"/>
  <c r="O246" i="36"/>
  <c r="O355" i="36"/>
  <c r="O204" i="36"/>
  <c r="O349" i="36"/>
  <c r="O348" i="36"/>
  <c r="O205" i="36"/>
  <c r="O252" i="36"/>
  <c r="O199" i="36"/>
  <c r="O361" i="36"/>
  <c r="O367" i="36"/>
  <c r="O259" i="36"/>
  <c r="O354" i="36"/>
  <c r="O253" i="36"/>
  <c r="O366" i="36"/>
  <c r="O247" i="36"/>
  <c r="O258" i="36"/>
  <c r="T258" i="36"/>
  <c r="AD258" i="36" s="1"/>
  <c r="R221" i="55"/>
  <c r="N303" i="55"/>
  <c r="R311" i="55"/>
  <c r="T348" i="36"/>
  <c r="AD348" i="36" s="1"/>
  <c r="J309" i="55" s="1"/>
  <c r="J307" i="55"/>
  <c r="T259" i="36"/>
  <c r="AE259" i="36" s="1"/>
  <c r="J201" i="36"/>
  <c r="V201" i="36" s="1"/>
  <c r="AH201" i="36" s="1"/>
  <c r="J306" i="55"/>
  <c r="K192" i="55"/>
  <c r="J261" i="36"/>
  <c r="R261" i="36" s="1"/>
  <c r="M364" i="36"/>
  <c r="Q364" i="36" s="1"/>
  <c r="Q345" i="36"/>
  <c r="T367" i="36"/>
  <c r="AE367" i="36" s="1"/>
  <c r="T247" i="36"/>
  <c r="AE247" i="36" s="1"/>
  <c r="J314" i="55" s="1"/>
  <c r="T204" i="36"/>
  <c r="AD204" i="36" s="1"/>
  <c r="T355" i="36"/>
  <c r="AE355" i="36" s="1"/>
  <c r="J310" i="55" s="1"/>
  <c r="V214" i="36"/>
  <c r="AI214" i="36" s="1"/>
  <c r="R313" i="55" s="1"/>
  <c r="R214" i="36"/>
  <c r="AG214" i="36" s="1"/>
  <c r="R345" i="36"/>
  <c r="J255" i="36"/>
  <c r="Q255" i="36" s="1"/>
  <c r="Q220" i="36"/>
  <c r="R220" i="36"/>
  <c r="M262" i="36"/>
  <c r="R262" i="36" s="1"/>
  <c r="T366" i="36"/>
  <c r="AD366" i="36" s="1"/>
  <c r="M256" i="36"/>
  <c r="Q256" i="36" s="1"/>
  <c r="J363" i="36"/>
  <c r="V363" i="36" s="1"/>
  <c r="AH363" i="36" s="1"/>
  <c r="J357" i="36"/>
  <c r="V357" i="36" s="1"/>
  <c r="AH357" i="36" s="1"/>
  <c r="J249" i="36"/>
  <c r="R249" i="36" s="1"/>
  <c r="M352" i="36"/>
  <c r="V352" i="36" s="1"/>
  <c r="AI352" i="36" s="1"/>
  <c r="T199" i="36"/>
  <c r="AE199" i="36" s="1"/>
  <c r="J303" i="55" s="1"/>
  <c r="M202" i="36"/>
  <c r="R202" i="36" s="1"/>
  <c r="T205" i="36"/>
  <c r="AE205" i="36" s="1"/>
  <c r="M208" i="36"/>
  <c r="Q208" i="36" s="1"/>
  <c r="Q370" i="36"/>
  <c r="R370" i="36"/>
  <c r="V370" i="36"/>
  <c r="AI370" i="36" s="1"/>
  <c r="R351" i="36"/>
  <c r="Q351" i="36"/>
  <c r="V351" i="36"/>
  <c r="AH351" i="36" s="1"/>
  <c r="V369" i="36"/>
  <c r="AH369" i="36" s="1"/>
  <c r="Q369" i="36"/>
  <c r="R369" i="36"/>
  <c r="V250" i="36"/>
  <c r="AI250" i="36" s="1"/>
  <c r="R250" i="36"/>
  <c r="Q250" i="36"/>
  <c r="Q358" i="36"/>
  <c r="R358" i="36"/>
  <c r="V358" i="36"/>
  <c r="AI358" i="36" s="1"/>
  <c r="Q207" i="36"/>
  <c r="V207" i="36"/>
  <c r="AH207" i="36" s="1"/>
  <c r="R207" i="36"/>
  <c r="AF345" i="36" l="1"/>
  <c r="AG370" i="36"/>
  <c r="AG358" i="36"/>
  <c r="AF351" i="36"/>
  <c r="AF207" i="36"/>
  <c r="AG250" i="36"/>
  <c r="AF369" i="36"/>
  <c r="AG220" i="36"/>
  <c r="J305" i="55"/>
  <c r="J304" i="55"/>
  <c r="K197" i="55"/>
  <c r="K211" i="55"/>
  <c r="K247" i="55"/>
  <c r="R310" i="55"/>
  <c r="N305" i="55"/>
  <c r="R211" i="55"/>
  <c r="R197" i="55"/>
  <c r="R206" i="55"/>
  <c r="R247" i="55"/>
  <c r="R226" i="55"/>
  <c r="R309" i="55"/>
  <c r="R201" i="36"/>
  <c r="Q201" i="36"/>
  <c r="V261" i="36"/>
  <c r="AH261" i="36" s="1"/>
  <c r="Q261" i="36"/>
  <c r="AF261" i="36" s="1"/>
  <c r="K216" i="55"/>
  <c r="R364" i="36"/>
  <c r="AG364" i="36" s="1"/>
  <c r="V364" i="36"/>
  <c r="AI364" i="36" s="1"/>
  <c r="R307" i="55" s="1"/>
  <c r="J308" i="55"/>
  <c r="R308" i="55" s="1"/>
  <c r="K206" i="55"/>
  <c r="K226" i="55"/>
  <c r="V202" i="36"/>
  <c r="AI202" i="36" s="1"/>
  <c r="R303" i="55" s="1"/>
  <c r="Q249" i="36"/>
  <c r="AF249" i="36" s="1"/>
  <c r="Y192" i="55"/>
  <c r="R255" i="36"/>
  <c r="AF255" i="36" s="1"/>
  <c r="R363" i="36"/>
  <c r="V262" i="36"/>
  <c r="AI262" i="36" s="1"/>
  <c r="Q262" i="36"/>
  <c r="AG262" i="36" s="1"/>
  <c r="V255" i="36"/>
  <c r="AH255" i="36" s="1"/>
  <c r="Q363" i="36"/>
  <c r="AF363" i="36" s="1"/>
  <c r="Q357" i="36"/>
  <c r="R256" i="36"/>
  <c r="AG256" i="36" s="1"/>
  <c r="V256" i="36"/>
  <c r="AI256" i="36" s="1"/>
  <c r="R306" i="55" s="1"/>
  <c r="R352" i="36"/>
  <c r="R357" i="36"/>
  <c r="Q352" i="36"/>
  <c r="V249" i="36"/>
  <c r="AH249" i="36" s="1"/>
  <c r="R314" i="55" s="1"/>
  <c r="Q202" i="36"/>
  <c r="AG202" i="36" s="1"/>
  <c r="V208" i="36"/>
  <c r="AI208" i="36" s="1"/>
  <c r="R208" i="36"/>
  <c r="AG208" i="36" s="1"/>
  <c r="K221" i="55"/>
  <c r="AF201" i="36" l="1"/>
  <c r="AG352" i="36"/>
  <c r="AF357" i="36"/>
  <c r="R304" i="55"/>
  <c r="R305" i="55"/>
  <c r="Y247" i="55"/>
  <c r="Y221" i="55"/>
  <c r="Y197" i="55"/>
  <c r="Y211" i="55"/>
  <c r="Y226" i="55"/>
  <c r="Y206" i="55"/>
  <c r="Y216" i="55"/>
</calcChain>
</file>

<file path=xl/sharedStrings.xml><?xml version="1.0" encoding="utf-8"?>
<sst xmlns="http://schemas.openxmlformats.org/spreadsheetml/2006/main" count="6123" uniqueCount="1529">
  <si>
    <t>Nom</t>
  </si>
  <si>
    <t>Prénom</t>
  </si>
  <si>
    <t>Fonction</t>
  </si>
  <si>
    <t>Organisme</t>
  </si>
  <si>
    <t>Code EUNIS Niveau 1</t>
  </si>
  <si>
    <t>%</t>
  </si>
  <si>
    <t>m.</t>
  </si>
  <si>
    <t>X</t>
  </si>
  <si>
    <t>15 625 m².</t>
  </si>
  <si>
    <t>2 500 m².</t>
  </si>
  <si>
    <t>625 m².</t>
  </si>
  <si>
    <t xml:space="preserve">156 m². </t>
  </si>
  <si>
    <t>Proportion du site occupée</t>
  </si>
  <si>
    <t>&lt; 0,2 m.</t>
  </si>
  <si>
    <t>[1,5 - 2m].</t>
  </si>
  <si>
    <t>Ne sais pas.</t>
  </si>
  <si>
    <t>&gt; 2 m.</t>
  </si>
  <si>
    <t>N° du sous-ensemble homogène</t>
  </si>
  <si>
    <t>[0,2 – 0,5 m[.</t>
  </si>
  <si>
    <t>[0,5 – 1 m[.</t>
  </si>
  <si>
    <t>[1 - 1,5m[.</t>
  </si>
  <si>
    <t>Alluvial.</t>
  </si>
  <si>
    <t>Dépression.</t>
  </si>
  <si>
    <t>Plateau.</t>
  </si>
  <si>
    <t>Procédure 1.</t>
  </si>
  <si>
    <t>Procédure 2.</t>
  </si>
  <si>
    <t>Procédure 3.</t>
  </si>
  <si>
    <t>Procédure 4.</t>
  </si>
  <si>
    <t>Oui.</t>
  </si>
  <si>
    <t>Non.</t>
  </si>
  <si>
    <t>N° du sondage pédologique</t>
  </si>
  <si>
    <t>Coordonnées géographiques (GPS)</t>
  </si>
  <si>
    <t>Valeur du pH</t>
  </si>
  <si>
    <t>Histiques (H)</t>
  </si>
  <si>
    <t>Réductiques (G), début inférieur ou égal à 0,5 m de profondeur</t>
  </si>
  <si>
    <t>Rédoxiques (g ou –g) qui débutent à moins de 0,25 m de profondeur et se prolongent ou s'intensifient en profondeur</t>
  </si>
  <si>
    <t>Sous-ensembles homogènes sans sondage pédologique possible, soit les habitats où il n’est pas possible de réaliser un sondage pédologique.</t>
  </si>
  <si>
    <t>Exemple</t>
  </si>
  <si>
    <r>
      <t xml:space="preserve">Berges </t>
    </r>
    <r>
      <rPr>
        <b/>
        <u/>
        <sz val="12"/>
        <color theme="1"/>
        <rFont val="Arial"/>
        <family val="2"/>
      </rPr>
      <t>et</t>
    </r>
    <r>
      <rPr>
        <sz val="12"/>
        <color theme="1"/>
        <rFont val="Arial"/>
        <family val="2"/>
      </rPr>
      <t xml:space="preserve"> fond végétalisés</t>
    </r>
  </si>
  <si>
    <t>Valeur moyenne du pH</t>
  </si>
  <si>
    <t>Epaisseur moyenne de l’horizon Ab (horizon A enfoui) en cm s’il est présent.</t>
  </si>
  <si>
    <t>Epaisseur moyenne de l’épisolum humifère en surface (O+A) en cm sans la litière.</t>
  </si>
  <si>
    <t>Proportion du paysage occupée</t>
  </si>
  <si>
    <t>Site</t>
  </si>
  <si>
    <t>La zone contributive</t>
  </si>
  <si>
    <t>Surfaces cultivées</t>
  </si>
  <si>
    <t>Surfaces enherbées</t>
  </si>
  <si>
    <t>Surfaces construites</t>
  </si>
  <si>
    <t>Infrastructures de transport</t>
  </si>
  <si>
    <t>Le paysage</t>
  </si>
  <si>
    <t>Les limites correspondent à tout un système humide.</t>
  </si>
  <si>
    <t>Les limites correspondent à une délimitation administrative.</t>
  </si>
  <si>
    <t>Riverain des étendues d'eau.</t>
  </si>
  <si>
    <t>Versant et bas-versant.</t>
  </si>
  <si>
    <t>Procédure 5.</t>
  </si>
  <si>
    <t>A</t>
  </si>
  <si>
    <t>B</t>
  </si>
  <si>
    <t>C</t>
  </si>
  <si>
    <t>D</t>
  </si>
  <si>
    <t>E</t>
  </si>
  <si>
    <t>F</t>
  </si>
  <si>
    <t>G</t>
  </si>
  <si>
    <t>H</t>
  </si>
  <si>
    <t>I</t>
  </si>
  <si>
    <t>J</t>
  </si>
  <si>
    <t>Habitats marins</t>
  </si>
  <si>
    <t>Habitats côtiers</t>
  </si>
  <si>
    <t>Tourbières hautes et bas-marais</t>
  </si>
  <si>
    <t>Prairies et terrains dominés par des espèces non graminoïdes, des mousses ou des lichens</t>
  </si>
  <si>
    <t>Landes, fourrés et toundras</t>
  </si>
  <si>
    <t>Habitats continentaux sans végétation ou à végétation clairsemée</t>
  </si>
  <si>
    <t>Habitats agricoles, horticoles et domestiques régulièrement ou récemment cultivés</t>
  </si>
  <si>
    <t>Zones bâties, sites industriels et autres habitats artificiels</t>
  </si>
  <si>
    <t>Proportion du site occupé</t>
  </si>
  <si>
    <t>Type de couvert végétal</t>
  </si>
  <si>
    <t>Export annuel de biomasse inconnu</t>
  </si>
  <si>
    <t>Berges et/ou fond non végétalisés</t>
  </si>
  <si>
    <t>(profondeur &lt; 0,3 m)</t>
  </si>
  <si>
    <t>Rigoles</t>
  </si>
  <si>
    <t>Fossés</t>
  </si>
  <si>
    <t>Fossés profonds</t>
  </si>
  <si>
    <r>
      <t xml:space="preserve">(profondeur </t>
    </r>
    <r>
      <rPr>
        <sz val="12"/>
        <color theme="1"/>
        <rFont val="Calibri"/>
        <family val="2"/>
      </rPr>
      <t>≥</t>
    </r>
    <r>
      <rPr>
        <sz val="12"/>
        <color theme="1"/>
        <rFont val="Arial"/>
        <family val="2"/>
      </rPr>
      <t xml:space="preserve"> 1 m)</t>
    </r>
  </si>
  <si>
    <t>km</t>
  </si>
  <si>
    <t>Enrochements, gabions et matelas-gabions</t>
  </si>
  <si>
    <t>Type de couverts végétaux et d'aménagements sur la berge</t>
  </si>
  <si>
    <t>Code EUNIS niveau 3</t>
  </si>
  <si>
    <t>Nom de l'habitat EUNIS niveau 3</t>
  </si>
  <si>
    <t>Code de l'habitat EUNIS niveau 3</t>
  </si>
  <si>
    <t>D2.2</t>
  </si>
  <si>
    <t>N 46°17'16" E 5°09'30"</t>
  </si>
  <si>
    <t>[0-10 cm]</t>
  </si>
  <si>
    <t>]10-20 cm]</t>
  </si>
  <si>
    <t>]20-30 cm]</t>
  </si>
  <si>
    <t>]30-40 cm]</t>
  </si>
  <si>
    <t>]40-50 cm]</t>
  </si>
  <si>
    <t>]50-60 cm]</t>
  </si>
  <si>
    <t>]60-70 cm]</t>
  </si>
  <si>
    <t>]70-80 cm]</t>
  </si>
  <si>
    <t>]80-90 cm]</t>
  </si>
  <si>
    <t>]90-100 cm]</t>
  </si>
  <si>
    <t>]100-110 cm]</t>
  </si>
  <si>
    <t>]110-120 cm]</t>
  </si>
  <si>
    <t xml:space="preserve">Pour chaque texture, indiquez les codes suivants : </t>
  </si>
  <si>
    <t xml:space="preserve">Pour les horizons histiques, indiquez les codes suivants : </t>
  </si>
  <si>
    <t>Si des cailloux font obstacles à des sondages plus profonds qu'1,2 m indiquez "C" à la profondeur maximale du sondage</t>
  </si>
  <si>
    <t>N° des photos réalisées sur le sondage</t>
  </si>
  <si>
    <t>TF</t>
  </si>
  <si>
    <t>TM</t>
  </si>
  <si>
    <t>1234, 1235, 1236</t>
  </si>
  <si>
    <t>Rédoxiques à moins de 0,5 m de profondeur, se prolongent ou s’intensifient en profondeur, et des traits réductiques apparaissent entre 0,8 et 1,2 m</t>
  </si>
  <si>
    <t>Linéaire de berges occupées</t>
  </si>
  <si>
    <t>ha.</t>
  </si>
  <si>
    <t>km.</t>
  </si>
  <si>
    <t>F9.1</t>
  </si>
  <si>
    <t>Fourrés ripicoles</t>
  </si>
  <si>
    <r>
      <t xml:space="preserve">SI le site est dans un système hydrogéomorphologique alluvial, </t>
    </r>
    <r>
      <rPr>
        <b/>
        <i/>
        <u/>
        <sz val="12"/>
        <color theme="1"/>
        <rFont val="Arial"/>
        <family val="2"/>
      </rPr>
      <t>ALORS répondez aux 3 questions suivantes.</t>
    </r>
  </si>
  <si>
    <t>SI le site est dans une hydroécorégion de niveau 1 aux codes 1, 2, 3, 4, 5, 7, 8, 16, 19 ou 21 (relief de montagnes et hautes montagnes), ALORS répondez aux 2 questions suivantes.</t>
  </si>
  <si>
    <t>SI le site est dans un système hydrogéomorphologique alluvial, ALORS répondez aux 5 questions suivantes.</t>
  </si>
  <si>
    <t>%.</t>
  </si>
  <si>
    <t>Linéaire total de berges dans le site</t>
  </si>
  <si>
    <t>mm.</t>
  </si>
  <si>
    <t>Si tout ou partie des sous-ensembles homogènes contient des traits d’hydromorphie histiques, répondez à la question suivante.</t>
  </si>
  <si>
    <t>Nom de l'indicateur</t>
  </si>
  <si>
    <t>Zone contributive</t>
  </si>
  <si>
    <t>Zone tampon</t>
  </si>
  <si>
    <t>Dévégétalisation de la zone tampon</t>
  </si>
  <si>
    <t>Cours d'eau</t>
  </si>
  <si>
    <t>Sinuosité du cours d'eau</t>
  </si>
  <si>
    <t>Distance au lit mineur</t>
  </si>
  <si>
    <t>Incision du lit mineur</t>
  </si>
  <si>
    <t>Paysage</t>
  </si>
  <si>
    <t>Richesse des grands habitats du paysage</t>
  </si>
  <si>
    <t>Corridors boisés</t>
  </si>
  <si>
    <t>Corridors aquatiques permanents</t>
  </si>
  <si>
    <t>Corridors aquatiques temporaires</t>
  </si>
  <si>
    <t>Rareté des grandes infrastructures de transport</t>
  </si>
  <si>
    <t>Rareté des petites infrastructures de transport</t>
  </si>
  <si>
    <t>Végétalisation du site</t>
  </si>
  <si>
    <t>Rugosité du couvert végétal</t>
  </si>
  <si>
    <t>Rareté des rigoles</t>
  </si>
  <si>
    <t>Rareté des fossés</t>
  </si>
  <si>
    <t>Rareté des fossés profonds</t>
  </si>
  <si>
    <t>Rareté des drains souterrains</t>
  </si>
  <si>
    <t>Rareté du ravinement</t>
  </si>
  <si>
    <t>Matière organique incorporée en surface</t>
  </si>
  <si>
    <t>Matière organique enfouie</t>
  </si>
  <si>
    <t>Tourbe en surface</t>
  </si>
  <si>
    <t>Tourbe enfouie</t>
  </si>
  <si>
    <t>Conductivité hydraulique en surface</t>
  </si>
  <si>
    <t>Conductivité hydraulique en profondeur</t>
  </si>
  <si>
    <t>Hydromorphie</t>
  </si>
  <si>
    <t>Richesse des grands habitats</t>
  </si>
  <si>
    <t>Proximité des habitats</t>
  </si>
  <si>
    <t>Similarité avec le paysage</t>
  </si>
  <si>
    <t>Richesse des habitats</t>
  </si>
  <si>
    <t>Rareté des lisières</t>
  </si>
  <si>
    <t>Ralentissement des ruissellements</t>
  </si>
  <si>
    <t>Recharge des nappes</t>
  </si>
  <si>
    <t>Rétention des sédiments</t>
  </si>
  <si>
    <t>Dénitrification des nitrates</t>
  </si>
  <si>
    <t>Assimilation végétale de l'azote</t>
  </si>
  <si>
    <t>Fonctions hydrologiques</t>
  </si>
  <si>
    <t>Fonctions biogéochimiques</t>
  </si>
  <si>
    <t>Adsorption, précipitation du phosphore</t>
  </si>
  <si>
    <t>Assimilation végétale des orthophosphates</t>
  </si>
  <si>
    <t>Séquestration du carbone</t>
  </si>
  <si>
    <t>Fonctions d'accomplissement du cycle biologique des espèces</t>
  </si>
  <si>
    <t>Support des habitats</t>
  </si>
  <si>
    <t>Connexion des habitats</t>
  </si>
  <si>
    <t>VALEUR RELATIVE</t>
  </si>
  <si>
    <t>VALEUR ABSOLUE</t>
  </si>
  <si>
    <t>Très peu favorable</t>
  </si>
  <si>
    <t>Très favorable</t>
  </si>
  <si>
    <t>Texture</t>
  </si>
  <si>
    <t>t1 moyen (0 - 30 cm)</t>
  </si>
  <si>
    <t>t2 moyen (0 - 30 cm)</t>
  </si>
  <si>
    <t>t3 moyen (0 - 30 cm)</t>
  </si>
  <si>
    <t>t3 moyen (30 - 120 cm)</t>
  </si>
  <si>
    <t>Somme des sous-ensembles homogènes dans le site</t>
  </si>
  <si>
    <t>Proportion du site où l'épaisseur de l'horizon Ab a pu être mesurée</t>
  </si>
  <si>
    <t>Proportion du site où la texture entre 0 et 30 cm a pu être déterminée</t>
  </si>
  <si>
    <t>Proportion du site où la texture entre 30 et 120 cm a pu être déterminée</t>
  </si>
  <si>
    <t>Cultures de maïs, soja, vignes…</t>
  </si>
  <si>
    <t>Prairies permanentes, jachères…</t>
  </si>
  <si>
    <t>Constructions</t>
  </si>
  <si>
    <t>Autoroutes, routes, voies ferrées…</t>
  </si>
  <si>
    <t>Couvert végétal permanent</t>
  </si>
  <si>
    <t>Habitats EUNIS niveau 1</t>
  </si>
  <si>
    <t>Haies</t>
  </si>
  <si>
    <t>Cours d'eau permanents</t>
  </si>
  <si>
    <t>Cours d'eau temporaires</t>
  </si>
  <si>
    <t>Autoroutes, routes nationales et voies ferrées…</t>
  </si>
  <si>
    <t>Routes départementales, voies communales…</t>
  </si>
  <si>
    <t>Drains souterrains</t>
  </si>
  <si>
    <t>Ravines sans couvert végétal permanent</t>
  </si>
  <si>
    <t>Berges sans couvert végétal permanent</t>
  </si>
  <si>
    <t>pH</t>
  </si>
  <si>
    <t>Episolum humifère</t>
  </si>
  <si>
    <t>Texture entre 0 et 30 cm</t>
  </si>
  <si>
    <t>Texture entre 30 et 120 cm</t>
  </si>
  <si>
    <t>Texture et horizons histiques entre 0 et 30 cm</t>
  </si>
  <si>
    <t>Texture et horizons histiques entre 30 et 120 cm</t>
  </si>
  <si>
    <t>Traits d'hydromorphie</t>
  </si>
  <si>
    <t>Habitats EUNIS niveau 3</t>
  </si>
  <si>
    <t>Espèces végétales invasives</t>
  </si>
  <si>
    <t>G1.4</t>
  </si>
  <si>
    <t>N 46°17'17" E 5°09'30"</t>
  </si>
  <si>
    <t>N 46°17'17" E 5°09'29"</t>
  </si>
  <si>
    <t>N 46°17'19" E 5°09'31"</t>
  </si>
  <si>
    <t>1237, 1238, 1239</t>
  </si>
  <si>
    <t>AL</t>
  </si>
  <si>
    <t>1240, 1241, 1242</t>
  </si>
  <si>
    <t>LA</t>
  </si>
  <si>
    <t>1243, 1244, 1245</t>
  </si>
  <si>
    <t>Somme doit être égale à 100</t>
  </si>
  <si>
    <t>ET</t>
  </si>
  <si>
    <t>sur l'habitat correspondant</t>
  </si>
  <si>
    <t>Equipartition des grands habitats du paysage</t>
  </si>
  <si>
    <t>Equipartition des grands habitats</t>
  </si>
  <si>
    <t>Equipartition des habitats</t>
  </si>
  <si>
    <t>Couvert herbacé &lt; 30% en phase de croissance végétative</t>
  </si>
  <si>
    <t>Monospécifique ou quasi-monospécifique</t>
  </si>
  <si>
    <t>Ni monospécifique, ni quasi-monospécifique</t>
  </si>
  <si>
    <t>Couvert herbacé ≥ 30% en phase de croissance végétative monospécifique ou quasi-monospécifique</t>
  </si>
  <si>
    <r>
      <rPr>
        <b/>
        <u/>
        <sz val="14"/>
        <color theme="1"/>
        <rFont val="Arial"/>
        <family val="2"/>
      </rPr>
      <t>et/ou</t>
    </r>
    <r>
      <rPr>
        <sz val="14"/>
        <color theme="1"/>
        <rFont val="Arial"/>
        <family val="2"/>
      </rPr>
      <t xml:space="preserve"> couvert arbustif  ≥ 30% </t>
    </r>
    <r>
      <rPr>
        <b/>
        <u/>
        <sz val="14"/>
        <color theme="1"/>
        <rFont val="Arial"/>
        <family val="2"/>
      </rPr>
      <t>ni</t>
    </r>
    <r>
      <rPr>
        <sz val="14"/>
        <color theme="1"/>
        <rFont val="Arial"/>
        <family val="2"/>
      </rPr>
      <t xml:space="preserve"> monospécifique </t>
    </r>
    <r>
      <rPr>
        <b/>
        <u/>
        <sz val="14"/>
        <color theme="1"/>
        <rFont val="Arial"/>
        <family val="2"/>
      </rPr>
      <t>ni</t>
    </r>
    <r>
      <rPr>
        <sz val="14"/>
        <color theme="1"/>
        <rFont val="Arial"/>
        <family val="2"/>
      </rPr>
      <t xml:space="preserve"> quasi-monospécifique</t>
    </r>
  </si>
  <si>
    <t>Couvert herbacé dans les habitats FA.1, FB.1, FB.2, FB.3, FB.4</t>
  </si>
  <si>
    <t>Couvert herbacé et arbustif dans les habitats G1.C, G1.D, G2.8, G2.9, G3.F</t>
  </si>
  <si>
    <t>Couvert herbacé ≥ 30% en phase de croissance végétative</t>
  </si>
  <si>
    <t>Concaténation des textures et horizons histiques</t>
  </si>
  <si>
    <t>Végétalisation des fossés et fossés profonds</t>
  </si>
  <si>
    <t xml:space="preserve">Observateurs </t>
  </si>
  <si>
    <t>Carte du site (polygone au contour rouge sans trame de fond)</t>
  </si>
  <si>
    <t>Question 1 - Quelle est la superficie du site ?</t>
  </si>
  <si>
    <t xml:space="preserve">Superficie du site </t>
  </si>
  <si>
    <t xml:space="preserve">Répondre par une X (un seul choix possible) </t>
  </si>
  <si>
    <t>CdEUMassD - NomMasseDE</t>
  </si>
  <si>
    <t xml:space="preserve">Répondre par une X </t>
  </si>
  <si>
    <t xml:space="preserve">Année d'édition de la BD TOPO® </t>
  </si>
  <si>
    <t xml:space="preserve">Rang de Strahler du cours d'eau associé au site </t>
  </si>
  <si>
    <t>Autres, précisez</t>
  </si>
  <si>
    <t xml:space="preserve">Superficie de la zone contributive </t>
  </si>
  <si>
    <t xml:space="preserve">Année du RPG </t>
  </si>
  <si>
    <t xml:space="preserve">Superficie des surfaces enherbées dans la zone contributive </t>
  </si>
  <si>
    <t xml:space="preserve">Superficie des surfaces cultivées dans la zone contributive </t>
  </si>
  <si>
    <t xml:space="preserve">Superficie des surfaces construites dans la zone contributive </t>
  </si>
  <si>
    <t>Linéaire des infrastructures de transport dans la zone contributive</t>
  </si>
  <si>
    <t>Carte du site (polygone au contour rouge sans trame de fond) et de sa zone tampon (polygone au contour noir sans trame de fond)</t>
  </si>
  <si>
    <t xml:space="preserve">Superficie de la zone tampon </t>
  </si>
  <si>
    <t xml:space="preserve">Proportion de la zone tampon avec un couvert végétal permanent </t>
  </si>
  <si>
    <t>Carte du site (polygone au contour rouge sans trame de fond) et de son paysage (polygone au contour vert sans trame de fond)</t>
  </si>
  <si>
    <t xml:space="preserve">Superficie du paysage </t>
  </si>
  <si>
    <t xml:space="preserve">Superficie des corridors boisés mesurée sur la BD TOPO® </t>
  </si>
  <si>
    <t xml:space="preserve">Linéaire des corridors boisés mesuré sur la BD ORTHO® </t>
  </si>
  <si>
    <t xml:space="preserve">Superficie des corridors boisés mesurés sur la BD TOPO® </t>
  </si>
  <si>
    <t>Linéaire des corridors boisés mesuré sur la BD ORTHO®, absents de la BD TOPO®</t>
  </si>
  <si>
    <t>Linéaire des corridors aquatiques permanents dans le paysage</t>
  </si>
  <si>
    <t xml:space="preserve">Linéaire des grandes infrastructures de transport </t>
  </si>
  <si>
    <t xml:space="preserve">Linéaire des petites infrastructures de transport </t>
  </si>
  <si>
    <t>Somme doit être égale à 100%</t>
  </si>
  <si>
    <t xml:space="preserve">Proportion du site avec un couvert végétal permanent </t>
  </si>
  <si>
    <t xml:space="preserve">Distance entre le centre du site et le lit mineur </t>
  </si>
  <si>
    <t>Longueur développée</t>
  </si>
  <si>
    <t xml:space="preserve">Longueur de l’enveloppe de méandrage en passant par les points d’inflexion des sinuosités </t>
  </si>
  <si>
    <t>Arrêté départemental</t>
  </si>
  <si>
    <t>Espèces faisant l’objet d’un plan national d’actions</t>
  </si>
  <si>
    <t xml:space="preserve">Proportion du site occupée par des espèces végétales associées à des invasions biologiques durant la période de croissance végétative </t>
  </si>
  <si>
    <t>Date</t>
  </si>
  <si>
    <t>Observateurs</t>
  </si>
  <si>
    <t xml:space="preserve">Présence de pertes </t>
  </si>
  <si>
    <t xml:space="preserve">Présence de sources </t>
  </si>
  <si>
    <t>Proportion du site et de la zone tampon drainée par des drains souterrains</t>
  </si>
  <si>
    <t>Proportion du site ravinée sans végétation</t>
  </si>
  <si>
    <t xml:space="preserve">Précisez le système de coordonnées géographiques utilisé pour renseigner l'emplacement des sondages pédologiques </t>
  </si>
  <si>
    <t xml:space="preserve">Longueur totale des limites entre les unités d'habitats EUNIS niveau 3 dans le site </t>
  </si>
  <si>
    <t xml:space="preserve">Nombre total d'unités d'habitats EUNIS niveau 1 dans le site </t>
  </si>
  <si>
    <t xml:space="preserve">Somme des distances entre chaque unité d'habitat EUNIS niveau 1 dans le site et l'unité d'habitat EUNIS niveau 1 similaire la plus proche dans le paysage </t>
  </si>
  <si>
    <t>Autres cas (par ex. un écosystème, un secteur aménagé).</t>
  </si>
  <si>
    <t>Indiquez les documents mobilisés pour répondre aux questions</t>
  </si>
  <si>
    <t>Département(s) </t>
  </si>
  <si>
    <t>Commune(s) </t>
  </si>
  <si>
    <t>Lieu-dit </t>
  </si>
  <si>
    <t>Question 2* - Comment avez-vous défini les contours du site ?</t>
  </si>
  <si>
    <t>Question 4 - Quel est le système hydrogéomorphologique du site ?</t>
  </si>
  <si>
    <t>Question 5 - Si le site est dans un système hydrogéomorphologique alluvial ou riverain des étendues d'eau, quel est le nom du cours d'eau ou de l'étendue d'eau auquel il est associé ?</t>
  </si>
  <si>
    <t>Question 6* - Quelle est l'année d'édition de la BD TOPO® que vous utilisez ?</t>
  </si>
  <si>
    <t>Question 9* - Quelle procédure avez-vous suivie pour délimiter la zone contributive?</t>
  </si>
  <si>
    <t>Question 10* - Si vous avez utilisé un MNT pour délimiter la zone contributive, quelle est la source du MNT et sa résolution en mètres ?</t>
  </si>
  <si>
    <t>Question 11 - Quelle est la superficie de la zone contributive ?</t>
  </si>
  <si>
    <t>Question 12* - Quelle est l’année du RPG que vous utilisez?</t>
  </si>
  <si>
    <t>Question 13 - Quelle est la superficie des surfaces enherbées et cultivées dans la zone contributive ?</t>
  </si>
  <si>
    <t>Question 14* - Avez-vous complété les informations du RPG pour répondre à la question précédente ?</t>
  </si>
  <si>
    <t>Question 15 - Quelle est la superficie des surfaces construites dans la zone contributive ?</t>
  </si>
  <si>
    <t>Question 16 - Quel est le linéaire d'infrastructures de transport dans la zone contributive ?</t>
  </si>
  <si>
    <t>Question 18 - Quelle est la superficie de la zone tampon ?</t>
  </si>
  <si>
    <t>Question 19 - Quelle proportion de la zone tampon est occupée par un couvert végétal permanent ?</t>
  </si>
  <si>
    <t>Question 20 - Quel est le paysage du site ?</t>
  </si>
  <si>
    <t>Question 21 - Quelle est la superficie du paysage ?</t>
  </si>
  <si>
    <t>Question 23* - Quelle procédure choisissez-vous pour identifier les corridors boisés dans le paysage ?</t>
  </si>
  <si>
    <t>Question 27 - Quel est le linéaire de corridors aquatiques temporaires et permanents dans le paysage ?</t>
  </si>
  <si>
    <t>Question 28* - Pour répondre à la question précédente, avez-vous mesuré des linéaires de corridors aquatiques qui étaient absents de la BD Topo® ou avez-vous apporté des corrections ?</t>
  </si>
  <si>
    <t>Question 29 - Quel est le linéaire de grandes infrastructures de transport dans le paysage ?</t>
  </si>
  <si>
    <t>Question 30* - Pour répondre à la question précédente, avez-vous mesuré des linéaires de grandes infrastructures de transport qui étaient absents de la BD Topo® ?</t>
  </si>
  <si>
    <t>Question 31* - A votre connaissance existe-t-il des aménagements destinés à faciliter la traversée des grandes infrastructures de transport par la faune dans le paysage (par ex. crapauduc, passage faune sauvage) ? Si oui, précisez la nature de ces aménagements ci-dessous.</t>
  </si>
  <si>
    <t>Question 32 - Quel est le linéaire de petites infrastructures de transport dans le paysage ?</t>
  </si>
  <si>
    <t>Question 33* - Pour répondre à la question précédente, avez-vous mesuré des linéaires de petites infrastructures de transport qui étaient absents de la BD Topo® ?</t>
  </si>
  <si>
    <t>Question 34* - A votre connaissance existe-t-il des aménagements destinés à faciliter la traversée des petites infrastructures de transport par la faune dans le paysage (par ex. crapauduc, passage faune sauvage) ? Si oui, précisez la nature de ces aménagements ci-dessous.</t>
  </si>
  <si>
    <t>Question 35* - Une ligne à haute tension est-elle présente dans le paysage ?</t>
  </si>
  <si>
    <t>Question 36* - Un parc éolien est-il présent dans le paysage ?</t>
  </si>
  <si>
    <t>Question 37* - A votre connaissance, un puits de captage (par ex. alimentation en eau potable, irrigation) est-il présent dans le paysage?</t>
  </si>
  <si>
    <t>Question 38* - Quelle est la surface minimale que vous choisissez pour détecter la présence d’un habitat EUNIS niveau 3 dans le site ?</t>
  </si>
  <si>
    <t>Question 39 - Vu la réponse à la question précédente, quelle proportion du site est occupée par les différents types d'habitats EUNIS niveau 3 ?</t>
  </si>
  <si>
    <t>Question 40* - Connaissez-vous la proportion du site occupée par des habitats EUNIS ou CORINE infra-niveau 3 ? Si oui, listez-les ci-dessous en renseignant la proportion du site occupée par chacun.</t>
  </si>
  <si>
    <t>Question 41 - Quelle proportion du site est occupée par un couvert végétal permanent ?</t>
  </si>
  <si>
    <t>Question 42 - Quelle est la distance la plus courte entre le centre du site et le lit mineur du cours d’eau ?</t>
  </si>
  <si>
    <t>Question 43 - Quelle est la longueur développée du cours d’eau et la longueur de l’enveloppe de méandrage du cours d’eau en passant par les points d’inflexion des sinuosités ?</t>
  </si>
  <si>
    <t>Question 45* - Quels sont les substrats géologiques dans le site ?</t>
  </si>
  <si>
    <t>Question 46* - Le site est-il sur un versant ?</t>
  </si>
  <si>
    <t>Question 47* - Si vous avez répondu oui à la question précédente, indiquez l’exposition du versant ?</t>
  </si>
  <si>
    <t>Question 48* - Quelles sont les espèces végétales inscrites dans les textes mentionnés ci-dessous dont la présence est connue dans le site?</t>
  </si>
  <si>
    <t>Question 50* - Quelles sont les espèces animales inscrites dans les textes mentionnés ci-dessous dont la présence est connue dans le site ?</t>
  </si>
  <si>
    <t>Question 51* - Quelle est la (les) liste(s) de référence que vous choisissez pour identifier les espèces végétales et animales associées à des invasions biologiques qui pourraient être présentes dans le site ?</t>
  </si>
  <si>
    <t>Question 52*  - Quelles sont les espèces animales associées à des invasions biologiques (au sens de la liste choisie dans la question précédente) dont la présence est connue dans le site ?</t>
  </si>
  <si>
    <t>Question 53* - Quelles sont les espèces végétales associées à des invasions biologiques (au sens de la liste choisie dans la question 51) dont la présence est connue dans le site ?</t>
  </si>
  <si>
    <t>Question 54* - Des informations permettent-elles de renseigner la proportion totale du site occupée par des espèces végétales associées à des invasions biologiques durant la période de croissance végétative ?</t>
  </si>
  <si>
    <t>Question 56 - Quelle proportion du site est occupée par les couverts végétaux suivants ?</t>
  </si>
  <si>
    <t>Question 59* - Détectez-vous la présence de pertes ou de sources dans le site ou dans sa zone tampon ?</t>
  </si>
  <si>
    <t>Question 61* - Des aménagements hydrauliques modulent-ils les écoulements des fossés ou des fossés profonds ?</t>
  </si>
  <si>
    <t>Question 62* - Les fossés ou les fossés profonds permettent-ils d'évacuer les écoulements qui proviennent d'une source ?</t>
  </si>
  <si>
    <t>Question 63* - Savez-vous avec certitude s’il y a des drains souterrains dans le site et dans sa zone tampon ?</t>
  </si>
  <si>
    <t>Question 65* - Existe-t-il un bassin dans le site destiné à recevoir les eaux issues des drains souterrains ?</t>
  </si>
  <si>
    <t>Question 66 - Quelle proportion du site est ravinée sans végétation ?</t>
  </si>
  <si>
    <t>Question 67* - Si des ravines sont présentes, des aménagements limitent-ils leur extension ?</t>
  </si>
  <si>
    <t>Question 68* - Le cours d’eau associé au site s’écoule-t-il complètement dans son talweg ?</t>
  </si>
  <si>
    <t>Question 69 - Quelle est la hauteur maximale du niveau à pleins bords du cours d’eau ?</t>
  </si>
  <si>
    <t>Question 70* - Des ouvrages en aval du site affectent-ils le niveau d'eau dans le cours d'eau ?</t>
  </si>
  <si>
    <t>Question 71 - Quel est le linéaire total de berges dans le site ?</t>
  </si>
  <si>
    <t>Question 72 - Quelle est la longueur totale des berges occupées par les types d'aménagement ou les couverts végétaux suivants ?</t>
  </si>
  <si>
    <t>Matériaux naturels (par ex. ripisylves, prairies, opération de génie civile ancienne) avec un couvert végétal permanent et dense</t>
  </si>
  <si>
    <t>Matériaux artificiels (par ex. palplanches)</t>
  </si>
  <si>
    <t>Question 73 - Quelles sont les caractéristiques de chaque sondage pédologique ?</t>
  </si>
  <si>
    <t>Si absent (par ex. fluviosols), ne pas renseigner.</t>
  </si>
  <si>
    <t>Question 74* - Des fosses d’extraction de tourbe (anciennes ou récentes) sont-elles présentes dans le site ou dans sa zone tampon ?</t>
  </si>
  <si>
    <t>Question 75* - Quelle est la somme des précipitations durant les 10 jours précédant votre visite?</t>
  </si>
  <si>
    <t xml:space="preserve">Somme des précipitations 10 jours avant la visite sur le terrain  </t>
  </si>
  <si>
    <t>Question 76 - Quelle est la longueur totale des limites entre les unités d’habitats EUNIS niveau 3 dans le site ?</t>
  </si>
  <si>
    <t>Question 77 - Quel est le nombre total d’unités d’habitats EUNIS niveau 1 dans le site ?</t>
  </si>
  <si>
    <t>Question 78 - Quelle est la somme des distances entre chaque unité d’habitat EUNIS niveau 1 dans le site et l’unité d’habitat EUNIS niveau 1 similaire la plus proche dans le paysage ?</t>
  </si>
  <si>
    <t>Question 79* - Avez-vous des remarques ou des doutes quelconques qu’il vous paraît important d’ajouter à l’évaluation réalisée ? Si oui, renseignez-les ci-dessous.</t>
  </si>
  <si>
    <t>SI</t>
  </si>
  <si>
    <t>=</t>
  </si>
  <si>
    <t>≈</t>
  </si>
  <si>
    <t>ha soit</t>
  </si>
  <si>
    <t>km soit</t>
  </si>
  <si>
    <t xml:space="preserve"> Si système hydrogéomorphologique alluvial ou riverain des étendues d’eau, nom du cours d’eau ou de l’étendue d’eau</t>
  </si>
  <si>
    <t>Quel ratio d'équivalence fonctionnelle choisissez-vous pour réaliser votre évaluation ?</t>
  </si>
  <si>
    <t>/1.</t>
  </si>
  <si>
    <t>Perte fonctionnelle</t>
  </si>
  <si>
    <t>Déclin fonctionnel</t>
  </si>
  <si>
    <t>FONCTION HYDROLOGIQUE</t>
  </si>
  <si>
    <t>FONCTION BIOGEOCHIMIQUE</t>
  </si>
  <si>
    <t>FONCTION D'ACCOMPLISSEMENT DU CYCLE BIOLOGIQUE DES ESPECES</t>
  </si>
  <si>
    <t>Après impact</t>
  </si>
  <si>
    <t>Proximité au lit mineur</t>
  </si>
  <si>
    <t>Année de la BD ORTHO®</t>
  </si>
  <si>
    <t>Question 7* - Si le site est dans un système hydrogéomorphologique alluvial ou riverain des étendues d'eau, indiquez le rang de Strahler du cours d'eau auquel il est associé ?</t>
  </si>
  <si>
    <t>Carte du site (polygone au contour rouge sans trame de fond) et de sa zone contributive (polygone au contour bleu sans trame de fond) avec en fond de carte le SCAN 25®</t>
  </si>
  <si>
    <t>Question 17 - Quelle est la zone tampon du site ?</t>
  </si>
  <si>
    <t xml:space="preserve">Année de la BD ORTHO® </t>
  </si>
  <si>
    <t>Question 22 - Quelle proportion du paysage est occupée par les différents types d'habitats EUNIS niveau 1 ?</t>
  </si>
  <si>
    <t>Eaux de surface continentales</t>
  </si>
  <si>
    <t>Bois, forêts et autres habitats boisés</t>
  </si>
  <si>
    <t>Question 24 - Si vous avez choisi la procédure 1 en répondant à la question 23, quelle est la superficie des corridors boisés dans le paysage ?</t>
  </si>
  <si>
    <t>Question 25 - Si vous avez choisi la procédure 2 en répondant à la question 23, quel est le linéaire de corridors boisés dans le paysage ?</t>
  </si>
  <si>
    <t xml:space="preserve">Question 26 - Si vous avez choisi la procédure 3 en répondant à la question 23, quel est la superficie des corridors boisés d'après la BD TOPO® et quel est le linéaire de corridors boisés mesuré en complément dans le paysage d'après la BD ORTHO® ? </t>
  </si>
  <si>
    <t>Linéaire des corridors aquatiques temporaires dans le paysage</t>
  </si>
  <si>
    <t>Question 44* - Est-ce qu’il y a un endiguement entre le site et le cours d’eau ?</t>
  </si>
  <si>
    <t>Question 55 - Si vous avez répondu oui à la question précédente, quelle proportion totale du site est occupée par des espèces végétales associées à des invasions biologiques durant la période de croissance végétative ?</t>
  </si>
  <si>
    <t>Couverts principalement clairsemés (habitats EUNIS niveau 1 " H Habitats continentaux sans végétation ou à végétation clairsemée") ou principalement muscinaux</t>
  </si>
  <si>
    <t>Question 60 - Quel est le linéaire total de rigoles, de fossés et de fossés profonds dans le site et dans sa zone tampon ?</t>
  </si>
  <si>
    <t>Fossés (0,3 m ≤ profondeur &lt; 1 m)</t>
  </si>
  <si>
    <t>Question 64 - Si vous avez répondu oui à la question précédente, quelle est la proportion du site et de la zone tampon drainée par des drains souterrains ?</t>
  </si>
  <si>
    <t>INFORMATIONS A RENSEIGNER AU BUREAU AVANT LES PROSPECTIONS SUR LE TERRAIN</t>
  </si>
  <si>
    <t>1.1</t>
  </si>
  <si>
    <t>Les renseignements généraux</t>
  </si>
  <si>
    <t>INFORMATIONS A RENSEIGNER AU BUREAU SUITE AUX PROSPECTIONS SUR LE TERRAIN</t>
  </si>
  <si>
    <t>INFORMATIONS A RENSEIGNER SUR LE TERRAIN</t>
  </si>
  <si>
    <t>Fiche d’évaluation des fonctions des zones humides - Version 1.0 2016</t>
  </si>
  <si>
    <t>3.3</t>
  </si>
  <si>
    <t>3.2</t>
  </si>
  <si>
    <t>3.1</t>
  </si>
  <si>
    <t>2.5</t>
  </si>
  <si>
    <t>2.4</t>
  </si>
  <si>
    <t>2.3</t>
  </si>
  <si>
    <t>2.2</t>
  </si>
  <si>
    <t>2.1</t>
  </si>
  <si>
    <t>1.10</t>
  </si>
  <si>
    <t>1.9</t>
  </si>
  <si>
    <t>1.8</t>
  </si>
  <si>
    <t>1.7</t>
  </si>
  <si>
    <t>1.6</t>
  </si>
  <si>
    <t>1.5</t>
  </si>
  <si>
    <t>1.4</t>
  </si>
  <si>
    <t>1.3</t>
  </si>
  <si>
    <t>1.2</t>
  </si>
  <si>
    <t>La zone tampon</t>
  </si>
  <si>
    <t>Les habitats et le couvert végétal dans le site</t>
  </si>
  <si>
    <t>Le système fluvial associé au site</t>
  </si>
  <si>
    <t>Protocole pour localiser les sondages pédologiques à réaliser sur le terrain</t>
  </si>
  <si>
    <t>La topographie dans le site</t>
  </si>
  <si>
    <t>Les types de couverts végétaux dans le site</t>
  </si>
  <si>
    <t>Le fonctionnement hydraulique du site</t>
  </si>
  <si>
    <t>La pédologie dans le site</t>
  </si>
  <si>
    <t>Autres</t>
  </si>
  <si>
    <t>Météorologie</t>
  </si>
  <si>
    <t>Les habitats dans le site</t>
  </si>
  <si>
    <t>Couvert végétal 1</t>
  </si>
  <si>
    <t>Couvert végétal 2</t>
  </si>
  <si>
    <t>Végétalisation des berges</t>
  </si>
  <si>
    <t>Couvert végétal dans les fossés et fossés profonds</t>
  </si>
  <si>
    <t>Acidité du sol 1</t>
  </si>
  <si>
    <t>Acidité du sol 2</t>
  </si>
  <si>
    <t>Horizons histiques</t>
  </si>
  <si>
    <t>Horizons histiques enfouis</t>
  </si>
  <si>
    <t>Texture en profondeur</t>
  </si>
  <si>
    <t>Texture en surface 2</t>
  </si>
  <si>
    <t>Texture en surface 1</t>
  </si>
  <si>
    <t>Rareté des invasions biologiques végétales</t>
  </si>
  <si>
    <t>Rareté de l'artificialisation de l'habitat</t>
  </si>
  <si>
    <t>CALCUL</t>
  </si>
  <si>
    <t>ILLUSTRATION</t>
  </si>
  <si>
    <t>TEXTE</t>
  </si>
  <si>
    <t>Gain fonctionnel</t>
  </si>
  <si>
    <t>Avec action écologique envisagée</t>
  </si>
  <si>
    <t>Après action écologique</t>
  </si>
  <si>
    <t>Date d’évaluation sur le terrain</t>
  </si>
  <si>
    <t>Année du RPG</t>
  </si>
  <si>
    <t>Année de la BD TOPO®</t>
  </si>
  <si>
    <t>Surf. min. carto. choisie</t>
  </si>
  <si>
    <t>Date d’évaluation au bureau</t>
  </si>
  <si>
    <t>Avec export de biomasse annuel (par ex. présence de fauchage, pâturage)</t>
  </si>
  <si>
    <t>Avec export de biomasse annuel (par ex. présence de faucardage)</t>
  </si>
  <si>
    <t>"TF" pour fibrique</t>
  </si>
  <si>
    <t>"TM" pour mésique</t>
  </si>
  <si>
    <t>"TS" pour saprique</t>
  </si>
  <si>
    <t>Proportion du site où le pH a pu être mesuré sur tous les sondages de chaque sous-ensembles homogènes</t>
  </si>
  <si>
    <t>Proportion du site qui contient au moins un trait d'hydromorphie</t>
  </si>
  <si>
    <t>Sous-ensembles homogènes sans sondage pédologique possible, soit les habitats où il n'est pas possible de réaliser un sondage pédologique (par ex. inondations). ATTENTION : les indicateurs associés à la pédologie ne pourront pas être calculés si &gt; 0%.</t>
  </si>
  <si>
    <t>"S" pour sableuse</t>
  </si>
  <si>
    <t>"SL" pour sablo-limoneuse</t>
  </si>
  <si>
    <t>"LS" pour limono-sableuse</t>
  </si>
  <si>
    <t>"L" pour limoneuse</t>
  </si>
  <si>
    <t>"LA" pour limono-argileuse</t>
  </si>
  <si>
    <t>"AL" pour argilo-limoneuse</t>
  </si>
  <si>
    <t>"A" pour argileuse</t>
  </si>
  <si>
    <t>Trait d’hydromorphie</t>
  </si>
  <si>
    <t>Fonction de base</t>
  </si>
  <si>
    <t>Sur le site impacté</t>
  </si>
  <si>
    <t>Sur le site de compensation</t>
  </si>
  <si>
    <t>Interruption d'un sondage par une charge en cailloux</t>
  </si>
  <si>
    <t>Interruption du sondage avant des cailloux</t>
  </si>
  <si>
    <t>Epaisseur de tourbe en surface inconnue</t>
  </si>
  <si>
    <t>Au moins un sondage interrompu avant une profondeur de 120 cm et avant des obstacles constitués par une charge en cailloux</t>
  </si>
  <si>
    <t>Texture et horizons histiques (tourbe).
Indiquez les codes en majuscules.</t>
  </si>
  <si>
    <t>t2 moyen (30 - 120 cm)</t>
  </si>
  <si>
    <t>Proportion du site où les matériaux entre 30 et 120 cm ont pu être déterminés</t>
  </si>
  <si>
    <t>Proportion du site où les matériaux entre 0 et 30 cm ont pu être déterminés</t>
  </si>
  <si>
    <t>N° du sous-ensemble homogène
(de 1 à 15)</t>
  </si>
  <si>
    <t>Proportion du site où l'épaisseur de l'épisolum humifère a pu être mesurée</t>
  </si>
  <si>
    <t>REL</t>
  </si>
  <si>
    <t>ABS</t>
  </si>
  <si>
    <t>avant impact</t>
  </si>
  <si>
    <t>après impact</t>
  </si>
  <si>
    <r>
      <t xml:space="preserve">Valeur relative
</t>
    </r>
    <r>
      <rPr>
        <i/>
        <sz val="12"/>
        <color theme="1"/>
        <rFont val="Arial"/>
        <family val="2"/>
      </rPr>
      <t>(indépendante de la superficie du site)</t>
    </r>
  </si>
  <si>
    <r>
      <t xml:space="preserve">Valeur absolue
</t>
    </r>
    <r>
      <rPr>
        <i/>
        <sz val="12"/>
        <color theme="1"/>
        <rFont val="Arial"/>
        <family val="2"/>
      </rPr>
      <t>(dépendante de la superficie du site)</t>
    </r>
  </si>
  <si>
    <t>Site impacté</t>
  </si>
  <si>
    <t>Site de comp.</t>
  </si>
  <si>
    <t>avant act. écol.</t>
  </si>
  <si>
    <t>avec act. écol. env.</t>
  </si>
  <si>
    <t>après act. écol.</t>
  </si>
  <si>
    <t>Equivalence fonctionnelle
vraisemblable</t>
  </si>
  <si>
    <t>Berges sans couvert végétal permanent dense (par ex. berges érodées avec le sol mis à nu, opération de génie végétal récente, cultures)</t>
  </si>
  <si>
    <t>SI des fossés et/ou des fossés profonds sont présents, ALORS répondez aux 2 questions suivantes.</t>
  </si>
  <si>
    <t>Trait d’hydromorphie
(mettre une X).</t>
  </si>
  <si>
    <r>
      <t xml:space="preserve">Proportion du site représentée en %.
</t>
    </r>
    <r>
      <rPr>
        <i/>
        <sz val="12"/>
        <color rgb="FF000000"/>
        <rFont val="Arial"/>
        <family val="2"/>
      </rPr>
      <t xml:space="preserve">La somme des pourcentages renseignés </t>
    </r>
    <r>
      <rPr>
        <b/>
        <i/>
        <u/>
        <sz val="12"/>
        <color rgb="FF000000"/>
        <rFont val="Arial"/>
        <family val="2"/>
      </rPr>
      <t>de chaque sous-ensemble homogène</t>
    </r>
    <r>
      <rPr>
        <i/>
        <sz val="12"/>
        <color rgb="FF000000"/>
        <rFont val="Arial"/>
        <family val="2"/>
      </rPr>
      <t xml:space="preserve">  doit être égale à 100.</t>
    </r>
  </si>
  <si>
    <t>Ce tableau est prévu pour au maximum 20 sondages pédologiques et un maximum de 15 sous-ensembles homogènes.
Au-delà des problèmes surviennent dans la représentation des résultats.</t>
  </si>
  <si>
    <t>km/
100ha.</t>
  </si>
  <si>
    <t>Somme</t>
  </si>
  <si>
    <t>Epaisseur de l’horizon Ab (horizon A enfoui) en cm.</t>
  </si>
  <si>
    <r>
      <t xml:space="preserve">Epaisseur de l’épisolum humifère en surface (O+A) en cm sans la litière.
</t>
    </r>
    <r>
      <rPr>
        <i/>
        <sz val="12"/>
        <color rgb="FF000000"/>
        <rFont val="Arial"/>
        <family val="2"/>
      </rPr>
      <t>Absent (0 cm) si traits d’hydromorphie H.</t>
    </r>
  </si>
  <si>
    <t>A Habitats marins</t>
  </si>
  <si>
    <t>B Habitats côtiers</t>
  </si>
  <si>
    <t>C Eaux de surface continentales</t>
  </si>
  <si>
    <t>D Tourbières hautes et bas-marais</t>
  </si>
  <si>
    <t>F Landes, fourrés et toundras</t>
  </si>
  <si>
    <t>G Boisements, forêts et autres habitats boisés</t>
  </si>
  <si>
    <t>H Habitats continentaux sans végétation ou à végétation clairsemée</t>
  </si>
  <si>
    <t>I Habitats agricoles, horticoles et domestiques régulièrement ou récemment cultivés</t>
  </si>
  <si>
    <t>J Zones bâties, sites industriels et autres habitats artificiels</t>
  </si>
  <si>
    <t>Couverts principalement herbacés bas (hauteur &lt; 1 m) cultivés ou non, majoritairement composés d'espèces non ligneuses</t>
  </si>
  <si>
    <t>Couverts principalement herbacés hauts (hauteur ≥ 1 m) cultivés ou non, majoritairement composés d'espèces non ligneuses</t>
  </si>
  <si>
    <t>Couverts principalement arbustifs (hauteur ≥ 1 m et &lt; 7 m), surtout composés d'espèces ligneuses</t>
  </si>
  <si>
    <t>Couverts principalement arborescents (hauteur ≥ 7 m)</t>
  </si>
  <si>
    <t xml:space="preserve"> Inscrivez des informations seulement dans les cellules grisées. 
Ces informations doivent absolument être renseignées conformément aux instructions présentées dans la notice de la méthode
 (chapitre 2 du Guide de la méthode nationale d'évaluation des fonctions des zones humides).
Reportez-vous à la question en toute fin pour renseigner toute remarque ou joindre toute illustration complémentaire.
Les textes affichés automatiquement dans les encadrés rouges indiquent les principales incohérences dans vos réponses.
Les questions avec un * sont uniquement informatives, elles ne permettent pas de calculer d'indicateurs.</t>
  </si>
  <si>
    <t>Horizon humifère enfoui</t>
  </si>
  <si>
    <t>Mat. organ.</t>
  </si>
  <si>
    <t>Sur le cours d'eau associé au site</t>
  </si>
  <si>
    <t>Au moins un sondage interrompu avant la succession des horizons histiques qui étaient en surface</t>
  </si>
  <si>
    <t>Concaténation de la succession d'horizons histiques en surface</t>
  </si>
  <si>
    <t>Concaténation de la succession d'horizons histiques enfouis</t>
  </si>
  <si>
    <t xml:space="preserve">Gain fonctionnel
(sans équivalence fonctionnelle
vraisemblable)
</t>
  </si>
  <si>
    <t>Epaisseur moyenne d'horizon fibrique en surface</t>
  </si>
  <si>
    <t>Epaisseur moyenne d'horizon mésique en surface</t>
  </si>
  <si>
    <t>Epaisseur moyenne d'horizon saprique en surface</t>
  </si>
  <si>
    <t>Epaisseur moyenne d'horizon fibrique enfoui</t>
  </si>
  <si>
    <t>Epaisseur moyenne d'horizon mésique enfoui</t>
  </si>
  <si>
    <t>Epaisseur moyenne d'horizon saprique enfoui</t>
  </si>
  <si>
    <t>La valeur minimale à indiquer est 1 ; mais il est préconisé d'aller au-delà pour fournir plus de garantie sur la vraisemblance d'une équivalence fonctionnelle.</t>
  </si>
  <si>
    <r>
      <rPr>
        <b/>
        <u/>
        <sz val="12"/>
        <color theme="1"/>
        <rFont val="Arial"/>
        <family val="2"/>
      </rPr>
      <t>et</t>
    </r>
    <r>
      <rPr>
        <sz val="12"/>
        <color theme="1"/>
        <rFont val="Arial"/>
        <family val="2"/>
      </rPr>
      <t xml:space="preserve"> couvert arbustif &lt; 30%</t>
    </r>
  </si>
  <si>
    <r>
      <rPr>
        <b/>
        <u/>
        <sz val="12"/>
        <color theme="1"/>
        <rFont val="Arial"/>
        <family val="2"/>
      </rPr>
      <t>et</t>
    </r>
    <r>
      <rPr>
        <sz val="12"/>
        <color theme="1"/>
        <rFont val="Arial"/>
        <family val="2"/>
      </rPr>
      <t xml:space="preserve"> couvert arbustif ≥ 30% monospécifique ou quasi-monospécifique</t>
    </r>
  </si>
  <si>
    <r>
      <t>et</t>
    </r>
    <r>
      <rPr>
        <sz val="12"/>
        <color theme="1"/>
        <rFont val="Arial"/>
        <family val="2"/>
      </rPr>
      <t xml:space="preserve"> couvert arbustif ≥ 30% monospécifique ou quasi-monospécifique</t>
    </r>
  </si>
  <si>
    <r>
      <t xml:space="preserve">Couvert herbacé ≥ 30% en phase de croissance végétative </t>
    </r>
    <r>
      <rPr>
        <b/>
        <u/>
        <sz val="14"/>
        <color theme="1"/>
        <rFont val="Arial"/>
        <family val="2"/>
      </rPr>
      <t>ni</t>
    </r>
    <r>
      <rPr>
        <sz val="14"/>
        <color theme="1"/>
        <rFont val="Arial"/>
        <family val="2"/>
      </rPr>
      <t xml:space="preserve"> monospécifique </t>
    </r>
    <r>
      <rPr>
        <b/>
        <u/>
        <sz val="14"/>
        <color theme="1"/>
        <rFont val="Arial"/>
        <family val="2"/>
      </rPr>
      <t>ni</t>
    </r>
    <r>
      <rPr>
        <sz val="14"/>
        <color theme="1"/>
        <rFont val="Arial"/>
        <family val="2"/>
      </rPr>
      <t xml:space="preserve"> quasi-monospécifique</t>
    </r>
    <r>
      <rPr>
        <b/>
        <u/>
        <sz val="14"/>
        <color theme="1"/>
        <rFont val="Arial"/>
        <family val="2"/>
      </rPr>
      <t/>
    </r>
  </si>
  <si>
    <t>Le signe "=" signifie que les caractéristiques doivent être égales. Le signe "≈" signifie que les caractéristiques doivent être similaires.</t>
  </si>
  <si>
    <t>Ralentissement
des
ruissellements</t>
  </si>
  <si>
    <t>Dénitrification
des
nitrates</t>
  </si>
  <si>
    <t>Séquestration
du
carbone</t>
  </si>
  <si>
    <t>Support
des
habitats</t>
  </si>
  <si>
    <t>Connexion
des
habitats</t>
  </si>
  <si>
    <t>Appartenance à une masse d’eau de surface</t>
  </si>
  <si>
    <t xml:space="preserve">Système hydrogéomorphologique
du site    </t>
  </si>
  <si>
    <t>Types d’habitats
dans le site</t>
  </si>
  <si>
    <r>
      <t xml:space="preserve"> le site de compensation </t>
    </r>
    <r>
      <rPr>
        <u/>
        <sz val="12"/>
        <rFont val="Arial"/>
        <family val="2"/>
      </rPr>
      <t>avec action écologique envisagée (simulation)</t>
    </r>
    <r>
      <rPr>
        <sz val="12"/>
        <rFont val="Arial"/>
        <family val="2"/>
      </rPr>
      <t>.</t>
    </r>
  </si>
  <si>
    <r>
      <rPr>
        <b/>
        <u/>
        <sz val="16"/>
        <color theme="1"/>
        <rFont val="Arial Black"/>
        <family val="2"/>
      </rPr>
      <t>Si ces cinq conditions sont réunies,</t>
    </r>
    <r>
      <rPr>
        <b/>
        <sz val="16"/>
        <color theme="1"/>
        <rFont val="Arial Black"/>
        <family val="2"/>
      </rPr>
      <t xml:space="preserve"> alors il est possible d'évaluer la vraisemblance d'une équivalence fonctionnelle avec cette méthode (voir ci-dessous).</t>
    </r>
  </si>
  <si>
    <r>
      <t>Recharge
des
nappes</t>
    </r>
    <r>
      <rPr>
        <sz val="12"/>
        <color rgb="FF002060"/>
        <rFont val="Arial"/>
        <family val="2"/>
      </rPr>
      <t/>
    </r>
  </si>
  <si>
    <r>
      <t>Rétention
des
sédiments</t>
    </r>
    <r>
      <rPr>
        <sz val="12"/>
        <color rgb="FF002060"/>
        <rFont val="Arial"/>
        <family val="2"/>
      </rPr>
      <t/>
    </r>
  </si>
  <si>
    <t>Adsorption
et précipitation
du phosphore</t>
  </si>
  <si>
    <t>Assimilation
végétale
de l’azote</t>
  </si>
  <si>
    <t>Paramètre associé à l'indicateur</t>
  </si>
  <si>
    <t>Le couvert végétal</t>
  </si>
  <si>
    <t>Les systèmes de drainage</t>
  </si>
  <si>
    <t>L'érosion</t>
  </si>
  <si>
    <t>Le sol</t>
  </si>
  <si>
    <t>Les habitats</t>
  </si>
  <si>
    <t>Assimilation
végétale des orthophosphates</t>
  </si>
  <si>
    <t>39, 57 et 58</t>
  </si>
  <si>
    <t>SITE IMPACTE - APRES IMPACT</t>
  </si>
  <si>
    <t>SITE DE COMPENSATION - AVANT ACTION ECOLOGIQUE
(ETAT INITIAL)</t>
  </si>
  <si>
    <t>SITE IMPACTE - AVANT IMPACT
(ETAT INITIAL)</t>
  </si>
  <si>
    <t>SITE IMPACTE - AVEC IMPACT ENVISAGE
(SIMULATION)</t>
  </si>
  <si>
    <t>SITE DE COMPENSATION - AVEC ACTION ECOLOGIQUE ENVISAGEE (SIMULATION)</t>
  </si>
  <si>
    <t>SITE DE COMPENSATION - APRES ACTION ECOLOGIQUE</t>
  </si>
  <si>
    <t>Nombre total de sondages pédologiques</t>
  </si>
  <si>
    <t>Proportion du site représentée en %.</t>
  </si>
  <si>
    <t>Profondeur du sondage pédologique</t>
  </si>
  <si>
    <t>SYNTHESE</t>
  </si>
  <si>
    <t>Remarques</t>
  </si>
  <si>
    <t>Description des horizons histiques (tourbe)</t>
  </si>
  <si>
    <t>COMMENTAIRES</t>
  </si>
  <si>
    <t>SYNTHESE DES SONDAGES PEDOLOGIQUES</t>
  </si>
  <si>
    <t>SYNTHESE POUR LA PEDOLOGIE</t>
  </si>
  <si>
    <t>CALCUL AUTOMATISE DES INDICATEURS</t>
  </si>
  <si>
    <t>SYNTHESE POUR L'EVALUATION DES FONCTIONS SUR LES SITES</t>
  </si>
  <si>
    <t>SITE DE COMPENSATION - AVEC ACTION ECOLOGIQUE ENVISAGEE
(SIMULATION)</t>
  </si>
  <si>
    <t>avec impact envisagé</t>
  </si>
  <si>
    <t>Avec impact envisagé</t>
  </si>
  <si>
    <t>Statut du site</t>
  </si>
  <si>
    <t>Zone évaluée</t>
  </si>
  <si>
    <r>
      <t xml:space="preserve"> ou le site de compensation </t>
    </r>
    <r>
      <rPr>
        <u/>
        <sz val="12"/>
        <rFont val="Arial"/>
        <family val="2"/>
      </rPr>
      <t>après action écologique (observation sur le terrain).</t>
    </r>
  </si>
  <si>
    <t>TABLEAU 1 : DIAGNOSTICS DE CONTEXTE DU SITE AVANT IMPACT ET DU SITE DE COMPENSATION</t>
  </si>
  <si>
    <t>Indiquez par une "X" si vous voulez afficher à droite du site impacté :</t>
  </si>
  <si>
    <t>Indicateurs renseignés avant impact et avec impact envisagé</t>
  </si>
  <si>
    <t>Indicateurs renseignés avant impact et après impact</t>
  </si>
  <si>
    <t>Indicateurs renseignés avant action écologique et avec action écologique envisagée</t>
  </si>
  <si>
    <t>Indicateurs renseignés avant action écologique et après action écologique</t>
  </si>
  <si>
    <t>Indiquez par une "X" si vous voulez afficher :</t>
  </si>
  <si>
    <r>
      <t xml:space="preserve"> le site impacté </t>
    </r>
    <r>
      <rPr>
        <u/>
        <sz val="12"/>
        <rFont val="Arial"/>
        <family val="2"/>
      </rPr>
      <t>avec impact envisagé</t>
    </r>
    <r>
      <rPr>
        <sz val="12"/>
        <rFont val="Arial"/>
        <family val="2"/>
      </rPr>
      <t xml:space="preserve"> et le site de compensation </t>
    </r>
    <r>
      <rPr>
        <u/>
        <sz val="12"/>
        <rFont val="Arial"/>
        <family val="2"/>
      </rPr>
      <t>avec action écologique envisagée (simulation)</t>
    </r>
    <r>
      <rPr>
        <sz val="12"/>
        <rFont val="Arial"/>
        <family val="2"/>
      </rPr>
      <t>.</t>
    </r>
  </si>
  <si>
    <t>Indicateurs renseignés avant impact et avec impact envisagé + avant action écologique et avec action écologique envisagée</t>
  </si>
  <si>
    <t>Indicateurs renseignés avant impact et après impact + avant action écologique et après action écologique</t>
  </si>
  <si>
    <t>(perte fonctionnelle)</t>
  </si>
  <si>
    <t>(gain fonctionnel)</t>
  </si>
  <si>
    <t>Perte fonctionnelle avant impact et avec impact envisagé</t>
  </si>
  <si>
    <t>Perte fonctionnelle avant impact et après impact</t>
  </si>
  <si>
    <t>Gain fonctionnel avant action écologique et avec action écologique envisagée</t>
  </si>
  <si>
    <t>Gain fonctionnel avant action écologique et après action écologique</t>
  </si>
  <si>
    <t>Equivalence fonctionnelle avant action écologique et avec action écologique envisagée</t>
  </si>
  <si>
    <t>Equivalence fonctionnelle avant action écologique et après action écologique</t>
  </si>
  <si>
    <t>Par exemple, si l'observateur choisit une valeur de 2/1, l'amélioration après l'action écologique doit être au moins 2 fois supérieure à l'altération après l'impact pour que l'action écologique compense l'impact.</t>
  </si>
  <si>
    <t>E Prairies et terrains dominés par des herbacées non graminoïdes, des mousses ou des lichens</t>
  </si>
  <si>
    <t>La perte fonctionnelle est-elle vraisemblablement compensée par le gain fonctionnel ?</t>
  </si>
  <si>
    <t>Paramètre mesuré sur le site</t>
  </si>
  <si>
    <t>Sous-fonctions associées</t>
  </si>
  <si>
    <t>Commentaire</t>
  </si>
  <si>
    <t>Question associée</t>
  </si>
  <si>
    <t>Végétalisation
du site</t>
  </si>
  <si>
    <t>Propriétés générales de l'indicateur</t>
  </si>
  <si>
    <t>Les rectangles bleus, rouges ou verts indiquent les sous-fonctions renseignées par l'indicateur.</t>
  </si>
  <si>
    <t>Les carrés bleus, rouges ou verts indiquent les sous-fonctions renseignées par l'indicateur.</t>
  </si>
  <si>
    <r>
      <t xml:space="preserve">La valeur de l'indicateur
et l'intensité des sous-fonctions
sont </t>
    </r>
    <r>
      <rPr>
        <b/>
        <u/>
        <sz val="12"/>
        <color theme="1"/>
        <rFont val="Arial Black"/>
        <family val="2"/>
      </rPr>
      <t>moins</t>
    </r>
    <r>
      <rPr>
        <b/>
        <sz val="12"/>
        <color theme="1"/>
        <rFont val="Arial Black"/>
        <family val="2"/>
      </rPr>
      <t xml:space="preserve"> fortes quand…</t>
    </r>
  </si>
  <si>
    <r>
      <t xml:space="preserve">La valeur de l'indicateur
et l'intensité des sous-fonctions
sont </t>
    </r>
    <r>
      <rPr>
        <b/>
        <u/>
        <sz val="12"/>
        <color theme="1"/>
        <rFont val="Arial Black"/>
        <family val="2"/>
      </rPr>
      <t>plus</t>
    </r>
    <r>
      <rPr>
        <b/>
        <sz val="12"/>
        <color theme="1"/>
        <rFont val="Arial Black"/>
        <family val="2"/>
      </rPr>
      <t xml:space="preserve"> fortes quand…</t>
    </r>
  </si>
  <si>
    <t>Le ratio d'équivalence fonctionnelle et le type de site (avec impact envisagé et avec action écologique envisagée ou après impact et après action écologique)
sont ceux que vous avez choisi pour afficher le tableau 2 ci-dessus.</t>
  </si>
  <si>
    <t>Indiquez par une "X" si vous voulez afficher la valeur des indicateurs dans :</t>
  </si>
  <si>
    <t xml:space="preserve"> le site impacté avant impact, avec impact envisagé (simulation) et après impact (observation sur le terrain).</t>
  </si>
  <si>
    <t>…la part du site avec
un couvert végétal
permanent est
très forte</t>
  </si>
  <si>
    <t>…la part du site avec
un couvert végétal
permanent est
très faible</t>
  </si>
  <si>
    <t>…le couvert végétal
est principalement
clairsemé ou muscinal</t>
  </si>
  <si>
    <t>…le couvert végétal est absent ou
principalement bas</t>
  </si>
  <si>
    <t>…le couvert végétal
est principalement
arborescent</t>
  </si>
  <si>
    <t>…le couvert végétal
est principalement
herbacé avec export de biomasse et/ou arbustif et/ou arborescent</t>
  </si>
  <si>
    <t>…le couvert végétal est principalement
arborescent</t>
  </si>
  <si>
    <t>… les rigoles sont absentes ou à très faible densité</t>
  </si>
  <si>
    <t>… la densité de rigole
est très élevée</t>
  </si>
  <si>
    <t>… la densité de fossé
profond est
très élevée</t>
  </si>
  <si>
    <t>… la densité de fossé
est très élevée</t>
  </si>
  <si>
    <t>… les fossés sont
absents ou à très
faible densité</t>
  </si>
  <si>
    <t>… les fossés profonds
sont absents ou à très faible densité</t>
  </si>
  <si>
    <t>… les fossés et fossés
profonds sont pas
ou très peu végétalisés</t>
  </si>
  <si>
    <t>… les fossés et fossés
profonds sont très végétalisés</t>
  </si>
  <si>
    <t>… la part du site et de la zone tampon drainée par des drains souterrains est très importante</t>
  </si>
  <si>
    <t>… la part du site ravinée sans couvert végétal permanent est très importante</t>
  </si>
  <si>
    <t>… la part du linéaire de berges érodée ou non stabilisée est très importante</t>
  </si>
  <si>
    <t>… la part du linéaire de berges végétalisée ou stabilisée par des aménagements est très importante</t>
  </si>
  <si>
    <t>… le pH moyen du sol
est très acide
ou très basique</t>
  </si>
  <si>
    <t>… le pH moyen du sol
est compris
entre [6-7]</t>
  </si>
  <si>
    <t>… l'épisolum humifère
en surface est absent
ou très peu épais</t>
  </si>
  <si>
    <t>… l'épisolum humifère
en surface est
très épais</t>
  </si>
  <si>
    <t>… il n'y a pas d'horizon
humifère enfoui ou
très peu épais</t>
  </si>
  <si>
    <t>… l'horizon humifère
enfoui est
très épais</t>
  </si>
  <si>
    <t>… il n'y a pas d'horizon
histique ou très peu
épais et/ou très décomposé</t>
  </si>
  <si>
    <t>… l'horizon
histique est épais et peu décomposé</t>
  </si>
  <si>
    <t>… il n'y a pas d'horizon
histique enfoui
ou très peu épais
et/ou très décomposé</t>
  </si>
  <si>
    <t>… l'horizon histique
enfoui est épais
et peu décomposé</t>
  </si>
  <si>
    <t>… la texture est principalement
sableuse entre
0 et 30 cm
de profondeur</t>
  </si>
  <si>
    <t>… la texture est principalement
limoneuse entre
0 et 30 cm
de profondeur</t>
  </si>
  <si>
    <t>… la texture est principalement
argileuse et/ou
sableuse entre
0 et 30 cm
de profondeur</t>
  </si>
  <si>
    <t>… la texture est principalement
argileuse entre
0 et 30 cm
de profondeur</t>
  </si>
  <si>
    <t>… la texture est principalement
sableuse entre
30 et 120 cm
de profondeur</t>
  </si>
  <si>
    <t>… la texture est principalement
argileuse entre
30 et 120 cm
de profondeur</t>
  </si>
  <si>
    <t>… la conductivité hydraulique est très
réduite entre
0 et 30 cm
de profondeur</t>
  </si>
  <si>
    <t>… la conductivité hydraulique est très
importante entre
0 et 30 cm
de profondeur</t>
  </si>
  <si>
    <t>… la conductivité hydraulique est très
réduite entre
30 et 120 cm
de profondeur</t>
  </si>
  <si>
    <t>… la conductivité hydraulique est très
importante entre
30 et 120 cm
de profondeur</t>
  </si>
  <si>
    <t>… l'hydromorphie est
très réduite
(traits rédoxiques)</t>
  </si>
  <si>
    <t>… l'hydromorphie est
très élevée
(traits histiques)</t>
  </si>
  <si>
    <t>… le nombre d'habitats
EUNIS niveau 1
est très réduit</t>
  </si>
  <si>
    <t>… le nombre d'habitats
EUNIS niveau 1
est très important</t>
  </si>
  <si>
    <t>… le nombre d'habitats
EUNIS niveau 3
est très réduit</t>
  </si>
  <si>
    <t>… le nombre d'habitats
EUNIS niveau 3
est très important</t>
  </si>
  <si>
    <t>… un ou quelques habitats EUNIS
niveau 1 sont
largement dominants
sur les autres</t>
  </si>
  <si>
    <t>… la part relative des habitats EUNIS
niveau 1 est similaire
à celle des autres</t>
  </si>
  <si>
    <t>… un ou quelques habitats EUNIS
niveau 3 sont
largement dominants
sur les autres</t>
  </si>
  <si>
    <t>… la part relative des habitats EUNIS
niveau 3 est similaire
à celle des autres</t>
  </si>
  <si>
    <t>… la composition des habitats EUNIS niveau 1 dans le site et dans le paysage est
très différente</t>
  </si>
  <si>
    <t>… la composition des habitats EUNIS niveau 1 dans le site et dans le paysage est
très similaire</t>
  </si>
  <si>
    <t>… les lisières entre les habitats EUNIS niveau 3 sont très
importantes</t>
  </si>
  <si>
    <t>… les lisières entre les habitats EUNIS niveau 3 sont très réduites</t>
  </si>
  <si>
    <t>… les perturbations anthropiques sont extrêmes</t>
  </si>
  <si>
    <t>… les perturbations anthropiques sont modérées à quasi-absentes.</t>
  </si>
  <si>
    <t>… la part du site occupée
par des espèces végétales associées à des invasions biologiques est élevée</t>
  </si>
  <si>
    <t>… la part du site occupée
par des espèces végétales associées à des invasions biologiques est réduite ou absente</t>
  </si>
  <si>
    <t>ou</t>
  </si>
  <si>
    <t xml:space="preserve"> le site de compensation avant action écologique, avec action écologique envisagée (simulation) et après action écologique (observation sur le terrain).</t>
  </si>
  <si>
    <t>Valeur de l'indicateur
 indépendante de la superficie du site
[0-1]</t>
  </si>
  <si>
    <r>
      <t xml:space="preserve"> le site impacté </t>
    </r>
    <r>
      <rPr>
        <u/>
        <sz val="12"/>
        <rFont val="Arial"/>
        <family val="2"/>
      </rPr>
      <t>après impact</t>
    </r>
    <r>
      <rPr>
        <sz val="12"/>
        <rFont val="Arial"/>
        <family val="2"/>
      </rPr>
      <t xml:space="preserve"> et le site de compensation </t>
    </r>
    <r>
      <rPr>
        <u/>
        <sz val="12"/>
        <rFont val="Arial"/>
        <family val="2"/>
      </rPr>
      <t>après action écologique (observation sur le terrain).</t>
    </r>
  </si>
  <si>
    <t>Plus le rectangle noir est important, plus la valeur de l'indicateur est proche de 1 et plus l'intensité relative de la fonction associée est importante vu cet indicateur.
Il est possible d'afficher la valeur de l'indicateur dans les rectangles (clique droit --&gt; Format de cellule --&gt; Onglet "Nombre", sélectionnez catégorie : Nombre).
Note : ce n'est pas à partir de cette seule valeur qu'une conclusion est donnée sur la vraisemblance d'une équivalence fonctionnelle.
Cette conclusion est faite sur cette valeur multipliée par la superficie du site.</t>
  </si>
  <si>
    <t xml:space="preserve"> l'environnement du site impacté avant impact, avec impact envisagé (simulation) et après impact (observation sur le terrain).</t>
  </si>
  <si>
    <t xml:space="preserve"> l'environnement du site de compensation avant action écologique, avec action écologique envisagée (simulation) et après action écologique (observation sur le terrain).</t>
  </si>
  <si>
    <t>Plus le rectangle noir est important, plus la valeur de l'indicateur est proche de 1 et plus l'opportunité relative de réaliser la fonction associée est importante vu cet indicateur.
Il est possible d'afficher la valeur de l'indicateur dans les rectangles (clique droit --&gt; Format de cellule --&gt; Onglet "Nombre", sélectionnez catégorie : Nombre).
Note : avec cette version de la méthode, aucune conclusion n'est donnée sur la vraisemblance d'une équivalence fonctionnelle pour les indicateurs dans l'environnement du site.</t>
  </si>
  <si>
    <t>Valeur de l'indicateur
 indépendante de la superficie de l'environnement du site
[0-1]</t>
  </si>
  <si>
    <t>Dans la zone contributive du site</t>
  </si>
  <si>
    <t>Dans la zone tampon du site</t>
  </si>
  <si>
    <t>Dans le paysage du site</t>
  </si>
  <si>
    <t>… il n'y a pas de drain souterrain ou quand la part du site et de la zone tampon drainée par des drains souterrains est très faible</t>
  </si>
  <si>
    <t>… il n'y a pas de ravines, ou quand la part du site ravinée sans couvert végétal permanent est très faible</t>
  </si>
  <si>
    <t>… les unités d'habitats
EUNIS niveau 1 du site
sont très isolées des autres unités d'habitats similaires</t>
  </si>
  <si>
    <t>… les unités d'habitats
EUNIS niveau 1 du site
sont très proches des autres unités d'habitats similaires</t>
  </si>
  <si>
    <t xml:space="preserve"> … la part de la zone contributive qui est construite est très faible</t>
  </si>
  <si>
    <t xml:space="preserve"> … la part de la zone contributive qui est enherbée est très faible</t>
  </si>
  <si>
    <t xml:space="preserve"> … la part de la zone contributive qui est en cultures est très faible</t>
  </si>
  <si>
    <t xml:space="preserve"> … la part de la zone contributive qui est construite est très forte</t>
  </si>
  <si>
    <t xml:space="preserve"> … la part de la zone contributive qui est enherbée est très forte</t>
  </si>
  <si>
    <t xml:space="preserve"> … la part de la zone contributive qui est en cultures est très forte</t>
  </si>
  <si>
    <t xml:space="preserve"> … la densité d'infrastructures de transport est très faible dans la zone contributive</t>
  </si>
  <si>
    <t xml:space="preserve"> … la densité d'infrastructures de transport est très forte dans la zone contributive</t>
  </si>
  <si>
    <t>… la part de la zone tampon avec un couvert végétal permanent est très forte</t>
  </si>
  <si>
    <t>… la part de la zone tampon avec un couvert végétal permanent est très faible</t>
  </si>
  <si>
    <t>… le cours d'eau associé au site est rectiligne</t>
  </si>
  <si>
    <t>… le cours d'eau associé au site est méandriforme</t>
  </si>
  <si>
    <t>… le site est très proche du cours d'eau</t>
  </si>
  <si>
    <t>… le cours d'eau est fortement incisé</t>
  </si>
  <si>
    <t>… le cours d'eau est très peu incisé</t>
  </si>
  <si>
    <t>… le nombre d'habitats
EUNIS niveau 1 dans le paysage est très réduit</t>
  </si>
  <si>
    <t>… le nombre d'habitats
EUNIS niveau 1 dans le paysage est très important</t>
  </si>
  <si>
    <t>… un ou quelques habitats EUNIS niveau 1 sont
largement dominants
sur les autres dans le paysage</t>
  </si>
  <si>
    <t>… la part relative des habitats EUNIS niveau 1 est similaire
à celle des autres dans le paysage</t>
  </si>
  <si>
    <t xml:space="preserve"> … la densité et la superficie de haies est très faible dans le paysage</t>
  </si>
  <si>
    <t xml:space="preserve"> … la densité et la superficie de haies est très forte dans le paysage</t>
  </si>
  <si>
    <t xml:space="preserve"> … la densité de corridors aquatiques permanents est très faible dans le paysage</t>
  </si>
  <si>
    <t xml:space="preserve"> … la densité de corridors aquatiques permanents est très forte dans le paysage</t>
  </si>
  <si>
    <t xml:space="preserve"> … la densité de corridors aquatiques temporaires est très faible dans le paysage</t>
  </si>
  <si>
    <t xml:space="preserve"> … la densité de corridors aquatiques temporaires est très forte dans le paysage</t>
  </si>
  <si>
    <t xml:space="preserve"> … la densité de grandes infrastructures est très forte dans le paysage</t>
  </si>
  <si>
    <t xml:space="preserve"> … la densité de grandes infrastructures est très faible dans le paysage</t>
  </si>
  <si>
    <t xml:space="preserve"> … la densité de petites infrastructures est très forte dans le paysage</t>
  </si>
  <si>
    <t xml:space="preserve"> … la densité de petites infrastructures est très faible dans le paysage</t>
  </si>
  <si>
    <t>FIGURE 1 : L'EVALUATION DE LA VRAISEMBLANCE D'UNE EQUIVALENCE FONCTIONNELLE POUR LES INDICATEURS MESURES SUR LE COUVERT VEGETAL DU SITE IMPACTE ET DU SITE DE COMPENSATION</t>
  </si>
  <si>
    <t>FIGURE 2 : L'EVALUATION DE LA VRAISEMBLANCE D'UNE EQUIVALENCE FONCTIONNELLE POUR LES INDICATEURS MESURES
SUR LES SYSTEMES DE DRAINAGE DU SITE IMPACTE ET DU SITE DE COMPENSATION</t>
  </si>
  <si>
    <t>FIGURE 3 : L'EVALUATION DE LA VRAISEMBLANCE D'UNE EQUIVALENCE FONCTIONNELLE POUR LES INDICATEURS MESURES
SUR L'EROSION DANS LE SITE IMPACTE ET LE SITE DE COMPENSATION</t>
  </si>
  <si>
    <t>FIGURE 4 : L'EVALUATION DE LA VRAISEMBLANCE D'UNE EQUIVALENCE FONCTIONNELLE POUR LES INDICATEURS MESURES
SUR LE SOL DANS LE SITE IMPACTE ET LE SITE DE COMPENSATION (1/2)</t>
  </si>
  <si>
    <t>FIGURE 5 : L'EVALUATION DE LA VRAISEMBLANCE D'UNE EQUIVALENCE FONCTIONNELLE POUR LES INDICATEURS MESURES
SUR LE SOL DANS LE SITE IMPACTE ET LE SITE DE COMPENSATION (2/2)</t>
  </si>
  <si>
    <t>FIGURE 6 : L'EVALUATION DE LA VRAISEMBLANCE D'UNE EQUIVALENCE FONCTIONNELLE POUR LES INDICATEURS MESURES
SUR LES HABITATS DANS LE SITE IMPACTE ET LE SITE DE COMPENSATION</t>
  </si>
  <si>
    <r>
      <t>Sur le site impacté : la</t>
    </r>
    <r>
      <rPr>
        <b/>
        <sz val="14"/>
        <rFont val="Arial"/>
        <family val="2"/>
      </rPr>
      <t xml:space="preserve"> perte fonctionnelle</t>
    </r>
    <r>
      <rPr>
        <sz val="14"/>
        <rFont val="Arial"/>
        <family val="2"/>
      </rPr>
      <t xml:space="preserve"> indique une baisse de l'intensité de la fonction après l'impact (ce qui est perdu sur le site impacté).</t>
    </r>
  </si>
  <si>
    <r>
      <t xml:space="preserve">Sur le site de compensation : le </t>
    </r>
    <r>
      <rPr>
        <b/>
        <sz val="14"/>
        <rFont val="Arial"/>
        <family val="2"/>
      </rPr>
      <t>gain fonctionnel</t>
    </r>
    <r>
      <rPr>
        <sz val="14"/>
        <rFont val="Arial"/>
        <family val="2"/>
      </rPr>
      <t xml:space="preserve"> indique une hausse de l'intensité de la fonction après l'action écologique. Ce gain fonctionnel correspond à une </t>
    </r>
    <r>
      <rPr>
        <b/>
        <sz val="14"/>
        <rFont val="Arial"/>
        <family val="2"/>
      </rPr>
      <t>équivalence fonctionnelle vraisemblable</t>
    </r>
    <r>
      <rPr>
        <sz val="14"/>
        <rFont val="Arial"/>
        <family val="2"/>
      </rPr>
      <t xml:space="preserve"> quand le gain fonctionnel ≥ ratio d'équivalence fonctionnelle choisi par l'observateur × la perte fonctionnelle sur le site impacté.
Le </t>
    </r>
    <r>
      <rPr>
        <b/>
        <sz val="14"/>
        <rFont val="Arial"/>
        <family val="2"/>
      </rPr>
      <t>déclin fonctionnel</t>
    </r>
    <r>
      <rPr>
        <sz val="14"/>
        <rFont val="Arial"/>
        <family val="2"/>
      </rPr>
      <t xml:space="preserve"> indique une baisse de l'intensité de la fonction après l'action écologique.</t>
    </r>
  </si>
  <si>
    <t>Aménagements pour faciliter la traversée des grandes infrastructures de transport dans le paysage par la faune</t>
  </si>
  <si>
    <t>Aménagements pour faciliter la traversée des petites infrastructures de transport dans le paysage par la faune</t>
  </si>
  <si>
    <t>Présence de ligne à haute tension dans le paysage</t>
  </si>
  <si>
    <t>Présence de parc éolien dans le paysage</t>
  </si>
  <si>
    <t>Présence de puits de captage dans le paysage</t>
  </si>
  <si>
    <t>Habitats EUNIS ou CORINE infra-niveau 3</t>
  </si>
  <si>
    <t>Présence d'endiguement entre le site et le cours d'eau</t>
  </si>
  <si>
    <t>Substrats géologiques dans le site</t>
  </si>
  <si>
    <t>Espèces végétales au statut de conservation défavorable</t>
  </si>
  <si>
    <t>Habitats naturels prioritaires</t>
  </si>
  <si>
    <t>Espèces animales au statut de conservation défavorable</t>
  </si>
  <si>
    <t>Liste de référence pour identifier les espèces associées à des invasions biologiques</t>
  </si>
  <si>
    <t>Espèces animales associées à des invasions biologiques</t>
  </si>
  <si>
    <t>Espèces végétales associées à des invasions biologiques</t>
  </si>
  <si>
    <t>Présence d'information pour renseigner la part du site occupée par des espèces associées à des invasions biologiques durant la période végétative</t>
  </si>
  <si>
    <t>Présence de fossés d'extraction de tourbe ?</t>
  </si>
  <si>
    <t xml:space="preserve"> le site impacté avant impact.</t>
  </si>
  <si>
    <t xml:space="preserve"> le site impacté avec impact envisagé (simulation).</t>
  </si>
  <si>
    <t xml:space="preserve"> le site impacté après impact (observation sur le terrain).</t>
  </si>
  <si>
    <t xml:space="preserve"> le site de compensation avant action écologique.</t>
  </si>
  <si>
    <t xml:space="preserve"> le site de compensation avec action écologique envisagée (simulation).</t>
  </si>
  <si>
    <t xml:space="preserve"> le site de compensation après action écologique (observation sur le terrain).</t>
  </si>
  <si>
    <t>Les infrastructures</t>
  </si>
  <si>
    <t>Le cours d'eau associé au site</t>
  </si>
  <si>
    <t>Géologie et relief</t>
  </si>
  <si>
    <t>L'hydrologie</t>
  </si>
  <si>
    <t>Présence du site sur un versant ?</t>
  </si>
  <si>
    <t>Si le site est sur un versant, exposition du site</t>
  </si>
  <si>
    <t>Présence d'aménagement limitant le ravinement ?</t>
  </si>
  <si>
    <t>Présence de pertes ?</t>
  </si>
  <si>
    <t>Présence de sources ?</t>
  </si>
  <si>
    <t>Présence d'aménagements hydrauliques modulant les écoulements des fossés et fossés profonds ?</t>
  </si>
  <si>
    <t>Fossés ou fossés profonds évacuant les écoulements d'une source ?</t>
  </si>
  <si>
    <t>Présence de bassin pour recevoir les eaux issues des drains souterrains ?</t>
  </si>
  <si>
    <t>Cours d'eau associé au site s'écoule dans son talweg ?</t>
  </si>
  <si>
    <t>Présence d'ouvrage en aval du site modulant les écoulements dans le cours d'eau ?</t>
  </si>
  <si>
    <t>Le ratio d'équivalence fonctionnelle appliqué est celui que vous avez choisi pour afficher le tableau 2 dans la feuille SYNTHESE EVAL. EQ. FCT.</t>
  </si>
  <si>
    <t>La biodiversité protégée ou menacée présente dans le site</t>
  </si>
  <si>
    <t>Annexe II et IV de la Directive Faune Flore Habitats</t>
  </si>
  <si>
    <t>Arrêté régional fixant la liste des espèces protégées et/ou éventuellement la liste rouge régionale listant les espèces menacées</t>
  </si>
  <si>
    <t>Question 49* - Quels sont les habitats naturels au sens de l’Annexe I de la Directive Faune Flore Habitats dont la présence est connue dans le site ?</t>
  </si>
  <si>
    <t>Arrêté national fixant la liste des espèces protégées et/ou liste rouge nationale listant les espèces menacées</t>
  </si>
  <si>
    <t>Eventuellement liste rouge régionale listant les espèces menacées</t>
  </si>
  <si>
    <t>Les espèces associées à des invasions biologiques présentes dans le site</t>
  </si>
  <si>
    <t>Question 57 - Si des habitats FA.1, FB.1, FB.2, FB.3, FB.4 sont dans le site, renseignez les types de couverts herbacés dans ces habitats.</t>
  </si>
  <si>
    <t>Question 58 - Si des habitats G1.C, G1.D, G2.8, G2.9, G3.F sont dans le site, renseignez les types de couverts herbacés et arbustifs dans ces habitats.</t>
  </si>
  <si>
    <t>Question 3 - Le site appartient à quelle masse d’eau de surface ?</t>
  </si>
  <si>
    <t>Nombre d'indicateurs renseignés à la fois dans les 2 sites</t>
  </si>
  <si>
    <t>Pour combien d'indicateurs
le gain fonctionnel
compense-t-il la perte fonctionnelle ?</t>
  </si>
  <si>
    <t>… le site est très éloigné du cours d'eau</t>
  </si>
  <si>
    <t>24, 25 ou 26</t>
  </si>
  <si>
    <t>77, 78</t>
  </si>
  <si>
    <t>22, 39</t>
  </si>
  <si>
    <t>TABLEAU 2 : SYNTHESE SUR L'EQUIVALENCE FONCTIONNELLE PAR FONCTION DANS LES SITES</t>
  </si>
  <si>
    <t>TABLEAU 3 : SYNTHESE SUR L'EQUIVALENCE FONCTIONNELLE PAR INDICATEUR DANS LES SITES</t>
  </si>
  <si>
    <t>TABLEAU 5 : DETAILS DE LA VALEUR DES INDICATEURS DANS L'ENVIRONNEMENT DES SITES</t>
  </si>
  <si>
    <t>TABLEAU 6 : INFORMATIONS COMPLEMENTAIRES AUX INDICATEURS DANS LES SITES</t>
  </si>
  <si>
    <t>TABLEAU 4 : DETAILS DE LA VALEUR DES INDICATEURS DANS LES SITES</t>
  </si>
  <si>
    <t>Site impacté après impact</t>
  </si>
  <si>
    <t>Site de compensation après action écologique</t>
  </si>
  <si>
    <t>Site impacté avant impact (état initial)</t>
  </si>
  <si>
    <t>Site de compensation avant action écologique (état initial)</t>
  </si>
  <si>
    <t>Site impacté avec impact envisagé (simulation)</t>
  </si>
  <si>
    <t>Site de compensation avec action écologique envisagée (simulation)</t>
  </si>
  <si>
    <t>Documents mobilisés pour répondre aux questions</t>
  </si>
  <si>
    <t>Q1 - Superficie du site en ha</t>
  </si>
  <si>
    <t>Question 8 - Quelle est la zone contributive du site ?</t>
  </si>
  <si>
    <t>Q13 - Superficie surfaces enherbées zone contributive</t>
  </si>
  <si>
    <t>Q13 - Superficie surfaces cultivées zone contributive</t>
  </si>
  <si>
    <t>Q59 - Présence de pertes</t>
  </si>
  <si>
    <t>Q59 - Présence de sources</t>
  </si>
  <si>
    <t>Q61 - Modulation écoulements fossés et fossés profonds par des aménagements</t>
  </si>
  <si>
    <t>Q62 - Evacuation écoulements d'une source par les fossés et fossés profonds</t>
  </si>
  <si>
    <t>Q63 - Certitude sur la présence de drains souterrains site et zone tampon</t>
  </si>
  <si>
    <t>Q77 - Nombre total unités d'habitats EUNIS 1 dans site</t>
  </si>
  <si>
    <t>Partie 1 observateur 1 -Nom</t>
  </si>
  <si>
    <t>Partie 1 observateur 1 -Prénom</t>
  </si>
  <si>
    <t>Partie 1 observateur 1 -Fonction</t>
  </si>
  <si>
    <t>Partie 1 observateur 1 -Organisme</t>
  </si>
  <si>
    <t>Partie 1 observateur 2 -Nom</t>
  </si>
  <si>
    <t>Partie 1 observateur 2 -Prénom</t>
  </si>
  <si>
    <t>Partie 1 observateur 2 -Fonction</t>
  </si>
  <si>
    <t>Partie 1 observateur 2 -Organisme</t>
  </si>
  <si>
    <t>Partie 1 observateur 3 -Nom</t>
  </si>
  <si>
    <t>Partie 1 observateur 3 -Prénom</t>
  </si>
  <si>
    <t>Partie 1 observateur 3 -Fonction</t>
  </si>
  <si>
    <t>Partie 1 observateur 3 -Organisme</t>
  </si>
  <si>
    <t>Partie 1 observateur 4 -Nom</t>
  </si>
  <si>
    <t>Partie 1 observateur 4 -Prénom</t>
  </si>
  <si>
    <t>Partie 1 observateur 4 -Fonction</t>
  </si>
  <si>
    <t>Partie 1 observateur 4 -Organisme</t>
  </si>
  <si>
    <t>partie 2-Date</t>
  </si>
  <si>
    <t>Partie 2 observateur 1 -Nom</t>
  </si>
  <si>
    <t>Partie 2 observateur 1 -Prénom</t>
  </si>
  <si>
    <t>Partie 2 observateur 1 -Fonction</t>
  </si>
  <si>
    <t>Partie 2 observateur 1 -Organisme</t>
  </si>
  <si>
    <t>Partie 2 observateur 2 -Nom</t>
  </si>
  <si>
    <t>Partie 2 observateur 2 -Prénom</t>
  </si>
  <si>
    <t>Partie 2 observateur 2 -Fonction</t>
  </si>
  <si>
    <t>Partie 2 observateur 2 -Organisme</t>
  </si>
  <si>
    <t>Partie 2 observateur 3 -Nom</t>
  </si>
  <si>
    <t>Partie 2 observateur 3 -Prénom</t>
  </si>
  <si>
    <t>Partie 2 observateur 3 -Fonction</t>
  </si>
  <si>
    <t>Partie 2 observateur 3 -Organisme</t>
  </si>
  <si>
    <t>Partie 2 observateur 4 -Nom</t>
  </si>
  <si>
    <t>Partie 2 observateur 4 -Prénom</t>
  </si>
  <si>
    <t>Partie 2 observateur 4 -Fonction</t>
  </si>
  <si>
    <t>Partie 2 observateur 4 -Organisme</t>
  </si>
  <si>
    <t>Q73 - Sondage 2 - sous-ens. Homog.</t>
  </si>
  <si>
    <t>Q73 - Sondage 2 - sous-ens. Homog. Pourcentage</t>
  </si>
  <si>
    <t>Q73 - Sondage 2 - habitat EUNIS 3 associé</t>
  </si>
  <si>
    <t>Q73 - Sondage 2 - coord. Géog.</t>
  </si>
  <si>
    <t>Q73 - Sondage 2 - pH</t>
  </si>
  <si>
    <t>Q73 - Sondage 2 - traits d'hydrom. Histiques</t>
  </si>
  <si>
    <t>Q73 - Sondage 2 - traits d'hydrom. Réductiques</t>
  </si>
  <si>
    <t>Q73 - Sondage 2 - traits d'hydrom. Rédoxiques (g ou –g) qui débutent à moins de 0,25 m de profondeur et se prolongent ou s'intensifient en profondeur</t>
  </si>
  <si>
    <t>Q73 - Sondage 2 - traits d'hydrom. Rédoxiques à moins de 0,5 m de profondeur, se prolongent ou s’intensifient en profondeur, et des traits réductiques apparaissent entre 0,8 et 1,2 m</t>
  </si>
  <si>
    <t>Q73 - Sondage 2 - Epaisseur de l’épisolum humifère en surface</t>
  </si>
  <si>
    <t>Q73 - Sondage 2 - Epaisseur de l’horizon Ab</t>
  </si>
  <si>
    <t>Q73 - Sondage 2 - texture ou horizons histiques - [0-10 cm]</t>
  </si>
  <si>
    <t>Q73 - Sondage 2 - texture ou horizons histiques - ]10-20 cm]</t>
  </si>
  <si>
    <t>Q73 - Sondage 2 - texture ou horizons histiques - ]20-30 cm]</t>
  </si>
  <si>
    <t>Q73 - Sondage 2 - texture ou horizons histiques - ]30-40 cm]</t>
  </si>
  <si>
    <t>Q73 - Sondage 2 - texture ou horizons histiques - ]40-50 cm]</t>
  </si>
  <si>
    <t>Q73 - Sondage 2 - texture ou horizons histiques - ]50-60 cm]</t>
  </si>
  <si>
    <t>Q73 - Sondage 2 - texture ou horizons histiques - ]60-70 cm]</t>
  </si>
  <si>
    <t>Q73 - Sondage 2 - texture ou horizons histiques - ]70-80 cm]</t>
  </si>
  <si>
    <t>Q73 - Sondage 2 - texture ou horizons histiques - ]80-90 cm]</t>
  </si>
  <si>
    <t>Q73 - Sondage 2 - texture ou horizons histiques - ]90-100 cm]</t>
  </si>
  <si>
    <t>Q73 - Sondage 2 - texture ou horizons histiques - ]100-110 cm]</t>
  </si>
  <si>
    <t>Q73 - Sondage 2 - texture ou horizons histiques - ]110-120 cm]</t>
  </si>
  <si>
    <t>Q73 - Sondage 3 - sous-ens. Homog.</t>
  </si>
  <si>
    <t>Q73 - Sondage 3 - sous-ens. Homog. Pourcentage</t>
  </si>
  <si>
    <t>Q73 - Sondage 3 - habitat EUNIS 3 associé</t>
  </si>
  <si>
    <t>Q73 - Sondage 3 - coord. Géog.</t>
  </si>
  <si>
    <t>Q73 - Sondage 3 - pH</t>
  </si>
  <si>
    <t>Q73 - Sondage 3 - traits d'hydrom. Histiques</t>
  </si>
  <si>
    <t>Q73 - Sondage 3 - traits d'hydrom. Réductiques</t>
  </si>
  <si>
    <t>Q73 - Sondage 3 - traits d'hydrom. Rédoxiques (g ou –g) qui débutent à moins de 0,25 m de profondeur et se prolongent ou s'intensifient en profondeur</t>
  </si>
  <si>
    <t>Q73 - Sondage 3 - traits d'hydrom. Rédoxiques à moins de 0,5 m de profondeur, se prolongent ou s’intensifient en profondeur, et des traits réductiques apparaissent entre 0,8 et 1,2 m</t>
  </si>
  <si>
    <t>Q73 - Sondage 3 - Epaisseur de l’épisolum humifère en surface</t>
  </si>
  <si>
    <t>Q73 - Sondage 3 - Epaisseur de l’horizon Ab</t>
  </si>
  <si>
    <t>Q73 - Sondage 3 - texture ou horizons histiques - [0-10 cm]</t>
  </si>
  <si>
    <t>Q73 - Sondage 3 - texture ou horizons histiques - ]10-20 cm]</t>
  </si>
  <si>
    <t>Q73 - Sondage 3 - texture ou horizons histiques - ]20-30 cm]</t>
  </si>
  <si>
    <t>Q73 - Sondage 3 - texture ou horizons histiques - ]30-40 cm]</t>
  </si>
  <si>
    <t>Q73 - Sondage 3 - texture ou horizons histiques - ]40-50 cm]</t>
  </si>
  <si>
    <t>Q73 - Sondage 3 - texture ou horizons histiques - ]50-60 cm]</t>
  </si>
  <si>
    <t>Q73 - Sondage 3 - texture ou horizons histiques - ]60-70 cm]</t>
  </si>
  <si>
    <t>Q73 - Sondage 3 - texture ou horizons histiques - ]70-80 cm]</t>
  </si>
  <si>
    <t>Q73 - Sondage 3 - texture ou horizons histiques - ]80-90 cm]</t>
  </si>
  <si>
    <t>Q73 - Sondage 3 - texture ou horizons histiques - ]90-100 cm]</t>
  </si>
  <si>
    <t>Q73 - Sondage 3 - texture ou horizons histiques - ]100-110 cm]</t>
  </si>
  <si>
    <t>Q73 - Sondage 3 - texture ou horizons histiques - ]110-120 cm]</t>
  </si>
  <si>
    <t>Q73 - Sondage 4 - sous-ens. Homog.</t>
  </si>
  <si>
    <t>Q73 - Sondage 4 - sous-ens. Homog. Pourcentage</t>
  </si>
  <si>
    <t>Q73 - Sondage 4 - habitat EUNIS 3 associé</t>
  </si>
  <si>
    <t>Q73 - Sondage 4 - coord. Géog.</t>
  </si>
  <si>
    <t>Q73 - Sondage 4 - pH</t>
  </si>
  <si>
    <t>Q73 - Sondage 4 - traits d'hydrom. Histiques</t>
  </si>
  <si>
    <t>Q73 - Sondage 4 - traits d'hydrom. Réductiques</t>
  </si>
  <si>
    <t>Q73 - Sondage 4 - traits d'hydrom. Rédoxiques (g ou –g) qui débutent à moins de 0,25 m de profondeur et se prolongent ou s'intensifient en profondeur</t>
  </si>
  <si>
    <t>Q73 - Sondage 4 - traits d'hydrom. Rédoxiques à moins de 0,5 m de profondeur, se prolongent ou s’intensifient en profondeur, et des traits réductiques apparaissent entre 0,8 et 1,2 m</t>
  </si>
  <si>
    <t>Q73 - Sondage 4 - Epaisseur de l’épisolum humifère en surface</t>
  </si>
  <si>
    <t>Q73 - Sondage 4 - Epaisseur de l’horizon Ab</t>
  </si>
  <si>
    <t>Q73 - Sondage 4 - texture ou horizons histiques - [0-10 cm]</t>
  </si>
  <si>
    <t>Q73 - Sondage 4 - texture ou horizons histiques - ]10-20 cm]</t>
  </si>
  <si>
    <t>Q73 - Sondage 4 - texture ou horizons histiques - ]20-30 cm]</t>
  </si>
  <si>
    <t>Q73 - Sondage 4 - texture ou horizons histiques - ]30-40 cm]</t>
  </si>
  <si>
    <t>Q73 - Sondage 4 - texture ou horizons histiques - ]40-50 cm]</t>
  </si>
  <si>
    <t>Q73 - Sondage 4 - texture ou horizons histiques - ]50-60 cm]</t>
  </si>
  <si>
    <t>Q73 - Sondage 4 - texture ou horizons histiques - ]60-70 cm]</t>
  </si>
  <si>
    <t>Q73 - Sondage 4 - texture ou horizons histiques - ]70-80 cm]</t>
  </si>
  <si>
    <t>Q73 - Sondage 4 - texture ou horizons histiques - ]80-90 cm]</t>
  </si>
  <si>
    <t>Q73 - Sondage 4 - texture ou horizons histiques - ]90-100 cm]</t>
  </si>
  <si>
    <t>Q73 - Sondage 4 - texture ou horizons histiques - ]100-110 cm]</t>
  </si>
  <si>
    <t>Q73 - Sondage 4 - texture ou horizons histiques - ]110-120 cm]</t>
  </si>
  <si>
    <t>Q73 - Sondage 5 - sous-ens. Homog.</t>
  </si>
  <si>
    <t>Q73 - Sondage 5 - sous-ens. Homog. Pourcentage</t>
  </si>
  <si>
    <t>Q73 - Sondage 5 - habitat EUNIS 3 associé</t>
  </si>
  <si>
    <t>Q73 - Sondage 5 - coord. Géog.</t>
  </si>
  <si>
    <t>Q73 - Sondage 5 - pH</t>
  </si>
  <si>
    <t>Q73 - Sondage 5 - traits d'hydrom. Histiques</t>
  </si>
  <si>
    <t>Q73 - Sondage 5 - traits d'hydrom. Réductiques</t>
  </si>
  <si>
    <t>Q73 - Sondage 5 - traits d'hydrom. Rédoxiques (g ou –g) qui débutent à moins de 0,25 m de profondeur et se prolongent ou s'intensifient en profondeur</t>
  </si>
  <si>
    <t>Q73 - Sondage 5 - traits d'hydrom. Rédoxiques à moins de 0,5 m de profondeur, se prolongent ou s’intensifient en profondeur, et des traits réductiques apparaissent entre 0,8 et 1,2 m</t>
  </si>
  <si>
    <t>Q73 - Sondage 5 - Epaisseur de l’épisolum humifère en surface</t>
  </si>
  <si>
    <t>Q73 - Sondage 5 - Epaisseur de l’horizon Ab</t>
  </si>
  <si>
    <t>Q73 - Sondage 5 - texture ou horizons histiques - [0-10 cm]</t>
  </si>
  <si>
    <t>Q73 - Sondage 5 - texture ou horizons histiques - ]10-20 cm]</t>
  </si>
  <si>
    <t>Q73 - Sondage 5 - texture ou horizons histiques - ]20-30 cm]</t>
  </si>
  <si>
    <t>Q73 - Sondage 5 - texture ou horizons histiques - ]30-40 cm]</t>
  </si>
  <si>
    <t>Q73 - Sondage 5 - texture ou horizons histiques - ]40-50 cm]</t>
  </si>
  <si>
    <t>Q73 - Sondage 5 - texture ou horizons histiques - ]50-60 cm]</t>
  </si>
  <si>
    <t>Q73 - Sondage 5 - texture ou horizons histiques - ]60-70 cm]</t>
  </si>
  <si>
    <t>Q73 - Sondage 5 - texture ou horizons histiques - ]70-80 cm]</t>
  </si>
  <si>
    <t>Q73 - Sondage 5 - texture ou horizons histiques - ]80-90 cm]</t>
  </si>
  <si>
    <t>Q73 - Sondage 5 - texture ou horizons histiques - ]90-100 cm]</t>
  </si>
  <si>
    <t>Q73 - Sondage 5 - texture ou horizons histiques - ]100-110 cm]</t>
  </si>
  <si>
    <t>Q73 - Sondage 5 - texture ou horizons histiques - ]110-120 cm]</t>
  </si>
  <si>
    <t>Q73 - Sondage 6 - sous-ens. Homog.</t>
  </si>
  <si>
    <t>Q73 - Sondage 6 - sous-ens. Homog. Pourcentage</t>
  </si>
  <si>
    <t>Q73 - Sondage 6 - habitat EUNIS 3 associé</t>
  </si>
  <si>
    <t>Q73 - Sondage 6 - coord. Géog.</t>
  </si>
  <si>
    <t>Q73 - Sondage 6 - pH</t>
  </si>
  <si>
    <t>Q73 - Sondage 6 - traits d'hydrom. Histiques</t>
  </si>
  <si>
    <t>Q73 - Sondage 6 - traits d'hydrom. Réductiques</t>
  </si>
  <si>
    <t>Q73 - Sondage 6 - traits d'hydrom. Rédoxiques (g ou –g) qui débutent à moins de 0,25 m de profondeur et se prolongent ou s'intensifient en profondeur</t>
  </si>
  <si>
    <t>Q73 - Sondage 6 - traits d'hydrom. Rédoxiques à moins de 0,5 m de profondeur, se prolongent ou s’intensifient en profondeur, et des traits réductiques apparaissent entre 0,8 et 1,2 m</t>
  </si>
  <si>
    <t>Q73 - Sondage 6 - Epaisseur de l’épisolum humifère en surface</t>
  </si>
  <si>
    <t>Q73 - Sondage 6 - Epaisseur de l’horizon Ab</t>
  </si>
  <si>
    <t>Q73 - Sondage 6 - texture ou horizons histiques - [0-10 cm]</t>
  </si>
  <si>
    <t>Q73 - Sondage 6 - texture ou horizons histiques - ]10-20 cm]</t>
  </si>
  <si>
    <t>Q73 - Sondage 6 - texture ou horizons histiques - ]20-30 cm]</t>
  </si>
  <si>
    <t>Q73 - Sondage 6 - texture ou horizons histiques - ]30-40 cm]</t>
  </si>
  <si>
    <t>Q73 - Sondage 6 - texture ou horizons histiques - ]40-50 cm]</t>
  </si>
  <si>
    <t>Q73 - Sondage 6 - texture ou horizons histiques - ]50-60 cm]</t>
  </si>
  <si>
    <t>Q73 - Sondage 6 - texture ou horizons histiques - ]60-70 cm]</t>
  </si>
  <si>
    <t>Q73 - Sondage 6 - texture ou horizons histiques - ]70-80 cm]</t>
  </si>
  <si>
    <t>Q73 - Sondage 6 - texture ou horizons histiques - ]80-90 cm]</t>
  </si>
  <si>
    <t>Q73 - Sondage 6 - texture ou horizons histiques - ]90-100 cm]</t>
  </si>
  <si>
    <t>Q73 - Sondage 6 - texture ou horizons histiques - ]100-110 cm]</t>
  </si>
  <si>
    <t>Q73 - Sondage 6 - texture ou horizons histiques - ]110-120 cm]</t>
  </si>
  <si>
    <t>Q73 - Sondage 7 - sous-ens. Homog.</t>
  </si>
  <si>
    <t>Q73 - Sondage 7 - sous-ens. Homog. Pourcentage</t>
  </si>
  <si>
    <t>Q73 - Sondage 7 - habitat EUNIS 3 associé</t>
  </si>
  <si>
    <t>Q73 - Sondage 7 - coord. Géog.</t>
  </si>
  <si>
    <t>Q73 - Sondage 7 - pH</t>
  </si>
  <si>
    <t>Q73 - Sondage 7 - traits d'hydrom. Histiques</t>
  </si>
  <si>
    <t>Q73 - Sondage 7 - traits d'hydrom. Réductiques</t>
  </si>
  <si>
    <t>Q73 - Sondage 7 - traits d'hydrom. Rédoxiques (g ou –g) qui débutent à moins de 0,25 m de profondeur et se prolongent ou s'intensifient en profondeur</t>
  </si>
  <si>
    <t>Q73 - Sondage 7 - traits d'hydrom. Rédoxiques à moins de 0,5 m de profondeur, se prolongent ou s’intensifient en profondeur, et des traits réductiques apparaissent entre 0,8 et 1,2 m</t>
  </si>
  <si>
    <t>Q73 - Sondage 7 - Epaisseur de l’épisolum humifère en surface</t>
  </si>
  <si>
    <t>Q73 - Sondage 7 - Epaisseur de l’horizon Ab</t>
  </si>
  <si>
    <t>Q73 - Sondage 7 - texture ou horizons histiques - [0-10 cm]</t>
  </si>
  <si>
    <t>Q73 - Sondage 7 - texture ou horizons histiques - ]10-20 cm]</t>
  </si>
  <si>
    <t>Q73 - Sondage 7 - texture ou horizons histiques - ]20-30 cm]</t>
  </si>
  <si>
    <t>Q73 - Sondage 7 - texture ou horizons histiques - ]30-40 cm]</t>
  </si>
  <si>
    <t>Q73 - Sondage 7 - texture ou horizons histiques - ]40-50 cm]</t>
  </si>
  <si>
    <t>Q73 - Sondage 7 - texture ou horizons histiques - ]50-60 cm]</t>
  </si>
  <si>
    <t>Q73 - Sondage 7 - texture ou horizons histiques - ]60-70 cm]</t>
  </si>
  <si>
    <t>Q73 - Sondage 7 - texture ou horizons histiques - ]70-80 cm]</t>
  </si>
  <si>
    <t>Q73 - Sondage 7 - texture ou horizons histiques - ]80-90 cm]</t>
  </si>
  <si>
    <t>Q73 - Sondage 7 - texture ou horizons histiques - ]90-100 cm]</t>
  </si>
  <si>
    <t>Q73 - Sondage 7 - texture ou horizons histiques - ]100-110 cm]</t>
  </si>
  <si>
    <t>Q73 - Sondage 7 - texture ou horizons histiques - ]110-120 cm]</t>
  </si>
  <si>
    <t>Q73 - Sondage 8 - sous-ens. Homog.</t>
  </si>
  <si>
    <t>Q73 - Sondage 8 - sous-ens. Homog. Pourcentage</t>
  </si>
  <si>
    <t>Q73 - Sondage 8 - habitat EUNIS 3 associé</t>
  </si>
  <si>
    <t>Q73 - Sondage 8 - coord. Géog.</t>
  </si>
  <si>
    <t>Q73 - Sondage 8 - pH</t>
  </si>
  <si>
    <t>Q73 - Sondage 8 - traits d'hydrom. Histiques</t>
  </si>
  <si>
    <t>Q73 - Sondage 8 - traits d'hydrom. Réductiques</t>
  </si>
  <si>
    <t>Q73 - Sondage 8 - traits d'hydrom. Rédoxiques (g ou –g) qui débutent à moins de 0,25 m de profondeur et se prolongent ou s'intensifient en profondeur</t>
  </si>
  <si>
    <t>Q73 - Sondage 8 - traits d'hydrom. Rédoxiques à moins de 0,5 m de profondeur, se prolongent ou s’intensifient en profondeur, et des traits réductiques apparaissent entre 0,8 et 1,2 m</t>
  </si>
  <si>
    <t>Q73 - Sondage 8 - Epaisseur de l’épisolum humifère en surface</t>
  </si>
  <si>
    <t>Q73 - Sondage 8 - Epaisseur de l’horizon Ab</t>
  </si>
  <si>
    <t>Q73 - Sondage 8 - texture ou horizons histiques - [0-10 cm]</t>
  </si>
  <si>
    <t>Q73 - Sondage 8 - texture ou horizons histiques - ]10-20 cm]</t>
  </si>
  <si>
    <t>Q73 - Sondage 8 - texture ou horizons histiques - ]20-30 cm]</t>
  </si>
  <si>
    <t>Q73 - Sondage 8 - texture ou horizons histiques - ]30-40 cm]</t>
  </si>
  <si>
    <t>Q73 - Sondage 8 - texture ou horizons histiques - ]40-50 cm]</t>
  </si>
  <si>
    <t>Q73 - Sondage 8 - texture ou horizons histiques - ]50-60 cm]</t>
  </si>
  <si>
    <t>Q73 - Sondage 8 - texture ou horizons histiques - ]60-70 cm]</t>
  </si>
  <si>
    <t>Q73 - Sondage 8 - texture ou horizons histiques - ]70-80 cm]</t>
  </si>
  <si>
    <t>Q73 - Sondage 8 - texture ou horizons histiques - ]80-90 cm]</t>
  </si>
  <si>
    <t>Q73 - Sondage 8 - texture ou horizons histiques - ]90-100 cm]</t>
  </si>
  <si>
    <t>Q73 - Sondage 8 - texture ou horizons histiques - ]100-110 cm]</t>
  </si>
  <si>
    <t>Q73 - Sondage 8 - texture ou horizons histiques - ]110-120 cm]</t>
  </si>
  <si>
    <t>Q73 - Sondage 9 - sous-ens. Homog.</t>
  </si>
  <si>
    <t>Q73 - Sondage 9 - sous-ens. Homog. Pourcentage</t>
  </si>
  <si>
    <t>Q73 - Sondage 9 - habitat EUNIS 3 associé</t>
  </si>
  <si>
    <t>Q73 - Sondage 9 - coord. Géog.</t>
  </si>
  <si>
    <t>Q73 - Sondage 9 - pH</t>
  </si>
  <si>
    <t>Q73 - Sondage 9 - traits d'hydrom. Histiques</t>
  </si>
  <si>
    <t>Q73 - Sondage 9 - traits d'hydrom. Réductiques</t>
  </si>
  <si>
    <t>Q73 - Sondage 9 - traits d'hydrom. Rédoxiques (g ou –g) qui débutent à moins de 0,25 m de profondeur et se prolongent ou s'intensifient en profondeur</t>
  </si>
  <si>
    <t>Q73 - Sondage 9 - traits d'hydrom. Rédoxiques à moins de 0,5 m de profondeur, se prolongent ou s’intensifient en profondeur, et des traits réductiques apparaissent entre 0,8 et 1,2 m</t>
  </si>
  <si>
    <t>Q73 - Sondage 9 - Epaisseur de l’épisolum humifère en surface</t>
  </si>
  <si>
    <t>Q73 - Sondage 9 - Epaisseur de l’horizon Ab</t>
  </si>
  <si>
    <t>Q73 - Sondage 9 - texture ou horizons histiques - [0-10 cm]</t>
  </si>
  <si>
    <t>Q73 - Sondage 9 - texture ou horizons histiques - ]10-20 cm]</t>
  </si>
  <si>
    <t>Q73 - Sondage 9 - texture ou horizons histiques - ]20-30 cm]</t>
  </si>
  <si>
    <t>Q73 - Sondage 9 - texture ou horizons histiques - ]30-40 cm]</t>
  </si>
  <si>
    <t>Q73 - Sondage 9 - texture ou horizons histiques - ]40-50 cm]</t>
  </si>
  <si>
    <t>Q73 - Sondage 9 - texture ou horizons histiques - ]50-60 cm]</t>
  </si>
  <si>
    <t>Q73 - Sondage 9 - texture ou horizons histiques - ]60-70 cm]</t>
  </si>
  <si>
    <t>Q73 - Sondage 9 - texture ou horizons histiques - ]70-80 cm]</t>
  </si>
  <si>
    <t>Q73 - Sondage 9 - texture ou horizons histiques - ]80-90 cm]</t>
  </si>
  <si>
    <t>Q73 - Sondage 9 - texture ou horizons histiques - ]90-100 cm]</t>
  </si>
  <si>
    <t>Q73 - Sondage 9 - texture ou horizons histiques - ]100-110 cm]</t>
  </si>
  <si>
    <t>Q73 - Sondage 9 - texture ou horizons histiques - ]110-120 cm]</t>
  </si>
  <si>
    <t>Q73 - Sondage 10 - sous-ens. Homog.</t>
  </si>
  <si>
    <t>Q73 - Sondage 10 - sous-ens. Homog. Pourcentage</t>
  </si>
  <si>
    <t>Q73 - Sondage 10 - habitat EUNIS 3 associé</t>
  </si>
  <si>
    <t>Q73 - Sondage 10 - coord. Géog.</t>
  </si>
  <si>
    <t>Q73 - Sondage 10 - pH</t>
  </si>
  <si>
    <t>Q73 - Sondage 10 - traits d'hydrom. Histiques</t>
  </si>
  <si>
    <t>Q73 - Sondage 10 - traits d'hydrom. Réductiques</t>
  </si>
  <si>
    <t>Q73 - Sondage 10 - traits d'hydrom. Rédoxiques (g ou –g) qui débutent à moins de 0,25 m de profondeur et se prolongent ou s'intensifient en profondeur</t>
  </si>
  <si>
    <t>Q73 - Sondage 10 - traits d'hydrom. Rédoxiques à moins de 0,5 m de profondeur, se prolongent ou s’intensifient en profondeur, et des traits réductiques apparaissent entre 0,8 et 1,2 m</t>
  </si>
  <si>
    <t>Q73 - Sondage 10 - Epaisseur de l’épisolum humifère en surface</t>
  </si>
  <si>
    <t>Q73 - Sondage 10 - Epaisseur de l’horizon Ab</t>
  </si>
  <si>
    <t>Q73 - Sondage 10 - texture ou horizons histiques - [0-10 cm]</t>
  </si>
  <si>
    <t>Q73 - Sondage 10 - texture ou horizons histiques - ]10-20 cm]</t>
  </si>
  <si>
    <t>Q73 - Sondage 10 - texture ou horizons histiques - ]20-30 cm]</t>
  </si>
  <si>
    <t>Q73 - Sondage 10 - texture ou horizons histiques - ]30-40 cm]</t>
  </si>
  <si>
    <t>Q73 - Sondage 10 - texture ou horizons histiques - ]40-50 cm]</t>
  </si>
  <si>
    <t>Q73 - Sondage 10 - texture ou horizons histiques - ]50-60 cm]</t>
  </si>
  <si>
    <t>Q73 - Sondage 10 - texture ou horizons histiques - ]60-70 cm]</t>
  </si>
  <si>
    <t>Q73 - Sondage 10 - texture ou horizons histiques - ]70-80 cm]</t>
  </si>
  <si>
    <t>Q73 - Sondage 10 - texture ou horizons histiques - ]80-90 cm]</t>
  </si>
  <si>
    <t>Q73 - Sondage 10 - texture ou horizons histiques - ]90-100 cm]</t>
  </si>
  <si>
    <t>Q73 - Sondage 10 - texture ou horizons histiques - ]100-110 cm]</t>
  </si>
  <si>
    <t>Q73 - Sondage 10 - texture ou horizons histiques - ]110-120 cm]</t>
  </si>
  <si>
    <t>Q73 - Sondage 11 - sous-ens. Homog.</t>
  </si>
  <si>
    <t>Q73 - Sondage 11 - sous-ens. Homog. Pourcentage</t>
  </si>
  <si>
    <t>Q73 - Sondage 11 - habitat EUNIS 3 associé</t>
  </si>
  <si>
    <t>Q73 - Sondage 11 - coord. Géog.</t>
  </si>
  <si>
    <t>Q73 - Sondage 11 - pH</t>
  </si>
  <si>
    <t>Q73 - Sondage 11 - traits d'hydrom. Histiques</t>
  </si>
  <si>
    <t>Q73 - Sondage 11 - traits d'hydrom. Réductiques</t>
  </si>
  <si>
    <t>Q73 - Sondage 11 - traits d'hydrom. Rédoxiques (g ou –g) qui débutent à moins de 0,25 m de profondeur et se prolongent ou s'intensifient en profondeur</t>
  </si>
  <si>
    <t>Q73 - Sondage 11 - traits d'hydrom. Rédoxiques à moins de 0,5 m de profondeur, se prolongent ou s’intensifient en profondeur, et des traits réductiques apparaissent entre 0,8 et 1,2 m</t>
  </si>
  <si>
    <t>Q73 - Sondage 11 - Epaisseur de l’épisolum humifère en surface</t>
  </si>
  <si>
    <t>Q73 - Sondage 11 - Epaisseur de l’horizon Ab</t>
  </si>
  <si>
    <t>Q73 - Sondage 11 - texture ou horizons histiques - [0-10 cm]</t>
  </si>
  <si>
    <t>Q73 - Sondage 11 - texture ou horizons histiques - ]10-20 cm]</t>
  </si>
  <si>
    <t>Q73 - Sondage 11 - texture ou horizons histiques - ]20-30 cm]</t>
  </si>
  <si>
    <t>Q73 - Sondage 11 - texture ou horizons histiques - ]30-40 cm]</t>
  </si>
  <si>
    <t>Q73 - Sondage 11 - texture ou horizons histiques - ]40-50 cm]</t>
  </si>
  <si>
    <t>Q73 - Sondage 11 - texture ou horizons histiques - ]50-60 cm]</t>
  </si>
  <si>
    <t>Q73 - Sondage 11 - texture ou horizons histiques - ]60-70 cm]</t>
  </si>
  <si>
    <t>Q73 - Sondage 11 - texture ou horizons histiques - ]70-80 cm]</t>
  </si>
  <si>
    <t>Q73 - Sondage 11 - texture ou horizons histiques - ]80-90 cm]</t>
  </si>
  <si>
    <t>Q73 - Sondage 11 - texture ou horizons histiques - ]90-100 cm]</t>
  </si>
  <si>
    <t>Q73 - Sondage 11 - texture ou horizons histiques - ]100-110 cm]</t>
  </si>
  <si>
    <t>Q73 - Sondage 11 - texture ou horizons histiques - ]110-120 cm]</t>
  </si>
  <si>
    <t>Q73 - Sondage 12 - sous-ens. Homog.</t>
  </si>
  <si>
    <t>Q73 - Sondage 12 - sous-ens. Homog. Pourcentage</t>
  </si>
  <si>
    <t>Q73 - Sondage 12 - habitat EUNIS 3 associé</t>
  </si>
  <si>
    <t>Q73 - Sondage 12 - coord. Géog.</t>
  </si>
  <si>
    <t>Q73 - Sondage 12 - pH</t>
  </si>
  <si>
    <t>Q73 - Sondage 12 - traits d'hydrom. Histiques</t>
  </si>
  <si>
    <t>Q73 - Sondage 12 - traits d'hydrom. Réductiques</t>
  </si>
  <si>
    <t>Q73 - Sondage 12 - traits d'hydrom. Rédoxiques (g ou –g) qui débutent à moins de 0,25 m de profondeur et se prolongent ou s'intensifient en profondeur</t>
  </si>
  <si>
    <t>Q73 - Sondage 12 - traits d'hydrom. Rédoxiques à moins de 0,5 m de profondeur, se prolongent ou s’intensifient en profondeur, et des traits réductiques apparaissent entre 0,8 et 1,2 m</t>
  </si>
  <si>
    <t>Q73 - Sondage 12 - Epaisseur de l’épisolum humifère en surface</t>
  </si>
  <si>
    <t>Q73 - Sondage 12 - Epaisseur de l’horizon Ab</t>
  </si>
  <si>
    <t>Q73 - Sondage 12 - texture ou horizons histiques - [0-10 cm]</t>
  </si>
  <si>
    <t>Q73 - Sondage 12 - texture ou horizons histiques - ]10-20 cm]</t>
  </si>
  <si>
    <t>Q73 - Sondage 12 - texture ou horizons histiques - ]20-30 cm]</t>
  </si>
  <si>
    <t>Q73 - Sondage 12 - texture ou horizons histiques - ]30-40 cm]</t>
  </si>
  <si>
    <t>Q73 - Sondage 12 - texture ou horizons histiques - ]40-50 cm]</t>
  </si>
  <si>
    <t>Q73 - Sondage 12 - texture ou horizons histiques - ]50-60 cm]</t>
  </si>
  <si>
    <t>Q73 - Sondage 12 - texture ou horizons histiques - ]60-70 cm]</t>
  </si>
  <si>
    <t>Q73 - Sondage 12 - texture ou horizons histiques - ]70-80 cm]</t>
  </si>
  <si>
    <t>Q73 - Sondage 12 - texture ou horizons histiques - ]80-90 cm]</t>
  </si>
  <si>
    <t>Q73 - Sondage 12 - texture ou horizons histiques - ]90-100 cm]</t>
  </si>
  <si>
    <t>Q73 - Sondage 12 - texture ou horizons histiques - ]100-110 cm]</t>
  </si>
  <si>
    <t>Q73 - Sondage 12 - texture ou horizons histiques - ]110-120 cm]</t>
  </si>
  <si>
    <t>Q73 - Sondage 13 - sous-ens. Homog.</t>
  </si>
  <si>
    <t>Q73 - Sondage 13 - sous-ens. Homog. Pourcentage</t>
  </si>
  <si>
    <t>Q73 - Sondage 13 - habitat EUNIS 3 associé</t>
  </si>
  <si>
    <t>Q73 - Sondage 13 - coord. Géog.</t>
  </si>
  <si>
    <t>Q73 - Sondage 13 - pH</t>
  </si>
  <si>
    <t>Q73 - Sondage 13 - traits d'hydrom. Histiques</t>
  </si>
  <si>
    <t>Q73 - Sondage 13 - traits d'hydrom. Réductiques</t>
  </si>
  <si>
    <t>Q73 - Sondage 13 - traits d'hydrom. Rédoxiques (g ou –g) qui débutent à moins de 0,25 m de profondeur et se prolongent ou s'intensifient en profondeur</t>
  </si>
  <si>
    <t>Q73 - Sondage 13 - traits d'hydrom. Rédoxiques à moins de 0,5 m de profondeur, se prolongent ou s’intensifient en profondeur, et des traits réductiques apparaissent entre 0,8 et 1,2 m</t>
  </si>
  <si>
    <t>Q73 - Sondage 13 - Epaisseur de l’épisolum humifère en surface</t>
  </si>
  <si>
    <t>Q73 - Sondage 13 - Epaisseur de l’horizon Ab</t>
  </si>
  <si>
    <t>Q73 - Sondage 13 - texture ou horizons histiques - [0-10 cm]</t>
  </si>
  <si>
    <t>Q73 - Sondage 13 - texture ou horizons histiques - ]10-20 cm]</t>
  </si>
  <si>
    <t>Q73 - Sondage 13 - texture ou horizons histiques - ]20-30 cm]</t>
  </si>
  <si>
    <t>Q73 - Sondage 13 - texture ou horizons histiques - ]30-40 cm]</t>
  </si>
  <si>
    <t>Q73 - Sondage 13 - texture ou horizons histiques - ]40-50 cm]</t>
  </si>
  <si>
    <t>Q73 - Sondage 13 - texture ou horizons histiques - ]50-60 cm]</t>
  </si>
  <si>
    <t>Q73 - Sondage 13 - texture ou horizons histiques - ]60-70 cm]</t>
  </si>
  <si>
    <t>Q73 - Sondage 13 - texture ou horizons histiques - ]70-80 cm]</t>
  </si>
  <si>
    <t>Q73 - Sondage 13 - texture ou horizons histiques - ]80-90 cm]</t>
  </si>
  <si>
    <t>Q73 - Sondage 13 - texture ou horizons histiques - ]90-100 cm]</t>
  </si>
  <si>
    <t>Q73 - Sondage 13 - texture ou horizons histiques - ]100-110 cm]</t>
  </si>
  <si>
    <t>Q73 - Sondage 13 - texture ou horizons histiques - ]110-120 cm]</t>
  </si>
  <si>
    <t>Q73 - Sondage 14 - sous-ens. Homog.</t>
  </si>
  <si>
    <t>Q73 - Sondage 14 - sous-ens. Homog. Pourcentage</t>
  </si>
  <si>
    <t>Q73 - Sondage 14 - habitat EUNIS 3 associé</t>
  </si>
  <si>
    <t>Q73 - Sondage 14 - coord. Géog.</t>
  </si>
  <si>
    <t>Q73 - Sondage 14 - pH</t>
  </si>
  <si>
    <t>Q73 - Sondage 14 - traits d'hydrom. Histiques</t>
  </si>
  <si>
    <t>Q73 - Sondage 14 - traits d'hydrom. Réductiques</t>
  </si>
  <si>
    <t>Q73 - Sondage 14 - traits d'hydrom. Rédoxiques (g ou –g) qui débutent à moins de 0,25 m de profondeur et se prolongent ou s'intensifient en profondeur</t>
  </si>
  <si>
    <t>Q73 - Sondage 14 - traits d'hydrom. Rédoxiques à moins de 0,5 m de profondeur, se prolongent ou s’intensifient en profondeur, et des traits réductiques apparaissent entre 0,8 et 1,2 m</t>
  </si>
  <si>
    <t>Q73 - Sondage 14 - Epaisseur de l’épisolum humifère en surface</t>
  </si>
  <si>
    <t>Q73 - Sondage 14 - Epaisseur de l’horizon Ab</t>
  </si>
  <si>
    <t>Q73 - Sondage 14 - texture ou horizons histiques - [0-10 cm]</t>
  </si>
  <si>
    <t>Q73 - Sondage 14 - texture ou horizons histiques - ]10-20 cm]</t>
  </si>
  <si>
    <t>Q73 - Sondage 14 - texture ou horizons histiques - ]20-30 cm]</t>
  </si>
  <si>
    <t>Q73 - Sondage 14 - texture ou horizons histiques - ]30-40 cm]</t>
  </si>
  <si>
    <t>Q73 - Sondage 14 - texture ou horizons histiques - ]40-50 cm]</t>
  </si>
  <si>
    <t>Q73 - Sondage 14 - texture ou horizons histiques - ]50-60 cm]</t>
  </si>
  <si>
    <t>Q73 - Sondage 14 - texture ou horizons histiques - ]60-70 cm]</t>
  </si>
  <si>
    <t>Q73 - Sondage 14 - texture ou horizons histiques - ]70-80 cm]</t>
  </si>
  <si>
    <t>Q73 - Sondage 14 - texture ou horizons histiques - ]80-90 cm]</t>
  </si>
  <si>
    <t>Q73 - Sondage 14 - texture ou horizons histiques - ]90-100 cm]</t>
  </si>
  <si>
    <t>Q73 - Sondage 14 - texture ou horizons histiques - ]100-110 cm]</t>
  </si>
  <si>
    <t>Q73 - Sondage 14 - texture ou horizons histiques - ]110-120 cm]</t>
  </si>
  <si>
    <t>Q73 - Sondage 15 - sous-ens. Homog.</t>
  </si>
  <si>
    <t>Q73 - Sondage 15 - sous-ens. Homog. Pourcentage</t>
  </si>
  <si>
    <t>Q73 - Sondage 15 - habitat EUNIS 3 associé</t>
  </si>
  <si>
    <t>Q73 - Sondage 15 - coord. Géog.</t>
  </si>
  <si>
    <t>Q73 - Sondage 15 - pH</t>
  </si>
  <si>
    <t>Q73 - Sondage 15 - traits d'hydrom. Histiques</t>
  </si>
  <si>
    <t>Q73 - Sondage 15 - traits d'hydrom. Réductiques</t>
  </si>
  <si>
    <t>Q73 - Sondage 15 - traits d'hydrom. Rédoxiques (g ou –g) qui débutent à moins de 0,25 m de profondeur et se prolongent ou s'intensifient en profondeur</t>
  </si>
  <si>
    <t>Q73 - Sondage 15 - traits d'hydrom. Rédoxiques à moins de 0,5 m de profondeur, se prolongent ou s’intensifient en profondeur, et des traits réductiques apparaissent entre 0,8 et 1,2 m</t>
  </si>
  <si>
    <t>Q73 - Sondage 15 - Epaisseur de l’épisolum humifère en surface</t>
  </si>
  <si>
    <t>Q73 - Sondage 15 - Epaisseur de l’horizon Ab</t>
  </si>
  <si>
    <t>Q73 - Sondage 15 - texture ou horizons histiques - [0-10 cm]</t>
  </si>
  <si>
    <t>Q73 - Sondage 15 - texture ou horizons histiques - ]10-20 cm]</t>
  </si>
  <si>
    <t>Q73 - Sondage 15 - texture ou horizons histiques - ]20-30 cm]</t>
  </si>
  <si>
    <t>Q73 - Sondage 15 - texture ou horizons histiques - ]30-40 cm]</t>
  </si>
  <si>
    <t>Q73 - Sondage 15 - texture ou horizons histiques - ]40-50 cm]</t>
  </si>
  <si>
    <t>Q73 - Sondage 15 - texture ou horizons histiques - ]50-60 cm]</t>
  </si>
  <si>
    <t>Q73 - Sondage 15 - texture ou horizons histiques - ]60-70 cm]</t>
  </si>
  <si>
    <t>Q73 - Sondage 15 - texture ou horizons histiques - ]70-80 cm]</t>
  </si>
  <si>
    <t>Q73 - Sondage 15 - texture ou horizons histiques - ]80-90 cm]</t>
  </si>
  <si>
    <t>Q73 - Sondage 15 - texture ou horizons histiques - ]90-100 cm]</t>
  </si>
  <si>
    <t>Q73 - Sondage 15 - texture ou horizons histiques - ]100-110 cm]</t>
  </si>
  <si>
    <t>Q73 - Sondage 15 - texture ou horizons histiques - ]110-120 cm]</t>
  </si>
  <si>
    <t>Q73 - Sondage 16 - sous-ens. Homog.</t>
  </si>
  <si>
    <t>Q73 - Sondage 16 - sous-ens. Homog. Pourcentage</t>
  </si>
  <si>
    <t>Q73 - Sondage 16 - habitat EUNIS 3 associé</t>
  </si>
  <si>
    <t>Q73 - Sondage 16 - coord. Géog.</t>
  </si>
  <si>
    <t>Q73 - Sondage 16 - pH</t>
  </si>
  <si>
    <t>Q73 - Sondage 16 - traits d'hydrom. Histiques</t>
  </si>
  <si>
    <t>Q73 - Sondage 16 - traits d'hydrom. Réductiques</t>
  </si>
  <si>
    <t>Q73 - Sondage 16 - traits d'hydrom. Rédoxiques (g ou –g) qui débutent à moins de 0,25 m de profondeur et se prolongent ou s'intensifient en profondeur</t>
  </si>
  <si>
    <t>Q73 - Sondage 16 - traits d'hydrom. Rédoxiques à moins de 0,5 m de profondeur, se prolongent ou s’intensifient en profondeur, et des traits réductiques apparaissent entre 0,8 et 1,2 m</t>
  </si>
  <si>
    <t>Q73 - Sondage 16 - Epaisseur de l’épisolum humifère en surface</t>
  </si>
  <si>
    <t>Q73 - Sondage 16 - Epaisseur de l’horizon Ab</t>
  </si>
  <si>
    <t>Q73 - Sondage 16 - texture ou horizons histiques - [0-10 cm]</t>
  </si>
  <si>
    <t>Q73 - Sondage 16 - texture ou horizons histiques - ]10-20 cm]</t>
  </si>
  <si>
    <t>Q73 - Sondage 16 - texture ou horizons histiques - ]20-30 cm]</t>
  </si>
  <si>
    <t>Q73 - Sondage 16 - texture ou horizons histiques - ]30-40 cm]</t>
  </si>
  <si>
    <t>Q73 - Sondage 16 - texture ou horizons histiques - ]40-50 cm]</t>
  </si>
  <si>
    <t>Q73 - Sondage 16 - texture ou horizons histiques - ]50-60 cm]</t>
  </si>
  <si>
    <t>Q73 - Sondage 16 - texture ou horizons histiques - ]60-70 cm]</t>
  </si>
  <si>
    <t>Q73 - Sondage 16 - texture ou horizons histiques - ]70-80 cm]</t>
  </si>
  <si>
    <t>Q73 - Sondage 16 - texture ou horizons histiques - ]80-90 cm]</t>
  </si>
  <si>
    <t>Q73 - Sondage 16 - texture ou horizons histiques - ]90-100 cm]</t>
  </si>
  <si>
    <t>Q73 - Sondage 16 - texture ou horizons histiques - ]100-110 cm]</t>
  </si>
  <si>
    <t>Q73 - Sondage 16 - texture ou horizons histiques - ]110-120 cm]</t>
  </si>
  <si>
    <t>Q73 - Sondage 17 - sous-ens. Homog.</t>
  </si>
  <si>
    <t>Q73 - Sondage 17 - sous-ens. Homog. Pourcentage</t>
  </si>
  <si>
    <t>Q73 - Sondage 17 - habitat EUNIS 3 associé</t>
  </si>
  <si>
    <t>Q73 - Sondage 17 - coord. Géog.</t>
  </si>
  <si>
    <t>Q73 - Sondage 17 - pH</t>
  </si>
  <si>
    <t>Q73 - Sondage 17 - traits d'hydrom. Histiques</t>
  </si>
  <si>
    <t>Q73 - Sondage 17 - traits d'hydrom. Réductiques</t>
  </si>
  <si>
    <t>Q73 - Sondage 17 - traits d'hydrom. Rédoxiques (g ou –g) qui débutent à moins de 0,25 m de profondeur et se prolongent ou s'intensifient en profondeur</t>
  </si>
  <si>
    <t>Q73 - Sondage 17 - traits d'hydrom. Rédoxiques à moins de 0,5 m de profondeur, se prolongent ou s’intensifient en profondeur, et des traits réductiques apparaissent entre 0,8 et 1,2 m</t>
  </si>
  <si>
    <t>Q73 - Sondage 17 - Epaisseur de l’épisolum humifère en surface</t>
  </si>
  <si>
    <t>Q73 - Sondage 17 - Epaisseur de l’horizon Ab</t>
  </si>
  <si>
    <t>Q73 - Sondage 17 - texture ou horizons histiques - [0-10 cm]</t>
  </si>
  <si>
    <t>Q73 - Sondage 17 - texture ou horizons histiques - ]10-20 cm]</t>
  </si>
  <si>
    <t>Q73 - Sondage 17 - texture ou horizons histiques - ]20-30 cm]</t>
  </si>
  <si>
    <t>Q73 - Sondage 17 - texture ou horizons histiques - ]30-40 cm]</t>
  </si>
  <si>
    <t>Q73 - Sondage 17 - texture ou horizons histiques - ]40-50 cm]</t>
  </si>
  <si>
    <t>Q73 - Sondage 17 - texture ou horizons histiques - ]50-60 cm]</t>
  </si>
  <si>
    <t>Q73 - Sondage 17 - texture ou horizons histiques - ]60-70 cm]</t>
  </si>
  <si>
    <t>Q73 - Sondage 17 - texture ou horizons histiques - ]70-80 cm]</t>
  </si>
  <si>
    <t>Q73 - Sondage 17 - texture ou horizons histiques - ]80-90 cm]</t>
  </si>
  <si>
    <t>Q73 - Sondage 17 - texture ou horizons histiques - ]90-100 cm]</t>
  </si>
  <si>
    <t>Q73 - Sondage 17 - texture ou horizons histiques - ]100-110 cm]</t>
  </si>
  <si>
    <t>Q73 - Sondage 17 - texture ou horizons histiques - ]110-120 cm]</t>
  </si>
  <si>
    <t>Q73 - Sondage 18 - sous-ens. Homog.</t>
  </si>
  <si>
    <t>Q73 - Sondage 18 - sous-ens. Homog. Pourcentage</t>
  </si>
  <si>
    <t>Q73 - Sondage 18 - habitat EUNIS 3 associé</t>
  </si>
  <si>
    <t>Q73 - Sondage 18 - coord. Géog.</t>
  </si>
  <si>
    <t>Q73 - Sondage 18 - pH</t>
  </si>
  <si>
    <t>Q73 - Sondage 18 - traits d'hydrom. Histiques</t>
  </si>
  <si>
    <t>Q73 - Sondage 18 - traits d'hydrom. Réductiques</t>
  </si>
  <si>
    <t>Q73 - Sondage 18 - traits d'hydrom. Rédoxiques (g ou –g) qui débutent à moins de 0,25 m de profondeur et se prolongent ou s'intensifient en profondeur</t>
  </si>
  <si>
    <t>Q73 - Sondage 18 - traits d'hydrom. Rédoxiques à moins de 0,5 m de profondeur, se prolongent ou s’intensifient en profondeur, et des traits réductiques apparaissent entre 0,8 et 1,2 m</t>
  </si>
  <si>
    <t>Q73 - Sondage 18 - Epaisseur de l’épisolum humifère en surface</t>
  </si>
  <si>
    <t>Q73 - Sondage 18 - Epaisseur de l’horizon Ab</t>
  </si>
  <si>
    <t>Q73 - Sondage 18 - texture ou horizons histiques - [0-10 cm]</t>
  </si>
  <si>
    <t>Q73 - Sondage 18 - texture ou horizons histiques - ]10-20 cm]</t>
  </si>
  <si>
    <t>Q73 - Sondage 18 - texture ou horizons histiques - ]20-30 cm]</t>
  </si>
  <si>
    <t>Q73 - Sondage 18 - texture ou horizons histiques - ]30-40 cm]</t>
  </si>
  <si>
    <t>Q73 - Sondage 18 - texture ou horizons histiques - ]40-50 cm]</t>
  </si>
  <si>
    <t>Q73 - Sondage 18 - texture ou horizons histiques - ]50-60 cm]</t>
  </si>
  <si>
    <t>Q73 - Sondage 18 - texture ou horizons histiques - ]60-70 cm]</t>
  </si>
  <si>
    <t>Q73 - Sondage 18 - texture ou horizons histiques - ]70-80 cm]</t>
  </si>
  <si>
    <t>Q73 - Sondage 18 - texture ou horizons histiques - ]80-90 cm]</t>
  </si>
  <si>
    <t>Q73 - Sondage 18 - texture ou horizons histiques - ]90-100 cm]</t>
  </si>
  <si>
    <t>Q73 - Sondage 18 - texture ou horizons histiques - ]100-110 cm]</t>
  </si>
  <si>
    <t>Q73 - Sondage 18 - texture ou horizons histiques - ]110-120 cm]</t>
  </si>
  <si>
    <t>Q73 - Sondage 19 - sous-ens. Homog.</t>
  </si>
  <si>
    <t>Q73 - Sondage 19 - sous-ens. Homog. Pourcentage</t>
  </si>
  <si>
    <t>Q73 - Sondage 19 - habitat EUNIS 3 associé</t>
  </si>
  <si>
    <t>Q73 - Sondage 19 - coord. Géog.</t>
  </si>
  <si>
    <t>Q73 - Sondage 19 - pH</t>
  </si>
  <si>
    <t>Q73 - Sondage 19 - traits d'hydrom. Histiques</t>
  </si>
  <si>
    <t>Q73 - Sondage 19 - traits d'hydrom. Réductiques</t>
  </si>
  <si>
    <t>Q73 - Sondage 19 - traits d'hydrom. Rédoxiques (g ou –g) qui débutent à moins de 0,25 m de profondeur et se prolongent ou s'intensifient en profondeur</t>
  </si>
  <si>
    <t>Q73 - Sondage 19 - traits d'hydrom. Rédoxiques à moins de 0,5 m de profondeur, se prolongent ou s’intensifient en profondeur, et des traits réductiques apparaissent entre 0,8 et 1,2 m</t>
  </si>
  <si>
    <t>Q73 - Sondage 19 - Epaisseur de l’épisolum humifère en surface</t>
  </si>
  <si>
    <t>Q73 - Sondage 19 - Epaisseur de l’horizon Ab</t>
  </si>
  <si>
    <t>Q73 - Sondage 19 - texture ou horizons histiques - [0-10 cm]</t>
  </si>
  <si>
    <t>Q73 - Sondage 19 - texture ou horizons histiques - ]10-20 cm]</t>
  </si>
  <si>
    <t>Q73 - Sondage 19 - texture ou horizons histiques - ]20-30 cm]</t>
  </si>
  <si>
    <t>Q73 - Sondage 19 - texture ou horizons histiques - ]30-40 cm]</t>
  </si>
  <si>
    <t>Q73 - Sondage 19 - texture ou horizons histiques - ]40-50 cm]</t>
  </si>
  <si>
    <t>Q73 - Sondage 19 - texture ou horizons histiques - ]50-60 cm]</t>
  </si>
  <si>
    <t>Q73 - Sondage 19 - texture ou horizons histiques - ]60-70 cm]</t>
  </si>
  <si>
    <t>Q73 - Sondage 19 - texture ou horizons histiques - ]70-80 cm]</t>
  </si>
  <si>
    <t>Q73 - Sondage 19 - texture ou horizons histiques - ]80-90 cm]</t>
  </si>
  <si>
    <t>Q73 - Sondage 19 - texture ou horizons histiques - ]90-100 cm]</t>
  </si>
  <si>
    <t>Q73 - Sondage 19 - texture ou horizons histiques - ]100-110 cm]</t>
  </si>
  <si>
    <t>Q73 - Sondage 19 - texture ou horizons histiques - ]110-120 cm]</t>
  </si>
  <si>
    <t>Q73 - Sondage 20 - sous-ens. Homog.</t>
  </si>
  <si>
    <t>Q73 - Sondage 20 - sous-ens. Homog. Pourcentage</t>
  </si>
  <si>
    <t>Q73 - Sondage 20 - habitat EUNIS 3 associé</t>
  </si>
  <si>
    <t>Q73 - Sondage 20 - coord. Géog.</t>
  </si>
  <si>
    <t>Q73 - Sondage 20 - pH</t>
  </si>
  <si>
    <t>Q73 - Sondage 20 - traits d'hydrom. Histiques</t>
  </si>
  <si>
    <t>Q73 - Sondage 20 - traits d'hydrom. Réductiques</t>
  </si>
  <si>
    <t>Q73 - Sondage 20 - traits d'hydrom. Rédoxiques (g ou –g) qui débutent à moins de 0,25 m de profondeur et se prolongent ou s'intensifient en profondeur</t>
  </si>
  <si>
    <t>Q73 - Sondage 20 - traits d'hydrom. Rédoxiques à moins de 0,5 m de profondeur, se prolongent ou s’intensifient en profondeur, et des traits réductiques apparaissent entre 0,8 et 1,2 m</t>
  </si>
  <si>
    <t>Q73 - Sondage 20 - Epaisseur de l’épisolum humifère en surface</t>
  </si>
  <si>
    <t>Q73 - Sondage 20 - Epaisseur de l’horizon Ab</t>
  </si>
  <si>
    <t>Q73 - Sondage 20 - texture ou horizons histiques - [0-10 cm]</t>
  </si>
  <si>
    <t>Q73 - Sondage 20 - texture ou horizons histiques - ]10-20 cm]</t>
  </si>
  <si>
    <t>Q73 - Sondage 20 - texture ou horizons histiques - ]20-30 cm]</t>
  </si>
  <si>
    <t>Q73 - Sondage 20 - texture ou horizons histiques - ]30-40 cm]</t>
  </si>
  <si>
    <t>Q73 - Sondage 20 - texture ou horizons histiques - ]40-50 cm]</t>
  </si>
  <si>
    <t>Q73 - Sondage 20 - texture ou horizons histiques - ]50-60 cm]</t>
  </si>
  <si>
    <t>Q73 - Sondage 20 - texture ou horizons histiques - ]60-70 cm]</t>
  </si>
  <si>
    <t>Q73 - Sondage 20 - texture ou horizons histiques - ]70-80 cm]</t>
  </si>
  <si>
    <t>Q73 - Sondage 20 - texture ou horizons histiques - ]80-90 cm]</t>
  </si>
  <si>
    <t>Q73 - Sondage 20 - texture ou horizons histiques - ]90-100 cm]</t>
  </si>
  <si>
    <t>Q73 - Sondage 20 - texture ou horizons histiques - ]100-110 cm]</t>
  </si>
  <si>
    <t>Q73 - Sondage 20 - texture ou horizons histiques - ]110-120 cm]</t>
  </si>
  <si>
    <t>Partie 1-Date</t>
  </si>
  <si>
    <t>Q2 - Contours du site</t>
  </si>
  <si>
    <t>Q3 - Masse d'eau de surface</t>
  </si>
  <si>
    <t>Q4 - Système HGM alluvial</t>
  </si>
  <si>
    <t>Q4 - Système HGM riverain des étendues d'eau</t>
  </si>
  <si>
    <t>Q4 - Système HGM dépression</t>
  </si>
  <si>
    <t>Q4 - Système HGM versant et bas-versant</t>
  </si>
  <si>
    <t>Q4 - Système HGM plateau</t>
  </si>
  <si>
    <t>Q5 - Cours d'eau éventuellement associé</t>
  </si>
  <si>
    <t>Q6 - Année de la BD TOPO®</t>
  </si>
  <si>
    <t>Q7 - Rang de strahler du cours d'eau éventuellement associé</t>
  </si>
  <si>
    <t>Q9 - Procédure zone contributive</t>
  </si>
  <si>
    <t>Q10 - MNT pour la délimitation zone contributive</t>
  </si>
  <si>
    <t>Q11 - Superficie de la zone contributive en ha</t>
  </si>
  <si>
    <t>Q12 - Année RPG</t>
  </si>
  <si>
    <t>Q14 - Complément RPG par l'observateur</t>
  </si>
  <si>
    <t>Q15 - Superficie surfaces construites zone contributive</t>
  </si>
  <si>
    <t>Q16 - Linéaire infrastructures de transport zone contributive km</t>
  </si>
  <si>
    <t>Q18 - Superficie zone tampon en ha</t>
  </si>
  <si>
    <t>Q19 - Couvert végétal permanent zone tampon en pourcentage</t>
  </si>
  <si>
    <t>Q21 - Superficie paysage en ha</t>
  </si>
  <si>
    <t>Q22 - Habitats Eunis niv. 1 paysage en pourcentage - A Habitats marins</t>
  </si>
  <si>
    <t>Q22 - Habitats Eunis niv. 1 paysage en pourcentage - B Habitats côtiers</t>
  </si>
  <si>
    <t>Q22 - Habitats Eunis niv. 1 paysage en pourcentage - C Eaux de surface continentales</t>
  </si>
  <si>
    <t>Q22 - Habitats Eunis niv. 1 paysage en pourcentage - D Tourbières hautes et bas-marais</t>
  </si>
  <si>
    <t>Q22 - Habitats Eunis niv. 1 paysage en pourcentage - E Prairies et terrains dominés …</t>
  </si>
  <si>
    <t>Q22 - Habitats Eunis niv. 1 paysage en pourcentage - F Landes, fourrés et toundras</t>
  </si>
  <si>
    <t>Q22 - Habitats Eunis niv. 1 paysage en pourcentage - G Bois, forêts …</t>
  </si>
  <si>
    <t>Q22 - Habitats Eunis niv. 1 paysage en pourcentage - H Habitats continentaux sans végétation…</t>
  </si>
  <si>
    <t>Q22 - Habitats Eunis niv. 1 paysage en pourcentage - I Habitats agricoles…</t>
  </si>
  <si>
    <t>Q22 - Habitats Eunis niv. 1 paysage en pourcentage - J Zones bâties…</t>
  </si>
  <si>
    <t>Q23 - Procédure corridors boisés paysage</t>
  </si>
  <si>
    <t>Q24 - Superficie corridors boisés paysage en ha</t>
  </si>
  <si>
    <t>Q25 - Linéaire corridors boisés paysage en km</t>
  </si>
  <si>
    <t>Q26 - Superficie corridors boisés paysage en ha</t>
  </si>
  <si>
    <t>Q26 - Linéaire corridors boisés paysage en km</t>
  </si>
  <si>
    <t>Q27 - Corridors aquatiques temporaires paysage en km</t>
  </si>
  <si>
    <t>Q27 - Corridors aquatiques permanents paysage en km</t>
  </si>
  <si>
    <t>Q28 - Compléments par l'observateur aux mesures de corridors aquatiques paysage</t>
  </si>
  <si>
    <t>Q29 - Grandes infra. transp. paysage en km</t>
  </si>
  <si>
    <t>Q30 - Compléments par l'observateur aux mesures grandes infra. transp. Paysage</t>
  </si>
  <si>
    <t>Q31 - Présence aménagements traversée grandes infra. transp. faune sauvage paysage</t>
  </si>
  <si>
    <t>Q32 - petites infra. transp. paysage en km</t>
  </si>
  <si>
    <t>Q33 - Compléments petites infra. transp. pPaysage</t>
  </si>
  <si>
    <t>Q34 - Présence aménagements traversée petites infra. transp. faune sauvage paysage</t>
  </si>
  <si>
    <t>Q35 - Présence ligne haute tension paysage</t>
  </si>
  <si>
    <t>Q36 - Présence parc éolien paysage</t>
  </si>
  <si>
    <t>Q37 - Présence puits de captage paysage</t>
  </si>
  <si>
    <t>Q38 - Surface minimale cartographiable choisie</t>
  </si>
  <si>
    <t>Q39 - Habitat EUNIS 3 dans le site 1 nom</t>
  </si>
  <si>
    <t>Q39 - Habitat EUNIS 3 dans le site 1 pourcentage</t>
  </si>
  <si>
    <t>Q39 - Habitat EUNIS 3 dans le site 2 nom</t>
  </si>
  <si>
    <t>Q39 - Habitat EUNIS 3 dans le site 2 pourcentage</t>
  </si>
  <si>
    <t>Q39 - Habitat EUNIS 3 dans le site 3 nom</t>
  </si>
  <si>
    <t>Q39 - Habitat EUNIS 3 dans le site 3 pourcentage</t>
  </si>
  <si>
    <t>Q39 - Habitat EUNIS 3 dans le site 4 nom</t>
  </si>
  <si>
    <t>Q39 - Habitat EUNIS 3 dans le site 4 pourcentage</t>
  </si>
  <si>
    <t>Q39 - Habitat EUNIS 3 dans le site 5 nom</t>
  </si>
  <si>
    <t>Q39 - Habitat EUNIS 3 dans le site 5 pourcentage</t>
  </si>
  <si>
    <t>Q39 - Habitat EUNIS 3 dans le site 6 nom</t>
  </si>
  <si>
    <t>Q39 - Habitat EUNIS 3 dans le site 6 pourcentage</t>
  </si>
  <si>
    <t>Q39 - Habitat EUNIS 3 dans le site 7 nom</t>
  </si>
  <si>
    <t>Q39 - Habitat EUNIS 3 dans le site 7 pourcentage</t>
  </si>
  <si>
    <t>Q39 - Habitat EUNIS 3 dans le site 8 nom</t>
  </si>
  <si>
    <t>Q39 - Habitat EUNIS 3 dans le site 8 pourcentage</t>
  </si>
  <si>
    <t>Q39 - Habitat EUNIS 3 dans le site 9 nom</t>
  </si>
  <si>
    <t>Q39 - Habitat EUNIS 3 dans le site 9 pourcentage</t>
  </si>
  <si>
    <t>Q39 - Habitat EUNIS 3 dans le site 10 nom</t>
  </si>
  <si>
    <t>Q39 - Habitat EUNIS 3 dans le site 10 pourcentage</t>
  </si>
  <si>
    <t>Q39 - Habitat EUNIS 3 dans le site 11 nom</t>
  </si>
  <si>
    <t>Q39 - Habitat EUNIS 3 dans le site 11 pourcentage</t>
  </si>
  <si>
    <t>Q39 - Habitat EUNIS 3 dans le site 12 nom</t>
  </si>
  <si>
    <t>Q39 - Habitat EUNIS 3 dans le site 12 pourcentage</t>
  </si>
  <si>
    <t>Q39 - Habitat EUNIS 3 dans le site 13 nom</t>
  </si>
  <si>
    <t>Q39 - Habitat EUNIS 3 dans le site 13 pourcentage</t>
  </si>
  <si>
    <t>Q39 - Habitat EUNIS 3 dans le site 14 nom</t>
  </si>
  <si>
    <t>Q39 - Habitat EUNIS 3 dans le site 14 pourcentage</t>
  </si>
  <si>
    <t>Q39 - Habitat EUNIS 3 dans le site 15 nom</t>
  </si>
  <si>
    <t>Q39 - Habitat EUNIS 3 dans le site 15 pourcentage</t>
  </si>
  <si>
    <t>Q40 - Info. habitats EUNIS ou CORINE infra-niveau 3</t>
  </si>
  <si>
    <t>Q41 - Couvert végétal permanent site en pourcentage</t>
  </si>
  <si>
    <t>Q42 - Distance entre le centre du site et le lit mineur du cours d'eau en km</t>
  </si>
  <si>
    <t>Q43 - Longueur développée du cours d'eau en km</t>
  </si>
  <si>
    <t>Q43 - Longueur de l’enveloppe de méandrage en passant par les points d’inflexion des sinuosités en km</t>
  </si>
  <si>
    <t>Q44 - Endiguement entre le site et le cours d'eau</t>
  </si>
  <si>
    <t>Q45 - Substrat géologique</t>
  </si>
  <si>
    <t>Q46 - Site sur un versant</t>
  </si>
  <si>
    <t>Q47 - Exposition du versant</t>
  </si>
  <si>
    <t>Q48 - Espèces végétales Annexe II et IV DFFH</t>
  </si>
  <si>
    <t>Q48 - Espèces végétales listes espèces protégées liste rouge nat. Menacées</t>
  </si>
  <si>
    <t>Q48 - Espèces végétales plan national d'action</t>
  </si>
  <si>
    <t>Q48 - Espèces végétales espèces protégées liste rouge nat. Menacées</t>
  </si>
  <si>
    <t>Q48 - Espèces végétales arrêté dép.</t>
  </si>
  <si>
    <t>Q50 - Espèces animales Annexe II et IV DFFH</t>
  </si>
  <si>
    <t>Q50 - Espèces animales listes espèces protégées liste rouge nat. Menacées</t>
  </si>
  <si>
    <t>Q50 - Espèces végétales plan national d'action</t>
  </si>
  <si>
    <t>Q50 - Espèces animales liste rouge nat. Menacées</t>
  </si>
  <si>
    <t>Q51 - Liste de référence invasions biologiques</t>
  </si>
  <si>
    <t>Q55 - Part du site occupée invasion biol. en pourcentage</t>
  </si>
  <si>
    <t>Q54 - Info sur la proportion du site occupée invas. biol</t>
  </si>
  <si>
    <t>Q53 - Espèces végétales associées invas. biol</t>
  </si>
  <si>
    <t>Q52 - Espèces animales associées invas. biol</t>
  </si>
  <si>
    <t>Q56 - Couvert principalement clairsemés ou muscinaux en pourcentage</t>
  </si>
  <si>
    <t>Q56 - Couverts principalement arbustifs en pourcentage</t>
  </si>
  <si>
    <t>Q56 - Couverts principalement arborescent en pourcentage</t>
  </si>
  <si>
    <t>Q56 - Couvert principalement herbacés bas sans export biom. en pourcentage</t>
  </si>
  <si>
    <t>Q56 - Couvert principalement herbacés bas avec export biom. en pourcentage</t>
  </si>
  <si>
    <t>Q56 - Couvert principalement herbacés bas export biom. inconnu en pourcentage</t>
  </si>
  <si>
    <t>Q56 - Couvert principalement herbacés hauts sans export biom. en pourcentage</t>
  </si>
  <si>
    <t>Q56 - Couvert principalement herbacés hauts avec export biom. en pourcentage</t>
  </si>
  <si>
    <t>Q56 - Couvert principalement herbacés hauts export biom. inconnu en pourcentage</t>
  </si>
  <si>
    <t>Q57 - Habitats FA.1, FB.1, FB.2, FB.3, FB.4 couvert herbacé &lt;30% en pourcentage</t>
  </si>
  <si>
    <t>Q58 - Habitats G1.C, G1.D, G2.8, G2.9, G3.F couvert herbacé &lt;30% et couvert arbustif &lt; 30% en pourcentage</t>
  </si>
  <si>
    <t>Q58 - Habitats G1.C, G1.D, G2.8, G2.9, G3.F couvert herbacé &lt;30% et couvert arbustif &gt;= 30% en pourcentage</t>
  </si>
  <si>
    <t>Q58 - Habitats G1.C, G1.D, G2.8, G2.9, G3.F couvert herbacé &gt;=30% monospec ou quasi monospec. et couvert arbustif &lt; 30% en pourcentage</t>
  </si>
  <si>
    <t>Q57 - Habitats FA.1, FB.1, FB.2, FB.3, FB.4 couvert herbacé &gt;=30% ni monospec. ni quasi en pourcentage</t>
  </si>
  <si>
    <t>Q57 - Habitats FA.1, FB.1, FB.2, FB.3, FB.4 couvert herbacé &gt;=30% monospec. ou quasi en pourcentage</t>
  </si>
  <si>
    <t>Q58 - Habitats G1.C, G1.D, G2.8, G2.9, G3.F Couvert herbacé ≥ 30% en phase de croissance végétative ni monospécifique ni quasi-monospécifique et/ou couvert arbustif  ≥ 30% ni monospécifique ni quasi-monospécifique en pourcentage</t>
  </si>
  <si>
    <t>Q60 - Rigoles berges et fond végétalisés en m</t>
  </si>
  <si>
    <t>Q60 - Rigoles berges et/ou fond non végétalisés en m</t>
  </si>
  <si>
    <t>Q60 - Fossés berges et fond végétalisés en m</t>
  </si>
  <si>
    <t>Q60 - Fossés berges et/ou fond non végétalisés en m</t>
  </si>
  <si>
    <t>Q60 - Fossés profonds berges et fond végétalisés en m</t>
  </si>
  <si>
    <t>Q60 - Fossés profonds berges et/ou fond non végétalisés en m</t>
  </si>
  <si>
    <t>Q64 - Part du site et de la zone tampon avec des drains souterrains en pourcentage</t>
  </si>
  <si>
    <t>Q65 - Bassin pour les eaux des drains souterrains</t>
  </si>
  <si>
    <t>Q66 - Ravinement sans végétation en pourcentage</t>
  </si>
  <si>
    <t>Q67 - Présence d'aménagements pour limiter le ravinement</t>
  </si>
  <si>
    <t>Q68 - Ecoulement du cours d'eau dans son talweg</t>
  </si>
  <si>
    <t>Q69 - Hauteur maximale du niveau à pleins bords du cours d'eau</t>
  </si>
  <si>
    <t>Q70 - Présence d'ouvrages en aval du site affectant le cours d'eau</t>
  </si>
  <si>
    <t>Q71 - Linéaire total de berges dans le site en km</t>
  </si>
  <si>
    <t>Q72 - Occupation des berges matériaux naturels en km</t>
  </si>
  <si>
    <t>Q72 - Occupation des berges sans couvert végétal en km</t>
  </si>
  <si>
    <t>Q72 - Occupation des berges enrochements, gabions... en km</t>
  </si>
  <si>
    <t>Q72 - Occupation des berges matériaux artificiels en km</t>
  </si>
  <si>
    <t>Q74 - Fosses d'extraction de tourbe présentes si sols tourbeux</t>
  </si>
  <si>
    <t>Q76 - Longueur totale des limites entre les unités d'habitats EUNIS 3 en km</t>
  </si>
  <si>
    <t>Q75 - Précipitations 10 jours avant la visite en mm</t>
  </si>
  <si>
    <t>Q78 - Somme distance unités habitats EUNIS 1 dans le site en km</t>
  </si>
  <si>
    <t>Q79 - Info complémentaires</t>
  </si>
  <si>
    <t>INDIC. VALEUR REL. Surfaces cultivées</t>
  </si>
  <si>
    <t>INDIC. VALEUR REL. Surfaces enherbées</t>
  </si>
  <si>
    <t>INDIC. VALEUR REL. Surfaces construites</t>
  </si>
  <si>
    <t>INDIC. VALEUR REL. Infrastructures de transport</t>
  </si>
  <si>
    <t>INDIC. VALEUR REL. Dévégétalisation de la zone tampon</t>
  </si>
  <si>
    <t>INDIC. VALEUR REL. Sinuosité du cours d'eau</t>
  </si>
  <si>
    <t>INDIC. VALEUR REL. Proximité au lit mineur</t>
  </si>
  <si>
    <t>INDIC. VALEUR REL. Incision du lit mineur</t>
  </si>
  <si>
    <t>INDIC. VALEUR REL. Richesse des grands habitats du paysage</t>
  </si>
  <si>
    <t>INDIC. VALEUR REL. Equipartition des grands habitats du paysage</t>
  </si>
  <si>
    <t>INDIC. VALEUR REL. Corridors boisés</t>
  </si>
  <si>
    <t>INDIC. VALEUR REL. Corridors aquatiques permanents</t>
  </si>
  <si>
    <t>INDIC. VALEUR REL. Corridors aquatiques temporaires</t>
  </si>
  <si>
    <t>INDIC. VALEUR REL. Rareté des grandes infrastructures de transport</t>
  </si>
  <si>
    <t>INDIC. VALEUR REL. Rareté des petites infrastructures de transport</t>
  </si>
  <si>
    <t>INDIC. VALEUR REL. Végétalisation du site</t>
  </si>
  <si>
    <t>INDIC. VALEUR REL. Couvert végétal 1</t>
  </si>
  <si>
    <t>INDIC. VALEUR REL. Couvert végétal 2</t>
  </si>
  <si>
    <t>INDIC. VALEUR REL. Rugosité du couvert végétal</t>
  </si>
  <si>
    <t>INDIC. VALEUR REL. Rareté des rigoles</t>
  </si>
  <si>
    <t>INDIC. VALEUR REL. Rareté des fossés</t>
  </si>
  <si>
    <t>INDIC. VALEUR REL. Rareté des fossés profonds</t>
  </si>
  <si>
    <t>INDIC. VALEUR REL. Végétalisation des fossés et fossés profonds</t>
  </si>
  <si>
    <t>INDIC. VALEUR REL. Rareté des drains souterrains</t>
  </si>
  <si>
    <t>INDIC. VALEUR REL. Rareté du ravinement</t>
  </si>
  <si>
    <t>INDIC. VALEUR REL. Végétalisation des berges</t>
  </si>
  <si>
    <t>INDIC. VALEUR REL. Acidité du sol 1</t>
  </si>
  <si>
    <t>INDIC. VALEUR REL. Acidité du sol 2</t>
  </si>
  <si>
    <t>INDIC. VALEUR REL. Matière organique incorporée en surface</t>
  </si>
  <si>
    <t>INDIC. VALEUR REL. Matière organique enfouie</t>
  </si>
  <si>
    <t>INDIC. VALEUR REL. Tourbe en surface</t>
  </si>
  <si>
    <t>INDIC. VALEUR REL. Tourbe enfouie</t>
  </si>
  <si>
    <t>INDIC. VALEUR REL. Texture en surface 1</t>
  </si>
  <si>
    <t>INDIC. VALEUR REL. Texture en surface 2</t>
  </si>
  <si>
    <t>INDIC. VALEUR REL. Texture en profondeur</t>
  </si>
  <si>
    <t>INDIC. VALEUR REL. Conductivité hydraulique en surface</t>
  </si>
  <si>
    <t>INDIC. VALEUR REL. Conductivité hydraulique en profondeur</t>
  </si>
  <si>
    <t>INDIC. VALEUR REL. Hydromorphie</t>
  </si>
  <si>
    <t>INDIC. VALEUR REL. Richesse des grands habitats</t>
  </si>
  <si>
    <t>INDIC. VALEUR REL. Equipartition des grands habitats</t>
  </si>
  <si>
    <t>INDIC. VALEUR REL. Proximité des habitats</t>
  </si>
  <si>
    <t>INDIC. VALEUR REL. Similarité avec le paysage</t>
  </si>
  <si>
    <t>INDIC. VALEUR REL. Richesse des habitats</t>
  </si>
  <si>
    <t>INDIC. VALEUR REL. Equipartition des habitats</t>
  </si>
  <si>
    <t>INDIC. VALEUR REL. Rareté des lisières</t>
  </si>
  <si>
    <t>INDIC. VALEUR REL. Rareté de l'artificialisation de l'habitat</t>
  </si>
  <si>
    <t>INDIC. VALEUR REL. Rareté des invasions biologiques végétales</t>
  </si>
  <si>
    <t>INDIC. VALEUR ABS. Surfaces cultivées</t>
  </si>
  <si>
    <t>INDIC. VALEUR ABS. Surfaces enherbées</t>
  </si>
  <si>
    <t>INDIC. VALEUR ABS. Surfaces construites</t>
  </si>
  <si>
    <t>INDIC. VALEUR ABS. Infrastructures de transport</t>
  </si>
  <si>
    <t>INDIC. VALEUR ABS. Dévégétalisation de la zone tampon</t>
  </si>
  <si>
    <t>INDIC. VALEUR ABS. Richesse des grands habitats du paysage</t>
  </si>
  <si>
    <t>INDIC. VALEUR ABS. Equipartition des grands habitats du paysage</t>
  </si>
  <si>
    <t>INDIC. VALEUR ABS. Corridors boisés</t>
  </si>
  <si>
    <t>INDIC. VALEUR ABS. Corridors aquatiques permanents</t>
  </si>
  <si>
    <t>INDIC. VALEUR ABS. Corridors aquatiques temporaires</t>
  </si>
  <si>
    <t>INDIC. VALEUR ABS. Rareté des grandes infrastructures de transport</t>
  </si>
  <si>
    <t>INDIC. VALEUR ABS. Rareté des petites infrastructures de transport</t>
  </si>
  <si>
    <t>INDIC. VALEUR ABS. Végétalisation du site</t>
  </si>
  <si>
    <t>INDIC. VALEUR ABS. Couvert végétal 1</t>
  </si>
  <si>
    <t>INDIC. VALEUR ABS. Couvert végétal 2</t>
  </si>
  <si>
    <t>INDIC. VALEUR ABS. Rugosité du couvert végétal</t>
  </si>
  <si>
    <t>INDIC. VALEUR ABS. Rareté des rigoles</t>
  </si>
  <si>
    <t>INDIC. VALEUR ABS. Rareté des fossés</t>
  </si>
  <si>
    <t>INDIC. VALEUR ABS. Rareté des fossés profonds</t>
  </si>
  <si>
    <t>INDIC. VALEUR ABS. Végétalisation des fossés et fossés profonds</t>
  </si>
  <si>
    <t>INDIC. VALEUR ABS. Rareté des drains souterrains</t>
  </si>
  <si>
    <t>INDIC. VALEUR ABS. Rareté du ravinement</t>
  </si>
  <si>
    <t>INDIC. VALEUR ABS. Végétalisation des berges</t>
  </si>
  <si>
    <t>INDIC. VALEUR ABS. Acidité du sol 1</t>
  </si>
  <si>
    <t>INDIC. VALEUR ABS. Acidité du sol 2</t>
  </si>
  <si>
    <t>INDIC. VALEUR ABS. Matière organique incorporée en surface</t>
  </si>
  <si>
    <t>INDIC. VALEUR ABS. Matière organique enfouie</t>
  </si>
  <si>
    <t>INDIC. VALEUR ABS. Tourbe en surface</t>
  </si>
  <si>
    <t>INDIC. VALEUR ABS. Tourbe enfouie</t>
  </si>
  <si>
    <t>INDIC. VALEUR ABS. Texture en surface 1</t>
  </si>
  <si>
    <t>INDIC. VALEUR ABS. Texture en surface 2</t>
  </si>
  <si>
    <t>INDIC. VALEUR ABS. Texture en profondeur</t>
  </si>
  <si>
    <t>INDIC. VALEUR ABS. Conductivité hydraulique en surface</t>
  </si>
  <si>
    <t>INDIC. VALEUR ABS. Conductivité hydraulique en profondeur</t>
  </si>
  <si>
    <t>INDIC. VALEUR ABS. Hydromorphie</t>
  </si>
  <si>
    <t>INDIC. VALEUR ABS. Richesse des grands habitats</t>
  </si>
  <si>
    <t>INDIC. VALEUR ABS. Equipartition des grands habitats</t>
  </si>
  <si>
    <t>INDIC. VALEUR ABS. Proximité des habitats</t>
  </si>
  <si>
    <t>INDIC. VALEUR ABS. Similarité avec le paysage</t>
  </si>
  <si>
    <t>INDIC. VALEUR ABS. Richesse des habitats</t>
  </si>
  <si>
    <t>INDIC. VALEUR ABS. Equipartition des habitats</t>
  </si>
  <si>
    <t>INDIC. VALEUR ABS. Rareté des lisières</t>
  </si>
  <si>
    <t>INDIC. VALEUR ABS. Rareté de l'artificialisation de l'habitat</t>
  </si>
  <si>
    <t>INDIC. VALEUR ABS. Rareté des invasions biologiques végétales</t>
  </si>
  <si>
    <t>71  et 72</t>
  </si>
  <si>
    <t>Q58 - Habitats G1.C, G1.D, G2.8, G2.9, G3.F couvert herbacé &gt;=30% monospec ou quasi monospec. et couvert arbustif &gt;= 30% en pourcentage mono ou quasi monospécifique</t>
  </si>
  <si>
    <t>Q73 - pourcentage du site sans sondage pédologique</t>
  </si>
  <si>
    <t>Q73 - habitats dans le site sans sondage pédologique</t>
  </si>
  <si>
    <t>Q73 - Sondage 1 - sous-ens. Homog.</t>
  </si>
  <si>
    <t>Q73 - Sondage 1 - sous-ens. Homog. Pourcentage</t>
  </si>
  <si>
    <t>Q73 - Sondage 1 - habitat EUNIS 3 associé</t>
  </si>
  <si>
    <t>Q73 - Sondage 1 - coord. Géog.</t>
  </si>
  <si>
    <t>Q73 - Sondage 1 - pH</t>
  </si>
  <si>
    <t>Q73 - Sondage 1 - traits d'hydrom. Histiques</t>
  </si>
  <si>
    <t>Q73 - Sondage 1 - traits d'hydrom. Réductiques</t>
  </si>
  <si>
    <t>Q73 - Sondage 1 - traits d'hydrom. Rédoxiques (g ou –g) qui débutent à moins de 0,25 m de profondeur et se prolongent ou s'intensifient en profondeur</t>
  </si>
  <si>
    <t>Q73 - Sondage 1 - traits d'hydrom. Rédoxiques à moins de 0,5 m de profondeur, se prolongent ou s’intensifient en profondeur, et des traits réductiques apparaissent entre 0,8 et 1,2 m</t>
  </si>
  <si>
    <t>Q73 - Sondage 1 - Epaisseur de l’épisolum humifère en surface</t>
  </si>
  <si>
    <t>Q73 - Sondage 1 - Epaisseur de l’horizon Ab</t>
  </si>
  <si>
    <t>Q73 - Sondage 1 - texture ou horizons histiques - [0-10 cm]</t>
  </si>
  <si>
    <t>Q73 - Sondage 1 - texture ou horizons histiques - ]10-20 cm]</t>
  </si>
  <si>
    <t>Q73 - Sondage 1 - texture ou horizons histiques - ]20-30 cm]</t>
  </si>
  <si>
    <t>Q73 - Sondage 1 - texture ou horizons histiques - ]30-40 cm]</t>
  </si>
  <si>
    <t>Q73 - Sondage 1 - texture ou horizons histiques - ]40-50 cm]</t>
  </si>
  <si>
    <t>Q73 - Sondage 1 - texture ou horizons histiques - ]50-60 cm]</t>
  </si>
  <si>
    <t>Q73 - Sondage 1 - texture ou horizons histiques - ]60-70 cm]</t>
  </si>
  <si>
    <t>Q73 - Sondage 1 - texture ou horizons histiques - ]70-80 cm]</t>
  </si>
  <si>
    <t>Q73 - Sondage 1 - texture ou horizons histiques - ]80-90 cm]</t>
  </si>
  <si>
    <t>Q73 - Sondage 1 - texture ou horizons histiques - ]90-100 cm]</t>
  </si>
  <si>
    <t>Q73 - Sondage 1 - texture ou horizons histiques - ]100-110 cm]</t>
  </si>
  <si>
    <t>Q73 - Sondage 1 - texture ou horizons histiques - ]110-120 cm]</t>
  </si>
  <si>
    <t>Q49 - Habitats naturels Annexe I DFFH dans le site</t>
  </si>
  <si>
    <t xml:space="preserve">  Condition non nécessaire si habitats très artificiels sur le site impacté</t>
  </si>
  <si>
    <t>Indiquez par une seule "X" si vous voulez afficher la valeur des indicateurs dans :</t>
  </si>
  <si>
    <t>Sans export de biomasse annuel (par ex. absence de fauchage, pâturage)</t>
  </si>
  <si>
    <t>Sans export de biomasse annuel (par ex. absence de faucardage)</t>
  </si>
  <si>
    <t>La valeur absolue des indicateurs [0 - +∞] dans les sites correspond à la valeur relative de l'indicateur [0-1] × la superficie du site en ha.</t>
  </si>
  <si>
    <t>Note : la valeur absolue de l'indicateur "végétalisation des berges" est obtenue en multipliant sa valeur relative [0-1] par le linéaire de berges dans le site en km.</t>
  </si>
  <si>
    <t>Le plus souvent, c'est une surface minimale de 2 500 m² qui doit être utilisée dans le cadre d'une évaluation rapide.</t>
  </si>
  <si>
    <t>à</t>
  </si>
  <si>
    <t>doit être</t>
  </si>
  <si>
    <t>Les habitats qui sont en aucun cas zone humide (par ex. bâti) ne doivent pas figurer ici. S'ils sont dans le site, leur superficie est &lt; surface minimale choisie.</t>
  </si>
  <si>
    <t>BILAN</t>
  </si>
  <si>
    <t>Créée le 31/05/2016 pour une utilisation sur Microsoft® Excel® 2010 - mise à jour : 23/10/2020.</t>
  </si>
  <si>
    <t>Mobilisez l'extension QGIS du Cerema, disponible sur le site internet de la méthode, pour répondre à cette question sur SIG
et l'essentiel des questions sur la zone contributive et le paysage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</si>
</sst>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C]General"/>
    <numFmt numFmtId="165" formatCode="#,##0.00&quot; &quot;[$€-40C];[Red]&quot;-&quot;#,##0.00&quot; &quot;[$€-40C]"/>
    <numFmt numFmtId="166" formatCode="0.000"/>
    <numFmt numFmtId="167" formatCode="0.0"/>
    <numFmt numFmtId="168" formatCode="dd/mm/yy;@"/>
    <numFmt numFmtId="169" formatCode="0.000000"/>
    <numFmt numFmtId="170" formatCode="[$-40C]d\-mmm\-yy;@"/>
    <numFmt numFmtId="171" formatCode=";;;"/>
  </numFmts>
  <fonts count="9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b/>
      <i/>
      <sz val="16"/>
      <color theme="1"/>
      <name val="Arial"/>
      <family val="2"/>
    </font>
    <font>
      <b/>
      <i/>
      <u/>
      <sz val="11"/>
      <color theme="1"/>
      <name val="Arial"/>
      <family val="2"/>
    </font>
    <font>
      <b/>
      <sz val="11"/>
      <color rgb="FFFF0000"/>
      <name val="Arial"/>
      <family val="2"/>
    </font>
    <font>
      <sz val="12"/>
      <color theme="1"/>
      <name val="Arial"/>
      <family val="2"/>
    </font>
    <font>
      <b/>
      <sz val="12"/>
      <color theme="1"/>
      <name val="Arial"/>
      <family val="2"/>
    </font>
    <font>
      <sz val="12"/>
      <color theme="1"/>
      <name val="Calibri"/>
      <family val="2"/>
    </font>
    <font>
      <b/>
      <sz val="12"/>
      <color rgb="FFFF0000"/>
      <name val="Arial"/>
      <family val="2"/>
    </font>
    <font>
      <sz val="12"/>
      <color theme="0" tint="-0.34998626667073579"/>
      <name val="Arial"/>
      <family val="2"/>
    </font>
    <font>
      <i/>
      <sz val="12"/>
      <color theme="1"/>
      <name val="Arial"/>
      <family val="2"/>
    </font>
    <font>
      <sz val="10"/>
      <color theme="1"/>
      <name val="Arial"/>
      <family val="2"/>
    </font>
    <font>
      <sz val="14"/>
      <color theme="1"/>
      <name val="Arial"/>
      <family val="2"/>
    </font>
    <font>
      <b/>
      <sz val="14"/>
      <color theme="1"/>
      <name val="Arial"/>
      <family val="2"/>
    </font>
    <font>
      <sz val="12"/>
      <color rgb="FF000000"/>
      <name val="Arial"/>
      <family val="2"/>
    </font>
    <font>
      <b/>
      <i/>
      <u/>
      <sz val="12"/>
      <name val="Arial"/>
      <family val="2"/>
    </font>
    <font>
      <b/>
      <u/>
      <sz val="12"/>
      <color theme="1"/>
      <name val="Arial"/>
      <family val="2"/>
    </font>
    <font>
      <b/>
      <sz val="12"/>
      <color rgb="FF000000"/>
      <name val="Arial"/>
      <family val="2"/>
    </font>
    <font>
      <i/>
      <sz val="12"/>
      <color rgb="FF000000"/>
      <name val="Arial"/>
      <family val="2"/>
    </font>
    <font>
      <b/>
      <i/>
      <u/>
      <sz val="14"/>
      <color theme="1"/>
      <name val="Arial"/>
      <family val="2"/>
    </font>
    <font>
      <i/>
      <u/>
      <sz val="10"/>
      <name val="Arial"/>
      <family val="2"/>
    </font>
    <font>
      <i/>
      <sz val="14"/>
      <color theme="1"/>
      <name val="Arial"/>
      <family val="2"/>
    </font>
    <font>
      <sz val="11"/>
      <color theme="1"/>
      <name val="Arial"/>
      <family val="2"/>
    </font>
    <font>
      <b/>
      <sz val="14"/>
      <color rgb="FFFF0000"/>
      <name val="Arial"/>
      <family val="2"/>
    </font>
    <font>
      <sz val="12"/>
      <color rgb="FFFFFFFF"/>
      <name val="Arial"/>
      <family val="2"/>
    </font>
    <font>
      <b/>
      <i/>
      <u/>
      <sz val="12"/>
      <color rgb="FF000000"/>
      <name val="Arial"/>
      <family val="2"/>
    </font>
    <font>
      <sz val="12"/>
      <color rgb="FFFF0000"/>
      <name val="Arial"/>
      <family val="2"/>
    </font>
    <font>
      <i/>
      <u/>
      <sz val="11"/>
      <color theme="1"/>
      <name val="Arial"/>
      <family val="2"/>
    </font>
    <font>
      <b/>
      <u/>
      <sz val="12"/>
      <color rgb="FF000000"/>
      <name val="Arial"/>
      <family val="2"/>
    </font>
    <font>
      <sz val="12"/>
      <color theme="0"/>
      <name val="Arial"/>
      <family val="2"/>
    </font>
    <font>
      <b/>
      <i/>
      <u/>
      <sz val="12"/>
      <color theme="1"/>
      <name val="Arial"/>
      <family val="2"/>
    </font>
    <font>
      <sz val="12"/>
      <name val="Arial"/>
      <family val="2"/>
    </font>
    <font>
      <b/>
      <sz val="12"/>
      <color theme="0"/>
      <name val="Arial"/>
      <family val="2"/>
    </font>
    <font>
      <b/>
      <u/>
      <sz val="14"/>
      <color theme="1"/>
      <name val="Arial"/>
      <family val="2"/>
    </font>
    <font>
      <sz val="14"/>
      <name val="Arial"/>
      <family val="2"/>
    </font>
    <font>
      <sz val="14"/>
      <color rgb="FF000000"/>
      <name val="Arial"/>
      <family val="2"/>
    </font>
    <font>
      <sz val="22"/>
      <color theme="1"/>
      <name val="Arial"/>
      <family val="2"/>
    </font>
    <font>
      <b/>
      <sz val="14"/>
      <name val="Arial"/>
      <family val="2"/>
    </font>
    <font>
      <sz val="12"/>
      <color theme="1"/>
      <name val="Calibri"/>
      <family val="2"/>
      <scheme val="minor"/>
    </font>
    <font>
      <b/>
      <sz val="20"/>
      <color theme="1"/>
      <name val="Arial Black"/>
      <family val="2"/>
    </font>
    <font>
      <b/>
      <sz val="14"/>
      <color theme="0"/>
      <name val="Arial Black"/>
      <family val="2"/>
    </font>
    <font>
      <b/>
      <sz val="14"/>
      <color theme="1"/>
      <name val="Arial Black"/>
      <family val="2"/>
    </font>
    <font>
      <b/>
      <i/>
      <u/>
      <sz val="14"/>
      <name val="Arial"/>
      <family val="2"/>
    </font>
    <font>
      <i/>
      <sz val="11"/>
      <color rgb="FF000000"/>
      <name val="Arial"/>
      <family val="2"/>
    </font>
    <font>
      <sz val="20"/>
      <color theme="1"/>
      <name val="Arial"/>
      <family val="2"/>
    </font>
    <font>
      <b/>
      <sz val="10"/>
      <color theme="1"/>
      <name val="Arial"/>
      <family val="2"/>
    </font>
    <font>
      <b/>
      <sz val="11"/>
      <name val="Arial"/>
      <family val="2"/>
    </font>
    <font>
      <b/>
      <sz val="22"/>
      <name val="Arial Black"/>
      <family val="2"/>
    </font>
    <font>
      <b/>
      <sz val="11"/>
      <color theme="1"/>
      <name val="Arial"/>
      <family val="2"/>
    </font>
    <font>
      <b/>
      <sz val="10"/>
      <color rgb="FF006600"/>
      <name val="Arial"/>
      <family val="2"/>
    </font>
    <font>
      <b/>
      <sz val="26"/>
      <color theme="1"/>
      <name val="Arial"/>
      <family val="2"/>
    </font>
    <font>
      <sz val="9"/>
      <color rgb="FF002060"/>
      <name val="Arial"/>
      <family val="2"/>
    </font>
    <font>
      <b/>
      <sz val="10"/>
      <color theme="1"/>
      <name val="Arial Black"/>
      <family val="2"/>
    </font>
    <font>
      <b/>
      <sz val="10"/>
      <name val="Arial"/>
      <family val="2"/>
    </font>
    <font>
      <sz val="10"/>
      <name val="Arial"/>
      <family val="2"/>
    </font>
    <font>
      <i/>
      <sz val="10"/>
      <name val="Arial"/>
      <family val="2"/>
    </font>
    <font>
      <i/>
      <sz val="10"/>
      <color theme="1"/>
      <name val="Arial"/>
      <family val="2"/>
    </font>
    <font>
      <b/>
      <sz val="12"/>
      <color theme="1"/>
      <name val="Arial Black"/>
      <family val="2"/>
    </font>
    <font>
      <b/>
      <sz val="12"/>
      <name val="Arial"/>
      <family val="2"/>
    </font>
    <font>
      <i/>
      <sz val="11"/>
      <color theme="1"/>
      <name val="Arial"/>
      <family val="2"/>
    </font>
    <font>
      <u/>
      <sz val="12"/>
      <name val="Arial"/>
      <family val="2"/>
    </font>
    <font>
      <b/>
      <sz val="16"/>
      <color theme="1"/>
      <name val="Arial Black"/>
      <family val="2"/>
    </font>
    <font>
      <b/>
      <u/>
      <sz val="16"/>
      <color theme="1"/>
      <name val="Arial Black"/>
      <family val="2"/>
    </font>
    <font>
      <i/>
      <sz val="11"/>
      <name val="Arial"/>
      <family val="2"/>
    </font>
    <font>
      <b/>
      <sz val="12"/>
      <color theme="0"/>
      <name val="Arial Black"/>
      <family val="2"/>
    </font>
    <font>
      <sz val="12"/>
      <color rgb="FF002060"/>
      <name val="Arial"/>
      <family val="2"/>
    </font>
    <font>
      <sz val="16"/>
      <color theme="1"/>
      <name val="Arial"/>
      <family val="2"/>
    </font>
    <font>
      <b/>
      <sz val="16"/>
      <color theme="1"/>
      <name val="Arial"/>
      <family val="2"/>
    </font>
    <font>
      <sz val="12"/>
      <color theme="1"/>
      <name val="Arial Black"/>
      <family val="2"/>
    </font>
    <font>
      <b/>
      <sz val="11"/>
      <color theme="0"/>
      <name val="Arial"/>
      <family val="2"/>
    </font>
    <font>
      <b/>
      <sz val="22"/>
      <color theme="1"/>
      <name val="Arial Black"/>
      <family val="2"/>
    </font>
    <font>
      <sz val="14"/>
      <color theme="1"/>
      <name val="Arial Black"/>
      <family val="2"/>
    </font>
    <font>
      <b/>
      <u/>
      <sz val="12"/>
      <color theme="1"/>
      <name val="Arial Black"/>
      <family val="2"/>
    </font>
    <font>
      <b/>
      <sz val="12"/>
      <color rgb="FFFF0000"/>
      <name val="Calibri"/>
      <family val="2"/>
      <scheme val="minor"/>
    </font>
    <font>
      <b/>
      <sz val="11"/>
      <color rgb="FFFF0000"/>
      <name val="Calibri"/>
      <family val="2"/>
      <scheme val="minor"/>
    </font>
    <font>
      <sz val="10"/>
      <color theme="1"/>
      <name val="Calibri"/>
      <family val="2"/>
      <scheme val="minor"/>
    </font>
    <font>
      <b/>
      <sz val="9"/>
      <color rgb="FFFF0000"/>
      <name val="Arial"/>
      <family val="2"/>
    </font>
    <font>
      <sz val="9"/>
      <color theme="1"/>
      <name val="Arial"/>
      <family val="2"/>
    </font>
    <font>
      <sz val="11"/>
      <name val="Arial"/>
      <family val="2"/>
    </font>
    <font>
      <b/>
      <sz val="14"/>
      <color rgb="FF2B3DFF"/>
      <name val="Arial"/>
      <family val="2"/>
    </font>
    <font>
      <b/>
      <sz val="15"/>
      <color theme="1"/>
      <name val="Arial"/>
      <family val="2"/>
    </font>
    <font>
      <b/>
      <sz val="16"/>
      <color theme="0"/>
      <name val="Arial Black"/>
      <family val="2"/>
    </font>
    <font>
      <b/>
      <sz val="12"/>
      <color rgb="FF2B3DFF"/>
      <name val="Arial"/>
      <family val="2"/>
    </font>
  </fonts>
  <fills count="19">
    <fill>
      <patternFill patternType="none"/>
    </fill>
    <fill>
      <patternFill patternType="gray125"/>
    </fill>
    <fill>
      <patternFill patternType="solid">
        <fgColor rgb="FFFF0000"/>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rgb="FF2B3DFF"/>
        <bgColor indexed="64"/>
      </patternFill>
    </fill>
    <fill>
      <patternFill patternType="solid">
        <fgColor rgb="FF718500"/>
        <bgColor indexed="64"/>
      </patternFill>
    </fill>
    <fill>
      <patternFill patternType="solid">
        <fgColor rgb="FF2B8B02"/>
        <bgColor indexed="64"/>
      </patternFill>
    </fill>
    <fill>
      <patternFill patternType="solid">
        <fgColor rgb="FF910000"/>
        <bgColor indexed="64"/>
      </patternFill>
    </fill>
    <fill>
      <patternFill patternType="solid">
        <fgColor rgb="FF520976"/>
        <bgColor indexed="64"/>
      </patternFill>
    </fill>
    <fill>
      <patternFill patternType="solid">
        <fgColor rgb="FF1A5C4B"/>
        <bgColor indexed="64"/>
      </patternFill>
    </fill>
    <fill>
      <patternFill patternType="solid">
        <fgColor rgb="FF174E00"/>
        <bgColor indexed="64"/>
      </patternFill>
    </fill>
    <fill>
      <patternFill patternType="solid">
        <fgColor rgb="FFF74500"/>
        <bgColor indexed="64"/>
      </patternFill>
    </fill>
    <fill>
      <patternFill patternType="solid">
        <fgColor rgb="FF000099"/>
        <bgColor indexed="64"/>
      </patternFill>
    </fill>
    <fill>
      <patternFill patternType="solid">
        <fgColor rgb="FFE6A100"/>
        <bgColor indexed="64"/>
      </patternFill>
    </fill>
    <fill>
      <patternFill patternType="solid">
        <fgColor rgb="FF0070C0"/>
        <bgColor indexed="64"/>
      </patternFill>
    </fill>
    <fill>
      <patternFill patternType="solid">
        <fgColor theme="0" tint="-4.9989318521683403E-2"/>
        <bgColor indexed="64"/>
      </patternFill>
    </fill>
  </fills>
  <borders count="1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right style="dashed">
        <color indexed="64"/>
      </right>
      <top/>
      <bottom/>
      <diagonal/>
    </border>
    <border>
      <left/>
      <right style="dashed">
        <color indexed="64"/>
      </right>
      <top/>
      <bottom style="thin">
        <color indexed="64"/>
      </bottom>
      <diagonal/>
    </border>
    <border>
      <left/>
      <right style="dashed">
        <color indexed="64"/>
      </right>
      <top style="thin">
        <color indexed="64"/>
      </top>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diagonal/>
    </border>
    <border>
      <left style="dotted">
        <color auto="1"/>
      </left>
      <right style="dotted">
        <color auto="1"/>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dotted">
        <color auto="1"/>
      </top>
      <bottom style="dotted">
        <color auto="1"/>
      </bottom>
      <diagonal/>
    </border>
    <border>
      <left style="dashed">
        <color indexed="64"/>
      </left>
      <right style="dashed">
        <color indexed="64"/>
      </right>
      <top style="dashed">
        <color indexed="64"/>
      </top>
      <bottom style="dashed">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style="medium">
        <color indexed="64"/>
      </left>
      <right/>
      <top style="dotted">
        <color auto="1"/>
      </top>
      <bottom style="dotted">
        <color auto="1"/>
      </bottom>
      <diagonal/>
    </border>
    <border>
      <left/>
      <right style="medium">
        <color indexed="64"/>
      </right>
      <top style="dotted">
        <color auto="1"/>
      </top>
      <bottom style="dotted">
        <color auto="1"/>
      </bottom>
      <diagonal/>
    </border>
    <border>
      <left style="medium">
        <color indexed="64"/>
      </left>
      <right style="dotted">
        <color auto="1"/>
      </right>
      <top style="dotted">
        <color auto="1"/>
      </top>
      <bottom style="dotted">
        <color auto="1"/>
      </bottom>
      <diagonal/>
    </border>
    <border>
      <left style="dotted">
        <color auto="1"/>
      </left>
      <right style="medium">
        <color indexed="64"/>
      </right>
      <top style="dotted">
        <color auto="1"/>
      </top>
      <bottom style="dotted">
        <color auto="1"/>
      </bottom>
      <diagonal/>
    </border>
    <border>
      <left style="medium">
        <color indexed="64"/>
      </left>
      <right style="dotted">
        <color auto="1"/>
      </right>
      <top style="dotted">
        <color auto="1"/>
      </top>
      <bottom style="medium">
        <color indexed="64"/>
      </bottom>
      <diagonal/>
    </border>
    <border>
      <left style="dotted">
        <color auto="1"/>
      </left>
      <right style="dotted">
        <color auto="1"/>
      </right>
      <top style="dotted">
        <color auto="1"/>
      </top>
      <bottom style="medium">
        <color indexed="64"/>
      </bottom>
      <diagonal/>
    </border>
    <border>
      <left style="dotted">
        <color auto="1"/>
      </left>
      <right style="medium">
        <color indexed="64"/>
      </right>
      <top style="dotted">
        <color auto="1"/>
      </top>
      <bottom style="medium">
        <color indexed="64"/>
      </bottom>
      <diagonal/>
    </border>
    <border>
      <left style="medium">
        <color indexed="64"/>
      </left>
      <right style="dotted">
        <color auto="1"/>
      </right>
      <top style="medium">
        <color indexed="64"/>
      </top>
      <bottom style="dotted">
        <color auto="1"/>
      </bottom>
      <diagonal/>
    </border>
    <border>
      <left style="dotted">
        <color auto="1"/>
      </left>
      <right style="dotted">
        <color auto="1"/>
      </right>
      <top style="medium">
        <color indexed="64"/>
      </top>
      <bottom style="dotted">
        <color auto="1"/>
      </bottom>
      <diagonal/>
    </border>
    <border>
      <left style="dotted">
        <color auto="1"/>
      </left>
      <right style="medium">
        <color indexed="64"/>
      </right>
      <top style="medium">
        <color indexed="64"/>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medium">
        <color indexed="64"/>
      </bottom>
      <diagonal/>
    </border>
    <border>
      <left style="dotted">
        <color auto="1"/>
      </left>
      <right style="medium">
        <color indexed="64"/>
      </right>
      <top style="dotted">
        <color auto="1"/>
      </top>
      <bottom/>
      <diagonal/>
    </border>
    <border>
      <left style="medium">
        <color indexed="64"/>
      </left>
      <right style="dotted">
        <color auto="1"/>
      </right>
      <top/>
      <bottom style="dotted">
        <color auto="1"/>
      </bottom>
      <diagonal/>
    </border>
    <border>
      <left style="dotted">
        <color auto="1"/>
      </left>
      <right style="medium">
        <color indexed="64"/>
      </right>
      <top/>
      <bottom style="dotted">
        <color auto="1"/>
      </bottom>
      <diagonal/>
    </border>
    <border>
      <left style="medium">
        <color rgb="FF2B8B02"/>
      </left>
      <right/>
      <top style="medium">
        <color rgb="FF2B8B02"/>
      </top>
      <bottom/>
      <diagonal/>
    </border>
    <border>
      <left/>
      <right/>
      <top style="medium">
        <color rgb="FF2B8B02"/>
      </top>
      <bottom/>
      <diagonal/>
    </border>
    <border>
      <left/>
      <right style="medium">
        <color rgb="FF2B8B02"/>
      </right>
      <top style="medium">
        <color rgb="FF2B8B02"/>
      </top>
      <bottom/>
      <diagonal/>
    </border>
    <border>
      <left style="medium">
        <color rgb="FF2B8B02"/>
      </left>
      <right/>
      <top/>
      <bottom/>
      <diagonal/>
    </border>
    <border>
      <left/>
      <right style="medium">
        <color rgb="FF2B8B02"/>
      </right>
      <top/>
      <bottom/>
      <diagonal/>
    </border>
    <border>
      <left style="medium">
        <color rgb="FF2B8B02"/>
      </left>
      <right/>
      <top/>
      <bottom style="medium">
        <color rgb="FF2B8B02"/>
      </bottom>
      <diagonal/>
    </border>
    <border>
      <left/>
      <right/>
      <top/>
      <bottom style="medium">
        <color rgb="FF2B8B02"/>
      </bottom>
      <diagonal/>
    </border>
    <border>
      <left/>
      <right style="medium">
        <color rgb="FF2B8B02"/>
      </right>
      <top/>
      <bottom style="medium">
        <color rgb="FF2B8B02"/>
      </bottom>
      <diagonal/>
    </border>
    <border>
      <left style="dashed">
        <color indexed="64"/>
      </left>
      <right style="dashed">
        <color indexed="64"/>
      </right>
      <top/>
      <bottom style="dashed">
        <color indexed="64"/>
      </bottom>
      <diagonal/>
    </border>
    <border>
      <left style="medium">
        <color indexed="64"/>
      </left>
      <right style="medium">
        <color indexed="64"/>
      </right>
      <top style="dotted">
        <color auto="1"/>
      </top>
      <bottom style="dotted">
        <color auto="1"/>
      </bottom>
      <diagonal/>
    </border>
    <border>
      <left style="medium">
        <color indexed="64"/>
      </left>
      <right style="medium">
        <color indexed="64"/>
      </right>
      <top style="dotted">
        <color auto="1"/>
      </top>
      <bottom style="medium">
        <color indexed="64"/>
      </bottom>
      <diagonal/>
    </border>
    <border>
      <left style="medium">
        <color indexed="64"/>
      </left>
      <right style="medium">
        <color indexed="64"/>
      </right>
      <top/>
      <bottom style="dotted">
        <color auto="1"/>
      </bottom>
      <diagonal/>
    </border>
    <border>
      <left/>
      <right/>
      <top style="medium">
        <color indexed="64"/>
      </top>
      <bottom style="medium">
        <color indexed="64"/>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otted">
        <color auto="1"/>
      </top>
      <bottom/>
      <diagonal/>
    </border>
    <border>
      <left style="thin">
        <color rgb="FF174E00"/>
      </left>
      <right style="thin">
        <color rgb="FF174E00"/>
      </right>
      <top style="thin">
        <color rgb="FF174E00"/>
      </top>
      <bottom style="thin">
        <color rgb="FF174E00"/>
      </bottom>
      <diagonal/>
    </border>
    <border>
      <left style="thin">
        <color rgb="FF174E00"/>
      </left>
      <right/>
      <top/>
      <bottom/>
      <diagonal/>
    </border>
    <border>
      <left/>
      <right style="thin">
        <color rgb="FF174E00"/>
      </right>
      <top/>
      <bottom/>
      <diagonal/>
    </border>
    <border>
      <left style="thin">
        <color rgb="FF174E00"/>
      </left>
      <right style="thin">
        <color rgb="FF174E00"/>
      </right>
      <top style="thin">
        <color rgb="FF174E00"/>
      </top>
      <bottom/>
      <diagonal/>
    </border>
    <border>
      <left style="thin">
        <color rgb="FF174E00"/>
      </left>
      <right style="thin">
        <color rgb="FF174E00"/>
      </right>
      <top/>
      <bottom/>
      <diagonal/>
    </border>
    <border>
      <left style="thin">
        <color rgb="FF174E00"/>
      </left>
      <right style="thin">
        <color rgb="FF174E00"/>
      </right>
      <top/>
      <bottom style="thin">
        <color rgb="FF174E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2B8B02"/>
      </left>
      <right style="medium">
        <color rgb="FF2B8B02"/>
      </right>
      <top style="medium">
        <color theme="0"/>
      </top>
      <bottom/>
      <diagonal/>
    </border>
    <border>
      <left style="medium">
        <color rgb="FF2B8B02"/>
      </left>
      <right style="medium">
        <color rgb="FF2B8B02"/>
      </right>
      <top/>
      <bottom/>
      <diagonal/>
    </border>
    <border>
      <left style="medium">
        <color theme="0"/>
      </left>
      <right style="medium">
        <color rgb="FF2B8B02"/>
      </right>
      <top style="medium">
        <color theme="0"/>
      </top>
      <bottom/>
      <diagonal/>
    </border>
    <border>
      <left style="medium">
        <color theme="0"/>
      </left>
      <right style="medium">
        <color rgb="FF2B8B02"/>
      </right>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style="medium">
        <color indexed="64"/>
      </bottom>
      <diagonal/>
    </border>
    <border>
      <left style="medium">
        <color theme="0"/>
      </left>
      <right/>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2B3DFF"/>
      </left>
      <right/>
      <top style="medium">
        <color rgb="FF2B3DFF"/>
      </top>
      <bottom/>
      <diagonal/>
    </border>
    <border>
      <left/>
      <right/>
      <top style="medium">
        <color rgb="FF2B3DFF"/>
      </top>
      <bottom/>
      <diagonal/>
    </border>
    <border>
      <left/>
      <right style="medium">
        <color rgb="FF2B3DFF"/>
      </right>
      <top style="medium">
        <color rgb="FF2B3DFF"/>
      </top>
      <bottom/>
      <diagonal/>
    </border>
    <border>
      <left style="medium">
        <color rgb="FF2B3DFF"/>
      </left>
      <right/>
      <top/>
      <bottom/>
      <diagonal/>
    </border>
    <border>
      <left/>
      <right style="medium">
        <color rgb="FF2B3DFF"/>
      </right>
      <top/>
      <bottom/>
      <diagonal/>
    </border>
    <border>
      <left style="medium">
        <color rgb="FF2B3DFF"/>
      </left>
      <right/>
      <top/>
      <bottom style="medium">
        <color rgb="FF2B3DFF"/>
      </bottom>
      <diagonal/>
    </border>
    <border>
      <left/>
      <right/>
      <top/>
      <bottom style="medium">
        <color rgb="FF2B3DFF"/>
      </bottom>
      <diagonal/>
    </border>
    <border>
      <left/>
      <right style="medium">
        <color rgb="FF2B3DFF"/>
      </right>
      <top/>
      <bottom style="medium">
        <color rgb="FF2B3DFF"/>
      </bottom>
      <diagonal/>
    </border>
    <border>
      <left style="medium">
        <color theme="0"/>
      </left>
      <right style="medium">
        <color rgb="FFFF0000"/>
      </right>
      <top/>
      <bottom/>
      <diagonal/>
    </border>
    <border>
      <left style="medium">
        <color rgb="FFFF0000"/>
      </left>
      <right style="medium">
        <color rgb="FFFF0000"/>
      </right>
      <top/>
      <bottom/>
      <diagonal/>
    </border>
    <border>
      <left/>
      <right/>
      <top style="medium">
        <color indexed="64"/>
      </top>
      <bottom style="medium">
        <color theme="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diagonal/>
    </border>
    <border>
      <left style="dashed">
        <color indexed="64"/>
      </left>
      <right/>
      <top style="medium">
        <color indexed="64"/>
      </top>
      <bottom style="dashed">
        <color indexed="64"/>
      </bottom>
      <diagonal/>
    </border>
    <border>
      <left/>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theme="0"/>
      </left>
      <right style="medium">
        <color theme="0"/>
      </right>
      <top/>
      <bottom style="medium">
        <color theme="0"/>
      </bottom>
      <diagonal/>
    </border>
    <border>
      <left style="medium">
        <color theme="0"/>
      </left>
      <right/>
      <top style="medium">
        <color indexed="64"/>
      </top>
      <bottom style="medium">
        <color indexed="64"/>
      </bottom>
      <diagonal/>
    </border>
    <border>
      <left/>
      <right style="medium">
        <color theme="0"/>
      </right>
      <top style="medium">
        <color indexed="64"/>
      </top>
      <bottom style="medium">
        <color indexed="64"/>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right style="medium">
        <color theme="0"/>
      </right>
      <top/>
      <bottom style="thin">
        <color indexed="64"/>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right/>
      <top style="medium">
        <color theme="0"/>
      </top>
      <bottom style="thin">
        <color indexed="64"/>
      </bottom>
      <diagonal/>
    </border>
    <border>
      <left style="medium">
        <color theme="0"/>
      </left>
      <right/>
      <top style="thin">
        <color indexed="64"/>
      </top>
      <bottom/>
      <diagonal/>
    </border>
    <border>
      <left style="medium">
        <color theme="0"/>
      </left>
      <right style="medium">
        <color theme="0"/>
      </right>
      <top style="thin">
        <color indexed="64"/>
      </top>
      <bottom/>
      <diagonal/>
    </border>
    <border>
      <left/>
      <right style="medium">
        <color theme="0"/>
      </right>
      <top style="thin">
        <color indexed="64"/>
      </top>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right/>
      <top style="thin">
        <color indexed="64"/>
      </top>
      <bottom style="medium">
        <color theme="0"/>
      </bottom>
      <diagonal/>
    </border>
    <border>
      <left/>
      <right/>
      <top style="medium">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2">
    <xf numFmtId="0" fontId="0" fillId="0" borderId="0"/>
    <xf numFmtId="164" fontId="8" fillId="0" borderId="0"/>
    <xf numFmtId="0" fontId="9" fillId="0" borderId="0">
      <alignment horizontal="center"/>
    </xf>
    <xf numFmtId="0" fontId="9" fillId="0" borderId="0">
      <alignment horizontal="center" textRotation="90"/>
    </xf>
    <xf numFmtId="0" fontId="10" fillId="0" borderId="0"/>
    <xf numFmtId="165" fontId="10" fillId="0" borderId="0"/>
    <xf numFmtId="0" fontId="7" fillId="0" borderId="0"/>
    <xf numFmtId="9" fontId="29" fillId="0" borderId="0" applyFont="0" applyFill="0" applyBorder="0" applyAlignment="0" applyProtection="0"/>
    <xf numFmtId="0" fontId="6" fillId="0" borderId="0"/>
    <xf numFmtId="0" fontId="45" fillId="0" borderId="0"/>
    <xf numFmtId="0" fontId="5" fillId="0" borderId="0"/>
    <xf numFmtId="0" fontId="5" fillId="0" borderId="0"/>
    <xf numFmtId="0" fontId="4" fillId="0" borderId="0"/>
    <xf numFmtId="0" fontId="29"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9" fillId="0" borderId="0"/>
    <xf numFmtId="0" fontId="2" fillId="0" borderId="0"/>
    <xf numFmtId="9"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9"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26">
    <xf numFmtId="0" fontId="0" fillId="0" borderId="0" xfId="0"/>
    <xf numFmtId="0" fontId="18" fillId="0" borderId="0" xfId="0" applyFont="1" applyFill="1" applyBorder="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Fill="1" applyBorder="1" applyAlignment="1" applyProtection="1">
      <alignment horizontal="left" vertical="top" wrapText="1"/>
    </xf>
    <xf numFmtId="14" fontId="18" fillId="0" borderId="8" xfId="0" applyNumberFormat="1" applyFont="1" applyFill="1" applyBorder="1" applyAlignment="1" applyProtection="1">
      <alignment horizontal="left" vertical="top" wrapText="1"/>
    </xf>
    <xf numFmtId="0" fontId="18" fillId="0" borderId="8" xfId="0" applyFont="1" applyFill="1" applyBorder="1" applyAlignment="1" applyProtection="1">
      <alignment horizontal="left" vertical="top" wrapText="1"/>
    </xf>
    <xf numFmtId="0" fontId="61" fillId="0" borderId="72" xfId="0" applyFont="1" applyFill="1" applyBorder="1" applyAlignment="1" applyProtection="1">
      <alignment vertical="top" wrapText="1"/>
    </xf>
    <xf numFmtId="0" fontId="61" fillId="0" borderId="130" xfId="0" applyFont="1" applyFill="1" applyBorder="1" applyAlignment="1" applyProtection="1">
      <alignment vertical="top" wrapText="1"/>
    </xf>
    <xf numFmtId="0" fontId="18" fillId="0" borderId="129" xfId="0" applyFont="1" applyFill="1" applyBorder="1" applyAlignment="1" applyProtection="1">
      <alignment horizontal="left" vertical="top" wrapText="1"/>
    </xf>
    <xf numFmtId="0" fontId="61" fillId="0" borderId="0" xfId="0" applyFont="1" applyFill="1" applyBorder="1" applyAlignment="1" applyProtection="1">
      <alignment horizontal="left" vertical="top" wrapText="1"/>
    </xf>
    <xf numFmtId="14" fontId="61" fillId="0" borderId="0" xfId="0" applyNumberFormat="1" applyFont="1" applyFill="1" applyBorder="1" applyAlignment="1" applyProtection="1">
      <alignment horizontal="left" vertical="top" wrapText="1"/>
    </xf>
    <xf numFmtId="0" fontId="18" fillId="0" borderId="72" xfId="0" applyFont="1" applyFill="1" applyBorder="1" applyAlignment="1" applyProtection="1">
      <alignment horizontal="left" vertical="top" wrapText="1"/>
    </xf>
    <xf numFmtId="0" fontId="61" fillId="0" borderId="7" xfId="0" applyFont="1" applyFill="1" applyBorder="1" applyAlignment="1" applyProtection="1">
      <alignment horizontal="left" vertical="top" wrapText="1"/>
    </xf>
    <xf numFmtId="0" fontId="84" fillId="0" borderId="0" xfId="0" applyFont="1" applyFill="1" applyBorder="1" applyAlignment="1" applyProtection="1">
      <alignment vertical="top" wrapText="1"/>
    </xf>
    <xf numFmtId="0" fontId="18" fillId="0" borderId="72" xfId="0" applyFont="1" applyFill="1" applyBorder="1" applyAlignment="1" applyProtection="1">
      <alignment vertical="top" wrapText="1"/>
    </xf>
    <xf numFmtId="0" fontId="18" fillId="0" borderId="8" xfId="0" applyFont="1" applyFill="1" applyBorder="1" applyProtection="1"/>
    <xf numFmtId="0" fontId="18" fillId="0" borderId="9" xfId="0" applyFont="1" applyFill="1" applyBorder="1" applyProtection="1"/>
    <xf numFmtId="0" fontId="0" fillId="0" borderId="0" xfId="0" applyFill="1" applyBorder="1" applyAlignment="1" applyProtection="1">
      <alignment horizontal="left" vertical="top"/>
    </xf>
    <xf numFmtId="0" fontId="61" fillId="0" borderId="10" xfId="0" applyFont="1" applyFill="1" applyBorder="1" applyAlignment="1" applyProtection="1">
      <alignment horizontal="left" vertical="top" wrapText="1"/>
    </xf>
    <xf numFmtId="14" fontId="18" fillId="0" borderId="0" xfId="0" applyNumberFormat="1" applyFont="1" applyFill="1" applyBorder="1" applyAlignment="1" applyProtection="1">
      <alignment horizontal="left" vertical="top" wrapText="1"/>
    </xf>
    <xf numFmtId="0" fontId="18" fillId="0" borderId="0" xfId="0" applyFont="1" applyFill="1" applyBorder="1" applyProtection="1"/>
    <xf numFmtId="0" fontId="18" fillId="0" borderId="11" xfId="0" applyFont="1" applyFill="1" applyBorder="1" applyProtection="1"/>
    <xf numFmtId="0" fontId="61" fillId="0" borderId="22" xfId="0" applyFont="1" applyFill="1" applyBorder="1" applyAlignment="1" applyProtection="1">
      <alignment horizontal="left" vertical="top" wrapText="1"/>
    </xf>
    <xf numFmtId="14" fontId="61" fillId="0" borderId="21" xfId="0" applyNumberFormat="1" applyFont="1" applyFill="1" applyBorder="1" applyAlignment="1" applyProtection="1">
      <alignment horizontal="left" vertical="top" wrapText="1"/>
    </xf>
    <xf numFmtId="0" fontId="61" fillId="0" borderId="21" xfId="0" applyFont="1" applyFill="1" applyBorder="1" applyAlignment="1" applyProtection="1">
      <alignment horizontal="left" vertical="top" wrapText="1"/>
    </xf>
    <xf numFmtId="0" fontId="18" fillId="0" borderId="21" xfId="0" applyFont="1" applyFill="1" applyBorder="1" applyAlignment="1" applyProtection="1">
      <alignment horizontal="left" vertical="top" wrapText="1"/>
    </xf>
    <xf numFmtId="14" fontId="18" fillId="0" borderId="21" xfId="0" applyNumberFormat="1" applyFont="1" applyFill="1" applyBorder="1" applyAlignment="1" applyProtection="1">
      <alignment horizontal="left" vertical="top" wrapText="1"/>
    </xf>
    <xf numFmtId="0" fontId="18" fillId="0" borderId="21" xfId="0" applyFont="1" applyFill="1" applyBorder="1" applyProtection="1"/>
    <xf numFmtId="0" fontId="18" fillId="0" borderId="23" xfId="0" applyFont="1" applyFill="1" applyBorder="1" applyProtection="1"/>
    <xf numFmtId="0" fontId="0" fillId="0" borderId="0" xfId="0" applyFill="1" applyBorder="1" applyProtection="1"/>
    <xf numFmtId="0" fontId="0" fillId="0" borderId="0" xfId="0" applyFill="1" applyProtection="1"/>
    <xf numFmtId="0" fontId="13" fillId="0" borderId="0"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18" fillId="0" borderId="0" xfId="0" applyFont="1" applyFill="1" applyBorder="1" applyAlignment="1" applyProtection="1">
      <alignment horizontal="center" vertical="center"/>
    </xf>
    <xf numFmtId="0" fontId="18"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2" fillId="0" borderId="0" xfId="0" applyFont="1" applyFill="1" applyAlignment="1" applyProtection="1">
      <alignment vertical="center"/>
    </xf>
    <xf numFmtId="0" fontId="52" fillId="0" borderId="0" xfId="0" applyFont="1" applyFill="1" applyAlignment="1" applyProtection="1">
      <alignment horizontal="center" vertical="center"/>
    </xf>
    <xf numFmtId="0" fontId="62" fillId="0" borderId="0" xfId="0" applyFont="1" applyFill="1" applyBorder="1" applyAlignment="1" applyProtection="1">
      <alignment horizontal="center" vertical="center"/>
    </xf>
    <xf numFmtId="0" fontId="64" fillId="0" borderId="0" xfId="0" applyFont="1" applyFill="1" applyBorder="1" applyAlignment="1" applyProtection="1">
      <alignment vertical="center" wrapText="1"/>
    </xf>
    <xf numFmtId="0" fontId="64" fillId="0" borderId="0" xfId="0" applyFont="1" applyFill="1" applyBorder="1" applyAlignment="1" applyProtection="1">
      <alignment horizontal="center" vertical="center" wrapText="1"/>
    </xf>
    <xf numFmtId="20" fontId="56" fillId="0" borderId="0"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61" fillId="0" borderId="0" xfId="0" applyFont="1" applyFill="1" applyAlignment="1" applyProtection="1">
      <alignment horizontal="center" vertical="center"/>
    </xf>
    <xf numFmtId="0" fontId="52"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52" fillId="0" borderId="21" xfId="0" applyFont="1" applyFill="1" applyBorder="1" applyAlignment="1" applyProtection="1">
      <alignment horizontal="center" vertical="center"/>
    </xf>
    <xf numFmtId="0" fontId="11" fillId="0" borderId="21" xfId="0" applyFont="1" applyFill="1" applyBorder="1" applyAlignment="1" applyProtection="1">
      <alignment vertical="center" wrapText="1"/>
    </xf>
    <xf numFmtId="0" fontId="64" fillId="0" borderId="0" xfId="0" applyFont="1" applyFill="1" applyBorder="1" applyAlignment="1" applyProtection="1">
      <alignment vertical="center"/>
    </xf>
    <xf numFmtId="0" fontId="64" fillId="0" borderId="21" xfId="0" applyFont="1" applyFill="1" applyBorder="1" applyAlignment="1" applyProtection="1">
      <alignment vertical="center"/>
    </xf>
    <xf numFmtId="0" fontId="18" fillId="0" borderId="21" xfId="0" applyFont="1" applyFill="1" applyBorder="1" applyAlignment="1" applyProtection="1">
      <alignment horizontal="center" vertical="center"/>
    </xf>
    <xf numFmtId="0" fontId="18" fillId="0" borderId="21" xfId="0" applyFont="1" applyFill="1" applyBorder="1" applyAlignment="1" applyProtection="1">
      <alignment vertical="center"/>
    </xf>
    <xf numFmtId="0" fontId="64" fillId="0" borderId="128" xfId="0" applyFont="1" applyFill="1" applyBorder="1" applyAlignment="1" applyProtection="1">
      <alignment vertical="center"/>
    </xf>
    <xf numFmtId="0" fontId="64" fillId="0" borderId="8" xfId="0" applyFont="1" applyFill="1" applyBorder="1" applyAlignment="1" applyProtection="1">
      <alignment vertical="center"/>
    </xf>
    <xf numFmtId="166" fontId="13" fillId="0" borderId="97" xfId="0" applyNumberFormat="1" applyFont="1" applyFill="1" applyBorder="1" applyAlignment="1" applyProtection="1">
      <alignment wrapText="1"/>
    </xf>
    <xf numFmtId="166" fontId="39" fillId="17" borderId="97" xfId="0" applyNumberFormat="1" applyFont="1" applyFill="1" applyBorder="1" applyAlignment="1" applyProtection="1">
      <alignment horizontal="center" vertical="center" wrapText="1"/>
    </xf>
    <xf numFmtId="166" fontId="39" fillId="2" borderId="97" xfId="0" applyNumberFormat="1" applyFont="1" applyFill="1" applyBorder="1" applyAlignment="1" applyProtection="1">
      <alignment horizontal="center" vertical="center" wrapText="1"/>
    </xf>
    <xf numFmtId="166" fontId="13" fillId="0" borderId="100" xfId="0" applyNumberFormat="1" applyFont="1" applyFill="1" applyBorder="1" applyAlignment="1" applyProtection="1">
      <alignment wrapText="1"/>
    </xf>
    <xf numFmtId="166" fontId="39" fillId="2" borderId="100" xfId="0" applyNumberFormat="1" applyFont="1" applyFill="1" applyBorder="1" applyAlignment="1" applyProtection="1">
      <alignment horizontal="center" vertical="center" wrapText="1"/>
    </xf>
    <xf numFmtId="166" fontId="13" fillId="0" borderId="101" xfId="0" applyNumberFormat="1" applyFont="1" applyFill="1" applyBorder="1" applyAlignment="1" applyProtection="1">
      <alignment wrapText="1"/>
    </xf>
    <xf numFmtId="166" fontId="13" fillId="0" borderId="103" xfId="0" applyNumberFormat="1" applyFont="1" applyFill="1" applyBorder="1" applyAlignment="1" applyProtection="1">
      <alignment wrapText="1"/>
    </xf>
    <xf numFmtId="166" fontId="39" fillId="17" borderId="99" xfId="0" applyNumberFormat="1" applyFont="1" applyFill="1" applyBorder="1" applyAlignment="1" applyProtection="1">
      <alignment horizontal="center" vertical="center" wrapText="1"/>
    </xf>
    <xf numFmtId="166" fontId="13" fillId="0" borderId="99" xfId="0" applyNumberFormat="1" applyFont="1" applyFill="1" applyBorder="1" applyAlignment="1" applyProtection="1">
      <alignment wrapText="1"/>
    </xf>
    <xf numFmtId="166" fontId="39" fillId="2" borderId="99" xfId="0" applyNumberFormat="1" applyFont="1" applyFill="1" applyBorder="1" applyAlignment="1" applyProtection="1">
      <alignment horizontal="center" vertical="center" wrapText="1"/>
    </xf>
    <xf numFmtId="0" fontId="64" fillId="0" borderId="72" xfId="0" applyFont="1" applyFill="1" applyBorder="1" applyAlignment="1" applyProtection="1">
      <alignment vertical="center"/>
    </xf>
    <xf numFmtId="0" fontId="18" fillId="0" borderId="72" xfId="0" applyFont="1" applyFill="1" applyBorder="1" applyAlignment="1" applyProtection="1">
      <alignment horizontal="center" vertical="center"/>
    </xf>
    <xf numFmtId="0" fontId="0" fillId="0" borderId="0" xfId="0" applyBorder="1" applyAlignment="1" applyProtection="1">
      <alignment vertical="center"/>
    </xf>
    <xf numFmtId="166" fontId="39" fillId="17" borderId="100" xfId="0" applyNumberFormat="1" applyFont="1" applyFill="1" applyBorder="1" applyAlignment="1" applyProtection="1">
      <alignment horizontal="center" vertical="center" wrapText="1"/>
    </xf>
    <xf numFmtId="166" fontId="13" fillId="4" borderId="100" xfId="0" applyNumberFormat="1" applyFont="1" applyFill="1" applyBorder="1" applyAlignment="1" applyProtection="1">
      <alignment wrapText="1"/>
    </xf>
    <xf numFmtId="166" fontId="13" fillId="4" borderId="106" xfId="0" applyNumberFormat="1" applyFont="1" applyFill="1" applyBorder="1" applyAlignment="1" applyProtection="1">
      <alignment wrapText="1"/>
    </xf>
    <xf numFmtId="166" fontId="39" fillId="17" borderId="106" xfId="0" applyNumberFormat="1" applyFont="1" applyFill="1" applyBorder="1" applyAlignment="1" applyProtection="1">
      <alignment horizontal="center" vertical="center" wrapText="1"/>
    </xf>
    <xf numFmtId="166" fontId="39" fillId="2" borderId="106" xfId="0" applyNumberFormat="1" applyFont="1" applyFill="1" applyBorder="1" applyAlignment="1" applyProtection="1">
      <alignment horizontal="center" vertical="center" wrapText="1"/>
    </xf>
    <xf numFmtId="0" fontId="64" fillId="0" borderId="105" xfId="0" applyFont="1" applyFill="1" applyBorder="1" applyAlignment="1" applyProtection="1">
      <alignment vertical="center"/>
    </xf>
    <xf numFmtId="0" fontId="64" fillId="0" borderId="104" xfId="0" applyFont="1" applyFill="1" applyBorder="1" applyAlignment="1" applyProtection="1">
      <alignment vertical="center"/>
    </xf>
    <xf numFmtId="0" fontId="64" fillId="0" borderId="91" xfId="0" applyFont="1" applyFill="1" applyBorder="1" applyAlignment="1" applyProtection="1">
      <alignment vertical="center"/>
    </xf>
    <xf numFmtId="0" fontId="0" fillId="0" borderId="91" xfId="0" applyBorder="1" applyAlignment="1" applyProtection="1">
      <alignment vertical="center"/>
    </xf>
    <xf numFmtId="166" fontId="13" fillId="0" borderId="106" xfId="0" applyNumberFormat="1" applyFont="1" applyFill="1" applyBorder="1" applyAlignment="1" applyProtection="1">
      <alignment wrapText="1"/>
    </xf>
    <xf numFmtId="0" fontId="18" fillId="0" borderId="89" xfId="0" applyFont="1" applyFill="1" applyBorder="1" applyAlignment="1" applyProtection="1">
      <alignment horizontal="center" vertical="center"/>
    </xf>
    <xf numFmtId="166" fontId="39" fillId="9" borderId="100" xfId="0" applyNumberFormat="1" applyFont="1" applyFill="1" applyBorder="1" applyAlignment="1" applyProtection="1">
      <alignment horizontal="center" vertical="center" wrapText="1"/>
    </xf>
    <xf numFmtId="166" fontId="39" fillId="9" borderId="97" xfId="0" applyNumberFormat="1" applyFont="1" applyFill="1" applyBorder="1" applyAlignment="1" applyProtection="1">
      <alignment horizontal="center" vertical="center" wrapText="1"/>
    </xf>
    <xf numFmtId="166" fontId="13" fillId="4" borderId="98" xfId="0" applyNumberFormat="1" applyFont="1" applyFill="1" applyBorder="1" applyAlignment="1" applyProtection="1">
      <alignment wrapText="1"/>
    </xf>
    <xf numFmtId="166" fontId="13" fillId="0" borderId="98" xfId="0" applyNumberFormat="1" applyFont="1" applyFill="1" applyBorder="1" applyAlignment="1" applyProtection="1">
      <alignment wrapText="1"/>
    </xf>
    <xf numFmtId="166" fontId="39" fillId="9" borderId="98" xfId="0" applyNumberFormat="1" applyFont="1" applyFill="1" applyBorder="1" applyAlignment="1" applyProtection="1">
      <alignment horizontal="center" vertical="center" wrapText="1"/>
    </xf>
    <xf numFmtId="166" fontId="39" fillId="9" borderId="146" xfId="0" applyNumberFormat="1" applyFont="1" applyFill="1" applyBorder="1" applyAlignment="1" applyProtection="1">
      <alignment horizontal="center" vertical="center" wrapText="1"/>
    </xf>
    <xf numFmtId="166" fontId="13" fillId="0" borderId="102" xfId="0" applyNumberFormat="1" applyFont="1" applyFill="1" applyBorder="1" applyAlignment="1" applyProtection="1">
      <alignment wrapText="1"/>
    </xf>
    <xf numFmtId="166" fontId="39" fillId="9" borderId="103" xfId="0" applyNumberFormat="1" applyFont="1" applyFill="1" applyBorder="1" applyAlignment="1" applyProtection="1">
      <alignment horizontal="center" vertical="center" wrapText="1"/>
    </xf>
    <xf numFmtId="166" fontId="39" fillId="9" borderId="106"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wrapText="1"/>
    </xf>
    <xf numFmtId="0" fontId="38" fillId="0" borderId="0" xfId="0" applyFont="1" applyFill="1" applyBorder="1" applyAlignment="1" applyProtection="1">
      <alignment horizontal="left" vertical="center" wrapText="1"/>
    </xf>
    <xf numFmtId="0" fontId="38" fillId="0" borderId="0" xfId="0" applyFont="1" applyFill="1" applyAlignment="1" applyProtection="1">
      <alignment horizontal="left" vertical="center" wrapText="1"/>
    </xf>
    <xf numFmtId="0" fontId="60" fillId="0" borderId="0" xfId="0" applyFont="1" applyFill="1" applyAlignment="1" applyProtection="1">
      <alignment vertical="center"/>
    </xf>
    <xf numFmtId="0" fontId="59" fillId="0" borderId="0" xfId="0" applyFont="1" applyFill="1" applyAlignment="1" applyProtection="1">
      <alignment vertical="center"/>
    </xf>
    <xf numFmtId="0" fontId="59" fillId="0" borderId="0" xfId="0" applyFont="1" applyFill="1" applyBorder="1" applyAlignment="1" applyProtection="1">
      <alignment vertical="center"/>
    </xf>
    <xf numFmtId="168" fontId="18" fillId="0" borderId="0" xfId="0" applyNumberFormat="1" applyFont="1" applyFill="1" applyBorder="1" applyAlignment="1" applyProtection="1">
      <alignment horizontal="center" vertical="center"/>
    </xf>
    <xf numFmtId="0" fontId="18" fillId="0" borderId="7" xfId="0" applyFont="1" applyFill="1" applyBorder="1" applyAlignment="1" applyProtection="1">
      <alignment horizontal="center" vertical="center"/>
    </xf>
    <xf numFmtId="0" fontId="18" fillId="0" borderId="8" xfId="0" applyFont="1" applyFill="1" applyBorder="1" applyAlignment="1" applyProtection="1">
      <alignment horizontal="center" vertical="center"/>
    </xf>
    <xf numFmtId="0" fontId="18" fillId="0" borderId="8" xfId="0" applyFont="1" applyFill="1" applyBorder="1" applyAlignment="1" applyProtection="1">
      <alignment horizontal="center" vertical="center" wrapText="1"/>
    </xf>
    <xf numFmtId="168" fontId="18" fillId="0" borderId="8" xfId="0" applyNumberFormat="1" applyFont="1" applyFill="1" applyBorder="1" applyAlignment="1" applyProtection="1">
      <alignment horizontal="center" vertical="center"/>
    </xf>
    <xf numFmtId="0" fontId="63" fillId="0" borderId="9" xfId="0" applyFont="1" applyFill="1" applyBorder="1" applyAlignment="1" applyProtection="1">
      <alignment vertical="top" wrapText="1"/>
    </xf>
    <xf numFmtId="0" fontId="63" fillId="0" borderId="11" xfId="0" applyFont="1" applyFill="1" applyBorder="1" applyAlignment="1" applyProtection="1">
      <alignment vertical="top" wrapText="1"/>
    </xf>
    <xf numFmtId="0" fontId="18" fillId="0" borderId="22" xfId="0" applyFont="1" applyFill="1" applyBorder="1" applyAlignment="1" applyProtection="1">
      <alignment horizontal="center" vertical="center"/>
    </xf>
    <xf numFmtId="0" fontId="52" fillId="0" borderId="21"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63" fillId="0" borderId="23" xfId="0" applyFont="1" applyFill="1" applyBorder="1" applyAlignment="1" applyProtection="1">
      <alignment vertical="top" wrapText="1"/>
    </xf>
    <xf numFmtId="0" fontId="63" fillId="0" borderId="0" xfId="0" applyFont="1" applyFill="1" applyBorder="1" applyAlignment="1" applyProtection="1">
      <alignment vertical="top" wrapText="1"/>
    </xf>
    <xf numFmtId="0" fontId="63" fillId="0" borderId="9" xfId="0" applyFont="1" applyFill="1" applyBorder="1" applyAlignment="1" applyProtection="1">
      <alignment vertical="center" wrapText="1"/>
    </xf>
    <xf numFmtId="0" fontId="63" fillId="0" borderId="11" xfId="0" applyFont="1" applyFill="1" applyBorder="1" applyAlignment="1" applyProtection="1">
      <alignment vertical="center" wrapText="1"/>
    </xf>
    <xf numFmtId="0" fontId="18" fillId="0" borderId="21" xfId="0" applyFont="1" applyFill="1" applyBorder="1" applyAlignment="1" applyProtection="1">
      <alignment vertical="center" wrapText="1"/>
    </xf>
    <xf numFmtId="0" fontId="0" fillId="0" borderId="8" xfId="0" applyFont="1" applyFill="1" applyBorder="1" applyAlignment="1" applyProtection="1">
      <alignment vertical="center"/>
    </xf>
    <xf numFmtId="0" fontId="0" fillId="0" borderId="0" xfId="0" applyFont="1" applyFill="1" applyBorder="1" applyAlignment="1" applyProtection="1">
      <alignment vertical="center"/>
    </xf>
    <xf numFmtId="1" fontId="0" fillId="0" borderId="0" xfId="0" applyNumberFormat="1" applyFont="1" applyFill="1" applyBorder="1" applyAlignment="1" applyProtection="1">
      <alignment vertical="center"/>
    </xf>
    <xf numFmtId="0" fontId="63" fillId="0" borderId="0" xfId="0" applyFont="1" applyFill="1" applyAlignment="1" applyProtection="1">
      <alignment vertical="top" wrapText="1"/>
    </xf>
    <xf numFmtId="0" fontId="18" fillId="0" borderId="9" xfId="0" applyFont="1" applyFill="1" applyBorder="1" applyAlignment="1" applyProtection="1">
      <alignment horizontal="center" vertical="center"/>
    </xf>
    <xf numFmtId="167" fontId="0" fillId="0" borderId="0" xfId="0" applyNumberFormat="1" applyFont="1" applyFill="1" applyBorder="1" applyAlignment="1" applyProtection="1">
      <alignment vertical="center" wrapText="1"/>
    </xf>
    <xf numFmtId="167" fontId="18" fillId="0" borderId="0" xfId="0" applyNumberFormat="1" applyFont="1" applyFill="1" applyBorder="1" applyAlignment="1" applyProtection="1">
      <alignment vertical="center" wrapText="1"/>
    </xf>
    <xf numFmtId="167" fontId="18" fillId="0" borderId="11" xfId="0" applyNumberFormat="1" applyFont="1" applyFill="1" applyBorder="1" applyAlignment="1" applyProtection="1">
      <alignment vertical="center" wrapText="1"/>
    </xf>
    <xf numFmtId="168" fontId="18" fillId="0" borderId="21" xfId="0" applyNumberFormat="1" applyFont="1" applyFill="1" applyBorder="1" applyAlignment="1" applyProtection="1">
      <alignment horizontal="center" vertical="center"/>
    </xf>
    <xf numFmtId="0" fontId="18" fillId="0" borderId="23"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8" fillId="0" borderId="11" xfId="0" applyFont="1" applyFill="1" applyBorder="1" applyAlignment="1" applyProtection="1">
      <alignment horizontal="center" vertical="center"/>
    </xf>
    <xf numFmtId="0" fontId="12" fillId="0" borderId="10" xfId="0" applyFont="1" applyFill="1" applyBorder="1" applyAlignment="1" applyProtection="1">
      <alignment vertical="center" wrapText="1"/>
    </xf>
    <xf numFmtId="0" fontId="18" fillId="0" borderId="0" xfId="0" applyFont="1" applyFill="1" applyAlignment="1" applyProtection="1">
      <alignment vertical="center" wrapText="1"/>
    </xf>
    <xf numFmtId="0" fontId="63" fillId="0" borderId="21" xfId="0" applyFont="1" applyFill="1" applyBorder="1" applyAlignment="1" applyProtection="1">
      <alignment horizontal="center" vertical="center" wrapText="1"/>
    </xf>
    <xf numFmtId="0" fontId="0" fillId="0" borderId="8"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18" fillId="0" borderId="0" xfId="0" applyFont="1" applyFill="1" applyBorder="1" applyAlignment="1" applyProtection="1">
      <alignment horizontal="right" vertical="center"/>
    </xf>
    <xf numFmtId="0" fontId="18" fillId="0" borderId="0" xfId="0" applyFont="1" applyFill="1" applyAlignment="1" applyProtection="1">
      <alignment vertical="center"/>
    </xf>
    <xf numFmtId="0" fontId="38" fillId="0" borderId="0" xfId="0" applyFont="1" applyFill="1" applyBorder="1" applyAlignment="1" applyProtection="1">
      <alignment horizontal="left" vertical="center" wrapText="1"/>
    </xf>
    <xf numFmtId="0" fontId="65" fillId="0" borderId="0" xfId="0" applyFont="1" applyFill="1" applyAlignment="1" applyProtection="1">
      <alignment horizontal="center" vertical="center" wrapText="1"/>
    </xf>
    <xf numFmtId="0" fontId="18"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0" fillId="0" borderId="105" xfId="0" applyFont="1"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89" xfId="0" applyFont="1" applyFill="1" applyBorder="1" applyAlignment="1" applyProtection="1">
      <alignment horizontal="center" vertical="center" wrapText="1"/>
    </xf>
    <xf numFmtId="0" fontId="0" fillId="0" borderId="104"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62" fillId="0" borderId="21" xfId="0" applyFont="1" applyFill="1" applyBorder="1" applyAlignment="1" applyProtection="1">
      <alignment vertical="center"/>
    </xf>
    <xf numFmtId="0" fontId="38" fillId="0" borderId="21" xfId="0" applyFont="1" applyFill="1" applyBorder="1" applyAlignment="1" applyProtection="1">
      <alignment vertical="center" wrapText="1"/>
    </xf>
    <xf numFmtId="0" fontId="38" fillId="0" borderId="21" xfId="0" applyFont="1" applyFill="1" applyBorder="1" applyAlignment="1" applyProtection="1">
      <alignment horizontal="left" vertical="center" wrapText="1"/>
    </xf>
    <xf numFmtId="0" fontId="2" fillId="0" borderId="0" xfId="35" applyProtection="1"/>
    <xf numFmtId="0" fontId="12" fillId="0" borderId="21" xfId="25" applyFont="1" applyFill="1" applyBorder="1" applyAlignment="1" applyProtection="1">
      <alignment vertical="center"/>
    </xf>
    <xf numFmtId="0" fontId="2" fillId="0" borderId="72" xfId="35" applyBorder="1" applyProtection="1"/>
    <xf numFmtId="0" fontId="12" fillId="0" borderId="0" xfId="25" applyFont="1" applyFill="1" applyAlignment="1" applyProtection="1">
      <alignment vertical="center"/>
    </xf>
    <xf numFmtId="0" fontId="12" fillId="0" borderId="21" xfId="25" applyFont="1" applyFill="1" applyBorder="1" applyAlignment="1" applyProtection="1">
      <alignment horizontal="left" vertical="center"/>
    </xf>
    <xf numFmtId="0" fontId="2" fillId="0" borderId="21" xfId="35" applyBorder="1" applyProtection="1"/>
    <xf numFmtId="0" fontId="12" fillId="0" borderId="21" xfId="25" applyFont="1" applyFill="1" applyBorder="1" applyAlignment="1" applyProtection="1">
      <alignment horizontal="center" vertical="center"/>
    </xf>
    <xf numFmtId="0" fontId="12" fillId="0" borderId="72" xfId="25" applyFont="1" applyFill="1" applyBorder="1" applyAlignment="1" applyProtection="1">
      <alignment horizontal="left" vertical="center"/>
    </xf>
    <xf numFmtId="0" fontId="65" fillId="0" borderId="0" xfId="0" applyFont="1" applyFill="1" applyBorder="1" applyAlignment="1" applyProtection="1">
      <alignment horizontal="center" vertical="center" wrapText="1"/>
    </xf>
    <xf numFmtId="0" fontId="18" fillId="0" borderId="72" xfId="0" applyFont="1" applyFill="1" applyBorder="1" applyAlignment="1" applyProtection="1">
      <alignment vertical="center"/>
    </xf>
    <xf numFmtId="0" fontId="64" fillId="0" borderId="161" xfId="0" applyFont="1" applyFill="1" applyBorder="1" applyAlignment="1" applyProtection="1">
      <alignment vertical="center"/>
    </xf>
    <xf numFmtId="0" fontId="64" fillId="0" borderId="161" xfId="0" applyFont="1" applyFill="1" applyBorder="1" applyAlignment="1" applyProtection="1">
      <alignment horizontal="center" vertical="center"/>
    </xf>
    <xf numFmtId="0" fontId="18" fillId="0" borderId="161" xfId="0" applyFont="1" applyFill="1" applyBorder="1" applyAlignment="1" applyProtection="1">
      <alignment horizontal="center" vertical="center"/>
    </xf>
    <xf numFmtId="0" fontId="18" fillId="0" borderId="146" xfId="0" applyFont="1" applyFill="1" applyBorder="1" applyAlignment="1" applyProtection="1">
      <alignment horizontal="center" vertical="center"/>
    </xf>
    <xf numFmtId="0" fontId="18" fillId="0" borderId="100" xfId="0" applyFont="1" applyFill="1" applyBorder="1" applyAlignment="1" applyProtection="1">
      <alignment horizontal="center" vertical="center"/>
    </xf>
    <xf numFmtId="0" fontId="18" fillId="0" borderId="97" xfId="0" applyFont="1" applyFill="1" applyBorder="1" applyAlignment="1" applyProtection="1">
      <alignment horizontal="center" vertical="center"/>
    </xf>
    <xf numFmtId="0" fontId="18" fillId="0" borderId="162" xfId="0" applyFont="1" applyFill="1" applyBorder="1" applyAlignment="1" applyProtection="1">
      <alignment horizontal="center" vertical="center"/>
    </xf>
    <xf numFmtId="0" fontId="18" fillId="0" borderId="163" xfId="0" applyFont="1" applyFill="1" applyBorder="1" applyAlignment="1" applyProtection="1">
      <alignment horizontal="center" vertical="center"/>
    </xf>
    <xf numFmtId="0" fontId="18" fillId="0" borderId="5" xfId="0" applyFont="1" applyFill="1" applyBorder="1" applyAlignment="1" applyProtection="1">
      <alignment horizontal="center" vertical="center"/>
    </xf>
    <xf numFmtId="0" fontId="18" fillId="0" borderId="106" xfId="0" applyFont="1" applyFill="1" applyBorder="1" applyAlignment="1" applyProtection="1">
      <alignment horizontal="center" vertical="center"/>
    </xf>
    <xf numFmtId="0" fontId="18" fillId="0" borderId="105" xfId="0" applyFont="1" applyFill="1" applyBorder="1" applyAlignment="1" applyProtection="1">
      <alignment horizontal="center" vertical="center"/>
    </xf>
    <xf numFmtId="171" fontId="18" fillId="0" borderId="21" xfId="0" applyNumberFormat="1" applyFont="1" applyFill="1" applyBorder="1" applyAlignment="1" applyProtection="1">
      <alignment horizontal="center" vertical="center"/>
    </xf>
    <xf numFmtId="171" fontId="18" fillId="0" borderId="0" xfId="0" applyNumberFormat="1" applyFont="1" applyFill="1" applyAlignment="1" applyProtection="1">
      <alignment horizontal="center" vertical="center"/>
    </xf>
    <xf numFmtId="0" fontId="18" fillId="0" borderId="0" xfId="0" applyFont="1" applyFill="1" applyAlignment="1" applyProtection="1">
      <alignment horizontal="center" vertical="center" wrapText="1"/>
    </xf>
    <xf numFmtId="0" fontId="3" fillId="0" borderId="21" xfId="19" applyBorder="1" applyProtection="1"/>
    <xf numFmtId="0" fontId="3" fillId="0" borderId="21" xfId="19" applyFill="1" applyBorder="1" applyProtection="1"/>
    <xf numFmtId="0" fontId="18" fillId="0" borderId="104" xfId="0" applyFont="1" applyFill="1" applyBorder="1" applyAlignment="1" applyProtection="1">
      <alignment horizontal="center" vertical="center" wrapText="1"/>
    </xf>
    <xf numFmtId="171" fontId="81" fillId="0" borderId="21" xfId="19" applyNumberFormat="1" applyFont="1" applyBorder="1" applyAlignment="1" applyProtection="1">
      <alignment horizontal="center" vertical="center"/>
    </xf>
    <xf numFmtId="0" fontId="3" fillId="0" borderId="21" xfId="23" applyBorder="1" applyAlignment="1" applyProtection="1">
      <alignment horizontal="center" vertical="center" wrapText="1"/>
    </xf>
    <xf numFmtId="0" fontId="3" fillId="0" borderId="0" xfId="19" applyProtection="1"/>
    <xf numFmtId="0" fontId="3" fillId="0" borderId="0" xfId="19" applyFill="1" applyProtection="1"/>
    <xf numFmtId="0" fontId="18" fillId="0" borderId="89" xfId="0" applyFont="1" applyFill="1" applyBorder="1" applyAlignment="1" applyProtection="1">
      <alignment horizontal="center" vertical="center" wrapText="1"/>
    </xf>
    <xf numFmtId="171" fontId="81" fillId="0" borderId="0" xfId="19" applyNumberFormat="1" applyFont="1" applyAlignment="1" applyProtection="1">
      <alignment horizontal="center" vertical="center"/>
    </xf>
    <xf numFmtId="0" fontId="3" fillId="0" borderId="0" xfId="23" applyAlignment="1" applyProtection="1">
      <alignment horizontal="center" vertical="center" wrapText="1"/>
    </xf>
    <xf numFmtId="0" fontId="18" fillId="0" borderId="4" xfId="0" applyFont="1" applyFill="1" applyBorder="1" applyAlignment="1" applyProtection="1">
      <alignment horizontal="center" vertical="center"/>
    </xf>
    <xf numFmtId="0" fontId="64" fillId="0" borderId="147" xfId="0" applyFont="1" applyFill="1" applyBorder="1" applyAlignment="1" applyProtection="1">
      <alignment vertical="center"/>
    </xf>
    <xf numFmtId="0" fontId="64" fillId="0" borderId="72" xfId="0" applyFont="1" applyFill="1" applyBorder="1" applyAlignment="1" applyProtection="1">
      <alignment horizontal="center" vertical="center"/>
    </xf>
    <xf numFmtId="171" fontId="15" fillId="0" borderId="72" xfId="0" applyNumberFormat="1" applyFont="1" applyFill="1" applyBorder="1" applyAlignment="1" applyProtection="1">
      <alignment horizontal="left" vertical="center"/>
    </xf>
    <xf numFmtId="0" fontId="64" fillId="0" borderId="148" xfId="0" applyFont="1" applyFill="1" applyBorder="1" applyAlignment="1" applyProtection="1">
      <alignment vertical="center"/>
    </xf>
    <xf numFmtId="0" fontId="0" fillId="0" borderId="161" xfId="0" applyBorder="1" applyAlignment="1" applyProtection="1">
      <alignment vertical="center"/>
    </xf>
    <xf numFmtId="0" fontId="0" fillId="0" borderId="161" xfId="0" applyBorder="1" applyAlignment="1" applyProtection="1">
      <alignment horizontal="center" vertical="center"/>
    </xf>
    <xf numFmtId="171" fontId="15" fillId="0" borderId="161" xfId="0" applyNumberFormat="1" applyFont="1" applyFill="1" applyBorder="1" applyAlignment="1" applyProtection="1">
      <alignment horizontal="left" vertical="center"/>
    </xf>
    <xf numFmtId="0" fontId="0" fillId="0" borderId="0" xfId="0" applyBorder="1" applyAlignment="1" applyProtection="1">
      <alignment horizontal="center" vertical="center"/>
    </xf>
    <xf numFmtId="171" fontId="15" fillId="0" borderId="0" xfId="0" applyNumberFormat="1" applyFont="1" applyFill="1" applyAlignment="1" applyProtection="1">
      <alignment horizontal="left" vertical="center"/>
    </xf>
    <xf numFmtId="0" fontId="64" fillId="0" borderId="88" xfId="0" applyFont="1" applyFill="1" applyBorder="1" applyAlignment="1" applyProtection="1">
      <alignment vertical="center"/>
    </xf>
    <xf numFmtId="0" fontId="64" fillId="0" borderId="0" xfId="0" applyFont="1" applyFill="1" applyBorder="1" applyAlignment="1" applyProtection="1">
      <alignment horizontal="center" vertical="center"/>
    </xf>
    <xf numFmtId="171" fontId="15" fillId="0" borderId="0" xfId="0" applyNumberFormat="1" applyFont="1" applyFill="1" applyBorder="1" applyAlignment="1" applyProtection="1">
      <alignment horizontal="left" vertical="center"/>
    </xf>
    <xf numFmtId="0" fontId="64" fillId="0" borderId="89" xfId="0" applyFont="1" applyFill="1" applyBorder="1" applyAlignment="1" applyProtection="1">
      <alignment vertical="center"/>
    </xf>
    <xf numFmtId="0" fontId="83" fillId="0" borderId="0" xfId="0" applyFont="1" applyFill="1" applyBorder="1" applyAlignment="1" applyProtection="1">
      <alignment vertical="center" wrapText="1"/>
    </xf>
    <xf numFmtId="0" fontId="58" fillId="0" borderId="0" xfId="0" applyFont="1" applyFill="1" applyAlignment="1" applyProtection="1">
      <alignment vertical="center"/>
    </xf>
    <xf numFmtId="0" fontId="58" fillId="0" borderId="0" xfId="0" applyFont="1" applyFill="1" applyBorder="1" applyAlignment="1" applyProtection="1">
      <alignment vertical="center" wrapText="1"/>
    </xf>
    <xf numFmtId="0" fontId="41" fillId="0" borderId="0" xfId="0" applyFont="1" applyFill="1" applyBorder="1" applyAlignment="1" applyProtection="1">
      <alignment horizontal="left" vertical="center" wrapText="1"/>
    </xf>
    <xf numFmtId="0" fontId="58" fillId="0" borderId="0" xfId="0" applyFont="1" applyFill="1" applyBorder="1" applyAlignment="1" applyProtection="1">
      <alignment horizontal="center" vertical="center" wrapText="1"/>
    </xf>
    <xf numFmtId="0" fontId="12" fillId="6" borderId="0" xfId="0" applyFont="1" applyFill="1" applyProtection="1"/>
    <xf numFmtId="0" fontId="54" fillId="6" borderId="0" xfId="0" applyFont="1" applyFill="1" applyBorder="1" applyAlignment="1" applyProtection="1">
      <alignment horizontal="center" vertical="center" wrapText="1"/>
    </xf>
    <xf numFmtId="0" fontId="12" fillId="0" borderId="0" xfId="0" applyFont="1" applyFill="1" applyProtection="1"/>
    <xf numFmtId="0" fontId="24" fillId="6" borderId="0" xfId="0" applyFont="1" applyFill="1" applyBorder="1" applyAlignment="1" applyProtection="1">
      <alignment vertical="center" wrapText="1"/>
    </xf>
    <xf numFmtId="0" fontId="46" fillId="6" borderId="0" xfId="0" applyFont="1" applyFill="1" applyBorder="1" applyAlignment="1" applyProtection="1">
      <alignment wrapText="1"/>
    </xf>
    <xf numFmtId="0" fontId="24" fillId="6" borderId="40" xfId="0" applyFont="1" applyFill="1" applyBorder="1" applyAlignment="1" applyProtection="1">
      <alignment horizontal="center" vertical="center" textRotation="180" wrapText="1"/>
    </xf>
    <xf numFmtId="0" fontId="24" fillId="6" borderId="40" xfId="0" applyFont="1" applyFill="1" applyBorder="1" applyAlignment="1" applyProtection="1">
      <alignment vertical="center" textRotation="180" wrapText="1"/>
    </xf>
    <xf numFmtId="0" fontId="24" fillId="6" borderId="40" xfId="0" applyFont="1" applyFill="1" applyBorder="1" applyAlignment="1" applyProtection="1">
      <alignment horizontal="center" vertical="center" wrapText="1"/>
    </xf>
    <xf numFmtId="0" fontId="24" fillId="6" borderId="139"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13" fillId="6" borderId="51" xfId="0" applyFont="1" applyFill="1" applyBorder="1" applyAlignment="1" applyProtection="1">
      <alignment horizontal="center" vertical="center" textRotation="180"/>
    </xf>
    <xf numFmtId="0" fontId="13" fillId="6" borderId="52" xfId="0" applyFont="1" applyFill="1" applyBorder="1" applyAlignment="1" applyProtection="1">
      <alignment horizontal="center" vertical="center" textRotation="180" wrapText="1"/>
    </xf>
    <xf numFmtId="0" fontId="13" fillId="6" borderId="53" xfId="0" applyFont="1" applyFill="1" applyBorder="1" applyAlignment="1" applyProtection="1">
      <alignment horizontal="center" vertical="center" textRotation="180" wrapText="1"/>
    </xf>
    <xf numFmtId="0" fontId="12" fillId="6" borderId="138" xfId="0" applyFont="1" applyFill="1" applyBorder="1" applyAlignment="1" applyProtection="1">
      <alignment horizontal="center" vertical="center" wrapText="1" shrinkToFit="1"/>
    </xf>
    <xf numFmtId="167" fontId="12" fillId="0" borderId="40" xfId="0" applyNumberFormat="1" applyFont="1" applyFill="1" applyBorder="1" applyAlignment="1" applyProtection="1">
      <alignment horizontal="center" vertical="center" wrapText="1" shrinkToFit="1"/>
    </xf>
    <xf numFmtId="0" fontId="12" fillId="0" borderId="40" xfId="0" applyFont="1" applyFill="1" applyBorder="1" applyAlignment="1" applyProtection="1">
      <alignment horizontal="center" vertical="center" wrapText="1" shrinkToFit="1"/>
    </xf>
    <xf numFmtId="0" fontId="21" fillId="0" borderId="40" xfId="0" applyFont="1" applyFill="1" applyBorder="1" applyAlignment="1" applyProtection="1">
      <alignment horizontal="center" vertical="center" wrapText="1"/>
    </xf>
    <xf numFmtId="167" fontId="12" fillId="0" borderId="139" xfId="0" applyNumberFormat="1" applyFont="1" applyFill="1" applyBorder="1" applyAlignment="1" applyProtection="1">
      <alignment horizontal="center" vertical="center" wrapText="1" shrinkToFit="1"/>
    </xf>
    <xf numFmtId="0" fontId="38" fillId="6" borderId="0" xfId="0" applyFont="1" applyFill="1" applyBorder="1" applyAlignment="1" applyProtection="1">
      <alignment vertical="center" wrapText="1" shrinkToFit="1"/>
    </xf>
    <xf numFmtId="0" fontId="12" fillId="0" borderId="46" xfId="0" applyFont="1" applyFill="1" applyBorder="1" applyProtection="1"/>
    <xf numFmtId="0" fontId="12" fillId="0" borderId="30" xfId="0" applyFont="1" applyFill="1" applyBorder="1" applyProtection="1"/>
    <xf numFmtId="0" fontId="12" fillId="0" borderId="47" xfId="0" applyFont="1" applyFill="1" applyBorder="1" applyProtection="1"/>
    <xf numFmtId="0" fontId="12" fillId="6" borderId="138" xfId="0" applyFont="1" applyFill="1" applyBorder="1" applyProtection="1"/>
    <xf numFmtId="167" fontId="12" fillId="0" borderId="40" xfId="7" applyNumberFormat="1" applyFont="1" applyFill="1" applyBorder="1" applyAlignment="1" applyProtection="1">
      <alignment horizontal="center" vertical="center"/>
    </xf>
    <xf numFmtId="0" fontId="12" fillId="6" borderId="0" xfId="0" applyFont="1" applyFill="1" applyBorder="1" applyProtection="1"/>
    <xf numFmtId="0" fontId="12" fillId="6" borderId="0" xfId="7" applyNumberFormat="1" applyFont="1" applyFill="1" applyBorder="1" applyAlignment="1" applyProtection="1">
      <alignment horizontal="left" vertical="top" wrapText="1"/>
    </xf>
    <xf numFmtId="167" fontId="12" fillId="0" borderId="40" xfId="0" applyNumberFormat="1" applyFont="1" applyFill="1" applyBorder="1" applyAlignment="1" applyProtection="1">
      <alignment horizontal="center" vertical="center"/>
    </xf>
    <xf numFmtId="0" fontId="12" fillId="0" borderId="48" xfId="0" applyFont="1" applyFill="1" applyBorder="1" applyProtection="1"/>
    <xf numFmtId="0" fontId="12" fillId="0" borderId="49" xfId="0" applyFont="1" applyFill="1" applyBorder="1" applyProtection="1"/>
    <xf numFmtId="0" fontId="12" fillId="0" borderId="50" xfId="0" applyFont="1" applyFill="1" applyBorder="1" applyProtection="1"/>
    <xf numFmtId="167" fontId="12" fillId="0" borderId="40" xfId="0" applyNumberFormat="1" applyFont="1" applyFill="1" applyBorder="1" applyAlignment="1" applyProtection="1">
      <alignment horizontal="center"/>
    </xf>
    <xf numFmtId="0" fontId="12" fillId="6" borderId="141" xfId="0" applyFont="1" applyFill="1" applyBorder="1" applyProtection="1"/>
    <xf numFmtId="167" fontId="12" fillId="0" borderId="142" xfId="7" applyNumberFormat="1" applyFont="1" applyFill="1" applyBorder="1" applyAlignment="1" applyProtection="1">
      <alignment horizontal="center" vertical="center"/>
    </xf>
    <xf numFmtId="0" fontId="12" fillId="6" borderId="0" xfId="0" applyFont="1" applyFill="1" applyBorder="1" applyAlignment="1" applyProtection="1">
      <alignment horizontal="left"/>
    </xf>
    <xf numFmtId="0" fontId="38" fillId="6" borderId="46" xfId="0" applyFont="1" applyFill="1" applyBorder="1" applyAlignment="1" applyProtection="1">
      <alignment horizontal="center" vertical="center" textRotation="180"/>
    </xf>
    <xf numFmtId="0" fontId="38" fillId="6" borderId="30" xfId="0" applyFont="1" applyFill="1" applyBorder="1" applyAlignment="1" applyProtection="1">
      <alignment horizontal="center" vertical="center" textRotation="180"/>
    </xf>
    <xf numFmtId="0" fontId="38" fillId="6" borderId="47" xfId="0" applyFont="1" applyFill="1" applyBorder="1" applyAlignment="1" applyProtection="1">
      <alignment horizontal="center" vertical="center" textRotation="180"/>
    </xf>
    <xf numFmtId="0" fontId="12" fillId="6" borderId="30" xfId="0" applyFont="1" applyFill="1" applyBorder="1" applyAlignment="1" applyProtection="1">
      <alignment horizontal="left" vertical="center" wrapText="1"/>
    </xf>
    <xf numFmtId="0" fontId="12" fillId="6" borderId="47" xfId="0" applyFont="1" applyFill="1" applyBorder="1" applyAlignment="1" applyProtection="1">
      <alignment vertical="center" wrapText="1"/>
    </xf>
    <xf numFmtId="166" fontId="12" fillId="6" borderId="46" xfId="0" applyNumberFormat="1" applyFont="1" applyFill="1" applyBorder="1" applyProtection="1"/>
    <xf numFmtId="166" fontId="12" fillId="6" borderId="30" xfId="0" applyNumberFormat="1" applyFont="1" applyFill="1" applyBorder="1" applyProtection="1"/>
    <xf numFmtId="166" fontId="12" fillId="0" borderId="30" xfId="0" applyNumberFormat="1" applyFont="1" applyFill="1" applyBorder="1" applyProtection="1"/>
    <xf numFmtId="166" fontId="12" fillId="6" borderId="47" xfId="0" applyNumberFormat="1" applyFont="1" applyFill="1" applyBorder="1" applyProtection="1"/>
    <xf numFmtId="0" fontId="12" fillId="0" borderId="46" xfId="0" applyFont="1" applyFill="1" applyBorder="1" applyAlignment="1" applyProtection="1">
      <alignment horizontal="left" vertical="top" wrapText="1"/>
    </xf>
    <xf numFmtId="0" fontId="12" fillId="0" borderId="30" xfId="0" applyFont="1" applyFill="1" applyBorder="1" applyAlignment="1" applyProtection="1">
      <alignment horizontal="left" vertical="top" wrapText="1"/>
    </xf>
    <xf numFmtId="0" fontId="38" fillId="0" borderId="30" xfId="0" applyFont="1" applyFill="1" applyBorder="1" applyAlignment="1" applyProtection="1">
      <alignment horizontal="left" vertical="top" wrapText="1"/>
    </xf>
    <xf numFmtId="166" fontId="12" fillId="0" borderId="46" xfId="0" applyNumberFormat="1" applyFont="1" applyFill="1" applyBorder="1" applyProtection="1"/>
    <xf numFmtId="166" fontId="12" fillId="0" borderId="69" xfId="0" applyNumberFormat="1" applyFont="1" applyFill="1" applyBorder="1" applyProtection="1"/>
    <xf numFmtId="0" fontId="12" fillId="18" borderId="0" xfId="0" applyFont="1" applyFill="1" applyProtection="1"/>
    <xf numFmtId="0" fontId="12" fillId="6" borderId="47" xfId="0" applyFont="1" applyFill="1" applyBorder="1" applyProtection="1"/>
    <xf numFmtId="0" fontId="12" fillId="6" borderId="46" xfId="0" applyFont="1" applyFill="1" applyBorder="1" applyAlignment="1" applyProtection="1">
      <alignment horizontal="center" vertical="center" wrapText="1"/>
    </xf>
    <xf numFmtId="0" fontId="12" fillId="6" borderId="30" xfId="0" applyFont="1" applyFill="1" applyBorder="1" applyAlignment="1" applyProtection="1">
      <alignment horizontal="left" vertical="top" wrapText="1"/>
    </xf>
    <xf numFmtId="166" fontId="12" fillId="6" borderId="69" xfId="0" applyNumberFormat="1" applyFont="1" applyFill="1" applyBorder="1" applyProtection="1"/>
    <xf numFmtId="166" fontId="12" fillId="0" borderId="47" xfId="0" applyNumberFormat="1" applyFont="1" applyFill="1" applyBorder="1" applyProtection="1"/>
    <xf numFmtId="166" fontId="12" fillId="6" borderId="34" xfId="0" applyNumberFormat="1" applyFont="1" applyFill="1" applyBorder="1" applyProtection="1"/>
    <xf numFmtId="166" fontId="12" fillId="6" borderId="33" xfId="0" applyNumberFormat="1" applyFont="1" applyFill="1" applyBorder="1" applyProtection="1"/>
    <xf numFmtId="166" fontId="12" fillId="0" borderId="32" xfId="0" applyNumberFormat="1" applyFont="1" applyFill="1" applyBorder="1" applyProtection="1"/>
    <xf numFmtId="0" fontId="12" fillId="6" borderId="49" xfId="0" applyFont="1" applyFill="1" applyBorder="1" applyAlignment="1" applyProtection="1">
      <alignment horizontal="left" vertical="center" wrapText="1"/>
    </xf>
    <xf numFmtId="0" fontId="12" fillId="6" borderId="50" xfId="0" applyFont="1" applyFill="1" applyBorder="1" applyAlignment="1" applyProtection="1">
      <alignment vertical="center" wrapText="1"/>
    </xf>
    <xf numFmtId="166" fontId="12" fillId="6" borderId="48" xfId="0" applyNumberFormat="1" applyFont="1" applyFill="1" applyBorder="1" applyProtection="1"/>
    <xf numFmtId="166" fontId="12" fillId="6" borderId="49" xfId="0" applyNumberFormat="1" applyFont="1" applyFill="1" applyBorder="1" applyProtection="1"/>
    <xf numFmtId="166" fontId="12" fillId="0" borderId="49" xfId="0" applyNumberFormat="1" applyFont="1" applyFill="1" applyBorder="1" applyProtection="1"/>
    <xf numFmtId="166" fontId="12" fillId="6" borderId="50" xfId="0" applyNumberFormat="1" applyFont="1" applyFill="1" applyBorder="1" applyProtection="1"/>
    <xf numFmtId="0" fontId="12" fillId="0" borderId="48"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166" fontId="12" fillId="0" borderId="48" xfId="0" applyNumberFormat="1" applyFont="1" applyFill="1" applyBorder="1" applyProtection="1"/>
    <xf numFmtId="166" fontId="12" fillId="0" borderId="70" xfId="0" applyNumberFormat="1" applyFont="1" applyFill="1" applyBorder="1" applyProtection="1"/>
    <xf numFmtId="166" fontId="12" fillId="6" borderId="0" xfId="0" applyNumberFormat="1" applyFont="1" applyFill="1" applyProtection="1"/>
    <xf numFmtId="0" fontId="12" fillId="6" borderId="0" xfId="0" applyFont="1" applyFill="1" applyBorder="1" applyAlignment="1" applyProtection="1">
      <alignment vertical="center"/>
    </xf>
    <xf numFmtId="0" fontId="12" fillId="6" borderId="0" xfId="0" applyFont="1" applyFill="1" applyBorder="1" applyAlignment="1" applyProtection="1">
      <alignment vertical="center" wrapText="1"/>
    </xf>
    <xf numFmtId="0" fontId="12" fillId="6" borderId="164" xfId="0" applyFont="1" applyFill="1" applyBorder="1" applyProtection="1"/>
    <xf numFmtId="0" fontId="12" fillId="6" borderId="165" xfId="0" applyFont="1" applyFill="1" applyBorder="1" applyProtection="1"/>
    <xf numFmtId="166" fontId="12" fillId="6" borderId="166" xfId="0" applyNumberFormat="1" applyFont="1" applyFill="1" applyBorder="1" applyAlignment="1" applyProtection="1">
      <alignment wrapText="1"/>
    </xf>
    <xf numFmtId="0" fontId="12" fillId="6" borderId="8" xfId="0" applyFont="1" applyFill="1" applyBorder="1" applyProtection="1"/>
    <xf numFmtId="0" fontId="12" fillId="6" borderId="16" xfId="0" applyFont="1" applyFill="1" applyBorder="1" applyAlignment="1" applyProtection="1">
      <alignment wrapText="1"/>
    </xf>
    <xf numFmtId="166" fontId="12" fillId="6" borderId="12" xfId="0" applyNumberFormat="1" applyFont="1" applyFill="1" applyBorder="1" applyAlignment="1" applyProtection="1">
      <alignment wrapText="1"/>
    </xf>
    <xf numFmtId="166" fontId="12" fillId="6" borderId="18" xfId="0" applyNumberFormat="1" applyFont="1" applyFill="1" applyBorder="1" applyAlignment="1" applyProtection="1">
      <alignment wrapText="1"/>
    </xf>
    <xf numFmtId="0" fontId="12" fillId="6" borderId="3" xfId="0" applyFont="1" applyFill="1" applyBorder="1" applyAlignment="1" applyProtection="1">
      <alignment vertical="center" wrapText="1"/>
    </xf>
    <xf numFmtId="0" fontId="12" fillId="6" borderId="6" xfId="0" applyFont="1" applyFill="1" applyBorder="1" applyAlignment="1" applyProtection="1">
      <alignment vertical="center" wrapText="1"/>
    </xf>
    <xf numFmtId="0" fontId="12" fillId="6" borderId="14" xfId="0" applyFont="1" applyFill="1" applyBorder="1" applyAlignment="1" applyProtection="1">
      <alignment wrapText="1"/>
    </xf>
    <xf numFmtId="0" fontId="12" fillId="6" borderId="15" xfId="0" applyFont="1" applyFill="1" applyBorder="1" applyAlignment="1" applyProtection="1">
      <alignment wrapText="1"/>
    </xf>
    <xf numFmtId="0" fontId="12" fillId="6" borderId="20" xfId="0" applyFont="1" applyFill="1" applyBorder="1" applyAlignment="1" applyProtection="1">
      <alignment vertical="center" wrapText="1"/>
    </xf>
    <xf numFmtId="0" fontId="12" fillId="6" borderId="15" xfId="0" applyFont="1" applyFill="1" applyBorder="1" applyAlignment="1" applyProtection="1">
      <alignment vertical="center" wrapText="1"/>
    </xf>
    <xf numFmtId="0" fontId="38" fillId="6" borderId="15" xfId="0" applyFont="1" applyFill="1" applyBorder="1" applyAlignment="1" applyProtection="1">
      <alignment vertical="center" wrapText="1"/>
    </xf>
    <xf numFmtId="0" fontId="38" fillId="6" borderId="17" xfId="0" applyFont="1" applyFill="1" applyBorder="1" applyAlignment="1" applyProtection="1">
      <alignment vertical="center" wrapText="1"/>
    </xf>
    <xf numFmtId="0" fontId="12" fillId="6" borderId="172" xfId="0" applyFont="1" applyFill="1" applyBorder="1" applyAlignment="1" applyProtection="1">
      <alignment wrapText="1"/>
    </xf>
    <xf numFmtId="0" fontId="12" fillId="6" borderId="12" xfId="0" applyFont="1" applyFill="1" applyBorder="1" applyAlignment="1" applyProtection="1">
      <alignment vertical="center" wrapText="1"/>
    </xf>
    <xf numFmtId="166" fontId="12" fillId="6" borderId="15" xfId="0" applyNumberFormat="1" applyFont="1" applyFill="1" applyBorder="1" applyAlignment="1" applyProtection="1">
      <alignment wrapText="1"/>
    </xf>
    <xf numFmtId="166" fontId="12" fillId="6" borderId="6" xfId="0" applyNumberFormat="1" applyFont="1" applyFill="1" applyBorder="1" applyAlignment="1" applyProtection="1">
      <alignment wrapText="1"/>
    </xf>
    <xf numFmtId="166" fontId="12" fillId="0" borderId="6" xfId="0" applyNumberFormat="1" applyFont="1" applyFill="1" applyBorder="1" applyAlignment="1" applyProtection="1">
      <alignment wrapText="1"/>
    </xf>
    <xf numFmtId="166" fontId="12" fillId="0" borderId="1" xfId="0" applyNumberFormat="1" applyFont="1" applyFill="1" applyBorder="1" applyAlignment="1" applyProtection="1">
      <alignment wrapText="1"/>
    </xf>
    <xf numFmtId="0" fontId="12" fillId="6" borderId="17" xfId="0" applyFont="1" applyFill="1" applyBorder="1" applyProtection="1"/>
    <xf numFmtId="0" fontId="12" fillId="6" borderId="5" xfId="0" applyFont="1" applyFill="1" applyBorder="1" applyProtection="1"/>
    <xf numFmtId="166" fontId="12" fillId="6" borderId="5" xfId="0" applyNumberFormat="1" applyFont="1" applyFill="1" applyBorder="1" applyProtection="1"/>
    <xf numFmtId="0" fontId="12" fillId="6" borderId="20" xfId="0" applyFont="1" applyFill="1" applyBorder="1" applyProtection="1"/>
    <xf numFmtId="0" fontId="12" fillId="6" borderId="11" xfId="0" applyFont="1" applyFill="1" applyBorder="1" applyProtection="1"/>
    <xf numFmtId="0" fontId="12" fillId="6" borderId="173" xfId="0" applyFont="1" applyFill="1" applyBorder="1" applyAlignment="1" applyProtection="1">
      <alignment wrapText="1"/>
    </xf>
    <xf numFmtId="166" fontId="12" fillId="6" borderId="16" xfId="0" applyNumberFormat="1" applyFont="1" applyFill="1" applyBorder="1" applyAlignment="1" applyProtection="1">
      <alignment wrapText="1"/>
    </xf>
    <xf numFmtId="2" fontId="12" fillId="6" borderId="12" xfId="0" applyNumberFormat="1" applyFont="1" applyFill="1" applyBorder="1" applyProtection="1"/>
    <xf numFmtId="2" fontId="12" fillId="6" borderId="0" xfId="0" applyNumberFormat="1" applyFont="1" applyFill="1" applyBorder="1" applyProtection="1"/>
    <xf numFmtId="0" fontId="12" fillId="6" borderId="18" xfId="0" applyFont="1" applyFill="1" applyBorder="1" applyProtection="1"/>
    <xf numFmtId="0" fontId="12" fillId="6" borderId="12" xfId="0" applyFont="1" applyFill="1" applyBorder="1" applyProtection="1"/>
    <xf numFmtId="166" fontId="12" fillId="6" borderId="14" xfId="0" applyNumberFormat="1" applyFont="1" applyFill="1" applyBorder="1" applyAlignment="1" applyProtection="1">
      <alignment wrapText="1"/>
    </xf>
    <xf numFmtId="166" fontId="12" fillId="6" borderId="0" xfId="0" applyNumberFormat="1" applyFont="1" applyFill="1" applyBorder="1" applyProtection="1"/>
    <xf numFmtId="0" fontId="12" fillId="6" borderId="13" xfId="0" applyFont="1" applyFill="1" applyBorder="1" applyAlignment="1" applyProtection="1">
      <alignment vertical="center" wrapText="1"/>
    </xf>
    <xf numFmtId="2" fontId="12" fillId="6" borderId="0" xfId="0" applyNumberFormat="1" applyFont="1" applyFill="1" applyBorder="1" applyAlignment="1" applyProtection="1"/>
    <xf numFmtId="0" fontId="12" fillId="6" borderId="17" xfId="0" applyFont="1" applyFill="1" applyBorder="1" applyAlignment="1" applyProtection="1">
      <alignment vertical="center" wrapText="1"/>
    </xf>
    <xf numFmtId="0" fontId="12" fillId="6" borderId="174" xfId="0" applyFont="1" applyFill="1" applyBorder="1" applyAlignment="1" applyProtection="1">
      <alignment wrapText="1"/>
    </xf>
    <xf numFmtId="166" fontId="12" fillId="6" borderId="1" xfId="0" applyNumberFormat="1" applyFont="1" applyFill="1" applyBorder="1" applyAlignment="1" applyProtection="1">
      <alignment wrapText="1"/>
    </xf>
    <xf numFmtId="0" fontId="12" fillId="6" borderId="13" xfId="0" applyFont="1" applyFill="1" applyBorder="1" applyProtection="1"/>
    <xf numFmtId="0" fontId="12" fillId="6" borderId="4" xfId="0" applyFont="1" applyFill="1" applyBorder="1" applyProtection="1"/>
    <xf numFmtId="2" fontId="12" fillId="6" borderId="4" xfId="0" applyNumberFormat="1" applyFont="1" applyFill="1" applyBorder="1" applyAlignment="1" applyProtection="1"/>
    <xf numFmtId="2" fontId="12" fillId="6" borderId="4" xfId="0" applyNumberFormat="1" applyFont="1" applyFill="1" applyBorder="1" applyProtection="1"/>
    <xf numFmtId="0" fontId="12" fillId="6" borderId="19" xfId="0" applyFont="1" applyFill="1" applyBorder="1" applyProtection="1"/>
    <xf numFmtId="166" fontId="12" fillId="0" borderId="6" xfId="0" applyNumberFormat="1" applyFont="1" applyFill="1" applyBorder="1" applyProtection="1"/>
    <xf numFmtId="2" fontId="12" fillId="0" borderId="6" xfId="0" applyNumberFormat="1" applyFont="1" applyFill="1" applyBorder="1" applyProtection="1"/>
    <xf numFmtId="0" fontId="12" fillId="0" borderId="6" xfId="0" applyFont="1" applyFill="1" applyBorder="1" applyProtection="1"/>
    <xf numFmtId="0" fontId="12" fillId="4" borderId="6" xfId="0" applyFont="1" applyFill="1" applyBorder="1" applyProtection="1"/>
    <xf numFmtId="2" fontId="12" fillId="0" borderId="1" xfId="0" applyNumberFormat="1" applyFont="1" applyFill="1" applyBorder="1" applyProtection="1"/>
    <xf numFmtId="0" fontId="12" fillId="4" borderId="170" xfId="0" applyFont="1" applyFill="1" applyBorder="1" applyProtection="1"/>
    <xf numFmtId="0" fontId="12" fillId="6" borderId="175" xfId="0" applyFont="1" applyFill="1" applyBorder="1" applyAlignment="1" applyProtection="1">
      <alignment wrapText="1"/>
    </xf>
    <xf numFmtId="0" fontId="12" fillId="6" borderId="176" xfId="0" applyFont="1" applyFill="1" applyBorder="1" applyAlignment="1" applyProtection="1">
      <alignment vertical="center" wrapText="1"/>
    </xf>
    <xf numFmtId="166" fontId="12" fillId="6" borderId="177" xfId="0" applyNumberFormat="1" applyFont="1" applyFill="1" applyBorder="1" applyAlignment="1" applyProtection="1">
      <alignment wrapText="1"/>
    </xf>
    <xf numFmtId="166" fontId="12" fillId="6" borderId="178" xfId="0" applyNumberFormat="1" applyFont="1" applyFill="1" applyBorder="1" applyAlignment="1" applyProtection="1">
      <alignment wrapText="1"/>
    </xf>
    <xf numFmtId="166" fontId="12" fillId="0" borderId="178" xfId="0" applyNumberFormat="1" applyFont="1" applyFill="1" applyBorder="1" applyAlignment="1" applyProtection="1">
      <alignment wrapText="1"/>
    </xf>
    <xf numFmtId="0" fontId="12" fillId="6" borderId="176" xfId="0" applyFont="1" applyFill="1" applyBorder="1" applyProtection="1"/>
    <xf numFmtId="0" fontId="12" fillId="6" borderId="21" xfId="0" applyFont="1" applyFill="1" applyBorder="1" applyProtection="1"/>
    <xf numFmtId="2" fontId="12" fillId="6" borderId="21" xfId="0" applyNumberFormat="1" applyFont="1" applyFill="1" applyBorder="1" applyAlignment="1" applyProtection="1"/>
    <xf numFmtId="2" fontId="12" fillId="6" borderId="21" xfId="0" applyNumberFormat="1" applyFont="1" applyFill="1" applyBorder="1" applyProtection="1"/>
    <xf numFmtId="2" fontId="12" fillId="0" borderId="178" xfId="0" applyNumberFormat="1" applyFont="1" applyFill="1" applyBorder="1" applyProtection="1"/>
    <xf numFmtId="2" fontId="12" fillId="0" borderId="179" xfId="0" applyNumberFormat="1" applyFont="1" applyFill="1" applyBorder="1" applyProtection="1"/>
    <xf numFmtId="0" fontId="12" fillId="0" borderId="178" xfId="0" applyFont="1" applyFill="1" applyBorder="1" applyProtection="1"/>
    <xf numFmtId="0" fontId="12" fillId="4" borderId="178" xfId="0" applyFont="1" applyFill="1" applyBorder="1" applyProtection="1"/>
    <xf numFmtId="0" fontId="12" fillId="4" borderId="180" xfId="0" applyFont="1" applyFill="1" applyBorder="1" applyProtection="1"/>
    <xf numFmtId="0" fontId="1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30" fillId="0" borderId="0" xfId="0" applyFont="1" applyAlignment="1" applyProtection="1">
      <alignment horizontal="center" vertical="center" wrapText="1"/>
    </xf>
    <xf numFmtId="0" fontId="46" fillId="0" borderId="0" xfId="0" applyFont="1" applyAlignment="1" applyProtection="1">
      <alignment vertical="center"/>
    </xf>
    <xf numFmtId="0" fontId="44" fillId="0" borderId="0" xfId="0" applyFont="1" applyAlignment="1" applyProtection="1">
      <alignment vertical="center" wrapText="1"/>
    </xf>
    <xf numFmtId="0" fontId="85" fillId="0" borderId="0" xfId="0" applyFont="1" applyAlignment="1" applyProtection="1">
      <alignment horizontal="left" vertical="center"/>
    </xf>
    <xf numFmtId="0" fontId="12" fillId="0" borderId="0" xfId="0" applyFont="1" applyAlignment="1" applyProtection="1">
      <alignment vertical="center"/>
    </xf>
    <xf numFmtId="0" fontId="16" fillId="0" borderId="0" xfId="0" applyFont="1" applyFill="1" applyAlignment="1" applyProtection="1">
      <alignment vertical="center"/>
    </xf>
    <xf numFmtId="0" fontId="12" fillId="0" borderId="0" xfId="0" applyFont="1" applyFill="1" applyAlignment="1" applyProtection="1">
      <alignment vertical="center"/>
    </xf>
    <xf numFmtId="0" fontId="19" fillId="0" borderId="0" xfId="0" applyFont="1" applyAlignment="1" applyProtection="1">
      <alignment vertical="center"/>
    </xf>
    <xf numFmtId="0" fontId="47" fillId="3" borderId="0" xfId="9" applyFont="1" applyFill="1" applyAlignment="1" applyProtection="1">
      <alignment horizontal="center" vertical="center"/>
    </xf>
    <xf numFmtId="0" fontId="19" fillId="0" borderId="0" xfId="0" applyFont="1" applyFill="1" applyAlignment="1" applyProtection="1">
      <alignment vertical="center"/>
    </xf>
    <xf numFmtId="0" fontId="20" fillId="0" borderId="0" xfId="0" applyFont="1" applyAlignment="1" applyProtection="1">
      <alignment horizontal="right" vertical="center"/>
    </xf>
    <xf numFmtId="0" fontId="20" fillId="0" borderId="0" xfId="0" applyFont="1" applyAlignment="1" applyProtection="1">
      <alignment vertical="center"/>
    </xf>
    <xf numFmtId="0" fontId="33" fillId="0" borderId="0" xfId="0" applyFont="1" applyAlignment="1" applyProtection="1">
      <alignment vertical="center"/>
    </xf>
    <xf numFmtId="0" fontId="12" fillId="0" borderId="0" xfId="0" applyFont="1" applyBorder="1" applyAlignment="1" applyProtection="1">
      <alignment vertical="center"/>
    </xf>
    <xf numFmtId="0" fontId="12" fillId="0" borderId="0" xfId="0" applyFont="1" applyFill="1" applyBorder="1" applyAlignment="1" applyProtection="1">
      <alignment vertical="center"/>
    </xf>
    <xf numFmtId="0" fontId="20" fillId="0" borderId="0" xfId="0" applyFont="1" applyBorder="1" applyAlignment="1" applyProtection="1">
      <alignment vertical="center"/>
    </xf>
    <xf numFmtId="0" fontId="19" fillId="0" borderId="0" xfId="0" applyFont="1" applyFill="1" applyBorder="1" applyAlignment="1" applyProtection="1">
      <alignment vertical="center"/>
    </xf>
    <xf numFmtId="0" fontId="19" fillId="0" borderId="5" xfId="0" applyFont="1" applyBorder="1" applyAlignment="1" applyProtection="1">
      <alignment vertical="center"/>
    </xf>
    <xf numFmtId="0" fontId="19" fillId="0" borderId="5" xfId="0" applyFont="1" applyBorder="1" applyAlignment="1" applyProtection="1">
      <alignment horizontal="right" vertical="center"/>
    </xf>
    <xf numFmtId="0" fontId="19" fillId="0" borderId="0" xfId="0" applyFont="1" applyFill="1" applyBorder="1" applyAlignment="1" applyProtection="1">
      <alignment horizontal="center" vertical="center"/>
    </xf>
    <xf numFmtId="0" fontId="12" fillId="0" borderId="0" xfId="0" applyFont="1" applyAlignment="1" applyProtection="1">
      <alignment horizontal="right" vertical="center"/>
    </xf>
    <xf numFmtId="0" fontId="17" fillId="0" borderId="0" xfId="0" applyFont="1" applyBorder="1" applyAlignment="1" applyProtection="1">
      <alignment vertical="center"/>
    </xf>
    <xf numFmtId="0" fontId="0" fillId="0" borderId="5" xfId="0" applyBorder="1" applyAlignment="1" applyProtection="1"/>
    <xf numFmtId="0" fontId="12" fillId="0" borderId="5" xfId="0" applyFont="1" applyBorder="1" applyAlignment="1" applyProtection="1">
      <alignment vertical="center"/>
    </xf>
    <xf numFmtId="0" fontId="12" fillId="0" borderId="5" xfId="0" applyFont="1" applyBorder="1" applyAlignment="1" applyProtection="1">
      <alignment horizontal="right" vertical="center"/>
    </xf>
    <xf numFmtId="0" fontId="17" fillId="0" borderId="17" xfId="0" applyFont="1" applyBorder="1" applyAlignment="1" applyProtection="1">
      <alignment vertical="center" wrapText="1"/>
    </xf>
    <xf numFmtId="0" fontId="17" fillId="0" borderId="5" xfId="0" applyFont="1" applyBorder="1" applyAlignment="1" applyProtection="1">
      <alignment vertical="center" wrapText="1"/>
    </xf>
    <xf numFmtId="0" fontId="17" fillId="0" borderId="0" xfId="0" applyFont="1" applyFill="1" applyBorder="1" applyAlignment="1" applyProtection="1">
      <alignment horizontal="left" vertical="center"/>
    </xf>
    <xf numFmtId="0" fontId="0" fillId="0" borderId="0" xfId="0" applyBorder="1" applyAlignment="1" applyProtection="1"/>
    <xf numFmtId="0" fontId="12" fillId="0" borderId="0" xfId="0" applyFont="1" applyBorder="1" applyAlignment="1" applyProtection="1">
      <alignment horizontal="right" vertical="center"/>
    </xf>
    <xf numFmtId="0" fontId="17" fillId="0" borderId="12" xfId="0" applyFont="1" applyBorder="1" applyAlignment="1" applyProtection="1">
      <alignment vertical="center" wrapText="1"/>
    </xf>
    <xf numFmtId="0" fontId="17" fillId="0" borderId="0" xfId="0" applyFont="1" applyBorder="1" applyAlignment="1" applyProtection="1">
      <alignment vertical="center" wrapText="1"/>
    </xf>
    <xf numFmtId="0" fontId="12" fillId="0" borderId="0" xfId="0" applyFont="1" applyFill="1" applyBorder="1" applyAlignment="1" applyProtection="1">
      <alignment horizontal="center" vertical="center"/>
    </xf>
    <xf numFmtId="0" fontId="20" fillId="0" borderId="0" xfId="0" applyFont="1" applyBorder="1" applyAlignment="1" applyProtection="1">
      <alignment horizontal="left" vertical="center"/>
    </xf>
    <xf numFmtId="0" fontId="12" fillId="0" borderId="0" xfId="0" applyFont="1" applyFill="1" applyAlignment="1" applyProtection="1">
      <alignment horizontal="left" vertical="center"/>
    </xf>
    <xf numFmtId="0" fontId="12" fillId="0" borderId="0" xfId="0" applyFont="1" applyAlignment="1" applyProtection="1">
      <alignment horizontal="left" vertical="center"/>
    </xf>
    <xf numFmtId="0" fontId="12" fillId="0" borderId="0" xfId="0" applyFont="1" applyFill="1" applyAlignment="1" applyProtection="1">
      <alignment horizontal="right" vertical="center"/>
    </xf>
    <xf numFmtId="0" fontId="19" fillId="0" borderId="0" xfId="0" applyFont="1" applyFill="1" applyBorder="1" applyAlignment="1" applyProtection="1">
      <alignment horizontal="left" vertical="center"/>
    </xf>
    <xf numFmtId="0" fontId="13" fillId="0" borderId="17" xfId="0" applyFont="1" applyBorder="1" applyAlignment="1" applyProtection="1">
      <alignment vertical="center"/>
    </xf>
    <xf numFmtId="0" fontId="13" fillId="0" borderId="5" xfId="0" applyFont="1" applyBorder="1" applyAlignment="1" applyProtection="1">
      <alignment vertical="center"/>
    </xf>
    <xf numFmtId="0" fontId="12" fillId="0" borderId="0" xfId="0" applyFont="1" applyBorder="1" applyAlignment="1" applyProtection="1">
      <alignment horizontal="left" vertical="center"/>
    </xf>
    <xf numFmtId="0" fontId="13" fillId="0" borderId="0" xfId="0" applyFont="1" applyBorder="1" applyAlignment="1" applyProtection="1">
      <alignment horizontal="left" vertical="center"/>
    </xf>
    <xf numFmtId="0" fontId="15" fillId="0" borderId="36" xfId="0" applyFont="1" applyBorder="1" applyAlignment="1" applyProtection="1">
      <alignment horizontal="right" vertical="center"/>
    </xf>
    <xf numFmtId="0" fontId="15" fillId="0" borderId="37" xfId="0" applyFont="1" applyBorder="1" applyAlignment="1" applyProtection="1">
      <alignment horizontal="right" vertical="center"/>
    </xf>
    <xf numFmtId="0" fontId="15" fillId="0" borderId="38" xfId="0" applyFont="1" applyBorder="1" applyAlignment="1" applyProtection="1">
      <alignment horizontal="right" vertical="center"/>
    </xf>
    <xf numFmtId="0" fontId="15" fillId="0" borderId="0" xfId="0" applyFont="1" applyBorder="1" applyAlignment="1" applyProtection="1">
      <alignment horizontal="right" vertical="center"/>
    </xf>
    <xf numFmtId="0" fontId="13" fillId="0" borderId="0" xfId="0" applyFont="1" applyBorder="1" applyAlignment="1" applyProtection="1">
      <alignment horizontal="center" vertical="center"/>
    </xf>
    <xf numFmtId="0" fontId="12" fillId="0" borderId="0" xfId="0" applyFont="1" applyAlignment="1" applyProtection="1">
      <alignment horizontal="left" vertical="center" wrapText="1"/>
    </xf>
    <xf numFmtId="0" fontId="12" fillId="0" borderId="4" xfId="0" applyFont="1" applyBorder="1" applyAlignment="1" applyProtection="1">
      <alignment vertical="center"/>
    </xf>
    <xf numFmtId="0" fontId="20" fillId="0" borderId="0" xfId="0" applyFont="1" applyBorder="1" applyAlignment="1" applyProtection="1">
      <alignment vertical="center" wrapText="1"/>
    </xf>
    <xf numFmtId="0" fontId="30" fillId="0" borderId="0" xfId="0" applyFont="1" applyBorder="1" applyAlignment="1" applyProtection="1">
      <alignment vertical="center" wrapText="1"/>
    </xf>
    <xf numFmtId="0" fontId="30" fillId="0" borderId="0" xfId="0" applyFont="1" applyBorder="1" applyAlignment="1" applyProtection="1">
      <alignment horizontal="right" vertical="center"/>
    </xf>
    <xf numFmtId="0" fontId="15" fillId="0" borderId="37" xfId="0" applyFont="1" applyBorder="1" applyAlignment="1" applyProtection="1">
      <alignment vertical="center"/>
    </xf>
    <xf numFmtId="0" fontId="12" fillId="0" borderId="0" xfId="0" applyFont="1" applyBorder="1" applyAlignment="1" applyProtection="1">
      <alignment horizontal="left" vertical="center" wrapText="1"/>
    </xf>
    <xf numFmtId="0" fontId="15" fillId="0" borderId="0" xfId="0" applyFont="1" applyFill="1" applyAlignment="1" applyProtection="1">
      <alignment horizontal="right" vertical="center"/>
    </xf>
    <xf numFmtId="0" fontId="12" fillId="0" borderId="5" xfId="0" applyFont="1" applyBorder="1" applyAlignment="1" applyProtection="1">
      <alignment vertical="center" wrapText="1"/>
    </xf>
    <xf numFmtId="166" fontId="12" fillId="0" borderId="0" xfId="0" applyNumberFormat="1" applyFont="1" applyFill="1" applyBorder="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20" fillId="0" borderId="36" xfId="0" applyFont="1" applyBorder="1" applyAlignment="1" applyProtection="1">
      <alignment vertical="center" wrapText="1"/>
    </xf>
    <xf numFmtId="0" fontId="20" fillId="0" borderId="37" xfId="0" applyFont="1" applyBorder="1" applyAlignment="1" applyProtection="1">
      <alignment vertical="center" wrapText="1"/>
    </xf>
    <xf numFmtId="0" fontId="19" fillId="0" borderId="0" xfId="0" applyFont="1" applyAlignment="1" applyProtection="1">
      <alignment horizontal="left" vertical="center"/>
    </xf>
    <xf numFmtId="0" fontId="12" fillId="0" borderId="36" xfId="0" applyFont="1" applyFill="1" applyBorder="1" applyAlignment="1" applyProtection="1">
      <alignment vertical="center"/>
    </xf>
    <xf numFmtId="0" fontId="12" fillId="0" borderId="37" xfId="0" applyFont="1" applyFill="1" applyBorder="1" applyAlignment="1" applyProtection="1">
      <alignment vertical="center"/>
    </xf>
    <xf numFmtId="0" fontId="15" fillId="0" borderId="38" xfId="0" applyFont="1" applyFill="1" applyBorder="1" applyAlignment="1" applyProtection="1">
      <alignment horizontal="right" vertical="center"/>
    </xf>
    <xf numFmtId="0" fontId="15" fillId="0" borderId="0" xfId="0" applyFont="1" applyFill="1" applyBorder="1" applyAlignment="1" applyProtection="1">
      <alignment horizontal="right" vertical="center"/>
    </xf>
    <xf numFmtId="0" fontId="31" fillId="15" borderId="6" xfId="0" applyFont="1" applyFill="1" applyBorder="1" applyAlignment="1" applyProtection="1">
      <alignment vertical="center" wrapText="1"/>
    </xf>
    <xf numFmtId="0" fontId="38" fillId="0" borderId="6" xfId="0" applyFont="1" applyFill="1" applyBorder="1" applyAlignment="1" applyProtection="1">
      <alignment horizontal="center" vertical="center" wrapText="1"/>
    </xf>
    <xf numFmtId="0" fontId="38" fillId="16" borderId="6" xfId="0" applyFont="1" applyFill="1" applyBorder="1" applyAlignment="1" applyProtection="1">
      <alignment vertical="center" wrapText="1"/>
    </xf>
    <xf numFmtId="0" fontId="31" fillId="7" borderId="6" xfId="0" applyFont="1" applyFill="1" applyBorder="1" applyAlignment="1" applyProtection="1">
      <alignment vertical="center" wrapText="1"/>
    </xf>
    <xf numFmtId="0" fontId="12" fillId="8" borderId="6" xfId="0" applyFont="1" applyFill="1" applyBorder="1" applyAlignment="1" applyProtection="1">
      <alignment vertical="center" wrapText="1"/>
    </xf>
    <xf numFmtId="0" fontId="31" fillId="9" borderId="6" xfId="0" applyFont="1" applyFill="1" applyBorder="1" applyAlignment="1" applyProtection="1">
      <alignment vertical="center" wrapText="1"/>
    </xf>
    <xf numFmtId="0" fontId="31" fillId="14" borderId="6" xfId="0" applyFont="1" applyFill="1" applyBorder="1" applyAlignment="1" applyProtection="1">
      <alignment vertical="center" wrapText="1"/>
    </xf>
    <xf numFmtId="0" fontId="31" fillId="13" borderId="6" xfId="0" applyFont="1" applyFill="1" applyBorder="1" applyAlignment="1" applyProtection="1">
      <alignment vertical="center" wrapText="1"/>
    </xf>
    <xf numFmtId="0" fontId="36" fillId="12" borderId="6" xfId="0" applyFont="1" applyFill="1" applyBorder="1" applyAlignment="1" applyProtection="1">
      <alignment vertical="center" wrapText="1"/>
    </xf>
    <xf numFmtId="0" fontId="31" fillId="11" borderId="6" xfId="0" applyFont="1" applyFill="1" applyBorder="1" applyAlignment="1" applyProtection="1">
      <alignment vertical="center" wrapText="1"/>
    </xf>
    <xf numFmtId="0" fontId="31" fillId="10" borderId="6" xfId="0" applyFont="1" applyFill="1" applyBorder="1" applyAlignment="1" applyProtection="1">
      <alignment vertical="center" wrapText="1"/>
    </xf>
    <xf numFmtId="0" fontId="38" fillId="4" borderId="1" xfId="0" applyFont="1" applyFill="1" applyBorder="1" applyAlignment="1" applyProtection="1">
      <alignment vertical="center" wrapText="1"/>
    </xf>
    <xf numFmtId="166" fontId="19" fillId="0" borderId="0" xfId="0" applyNumberFormat="1" applyFont="1" applyFill="1" applyBorder="1" applyAlignment="1" applyProtection="1">
      <alignment horizontal="center" vertical="center"/>
    </xf>
    <xf numFmtId="0" fontId="19" fillId="0" borderId="0" xfId="0" applyFont="1" applyFill="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2" fillId="0" borderId="0" xfId="0" applyFont="1" applyAlignment="1" applyProtection="1">
      <alignment vertical="center" wrapText="1"/>
    </xf>
    <xf numFmtId="0" fontId="12" fillId="0" borderId="0" xfId="0" applyFont="1" applyBorder="1" applyAlignment="1" applyProtection="1">
      <alignment vertical="center" wrapText="1"/>
    </xf>
    <xf numFmtId="166" fontId="12" fillId="0" borderId="0" xfId="0" applyNumberFormat="1" applyFont="1" applyFill="1" applyBorder="1" applyAlignment="1" applyProtection="1">
      <alignment horizontal="center" vertical="center"/>
    </xf>
    <xf numFmtId="0" fontId="16" fillId="0" borderId="0" xfId="0" applyFont="1" applyFill="1" applyBorder="1" applyAlignment="1" applyProtection="1">
      <alignment vertical="center"/>
    </xf>
    <xf numFmtId="0" fontId="0" fillId="0" borderId="0" xfId="0" applyAlignment="1" applyProtection="1">
      <alignment vertical="center"/>
    </xf>
    <xf numFmtId="0" fontId="13" fillId="0" borderId="0" xfId="0" applyFont="1" applyFill="1" applyAlignment="1" applyProtection="1">
      <alignment vertical="center"/>
    </xf>
    <xf numFmtId="169" fontId="12" fillId="0" borderId="0" xfId="0" applyNumberFormat="1" applyFont="1" applyFill="1" applyAlignment="1" applyProtection="1">
      <alignment vertical="center"/>
    </xf>
    <xf numFmtId="2" fontId="12" fillId="0" borderId="0" xfId="0" applyNumberFormat="1" applyFont="1" applyAlignment="1" applyProtection="1">
      <alignment vertical="center"/>
    </xf>
    <xf numFmtId="0" fontId="33" fillId="0" borderId="0" xfId="0" applyFont="1" applyFill="1" applyAlignment="1" applyProtection="1">
      <alignment vertical="center"/>
    </xf>
    <xf numFmtId="0" fontId="12" fillId="0" borderId="5" xfId="0" applyFont="1" applyFill="1" applyBorder="1" applyAlignment="1" applyProtection="1">
      <alignment vertical="center"/>
    </xf>
    <xf numFmtId="0" fontId="30" fillId="0" borderId="0" xfId="0" applyFont="1" applyFill="1" applyAlignment="1" applyProtection="1">
      <alignment vertical="center"/>
    </xf>
    <xf numFmtId="0" fontId="30" fillId="0" borderId="36"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34" fillId="0" borderId="0" xfId="0" applyFont="1" applyAlignment="1" applyProtection="1">
      <alignment vertical="center"/>
    </xf>
    <xf numFmtId="0" fontId="34" fillId="0" borderId="0" xfId="0" applyFont="1" applyFill="1" applyAlignment="1" applyProtection="1">
      <alignment vertical="center"/>
    </xf>
    <xf numFmtId="0" fontId="33" fillId="0" borderId="0" xfId="0" applyFont="1" applyAlignment="1" applyProtection="1">
      <alignment vertical="center" wrapText="1"/>
    </xf>
    <xf numFmtId="0" fontId="33" fillId="0" borderId="36" xfId="0" applyFont="1" applyBorder="1" applyAlignment="1" applyProtection="1">
      <alignment vertical="center" wrapText="1"/>
    </xf>
    <xf numFmtId="0" fontId="33" fillId="0" borderId="37" xfId="0" applyFont="1" applyBorder="1" applyAlignment="1" applyProtection="1">
      <alignment vertical="center" wrapText="1"/>
    </xf>
    <xf numFmtId="0" fontId="0" fillId="0" borderId="5" xfId="0" applyFont="1" applyBorder="1" applyAlignment="1" applyProtection="1">
      <alignment vertical="center"/>
    </xf>
    <xf numFmtId="0" fontId="0" fillId="0" borderId="5" xfId="0" applyFont="1" applyBorder="1" applyAlignment="1" applyProtection="1">
      <alignment horizontal="right" vertical="center"/>
    </xf>
    <xf numFmtId="0" fontId="0" fillId="0" borderId="0" xfId="0" applyFont="1" applyAlignment="1" applyProtection="1">
      <alignment vertical="center"/>
    </xf>
    <xf numFmtId="0" fontId="0" fillId="0" borderId="0" xfId="0" applyFont="1" applyAlignment="1" applyProtection="1">
      <alignment vertical="center" wrapText="1"/>
    </xf>
    <xf numFmtId="0" fontId="0" fillId="0" borderId="0" xfId="0" applyFont="1" applyAlignment="1" applyProtection="1">
      <alignment horizontal="right" vertical="center"/>
    </xf>
    <xf numFmtId="0" fontId="22" fillId="0" borderId="0" xfId="0" applyFont="1" applyBorder="1" applyAlignment="1" applyProtection="1">
      <alignment horizontal="center" vertical="center" wrapText="1"/>
    </xf>
    <xf numFmtId="0" fontId="19" fillId="0" borderId="0" xfId="0" applyFont="1" applyBorder="1" applyAlignment="1" applyProtection="1">
      <alignment horizontal="left" vertical="center"/>
    </xf>
    <xf numFmtId="0" fontId="0" fillId="0" borderId="5" xfId="0" applyBorder="1" applyAlignment="1" applyProtection="1">
      <alignment vertical="center"/>
    </xf>
    <xf numFmtId="0" fontId="12" fillId="0" borderId="0" xfId="0" applyFont="1" applyAlignment="1" applyProtection="1">
      <alignment horizontal="center" vertical="center"/>
    </xf>
    <xf numFmtId="0" fontId="13" fillId="0" borderId="0" xfId="0" applyFont="1" applyAlignment="1" applyProtection="1">
      <alignment horizontal="right" vertical="center"/>
    </xf>
    <xf numFmtId="0" fontId="20" fillId="0" borderId="0" xfId="0" applyFont="1" applyFill="1" applyBorder="1" applyAlignment="1" applyProtection="1">
      <alignment vertical="center" wrapText="1"/>
    </xf>
    <xf numFmtId="0" fontId="20" fillId="0" borderId="18" xfId="0" applyFont="1" applyFill="1" applyBorder="1" applyAlignment="1" applyProtection="1">
      <alignment vertical="center" wrapText="1"/>
    </xf>
    <xf numFmtId="167" fontId="19" fillId="0" borderId="16" xfId="0" applyNumberFormat="1" applyFont="1" applyFill="1" applyBorder="1" applyAlignment="1" applyProtection="1">
      <alignment vertical="center"/>
    </xf>
    <xf numFmtId="167" fontId="19" fillId="0" borderId="12" xfId="0" applyNumberFormat="1" applyFont="1" applyFill="1" applyBorder="1" applyAlignment="1" applyProtection="1">
      <alignment horizontal="left" vertical="center" wrapText="1"/>
    </xf>
    <xf numFmtId="0" fontId="12" fillId="0" borderId="12" xfId="0" applyFont="1" applyBorder="1" applyAlignment="1" applyProtection="1">
      <alignment horizontal="left" vertical="center" wrapText="1"/>
    </xf>
    <xf numFmtId="0" fontId="12" fillId="0" borderId="13" xfId="0" applyFont="1" applyBorder="1" applyAlignment="1" applyProtection="1">
      <alignment horizontal="left" vertical="center" wrapText="1"/>
    </xf>
    <xf numFmtId="167" fontId="19" fillId="0" borderId="13" xfId="0" applyNumberFormat="1" applyFont="1" applyFill="1" applyBorder="1" applyAlignment="1" applyProtection="1">
      <alignment vertical="center" wrapText="1"/>
    </xf>
    <xf numFmtId="167"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167" fontId="19" fillId="0" borderId="0"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right" vertical="center"/>
    </xf>
    <xf numFmtId="0" fontId="12" fillId="0" borderId="111" xfId="0" applyFont="1" applyFill="1" applyBorder="1" applyAlignment="1" applyProtection="1">
      <alignment vertical="center"/>
    </xf>
    <xf numFmtId="167" fontId="19" fillId="0" borderId="5" xfId="0" applyNumberFormat="1" applyFont="1" applyFill="1" applyBorder="1" applyAlignment="1" applyProtection="1">
      <alignment vertical="center" wrapText="1"/>
    </xf>
    <xf numFmtId="167" fontId="19" fillId="0" borderId="20" xfId="0" applyNumberFormat="1" applyFont="1" applyFill="1" applyBorder="1" applyAlignment="1" applyProtection="1">
      <alignment vertical="center" wrapText="1"/>
    </xf>
    <xf numFmtId="0" fontId="19" fillId="0" borderId="0" xfId="0" applyFont="1" applyBorder="1" applyAlignment="1" applyProtection="1">
      <alignment horizontal="right" vertical="center"/>
    </xf>
    <xf numFmtId="167" fontId="19" fillId="0" borderId="6" xfId="0" applyNumberFormat="1" applyFont="1" applyFill="1" applyBorder="1" applyAlignment="1" applyProtection="1">
      <alignment vertical="center"/>
    </xf>
    <xf numFmtId="0" fontId="12" fillId="0" borderId="6" xfId="0" applyFont="1" applyFill="1" applyBorder="1" applyAlignment="1" applyProtection="1">
      <alignment vertical="center"/>
    </xf>
    <xf numFmtId="0" fontId="19" fillId="0" borderId="12" xfId="0" applyFont="1" applyBorder="1" applyAlignment="1" applyProtection="1">
      <alignment vertical="center"/>
    </xf>
    <xf numFmtId="0" fontId="19" fillId="0" borderId="12" xfId="0" applyFont="1" applyFill="1" applyBorder="1" applyAlignment="1" applyProtection="1">
      <alignment vertical="center"/>
    </xf>
    <xf numFmtId="167" fontId="12" fillId="0" borderId="0" xfId="0" applyNumberFormat="1" applyFont="1" applyFill="1" applyAlignment="1" applyProtection="1">
      <alignment vertical="center"/>
    </xf>
    <xf numFmtId="0" fontId="17" fillId="0" borderId="5" xfId="0" applyFont="1" applyBorder="1" applyAlignment="1" applyProtection="1">
      <alignment vertical="center"/>
    </xf>
    <xf numFmtId="0" fontId="17" fillId="0" borderId="0" xfId="0" applyFont="1" applyBorder="1" applyAlignment="1" applyProtection="1">
      <alignment horizontal="center" vertical="center"/>
    </xf>
    <xf numFmtId="0" fontId="22" fillId="0" borderId="0" xfId="0" applyFont="1" applyAlignment="1" applyProtection="1">
      <alignment horizontal="center" vertical="center"/>
    </xf>
    <xf numFmtId="0" fontId="20" fillId="0" borderId="0" xfId="0" applyFont="1" applyAlignment="1" applyProtection="1">
      <alignment horizontal="left" vertical="center"/>
    </xf>
    <xf numFmtId="0" fontId="48" fillId="0" borderId="0" xfId="0" applyFont="1" applyBorder="1" applyAlignment="1" applyProtection="1">
      <alignment horizontal="center" vertical="center"/>
    </xf>
    <xf numFmtId="0" fontId="27" fillId="0" borderId="0" xfId="0" applyFont="1" applyBorder="1" applyAlignment="1" applyProtection="1">
      <alignment horizontal="left" vertical="center"/>
    </xf>
    <xf numFmtId="0" fontId="17" fillId="0" borderId="0" xfId="0" applyFont="1" applyBorder="1" applyAlignment="1" applyProtection="1">
      <alignment horizontal="left" vertical="center"/>
    </xf>
    <xf numFmtId="0" fontId="17" fillId="0" borderId="0" xfId="0" applyFont="1" applyBorder="1" applyAlignment="1" applyProtection="1">
      <alignment horizontal="right" vertical="center"/>
    </xf>
    <xf numFmtId="0" fontId="21" fillId="0" borderId="6" xfId="0" applyFont="1" applyBorder="1" applyAlignment="1" applyProtection="1">
      <alignment horizontal="center" vertical="center" textRotation="180"/>
    </xf>
    <xf numFmtId="0" fontId="21" fillId="3" borderId="17" xfId="0" applyFont="1" applyFill="1" applyBorder="1" applyAlignment="1" applyProtection="1">
      <alignment horizontal="center" vertical="center" textRotation="180" wrapText="1"/>
    </xf>
    <xf numFmtId="0" fontId="25" fillId="0" borderId="6" xfId="0" applyFont="1" applyFill="1" applyBorder="1" applyAlignment="1" applyProtection="1">
      <alignment horizontal="center" vertical="center"/>
    </xf>
    <xf numFmtId="0" fontId="50" fillId="0" borderId="6" xfId="0" applyFont="1" applyFill="1" applyBorder="1" applyAlignment="1" applyProtection="1">
      <alignment horizontal="center" vertical="center" wrapText="1"/>
    </xf>
    <xf numFmtId="0" fontId="25" fillId="0" borderId="6"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xf>
    <xf numFmtId="0" fontId="25" fillId="0" borderId="14" xfId="0" applyFont="1" applyFill="1" applyBorder="1" applyAlignment="1" applyProtection="1">
      <alignment horizontal="center" vertical="center"/>
    </xf>
    <xf numFmtId="0" fontId="50" fillId="0" borderId="14"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wrapText="1"/>
    </xf>
    <xf numFmtId="0" fontId="21" fillId="0" borderId="14" xfId="0" applyFont="1" applyBorder="1" applyAlignment="1" applyProtection="1">
      <alignment horizontal="center" vertical="center"/>
    </xf>
    <xf numFmtId="0" fontId="21" fillId="0" borderId="6" xfId="0" applyFont="1" applyBorder="1" applyAlignment="1" applyProtection="1">
      <alignment horizontal="center" vertical="center"/>
    </xf>
    <xf numFmtId="0" fontId="21" fillId="0" borderId="5" xfId="0" applyFont="1" applyFill="1" applyBorder="1" applyAlignment="1" applyProtection="1">
      <alignment horizontal="center" vertical="center"/>
    </xf>
    <xf numFmtId="167" fontId="42" fillId="0" borderId="1" xfId="0" applyNumberFormat="1" applyFont="1" applyFill="1" applyBorder="1" applyAlignment="1" applyProtection="1">
      <alignment horizontal="center" vertical="center"/>
    </xf>
    <xf numFmtId="0" fontId="25" fillId="0" borderId="3" xfId="0" applyFont="1" applyFill="1" applyBorder="1" applyAlignment="1" applyProtection="1">
      <alignment horizontal="center" vertical="center"/>
    </xf>
    <xf numFmtId="0" fontId="21" fillId="0" borderId="5" xfId="0" applyFont="1" applyFill="1" applyBorder="1" applyAlignment="1" applyProtection="1">
      <alignment horizontal="left" vertical="center"/>
    </xf>
    <xf numFmtId="0" fontId="21" fillId="0" borderId="5" xfId="0" applyFont="1" applyFill="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0" xfId="0" applyFont="1" applyFill="1" applyBorder="1" applyAlignment="1" applyProtection="1">
      <alignment horizontal="right" vertical="center"/>
    </xf>
    <xf numFmtId="0" fontId="15" fillId="0" borderId="36" xfId="0" applyFont="1" applyFill="1" applyBorder="1" applyAlignment="1" applyProtection="1">
      <alignment horizontal="right" vertical="center"/>
    </xf>
    <xf numFmtId="0" fontId="11" fillId="0" borderId="37" xfId="0" applyFont="1" applyFill="1" applyBorder="1" applyAlignment="1" applyProtection="1">
      <alignment horizontal="right" vertical="center"/>
    </xf>
    <xf numFmtId="0" fontId="11" fillId="0" borderId="38" xfId="0" applyFont="1" applyFill="1" applyBorder="1" applyAlignment="1" applyProtection="1">
      <alignment horizontal="left" vertical="center"/>
    </xf>
    <xf numFmtId="0" fontId="13" fillId="0" borderId="0" xfId="0" applyFont="1" applyAlignment="1" applyProtection="1">
      <alignment vertical="center"/>
    </xf>
    <xf numFmtId="0" fontId="48" fillId="0" borderId="5" xfId="0" applyFont="1" applyBorder="1" applyAlignment="1" applyProtection="1">
      <alignment horizontal="center" vertical="center"/>
    </xf>
    <xf numFmtId="0" fontId="20" fillId="0" borderId="5" xfId="0" applyFont="1" applyBorder="1" applyAlignment="1" applyProtection="1">
      <alignment horizontal="center" vertical="center"/>
    </xf>
    <xf numFmtId="166" fontId="19" fillId="0" borderId="4" xfId="0" applyNumberFormat="1" applyFont="1" applyFill="1" applyBorder="1" applyAlignment="1" applyProtection="1">
      <alignment horizontal="center" vertical="center"/>
    </xf>
    <xf numFmtId="0" fontId="12" fillId="0" borderId="36" xfId="0" applyFont="1" applyFill="1" applyBorder="1" applyAlignment="1" applyProtection="1">
      <alignment horizontal="right" vertical="center"/>
    </xf>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center" vertical="center"/>
    </xf>
    <xf numFmtId="0" fontId="19" fillId="0" borderId="0" xfId="0" applyFont="1" applyFill="1" applyAlignment="1" applyProtection="1">
      <alignment horizontal="center" vertical="center"/>
    </xf>
    <xf numFmtId="0" fontId="19" fillId="0" borderId="0" xfId="0" applyFont="1" applyFill="1" applyAlignment="1" applyProtection="1">
      <alignment horizontal="right" vertical="center"/>
    </xf>
    <xf numFmtId="166" fontId="39" fillId="17" borderId="156" xfId="0" applyNumberFormat="1" applyFont="1" applyFill="1" applyBorder="1" applyAlignment="1" applyProtection="1">
      <alignment horizontal="center" vertical="center" wrapText="1"/>
    </xf>
    <xf numFmtId="166" fontId="39" fillId="17" borderId="98" xfId="0" applyNumberFormat="1" applyFont="1" applyFill="1" applyBorder="1" applyAlignment="1" applyProtection="1">
      <alignment horizontal="center" vertical="center" wrapText="1"/>
    </xf>
    <xf numFmtId="166" fontId="39" fillId="17" borderId="149" xfId="0" applyNumberFormat="1" applyFont="1" applyFill="1" applyBorder="1" applyAlignment="1" applyProtection="1">
      <alignment horizontal="center" vertical="center" wrapText="1"/>
    </xf>
    <xf numFmtId="166" fontId="39" fillId="17" borderId="99"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0" fillId="0" borderId="0"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19" fillId="0" borderId="0" xfId="0" applyFont="1" applyBorder="1" applyAlignment="1" applyProtection="1">
      <alignment horizontal="left" vertical="center"/>
    </xf>
    <xf numFmtId="0" fontId="22" fillId="0" borderId="0" xfId="0" applyFont="1" applyBorder="1" applyAlignment="1" applyProtection="1">
      <alignment horizontal="center" vertical="center" wrapText="1"/>
    </xf>
    <xf numFmtId="0" fontId="20" fillId="0" borderId="0" xfId="0" applyFont="1" applyBorder="1" applyAlignment="1" applyProtection="1">
      <alignment horizontal="left" vertical="center"/>
    </xf>
    <xf numFmtId="0" fontId="17" fillId="0" borderId="0" xfId="0" applyFont="1" applyBorder="1" applyAlignment="1" applyProtection="1">
      <alignment horizontal="center" vertical="center"/>
    </xf>
    <xf numFmtId="0" fontId="20"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42" fillId="5" borderId="14" xfId="0" applyFont="1" applyFill="1" applyBorder="1" applyAlignment="1" applyProtection="1">
      <alignment horizontal="center" vertical="center"/>
      <protection locked="0"/>
    </xf>
    <xf numFmtId="0" fontId="42" fillId="5" borderId="6" xfId="0" applyFont="1" applyFill="1" applyBorder="1" applyAlignment="1" applyProtection="1">
      <alignment horizontal="center" vertical="center"/>
      <protection locked="0"/>
    </xf>
    <xf numFmtId="0" fontId="42" fillId="5" borderId="15" xfId="0" applyFont="1" applyFill="1" applyBorder="1" applyAlignment="1" applyProtection="1">
      <alignment horizontal="center" vertical="center"/>
      <protection locked="0"/>
    </xf>
    <xf numFmtId="0" fontId="42" fillId="5" borderId="14" xfId="0" applyFont="1" applyFill="1" applyBorder="1" applyAlignment="1" applyProtection="1">
      <alignment horizontal="center" vertical="center" wrapText="1"/>
      <protection locked="0"/>
    </xf>
    <xf numFmtId="0" fontId="42" fillId="5" borderId="6" xfId="0" applyFont="1" applyFill="1" applyBorder="1" applyAlignment="1" applyProtection="1">
      <alignment horizontal="center" vertical="center" wrapText="1"/>
      <protection locked="0"/>
    </xf>
    <xf numFmtId="0" fontId="0" fillId="0" borderId="0" xfId="0" applyFill="1" applyAlignment="1" applyProtection="1">
      <alignment vertical="center"/>
    </xf>
    <xf numFmtId="171" fontId="12" fillId="0" borderId="36" xfId="0" applyNumberFormat="1" applyFont="1" applyFill="1" applyBorder="1" applyAlignment="1" applyProtection="1">
      <alignment vertical="center"/>
    </xf>
    <xf numFmtId="0" fontId="42" fillId="5" borderId="1"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wrapText="1"/>
      <protection locked="0"/>
    </xf>
    <xf numFmtId="0" fontId="42" fillId="5" borderId="3" xfId="0" applyFont="1" applyFill="1" applyBorder="1" applyAlignment="1" applyProtection="1">
      <alignment horizontal="center" vertical="center" wrapText="1"/>
      <protection locked="0"/>
    </xf>
    <xf numFmtId="0" fontId="42" fillId="5" borderId="1" xfId="0" applyFont="1" applyFill="1" applyBorder="1" applyAlignment="1" applyProtection="1">
      <alignment horizontal="center" vertical="center"/>
      <protection locked="0"/>
    </xf>
    <xf numFmtId="0" fontId="42" fillId="5" borderId="3" xfId="0" applyFont="1" applyFill="1" applyBorder="1" applyAlignment="1" applyProtection="1">
      <alignment horizontal="center" vertical="center"/>
      <protection locked="0"/>
    </xf>
    <xf numFmtId="0" fontId="53" fillId="0" borderId="5" xfId="0"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protection locked="0"/>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21" fillId="0" borderId="6" xfId="0" applyFont="1" applyBorder="1" applyAlignment="1" applyProtection="1">
      <alignment horizontal="center" vertical="center" textRotation="180" wrapText="1"/>
    </xf>
    <xf numFmtId="0" fontId="21" fillId="0" borderId="15" xfId="0" applyFont="1" applyBorder="1" applyAlignment="1" applyProtection="1">
      <alignment horizontal="center" vertical="center" textRotation="180" wrapText="1"/>
    </xf>
    <xf numFmtId="0" fontId="21" fillId="0" borderId="16" xfId="0" applyFont="1" applyBorder="1" applyAlignment="1" applyProtection="1">
      <alignment horizontal="center" vertical="center" textRotation="180" wrapText="1"/>
    </xf>
    <xf numFmtId="0" fontId="21" fillId="0" borderId="14" xfId="0" applyFont="1" applyBorder="1" applyAlignment="1" applyProtection="1">
      <alignment horizontal="center" vertical="center" textRotation="180" wrapText="1"/>
    </xf>
    <xf numFmtId="0" fontId="21" fillId="0" borderId="16" xfId="0" applyFont="1" applyBorder="1" applyAlignment="1" applyProtection="1">
      <alignment horizontal="center" vertical="center" textRotation="180"/>
    </xf>
    <xf numFmtId="0" fontId="21" fillId="0" borderId="14" xfId="0" applyFont="1" applyBorder="1" applyAlignment="1" applyProtection="1">
      <alignment horizontal="center" vertical="center" textRotation="180"/>
    </xf>
    <xf numFmtId="0" fontId="21" fillId="0" borderId="12" xfId="0" applyFont="1" applyBorder="1" applyAlignment="1" applyProtection="1">
      <alignment horizontal="center" vertical="center" textRotation="180" wrapText="1"/>
    </xf>
    <xf numFmtId="0" fontId="21" fillId="0" borderId="18" xfId="0" applyFont="1" applyBorder="1" applyAlignment="1" applyProtection="1">
      <alignment horizontal="center" vertical="center" textRotation="180" wrapText="1"/>
    </xf>
    <xf numFmtId="0" fontId="21" fillId="0" borderId="13" xfId="0" applyFont="1" applyBorder="1" applyAlignment="1" applyProtection="1">
      <alignment horizontal="center" vertical="center" textRotation="180" wrapText="1"/>
    </xf>
    <xf numFmtId="0" fontId="21" fillId="0" borderId="19" xfId="0" applyFont="1" applyBorder="1" applyAlignment="1" applyProtection="1">
      <alignment horizontal="center" vertical="center" textRotation="180" wrapText="1"/>
    </xf>
    <xf numFmtId="0" fontId="21" fillId="0" borderId="12"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8" xfId="0" applyFont="1" applyBorder="1" applyAlignment="1" applyProtection="1">
      <alignment horizontal="center" vertical="center" wrapText="1"/>
    </xf>
    <xf numFmtId="49" fontId="21" fillId="0" borderId="12" xfId="0" applyNumberFormat="1" applyFont="1" applyBorder="1" applyAlignment="1" applyProtection="1">
      <alignment horizontal="center" vertical="center" wrapText="1"/>
    </xf>
    <xf numFmtId="49" fontId="21" fillId="0" borderId="0" xfId="0" applyNumberFormat="1" applyFont="1" applyBorder="1" applyAlignment="1" applyProtection="1">
      <alignment horizontal="center" vertical="center" wrapText="1"/>
    </xf>
    <xf numFmtId="49" fontId="21" fillId="0" borderId="27" xfId="0" applyNumberFormat="1" applyFont="1" applyBorder="1" applyAlignment="1" applyProtection="1">
      <alignment horizontal="center" vertical="center" wrapText="1"/>
    </xf>
    <xf numFmtId="49" fontId="21" fillId="0" borderId="13" xfId="0" applyNumberFormat="1" applyFont="1" applyBorder="1" applyAlignment="1" applyProtection="1">
      <alignment horizontal="center" vertical="center" wrapText="1"/>
    </xf>
    <xf numFmtId="49" fontId="21" fillId="0" borderId="4" xfId="0" applyNumberFormat="1" applyFont="1" applyBorder="1" applyAlignment="1" applyProtection="1">
      <alignment horizontal="center" vertical="center" wrapText="1"/>
    </xf>
    <xf numFmtId="49" fontId="21" fillId="0" borderId="28" xfId="0" applyNumberFormat="1" applyFont="1" applyBorder="1" applyAlignment="1" applyProtection="1">
      <alignment horizontal="center" vertical="center" wrapText="1"/>
    </xf>
    <xf numFmtId="0" fontId="12" fillId="0" borderId="17" xfId="0" applyFont="1" applyBorder="1" applyAlignment="1" applyProtection="1">
      <alignment horizontal="left" vertical="center"/>
    </xf>
    <xf numFmtId="0" fontId="12" fillId="0" borderId="5" xfId="0" applyFont="1" applyBorder="1" applyAlignment="1" applyProtection="1">
      <alignment horizontal="left" vertical="center"/>
    </xf>
    <xf numFmtId="0" fontId="12" fillId="0" borderId="20" xfId="0" applyFont="1" applyBorder="1" applyAlignment="1" applyProtection="1">
      <alignment horizontal="left" vertical="center"/>
    </xf>
    <xf numFmtId="0" fontId="12" fillId="0" borderId="13" xfId="0" applyFont="1" applyBorder="1" applyAlignment="1" applyProtection="1">
      <alignment horizontal="left" vertical="center"/>
    </xf>
    <xf numFmtId="0" fontId="12" fillId="0" borderId="4" xfId="0" applyFont="1" applyBorder="1" applyAlignment="1" applyProtection="1">
      <alignment horizontal="left" vertical="center"/>
    </xf>
    <xf numFmtId="0" fontId="12" fillId="0" borderId="19" xfId="0" applyFont="1" applyBorder="1" applyAlignment="1" applyProtection="1">
      <alignment horizontal="left" vertical="center"/>
    </xf>
    <xf numFmtId="166" fontId="19" fillId="5" borderId="17" xfId="0" applyNumberFormat="1" applyFont="1" applyFill="1" applyBorder="1" applyAlignment="1" applyProtection="1">
      <alignment horizontal="center" vertical="center"/>
      <protection locked="0"/>
    </xf>
    <xf numFmtId="166" fontId="19" fillId="5" borderId="5" xfId="0" applyNumberFormat="1" applyFont="1" applyFill="1" applyBorder="1" applyAlignment="1" applyProtection="1">
      <alignment horizontal="center" vertical="center"/>
      <protection locked="0"/>
    </xf>
    <xf numFmtId="166" fontId="19" fillId="5" borderId="20" xfId="0" applyNumberFormat="1" applyFont="1" applyFill="1" applyBorder="1" applyAlignment="1" applyProtection="1">
      <alignment horizontal="center" vertical="center"/>
      <protection locked="0"/>
    </xf>
    <xf numFmtId="166" fontId="19" fillId="5" borderId="13" xfId="0" applyNumberFormat="1" applyFont="1" applyFill="1" applyBorder="1" applyAlignment="1" applyProtection="1">
      <alignment horizontal="center" vertical="center"/>
      <protection locked="0"/>
    </xf>
    <xf numFmtId="166" fontId="19" fillId="5" borderId="4" xfId="0" applyNumberFormat="1" applyFont="1" applyFill="1" applyBorder="1" applyAlignment="1" applyProtection="1">
      <alignment horizontal="center" vertical="center"/>
      <protection locked="0"/>
    </xf>
    <xf numFmtId="166" fontId="19" fillId="5" borderId="19" xfId="0" applyNumberFormat="1" applyFont="1" applyFill="1" applyBorder="1" applyAlignment="1" applyProtection="1">
      <alignment horizontal="center" vertical="center"/>
      <protection locked="0"/>
    </xf>
    <xf numFmtId="0" fontId="17" fillId="0" borderId="17" xfId="0" applyFont="1" applyFill="1" applyBorder="1" applyAlignment="1" applyProtection="1">
      <alignment horizontal="center" vertical="center"/>
    </xf>
    <xf numFmtId="0" fontId="17" fillId="0" borderId="20" xfId="0" applyFont="1" applyFill="1" applyBorder="1" applyAlignment="1" applyProtection="1">
      <alignment horizontal="center" vertical="center"/>
    </xf>
    <xf numFmtId="0" fontId="17" fillId="0" borderId="13" xfId="0" applyFont="1" applyFill="1" applyBorder="1" applyAlignment="1" applyProtection="1">
      <alignment horizontal="center" vertical="center"/>
    </xf>
    <xf numFmtId="0" fontId="17" fillId="0" borderId="19" xfId="0" applyFont="1" applyFill="1" applyBorder="1" applyAlignment="1" applyProtection="1">
      <alignment horizontal="center" vertical="center"/>
    </xf>
    <xf numFmtId="0" fontId="12" fillId="0" borderId="6" xfId="0" applyFont="1" applyBorder="1" applyAlignment="1" applyProtection="1">
      <alignment horizontal="left" vertical="center" wrapText="1"/>
    </xf>
    <xf numFmtId="166" fontId="19" fillId="5" borderId="6"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xf>
    <xf numFmtId="0" fontId="17" fillId="0" borderId="6" xfId="0" applyFont="1" applyFill="1" applyBorder="1" applyAlignment="1" applyProtection="1">
      <alignment horizontal="center" vertical="center"/>
    </xf>
    <xf numFmtId="0" fontId="20" fillId="0" borderId="4" xfId="0" applyFont="1" applyBorder="1" applyAlignment="1" applyProtection="1">
      <alignment horizontal="left" vertical="center"/>
    </xf>
    <xf numFmtId="0" fontId="17" fillId="0" borderId="5" xfId="0" applyFont="1" applyFill="1" applyBorder="1" applyAlignment="1" applyProtection="1">
      <alignment horizontal="center" vertical="center"/>
    </xf>
    <xf numFmtId="0" fontId="20" fillId="0" borderId="0" xfId="0" applyFont="1" applyBorder="1" applyAlignment="1" applyProtection="1">
      <alignment horizontal="left" vertical="center" wrapText="1"/>
    </xf>
    <xf numFmtId="0" fontId="13" fillId="0" borderId="6" xfId="0" applyFont="1" applyBorder="1" applyAlignment="1" applyProtection="1">
      <alignment horizontal="center" vertical="center"/>
    </xf>
    <xf numFmtId="0" fontId="13" fillId="0" borderId="1"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protection locked="0"/>
    </xf>
    <xf numFmtId="0" fontId="49" fillId="0" borderId="0" xfId="0" applyFont="1" applyBorder="1" applyAlignment="1" applyProtection="1">
      <alignment horizontal="center" vertical="center" wrapText="1"/>
    </xf>
    <xf numFmtId="167" fontId="19" fillId="5" borderId="6" xfId="0" applyNumberFormat="1" applyFont="1" applyFill="1" applyBorder="1" applyAlignment="1" applyProtection="1">
      <alignment horizontal="center" vertical="center"/>
      <protection locked="0"/>
    </xf>
    <xf numFmtId="0" fontId="17" fillId="0" borderId="0" xfId="0" applyFont="1" applyAlignment="1" applyProtection="1">
      <alignment horizontal="center" vertical="center"/>
    </xf>
    <xf numFmtId="0" fontId="20" fillId="0" borderId="4" xfId="0" applyFont="1" applyBorder="1" applyAlignment="1" applyProtection="1">
      <alignment horizontal="left" vertical="center" wrapText="1"/>
    </xf>
    <xf numFmtId="0" fontId="49" fillId="0" borderId="0" xfId="0" applyFont="1" applyAlignment="1" applyProtection="1">
      <alignment horizontal="center" vertical="center"/>
    </xf>
    <xf numFmtId="0" fontId="12" fillId="0" borderId="0" xfId="0" applyFont="1" applyBorder="1" applyAlignment="1" applyProtection="1">
      <alignment horizontal="center" vertical="center"/>
    </xf>
    <xf numFmtId="0" fontId="12" fillId="0" borderId="5"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12" fillId="0" borderId="3" xfId="0" applyFont="1" applyBorder="1" applyAlignment="1" applyProtection="1">
      <alignment horizontal="left" vertical="center"/>
    </xf>
    <xf numFmtId="0" fontId="12" fillId="0" borderId="6" xfId="0" applyFont="1" applyBorder="1" applyAlignment="1" applyProtection="1">
      <alignment horizontal="left" vertical="center"/>
    </xf>
    <xf numFmtId="167" fontId="19" fillId="5" borderId="6" xfId="0" applyNumberFormat="1" applyFont="1" applyFill="1" applyBorder="1" applyAlignment="1" applyProtection="1">
      <alignment horizontal="center" vertical="center" wrapText="1"/>
      <protection locked="0"/>
    </xf>
    <xf numFmtId="167" fontId="19" fillId="0" borderId="17" xfId="0" applyNumberFormat="1" applyFont="1" applyFill="1" applyBorder="1" applyAlignment="1" applyProtection="1">
      <alignment horizontal="left" vertical="center" wrapText="1"/>
    </xf>
    <xf numFmtId="167" fontId="19" fillId="0" borderId="5" xfId="0" applyNumberFormat="1" applyFont="1" applyFill="1" applyBorder="1" applyAlignment="1" applyProtection="1">
      <alignment horizontal="left" vertical="center" wrapText="1"/>
    </xf>
    <xf numFmtId="167" fontId="19" fillId="0" borderId="20" xfId="0" applyNumberFormat="1" applyFont="1" applyFill="1" applyBorder="1" applyAlignment="1" applyProtection="1">
      <alignment horizontal="left" vertical="center" wrapText="1"/>
    </xf>
    <xf numFmtId="0" fontId="17" fillId="0" borderId="13" xfId="0" applyFont="1" applyBorder="1" applyAlignment="1" applyProtection="1">
      <alignment horizontal="center" vertical="center"/>
    </xf>
    <xf numFmtId="0" fontId="17" fillId="0" borderId="19" xfId="0" applyFont="1" applyBorder="1" applyAlignment="1" applyProtection="1">
      <alignment horizontal="center" vertical="center"/>
    </xf>
    <xf numFmtId="0" fontId="23" fillId="0" borderId="19" xfId="0" applyFont="1" applyFill="1" applyBorder="1" applyAlignment="1" applyProtection="1">
      <alignment horizontal="left" vertical="center"/>
    </xf>
    <xf numFmtId="0" fontId="12" fillId="0" borderId="14"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167" fontId="19" fillId="0" borderId="13" xfId="0" applyNumberFormat="1" applyFont="1" applyFill="1" applyBorder="1" applyAlignment="1" applyProtection="1">
      <alignment horizontal="left" vertical="center" wrapText="1"/>
    </xf>
    <xf numFmtId="167" fontId="19" fillId="0" borderId="4" xfId="0" applyNumberFormat="1" applyFont="1" applyFill="1" applyBorder="1" applyAlignment="1" applyProtection="1">
      <alignment horizontal="left" vertical="center" wrapText="1"/>
    </xf>
    <xf numFmtId="167" fontId="19" fillId="0" borderId="19" xfId="0" applyNumberFormat="1" applyFont="1" applyFill="1" applyBorder="1" applyAlignment="1" applyProtection="1">
      <alignment horizontal="left" vertical="center" wrapText="1"/>
    </xf>
    <xf numFmtId="0" fontId="19" fillId="0" borderId="1"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167" fontId="19" fillId="0" borderId="73" xfId="0" applyNumberFormat="1" applyFont="1" applyFill="1" applyBorder="1" applyAlignment="1" applyProtection="1">
      <alignment horizontal="center" vertical="center" wrapText="1"/>
    </xf>
    <xf numFmtId="167" fontId="19" fillId="0" borderId="74" xfId="0" applyNumberFormat="1" applyFont="1" applyFill="1" applyBorder="1" applyAlignment="1" applyProtection="1">
      <alignment horizontal="center" vertical="center" wrapText="1"/>
    </xf>
    <xf numFmtId="167" fontId="19" fillId="0" borderId="75"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167" fontId="19" fillId="0" borderId="6" xfId="0" applyNumberFormat="1" applyFont="1" applyFill="1" applyBorder="1" applyAlignment="1" applyProtection="1">
      <alignment horizontal="center" vertical="center"/>
    </xf>
    <xf numFmtId="0" fontId="12" fillId="0" borderId="5" xfId="0" applyFont="1" applyBorder="1" applyAlignment="1" applyProtection="1">
      <alignment horizontal="left" vertical="center" wrapText="1"/>
    </xf>
    <xf numFmtId="0" fontId="19" fillId="5" borderId="15" xfId="0" applyFont="1" applyFill="1" applyBorder="1" applyAlignment="1" applyProtection="1">
      <alignment horizontal="center" vertical="center"/>
      <protection locked="0"/>
    </xf>
    <xf numFmtId="0" fontId="17" fillId="0" borderId="5" xfId="0" applyFont="1" applyBorder="1" applyAlignment="1" applyProtection="1">
      <alignment horizontal="center" vertical="center"/>
    </xf>
    <xf numFmtId="0" fontId="17" fillId="0" borderId="20" xfId="0" applyFont="1" applyBorder="1" applyAlignment="1" applyProtection="1">
      <alignment horizontal="center" vertical="center"/>
    </xf>
    <xf numFmtId="0" fontId="12" fillId="0" borderId="3" xfId="0" applyFont="1" applyBorder="1" applyAlignment="1" applyProtection="1">
      <alignment horizontal="left" vertical="center" wrapText="1"/>
    </xf>
    <xf numFmtId="0" fontId="19" fillId="0" borderId="1" xfId="0" applyFont="1" applyBorder="1" applyAlignment="1" applyProtection="1">
      <alignment horizontal="center" vertical="center"/>
    </xf>
    <xf numFmtId="0" fontId="19" fillId="0" borderId="2" xfId="0" applyFont="1" applyBorder="1" applyAlignment="1" applyProtection="1">
      <alignment horizontal="center" vertical="center"/>
    </xf>
    <xf numFmtId="0" fontId="19" fillId="0" borderId="3" xfId="0" applyFont="1" applyBorder="1" applyAlignment="1" applyProtection="1">
      <alignment horizontal="center" vertical="center"/>
    </xf>
    <xf numFmtId="167" fontId="19" fillId="4" borderId="6" xfId="0" applyNumberFormat="1" applyFont="1" applyFill="1" applyBorder="1" applyAlignment="1" applyProtection="1">
      <alignment horizontal="center" vertical="center"/>
    </xf>
    <xf numFmtId="167" fontId="19" fillId="5" borderId="1" xfId="0" applyNumberFormat="1" applyFont="1" applyFill="1" applyBorder="1" applyAlignment="1" applyProtection="1">
      <alignment horizontal="center" vertical="center"/>
      <protection locked="0"/>
    </xf>
    <xf numFmtId="167" fontId="19" fillId="5" borderId="2" xfId="0" applyNumberFormat="1" applyFont="1" applyFill="1" applyBorder="1" applyAlignment="1" applyProtection="1">
      <alignment horizontal="center" vertical="center"/>
      <protection locked="0"/>
    </xf>
    <xf numFmtId="167" fontId="19" fillId="5" borderId="3" xfId="0" applyNumberFormat="1" applyFont="1" applyFill="1" applyBorder="1" applyAlignment="1" applyProtection="1">
      <alignment horizontal="center" vertical="center"/>
      <protection locked="0"/>
    </xf>
    <xf numFmtId="0" fontId="17" fillId="0" borderId="17" xfId="0" applyFont="1" applyBorder="1" applyAlignment="1" applyProtection="1">
      <alignment horizontal="center" vertical="center"/>
    </xf>
    <xf numFmtId="0" fontId="12" fillId="0" borderId="2" xfId="0" applyFont="1" applyBorder="1" applyAlignment="1" applyProtection="1">
      <alignment horizontal="left" vertical="center" wrapText="1"/>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0" fontId="12" fillId="0" borderId="4" xfId="0" applyFont="1" applyBorder="1" applyAlignment="1" applyProtection="1">
      <alignment horizontal="left" vertical="center" wrapText="1"/>
    </xf>
    <xf numFmtId="0" fontId="17" fillId="0" borderId="4" xfId="0" applyFont="1" applyBorder="1" applyAlignment="1" applyProtection="1">
      <alignment horizontal="center" vertical="center"/>
    </xf>
    <xf numFmtId="0" fontId="19" fillId="5" borderId="6" xfId="0" applyFont="1" applyFill="1" applyBorder="1" applyAlignment="1" applyProtection="1">
      <alignment horizontal="center" vertical="center" wrapText="1"/>
      <protection locked="0"/>
    </xf>
    <xf numFmtId="167" fontId="19" fillId="0" borderId="6" xfId="0" applyNumberFormat="1" applyFont="1" applyFill="1" applyBorder="1" applyAlignment="1" applyProtection="1">
      <alignment horizontal="left" vertical="center" wrapText="1"/>
    </xf>
    <xf numFmtId="0" fontId="20" fillId="0" borderId="6" xfId="0" applyFont="1" applyBorder="1" applyAlignment="1" applyProtection="1">
      <alignment horizontal="center" vertical="center" wrapText="1"/>
    </xf>
    <xf numFmtId="0" fontId="12" fillId="0" borderId="5" xfId="0" applyFont="1" applyBorder="1" applyAlignment="1" applyProtection="1">
      <alignment horizontal="right" vertical="center" wrapText="1"/>
    </xf>
    <xf numFmtId="0" fontId="12" fillId="0" borderId="0" xfId="0" applyFont="1" applyBorder="1" applyAlignment="1" applyProtection="1">
      <alignment horizontal="right" vertical="center" wrapText="1"/>
    </xf>
    <xf numFmtId="168" fontId="19" fillId="5" borderId="1" xfId="0" applyNumberFormat="1" applyFont="1" applyFill="1" applyBorder="1" applyAlignment="1" applyProtection="1">
      <alignment horizontal="center" vertical="center"/>
      <protection locked="0"/>
    </xf>
    <xf numFmtId="168" fontId="19" fillId="5" borderId="3" xfId="0" applyNumberFormat="1" applyFont="1" applyFill="1" applyBorder="1" applyAlignment="1" applyProtection="1">
      <alignment horizontal="center" vertical="center"/>
      <protection locked="0"/>
    </xf>
    <xf numFmtId="0" fontId="19" fillId="5" borderId="17"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19" fillId="5" borderId="20" xfId="0" applyFont="1" applyFill="1" applyBorder="1" applyAlignment="1" applyProtection="1">
      <alignment horizontal="center" vertical="center" wrapText="1"/>
      <protection locked="0"/>
    </xf>
    <xf numFmtId="0" fontId="19" fillId="5" borderId="13" xfId="0" applyFont="1" applyFill="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protection locked="0"/>
    </xf>
    <xf numFmtId="0" fontId="19" fillId="5" borderId="19" xfId="0" applyFont="1" applyFill="1" applyBorder="1" applyAlignment="1" applyProtection="1">
      <alignment horizontal="center" vertical="center" wrapText="1"/>
      <protection locked="0"/>
    </xf>
    <xf numFmtId="0" fontId="19" fillId="0" borderId="5" xfId="0" applyFont="1" applyBorder="1" applyAlignment="1" applyProtection="1">
      <alignment horizontal="left" vertical="center"/>
    </xf>
    <xf numFmtId="0" fontId="19" fillId="0" borderId="2"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5" borderId="17" xfId="0" applyFont="1" applyFill="1" applyBorder="1" applyAlignment="1" applyProtection="1">
      <alignment horizontal="left" vertical="center" wrapText="1"/>
      <protection locked="0"/>
    </xf>
    <xf numFmtId="0" fontId="19" fillId="5" borderId="5" xfId="0" applyFont="1" applyFill="1" applyBorder="1" applyAlignment="1" applyProtection="1">
      <alignment horizontal="left" vertical="center" wrapText="1"/>
      <protection locked="0"/>
    </xf>
    <xf numFmtId="0" fontId="19" fillId="5" borderId="20" xfId="0" applyFont="1" applyFill="1" applyBorder="1" applyAlignment="1" applyProtection="1">
      <alignment horizontal="left" vertical="center" wrapText="1"/>
      <protection locked="0"/>
    </xf>
    <xf numFmtId="0" fontId="19" fillId="5" borderId="13" xfId="0" applyFont="1" applyFill="1" applyBorder="1" applyAlignment="1" applyProtection="1">
      <alignment horizontal="left" vertical="center" wrapText="1"/>
      <protection locked="0"/>
    </xf>
    <xf numFmtId="0" fontId="19" fillId="5" borderId="4" xfId="0" applyFont="1" applyFill="1" applyBorder="1" applyAlignment="1" applyProtection="1">
      <alignment horizontal="left" vertical="center" wrapText="1"/>
      <protection locked="0"/>
    </xf>
    <xf numFmtId="0" fontId="19" fillId="5" borderId="19" xfId="0" applyFont="1" applyFill="1" applyBorder="1" applyAlignment="1" applyProtection="1">
      <alignment horizontal="left" vertical="center" wrapText="1"/>
      <protection locked="0"/>
    </xf>
    <xf numFmtId="0" fontId="22" fillId="0" borderId="5"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167" fontId="19" fillId="0" borderId="6" xfId="0" applyNumberFormat="1" applyFont="1" applyBorder="1" applyAlignment="1" applyProtection="1">
      <alignment horizontal="center" vertical="center"/>
    </xf>
    <xf numFmtId="0" fontId="19" fillId="0" borderId="6" xfId="0" applyFont="1" applyBorder="1" applyAlignment="1" applyProtection="1">
      <alignment horizontal="center" vertical="center"/>
    </xf>
    <xf numFmtId="0" fontId="22" fillId="0" borderId="5" xfId="0" applyFont="1" applyBorder="1" applyAlignment="1" applyProtection="1">
      <alignment horizontal="center" vertical="center"/>
    </xf>
    <xf numFmtId="0" fontId="19" fillId="5" borderId="1" xfId="0" applyFont="1" applyFill="1" applyBorder="1" applyAlignment="1" applyProtection="1">
      <alignment horizontal="center" vertical="center" wrapText="1"/>
      <protection locked="0"/>
    </xf>
    <xf numFmtId="0" fontId="19" fillId="5" borderId="2" xfId="0" applyFont="1" applyFill="1" applyBorder="1" applyAlignment="1" applyProtection="1">
      <alignment horizontal="center" vertical="center" wrapText="1"/>
      <protection locked="0"/>
    </xf>
    <xf numFmtId="0" fontId="19" fillId="5" borderId="3" xfId="0" applyFont="1" applyFill="1" applyBorder="1" applyAlignment="1" applyProtection="1">
      <alignment horizontal="center" vertical="center" wrapText="1"/>
      <protection locked="0"/>
    </xf>
    <xf numFmtId="0" fontId="19" fillId="0" borderId="6" xfId="0" applyFont="1" applyFill="1" applyBorder="1" applyAlignment="1" applyProtection="1">
      <alignment horizontal="center" vertical="center"/>
    </xf>
    <xf numFmtId="0" fontId="19" fillId="5" borderId="17" xfId="0" applyFont="1" applyFill="1" applyBorder="1" applyAlignment="1" applyProtection="1">
      <alignment horizontal="center" vertical="center"/>
      <protection locked="0"/>
    </xf>
    <xf numFmtId="0" fontId="19" fillId="5" borderId="5" xfId="0" applyFont="1" applyFill="1" applyBorder="1" applyAlignment="1" applyProtection="1">
      <alignment horizontal="center" vertical="center"/>
      <protection locked="0"/>
    </xf>
    <xf numFmtId="0" fontId="19" fillId="5" borderId="20" xfId="0" applyFont="1" applyFill="1" applyBorder="1" applyAlignment="1" applyProtection="1">
      <alignment horizontal="center" vertical="center"/>
      <protection locked="0"/>
    </xf>
    <xf numFmtId="0" fontId="19" fillId="5" borderId="13" xfId="0" applyFont="1" applyFill="1" applyBorder="1" applyAlignment="1" applyProtection="1">
      <alignment horizontal="center" vertical="center"/>
      <protection locked="0"/>
    </xf>
    <xf numFmtId="0" fontId="19" fillId="5" borderId="4" xfId="0" applyFont="1" applyFill="1" applyBorder="1" applyAlignment="1" applyProtection="1">
      <alignment horizontal="center" vertical="center"/>
      <protection locked="0"/>
    </xf>
    <xf numFmtId="0" fontId="19" fillId="5" borderId="19" xfId="0" applyFont="1" applyFill="1" applyBorder="1" applyAlignment="1" applyProtection="1">
      <alignment horizontal="center" vertical="center"/>
      <protection locked="0"/>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38" fillId="0" borderId="1" xfId="0" applyFont="1" applyFill="1" applyBorder="1" applyAlignment="1" applyProtection="1">
      <alignment horizontal="left" vertical="center" wrapText="1"/>
    </xf>
    <xf numFmtId="0" fontId="38" fillId="0" borderId="2" xfId="0" applyFont="1" applyFill="1" applyBorder="1" applyAlignment="1" applyProtection="1">
      <alignment horizontal="left" vertical="center" wrapText="1"/>
    </xf>
    <xf numFmtId="167" fontId="41" fillId="5" borderId="6" xfId="0" applyNumberFormat="1" applyFont="1" applyFill="1" applyBorder="1" applyAlignment="1" applyProtection="1">
      <alignment horizontal="center" vertical="center" wrapText="1"/>
      <protection locked="0"/>
    </xf>
    <xf numFmtId="0" fontId="38" fillId="4" borderId="2" xfId="0" applyFont="1" applyFill="1" applyBorder="1" applyAlignment="1" applyProtection="1">
      <alignment horizontal="center" vertical="center" wrapText="1"/>
    </xf>
    <xf numFmtId="167" fontId="41" fillId="4" borderId="6" xfId="0" applyNumberFormat="1"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xf>
    <xf numFmtId="0" fontId="17" fillId="0" borderId="3" xfId="0" applyFont="1" applyFill="1" applyBorder="1" applyAlignment="1" applyProtection="1">
      <alignment horizontal="center" vertical="center"/>
    </xf>
    <xf numFmtId="0" fontId="20" fillId="0" borderId="5"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12" fillId="5" borderId="17"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12" fillId="5" borderId="20" xfId="0"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0" fontId="12" fillId="5" borderId="0"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5" borderId="13" xfId="0"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protection locked="0"/>
    </xf>
    <xf numFmtId="0" fontId="12" fillId="5" borderId="19" xfId="0" applyFont="1" applyFill="1" applyBorder="1" applyAlignment="1" applyProtection="1">
      <alignment horizontal="center" vertical="center"/>
      <protection locked="0"/>
    </xf>
    <xf numFmtId="0" fontId="48" fillId="0" borderId="1" xfId="0" applyFont="1" applyBorder="1" applyAlignment="1" applyProtection="1">
      <alignment horizontal="center" vertical="center"/>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1" fontId="19" fillId="5" borderId="6" xfId="0" applyNumberFormat="1" applyFont="1" applyFill="1" applyBorder="1" applyAlignment="1" applyProtection="1">
      <alignment horizontal="center" vertical="center"/>
      <protection locked="0"/>
    </xf>
    <xf numFmtId="1" fontId="19" fillId="5" borderId="15" xfId="0" applyNumberFormat="1" applyFont="1" applyFill="1" applyBorder="1" applyAlignment="1" applyProtection="1">
      <alignment horizontal="center" vertical="center"/>
      <protection locked="0"/>
    </xf>
    <xf numFmtId="0" fontId="13" fillId="0" borderId="0" xfId="0" applyFont="1" applyAlignment="1" applyProtection="1">
      <alignment horizontal="center" vertical="center"/>
    </xf>
    <xf numFmtId="0" fontId="20" fillId="0" borderId="0" xfId="0" applyFont="1" applyBorder="1" applyAlignment="1" applyProtection="1">
      <alignment horizontal="left" vertical="center"/>
    </xf>
    <xf numFmtId="0" fontId="86" fillId="0" borderId="0" xfId="0" applyFont="1" applyFill="1" applyBorder="1" applyAlignment="1" applyProtection="1">
      <alignment horizontal="center" vertical="center"/>
    </xf>
    <xf numFmtId="0" fontId="44" fillId="0" borderId="0" xfId="0" applyFont="1" applyAlignment="1" applyProtection="1">
      <alignment horizontal="center" vertical="center" wrapText="1"/>
    </xf>
    <xf numFmtId="0" fontId="46" fillId="0" borderId="0" xfId="0" applyFont="1" applyAlignment="1" applyProtection="1">
      <alignment horizontal="center" vertical="center"/>
    </xf>
    <xf numFmtId="0" fontId="54" fillId="0" borderId="17" xfId="0" applyFont="1" applyBorder="1" applyAlignment="1" applyProtection="1">
      <alignment horizontal="center" vertical="center" wrapText="1"/>
    </xf>
    <xf numFmtId="0" fontId="54" fillId="0" borderId="5" xfId="0" applyFont="1" applyBorder="1" applyAlignment="1" applyProtection="1">
      <alignment horizontal="center" vertical="center" wrapText="1"/>
    </xf>
    <xf numFmtId="0" fontId="54" fillId="0" borderId="20" xfId="0" applyFont="1" applyBorder="1" applyAlignment="1" applyProtection="1">
      <alignment horizontal="center" vertical="center" wrapText="1"/>
    </xf>
    <xf numFmtId="0" fontId="54" fillId="0" borderId="12" xfId="0" applyFont="1" applyBorder="1" applyAlignment="1" applyProtection="1">
      <alignment horizontal="center" vertical="center" wrapText="1"/>
    </xf>
    <xf numFmtId="0" fontId="54" fillId="0" borderId="0" xfId="0" applyFont="1" applyBorder="1" applyAlignment="1" applyProtection="1">
      <alignment horizontal="center" vertical="center" wrapText="1"/>
    </xf>
    <xf numFmtId="0" fontId="54" fillId="0" borderId="18" xfId="0" applyFont="1" applyBorder="1" applyAlignment="1" applyProtection="1">
      <alignment horizontal="center" vertical="center" wrapText="1"/>
    </xf>
    <xf numFmtId="0" fontId="54" fillId="0" borderId="13" xfId="0" applyFont="1" applyBorder="1" applyAlignment="1" applyProtection="1">
      <alignment horizontal="center" vertical="center" wrapText="1"/>
    </xf>
    <xf numFmtId="0" fontId="54" fillId="0" borderId="4" xfId="0" applyFont="1" applyBorder="1" applyAlignment="1" applyProtection="1">
      <alignment horizontal="center" vertical="center" wrapText="1"/>
    </xf>
    <xf numFmtId="0" fontId="54" fillId="0" borderId="19" xfId="0" applyFont="1" applyBorder="1" applyAlignment="1" applyProtection="1">
      <alignment horizontal="center" vertical="center" wrapText="1"/>
    </xf>
    <xf numFmtId="170" fontId="19" fillId="5" borderId="6" xfId="0" applyNumberFormat="1"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top" wrapText="1"/>
      <protection locked="0"/>
    </xf>
    <xf numFmtId="0" fontId="19" fillId="5" borderId="5" xfId="0" applyFont="1" applyFill="1" applyBorder="1" applyAlignment="1" applyProtection="1">
      <alignment horizontal="center" vertical="top" wrapText="1"/>
      <protection locked="0"/>
    </xf>
    <xf numFmtId="0" fontId="19" fillId="5" borderId="20" xfId="0" applyFont="1" applyFill="1" applyBorder="1" applyAlignment="1" applyProtection="1">
      <alignment horizontal="center" vertical="top" wrapText="1"/>
      <protection locked="0"/>
    </xf>
    <xf numFmtId="0" fontId="19" fillId="5" borderId="12" xfId="0" applyFont="1" applyFill="1" applyBorder="1" applyAlignment="1" applyProtection="1">
      <alignment horizontal="center" vertical="top" wrapText="1"/>
      <protection locked="0"/>
    </xf>
    <xf numFmtId="0" fontId="19" fillId="5" borderId="0" xfId="0" applyFont="1" applyFill="1" applyBorder="1" applyAlignment="1" applyProtection="1">
      <alignment horizontal="center" vertical="top" wrapText="1"/>
      <protection locked="0"/>
    </xf>
    <xf numFmtId="0" fontId="19" fillId="5" borderId="18" xfId="0" applyFont="1" applyFill="1" applyBorder="1" applyAlignment="1" applyProtection="1">
      <alignment horizontal="center" vertical="top" wrapText="1"/>
      <protection locked="0"/>
    </xf>
    <xf numFmtId="0" fontId="19" fillId="5" borderId="13" xfId="0" applyFont="1" applyFill="1" applyBorder="1" applyAlignment="1" applyProtection="1">
      <alignment horizontal="center" vertical="top" wrapText="1"/>
      <protection locked="0"/>
    </xf>
    <xf numFmtId="0" fontId="19" fillId="5" borderId="4" xfId="0" applyFont="1" applyFill="1" applyBorder="1" applyAlignment="1" applyProtection="1">
      <alignment horizontal="center" vertical="top" wrapText="1"/>
      <protection locked="0"/>
    </xf>
    <xf numFmtId="0" fontId="19" fillId="5" borderId="19" xfId="0" applyFont="1" applyFill="1" applyBorder="1" applyAlignment="1" applyProtection="1">
      <alignment horizontal="center" vertical="top" wrapText="1"/>
      <protection locked="0"/>
    </xf>
    <xf numFmtId="0" fontId="26" fillId="0" borderId="0" xfId="0" applyFont="1" applyBorder="1" applyAlignment="1" applyProtection="1">
      <alignment horizontal="center" vertical="center" wrapText="1"/>
    </xf>
    <xf numFmtId="0" fontId="12" fillId="0" borderId="5" xfId="0" applyFont="1" applyFill="1" applyBorder="1" applyAlignment="1" applyProtection="1">
      <alignment horizontal="right" vertical="center" wrapText="1"/>
    </xf>
    <xf numFmtId="0" fontId="12" fillId="0" borderId="0" xfId="0" applyFont="1" applyFill="1" applyAlignment="1" applyProtection="1">
      <alignment horizontal="right" vertical="center" wrapText="1"/>
    </xf>
    <xf numFmtId="0" fontId="36" fillId="3" borderId="1" xfId="0" applyFont="1" applyFill="1" applyBorder="1" applyAlignment="1" applyProtection="1">
      <alignment horizontal="center" vertical="center" wrapText="1"/>
    </xf>
    <xf numFmtId="0" fontId="0" fillId="0" borderId="2" xfId="0" applyBorder="1" applyProtection="1"/>
    <xf numFmtId="0" fontId="25" fillId="0" borderId="17" xfId="0" applyFont="1" applyFill="1" applyBorder="1" applyAlignment="1" applyProtection="1">
      <alignment horizontal="left" vertical="center"/>
    </xf>
    <xf numFmtId="0" fontId="25" fillId="0" borderId="5" xfId="0" applyFont="1" applyFill="1" applyBorder="1" applyAlignment="1" applyProtection="1">
      <alignment horizontal="left" vertical="center"/>
    </xf>
    <xf numFmtId="49" fontId="21" fillId="0" borderId="25" xfId="0" applyNumberFormat="1" applyFont="1" applyBorder="1" applyAlignment="1" applyProtection="1">
      <alignment horizontal="center" vertical="center"/>
    </xf>
    <xf numFmtId="49" fontId="21" fillId="0" borderId="0" xfId="0" applyNumberFormat="1" applyFont="1" applyBorder="1" applyAlignment="1" applyProtection="1">
      <alignment horizontal="center" vertical="center"/>
    </xf>
    <xf numFmtId="49" fontId="21" fillId="0" borderId="18" xfId="0" applyNumberFormat="1" applyFont="1" applyBorder="1" applyAlignment="1" applyProtection="1">
      <alignment horizontal="center" vertical="center"/>
    </xf>
    <xf numFmtId="49" fontId="24" fillId="0" borderId="25" xfId="0" applyNumberFormat="1" applyFont="1" applyBorder="1" applyAlignment="1" applyProtection="1">
      <alignment horizontal="center" vertical="center" wrapText="1"/>
    </xf>
    <xf numFmtId="49" fontId="24" fillId="0" borderId="0" xfId="0" applyNumberFormat="1" applyFont="1" applyBorder="1" applyAlignment="1" applyProtection="1">
      <alignment horizontal="center" vertical="center" wrapText="1"/>
    </xf>
    <xf numFmtId="49" fontId="24" fillId="0" borderId="18" xfId="0" applyNumberFormat="1" applyFont="1" applyBorder="1" applyAlignment="1" applyProtection="1">
      <alignment horizontal="center" vertical="center" wrapText="1"/>
    </xf>
    <xf numFmtId="49" fontId="24" fillId="0" borderId="26" xfId="0" applyNumberFormat="1" applyFont="1" applyBorder="1" applyAlignment="1" applyProtection="1">
      <alignment horizontal="center" vertical="center" wrapText="1"/>
    </xf>
    <xf numFmtId="49" fontId="24" fillId="0" borderId="4" xfId="0" applyNumberFormat="1" applyFont="1" applyBorder="1" applyAlignment="1" applyProtection="1">
      <alignment horizontal="center" vertical="center" wrapText="1"/>
    </xf>
    <xf numFmtId="49" fontId="24" fillId="0" borderId="19" xfId="0" applyNumberFormat="1"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4" xfId="0" applyFont="1" applyBorder="1" applyAlignment="1" applyProtection="1">
      <alignment horizontal="center" vertical="center" wrapText="1"/>
    </xf>
    <xf numFmtId="0" fontId="21" fillId="0" borderId="19" xfId="0" applyFont="1" applyBorder="1" applyAlignment="1" applyProtection="1">
      <alignment horizontal="center" vertical="center" wrapText="1"/>
    </xf>
    <xf numFmtId="0" fontId="21" fillId="0" borderId="17" xfId="0" applyFont="1" applyFill="1" applyBorder="1" applyAlignment="1" applyProtection="1">
      <alignment horizontal="center" vertical="center" textRotation="180" wrapText="1"/>
    </xf>
    <xf numFmtId="0" fontId="21" fillId="0" borderId="12" xfId="0" applyFont="1" applyFill="1" applyBorder="1" applyAlignment="1" applyProtection="1">
      <alignment horizontal="center" vertical="center" textRotation="180" wrapText="1"/>
    </xf>
    <xf numFmtId="0" fontId="21" fillId="0" borderId="13" xfId="0" applyFont="1" applyFill="1" applyBorder="1" applyAlignment="1" applyProtection="1">
      <alignment horizontal="center" vertical="center" textRotation="180" wrapText="1"/>
    </xf>
    <xf numFmtId="0" fontId="35" fillId="0" borderId="5" xfId="0" applyFont="1" applyBorder="1" applyAlignment="1" applyProtection="1">
      <alignment horizontal="center" vertical="center" textRotation="180" wrapText="1"/>
    </xf>
    <xf numFmtId="0" fontId="35" fillId="0" borderId="0" xfId="0" applyFont="1" applyBorder="1" applyAlignment="1" applyProtection="1">
      <alignment horizontal="center" vertical="center" textRotation="180" wrapText="1"/>
    </xf>
    <xf numFmtId="0" fontId="35" fillId="0" borderId="4" xfId="0" applyFont="1" applyBorder="1" applyAlignment="1" applyProtection="1">
      <alignment horizontal="center" vertical="center" textRotation="180" wrapText="1"/>
    </xf>
    <xf numFmtId="0" fontId="21" fillId="0" borderId="20" xfId="0" applyFont="1" applyBorder="1" applyAlignment="1" applyProtection="1">
      <alignment horizontal="center" vertical="center" textRotation="180" wrapText="1"/>
    </xf>
    <xf numFmtId="0" fontId="25" fillId="0" borderId="13" xfId="0" applyFont="1" applyBorder="1" applyAlignment="1" applyProtection="1">
      <alignment horizontal="center" vertical="center" wrapText="1"/>
    </xf>
    <xf numFmtId="0" fontId="25" fillId="0" borderId="4" xfId="0" applyFont="1" applyBorder="1" applyAlignment="1" applyProtection="1">
      <alignment horizontal="center" vertical="center" wrapText="1"/>
    </xf>
    <xf numFmtId="0" fontId="25" fillId="0" borderId="19"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0" fontId="24" fillId="0" borderId="24" xfId="0" applyFont="1" applyBorder="1" applyAlignment="1" applyProtection="1">
      <alignment horizontal="center" vertical="center" wrapText="1"/>
    </xf>
    <xf numFmtId="0" fontId="24" fillId="0" borderId="20" xfId="0" applyFont="1" applyBorder="1" applyAlignment="1" applyProtection="1">
      <alignment horizontal="center" vertical="center" wrapText="1"/>
    </xf>
    <xf numFmtId="1" fontId="19" fillId="5" borderId="1" xfId="0" applyNumberFormat="1" applyFont="1" applyFill="1" applyBorder="1" applyAlignment="1" applyProtection="1">
      <alignment horizontal="center" vertical="center"/>
      <protection locked="0"/>
    </xf>
    <xf numFmtId="1" fontId="19" fillId="5" borderId="3" xfId="0" applyNumberFormat="1" applyFont="1" applyFill="1" applyBorder="1" applyAlignment="1" applyProtection="1">
      <alignment horizontal="center" vertical="center"/>
      <protection locked="0"/>
    </xf>
    <xf numFmtId="0" fontId="17" fillId="0" borderId="0" xfId="0" applyFont="1" applyBorder="1" applyAlignment="1" applyProtection="1">
      <alignment horizontal="center" vertical="center"/>
    </xf>
    <xf numFmtId="1" fontId="19" fillId="5" borderId="2" xfId="0" applyNumberFormat="1" applyFont="1" applyFill="1" applyBorder="1" applyAlignment="1" applyProtection="1">
      <alignment horizontal="center" vertical="center"/>
      <protection locked="0"/>
    </xf>
    <xf numFmtId="0" fontId="17" fillId="0" borderId="0" xfId="0" applyFont="1" applyFill="1" applyAlignment="1" applyProtection="1">
      <alignment horizontal="center" vertical="center"/>
    </xf>
    <xf numFmtId="1" fontId="19" fillId="5" borderId="6" xfId="0" applyNumberFormat="1" applyFont="1" applyFill="1" applyBorder="1" applyProtection="1">
      <protection locked="0"/>
    </xf>
    <xf numFmtId="167" fontId="19" fillId="0" borderId="1" xfId="0" applyNumberFormat="1" applyFont="1" applyFill="1" applyBorder="1" applyAlignment="1" applyProtection="1">
      <alignment horizontal="left" vertical="center" wrapText="1"/>
    </xf>
    <xf numFmtId="167" fontId="19" fillId="0" borderId="2" xfId="0" applyNumberFormat="1" applyFont="1" applyFill="1" applyBorder="1" applyAlignment="1" applyProtection="1">
      <alignment horizontal="left" vertical="center" wrapText="1"/>
    </xf>
    <xf numFmtId="167" fontId="19" fillId="5" borderId="15" xfId="0" applyNumberFormat="1" applyFont="1" applyFill="1" applyBorder="1" applyAlignment="1" applyProtection="1">
      <alignment horizontal="center" vertical="center"/>
      <protection locked="0"/>
    </xf>
    <xf numFmtId="0" fontId="19" fillId="0" borderId="6" xfId="0" applyFont="1" applyBorder="1" applyAlignment="1" applyProtection="1">
      <alignment horizontal="center" vertical="center" wrapText="1"/>
    </xf>
    <xf numFmtId="0" fontId="19" fillId="5" borderId="14"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28" fillId="0" borderId="1" xfId="0" applyFont="1" applyBorder="1" applyAlignment="1" applyProtection="1">
      <alignment horizontal="left" vertical="center" wrapText="1"/>
    </xf>
    <xf numFmtId="0" fontId="28" fillId="0" borderId="2" xfId="0" applyFont="1" applyBorder="1" applyAlignment="1" applyProtection="1">
      <alignment horizontal="left" vertical="center" wrapText="1"/>
    </xf>
    <xf numFmtId="0" fontId="28" fillId="0" borderId="3"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 xfId="0" applyFont="1" applyBorder="1" applyAlignment="1" applyProtection="1">
      <alignment horizontal="center" vertical="center" wrapText="1"/>
    </xf>
    <xf numFmtId="0" fontId="86" fillId="0" borderId="0" xfId="0" applyFont="1" applyBorder="1" applyAlignment="1" applyProtection="1">
      <alignment horizontal="center" vertical="center"/>
    </xf>
    <xf numFmtId="166" fontId="19" fillId="5" borderId="14" xfId="0" applyNumberFormat="1" applyFont="1" applyFill="1" applyBorder="1" applyAlignment="1" applyProtection="1">
      <alignment horizontal="center" vertical="center"/>
      <protection locked="0"/>
    </xf>
    <xf numFmtId="0" fontId="17" fillId="0" borderId="5" xfId="0" applyFont="1" applyBorder="1" applyAlignment="1" applyProtection="1">
      <alignment horizontal="left" vertical="top" wrapText="1"/>
    </xf>
    <xf numFmtId="0" fontId="17" fillId="0" borderId="0" xfId="0" applyFont="1" applyBorder="1" applyAlignment="1" applyProtection="1">
      <alignment horizontal="left" vertical="top" wrapText="1"/>
    </xf>
    <xf numFmtId="166" fontId="19" fillId="5" borderId="15" xfId="0" applyNumberFormat="1" applyFont="1" applyFill="1" applyBorder="1" applyAlignment="1" applyProtection="1">
      <alignment horizontal="center" vertical="center"/>
      <protection locked="0"/>
    </xf>
    <xf numFmtId="0" fontId="12" fillId="0" borderId="4" xfId="0" applyFont="1" applyBorder="1" applyAlignment="1" applyProtection="1">
      <alignment horizontal="right" vertical="center"/>
    </xf>
    <xf numFmtId="0" fontId="12" fillId="0" borderId="19" xfId="0" applyFont="1" applyBorder="1" applyAlignment="1" applyProtection="1">
      <alignment horizontal="right" vertical="center"/>
    </xf>
    <xf numFmtId="0" fontId="89" fillId="0" borderId="0" xfId="0" applyFont="1" applyAlignment="1" applyProtection="1">
      <alignment horizontal="center" vertical="center" wrapText="1"/>
    </xf>
    <xf numFmtId="0" fontId="89" fillId="0" borderId="0" xfId="0" applyFont="1" applyAlignment="1" applyProtection="1">
      <alignment horizontal="center" vertical="center"/>
    </xf>
    <xf numFmtId="0" fontId="17" fillId="0" borderId="1" xfId="0" applyFont="1" applyFill="1" applyBorder="1" applyAlignment="1" applyProtection="1">
      <alignment horizontal="center" vertical="center"/>
    </xf>
    <xf numFmtId="0" fontId="20" fillId="0" borderId="0" xfId="0" applyFont="1" applyBorder="1" applyAlignment="1" applyProtection="1">
      <alignment horizontal="center" vertical="center"/>
    </xf>
    <xf numFmtId="0" fontId="12" fillId="5" borderId="6" xfId="0" applyFont="1" applyFill="1" applyBorder="1" applyAlignment="1" applyProtection="1">
      <alignment horizontal="center" vertical="center" wrapText="1"/>
      <protection locked="0"/>
    </xf>
    <xf numFmtId="0" fontId="20" fillId="5" borderId="17"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0" fontId="20" fillId="5" borderId="20" xfId="0" applyFont="1" applyFill="1" applyBorder="1" applyAlignment="1" applyProtection="1">
      <alignment horizontal="left" vertical="top"/>
      <protection locked="0"/>
    </xf>
    <xf numFmtId="0" fontId="20" fillId="5" borderId="12" xfId="0" applyFont="1" applyFill="1" applyBorder="1" applyAlignment="1" applyProtection="1">
      <alignment horizontal="left" vertical="top"/>
      <protection locked="0"/>
    </xf>
    <xf numFmtId="0" fontId="20" fillId="5" borderId="0" xfId="0" applyFont="1" applyFill="1" applyBorder="1" applyAlignment="1" applyProtection="1">
      <alignment horizontal="left" vertical="top"/>
      <protection locked="0"/>
    </xf>
    <xf numFmtId="0" fontId="20" fillId="5" borderId="18" xfId="0" applyFont="1" applyFill="1" applyBorder="1" applyAlignment="1" applyProtection="1">
      <alignment horizontal="left" vertical="top"/>
      <protection locked="0"/>
    </xf>
    <xf numFmtId="0" fontId="20" fillId="5" borderId="13" xfId="0" applyFont="1" applyFill="1" applyBorder="1" applyAlignment="1" applyProtection="1">
      <alignment horizontal="left" vertical="top"/>
      <protection locked="0"/>
    </xf>
    <xf numFmtId="0" fontId="20" fillId="5" borderId="4" xfId="0" applyFont="1" applyFill="1" applyBorder="1" applyAlignment="1" applyProtection="1">
      <alignment horizontal="left" vertical="top"/>
      <protection locked="0"/>
    </xf>
    <xf numFmtId="0" fontId="20" fillId="5" borderId="19" xfId="0" applyFont="1" applyFill="1" applyBorder="1" applyAlignment="1" applyProtection="1">
      <alignment horizontal="left" vertical="top"/>
      <protection locked="0"/>
    </xf>
    <xf numFmtId="0" fontId="19" fillId="5" borderId="12" xfId="0" applyFont="1" applyFill="1" applyBorder="1" applyAlignment="1" applyProtection="1">
      <alignment horizontal="center" vertical="center"/>
      <protection locked="0"/>
    </xf>
    <xf numFmtId="0" fontId="19" fillId="5" borderId="0" xfId="0" applyFont="1" applyFill="1" applyBorder="1" applyAlignment="1" applyProtection="1">
      <alignment horizontal="center" vertical="center"/>
      <protection locked="0"/>
    </xf>
    <xf numFmtId="0" fontId="19" fillId="5" borderId="18"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xf>
    <xf numFmtId="0" fontId="0" fillId="0" borderId="101" xfId="0" applyFont="1" applyFill="1" applyBorder="1" applyAlignment="1" applyProtection="1">
      <alignment horizontal="center" vertical="center" wrapText="1"/>
    </xf>
    <xf numFmtId="0" fontId="0" fillId="0" borderId="102" xfId="0" applyFont="1" applyFill="1" applyBorder="1" applyAlignment="1" applyProtection="1">
      <alignment horizontal="center" vertical="center" wrapText="1"/>
    </xf>
    <xf numFmtId="0" fontId="0" fillId="0" borderId="103" xfId="0" applyFont="1" applyFill="1" applyBorder="1" applyAlignment="1" applyProtection="1">
      <alignment horizontal="center" vertical="center" wrapText="1"/>
    </xf>
    <xf numFmtId="0" fontId="0" fillId="0" borderId="107" xfId="0" applyFont="1" applyFill="1" applyBorder="1" applyAlignment="1" applyProtection="1">
      <alignment horizontal="center" vertical="center" wrapText="1"/>
    </xf>
    <xf numFmtId="0" fontId="0" fillId="0" borderId="108" xfId="0" applyFont="1" applyFill="1" applyBorder="1" applyAlignment="1" applyProtection="1">
      <alignment horizontal="center" vertical="center" wrapText="1"/>
    </xf>
    <xf numFmtId="0" fontId="0" fillId="0" borderId="109" xfId="0" applyFont="1" applyFill="1" applyBorder="1" applyAlignment="1" applyProtection="1">
      <alignment horizontal="center" vertical="center" wrapText="1"/>
    </xf>
    <xf numFmtId="0" fontId="12" fillId="0" borderId="113"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14" xfId="0" applyFont="1" applyFill="1" applyBorder="1" applyAlignment="1" applyProtection="1">
      <alignment horizontal="center" vertical="center" wrapText="1"/>
    </xf>
    <xf numFmtId="0" fontId="12" fillId="0" borderId="121" xfId="0" applyFont="1" applyFill="1" applyBorder="1" applyAlignment="1" applyProtection="1">
      <alignment horizontal="center" vertical="center" wrapText="1"/>
    </xf>
    <xf numFmtId="0" fontId="12" fillId="0" borderId="122" xfId="0" applyFont="1" applyFill="1" applyBorder="1" applyAlignment="1" applyProtection="1">
      <alignment horizontal="center" vertical="center" wrapText="1"/>
    </xf>
    <xf numFmtId="0" fontId="12" fillId="0" borderId="123" xfId="0" applyFont="1" applyFill="1" applyBorder="1" applyAlignment="1" applyProtection="1">
      <alignment horizontal="center" vertical="center" wrapText="1"/>
    </xf>
    <xf numFmtId="0" fontId="12" fillId="0" borderId="124" xfId="0" applyFont="1" applyFill="1" applyBorder="1" applyAlignment="1" applyProtection="1">
      <alignment horizontal="center" vertical="center" wrapText="1"/>
    </xf>
    <xf numFmtId="0" fontId="12" fillId="0" borderId="125" xfId="0" applyFont="1" applyFill="1" applyBorder="1" applyAlignment="1" applyProtection="1">
      <alignment horizontal="center" vertical="center" wrapText="1"/>
    </xf>
    <xf numFmtId="0" fontId="12" fillId="0" borderId="118" xfId="0" applyFont="1" applyFill="1" applyBorder="1" applyAlignment="1" applyProtection="1">
      <alignment horizontal="center" vertical="center" wrapText="1"/>
    </xf>
    <xf numFmtId="0" fontId="12" fillId="0" borderId="119" xfId="0" applyFont="1" applyFill="1" applyBorder="1" applyAlignment="1" applyProtection="1">
      <alignment horizontal="center" vertical="center" wrapText="1"/>
    </xf>
    <xf numFmtId="0" fontId="12" fillId="0" borderId="120" xfId="0" applyFont="1" applyFill="1" applyBorder="1" applyAlignment="1" applyProtection="1">
      <alignment horizontal="center" vertical="center" wrapText="1"/>
    </xf>
    <xf numFmtId="0" fontId="71" fillId="2" borderId="85" xfId="0" applyFont="1" applyFill="1" applyBorder="1" applyAlignment="1" applyProtection="1">
      <alignment horizontal="left" vertical="center" wrapText="1"/>
    </xf>
    <xf numFmtId="0" fontId="71" fillId="2" borderId="86" xfId="0" applyFont="1" applyFill="1" applyBorder="1" applyAlignment="1" applyProtection="1">
      <alignment horizontal="left" vertical="center" wrapText="1"/>
    </xf>
    <xf numFmtId="0" fontId="71" fillId="2" borderId="87" xfId="0" applyFont="1" applyFill="1" applyBorder="1" applyAlignment="1" applyProtection="1">
      <alignment horizontal="left" vertical="center" wrapText="1"/>
    </xf>
    <xf numFmtId="0" fontId="71" fillId="2" borderId="90" xfId="0" applyFont="1" applyFill="1" applyBorder="1" applyAlignment="1" applyProtection="1">
      <alignment horizontal="left" vertical="center" wrapText="1"/>
    </xf>
    <xf numFmtId="0" fontId="71" fillId="2" borderId="91" xfId="0" applyFont="1" applyFill="1" applyBorder="1" applyAlignment="1" applyProtection="1">
      <alignment horizontal="left" vertical="center" wrapText="1"/>
    </xf>
    <xf numFmtId="0" fontId="71" fillId="2" borderId="92" xfId="0" applyFont="1" applyFill="1" applyBorder="1" applyAlignment="1" applyProtection="1">
      <alignment horizontal="left" vertical="center" wrapText="1"/>
    </xf>
    <xf numFmtId="0" fontId="71" fillId="9" borderId="85" xfId="0" applyFont="1" applyFill="1" applyBorder="1" applyAlignment="1" applyProtection="1">
      <alignment horizontal="left" vertical="center" wrapText="1"/>
    </xf>
    <xf numFmtId="0" fontId="71" fillId="9" borderId="86" xfId="0" applyFont="1" applyFill="1" applyBorder="1" applyAlignment="1" applyProtection="1">
      <alignment horizontal="left" vertical="center" wrapText="1"/>
    </xf>
    <xf numFmtId="0" fontId="71" fillId="9" borderId="87" xfId="0" applyFont="1" applyFill="1" applyBorder="1" applyAlignment="1" applyProtection="1">
      <alignment horizontal="left" vertical="center" wrapText="1"/>
    </xf>
    <xf numFmtId="0" fontId="71" fillId="9" borderId="90" xfId="0" applyFont="1" applyFill="1" applyBorder="1" applyAlignment="1" applyProtection="1">
      <alignment horizontal="left" vertical="center" wrapText="1"/>
    </xf>
    <xf numFmtId="0" fontId="71" fillId="9" borderId="91" xfId="0" applyFont="1" applyFill="1" applyBorder="1" applyAlignment="1" applyProtection="1">
      <alignment horizontal="left" vertical="center" wrapText="1"/>
    </xf>
    <xf numFmtId="0" fontId="71" fillId="9" borderId="92" xfId="0" applyFont="1" applyFill="1" applyBorder="1" applyAlignment="1" applyProtection="1">
      <alignment horizontal="left" vertical="center" wrapText="1"/>
    </xf>
    <xf numFmtId="0" fontId="12" fillId="0" borderId="63" xfId="0" applyFont="1" applyFill="1" applyBorder="1" applyAlignment="1" applyProtection="1">
      <alignment horizontal="center" vertical="center" wrapText="1"/>
    </xf>
    <xf numFmtId="0" fontId="12" fillId="0" borderId="64" xfId="0" applyFont="1" applyFill="1" applyBorder="1" applyAlignment="1" applyProtection="1">
      <alignment horizontal="center" vertical="center" wrapText="1"/>
    </xf>
    <xf numFmtId="0" fontId="12" fillId="0" borderId="65" xfId="0" applyFont="1" applyFill="1" applyBorder="1" applyAlignment="1" applyProtection="1">
      <alignment horizontal="center" vertical="center" wrapText="1"/>
    </xf>
    <xf numFmtId="0" fontId="12" fillId="0" borderId="66" xfId="0" applyFont="1" applyFill="1" applyBorder="1" applyAlignment="1" applyProtection="1">
      <alignment horizontal="center" vertical="center" wrapText="1"/>
    </xf>
    <xf numFmtId="0" fontId="12" fillId="0" borderId="67" xfId="0" applyFont="1" applyFill="1" applyBorder="1" applyAlignment="1" applyProtection="1">
      <alignment horizontal="center" vertical="center" wrapText="1"/>
    </xf>
    <xf numFmtId="0" fontId="12" fillId="0" borderId="115" xfId="0" applyFont="1" applyFill="1" applyBorder="1" applyAlignment="1" applyProtection="1">
      <alignment horizontal="center" vertical="center" wrapText="1"/>
    </xf>
    <xf numFmtId="0" fontId="12" fillId="0" borderId="116" xfId="0" applyFont="1" applyFill="1" applyBorder="1" applyAlignment="1" applyProtection="1">
      <alignment horizontal="center" vertical="center" wrapText="1"/>
    </xf>
    <xf numFmtId="0" fontId="12" fillId="0" borderId="117" xfId="0" applyFont="1" applyFill="1" applyBorder="1" applyAlignment="1" applyProtection="1">
      <alignment horizontal="center" vertical="center" wrapText="1"/>
    </xf>
    <xf numFmtId="0" fontId="12" fillId="0" borderId="110" xfId="0" applyFont="1" applyFill="1" applyBorder="1" applyAlignment="1" applyProtection="1">
      <alignment horizontal="center" vertical="center" wrapText="1"/>
    </xf>
    <xf numFmtId="0" fontId="12" fillId="0" borderId="111" xfId="0" applyFont="1" applyFill="1" applyBorder="1" applyAlignment="1" applyProtection="1">
      <alignment horizontal="center" vertical="center" wrapText="1"/>
    </xf>
    <xf numFmtId="0" fontId="12" fillId="0" borderId="112"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wrapText="1"/>
    </xf>
    <xf numFmtId="0" fontId="71" fillId="2" borderId="87"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89" xfId="0" applyFont="1" applyFill="1" applyBorder="1" applyAlignment="1" applyProtection="1">
      <alignment horizontal="center" vertical="center" wrapText="1"/>
    </xf>
    <xf numFmtId="0" fontId="71" fillId="2" borderId="90" xfId="0" applyFont="1" applyFill="1" applyBorder="1" applyAlignment="1" applyProtection="1">
      <alignment horizontal="center" vertical="center" wrapText="1"/>
    </xf>
    <xf numFmtId="0" fontId="71" fillId="2" borderId="91"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51" fillId="0" borderId="95" xfId="0" applyFont="1" applyFill="1" applyBorder="1" applyAlignment="1" applyProtection="1">
      <alignment horizontal="center" vertical="center" wrapText="1"/>
    </xf>
    <xf numFmtId="0" fontId="51" fillId="0" borderId="96" xfId="0" applyFont="1" applyFill="1" applyBorder="1" applyAlignment="1" applyProtection="1">
      <alignment horizontal="center" vertical="center" wrapText="1"/>
    </xf>
    <xf numFmtId="0" fontId="12" fillId="0" borderId="60" xfId="0" applyFont="1" applyFill="1" applyBorder="1" applyAlignment="1" applyProtection="1">
      <alignment horizontal="center" vertical="center" wrapText="1"/>
    </xf>
    <xf numFmtId="0" fontId="12" fillId="0" borderId="61" xfId="0" applyFont="1" applyFill="1" applyBorder="1" applyAlignment="1" applyProtection="1">
      <alignment horizontal="center" vertical="center" wrapText="1"/>
    </xf>
    <xf numFmtId="0" fontId="12" fillId="0" borderId="62" xfId="0" applyFont="1" applyFill="1" applyBorder="1" applyAlignment="1" applyProtection="1">
      <alignment horizontal="center" vertical="center" wrapText="1"/>
    </xf>
    <xf numFmtId="0" fontId="19" fillId="0" borderId="93" xfId="0" applyFont="1" applyFill="1" applyBorder="1" applyAlignment="1" applyProtection="1">
      <alignment horizontal="center" vertical="center" wrapText="1"/>
    </xf>
    <xf numFmtId="0" fontId="19" fillId="0" borderId="94" xfId="0" applyFont="1" applyFill="1" applyBorder="1" applyAlignment="1" applyProtection="1">
      <alignment horizontal="center" vertical="center" wrapText="1"/>
    </xf>
    <xf numFmtId="0" fontId="71" fillId="9" borderId="88" xfId="0" applyFont="1" applyFill="1" applyBorder="1" applyAlignment="1" applyProtection="1">
      <alignment horizontal="center" vertical="center" wrapText="1"/>
    </xf>
    <xf numFmtId="0" fontId="71" fillId="9" borderId="0" xfId="0" applyFont="1" applyFill="1" applyBorder="1" applyAlignment="1" applyProtection="1">
      <alignment horizontal="center" vertical="center" wrapText="1"/>
    </xf>
    <xf numFmtId="0" fontId="71" fillId="9" borderId="89" xfId="0" applyFont="1" applyFill="1" applyBorder="1" applyAlignment="1" applyProtection="1">
      <alignment horizontal="center" vertical="center" wrapText="1"/>
    </xf>
    <xf numFmtId="0" fontId="71" fillId="9" borderId="90" xfId="0" applyFont="1" applyFill="1" applyBorder="1" applyAlignment="1" applyProtection="1">
      <alignment horizontal="center" vertical="center" wrapText="1"/>
    </xf>
    <xf numFmtId="0" fontId="71" fillId="9" borderId="91" xfId="0" applyFont="1" applyFill="1" applyBorder="1" applyAlignment="1" applyProtection="1">
      <alignment horizontal="center" vertical="center" wrapText="1"/>
    </xf>
    <xf numFmtId="0" fontId="71" fillId="9" borderId="92"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xf>
    <xf numFmtId="0" fontId="68" fillId="0" borderId="9"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68" fillId="0" borderId="11" xfId="0" applyFont="1" applyFill="1" applyBorder="1" applyAlignment="1" applyProtection="1">
      <alignment horizontal="center" vertical="center" wrapText="1"/>
    </xf>
    <xf numFmtId="0" fontId="68" fillId="0" borderId="22" xfId="0" applyFont="1" applyFill="1" applyBorder="1" applyAlignment="1" applyProtection="1">
      <alignment horizontal="center" vertical="center" wrapText="1"/>
    </xf>
    <xf numFmtId="0" fontId="68" fillId="0" borderId="21" xfId="0" applyFont="1" applyFill="1" applyBorder="1" applyAlignment="1" applyProtection="1">
      <alignment horizontal="center" vertical="center" wrapText="1"/>
    </xf>
    <xf numFmtId="0" fontId="68" fillId="0" borderId="23" xfId="0"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0" fontId="12" fillId="0" borderId="1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wrapText="1"/>
    </xf>
    <xf numFmtId="0" fontId="12" fillId="0" borderId="21" xfId="0" applyFont="1" applyFill="1" applyBorder="1" applyAlignment="1" applyProtection="1">
      <alignment horizontal="center" vertical="center" wrapText="1"/>
    </xf>
    <xf numFmtId="0" fontId="12" fillId="0" borderId="23" xfId="0" applyFont="1" applyFill="1" applyBorder="1" applyAlignment="1" applyProtection="1">
      <alignment horizontal="center" vertical="center" wrapText="1"/>
    </xf>
    <xf numFmtId="20" fontId="88" fillId="3" borderId="0" xfId="0" applyNumberFormat="1" applyFont="1" applyFill="1" applyBorder="1" applyAlignment="1" applyProtection="1">
      <alignment horizontal="center" vertical="center" wrapText="1"/>
    </xf>
    <xf numFmtId="0" fontId="71" fillId="7" borderId="85" xfId="0" applyFont="1" applyFill="1" applyBorder="1" applyAlignment="1" applyProtection="1">
      <alignment horizontal="left" vertical="center" wrapText="1"/>
    </xf>
    <xf numFmtId="0" fontId="71" fillId="7" borderId="86" xfId="0" applyFont="1" applyFill="1" applyBorder="1" applyAlignment="1" applyProtection="1">
      <alignment horizontal="left" vertical="center" wrapText="1"/>
    </xf>
    <xf numFmtId="0" fontId="71" fillId="7" borderId="87" xfId="0" applyFont="1" applyFill="1" applyBorder="1" applyAlignment="1" applyProtection="1">
      <alignment horizontal="left" vertical="center" wrapText="1"/>
    </xf>
    <xf numFmtId="0" fontId="71" fillId="7" borderId="90" xfId="0" applyFont="1" applyFill="1" applyBorder="1" applyAlignment="1" applyProtection="1">
      <alignment horizontal="left" vertical="center" wrapText="1"/>
    </xf>
    <xf numFmtId="0" fontId="71" fillId="7" borderId="91" xfId="0" applyFont="1" applyFill="1" applyBorder="1" applyAlignment="1" applyProtection="1">
      <alignment horizontal="left" vertical="center" wrapText="1"/>
    </xf>
    <xf numFmtId="0" fontId="71" fillId="7" borderId="92" xfId="0" applyFont="1" applyFill="1" applyBorder="1" applyAlignment="1" applyProtection="1">
      <alignment horizontal="left" vertical="center" wrapText="1"/>
    </xf>
    <xf numFmtId="0" fontId="70" fillId="0" borderId="0" xfId="0" applyFont="1" applyFill="1" applyAlignment="1" applyProtection="1">
      <alignment horizontal="center" vertical="center" wrapText="1"/>
    </xf>
    <xf numFmtId="167" fontId="74" fillId="5" borderId="82" xfId="0" applyNumberFormat="1" applyFont="1" applyFill="1" applyBorder="1" applyAlignment="1" applyProtection="1">
      <alignment horizontal="center" vertical="center"/>
      <protection locked="0"/>
    </xf>
    <xf numFmtId="167" fontId="74" fillId="5" borderId="83" xfId="0" applyNumberFormat="1" applyFont="1" applyFill="1" applyBorder="1" applyAlignment="1" applyProtection="1">
      <alignment horizontal="center" vertical="center"/>
      <protection locked="0"/>
    </xf>
    <xf numFmtId="167" fontId="74" fillId="5" borderId="84" xfId="0" applyNumberFormat="1" applyFont="1" applyFill="1" applyBorder="1" applyAlignment="1" applyProtection="1">
      <alignment horizontal="center" vertical="center"/>
      <protection locked="0"/>
    </xf>
    <xf numFmtId="0" fontId="74" fillId="0" borderId="0" xfId="0" applyFont="1" applyFill="1" applyAlignment="1" applyProtection="1">
      <alignment horizontal="center" vertical="center"/>
    </xf>
    <xf numFmtId="167" fontId="43" fillId="5" borderId="79" xfId="0" applyNumberFormat="1" applyFont="1" applyFill="1" applyBorder="1" applyAlignment="1" applyProtection="1">
      <alignment horizontal="center" vertical="center"/>
      <protection locked="0"/>
    </xf>
    <xf numFmtId="0" fontId="18" fillId="0" borderId="88" xfId="0" applyFont="1" applyFill="1" applyBorder="1" applyAlignment="1" applyProtection="1">
      <alignment horizontal="center" vertical="center"/>
    </xf>
    <xf numFmtId="0" fontId="17" fillId="0" borderId="10"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22"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64" fillId="0" borderId="7"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xf>
    <xf numFmtId="0" fontId="64" fillId="0" borderId="9"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xf>
    <xf numFmtId="0" fontId="64" fillId="0" borderId="22"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64" fillId="0" borderId="23" xfId="0" applyFont="1" applyFill="1" applyBorder="1" applyAlignment="1" applyProtection="1">
      <alignment horizontal="center" vertical="center" wrapText="1"/>
    </xf>
    <xf numFmtId="0" fontId="38" fillId="0" borderId="80"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65" fillId="0" borderId="0" xfId="0" applyFont="1" applyFill="1" applyAlignment="1" applyProtection="1">
      <alignment horizontal="center" vertical="center" wrapText="1"/>
    </xf>
    <xf numFmtId="0" fontId="51" fillId="0" borderId="126" xfId="0" applyFont="1" applyFill="1" applyBorder="1" applyAlignment="1" applyProtection="1">
      <alignment horizontal="center" vertical="center" wrapText="1"/>
    </xf>
    <xf numFmtId="0" fontId="19" fillId="0" borderId="127" xfId="0" applyFont="1" applyFill="1" applyBorder="1" applyAlignment="1" applyProtection="1">
      <alignment horizontal="center" vertical="center" wrapText="1"/>
    </xf>
    <xf numFmtId="0" fontId="0" fillId="0" borderId="8" xfId="0" applyFont="1" applyFill="1" applyBorder="1" applyAlignment="1" applyProtection="1">
      <alignment horizontal="left" vertical="center"/>
    </xf>
    <xf numFmtId="0" fontId="0" fillId="0" borderId="0" xfId="0" applyFont="1" applyFill="1" applyBorder="1" applyAlignment="1" applyProtection="1">
      <alignment horizontal="left" vertical="center"/>
    </xf>
    <xf numFmtId="0" fontId="18" fillId="0" borderId="0"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xf>
    <xf numFmtId="0" fontId="0" fillId="0" borderId="0"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71" fillId="7" borderId="88" xfId="0"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xf>
    <xf numFmtId="0" fontId="71" fillId="7" borderId="89" xfId="0" applyFont="1" applyFill="1" applyBorder="1" applyAlignment="1" applyProtection="1">
      <alignment horizontal="center" vertical="center" wrapText="1"/>
    </xf>
    <xf numFmtId="0" fontId="71" fillId="7" borderId="85" xfId="0" applyFont="1" applyFill="1" applyBorder="1" applyAlignment="1" applyProtection="1">
      <alignment horizontal="center" vertical="center" wrapText="1"/>
    </xf>
    <xf numFmtId="0" fontId="71" fillId="7" borderId="86" xfId="0" applyFont="1" applyFill="1" applyBorder="1" applyAlignment="1" applyProtection="1">
      <alignment horizontal="center" vertical="center" wrapText="1"/>
    </xf>
    <xf numFmtId="0" fontId="71" fillId="7" borderId="87" xfId="0" applyFont="1" applyFill="1" applyBorder="1" applyAlignment="1" applyProtection="1">
      <alignment horizontal="center" vertical="center" wrapText="1"/>
    </xf>
    <xf numFmtId="0" fontId="71" fillId="7" borderId="90" xfId="0" applyFont="1" applyFill="1" applyBorder="1" applyAlignment="1" applyProtection="1">
      <alignment horizontal="center" vertical="center" wrapText="1"/>
    </xf>
    <xf numFmtId="0" fontId="71" fillId="7" borderId="91" xfId="0" applyFont="1" applyFill="1" applyBorder="1" applyAlignment="1" applyProtection="1">
      <alignment horizontal="center" vertical="center" wrapText="1"/>
    </xf>
    <xf numFmtId="0" fontId="71" fillId="7" borderId="92"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12" fillId="0" borderId="0" xfId="0" applyFont="1" applyFill="1" applyBorder="1" applyAlignment="1" applyProtection="1">
      <alignment horizontal="center" wrapText="1"/>
    </xf>
    <xf numFmtId="0" fontId="18" fillId="0" borderId="0" xfId="0" applyFont="1" applyFill="1" applyBorder="1" applyAlignment="1" applyProtection="1">
      <alignment horizontal="center" vertical="top" wrapText="1"/>
    </xf>
    <xf numFmtId="0" fontId="57" fillId="0" borderId="0" xfId="0" applyFont="1" applyFill="1" applyBorder="1" applyAlignment="1" applyProtection="1">
      <alignment horizontal="center" vertical="center" wrapText="1"/>
    </xf>
    <xf numFmtId="167" fontId="12"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1" fontId="0" fillId="0" borderId="8" xfId="0" applyNumberFormat="1" applyFont="1" applyFill="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1" fontId="12" fillId="0" borderId="0"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xf>
    <xf numFmtId="0" fontId="57" fillId="0" borderId="0" xfId="0" applyFont="1" applyFill="1" applyBorder="1" applyAlignment="1" applyProtection="1">
      <alignment horizontal="center" vertical="top" wrapText="1"/>
    </xf>
    <xf numFmtId="0" fontId="12" fillId="0" borderId="8" xfId="0" applyFont="1" applyFill="1" applyBorder="1" applyAlignment="1" applyProtection="1">
      <alignment horizontal="center" wrapText="1"/>
    </xf>
    <xf numFmtId="0" fontId="18" fillId="0" borderId="21" xfId="0" applyFont="1" applyFill="1" applyBorder="1" applyAlignment="1" applyProtection="1">
      <alignment horizontal="center" vertical="top" wrapText="1"/>
    </xf>
    <xf numFmtId="0" fontId="65" fillId="0" borderId="81" xfId="0"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0" fillId="0" borderId="0" xfId="0" applyFont="1" applyFill="1" applyAlignment="1" applyProtection="1">
      <alignment horizontal="left" vertical="center"/>
    </xf>
    <xf numFmtId="0" fontId="0" fillId="0" borderId="0" xfId="0" applyAlignment="1" applyProtection="1">
      <alignment horizontal="left" vertical="center"/>
    </xf>
    <xf numFmtId="168" fontId="0" fillId="0" borderId="0" xfId="0" applyNumberFormat="1" applyFont="1" applyFill="1" applyBorder="1" applyAlignment="1" applyProtection="1">
      <alignment horizontal="center" vertical="center"/>
    </xf>
    <xf numFmtId="0" fontId="65" fillId="0" borderId="0" xfId="0" applyFont="1" applyFill="1" applyAlignment="1" applyProtection="1">
      <alignment horizontal="center" vertical="center"/>
    </xf>
    <xf numFmtId="0" fontId="70" fillId="0" borderId="0" xfId="0" applyFont="1" applyFill="1" applyAlignment="1" applyProtection="1">
      <alignment horizontal="center" vertical="center"/>
    </xf>
    <xf numFmtId="0" fontId="39" fillId="2" borderId="97" xfId="0" applyFont="1" applyFill="1" applyBorder="1" applyAlignment="1" applyProtection="1">
      <alignment horizontal="center" vertical="center" textRotation="90" wrapText="1"/>
    </xf>
    <xf numFmtId="0" fontId="39" fillId="2" borderId="98" xfId="0" applyFont="1" applyFill="1" applyBorder="1" applyAlignment="1" applyProtection="1">
      <alignment horizontal="center" vertical="center" textRotation="90" wrapText="1"/>
    </xf>
    <xf numFmtId="0" fontId="39" fillId="2" borderId="99" xfId="0" applyFont="1" applyFill="1" applyBorder="1" applyAlignment="1" applyProtection="1">
      <alignment horizontal="center" vertical="center" textRotation="90" wrapText="1"/>
    </xf>
    <xf numFmtId="0" fontId="11"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8" fillId="0" borderId="72" xfId="0" applyFont="1" applyFill="1" applyBorder="1" applyAlignment="1" applyProtection="1">
      <alignment horizontal="center" vertical="center" wrapText="1"/>
    </xf>
    <xf numFmtId="0" fontId="48" fillId="0" borderId="8"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48" fillId="0" borderId="21" xfId="0" applyFont="1" applyFill="1" applyBorder="1" applyAlignment="1" applyProtection="1">
      <alignment horizontal="center" vertical="center" wrapText="1"/>
    </xf>
    <xf numFmtId="0" fontId="39" fillId="9" borderId="97" xfId="0" applyFont="1" applyFill="1" applyBorder="1" applyAlignment="1" applyProtection="1">
      <alignment horizontal="center" vertical="center" textRotation="90" wrapText="1"/>
    </xf>
    <xf numFmtId="0" fontId="39" fillId="9" borderId="98" xfId="0" applyFont="1" applyFill="1" applyBorder="1" applyAlignment="1" applyProtection="1">
      <alignment horizontal="center" vertical="center" textRotation="90" wrapText="1"/>
    </xf>
    <xf numFmtId="0" fontId="39" fillId="9" borderId="99" xfId="0" applyFont="1" applyFill="1" applyBorder="1" applyAlignment="1" applyProtection="1">
      <alignment horizontal="center" vertical="center" textRotation="90" wrapText="1"/>
    </xf>
    <xf numFmtId="0" fontId="76" fillId="17" borderId="97" xfId="0" applyFont="1" applyFill="1" applyBorder="1" applyAlignment="1" applyProtection="1">
      <alignment horizontal="center" vertical="center" textRotation="90" wrapText="1"/>
    </xf>
    <xf numFmtId="0" fontId="76" fillId="17" borderId="98" xfId="0" applyFont="1" applyFill="1" applyBorder="1" applyAlignment="1" applyProtection="1">
      <alignment horizontal="center" vertical="center" textRotation="90" wrapText="1"/>
    </xf>
    <xf numFmtId="0" fontId="76" fillId="17" borderId="99" xfId="0" applyFont="1" applyFill="1" applyBorder="1" applyAlignment="1" applyProtection="1">
      <alignment horizontal="center" vertical="center" textRotation="90" wrapText="1"/>
    </xf>
    <xf numFmtId="0" fontId="39" fillId="17" borderId="97" xfId="0" applyFont="1" applyFill="1" applyBorder="1" applyAlignment="1" applyProtection="1">
      <alignment horizontal="center" vertical="center" textRotation="90" wrapText="1"/>
    </xf>
    <xf numFmtId="0" fontId="39" fillId="17" borderId="98" xfId="0" applyFont="1" applyFill="1" applyBorder="1" applyAlignment="1" applyProtection="1">
      <alignment horizontal="center" vertical="center" textRotation="90" wrapText="1"/>
    </xf>
    <xf numFmtId="0" fontId="39" fillId="17" borderId="99" xfId="0" applyFont="1" applyFill="1" applyBorder="1" applyAlignment="1" applyProtection="1">
      <alignment horizontal="center" vertical="center" textRotation="90" wrapText="1"/>
    </xf>
    <xf numFmtId="0" fontId="76" fillId="17" borderId="87" xfId="0" applyFont="1" applyFill="1" applyBorder="1" applyAlignment="1" applyProtection="1">
      <alignment horizontal="center" vertical="center" textRotation="90" wrapText="1"/>
    </xf>
    <xf numFmtId="0" fontId="76" fillId="17" borderId="89" xfId="0" applyFont="1" applyFill="1" applyBorder="1" applyAlignment="1" applyProtection="1">
      <alignment horizontal="center" vertical="center" textRotation="90" wrapText="1"/>
    </xf>
    <xf numFmtId="0" fontId="76" fillId="17" borderId="104" xfId="0" applyFont="1" applyFill="1" applyBorder="1" applyAlignment="1" applyProtection="1">
      <alignment horizontal="center" vertical="center" textRotation="90" wrapText="1"/>
    </xf>
    <xf numFmtId="0" fontId="78" fillId="0" borderId="8" xfId="0" applyFont="1" applyBorder="1" applyAlignment="1" applyProtection="1">
      <alignment horizontal="center" vertical="center" wrapText="1"/>
    </xf>
    <xf numFmtId="0" fontId="0" fillId="0" borderId="88" xfId="0" applyFont="1" applyFill="1" applyBorder="1" applyAlignment="1" applyProtection="1">
      <alignment horizontal="center" vertical="center" wrapText="1"/>
    </xf>
    <xf numFmtId="0" fontId="0" fillId="0" borderId="89" xfId="0" applyFont="1" applyFill="1" applyBorder="1" applyAlignment="1" applyProtection="1">
      <alignment horizontal="center" vertical="center" wrapText="1"/>
    </xf>
    <xf numFmtId="0" fontId="0" fillId="0" borderId="85" xfId="0" applyFont="1" applyFill="1" applyBorder="1" applyAlignment="1" applyProtection="1">
      <alignment horizontal="center" vertical="center" wrapText="1"/>
    </xf>
    <xf numFmtId="0" fontId="0" fillId="0" borderId="86" xfId="0" applyFont="1" applyFill="1" applyBorder="1" applyAlignment="1" applyProtection="1">
      <alignment horizontal="center" vertical="center" wrapText="1"/>
    </xf>
    <xf numFmtId="0" fontId="0" fillId="0" borderId="87" xfId="0" applyFont="1" applyFill="1" applyBorder="1" applyAlignment="1" applyProtection="1">
      <alignment horizontal="center" vertical="center" wrapText="1"/>
    </xf>
    <xf numFmtId="0" fontId="0" fillId="0" borderId="105" xfId="0" applyFont="1"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104" xfId="0" applyFont="1" applyFill="1" applyBorder="1" applyAlignment="1" applyProtection="1">
      <alignment horizontal="center" vertical="center" wrapText="1"/>
    </xf>
    <xf numFmtId="0" fontId="18" fillId="0" borderId="101" xfId="0" applyFont="1" applyFill="1" applyBorder="1" applyAlignment="1" applyProtection="1">
      <alignment horizontal="center" vertical="center" wrapText="1"/>
    </xf>
    <xf numFmtId="0" fontId="18" fillId="0" borderId="102" xfId="0" applyFont="1" applyFill="1" applyBorder="1" applyAlignment="1" applyProtection="1">
      <alignment horizontal="center" vertical="center" wrapText="1"/>
    </xf>
    <xf numFmtId="0" fontId="18" fillId="0" borderId="103" xfId="0" applyFont="1" applyFill="1" applyBorder="1" applyAlignment="1" applyProtection="1">
      <alignment horizontal="center" vertical="center" wrapText="1"/>
    </xf>
    <xf numFmtId="166" fontId="39" fillId="9" borderId="156" xfId="0" applyNumberFormat="1" applyFont="1" applyFill="1" applyBorder="1" applyAlignment="1" applyProtection="1">
      <alignment horizontal="center" vertical="center" wrapText="1"/>
    </xf>
    <xf numFmtId="166" fontId="39" fillId="9" borderId="98" xfId="0" applyNumberFormat="1" applyFont="1" applyFill="1" applyBorder="1" applyAlignment="1" applyProtection="1">
      <alignment horizontal="center" vertical="center" wrapText="1"/>
    </xf>
    <xf numFmtId="166" fontId="39" fillId="9" borderId="99" xfId="0" applyNumberFormat="1" applyFont="1" applyFill="1" applyBorder="1" applyAlignment="1" applyProtection="1">
      <alignment horizontal="center" vertical="center" wrapText="1"/>
    </xf>
    <xf numFmtId="166" fontId="39" fillId="2" borderId="156" xfId="0" applyNumberFormat="1" applyFont="1" applyFill="1" applyBorder="1" applyAlignment="1" applyProtection="1">
      <alignment horizontal="center" vertical="center" wrapText="1"/>
    </xf>
    <xf numFmtId="166" fontId="39" fillId="2" borderId="98" xfId="0" applyNumberFormat="1" applyFont="1" applyFill="1" applyBorder="1" applyAlignment="1" applyProtection="1">
      <alignment horizontal="center" vertical="center" wrapText="1"/>
    </xf>
    <xf numFmtId="166" fontId="39" fillId="2" borderId="99" xfId="0" applyNumberFormat="1" applyFont="1" applyFill="1" applyBorder="1" applyAlignment="1" applyProtection="1">
      <alignment horizontal="center" vertical="center" wrapText="1"/>
    </xf>
    <xf numFmtId="166" fontId="39" fillId="0" borderId="156" xfId="0" applyNumberFormat="1" applyFont="1" applyFill="1" applyBorder="1" applyAlignment="1" applyProtection="1">
      <alignment horizontal="center" vertical="center" wrapText="1"/>
    </xf>
    <xf numFmtId="166" fontId="39" fillId="0" borderId="98" xfId="0" applyNumberFormat="1" applyFont="1" applyFill="1" applyBorder="1" applyAlignment="1" applyProtection="1">
      <alignment horizontal="center" vertical="center" wrapText="1"/>
    </xf>
    <xf numFmtId="166" fontId="39" fillId="0" borderId="99" xfId="0" applyNumberFormat="1" applyFont="1" applyFill="1" applyBorder="1" applyAlignment="1" applyProtection="1">
      <alignment horizontal="center" vertical="center" wrapText="1"/>
    </xf>
    <xf numFmtId="166" fontId="39" fillId="17" borderId="156" xfId="0" applyNumberFormat="1" applyFont="1" applyFill="1" applyBorder="1" applyAlignment="1" applyProtection="1">
      <alignment horizontal="center" vertical="center" wrapText="1"/>
    </xf>
    <xf numFmtId="166" fontId="39" fillId="17" borderId="98" xfId="0" applyNumberFormat="1" applyFont="1" applyFill="1" applyBorder="1" applyAlignment="1" applyProtection="1">
      <alignment horizontal="center" vertical="center" wrapText="1"/>
    </xf>
    <xf numFmtId="166" fontId="39" fillId="17" borderId="149" xfId="0" applyNumberFormat="1" applyFont="1" applyFill="1" applyBorder="1" applyAlignment="1" applyProtection="1">
      <alignment horizontal="center" vertical="center" wrapText="1"/>
    </xf>
    <xf numFmtId="166" fontId="39" fillId="17" borderId="99" xfId="0" applyNumberFormat="1" applyFont="1" applyFill="1" applyBorder="1" applyAlignment="1" applyProtection="1">
      <alignment horizontal="center" vertical="center" wrapText="1"/>
    </xf>
    <xf numFmtId="166" fontId="39" fillId="2" borderId="149" xfId="0" applyNumberFormat="1" applyFont="1" applyFill="1" applyBorder="1" applyAlignment="1" applyProtection="1">
      <alignment horizontal="center" vertical="center" wrapText="1"/>
    </xf>
    <xf numFmtId="166" fontId="39" fillId="0" borderId="149" xfId="0" applyNumberFormat="1" applyFont="1" applyFill="1" applyBorder="1" applyAlignment="1" applyProtection="1">
      <alignment horizontal="center" vertical="center" wrapText="1"/>
    </xf>
    <xf numFmtId="0" fontId="0" fillId="0" borderId="156" xfId="0" applyFont="1" applyFill="1" applyBorder="1" applyAlignment="1" applyProtection="1">
      <alignment horizontal="center" vertical="center" wrapText="1"/>
    </xf>
    <xf numFmtId="0" fontId="0" fillId="0" borderId="98" xfId="0" applyFont="1" applyFill="1" applyBorder="1" applyAlignment="1" applyProtection="1">
      <alignment horizontal="center" vertical="center" wrapText="1"/>
    </xf>
    <xf numFmtId="0" fontId="0" fillId="0" borderId="149" xfId="0" applyFont="1" applyFill="1" applyBorder="1" applyAlignment="1" applyProtection="1">
      <alignment horizontal="center" vertical="center" wrapText="1"/>
    </xf>
    <xf numFmtId="0" fontId="0" fillId="0" borderId="155"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157" xfId="0" applyFont="1" applyFill="1" applyBorder="1" applyAlignment="1" applyProtection="1">
      <alignment horizontal="center" vertical="center" wrapText="1"/>
    </xf>
    <xf numFmtId="0" fontId="0" fillId="0" borderId="150"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151" xfId="0" applyFont="1" applyFill="1" applyBorder="1" applyAlignment="1" applyProtection="1">
      <alignment horizontal="center" vertical="center" wrapText="1"/>
    </xf>
    <xf numFmtId="0" fontId="0" fillId="0" borderId="99" xfId="0" applyFont="1" applyFill="1" applyBorder="1" applyAlignment="1" applyProtection="1">
      <alignment horizontal="center" vertical="center" wrapText="1"/>
    </xf>
    <xf numFmtId="166" fontId="39" fillId="9" borderId="149" xfId="0" applyNumberFormat="1" applyFont="1" applyFill="1" applyBorder="1" applyAlignment="1" applyProtection="1">
      <alignment horizontal="center" vertical="center" wrapText="1"/>
    </xf>
    <xf numFmtId="0" fontId="18" fillId="0" borderId="158" xfId="0" applyFont="1" applyFill="1" applyBorder="1" applyAlignment="1" applyProtection="1">
      <alignment horizontal="center" vertical="center" wrapText="1"/>
    </xf>
    <xf numFmtId="0" fontId="18" fillId="0" borderId="159" xfId="0" applyFont="1" applyFill="1" applyBorder="1" applyAlignment="1" applyProtection="1">
      <alignment horizontal="center" vertical="center" wrapText="1"/>
    </xf>
    <xf numFmtId="0" fontId="18" fillId="0" borderId="107" xfId="0" applyFont="1" applyFill="1" applyBorder="1" applyAlignment="1" applyProtection="1">
      <alignment horizontal="center" vertical="center" wrapText="1"/>
    </xf>
    <xf numFmtId="0" fontId="18" fillId="0" borderId="109" xfId="0" applyFont="1" applyFill="1" applyBorder="1" applyAlignment="1" applyProtection="1">
      <alignment horizontal="center" vertical="center" wrapText="1"/>
    </xf>
    <xf numFmtId="0" fontId="18" fillId="0" borderId="152" xfId="0" applyFont="1" applyFill="1" applyBorder="1" applyAlignment="1" applyProtection="1">
      <alignment horizontal="center" vertical="center" wrapText="1"/>
    </xf>
    <xf numFmtId="0" fontId="18" fillId="0" borderId="153" xfId="0" applyFont="1" applyFill="1" applyBorder="1" applyAlignment="1" applyProtection="1">
      <alignment horizontal="center" vertical="center" wrapText="1"/>
    </xf>
    <xf numFmtId="171" fontId="81" fillId="0" borderId="101" xfId="19" applyNumberFormat="1" applyFont="1" applyBorder="1" applyAlignment="1" applyProtection="1">
      <alignment horizontal="center" vertical="center"/>
    </xf>
    <xf numFmtId="171" fontId="81" fillId="0" borderId="103" xfId="19" applyNumberFormat="1" applyFont="1" applyBorder="1" applyAlignment="1" applyProtection="1">
      <alignment horizontal="center" vertical="center"/>
    </xf>
    <xf numFmtId="171" fontId="81" fillId="0" borderId="152" xfId="19" applyNumberFormat="1" applyFont="1" applyBorder="1" applyAlignment="1" applyProtection="1">
      <alignment horizontal="center" vertical="center"/>
    </xf>
    <xf numFmtId="171" fontId="81" fillId="0" borderId="153" xfId="19" applyNumberFormat="1" applyFont="1" applyBorder="1" applyAlignment="1" applyProtection="1">
      <alignment horizontal="center" vertical="center"/>
    </xf>
    <xf numFmtId="171" fontId="81" fillId="0" borderId="90" xfId="19" applyNumberFormat="1" applyFont="1" applyBorder="1" applyAlignment="1" applyProtection="1">
      <alignment horizontal="center" vertical="center"/>
    </xf>
    <xf numFmtId="171" fontId="81" fillId="0" borderId="92" xfId="19" applyNumberFormat="1" applyFont="1" applyBorder="1" applyAlignment="1" applyProtection="1">
      <alignment horizontal="center" vertical="center"/>
    </xf>
    <xf numFmtId="171" fontId="81" fillId="0" borderId="85" xfId="19" applyNumberFormat="1" applyFont="1" applyBorder="1" applyAlignment="1" applyProtection="1">
      <alignment horizontal="center" vertical="center"/>
    </xf>
    <xf numFmtId="171" fontId="81" fillId="0" borderId="87" xfId="19" applyNumberFormat="1" applyFont="1" applyBorder="1" applyAlignment="1" applyProtection="1">
      <alignment horizontal="center" vertical="center"/>
    </xf>
    <xf numFmtId="0" fontId="82" fillId="0" borderId="158" xfId="23" applyFont="1" applyBorder="1" applyAlignment="1" applyProtection="1">
      <alignment horizontal="center" vertical="center" wrapText="1"/>
    </xf>
    <xf numFmtId="0" fontId="82" fillId="0" borderId="160" xfId="23" applyFont="1" applyBorder="1" applyAlignment="1" applyProtection="1">
      <alignment horizontal="center" vertical="center" wrapText="1"/>
    </xf>
    <xf numFmtId="0" fontId="82" fillId="0" borderId="159" xfId="23" applyFont="1" applyBorder="1" applyAlignment="1" applyProtection="1">
      <alignment horizontal="center" vertical="center" wrapText="1"/>
    </xf>
    <xf numFmtId="0" fontId="82" fillId="0" borderId="101" xfId="23" applyFont="1" applyBorder="1" applyAlignment="1" applyProtection="1">
      <alignment horizontal="center" vertical="center" wrapText="1"/>
    </xf>
    <xf numFmtId="0" fontId="82" fillId="0" borderId="102" xfId="23" applyFont="1" applyBorder="1" applyAlignment="1" applyProtection="1">
      <alignment horizontal="center" vertical="center" wrapText="1"/>
    </xf>
    <xf numFmtId="0" fontId="82" fillId="0" borderId="103" xfId="23" applyFont="1" applyBorder="1" applyAlignment="1" applyProtection="1">
      <alignment horizontal="center" vertical="center" wrapText="1"/>
    </xf>
    <xf numFmtId="0" fontId="82" fillId="0" borderId="152" xfId="23" applyFont="1" applyBorder="1" applyAlignment="1" applyProtection="1">
      <alignment horizontal="center" vertical="center" wrapText="1"/>
    </xf>
    <xf numFmtId="0" fontId="82" fillId="0" borderId="154" xfId="23" applyFont="1" applyBorder="1" applyAlignment="1" applyProtection="1">
      <alignment horizontal="center" vertical="center" wrapText="1"/>
    </xf>
    <xf numFmtId="0" fontId="82" fillId="0" borderId="153" xfId="23" applyFont="1" applyBorder="1" applyAlignment="1" applyProtection="1">
      <alignment horizontal="center" vertical="center" wrapText="1"/>
    </xf>
    <xf numFmtId="0" fontId="18" fillId="0" borderId="90" xfId="0" applyFont="1" applyFill="1" applyBorder="1" applyAlignment="1" applyProtection="1">
      <alignment horizontal="center" vertical="center" wrapText="1"/>
    </xf>
    <xf numFmtId="0" fontId="18" fillId="0" borderId="92" xfId="0" applyFont="1" applyFill="1" applyBorder="1" applyAlignment="1" applyProtection="1">
      <alignment horizontal="center" vertical="center" wrapText="1"/>
    </xf>
    <xf numFmtId="0" fontId="18" fillId="0" borderId="85" xfId="0" applyFont="1" applyFill="1" applyBorder="1" applyAlignment="1" applyProtection="1">
      <alignment horizontal="center" vertical="center" wrapText="1"/>
    </xf>
    <xf numFmtId="0" fontId="18" fillId="0" borderId="87" xfId="0" applyFont="1" applyFill="1" applyBorder="1" applyAlignment="1" applyProtection="1">
      <alignment horizontal="center" vertical="center" wrapText="1"/>
    </xf>
    <xf numFmtId="0" fontId="82" fillId="0" borderId="107" xfId="23" applyFont="1" applyBorder="1" applyAlignment="1" applyProtection="1">
      <alignment horizontal="center" vertical="center" wrapText="1"/>
    </xf>
    <xf numFmtId="0" fontId="82" fillId="0" borderId="108" xfId="23" applyFont="1" applyBorder="1" applyAlignment="1" applyProtection="1">
      <alignment horizontal="center" vertical="center" wrapText="1"/>
    </xf>
    <xf numFmtId="0" fontId="82" fillId="0" borderId="109" xfId="23" applyFont="1" applyBorder="1" applyAlignment="1" applyProtection="1">
      <alignment horizontal="center" vertical="center" wrapText="1"/>
    </xf>
    <xf numFmtId="0" fontId="82" fillId="0" borderId="90" xfId="23" applyFont="1" applyBorder="1" applyAlignment="1" applyProtection="1">
      <alignment horizontal="center" vertical="center" wrapText="1"/>
    </xf>
    <xf numFmtId="0" fontId="82" fillId="0" borderId="91" xfId="23" applyFont="1" applyBorder="1" applyAlignment="1" applyProtection="1">
      <alignment horizontal="center" vertical="center" wrapText="1"/>
    </xf>
    <xf numFmtId="0" fontId="82" fillId="0" borderId="92" xfId="23" applyFont="1" applyBorder="1" applyAlignment="1" applyProtection="1">
      <alignment horizontal="center" vertical="center" wrapText="1"/>
    </xf>
    <xf numFmtId="0" fontId="82" fillId="0" borderId="85" xfId="23" applyFont="1" applyBorder="1" applyAlignment="1" applyProtection="1">
      <alignment horizontal="center" vertical="center" wrapText="1"/>
    </xf>
    <xf numFmtId="0" fontId="82" fillId="0" borderId="86" xfId="23" applyFont="1" applyBorder="1" applyAlignment="1" applyProtection="1">
      <alignment horizontal="center" vertical="center" wrapText="1"/>
    </xf>
    <xf numFmtId="0" fontId="82" fillId="0" borderId="87" xfId="23" applyFont="1" applyBorder="1" applyAlignment="1" applyProtection="1">
      <alignment horizontal="center" vertical="center" wrapText="1"/>
    </xf>
    <xf numFmtId="171" fontId="81" fillId="0" borderId="158" xfId="19" applyNumberFormat="1" applyFont="1" applyBorder="1" applyAlignment="1" applyProtection="1">
      <alignment horizontal="center" vertical="center"/>
    </xf>
    <xf numFmtId="171" fontId="81" fillId="0" borderId="159" xfId="19" applyNumberFormat="1" applyFont="1" applyBorder="1" applyAlignment="1" applyProtection="1">
      <alignment horizontal="center" vertical="center"/>
    </xf>
    <xf numFmtId="171" fontId="81" fillId="0" borderId="107" xfId="19" applyNumberFormat="1" applyFont="1" applyBorder="1" applyAlignment="1" applyProtection="1">
      <alignment horizontal="center" vertical="center"/>
    </xf>
    <xf numFmtId="171" fontId="81" fillId="0" borderId="109" xfId="19" applyNumberFormat="1" applyFont="1" applyBorder="1" applyAlignment="1" applyProtection="1">
      <alignment horizontal="center" vertical="center"/>
    </xf>
    <xf numFmtId="0" fontId="65" fillId="0" borderId="0" xfId="0" applyFont="1" applyFill="1" applyBorder="1" applyAlignment="1" applyProtection="1">
      <alignment horizontal="center" vertical="center" wrapText="1"/>
    </xf>
    <xf numFmtId="167" fontId="43" fillId="5" borderId="6" xfId="0" applyNumberFormat="1" applyFont="1" applyFill="1" applyBorder="1" applyAlignment="1" applyProtection="1">
      <alignment horizontal="center" vertical="center"/>
      <protection locked="0"/>
    </xf>
    <xf numFmtId="0" fontId="12" fillId="0" borderId="0" xfId="0" applyFont="1" applyFill="1" applyAlignment="1" applyProtection="1">
      <alignment horizontal="center" vertical="center" wrapText="1"/>
    </xf>
    <xf numFmtId="0" fontId="78" fillId="0" borderId="8" xfId="0"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textRotation="90"/>
    </xf>
    <xf numFmtId="0" fontId="64" fillId="0" borderId="21" xfId="0" applyFont="1" applyFill="1" applyBorder="1" applyAlignment="1" applyProtection="1">
      <alignment horizontal="center" vertical="center" textRotation="90"/>
    </xf>
    <xf numFmtId="0" fontId="75" fillId="0" borderId="0" xfId="0" applyFont="1" applyFill="1" applyBorder="1" applyAlignment="1" applyProtection="1">
      <alignment horizontal="center" vertical="center" wrapText="1"/>
    </xf>
    <xf numFmtId="0" fontId="75" fillId="0" borderId="21" xfId="0"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75" fillId="0" borderId="89" xfId="0" applyFont="1" applyFill="1" applyBorder="1" applyAlignment="1" applyProtection="1">
      <alignment horizontal="center" vertical="center"/>
    </xf>
    <xf numFmtId="0" fontId="18" fillId="0" borderId="89"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151" xfId="0" applyFont="1" applyFill="1" applyBorder="1" applyAlignment="1" applyProtection="1">
      <alignment horizontal="center" vertical="center" wrapText="1"/>
    </xf>
    <xf numFmtId="166" fontId="13" fillId="0" borderId="156" xfId="0" applyNumberFormat="1" applyFont="1" applyFill="1" applyBorder="1" applyAlignment="1" applyProtection="1">
      <alignment horizontal="center" wrapText="1"/>
    </xf>
    <xf numFmtId="166" fontId="13" fillId="0" borderId="98" xfId="0" applyNumberFormat="1" applyFont="1" applyFill="1" applyBorder="1" applyAlignment="1" applyProtection="1">
      <alignment horizontal="center" wrapText="1"/>
    </xf>
    <xf numFmtId="166" fontId="13" fillId="0" borderId="149" xfId="0" applyNumberFormat="1" applyFont="1" applyFill="1" applyBorder="1" applyAlignment="1" applyProtection="1">
      <alignment horizontal="center" wrapText="1"/>
    </xf>
    <xf numFmtId="171" fontId="80" fillId="0" borderId="101" xfId="18" applyNumberFormat="1" applyFont="1" applyFill="1" applyBorder="1" applyAlignment="1" applyProtection="1">
      <alignment horizontal="left" vertical="center"/>
    </xf>
    <xf numFmtId="171" fontId="80" fillId="0" borderId="103" xfId="18" applyNumberFormat="1" applyFont="1" applyFill="1" applyBorder="1" applyAlignment="1" applyProtection="1">
      <alignment horizontal="left" vertical="center"/>
    </xf>
    <xf numFmtId="171" fontId="80" fillId="0" borderId="4" xfId="18" applyNumberFormat="1" applyFont="1" applyFill="1" applyBorder="1" applyAlignment="1" applyProtection="1">
      <alignment horizontal="left" vertical="center"/>
    </xf>
    <xf numFmtId="171" fontId="80" fillId="0" borderId="151" xfId="18" applyNumberFormat="1" applyFont="1" applyFill="1" applyBorder="1" applyAlignment="1" applyProtection="1">
      <alignment horizontal="left" vertical="center"/>
    </xf>
    <xf numFmtId="0" fontId="18" fillId="0" borderId="154" xfId="0" applyFont="1" applyFill="1" applyBorder="1" applyAlignment="1" applyProtection="1">
      <alignment horizontal="center" vertical="center" wrapText="1"/>
    </xf>
    <xf numFmtId="171" fontId="80" fillId="0" borderId="158" xfId="18" applyNumberFormat="1" applyFont="1" applyFill="1" applyBorder="1" applyAlignment="1" applyProtection="1">
      <alignment horizontal="left" vertical="center"/>
    </xf>
    <xf numFmtId="171" fontId="80" fillId="0" borderId="159" xfId="18" applyNumberFormat="1" applyFont="1" applyFill="1" applyBorder="1" applyAlignment="1" applyProtection="1">
      <alignment horizontal="left" vertical="center"/>
    </xf>
    <xf numFmtId="171" fontId="80" fillId="0" borderId="90" xfId="18" applyNumberFormat="1" applyFont="1" applyFill="1" applyBorder="1" applyAlignment="1" applyProtection="1">
      <alignment horizontal="left" vertical="center"/>
    </xf>
    <xf numFmtId="171" fontId="80" fillId="0" borderId="92" xfId="18" applyNumberFormat="1" applyFont="1" applyFill="1" applyBorder="1" applyAlignment="1" applyProtection="1">
      <alignment horizontal="left" vertical="center"/>
    </xf>
    <xf numFmtId="0" fontId="18" fillId="0" borderId="91"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xf>
    <xf numFmtId="0" fontId="68" fillId="0" borderId="9" xfId="0" applyFont="1" applyFill="1" applyBorder="1" applyAlignment="1" applyProtection="1">
      <alignment horizontal="center" vertical="center"/>
    </xf>
    <xf numFmtId="0" fontId="68" fillId="0" borderId="10" xfId="0"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8" fillId="0" borderId="11" xfId="0" applyFont="1" applyFill="1" applyBorder="1" applyAlignment="1" applyProtection="1">
      <alignment horizontal="center" vertical="center"/>
    </xf>
    <xf numFmtId="0" fontId="68" fillId="0" borderId="22" xfId="0" applyFont="1" applyFill="1" applyBorder="1" applyAlignment="1" applyProtection="1">
      <alignment horizontal="center" vertical="center"/>
    </xf>
    <xf numFmtId="0" fontId="68" fillId="0" borderId="21" xfId="0" applyFont="1" applyFill="1" applyBorder="1" applyAlignment="1" applyProtection="1">
      <alignment horizontal="center" vertical="center"/>
    </xf>
    <xf numFmtId="0" fontId="68" fillId="0" borderId="23" xfId="0" applyFont="1" applyFill="1" applyBorder="1" applyAlignment="1" applyProtection="1">
      <alignment horizontal="center" vertical="center"/>
    </xf>
    <xf numFmtId="171" fontId="80" fillId="0" borderId="152" xfId="18" applyNumberFormat="1" applyFont="1" applyFill="1" applyBorder="1" applyAlignment="1" applyProtection="1">
      <alignment horizontal="left" vertical="center"/>
    </xf>
    <xf numFmtId="171" fontId="80" fillId="0" borderId="153" xfId="18" applyNumberFormat="1" applyFont="1" applyFill="1" applyBorder="1" applyAlignment="1" applyProtection="1">
      <alignment horizontal="left" vertical="center"/>
    </xf>
    <xf numFmtId="0" fontId="18" fillId="0" borderId="160" xfId="0" applyFont="1" applyFill="1" applyBorder="1" applyAlignment="1" applyProtection="1">
      <alignment horizontal="center" vertical="center" wrapText="1"/>
    </xf>
    <xf numFmtId="166" fontId="13" fillId="0" borderId="99" xfId="0" applyNumberFormat="1" applyFont="1" applyFill="1" applyBorder="1" applyAlignment="1" applyProtection="1">
      <alignment horizontal="center" wrapText="1"/>
    </xf>
    <xf numFmtId="171" fontId="80" fillId="0" borderId="107" xfId="18" applyNumberFormat="1" applyFont="1" applyFill="1" applyBorder="1" applyAlignment="1" applyProtection="1">
      <alignment horizontal="left" vertical="center"/>
    </xf>
    <xf numFmtId="171" fontId="80" fillId="0" borderId="109" xfId="18" applyNumberFormat="1" applyFont="1" applyFill="1" applyBorder="1" applyAlignment="1" applyProtection="1">
      <alignment horizontal="left" vertical="center"/>
    </xf>
    <xf numFmtId="0" fontId="18" fillId="0" borderId="108"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57"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04" xfId="0" applyFont="1" applyFill="1" applyBorder="1" applyAlignment="1" applyProtection="1">
      <alignment horizontal="center" vertical="center" wrapText="1"/>
    </xf>
    <xf numFmtId="171" fontId="80" fillId="0" borderId="85" xfId="18" applyNumberFormat="1" applyFont="1" applyFill="1" applyBorder="1" applyAlignment="1" applyProtection="1">
      <alignment horizontal="left" vertical="center"/>
    </xf>
    <xf numFmtId="171" fontId="80" fillId="0" borderId="87" xfId="18" applyNumberFormat="1" applyFont="1" applyFill="1" applyBorder="1" applyAlignment="1" applyProtection="1">
      <alignment horizontal="left" vertical="center"/>
    </xf>
    <xf numFmtId="0" fontId="18" fillId="0" borderId="86" xfId="0" applyFont="1" applyFill="1" applyBorder="1" applyAlignment="1" applyProtection="1">
      <alignment horizontal="center" vertical="center" wrapText="1"/>
    </xf>
    <xf numFmtId="166" fontId="39" fillId="2" borderId="5" xfId="0" applyNumberFormat="1" applyFont="1" applyFill="1" applyBorder="1" applyAlignment="1" applyProtection="1">
      <alignment horizontal="center" vertical="center" wrapText="1"/>
    </xf>
    <xf numFmtId="166" fontId="39" fillId="2" borderId="0" xfId="0" applyNumberFormat="1" applyFont="1" applyFill="1" applyBorder="1" applyAlignment="1" applyProtection="1">
      <alignment horizontal="center" vertical="center" wrapText="1"/>
    </xf>
    <xf numFmtId="166" fontId="39" fillId="2" borderId="4" xfId="0" applyNumberFormat="1" applyFont="1" applyFill="1" applyBorder="1" applyAlignment="1" applyProtection="1">
      <alignment horizontal="center" vertical="center" wrapText="1"/>
    </xf>
    <xf numFmtId="0" fontId="18" fillId="0" borderId="88" xfId="0" applyFont="1" applyFill="1" applyBorder="1" applyAlignment="1" applyProtection="1">
      <alignment horizontal="center" vertical="center" wrapText="1"/>
    </xf>
    <xf numFmtId="0" fontId="18" fillId="0" borderId="150"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xf>
    <xf numFmtId="0" fontId="18" fillId="0" borderId="21" xfId="0" applyFont="1" applyFill="1" applyBorder="1" applyAlignment="1" applyProtection="1">
      <alignment horizontal="center" vertical="center"/>
    </xf>
    <xf numFmtId="0" fontId="2" fillId="0" borderId="0" xfId="35" applyAlignment="1" applyProtection="1">
      <alignment horizontal="center"/>
    </xf>
    <xf numFmtId="0" fontId="2" fillId="0" borderId="21" xfId="35" applyBorder="1" applyAlignment="1" applyProtection="1">
      <alignment horizontal="center"/>
    </xf>
    <xf numFmtId="0" fontId="38" fillId="0" borderId="12" xfId="0" applyFont="1" applyFill="1" applyBorder="1" applyAlignment="1" applyProtection="1">
      <alignment horizontal="left" vertical="center" wrapText="1"/>
    </xf>
    <xf numFmtId="0" fontId="78" fillId="0" borderId="21" xfId="0" applyFont="1" applyFill="1" applyBorder="1" applyAlignment="1" applyProtection="1">
      <alignment horizontal="center" vertical="center" wrapText="1"/>
    </xf>
    <xf numFmtId="0" fontId="12" fillId="0" borderId="0" xfId="25" applyFont="1" applyFill="1" applyAlignment="1" applyProtection="1">
      <alignment horizontal="left" vertical="center"/>
    </xf>
    <xf numFmtId="0" fontId="12" fillId="0" borderId="21" xfId="25" applyFont="1" applyFill="1" applyBorder="1" applyAlignment="1" applyProtection="1">
      <alignment horizontal="left" vertical="center"/>
    </xf>
    <xf numFmtId="0" fontId="65" fillId="0" borderId="0" xfId="0" applyFont="1" applyFill="1" applyAlignment="1" applyProtection="1">
      <alignment horizontal="left" vertical="center" wrapText="1"/>
    </xf>
    <xf numFmtId="0" fontId="65" fillId="0" borderId="18" xfId="0" applyFont="1" applyFill="1" applyBorder="1" applyAlignment="1" applyProtection="1">
      <alignment horizontal="left" vertical="center" wrapText="1"/>
    </xf>
    <xf numFmtId="0" fontId="12" fillId="0" borderId="0" xfId="25" applyFont="1" applyFill="1" applyBorder="1" applyAlignment="1" applyProtection="1">
      <alignment horizontal="left" vertical="center" wrapText="1"/>
    </xf>
    <xf numFmtId="0" fontId="12" fillId="0" borderId="21" xfId="25" applyFont="1" applyFill="1" applyBorder="1" applyAlignment="1" applyProtection="1">
      <alignment horizontal="left" vertical="center" wrapText="1"/>
    </xf>
    <xf numFmtId="0" fontId="2" fillId="0" borderId="0" xfId="35" applyBorder="1" applyAlignment="1" applyProtection="1">
      <alignment horizontal="center"/>
    </xf>
    <xf numFmtId="0" fontId="44" fillId="0" borderId="0" xfId="0" applyFont="1" applyFill="1" applyBorder="1" applyAlignment="1" applyProtection="1">
      <alignment horizontal="left" vertical="center" wrapText="1"/>
    </xf>
    <xf numFmtId="0" fontId="41" fillId="0" borderId="0" xfId="0" applyFont="1" applyFill="1" applyAlignment="1" applyProtection="1">
      <alignment horizontal="left" vertical="center"/>
    </xf>
    <xf numFmtId="0" fontId="41" fillId="0" borderId="0" xfId="0" applyFont="1" applyFill="1" applyBorder="1" applyAlignment="1" applyProtection="1">
      <alignment horizontal="left" vertical="center" wrapText="1"/>
    </xf>
    <xf numFmtId="0" fontId="87" fillId="0" borderId="0"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12" fillId="6" borderId="56" xfId="0" applyFont="1" applyFill="1" applyBorder="1" applyAlignment="1" applyProtection="1">
      <alignment horizontal="center" vertical="center" wrapText="1"/>
    </xf>
    <xf numFmtId="0" fontId="12" fillId="6" borderId="34" xfId="0" applyFont="1" applyFill="1" applyBorder="1" applyAlignment="1" applyProtection="1">
      <alignment horizontal="left" vertical="center" wrapText="1"/>
    </xf>
    <xf numFmtId="0" fontId="12" fillId="6" borderId="35" xfId="0" applyFont="1" applyFill="1" applyBorder="1" applyAlignment="1" applyProtection="1">
      <alignment horizontal="left" vertical="center" wrapText="1"/>
    </xf>
    <xf numFmtId="0" fontId="12" fillId="6" borderId="32" xfId="0" applyFont="1" applyFill="1" applyBorder="1" applyAlignment="1" applyProtection="1">
      <alignment horizontal="left" vertical="center" wrapText="1"/>
    </xf>
    <xf numFmtId="0" fontId="12" fillId="6" borderId="46"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textRotation="180"/>
    </xf>
    <xf numFmtId="0" fontId="12" fillId="6" borderId="58" xfId="0" applyFont="1" applyFill="1" applyBorder="1" applyAlignment="1" applyProtection="1">
      <alignment horizontal="center" vertical="center" textRotation="180"/>
    </xf>
    <xf numFmtId="0" fontId="12" fillId="6" borderId="34" xfId="0" applyFont="1" applyFill="1" applyBorder="1" applyAlignment="1" applyProtection="1">
      <alignment horizontal="center"/>
    </xf>
    <xf numFmtId="0" fontId="12" fillId="6" borderId="32" xfId="0" applyFont="1" applyFill="1" applyBorder="1" applyAlignment="1" applyProtection="1">
      <alignment horizontal="center"/>
    </xf>
    <xf numFmtId="0" fontId="12" fillId="6" borderId="34" xfId="0" applyFont="1" applyFill="1" applyBorder="1" applyAlignment="1" applyProtection="1">
      <alignment horizontal="center" vertical="center" textRotation="180"/>
    </xf>
    <xf numFmtId="0" fontId="12" fillId="6" borderId="32" xfId="0" applyFont="1" applyFill="1" applyBorder="1" applyAlignment="1" applyProtection="1">
      <alignment horizontal="center" vertical="center" textRotation="180"/>
    </xf>
    <xf numFmtId="0" fontId="12" fillId="6" borderId="76" xfId="0" applyFont="1" applyFill="1" applyBorder="1" applyAlignment="1" applyProtection="1">
      <alignment horizontal="left"/>
    </xf>
    <xf numFmtId="0" fontId="12" fillId="6" borderId="77" xfId="0" applyFont="1" applyFill="1" applyBorder="1" applyAlignment="1" applyProtection="1">
      <alignment horizontal="left"/>
    </xf>
    <xf numFmtId="0" fontId="12" fillId="6" borderId="140" xfId="0" applyFont="1" applyFill="1" applyBorder="1" applyAlignment="1" applyProtection="1">
      <alignment horizontal="left"/>
    </xf>
    <xf numFmtId="0" fontId="12" fillId="6" borderId="143" xfId="0" applyFont="1" applyFill="1" applyBorder="1" applyAlignment="1" applyProtection="1">
      <alignment horizontal="left"/>
    </xf>
    <xf numFmtId="0" fontId="12" fillId="6" borderId="144" xfId="0" applyFont="1" applyFill="1" applyBorder="1" applyAlignment="1" applyProtection="1">
      <alignment horizontal="left"/>
    </xf>
    <xf numFmtId="0" fontId="12" fillId="6" borderId="145" xfId="0" applyFont="1" applyFill="1" applyBorder="1" applyAlignment="1" applyProtection="1">
      <alignment horizontal="left"/>
    </xf>
    <xf numFmtId="0" fontId="46" fillId="6" borderId="0" xfId="0" applyFont="1" applyFill="1" applyBorder="1" applyAlignment="1" applyProtection="1">
      <alignment horizontal="center" vertical="center"/>
    </xf>
    <xf numFmtId="0" fontId="13" fillId="6" borderId="51"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13" fillId="6" borderId="52" xfId="0" applyFont="1" applyFill="1" applyBorder="1" applyAlignment="1" applyProtection="1">
      <alignment horizontal="center" vertical="center" wrapText="1"/>
    </xf>
    <xf numFmtId="0" fontId="13" fillId="6" borderId="30" xfId="0" applyFont="1" applyFill="1" applyBorder="1" applyAlignment="1" applyProtection="1">
      <alignment horizontal="center" vertical="center" wrapText="1"/>
    </xf>
    <xf numFmtId="0" fontId="13" fillId="6" borderId="53" xfId="0" applyFont="1" applyFill="1" applyBorder="1" applyAlignment="1" applyProtection="1">
      <alignment horizontal="center" vertical="center" wrapText="1"/>
    </xf>
    <xf numFmtId="0" fontId="13" fillId="6" borderId="47" xfId="0" applyFont="1" applyFill="1" applyBorder="1" applyAlignment="1" applyProtection="1">
      <alignment horizontal="center" vertical="center" wrapText="1"/>
    </xf>
    <xf numFmtId="0" fontId="13" fillId="6" borderId="41" xfId="0" applyFont="1" applyFill="1" applyBorder="1" applyAlignment="1" applyProtection="1">
      <alignment horizontal="center"/>
    </xf>
    <xf numFmtId="0" fontId="13" fillId="6" borderId="42" xfId="0" applyFont="1" applyFill="1" applyBorder="1" applyAlignment="1" applyProtection="1">
      <alignment horizontal="center"/>
    </xf>
    <xf numFmtId="0" fontId="13" fillId="6" borderId="43" xfId="0" applyFont="1" applyFill="1" applyBorder="1" applyAlignment="1" applyProtection="1">
      <alignment horizontal="center"/>
    </xf>
    <xf numFmtId="0" fontId="65" fillId="6" borderId="41" xfId="0" applyFont="1" applyFill="1" applyBorder="1" applyAlignment="1" applyProtection="1">
      <alignment horizontal="center"/>
    </xf>
    <xf numFmtId="0" fontId="65" fillId="6" borderId="42" xfId="0" applyFont="1" applyFill="1" applyBorder="1" applyAlignment="1" applyProtection="1">
      <alignment horizontal="center"/>
    </xf>
    <xf numFmtId="0" fontId="65" fillId="6" borderId="43" xfId="0" applyFont="1" applyFill="1" applyBorder="1" applyAlignment="1" applyProtection="1">
      <alignment horizontal="center"/>
    </xf>
    <xf numFmtId="0" fontId="38" fillId="6" borderId="44" xfId="0" applyFont="1" applyFill="1" applyBorder="1" applyAlignment="1" applyProtection="1">
      <alignment horizontal="left"/>
    </xf>
    <xf numFmtId="0" fontId="38" fillId="6" borderId="39" xfId="0" applyFont="1" applyFill="1" applyBorder="1" applyAlignment="1" applyProtection="1">
      <alignment horizontal="left"/>
    </xf>
    <xf numFmtId="0" fontId="38" fillId="6" borderId="33" xfId="0" applyFont="1" applyFill="1" applyBorder="1" applyAlignment="1" applyProtection="1">
      <alignment horizontal="left"/>
    </xf>
    <xf numFmtId="0" fontId="38" fillId="6" borderId="31" xfId="0" applyFont="1" applyFill="1" applyBorder="1" applyAlignment="1" applyProtection="1">
      <alignment horizontal="left"/>
    </xf>
    <xf numFmtId="0" fontId="38" fillId="6" borderId="45" xfId="0" applyFont="1" applyFill="1" applyBorder="1" applyAlignment="1" applyProtection="1">
      <alignment horizontal="left"/>
    </xf>
    <xf numFmtId="0" fontId="13" fillId="6" borderId="78" xfId="0" applyFont="1" applyFill="1" applyBorder="1" applyAlignment="1" applyProtection="1">
      <alignment horizontal="center" vertical="center" textRotation="180"/>
    </xf>
    <xf numFmtId="0" fontId="13" fillId="6" borderId="71" xfId="0" applyFont="1" applyFill="1" applyBorder="1" applyAlignment="1" applyProtection="1">
      <alignment horizontal="center" vertical="center" textRotation="180"/>
    </xf>
    <xf numFmtId="0" fontId="13" fillId="6" borderId="57" xfId="0" applyFont="1" applyFill="1" applyBorder="1" applyAlignment="1" applyProtection="1">
      <alignment horizontal="center" vertical="center" textRotation="180"/>
    </xf>
    <xf numFmtId="0" fontId="13" fillId="6" borderId="59" xfId="0" applyFont="1" applyFill="1" applyBorder="1" applyAlignment="1" applyProtection="1">
      <alignment horizontal="center" vertical="center" textRotation="180"/>
    </xf>
    <xf numFmtId="0" fontId="12" fillId="6" borderId="57" xfId="0" applyFont="1" applyFill="1" applyBorder="1" applyAlignment="1" applyProtection="1">
      <alignment horizontal="center" vertical="center" textRotation="180"/>
    </xf>
    <xf numFmtId="0" fontId="12" fillId="6" borderId="59" xfId="0" applyFont="1" applyFill="1" applyBorder="1" applyAlignment="1" applyProtection="1">
      <alignment horizontal="center" vertical="center" textRotation="180"/>
    </xf>
    <xf numFmtId="0" fontId="54" fillId="6" borderId="7" xfId="0" applyFont="1" applyFill="1" applyBorder="1" applyAlignment="1" applyProtection="1">
      <alignment horizontal="center" vertical="center" wrapText="1"/>
    </xf>
    <xf numFmtId="0" fontId="54" fillId="6" borderId="8"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46" fillId="6" borderId="0" xfId="0" applyFont="1" applyFill="1" applyBorder="1" applyAlignment="1" applyProtection="1">
      <alignment horizontal="center"/>
    </xf>
    <xf numFmtId="0" fontId="46" fillId="6" borderId="0" xfId="0" applyFont="1" applyFill="1" applyBorder="1" applyAlignment="1" applyProtection="1">
      <alignment horizontal="center" wrapText="1"/>
    </xf>
    <xf numFmtId="0" fontId="24" fillId="6" borderId="131" xfId="0" applyFont="1" applyFill="1" applyBorder="1" applyAlignment="1" applyProtection="1">
      <alignment horizontal="center" vertical="center" wrapText="1"/>
    </xf>
    <xf numFmtId="0" fontId="24" fillId="6" borderId="138" xfId="0" applyFont="1" applyFill="1" applyBorder="1" applyAlignment="1" applyProtection="1">
      <alignment horizontal="center" vertical="center" wrapText="1"/>
    </xf>
    <xf numFmtId="0" fontId="24" fillId="6" borderId="132" xfId="0" applyFont="1" applyFill="1" applyBorder="1" applyAlignment="1" applyProtection="1">
      <alignment horizontal="center" vertical="center" wrapText="1"/>
    </xf>
    <xf numFmtId="0" fontId="24" fillId="6" borderId="40" xfId="0" applyFont="1" applyFill="1" applyBorder="1" applyAlignment="1" applyProtection="1">
      <alignment horizontal="center" vertical="center" wrapText="1"/>
    </xf>
    <xf numFmtId="0" fontId="24" fillId="6" borderId="133" xfId="0" applyFont="1" applyFill="1" applyBorder="1" applyAlignment="1" applyProtection="1">
      <alignment horizontal="center" vertical="center" textRotation="180" wrapText="1"/>
    </xf>
    <xf numFmtId="0" fontId="24" fillId="6" borderId="68" xfId="0" applyFont="1" applyFill="1" applyBorder="1" applyAlignment="1" applyProtection="1">
      <alignment horizontal="center" vertical="center" textRotation="180" wrapText="1"/>
    </xf>
    <xf numFmtId="0" fontId="24" fillId="6" borderId="132" xfId="0" applyFont="1" applyFill="1" applyBorder="1" applyAlignment="1" applyProtection="1">
      <alignment horizontal="center" vertical="center"/>
    </xf>
    <xf numFmtId="0" fontId="24" fillId="6" borderId="134"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4" fillId="6" borderId="136" xfId="0" applyFont="1" applyFill="1" applyBorder="1" applyAlignment="1" applyProtection="1">
      <alignment horizontal="center" vertical="center" wrapText="1"/>
    </xf>
    <xf numFmtId="0" fontId="24" fillId="6" borderId="137" xfId="0" applyFont="1" applyFill="1" applyBorder="1" applyAlignment="1" applyProtection="1">
      <alignment horizontal="center" vertical="center" wrapText="1"/>
    </xf>
    <xf numFmtId="0" fontId="77" fillId="6" borderId="130" xfId="0" applyFont="1" applyFill="1" applyBorder="1" applyAlignment="1" applyProtection="1">
      <alignment horizontal="center"/>
    </xf>
    <xf numFmtId="0" fontId="77" fillId="6" borderId="72" xfId="0" applyFont="1" applyFill="1" applyBorder="1" applyAlignment="1" applyProtection="1">
      <alignment horizontal="center"/>
    </xf>
    <xf numFmtId="0" fontId="77" fillId="6" borderId="129" xfId="0" applyFont="1" applyFill="1" applyBorder="1" applyAlignment="1" applyProtection="1">
      <alignment horizontal="center"/>
    </xf>
    <xf numFmtId="0" fontId="12" fillId="6" borderId="7" xfId="0" applyFont="1" applyFill="1" applyBorder="1" applyAlignment="1" applyProtection="1">
      <alignment horizontal="center" wrapText="1"/>
    </xf>
    <xf numFmtId="0" fontId="12" fillId="6" borderId="10" xfId="0" applyFont="1" applyFill="1" applyBorder="1" applyAlignment="1" applyProtection="1">
      <alignment horizontal="center" wrapText="1"/>
    </xf>
    <xf numFmtId="0" fontId="12" fillId="6" borderId="171" xfId="0" applyFont="1" applyFill="1" applyBorder="1" applyAlignment="1" applyProtection="1">
      <alignment horizontal="center" wrapText="1"/>
    </xf>
    <xf numFmtId="166" fontId="12" fillId="6" borderId="13" xfId="0" applyNumberFormat="1" applyFont="1" applyFill="1" applyBorder="1" applyAlignment="1" applyProtection="1">
      <alignment horizontal="center" wrapText="1"/>
    </xf>
    <xf numFmtId="166" fontId="12" fillId="6" borderId="19" xfId="0" applyNumberFormat="1" applyFont="1" applyFill="1" applyBorder="1" applyAlignment="1" applyProtection="1">
      <alignment horizontal="center" wrapText="1"/>
    </xf>
    <xf numFmtId="0" fontId="12" fillId="6" borderId="167" xfId="0" applyFont="1" applyFill="1" applyBorder="1" applyAlignment="1" applyProtection="1">
      <alignment horizontal="center" textRotation="180" wrapText="1"/>
    </xf>
    <xf numFmtId="0" fontId="12" fillId="6" borderId="6" xfId="0" applyFont="1" applyFill="1" applyBorder="1" applyAlignment="1" applyProtection="1">
      <alignment horizontal="center" textRotation="180" wrapText="1"/>
    </xf>
    <xf numFmtId="0" fontId="12" fillId="6" borderId="169" xfId="0" applyFont="1" applyFill="1" applyBorder="1" applyAlignment="1" applyProtection="1">
      <alignment horizontal="center" textRotation="180" wrapText="1"/>
    </xf>
    <xf numFmtId="0" fontId="12" fillId="6" borderId="170" xfId="0" applyFont="1" applyFill="1" applyBorder="1" applyAlignment="1" applyProtection="1">
      <alignment horizontal="center" textRotation="180" wrapText="1"/>
    </xf>
    <xf numFmtId="0" fontId="12" fillId="6" borderId="3"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wrapText="1"/>
    </xf>
    <xf numFmtId="0" fontId="12" fillId="6" borderId="167" xfId="0" applyFont="1" applyFill="1" applyBorder="1" applyAlignment="1" applyProtection="1">
      <alignment horizontal="center" vertical="center"/>
    </xf>
    <xf numFmtId="0" fontId="12" fillId="6" borderId="168"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0" fontId="12" fillId="6" borderId="1" xfId="0" applyFont="1" applyFill="1" applyBorder="1" applyAlignment="1" applyProtection="1">
      <alignment horizontal="center" vertical="center"/>
    </xf>
    <xf numFmtId="0" fontId="12" fillId="6" borderId="1"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65"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6" borderId="166"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8"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19" xfId="0" applyFont="1" applyFill="1" applyBorder="1" applyAlignment="1" applyProtection="1">
      <alignment horizontal="center" vertical="center"/>
    </xf>
  </cellXfs>
  <cellStyles count="72">
    <cellStyle name="Excel Built-in Normal" xfId="1" xr:uid="{00000000-0005-0000-0000-000000000000}"/>
    <cellStyle name="Heading" xfId="2" xr:uid="{00000000-0005-0000-0000-000001000000}"/>
    <cellStyle name="Heading1" xfId="3" xr:uid="{00000000-0005-0000-0000-000002000000}"/>
    <cellStyle name="Normal" xfId="0" builtinId="0" customBuiltin="1"/>
    <cellStyle name="Normal 2" xfId="6" xr:uid="{00000000-0005-0000-0000-000004000000}"/>
    <cellStyle name="Normal 2 2" xfId="8" xr:uid="{00000000-0005-0000-0000-000005000000}"/>
    <cellStyle name="Normal 2 2 2" xfId="11" xr:uid="{00000000-0005-0000-0000-000006000000}"/>
    <cellStyle name="Normal 2 2 2 2" xfId="18" xr:uid="{00000000-0005-0000-0000-000007000000}"/>
    <cellStyle name="Normal 2 2 2 2 2" xfId="35" xr:uid="{00000000-0005-0000-0000-000008000000}"/>
    <cellStyle name="Normal 2 2 2 2 2 2" xfId="66" xr:uid="{00000000-0005-0000-0000-000009000000}"/>
    <cellStyle name="Normal 2 2 2 2 3" xfId="51" xr:uid="{00000000-0005-0000-0000-00000A000000}"/>
    <cellStyle name="Normal 2 2 2 3" xfId="23" xr:uid="{00000000-0005-0000-0000-00000B000000}"/>
    <cellStyle name="Normal 2 2 2 3 2" xfId="40" xr:uid="{00000000-0005-0000-0000-00000C000000}"/>
    <cellStyle name="Normal 2 2 2 3 2 2" xfId="71" xr:uid="{00000000-0005-0000-0000-00000D000000}"/>
    <cellStyle name="Normal 2 2 2 3 3" xfId="56" xr:uid="{00000000-0005-0000-0000-00000E000000}"/>
    <cellStyle name="Normal 2 2 2 4" xfId="30" xr:uid="{00000000-0005-0000-0000-00000F000000}"/>
    <cellStyle name="Normal 2 2 2 4 2" xfId="61" xr:uid="{00000000-0005-0000-0000-000010000000}"/>
    <cellStyle name="Normal 2 2 2 5" xfId="46" xr:uid="{00000000-0005-0000-0000-000011000000}"/>
    <cellStyle name="Normal 2 2 3" xfId="16" xr:uid="{00000000-0005-0000-0000-000012000000}"/>
    <cellStyle name="Normal 2 2 3 2" xfId="33" xr:uid="{00000000-0005-0000-0000-000013000000}"/>
    <cellStyle name="Normal 2 2 3 2 2" xfId="64" xr:uid="{00000000-0005-0000-0000-000014000000}"/>
    <cellStyle name="Normal 2 2 3 3" xfId="49" xr:uid="{00000000-0005-0000-0000-000015000000}"/>
    <cellStyle name="Normal 2 2 4" xfId="21" xr:uid="{00000000-0005-0000-0000-000016000000}"/>
    <cellStyle name="Normal 2 2 4 2" xfId="38" xr:uid="{00000000-0005-0000-0000-000017000000}"/>
    <cellStyle name="Normal 2 2 4 2 2" xfId="69" xr:uid="{00000000-0005-0000-0000-000018000000}"/>
    <cellStyle name="Normal 2 2 4 3" xfId="54" xr:uid="{00000000-0005-0000-0000-000019000000}"/>
    <cellStyle name="Normal 2 2 5" xfId="28" xr:uid="{00000000-0005-0000-0000-00001A000000}"/>
    <cellStyle name="Normal 2 2 5 2" xfId="59" xr:uid="{00000000-0005-0000-0000-00001B000000}"/>
    <cellStyle name="Normal 2 2 6" xfId="44" xr:uid="{00000000-0005-0000-0000-00001C000000}"/>
    <cellStyle name="Normal 2 3" xfId="10" xr:uid="{00000000-0005-0000-0000-00001D000000}"/>
    <cellStyle name="Normal 2 3 2" xfId="17" xr:uid="{00000000-0005-0000-0000-00001E000000}"/>
    <cellStyle name="Normal 2 3 2 2" xfId="34" xr:uid="{00000000-0005-0000-0000-00001F000000}"/>
    <cellStyle name="Normal 2 3 2 2 2" xfId="65" xr:uid="{00000000-0005-0000-0000-000020000000}"/>
    <cellStyle name="Normal 2 3 2 3" xfId="50" xr:uid="{00000000-0005-0000-0000-000021000000}"/>
    <cellStyle name="Normal 2 3 3" xfId="22" xr:uid="{00000000-0005-0000-0000-000022000000}"/>
    <cellStyle name="Normal 2 3 3 2" xfId="39" xr:uid="{00000000-0005-0000-0000-000023000000}"/>
    <cellStyle name="Normal 2 3 3 2 2" xfId="70" xr:uid="{00000000-0005-0000-0000-000024000000}"/>
    <cellStyle name="Normal 2 3 3 3" xfId="55" xr:uid="{00000000-0005-0000-0000-000025000000}"/>
    <cellStyle name="Normal 2 3 4" xfId="29" xr:uid="{00000000-0005-0000-0000-000026000000}"/>
    <cellStyle name="Normal 2 3 4 2" xfId="60" xr:uid="{00000000-0005-0000-0000-000027000000}"/>
    <cellStyle name="Normal 2 3 5" xfId="45" xr:uid="{00000000-0005-0000-0000-000028000000}"/>
    <cellStyle name="Normal 2 4" xfId="14" xr:uid="{00000000-0005-0000-0000-000029000000}"/>
    <cellStyle name="Normal 2 4 2" xfId="32" xr:uid="{00000000-0005-0000-0000-00002A000000}"/>
    <cellStyle name="Normal 2 4 2 2" xfId="63" xr:uid="{00000000-0005-0000-0000-00002B000000}"/>
    <cellStyle name="Normal 2 4 3" xfId="48" xr:uid="{00000000-0005-0000-0000-00002C000000}"/>
    <cellStyle name="Normal 2 5" xfId="20" xr:uid="{00000000-0005-0000-0000-00002D000000}"/>
    <cellStyle name="Normal 2 5 2" xfId="37" xr:uid="{00000000-0005-0000-0000-00002E000000}"/>
    <cellStyle name="Normal 2 5 2 2" xfId="68" xr:uid="{00000000-0005-0000-0000-00002F000000}"/>
    <cellStyle name="Normal 2 5 3" xfId="53" xr:uid="{00000000-0005-0000-0000-000030000000}"/>
    <cellStyle name="Normal 2 6" xfId="26" xr:uid="{00000000-0005-0000-0000-000031000000}"/>
    <cellStyle name="Normal 2 6 2" xfId="58" xr:uid="{00000000-0005-0000-0000-000032000000}"/>
    <cellStyle name="Normal 2 7" xfId="43" xr:uid="{00000000-0005-0000-0000-000033000000}"/>
    <cellStyle name="Normal 3" xfId="9" xr:uid="{00000000-0005-0000-0000-000034000000}"/>
    <cellStyle name="Normal 4" xfId="13" xr:uid="{00000000-0005-0000-0000-000035000000}"/>
    <cellStyle name="Normal 5" xfId="12" xr:uid="{00000000-0005-0000-0000-000036000000}"/>
    <cellStyle name="Normal 5 2" xfId="31" xr:uid="{00000000-0005-0000-0000-000037000000}"/>
    <cellStyle name="Normal 5 2 2" xfId="62" xr:uid="{00000000-0005-0000-0000-000038000000}"/>
    <cellStyle name="Normal 5 3" xfId="47" xr:uid="{00000000-0005-0000-0000-000039000000}"/>
    <cellStyle name="Normal 6" xfId="19" xr:uid="{00000000-0005-0000-0000-00003A000000}"/>
    <cellStyle name="Normal 6 2" xfId="36" xr:uid="{00000000-0005-0000-0000-00003B000000}"/>
    <cellStyle name="Normal 6 2 2" xfId="67" xr:uid="{00000000-0005-0000-0000-00003C000000}"/>
    <cellStyle name="Normal 6 3" xfId="52" xr:uid="{00000000-0005-0000-0000-00003D000000}"/>
    <cellStyle name="Normal 7" xfId="25" xr:uid="{00000000-0005-0000-0000-00003E000000}"/>
    <cellStyle name="Normal 8" xfId="24" xr:uid="{00000000-0005-0000-0000-00003F000000}"/>
    <cellStyle name="Normal 8 2" xfId="57" xr:uid="{00000000-0005-0000-0000-000040000000}"/>
    <cellStyle name="Normal 9" xfId="41" xr:uid="{00000000-0005-0000-0000-000041000000}"/>
    <cellStyle name="Pourcentage" xfId="7" builtinId="5"/>
    <cellStyle name="Pourcentage 2" xfId="15" xr:uid="{00000000-0005-0000-0000-000043000000}"/>
    <cellStyle name="Pourcentage 3" xfId="27" xr:uid="{00000000-0005-0000-0000-000044000000}"/>
    <cellStyle name="Pourcentage 4" xfId="42" xr:uid="{00000000-0005-0000-0000-000045000000}"/>
    <cellStyle name="Result" xfId="4" xr:uid="{00000000-0005-0000-0000-000046000000}"/>
    <cellStyle name="Result2" xfId="5" xr:uid="{00000000-0005-0000-0000-00004700000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2B3DFF"/>
      <color rgb="FF008000"/>
      <color rgb="FFE6A100"/>
      <color rgb="FF003300"/>
      <color rgb="FF2B8B02"/>
      <color rgb="FF1A5C4B"/>
      <color rgb="FF174E00"/>
      <color rgb="FFF74500"/>
      <color rgb="FF000099"/>
      <color rgb="FF5209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56750845727617383"/>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auto.'!$O$221:$O$232,'Calcul auto.'!$O$329:$O$334,'Calcul auto.'!$O$383:$O$388)</c:f>
              <c:numCache>
                <c:formatCode>0.00</c:formatCode>
                <c:ptCount val="24"/>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numCache>
            </c:numRef>
          </c:val>
          <c:extLst>
            <c:ext xmlns:c16="http://schemas.microsoft.com/office/drawing/2014/chart" uri="{C3380CC4-5D6E-409C-BE32-E72D297353CC}">
              <c16:uniqueId val="{00000000-EBB3-44EE-B6BF-46DA63E78E8E}"/>
            </c:ext>
          </c:extLst>
        </c:ser>
        <c:ser>
          <c:idx val="1"/>
          <c:order val="1"/>
          <c:tx>
            <c:strRef>
              <c:f>'Calcul auto.'!$P$106</c:f>
              <c:strCache>
                <c:ptCount val="1"/>
                <c:pt idx="0">
                  <c:v>Perte fonctionnelle</c:v>
                </c:pt>
              </c:strCache>
            </c:strRef>
          </c:tx>
          <c:spPr>
            <a:noFill/>
            <a:ln w="28575">
              <a:solidFill>
                <a:schemeClr val="tx1"/>
              </a:solidFill>
              <a:prstDash val="dash"/>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auto.'!$P$221:$P$232,'Calcul auto.'!$P$329:$P$334,'Calcul auto.'!$P$383:$P$388)</c:f>
              <c:numCache>
                <c:formatCode>General</c:formatCode>
                <c:ptCount val="24"/>
                <c:pt idx="1">
                  <c:v>0</c:v>
                </c:pt>
                <c:pt idx="2">
                  <c:v>0</c:v>
                </c:pt>
                <c:pt idx="7">
                  <c:v>0</c:v>
                </c:pt>
                <c:pt idx="8">
                  <c:v>0</c:v>
                </c:pt>
                <c:pt idx="13">
                  <c:v>0</c:v>
                </c:pt>
                <c:pt idx="14">
                  <c:v>0</c:v>
                </c:pt>
                <c:pt idx="19">
                  <c:v>0</c:v>
                </c:pt>
                <c:pt idx="20">
                  <c:v>0</c:v>
                </c:pt>
              </c:numCache>
            </c:numRef>
          </c:val>
          <c:extLst>
            <c:ext xmlns:c16="http://schemas.microsoft.com/office/drawing/2014/chart" uri="{C3380CC4-5D6E-409C-BE32-E72D297353CC}">
              <c16:uniqueId val="{00000001-EBB3-44EE-B6BF-46DA63E78E8E}"/>
            </c:ext>
          </c:extLst>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auto.'!$Q$221:$Q$232,'Calcul auto.'!$Q$329:$Q$334,'Calcul auto.'!$Q$383:$Q$388)</c:f>
              <c:numCache>
                <c:formatCode>General</c:formatCode>
                <c:ptCount val="24"/>
                <c:pt idx="4" formatCode="0.00">
                  <c:v>0</c:v>
                </c:pt>
                <c:pt idx="5" formatCode="0.00">
                  <c:v>0</c:v>
                </c:pt>
                <c:pt idx="10" formatCode="0.00">
                  <c:v>0</c:v>
                </c:pt>
                <c:pt idx="11" formatCode="0.00">
                  <c:v>0</c:v>
                </c:pt>
                <c:pt idx="16" formatCode="0.00">
                  <c:v>0</c:v>
                </c:pt>
                <c:pt idx="17" formatCode="0.00">
                  <c:v>0</c:v>
                </c:pt>
                <c:pt idx="22" formatCode="0.00">
                  <c:v>0</c:v>
                </c:pt>
                <c:pt idx="23" formatCode="0.00">
                  <c:v>0</c:v>
                </c:pt>
              </c:numCache>
            </c:numRef>
          </c:val>
          <c:extLst>
            <c:ext xmlns:c16="http://schemas.microsoft.com/office/drawing/2014/chart" uri="{C3380CC4-5D6E-409C-BE32-E72D297353CC}">
              <c16:uniqueId val="{00000002-EBB3-44EE-B6BF-46DA63E78E8E}"/>
            </c:ext>
          </c:extLst>
        </c:ser>
        <c:ser>
          <c:idx val="3"/>
          <c:order val="3"/>
          <c:tx>
            <c:strRef>
              <c:f>'Calcul auto.'!$R$106</c:f>
              <c:strCache>
                <c:ptCount val="1"/>
                <c:pt idx="0">
                  <c:v>Equivalence fonctionnelle
vraisemblable</c:v>
                </c:pt>
              </c:strCache>
            </c:strRef>
          </c:tx>
          <c:spPr>
            <a:solidFill>
              <a:schemeClr val="tx1"/>
            </a:solidFill>
            <a:ln w="28575">
              <a:solidFill>
                <a:sysClr val="windowText" lastClr="000000"/>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auto.'!$R$221:$R$232,'Calcul auto.'!$R$329:$R$334,'Calcul auto.'!$R$383:$R$388)</c:f>
              <c:numCache>
                <c:formatCode>General</c:formatCode>
                <c:ptCount val="24"/>
                <c:pt idx="4" formatCode="0.00">
                  <c:v>0</c:v>
                </c:pt>
                <c:pt idx="5" formatCode="0.00">
                  <c:v>0</c:v>
                </c:pt>
                <c:pt idx="10" formatCode="0.00">
                  <c:v>0</c:v>
                </c:pt>
                <c:pt idx="11" formatCode="0.00">
                  <c:v>0</c:v>
                </c:pt>
                <c:pt idx="16" formatCode="0.00">
                  <c:v>0</c:v>
                </c:pt>
                <c:pt idx="17" formatCode="0.00">
                  <c:v>0</c:v>
                </c:pt>
                <c:pt idx="22" formatCode="0.00">
                  <c:v>0</c:v>
                </c:pt>
                <c:pt idx="23" formatCode="0.00">
                  <c:v>0</c:v>
                </c:pt>
              </c:numCache>
            </c:numRef>
          </c:val>
          <c:extLst>
            <c:ext xmlns:c16="http://schemas.microsoft.com/office/drawing/2014/chart" uri="{C3380CC4-5D6E-409C-BE32-E72D297353CC}">
              <c16:uniqueId val="{00000003-EBB3-44EE-B6BF-46DA63E78E8E}"/>
            </c:ext>
          </c:extLst>
        </c:ser>
        <c:ser>
          <c:idx val="4"/>
          <c:order val="4"/>
          <c:tx>
            <c:strRef>
              <c:f>'Calcul auto.'!$S$106</c:f>
              <c:strCache>
                <c:ptCount val="1"/>
                <c:pt idx="0">
                  <c:v>Déclin fonctionnel</c:v>
                </c:pt>
              </c:strCache>
            </c:strRef>
          </c:tx>
          <c:spPr>
            <a:solidFill>
              <a:srgbClr val="FFC000"/>
            </a:solidFill>
            <a:ln w="28575">
              <a:solidFill>
                <a:schemeClr val="tx1"/>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auto.'!$S$221:$S$232,'Calcul auto.'!$S$329:$S$334,'Calcul auto.'!$S$383:$S$388)</c:f>
              <c:numCache>
                <c:formatCode>General</c:formatCode>
                <c:ptCount val="24"/>
                <c:pt idx="4" formatCode="0.00">
                  <c:v>0</c:v>
                </c:pt>
                <c:pt idx="5" formatCode="0.00">
                  <c:v>0</c:v>
                </c:pt>
                <c:pt idx="10" formatCode="0.00">
                  <c:v>0</c:v>
                </c:pt>
                <c:pt idx="11" formatCode="0.00">
                  <c:v>0</c:v>
                </c:pt>
                <c:pt idx="16" formatCode="0.00">
                  <c:v>0</c:v>
                </c:pt>
                <c:pt idx="17" formatCode="0.00">
                  <c:v>0</c:v>
                </c:pt>
                <c:pt idx="22" formatCode="0.00">
                  <c:v>0</c:v>
                </c:pt>
                <c:pt idx="23" formatCode="0.00">
                  <c:v>0</c:v>
                </c:pt>
              </c:numCache>
            </c:numRef>
          </c:val>
          <c:extLst>
            <c:ext xmlns:c16="http://schemas.microsoft.com/office/drawing/2014/chart" uri="{C3380CC4-5D6E-409C-BE32-E72D297353CC}">
              <c16:uniqueId val="{00000004-EBB3-44EE-B6BF-46DA63E78E8E}"/>
            </c:ext>
          </c:extLst>
        </c:ser>
        <c:dLbls>
          <c:showLegendKey val="0"/>
          <c:showVal val="0"/>
          <c:showCatName val="0"/>
          <c:showSerName val="0"/>
          <c:showPercent val="0"/>
          <c:showBubbleSize val="0"/>
        </c:dLbls>
        <c:gapWidth val="150"/>
        <c:overlap val="100"/>
        <c:axId val="254332136"/>
        <c:axId val="253703720"/>
      </c:barChart>
      <c:catAx>
        <c:axId val="254332136"/>
        <c:scaling>
          <c:orientation val="minMax"/>
        </c:scaling>
        <c:delete val="0"/>
        <c:axPos val="b"/>
        <c:numFmt formatCode="General" sourceLinked="0"/>
        <c:majorTickMark val="out"/>
        <c:minorTickMark val="none"/>
        <c:tickLblPos val="nextTo"/>
        <c:txPr>
          <a:bodyPr/>
          <a:lstStyle/>
          <a:p>
            <a:pPr>
              <a:defRPr sz="1600"/>
            </a:pPr>
            <a:endParaRPr lang="fr-FR"/>
          </a:p>
        </c:txPr>
        <c:crossAx val="253703720"/>
        <c:crosses val="autoZero"/>
        <c:auto val="1"/>
        <c:lblAlgn val="ctr"/>
        <c:lblOffset val="100"/>
        <c:noMultiLvlLbl val="0"/>
      </c:catAx>
      <c:valAx>
        <c:axId val="253703720"/>
        <c:scaling>
          <c:orientation val="minMax"/>
        </c:scaling>
        <c:delete val="0"/>
        <c:axPos val="l"/>
        <c:title>
          <c:tx>
            <c:rich>
              <a:bodyPr rot="-5400000" vert="horz"/>
              <a:lstStyle/>
              <a:p>
                <a:pPr>
                  <a:defRPr sz="1600" b="0"/>
                </a:pPr>
                <a:r>
                  <a:rPr lang="fr-FR" sz="1600" b="0"/>
                  <a:t>Valeur</a:t>
                </a:r>
                <a:r>
                  <a:rPr lang="fr-FR" sz="1600" b="0" baseline="0"/>
                  <a:t> absolue de l'indicateur</a:t>
                </a:r>
              </a:p>
            </c:rich>
          </c:tx>
          <c:layout>
            <c:manualLayout>
              <c:xMode val="edge"/>
              <c:yMode val="edge"/>
              <c:x val="4.3234638121324365E-4"/>
              <c:y val="0.13140230387868182"/>
            </c:manualLayout>
          </c:layout>
          <c:overlay val="0"/>
        </c:title>
        <c:numFmt formatCode="0.0" sourceLinked="0"/>
        <c:majorTickMark val="out"/>
        <c:minorTickMark val="none"/>
        <c:tickLblPos val="nextTo"/>
        <c:txPr>
          <a:bodyPr/>
          <a:lstStyle/>
          <a:p>
            <a:pPr>
              <a:defRPr sz="1800"/>
            </a:pPr>
            <a:endParaRPr lang="fr-FR"/>
          </a:p>
        </c:txPr>
        <c:crossAx val="254332136"/>
        <c:crosses val="autoZero"/>
        <c:crossBetween val="between"/>
      </c:valAx>
    </c:plotArea>
    <c:legend>
      <c:legendPos val="r"/>
      <c:legendEntry>
        <c:idx val="4"/>
        <c:delete val="1"/>
      </c:legendEntry>
      <c:layout>
        <c:manualLayout>
          <c:xMode val="edge"/>
          <c:yMode val="edge"/>
          <c:x val="0.88381108544925657"/>
          <c:y val="9.0026246719159995E-4"/>
          <c:w val="0.11533264539635654"/>
          <c:h val="0.99264391951006115"/>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49898993875765535"/>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auto.'!$O$275:$O$280,'Calcul auto.'!$O$281:$O$292,'Calcul auto.'!$O$305:$O$310,'Calcul auto.'!$O$377:$O$382)</c:f>
              <c:numCache>
                <c:formatCode>0.00</c:formatCode>
                <c:ptCount val="30"/>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numCache>
            </c:numRef>
          </c:val>
          <c:extLst>
            <c:ext xmlns:c16="http://schemas.microsoft.com/office/drawing/2014/chart" uri="{C3380CC4-5D6E-409C-BE32-E72D297353CC}">
              <c16:uniqueId val="{00000000-3C84-4535-BE8A-EFF1082A1B70}"/>
            </c:ext>
          </c:extLst>
        </c:ser>
        <c:ser>
          <c:idx val="1"/>
          <c:order val="1"/>
          <c:tx>
            <c:strRef>
              <c:f>'Calcul auto.'!$P$106</c:f>
              <c:strCache>
                <c:ptCount val="1"/>
                <c:pt idx="0">
                  <c:v>Perte fonctionnelle</c:v>
                </c:pt>
              </c:strCache>
            </c:strRef>
          </c:tx>
          <c:spPr>
            <a:noFill/>
            <a:ln w="28575">
              <a:solidFill>
                <a:sysClr val="windowText" lastClr="000000"/>
              </a:solidFill>
              <a:prstDash val="dash"/>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auto.'!$P$275:$P$280,'Calcul auto.'!$P$281:$P$292,'Calcul auto.'!$P$305:$P$310,'Calcul auto.'!$P$377:$P$382)</c:f>
              <c:numCache>
                <c:formatCode>General</c:formatCode>
                <c:ptCount val="30"/>
                <c:pt idx="1">
                  <c:v>0</c:v>
                </c:pt>
                <c:pt idx="2">
                  <c:v>0</c:v>
                </c:pt>
                <c:pt idx="7">
                  <c:v>0</c:v>
                </c:pt>
                <c:pt idx="8">
                  <c:v>0</c:v>
                </c:pt>
                <c:pt idx="13">
                  <c:v>0</c:v>
                </c:pt>
                <c:pt idx="14">
                  <c:v>0</c:v>
                </c:pt>
                <c:pt idx="19">
                  <c:v>0</c:v>
                </c:pt>
                <c:pt idx="20">
                  <c:v>0</c:v>
                </c:pt>
                <c:pt idx="25">
                  <c:v>0</c:v>
                </c:pt>
                <c:pt idx="26">
                  <c:v>0</c:v>
                </c:pt>
              </c:numCache>
            </c:numRef>
          </c:val>
          <c:extLst>
            <c:ext xmlns:c16="http://schemas.microsoft.com/office/drawing/2014/chart" uri="{C3380CC4-5D6E-409C-BE32-E72D297353CC}">
              <c16:uniqueId val="{00000001-3C84-4535-BE8A-EFF1082A1B70}"/>
            </c:ext>
          </c:extLst>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auto.'!$Q$275:$Q$280,'Calcul auto.'!$Q$281:$Q$292,'Calcul auto.'!$Q$305:$Q$310,'Calcul auto.'!$Q$377:$Q$382)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numCache>
            </c:numRef>
          </c:val>
          <c:extLst>
            <c:ext xmlns:c16="http://schemas.microsoft.com/office/drawing/2014/chart" uri="{C3380CC4-5D6E-409C-BE32-E72D297353CC}">
              <c16:uniqueId val="{00000002-3C84-4535-BE8A-EFF1082A1B70}"/>
            </c:ext>
          </c:extLst>
        </c:ser>
        <c:ser>
          <c:idx val="3"/>
          <c:order val="3"/>
          <c:tx>
            <c:strRef>
              <c:f>'Calcul auto.'!$R$106</c:f>
              <c:strCache>
                <c:ptCount val="1"/>
                <c:pt idx="0">
                  <c:v>Equivalence fonctionnelle
vraisemblable</c:v>
                </c:pt>
              </c:strCache>
            </c:strRef>
          </c:tx>
          <c:spPr>
            <a:solidFill>
              <a:schemeClr val="tx1"/>
            </a:solidFill>
            <a:ln w="28575"/>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auto.'!$R$275:$R$280,'Calcul auto.'!$R$281:$R$292,'Calcul auto.'!$R$305:$R$310,'Calcul auto.'!$R$377:$R$382)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numCache>
            </c:numRef>
          </c:val>
          <c:extLst>
            <c:ext xmlns:c16="http://schemas.microsoft.com/office/drawing/2014/chart" uri="{C3380CC4-5D6E-409C-BE32-E72D297353CC}">
              <c16:uniqueId val="{00000003-3C84-4535-BE8A-EFF1082A1B70}"/>
            </c:ext>
          </c:extLst>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auto.'!$S$275:$S$280,'Calcul auto.'!$S$281:$S$292,'Calcul auto.'!$S$305:$S$310,'Calcul auto.'!$S$377:$S$382)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numCache>
            </c:numRef>
          </c:val>
          <c:extLst>
            <c:ext xmlns:c16="http://schemas.microsoft.com/office/drawing/2014/chart" uri="{C3380CC4-5D6E-409C-BE32-E72D297353CC}">
              <c16:uniqueId val="{00000004-3C84-4535-BE8A-EFF1082A1B70}"/>
            </c:ext>
          </c:extLst>
        </c:ser>
        <c:dLbls>
          <c:showLegendKey val="0"/>
          <c:showVal val="0"/>
          <c:showCatName val="0"/>
          <c:showSerName val="0"/>
          <c:showPercent val="0"/>
          <c:showBubbleSize val="0"/>
        </c:dLbls>
        <c:gapWidth val="150"/>
        <c:overlap val="100"/>
        <c:axId val="255337800"/>
        <c:axId val="255945304"/>
      </c:barChart>
      <c:catAx>
        <c:axId val="255337800"/>
        <c:scaling>
          <c:orientation val="minMax"/>
        </c:scaling>
        <c:delete val="0"/>
        <c:axPos val="b"/>
        <c:numFmt formatCode="General" sourceLinked="0"/>
        <c:majorTickMark val="out"/>
        <c:minorTickMark val="none"/>
        <c:tickLblPos val="nextTo"/>
        <c:txPr>
          <a:bodyPr/>
          <a:lstStyle/>
          <a:p>
            <a:pPr>
              <a:defRPr sz="1800"/>
            </a:pPr>
            <a:endParaRPr lang="fr-FR"/>
          </a:p>
        </c:txPr>
        <c:crossAx val="255945304"/>
        <c:crosses val="autoZero"/>
        <c:auto val="1"/>
        <c:lblAlgn val="ctr"/>
        <c:lblOffset val="100"/>
        <c:noMultiLvlLbl val="0"/>
      </c:catAx>
      <c:valAx>
        <c:axId val="255945304"/>
        <c:scaling>
          <c:orientation val="minMax"/>
        </c:scaling>
        <c:delete val="0"/>
        <c:axPos val="l"/>
        <c:title>
          <c:tx>
            <c:rich>
              <a:bodyPr rot="-5400000" vert="horz"/>
              <a:lstStyle/>
              <a:p>
                <a:pPr>
                  <a:defRPr sz="1800" b="0"/>
                </a:pPr>
                <a:r>
                  <a:rPr lang="fr-FR" sz="1800" b="0"/>
                  <a:t>Valeur</a:t>
                </a:r>
                <a:r>
                  <a:rPr lang="fr-FR" sz="1800" b="0" baseline="0"/>
                  <a:t> absolue de l'indicateur</a:t>
                </a:r>
                <a:endParaRPr lang="fr-FR" sz="1800" b="0"/>
              </a:p>
            </c:rich>
          </c:tx>
          <c:layout>
            <c:manualLayout>
              <c:xMode val="edge"/>
              <c:yMode val="edge"/>
              <c:x val="4.2704278581646808E-4"/>
              <c:y val="3.6957859434237385E-2"/>
            </c:manualLayout>
          </c:layout>
          <c:overlay val="0"/>
        </c:title>
        <c:numFmt formatCode="0.0" sourceLinked="0"/>
        <c:majorTickMark val="out"/>
        <c:minorTickMark val="none"/>
        <c:tickLblPos val="nextTo"/>
        <c:txPr>
          <a:bodyPr/>
          <a:lstStyle/>
          <a:p>
            <a:pPr>
              <a:defRPr sz="1800"/>
            </a:pPr>
            <a:endParaRPr lang="fr-FR"/>
          </a:p>
        </c:txPr>
        <c:crossAx val="255337800"/>
        <c:crosses val="autoZero"/>
        <c:crossBetween val="between"/>
      </c:valAx>
    </c:plotArea>
    <c:legend>
      <c:legendPos val="r"/>
      <c:legendEntry>
        <c:idx val="4"/>
        <c:delete val="1"/>
      </c:legendEntry>
      <c:layout>
        <c:manualLayout>
          <c:xMode val="edge"/>
          <c:yMode val="edge"/>
          <c:x val="0.87524839390538645"/>
          <c:y val="9.0026246719159995E-4"/>
          <c:w val="0.12475160609461369"/>
          <c:h val="0.99909973753280845"/>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76195290172061825"/>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auto.'!$O$311:$O$316,'Calcul auto.'!$O$371:$O$376)</c:f>
              <c:numCache>
                <c:formatCode>0.00</c:formatCode>
                <c:ptCount val="12"/>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numCache>
            </c:numRef>
          </c:val>
          <c:extLst>
            <c:ext xmlns:c16="http://schemas.microsoft.com/office/drawing/2014/chart" uri="{C3380CC4-5D6E-409C-BE32-E72D297353CC}">
              <c16:uniqueId val="{00000000-CEB5-4617-9140-61C8D1EFADAF}"/>
            </c:ext>
          </c:extLst>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auto.'!$P$311:$P$316,'Calcul auto.'!$P$371:$P$376)</c:f>
              <c:numCache>
                <c:formatCode>General</c:formatCode>
                <c:ptCount val="12"/>
                <c:pt idx="1">
                  <c:v>0</c:v>
                </c:pt>
                <c:pt idx="2">
                  <c:v>0</c:v>
                </c:pt>
                <c:pt idx="7">
                  <c:v>0</c:v>
                </c:pt>
                <c:pt idx="8">
                  <c:v>0</c:v>
                </c:pt>
              </c:numCache>
            </c:numRef>
          </c:val>
          <c:extLst>
            <c:ext xmlns:c16="http://schemas.microsoft.com/office/drawing/2014/chart" uri="{C3380CC4-5D6E-409C-BE32-E72D297353CC}">
              <c16:uniqueId val="{00000001-CEB5-4617-9140-61C8D1EFADAF}"/>
            </c:ext>
          </c:extLst>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chemeClr val="tx1"/>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auto.'!$Q$311:$Q$316,'Calcul auto.'!$Q$371:$Q$376)</c:f>
              <c:numCache>
                <c:formatCode>General</c:formatCode>
                <c:ptCount val="12"/>
                <c:pt idx="4" formatCode="0.00">
                  <c:v>0</c:v>
                </c:pt>
                <c:pt idx="5" formatCode="0.00">
                  <c:v>0</c:v>
                </c:pt>
                <c:pt idx="10" formatCode="0.00">
                  <c:v>0</c:v>
                </c:pt>
                <c:pt idx="11" formatCode="0.00">
                  <c:v>0</c:v>
                </c:pt>
              </c:numCache>
            </c:numRef>
          </c:val>
          <c:extLst>
            <c:ext xmlns:c16="http://schemas.microsoft.com/office/drawing/2014/chart" uri="{C3380CC4-5D6E-409C-BE32-E72D297353CC}">
              <c16:uniqueId val="{00000002-CEB5-4617-9140-61C8D1EFADAF}"/>
            </c:ext>
          </c:extLst>
        </c:ser>
        <c:ser>
          <c:idx val="3"/>
          <c:order val="3"/>
          <c:tx>
            <c:strRef>
              <c:f>'Calcul auto.'!$R$106</c:f>
              <c:strCache>
                <c:ptCount val="1"/>
                <c:pt idx="0">
                  <c:v>Equivalence fonctionnelle
vraisemblable</c:v>
                </c:pt>
              </c:strCache>
            </c:strRef>
          </c:tx>
          <c:spPr>
            <a:solidFill>
              <a:schemeClr val="tx1"/>
            </a:solidFill>
            <a:ln w="28575"/>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auto.'!$R$311:$R$316,'Calcul auto.'!$R$371:$R$376)</c:f>
              <c:numCache>
                <c:formatCode>General</c:formatCode>
                <c:ptCount val="12"/>
                <c:pt idx="4" formatCode="0.00">
                  <c:v>0</c:v>
                </c:pt>
                <c:pt idx="5" formatCode="0.00">
                  <c:v>0</c:v>
                </c:pt>
                <c:pt idx="10" formatCode="0.00">
                  <c:v>0</c:v>
                </c:pt>
                <c:pt idx="11" formatCode="0.00">
                  <c:v>0</c:v>
                </c:pt>
              </c:numCache>
            </c:numRef>
          </c:val>
          <c:extLst>
            <c:ext xmlns:c16="http://schemas.microsoft.com/office/drawing/2014/chart" uri="{C3380CC4-5D6E-409C-BE32-E72D297353CC}">
              <c16:uniqueId val="{00000003-CEB5-4617-9140-61C8D1EFADAF}"/>
            </c:ext>
          </c:extLst>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auto.'!$S$311:$S$316,'Calcul auto.'!$S$371:$S$376)</c:f>
              <c:numCache>
                <c:formatCode>General</c:formatCode>
                <c:ptCount val="12"/>
                <c:pt idx="4" formatCode="0.00">
                  <c:v>0</c:v>
                </c:pt>
                <c:pt idx="5" formatCode="0.00">
                  <c:v>0</c:v>
                </c:pt>
                <c:pt idx="10" formatCode="0.00">
                  <c:v>0</c:v>
                </c:pt>
                <c:pt idx="11" formatCode="0.00">
                  <c:v>0</c:v>
                </c:pt>
              </c:numCache>
            </c:numRef>
          </c:val>
          <c:extLst>
            <c:ext xmlns:c16="http://schemas.microsoft.com/office/drawing/2014/chart" uri="{C3380CC4-5D6E-409C-BE32-E72D297353CC}">
              <c16:uniqueId val="{00000004-CEB5-4617-9140-61C8D1EFADAF}"/>
            </c:ext>
          </c:extLst>
        </c:ser>
        <c:dLbls>
          <c:showLegendKey val="0"/>
          <c:showVal val="0"/>
          <c:showCatName val="0"/>
          <c:showSerName val="0"/>
          <c:showPercent val="0"/>
          <c:showBubbleSize val="0"/>
        </c:dLbls>
        <c:gapWidth val="150"/>
        <c:overlap val="100"/>
        <c:axId val="255936608"/>
        <c:axId val="257044192"/>
      </c:barChart>
      <c:catAx>
        <c:axId val="255936608"/>
        <c:scaling>
          <c:orientation val="minMax"/>
        </c:scaling>
        <c:delete val="0"/>
        <c:axPos val="b"/>
        <c:numFmt formatCode="General" sourceLinked="0"/>
        <c:majorTickMark val="out"/>
        <c:minorTickMark val="none"/>
        <c:tickLblPos val="nextTo"/>
        <c:txPr>
          <a:bodyPr/>
          <a:lstStyle/>
          <a:p>
            <a:pPr>
              <a:defRPr sz="1600"/>
            </a:pPr>
            <a:endParaRPr lang="fr-FR"/>
          </a:p>
        </c:txPr>
        <c:crossAx val="257044192"/>
        <c:crosses val="autoZero"/>
        <c:auto val="1"/>
        <c:lblAlgn val="ctr"/>
        <c:lblOffset val="100"/>
        <c:noMultiLvlLbl val="0"/>
      </c:catAx>
      <c:valAx>
        <c:axId val="257044192"/>
        <c:scaling>
          <c:orientation val="minMax"/>
        </c:scaling>
        <c:delete val="0"/>
        <c:axPos val="l"/>
        <c:title>
          <c:tx>
            <c:rich>
              <a:bodyPr rot="-5400000" vert="horz"/>
              <a:lstStyle/>
              <a:p>
                <a:pPr>
                  <a:defRPr sz="1800" b="0"/>
                </a:pPr>
                <a:r>
                  <a:rPr lang="fr-FR" sz="1800" b="0"/>
                  <a:t>Valeur</a:t>
                </a:r>
                <a:r>
                  <a:rPr lang="fr-FR" sz="1800" b="0" baseline="0"/>
                  <a:t> absolue de l'indicateur</a:t>
                </a:r>
              </a:p>
            </c:rich>
          </c:tx>
          <c:layout>
            <c:manualLayout>
              <c:xMode val="edge"/>
              <c:yMode val="edge"/>
              <c:x val="4.2704278581646868E-4"/>
              <c:y val="0.21843934091571884"/>
            </c:manualLayout>
          </c:layout>
          <c:overlay val="0"/>
        </c:title>
        <c:numFmt formatCode="0.0" sourceLinked="0"/>
        <c:majorTickMark val="out"/>
        <c:minorTickMark val="none"/>
        <c:tickLblPos val="nextTo"/>
        <c:txPr>
          <a:bodyPr/>
          <a:lstStyle/>
          <a:p>
            <a:pPr>
              <a:defRPr sz="1800"/>
            </a:pPr>
            <a:endParaRPr lang="fr-FR"/>
          </a:p>
        </c:txPr>
        <c:crossAx val="255936608"/>
        <c:crosses val="autoZero"/>
        <c:crossBetween val="between"/>
      </c:valAx>
    </c:plotArea>
    <c:legend>
      <c:legendPos val="r"/>
      <c:legendEntry>
        <c:idx val="4"/>
        <c:delete val="1"/>
      </c:legendEntry>
      <c:layout>
        <c:manualLayout>
          <c:xMode val="edge"/>
          <c:yMode val="edge"/>
          <c:x val="0.86326062574396822"/>
          <c:y val="9.0026246719159995E-4"/>
          <c:w val="0.13673937425603189"/>
          <c:h val="0.98894021580635738"/>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43602697579469235"/>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auto.'!$O$197:$O$208,'Calcul auto.'!$O$251:$O$256,'Calcul auto.'!$O$257:$O$262,'Calcul auto.'!$O$359:$O$370)</c:f>
              <c:numCache>
                <c:formatCode>0.00</c:formatCode>
                <c:ptCount val="36"/>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pt idx="30" formatCode="0.000">
                  <c:v>0</c:v>
                </c:pt>
                <c:pt idx="31">
                  <c:v>0</c:v>
                </c:pt>
                <c:pt idx="32" formatCode="0.000">
                  <c:v>0</c:v>
                </c:pt>
                <c:pt idx="33" formatCode="0.000">
                  <c:v>0</c:v>
                </c:pt>
                <c:pt idx="34">
                  <c:v>0</c:v>
                </c:pt>
                <c:pt idx="35">
                  <c:v>0</c:v>
                </c:pt>
              </c:numCache>
            </c:numRef>
          </c:val>
          <c:extLst>
            <c:ext xmlns:c16="http://schemas.microsoft.com/office/drawing/2014/chart" uri="{C3380CC4-5D6E-409C-BE32-E72D297353CC}">
              <c16:uniqueId val="{00000000-5002-47FF-BE74-499C96282147}"/>
            </c:ext>
          </c:extLst>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auto.'!$P$197:$P$208,'Calcul auto.'!$P$251:$P$256,'Calcul auto.'!$P$257:$P$262,'Calcul auto.'!$P$359:$P$370)</c:f>
              <c:numCache>
                <c:formatCode>General</c:formatCode>
                <c:ptCount val="36"/>
                <c:pt idx="1">
                  <c:v>0</c:v>
                </c:pt>
                <c:pt idx="2">
                  <c:v>0</c:v>
                </c:pt>
                <c:pt idx="7">
                  <c:v>0</c:v>
                </c:pt>
                <c:pt idx="8">
                  <c:v>0</c:v>
                </c:pt>
                <c:pt idx="13">
                  <c:v>0</c:v>
                </c:pt>
                <c:pt idx="14">
                  <c:v>0</c:v>
                </c:pt>
                <c:pt idx="19">
                  <c:v>0</c:v>
                </c:pt>
                <c:pt idx="20">
                  <c:v>0</c:v>
                </c:pt>
                <c:pt idx="25">
                  <c:v>0</c:v>
                </c:pt>
                <c:pt idx="26">
                  <c:v>0</c:v>
                </c:pt>
                <c:pt idx="31">
                  <c:v>0</c:v>
                </c:pt>
                <c:pt idx="32">
                  <c:v>0</c:v>
                </c:pt>
              </c:numCache>
            </c:numRef>
          </c:val>
          <c:extLst>
            <c:ext xmlns:c16="http://schemas.microsoft.com/office/drawing/2014/chart" uri="{C3380CC4-5D6E-409C-BE32-E72D297353CC}">
              <c16:uniqueId val="{00000001-5002-47FF-BE74-499C96282147}"/>
            </c:ext>
          </c:extLst>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auto.'!$Q$197:$Q$208,'Calcul auto.'!$Q$251:$Q$256,'Calcul auto.'!$Q$257:$Q$262,'Calcul auto.'!$Q$359:$Q$370)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extLst>
            <c:ext xmlns:c16="http://schemas.microsoft.com/office/drawing/2014/chart" uri="{C3380CC4-5D6E-409C-BE32-E72D297353CC}">
              <c16:uniqueId val="{00000002-5002-47FF-BE74-499C96282147}"/>
            </c:ext>
          </c:extLst>
        </c:ser>
        <c:ser>
          <c:idx val="3"/>
          <c:order val="3"/>
          <c:tx>
            <c:strRef>
              <c:f>'Calcul auto.'!$R$106</c:f>
              <c:strCache>
                <c:ptCount val="1"/>
                <c:pt idx="0">
                  <c:v>Equivalence fonctionnelle
vraisemblable</c:v>
                </c:pt>
              </c:strCache>
            </c:strRef>
          </c:tx>
          <c:spPr>
            <a:solidFill>
              <a:schemeClr val="tx1"/>
            </a:solidFill>
            <a:ln w="28575">
              <a:solidFill>
                <a:schemeClr val="tx1"/>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auto.'!$R$197:$R$208,'Calcul auto.'!$R$251:$R$256,'Calcul auto.'!$R$257:$R$262,'Calcul auto.'!$R$359:$R$370)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extLst>
            <c:ext xmlns:c16="http://schemas.microsoft.com/office/drawing/2014/chart" uri="{C3380CC4-5D6E-409C-BE32-E72D297353CC}">
              <c16:uniqueId val="{00000003-5002-47FF-BE74-499C96282147}"/>
            </c:ext>
          </c:extLst>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auto.'!$S$197:$S$208,'Calcul auto.'!$S$251:$S$256,'Calcul auto.'!$S$257:$S$262,'Calcul auto.'!$S$359:$S$370)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extLst>
            <c:ext xmlns:c16="http://schemas.microsoft.com/office/drawing/2014/chart" uri="{C3380CC4-5D6E-409C-BE32-E72D297353CC}">
              <c16:uniqueId val="{00000004-5002-47FF-BE74-499C96282147}"/>
            </c:ext>
          </c:extLst>
        </c:ser>
        <c:dLbls>
          <c:showLegendKey val="0"/>
          <c:showVal val="0"/>
          <c:showCatName val="0"/>
          <c:showSerName val="0"/>
          <c:showPercent val="0"/>
          <c:showBubbleSize val="0"/>
        </c:dLbls>
        <c:gapWidth val="150"/>
        <c:overlap val="100"/>
        <c:axId val="256344080"/>
        <c:axId val="256344472"/>
      </c:barChart>
      <c:catAx>
        <c:axId val="256344080"/>
        <c:scaling>
          <c:orientation val="minMax"/>
        </c:scaling>
        <c:delete val="0"/>
        <c:axPos val="b"/>
        <c:numFmt formatCode="General" sourceLinked="0"/>
        <c:majorTickMark val="out"/>
        <c:minorTickMark val="none"/>
        <c:tickLblPos val="nextTo"/>
        <c:txPr>
          <a:bodyPr/>
          <a:lstStyle/>
          <a:p>
            <a:pPr>
              <a:defRPr sz="1800"/>
            </a:pPr>
            <a:endParaRPr lang="fr-FR"/>
          </a:p>
        </c:txPr>
        <c:crossAx val="256344472"/>
        <c:crosses val="autoZero"/>
        <c:auto val="1"/>
        <c:lblAlgn val="ctr"/>
        <c:lblOffset val="100"/>
        <c:noMultiLvlLbl val="0"/>
      </c:catAx>
      <c:valAx>
        <c:axId val="256344472"/>
        <c:scaling>
          <c:orientation val="minMax"/>
        </c:scaling>
        <c:delete val="0"/>
        <c:axPos val="l"/>
        <c:title>
          <c:tx>
            <c:rich>
              <a:bodyPr rot="-5400000" vert="horz"/>
              <a:lstStyle/>
              <a:p>
                <a:pPr>
                  <a:defRPr sz="1800" b="0"/>
                </a:pPr>
                <a:r>
                  <a:rPr lang="fr-FR" sz="1800" b="0"/>
                  <a:t>Valeur</a:t>
                </a:r>
                <a:r>
                  <a:rPr lang="fr-FR" sz="1800" b="0" baseline="0"/>
                  <a:t> absolue de l'indicateur</a:t>
                </a:r>
                <a:endParaRPr lang="fr-FR" sz="1800" b="0"/>
              </a:p>
            </c:rich>
          </c:tx>
          <c:layout>
            <c:manualLayout>
              <c:xMode val="edge"/>
              <c:yMode val="edge"/>
              <c:x val="4.4153798873523966E-4"/>
              <c:y val="1.1031933508311461E-2"/>
            </c:manualLayout>
          </c:layout>
          <c:overlay val="0"/>
        </c:title>
        <c:numFmt formatCode="0.0" sourceLinked="0"/>
        <c:majorTickMark val="out"/>
        <c:minorTickMark val="none"/>
        <c:tickLblPos val="nextTo"/>
        <c:txPr>
          <a:bodyPr/>
          <a:lstStyle/>
          <a:p>
            <a:pPr>
              <a:defRPr sz="1800"/>
            </a:pPr>
            <a:endParaRPr lang="fr-FR"/>
          </a:p>
        </c:txPr>
        <c:crossAx val="256344080"/>
        <c:crosses val="autoZero"/>
        <c:crossBetween val="between"/>
      </c:valAx>
    </c:plotArea>
    <c:legend>
      <c:legendPos val="r"/>
      <c:legendEntry>
        <c:idx val="4"/>
        <c:delete val="1"/>
      </c:legendEntry>
      <c:layout>
        <c:manualLayout>
          <c:xMode val="edge"/>
          <c:yMode val="edge"/>
          <c:x val="0.86326062574396822"/>
          <c:y val="9.0026246719159995E-4"/>
          <c:w val="0.13673936503668541"/>
          <c:h val="0.98153280839894996"/>
        </c:manualLayout>
      </c:layout>
      <c:overlay val="0"/>
      <c:txPr>
        <a:bodyPr/>
        <a:lstStyle/>
        <a:p>
          <a:pPr>
            <a:defRPr sz="1800" b="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0.10606474190726159"/>
          <c:w val="0.92924167095190091"/>
          <c:h val="0.42491586468358117"/>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auto.'!$O$233:$O$238,'Calcul auto.'!$O$239:$O$244,'Calcul auto.'!$O$263:$O$268,'Calcul auto.'!$O$269:$O$274,'Calcul auto.'!$O$293:$O$298,'Calcul auto.'!$O$299:$O$304,'Calcul auto.'!$O$317:$O$322,'Calcul auto.'!$O$323:$O$328,'Calcul auto.'!$O$335:$O$340)</c:f>
              <c:numCache>
                <c:formatCode>0.00</c:formatCode>
                <c:ptCount val="54"/>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pt idx="30" formatCode="0.000">
                  <c:v>0</c:v>
                </c:pt>
                <c:pt idx="31">
                  <c:v>0</c:v>
                </c:pt>
                <c:pt idx="32" formatCode="0.000">
                  <c:v>0</c:v>
                </c:pt>
                <c:pt idx="33" formatCode="0.000">
                  <c:v>0</c:v>
                </c:pt>
                <c:pt idx="34">
                  <c:v>0</c:v>
                </c:pt>
                <c:pt idx="35">
                  <c:v>0</c:v>
                </c:pt>
                <c:pt idx="36" formatCode="0.000">
                  <c:v>0</c:v>
                </c:pt>
                <c:pt idx="37">
                  <c:v>0</c:v>
                </c:pt>
                <c:pt idx="38" formatCode="0.000">
                  <c:v>0</c:v>
                </c:pt>
                <c:pt idx="39" formatCode="0.000">
                  <c:v>0</c:v>
                </c:pt>
                <c:pt idx="40">
                  <c:v>0</c:v>
                </c:pt>
                <c:pt idx="41">
                  <c:v>0</c:v>
                </c:pt>
                <c:pt idx="42" formatCode="0.000">
                  <c:v>0</c:v>
                </c:pt>
                <c:pt idx="43">
                  <c:v>0</c:v>
                </c:pt>
                <c:pt idx="44" formatCode="0.000">
                  <c:v>0</c:v>
                </c:pt>
                <c:pt idx="45" formatCode="0.000">
                  <c:v>0</c:v>
                </c:pt>
                <c:pt idx="46">
                  <c:v>0</c:v>
                </c:pt>
                <c:pt idx="47">
                  <c:v>0</c:v>
                </c:pt>
                <c:pt idx="48" formatCode="0.000">
                  <c:v>0</c:v>
                </c:pt>
                <c:pt idx="49">
                  <c:v>0</c:v>
                </c:pt>
                <c:pt idx="50" formatCode="0.000">
                  <c:v>0</c:v>
                </c:pt>
                <c:pt idx="51" formatCode="0.000">
                  <c:v>0</c:v>
                </c:pt>
                <c:pt idx="52">
                  <c:v>0</c:v>
                </c:pt>
                <c:pt idx="53">
                  <c:v>0</c:v>
                </c:pt>
              </c:numCache>
            </c:numRef>
          </c:val>
          <c:extLst>
            <c:ext xmlns:c16="http://schemas.microsoft.com/office/drawing/2014/chart" uri="{C3380CC4-5D6E-409C-BE32-E72D297353CC}">
              <c16:uniqueId val="{00000000-49F0-4B99-9896-D3E6A1F99F52}"/>
            </c:ext>
          </c:extLst>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auto.'!$P$233:$P$238,'Calcul auto.'!$P$239:$P$244,'Calcul auto.'!$P$263:$P$268,'Calcul auto.'!$P$269:$P$274,'Calcul auto.'!$P$293:$P$298,'Calcul auto.'!$P$299:$P$304,'Calcul auto.'!$P$317:$P$322,'Calcul auto.'!$P$323:$P$328,'Calcul auto.'!$P$335:$P$340)</c:f>
              <c:numCache>
                <c:formatCode>General</c:formatCode>
                <c:ptCount val="54"/>
                <c:pt idx="1">
                  <c:v>0</c:v>
                </c:pt>
                <c:pt idx="2">
                  <c:v>0</c:v>
                </c:pt>
                <c:pt idx="7">
                  <c:v>0</c:v>
                </c:pt>
                <c:pt idx="8">
                  <c:v>0</c:v>
                </c:pt>
                <c:pt idx="13">
                  <c:v>0</c:v>
                </c:pt>
                <c:pt idx="14">
                  <c:v>0</c:v>
                </c:pt>
                <c:pt idx="19">
                  <c:v>0</c:v>
                </c:pt>
                <c:pt idx="20">
                  <c:v>0</c:v>
                </c:pt>
                <c:pt idx="25">
                  <c:v>0</c:v>
                </c:pt>
                <c:pt idx="26">
                  <c:v>0</c:v>
                </c:pt>
                <c:pt idx="31">
                  <c:v>0</c:v>
                </c:pt>
                <c:pt idx="32">
                  <c:v>0</c:v>
                </c:pt>
                <c:pt idx="37">
                  <c:v>0</c:v>
                </c:pt>
                <c:pt idx="38">
                  <c:v>0</c:v>
                </c:pt>
                <c:pt idx="43">
                  <c:v>0</c:v>
                </c:pt>
                <c:pt idx="44">
                  <c:v>0</c:v>
                </c:pt>
                <c:pt idx="49">
                  <c:v>0</c:v>
                </c:pt>
                <c:pt idx="50">
                  <c:v>0</c:v>
                </c:pt>
              </c:numCache>
            </c:numRef>
          </c:val>
          <c:extLst>
            <c:ext xmlns:c16="http://schemas.microsoft.com/office/drawing/2014/chart" uri="{C3380CC4-5D6E-409C-BE32-E72D297353CC}">
              <c16:uniqueId val="{00000001-49F0-4B99-9896-D3E6A1F99F52}"/>
            </c:ext>
          </c:extLst>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auto.'!$Q$233:$Q$238,'Calcul auto.'!$Q$239:$Q$244,'Calcul auto.'!$Q$263:$Q$268,'Calcul auto.'!$Q$269:$Q$274,'Calcul auto.'!$Q$293:$Q$298,'Calcul auto.'!$Q$299:$Q$304,'Calcul auto.'!$Q$317:$Q$322,'Calcul auto.'!$Q$323:$Q$328,'Calcul auto.'!$Q$335:$Q$340)</c:f>
              <c:numCache>
                <c:formatCode>General</c:formatCode>
                <c:ptCount val="54"/>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pt idx="40" formatCode="0.00">
                  <c:v>0</c:v>
                </c:pt>
                <c:pt idx="41" formatCode="0.00">
                  <c:v>0</c:v>
                </c:pt>
                <c:pt idx="46" formatCode="0.00">
                  <c:v>0</c:v>
                </c:pt>
                <c:pt idx="47" formatCode="0.00">
                  <c:v>0</c:v>
                </c:pt>
                <c:pt idx="52" formatCode="0.00">
                  <c:v>0</c:v>
                </c:pt>
                <c:pt idx="53" formatCode="0.00">
                  <c:v>0</c:v>
                </c:pt>
              </c:numCache>
            </c:numRef>
          </c:val>
          <c:extLst>
            <c:ext xmlns:c16="http://schemas.microsoft.com/office/drawing/2014/chart" uri="{C3380CC4-5D6E-409C-BE32-E72D297353CC}">
              <c16:uniqueId val="{00000002-49F0-4B99-9896-D3E6A1F99F52}"/>
            </c:ext>
          </c:extLst>
        </c:ser>
        <c:ser>
          <c:idx val="3"/>
          <c:order val="3"/>
          <c:tx>
            <c:strRef>
              <c:f>'Calcul auto.'!$R$106</c:f>
              <c:strCache>
                <c:ptCount val="1"/>
                <c:pt idx="0">
                  <c:v>Equivalence fonctionnelle
vraisemblable</c:v>
                </c:pt>
              </c:strCache>
            </c:strRef>
          </c:tx>
          <c:spPr>
            <a:solidFill>
              <a:schemeClr val="tx1"/>
            </a:solidFill>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auto.'!$R$233:$R$238,'Calcul auto.'!$R$239:$R$244,'Calcul auto.'!$R$263:$R$268,'Calcul auto.'!$R$269:$R$274,'Calcul auto.'!$R$293:$R$298,'Calcul auto.'!$R$299:$R$304,'Calcul auto.'!$R$317:$R$322,'Calcul auto.'!$R$323:$R$328,'Calcul auto.'!$R$335:$R$340)</c:f>
              <c:numCache>
                <c:formatCode>General</c:formatCode>
                <c:ptCount val="54"/>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pt idx="40" formatCode="0.00">
                  <c:v>0</c:v>
                </c:pt>
                <c:pt idx="41" formatCode="0.00">
                  <c:v>0</c:v>
                </c:pt>
                <c:pt idx="46" formatCode="0.00">
                  <c:v>0</c:v>
                </c:pt>
                <c:pt idx="47" formatCode="0.00">
                  <c:v>0</c:v>
                </c:pt>
                <c:pt idx="52" formatCode="0.00">
                  <c:v>0</c:v>
                </c:pt>
                <c:pt idx="53" formatCode="0.00">
                  <c:v>0</c:v>
                </c:pt>
              </c:numCache>
            </c:numRef>
          </c:val>
          <c:extLst>
            <c:ext xmlns:c16="http://schemas.microsoft.com/office/drawing/2014/chart" uri="{C3380CC4-5D6E-409C-BE32-E72D297353CC}">
              <c16:uniqueId val="{00000003-49F0-4B99-9896-D3E6A1F99F52}"/>
            </c:ext>
          </c:extLst>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auto.'!$S$233:$S$238,'Calcul auto.'!$S$239:$S$244,'Calcul auto.'!$S$263:$S$268,'Calcul auto.'!$S$269:$S$274,'Calcul auto.'!$S$293:$S$298,'Calcul auto.'!$S$299:$S$304,'Calcul auto.'!$S$317:$S$322,'Calcul auto.'!$S$323:$S$328,'Calcul auto.'!$S$335:$S$340)</c:f>
              <c:numCache>
                <c:formatCode>General</c:formatCode>
                <c:ptCount val="54"/>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pt idx="40" formatCode="0.00">
                  <c:v>0</c:v>
                </c:pt>
                <c:pt idx="41" formatCode="0.00">
                  <c:v>0</c:v>
                </c:pt>
                <c:pt idx="46" formatCode="0.00">
                  <c:v>0</c:v>
                </c:pt>
                <c:pt idx="47" formatCode="0.00">
                  <c:v>0</c:v>
                </c:pt>
                <c:pt idx="52" formatCode="0.00">
                  <c:v>0</c:v>
                </c:pt>
                <c:pt idx="53" formatCode="0.00">
                  <c:v>0</c:v>
                </c:pt>
              </c:numCache>
            </c:numRef>
          </c:val>
          <c:extLst>
            <c:ext xmlns:c16="http://schemas.microsoft.com/office/drawing/2014/chart" uri="{C3380CC4-5D6E-409C-BE32-E72D297353CC}">
              <c16:uniqueId val="{00000004-49F0-4B99-9896-D3E6A1F99F52}"/>
            </c:ext>
          </c:extLst>
        </c:ser>
        <c:dLbls>
          <c:showLegendKey val="0"/>
          <c:showVal val="0"/>
          <c:showCatName val="0"/>
          <c:showSerName val="0"/>
          <c:showPercent val="0"/>
          <c:showBubbleSize val="0"/>
        </c:dLbls>
        <c:gapWidth val="150"/>
        <c:overlap val="100"/>
        <c:axId val="256345256"/>
        <c:axId val="256345648"/>
      </c:barChart>
      <c:catAx>
        <c:axId val="256345256"/>
        <c:scaling>
          <c:orientation val="minMax"/>
        </c:scaling>
        <c:delete val="0"/>
        <c:axPos val="b"/>
        <c:numFmt formatCode="General" sourceLinked="0"/>
        <c:majorTickMark val="out"/>
        <c:minorTickMark val="none"/>
        <c:tickLblPos val="nextTo"/>
        <c:txPr>
          <a:bodyPr/>
          <a:lstStyle/>
          <a:p>
            <a:pPr>
              <a:defRPr sz="1600"/>
            </a:pPr>
            <a:endParaRPr lang="fr-FR"/>
          </a:p>
        </c:txPr>
        <c:crossAx val="256345648"/>
        <c:crosses val="autoZero"/>
        <c:auto val="1"/>
        <c:lblAlgn val="ctr"/>
        <c:lblOffset val="100"/>
        <c:noMultiLvlLbl val="0"/>
      </c:catAx>
      <c:valAx>
        <c:axId val="256345648"/>
        <c:scaling>
          <c:orientation val="minMax"/>
        </c:scaling>
        <c:delete val="0"/>
        <c:axPos val="l"/>
        <c:title>
          <c:tx>
            <c:rich>
              <a:bodyPr rot="-5400000" vert="horz"/>
              <a:lstStyle/>
              <a:p>
                <a:pPr>
                  <a:defRPr sz="1800" b="0"/>
                </a:pPr>
                <a:r>
                  <a:rPr lang="fr-FR" sz="1800" b="0"/>
                  <a:t>Valeur</a:t>
                </a:r>
                <a:r>
                  <a:rPr lang="fr-FR" sz="1800" b="0" baseline="0"/>
                  <a:t> absolue de l'indicateur</a:t>
                </a:r>
                <a:endParaRPr lang="fr-FR" sz="1800" b="0"/>
              </a:p>
            </c:rich>
          </c:tx>
          <c:layout>
            <c:manualLayout>
              <c:xMode val="edge"/>
              <c:yMode val="edge"/>
              <c:x val="4.4563472141072105E-3"/>
              <c:y val="0.13695785943423738"/>
            </c:manualLayout>
          </c:layout>
          <c:overlay val="0"/>
        </c:title>
        <c:numFmt formatCode="0.0" sourceLinked="0"/>
        <c:majorTickMark val="out"/>
        <c:minorTickMark val="none"/>
        <c:tickLblPos val="nextTo"/>
        <c:txPr>
          <a:bodyPr/>
          <a:lstStyle/>
          <a:p>
            <a:pPr>
              <a:defRPr sz="1800"/>
            </a:pPr>
            <a:endParaRPr lang="fr-FR"/>
          </a:p>
        </c:txPr>
        <c:crossAx val="256345256"/>
        <c:crosses val="autoZero"/>
        <c:crossBetween val="between"/>
      </c:valAx>
    </c:plotArea>
    <c:legend>
      <c:legendPos val="r"/>
      <c:legendEntry>
        <c:idx val="4"/>
        <c:delete val="1"/>
      </c:legendEntry>
      <c:layout>
        <c:manualLayout>
          <c:xMode val="edge"/>
          <c:yMode val="edge"/>
          <c:x val="0"/>
          <c:y val="9.0026246719159995E-4"/>
          <c:w val="1"/>
          <c:h val="9.4495771361913158E-2"/>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25523026979447E-2"/>
          <c:y val="2.5083260425780112E-2"/>
          <c:w val="0.80201171804559623"/>
          <c:h val="0.41734179060950716"/>
        </c:manualLayout>
      </c:layout>
      <c:barChart>
        <c:barDir val="col"/>
        <c:grouping val="stacked"/>
        <c:varyColors val="0"/>
        <c:ser>
          <c:idx val="0"/>
          <c:order val="0"/>
          <c:tx>
            <c:strRef>
              <c:f>'Calcul auto.'!$O$106</c:f>
              <c:strCache>
                <c:ptCount val="1"/>
                <c:pt idx="0">
                  <c:v>Fonction de base</c:v>
                </c:pt>
              </c:strCache>
            </c:strRef>
          </c:tx>
          <c:spPr>
            <a:no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auto.'!$O$209:$O$214,'Calcul auto.'!$O$215:$O$220,'Calcul auto.'!$O$245:$O$250,'Calcul auto.'!$O$341:$O$346,'Calcul auto.'!$O$347:$O$352,'Calcul auto.'!$O$353:$O$358)</c:f>
              <c:numCache>
                <c:formatCode>0.00</c:formatCode>
                <c:ptCount val="36"/>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pt idx="30" formatCode="0.000">
                  <c:v>0</c:v>
                </c:pt>
                <c:pt idx="31">
                  <c:v>0</c:v>
                </c:pt>
                <c:pt idx="32" formatCode="0.000">
                  <c:v>0</c:v>
                </c:pt>
                <c:pt idx="33" formatCode="0.000">
                  <c:v>0</c:v>
                </c:pt>
                <c:pt idx="34">
                  <c:v>0</c:v>
                </c:pt>
                <c:pt idx="35">
                  <c:v>0</c:v>
                </c:pt>
              </c:numCache>
            </c:numRef>
          </c:val>
          <c:extLst>
            <c:ext xmlns:c16="http://schemas.microsoft.com/office/drawing/2014/chart" uri="{C3380CC4-5D6E-409C-BE32-E72D297353CC}">
              <c16:uniqueId val="{00000000-C2E0-4B77-9E5C-B43E643E87BB}"/>
            </c:ext>
          </c:extLst>
        </c:ser>
        <c:ser>
          <c:idx val="1"/>
          <c:order val="1"/>
          <c:tx>
            <c:strRef>
              <c:f>'Calcul auto.'!$P$106</c:f>
              <c:strCache>
                <c:ptCount val="1"/>
                <c:pt idx="0">
                  <c:v>Perte fonctionnelle</c:v>
                </c:pt>
              </c:strCache>
            </c:strRef>
          </c:tx>
          <c:spPr>
            <a:noFill/>
            <a:ln w="28575">
              <a:solidFill>
                <a:schemeClr val="tx1"/>
              </a:solidFill>
              <a:prstDash val="dash"/>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auto.'!$P$209:$P$214,'Calcul auto.'!$P$215:$P$220,'Calcul auto.'!$P$245:$P$250,'Calcul auto.'!$P$341:$P$346,'Calcul auto.'!$P$347:$P$352,'Calcul auto.'!$P$353:$P$358)</c:f>
              <c:numCache>
                <c:formatCode>General</c:formatCode>
                <c:ptCount val="36"/>
                <c:pt idx="1">
                  <c:v>0</c:v>
                </c:pt>
                <c:pt idx="2">
                  <c:v>0</c:v>
                </c:pt>
                <c:pt idx="7">
                  <c:v>0</c:v>
                </c:pt>
                <c:pt idx="8">
                  <c:v>0</c:v>
                </c:pt>
                <c:pt idx="13">
                  <c:v>0</c:v>
                </c:pt>
                <c:pt idx="14">
                  <c:v>0</c:v>
                </c:pt>
                <c:pt idx="19">
                  <c:v>0</c:v>
                </c:pt>
                <c:pt idx="20">
                  <c:v>0</c:v>
                </c:pt>
                <c:pt idx="25">
                  <c:v>0</c:v>
                </c:pt>
                <c:pt idx="26">
                  <c:v>0</c:v>
                </c:pt>
                <c:pt idx="31">
                  <c:v>0</c:v>
                </c:pt>
                <c:pt idx="32">
                  <c:v>0</c:v>
                </c:pt>
              </c:numCache>
            </c:numRef>
          </c:val>
          <c:extLst>
            <c:ext xmlns:c16="http://schemas.microsoft.com/office/drawing/2014/chart" uri="{C3380CC4-5D6E-409C-BE32-E72D297353CC}">
              <c16:uniqueId val="{00000001-C2E0-4B77-9E5C-B43E643E87BB}"/>
            </c:ext>
          </c:extLst>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auto.'!$Q$209:$Q$214,'Calcul auto.'!$Q$215:$Q$220,'Calcul auto.'!$Q$245:$Q$250,'Calcul auto.'!$Q$341:$Q$346,'Calcul auto.'!$Q$347:$Q$352,'Calcul auto.'!$Q$353:$Q$358)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extLst>
            <c:ext xmlns:c16="http://schemas.microsoft.com/office/drawing/2014/chart" uri="{C3380CC4-5D6E-409C-BE32-E72D297353CC}">
              <c16:uniqueId val="{00000002-C2E0-4B77-9E5C-B43E643E87BB}"/>
            </c:ext>
          </c:extLst>
        </c:ser>
        <c:ser>
          <c:idx val="3"/>
          <c:order val="3"/>
          <c:tx>
            <c:strRef>
              <c:f>'Calcul auto.'!$R$106</c:f>
              <c:strCache>
                <c:ptCount val="1"/>
                <c:pt idx="0">
                  <c:v>Equivalence fonctionnelle
vraisemblable</c:v>
                </c:pt>
              </c:strCache>
            </c:strRef>
          </c:tx>
          <c:spPr>
            <a:solidFill>
              <a:schemeClr val="tx1"/>
            </a:solidFill>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auto.'!$R$209:$R$214,'Calcul auto.'!$R$215:$R$220,'Calcul auto.'!$R$245:$R$250,'Calcul auto.'!$R$341:$R$346,'Calcul auto.'!$R$347:$R$352,'Calcul auto.'!$R$353:$R$358)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extLst>
            <c:ext xmlns:c16="http://schemas.microsoft.com/office/drawing/2014/chart" uri="{C3380CC4-5D6E-409C-BE32-E72D297353CC}">
              <c16:uniqueId val="{00000003-C2E0-4B77-9E5C-B43E643E87BB}"/>
            </c:ext>
          </c:extLst>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auto.'!$S$209:$S$214,'Calcul auto.'!$S$215:$S$220,'Calcul auto.'!$S$245:$S$250,'Calcul auto.'!$S$341:$S$346,'Calcul auto.'!$S$347:$S$352,'Calcul auto.'!$S$353:$S$358)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extLst>
            <c:ext xmlns:c16="http://schemas.microsoft.com/office/drawing/2014/chart" uri="{C3380CC4-5D6E-409C-BE32-E72D297353CC}">
              <c16:uniqueId val="{00000004-C2E0-4B77-9E5C-B43E643E87BB}"/>
            </c:ext>
          </c:extLst>
        </c:ser>
        <c:dLbls>
          <c:showLegendKey val="0"/>
          <c:showVal val="0"/>
          <c:showCatName val="0"/>
          <c:showSerName val="0"/>
          <c:showPercent val="0"/>
          <c:showBubbleSize val="0"/>
        </c:dLbls>
        <c:gapWidth val="150"/>
        <c:overlap val="100"/>
        <c:axId val="257102144"/>
        <c:axId val="257102536"/>
      </c:barChart>
      <c:catAx>
        <c:axId val="257102144"/>
        <c:scaling>
          <c:orientation val="minMax"/>
        </c:scaling>
        <c:delete val="0"/>
        <c:axPos val="b"/>
        <c:numFmt formatCode="General" sourceLinked="0"/>
        <c:majorTickMark val="out"/>
        <c:minorTickMark val="none"/>
        <c:tickLblPos val="nextTo"/>
        <c:txPr>
          <a:bodyPr/>
          <a:lstStyle/>
          <a:p>
            <a:pPr>
              <a:defRPr sz="1800"/>
            </a:pPr>
            <a:endParaRPr lang="fr-FR"/>
          </a:p>
        </c:txPr>
        <c:crossAx val="257102536"/>
        <c:crosses val="autoZero"/>
        <c:auto val="1"/>
        <c:lblAlgn val="ctr"/>
        <c:lblOffset val="100"/>
        <c:noMultiLvlLbl val="0"/>
      </c:catAx>
      <c:valAx>
        <c:axId val="257102536"/>
        <c:scaling>
          <c:orientation val="minMax"/>
        </c:scaling>
        <c:delete val="0"/>
        <c:axPos val="l"/>
        <c:title>
          <c:tx>
            <c:rich>
              <a:bodyPr rot="-5400000" vert="horz"/>
              <a:lstStyle/>
              <a:p>
                <a:pPr>
                  <a:defRPr sz="1800" b="0"/>
                </a:pPr>
                <a:r>
                  <a:rPr lang="fr-FR" sz="1800" b="0"/>
                  <a:t>Valeur absolue de l'indicateur</a:t>
                </a:r>
              </a:p>
            </c:rich>
          </c:tx>
          <c:layout>
            <c:manualLayout>
              <c:xMode val="edge"/>
              <c:yMode val="edge"/>
              <c:x val="9.2540576665969769E-5"/>
              <c:y val="2.8166083406240886E-2"/>
            </c:manualLayout>
          </c:layout>
          <c:overlay val="0"/>
        </c:title>
        <c:numFmt formatCode="0.0" sourceLinked="0"/>
        <c:majorTickMark val="out"/>
        <c:minorTickMark val="none"/>
        <c:tickLblPos val="nextTo"/>
        <c:txPr>
          <a:bodyPr/>
          <a:lstStyle/>
          <a:p>
            <a:pPr>
              <a:defRPr sz="1800"/>
            </a:pPr>
            <a:endParaRPr lang="fr-FR"/>
          </a:p>
        </c:txPr>
        <c:crossAx val="257102144"/>
        <c:crosses val="autoZero"/>
        <c:crossBetween val="between"/>
      </c:valAx>
    </c:plotArea>
    <c:legend>
      <c:legendPos val="r"/>
      <c:legendEntry>
        <c:idx val="4"/>
        <c:delete val="1"/>
      </c:legendEntry>
      <c:layout>
        <c:manualLayout>
          <c:xMode val="edge"/>
          <c:yMode val="edge"/>
          <c:x val="0.86179197981246325"/>
          <c:y val="3.2381743948673096E-2"/>
          <c:w val="0.13337816269305247"/>
          <c:h val="0.96486614173228336"/>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25</xdr:col>
      <xdr:colOff>452436</xdr:colOff>
      <xdr:row>140</xdr:row>
      <xdr:rowOff>107151</xdr:rowOff>
    </xdr:from>
    <xdr:to>
      <xdr:col>27</xdr:col>
      <xdr:colOff>447561</xdr:colOff>
      <xdr:row>144</xdr:row>
      <xdr:rowOff>136026</xdr:rowOff>
    </xdr:to>
    <xdr:sp macro="" textlink="">
      <xdr:nvSpPr>
        <xdr:cNvPr id="2" name="Flèche droite 1">
          <a:extLst>
            <a:ext uri="{FF2B5EF4-FFF2-40B4-BE49-F238E27FC236}">
              <a16:creationId xmlns:a16="http://schemas.microsoft.com/office/drawing/2014/main" id="{00000000-0008-0000-0600-000002000000}"/>
            </a:ext>
          </a:extLst>
        </xdr:cNvPr>
        <xdr:cNvSpPr/>
      </xdr:nvSpPr>
      <xdr:spPr>
        <a:xfrm>
          <a:off x="11525249" y="21776526"/>
          <a:ext cx="900000" cy="648000"/>
        </a:xfrm>
        <a:prstGeom prst="right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26</xdr:col>
      <xdr:colOff>84666</xdr:colOff>
      <xdr:row>164</xdr:row>
      <xdr:rowOff>149680</xdr:rowOff>
    </xdr:from>
    <xdr:to>
      <xdr:col>28</xdr:col>
      <xdr:colOff>79791</xdr:colOff>
      <xdr:row>169</xdr:row>
      <xdr:rowOff>23774</xdr:rowOff>
    </xdr:to>
    <xdr:sp macro="" textlink="">
      <xdr:nvSpPr>
        <xdr:cNvPr id="3" name="Flèche vers le bas 2">
          <a:extLst>
            <a:ext uri="{FF2B5EF4-FFF2-40B4-BE49-F238E27FC236}">
              <a16:creationId xmlns:a16="http://schemas.microsoft.com/office/drawing/2014/main" id="{00000000-0008-0000-0600-000003000000}"/>
            </a:ext>
          </a:extLst>
        </xdr:cNvPr>
        <xdr:cNvSpPr/>
      </xdr:nvSpPr>
      <xdr:spPr>
        <a:xfrm>
          <a:off x="11609916" y="25533805"/>
          <a:ext cx="900000" cy="648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297657</xdr:colOff>
      <xdr:row>268</xdr:row>
      <xdr:rowOff>0</xdr:rowOff>
    </xdr:from>
    <xdr:to>
      <xdr:col>19</xdr:col>
      <xdr:colOff>141553</xdr:colOff>
      <xdr:row>269</xdr:row>
      <xdr:rowOff>71438</xdr:rowOff>
    </xdr:to>
    <xdr:sp macro="" textlink="">
      <xdr:nvSpPr>
        <xdr:cNvPr id="4" name="Flèche vers le bas 3">
          <a:extLst>
            <a:ext uri="{FF2B5EF4-FFF2-40B4-BE49-F238E27FC236}">
              <a16:creationId xmlns:a16="http://schemas.microsoft.com/office/drawing/2014/main" id="{00000000-0008-0000-0600-000004000000}"/>
            </a:ext>
          </a:extLst>
        </xdr:cNvPr>
        <xdr:cNvSpPr/>
      </xdr:nvSpPr>
      <xdr:spPr>
        <a:xfrm>
          <a:off x="7750970" y="39469219"/>
          <a:ext cx="748771" cy="226219"/>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278947</xdr:colOff>
      <xdr:row>26</xdr:row>
      <xdr:rowOff>136071</xdr:rowOff>
    </xdr:from>
    <xdr:to>
      <xdr:col>16</xdr:col>
      <xdr:colOff>350385</xdr:colOff>
      <xdr:row>29</xdr:row>
      <xdr:rowOff>141173</xdr:rowOff>
    </xdr:to>
    <xdr:sp macro="" textlink="">
      <xdr:nvSpPr>
        <xdr:cNvPr id="2" name="Flèche vers le bas 1">
          <a:extLst>
            <a:ext uri="{FF2B5EF4-FFF2-40B4-BE49-F238E27FC236}">
              <a16:creationId xmlns:a16="http://schemas.microsoft.com/office/drawing/2014/main" id="{00000000-0008-0000-0700-000002000000}"/>
            </a:ext>
          </a:extLst>
        </xdr:cNvPr>
        <xdr:cNvSpPr/>
      </xdr:nvSpPr>
      <xdr:spPr>
        <a:xfrm>
          <a:off x="6565447" y="4027714"/>
          <a:ext cx="969509" cy="454138"/>
        </a:xfrm>
        <a:prstGeom prst="down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278947</xdr:colOff>
      <xdr:row>180</xdr:row>
      <xdr:rowOff>136071</xdr:rowOff>
    </xdr:from>
    <xdr:to>
      <xdr:col>16</xdr:col>
      <xdr:colOff>350385</xdr:colOff>
      <xdr:row>183</xdr:row>
      <xdr:rowOff>141173</xdr:rowOff>
    </xdr:to>
    <xdr:sp macro="" textlink="">
      <xdr:nvSpPr>
        <xdr:cNvPr id="4" name="Flèche vers le bas 3">
          <a:extLst>
            <a:ext uri="{FF2B5EF4-FFF2-40B4-BE49-F238E27FC236}">
              <a16:creationId xmlns:a16="http://schemas.microsoft.com/office/drawing/2014/main" id="{00000000-0008-0000-0700-000004000000}"/>
            </a:ext>
          </a:extLst>
        </xdr:cNvPr>
        <xdr:cNvSpPr/>
      </xdr:nvSpPr>
      <xdr:spPr>
        <a:xfrm>
          <a:off x="6565447" y="4027714"/>
          <a:ext cx="969509" cy="454138"/>
        </a:xfrm>
        <a:prstGeom prst="down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435428</xdr:colOff>
      <xdr:row>8</xdr:row>
      <xdr:rowOff>13607</xdr:rowOff>
    </xdr:from>
    <xdr:to>
      <xdr:col>36</xdr:col>
      <xdr:colOff>-1</xdr:colOff>
      <xdr:row>26</xdr:row>
      <xdr:rowOff>13607</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36</xdr:col>
      <xdr:colOff>0</xdr:colOff>
      <xdr:row>59</xdr:row>
      <xdr:rowOff>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421822</xdr:colOff>
      <xdr:row>69</xdr:row>
      <xdr:rowOff>40822</xdr:rowOff>
    </xdr:from>
    <xdr:to>
      <xdr:col>35</xdr:col>
      <xdr:colOff>421822</xdr:colOff>
      <xdr:row>87</xdr:row>
      <xdr:rowOff>40822</xdr:rowOff>
    </xdr:to>
    <xdr:graphicFrame macro="">
      <xdr:nvGraphicFramePr>
        <xdr:cNvPr id="6" name="Graphique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421822</xdr:colOff>
      <xdr:row>97</xdr:row>
      <xdr:rowOff>0</xdr:rowOff>
    </xdr:from>
    <xdr:to>
      <xdr:col>36</xdr:col>
      <xdr:colOff>0</xdr:colOff>
      <xdr:row>115</xdr:row>
      <xdr:rowOff>0</xdr:rowOff>
    </xdr:to>
    <xdr:graphicFrame macro="">
      <xdr:nvGraphicFramePr>
        <xdr:cNvPr id="7" name="Graphique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40822</xdr:colOff>
      <xdr:row>153</xdr:row>
      <xdr:rowOff>0</xdr:rowOff>
    </xdr:from>
    <xdr:to>
      <xdr:col>36</xdr:col>
      <xdr:colOff>40821</xdr:colOff>
      <xdr:row>171</xdr:row>
      <xdr:rowOff>0</xdr:rowOff>
    </xdr:to>
    <xdr:graphicFrame macro="">
      <xdr:nvGraphicFramePr>
        <xdr:cNvPr id="9" name="Graphique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398318</xdr:colOff>
      <xdr:row>125</xdr:row>
      <xdr:rowOff>0</xdr:rowOff>
    </xdr:from>
    <xdr:to>
      <xdr:col>35</xdr:col>
      <xdr:colOff>415636</xdr:colOff>
      <xdr:row>143</xdr:row>
      <xdr:rowOff>0</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pageSetUpPr fitToPage="1"/>
  </sheetPr>
  <dimension ref="A1:AB900"/>
  <sheetViews>
    <sheetView showGridLines="0" showRowColHeaders="0" tabSelected="1" view="pageBreakPreview" zoomScale="75" zoomScaleNormal="100" zoomScaleSheetLayoutView="75" workbookViewId="0">
      <selection activeCell="B1" sqref="B1:Z3"/>
    </sheetView>
  </sheetViews>
  <sheetFormatPr baseColWidth="10" defaultColWidth="11" defaultRowHeight="18" customHeight="1" x14ac:dyDescent="0.2"/>
  <cols>
    <col min="1" max="4" width="7.5" style="339" customWidth="1"/>
    <col min="5" max="5" width="6.75" style="339" customWidth="1"/>
    <col min="6" max="6" width="7" style="339" customWidth="1"/>
    <col min="7" max="13" width="7.5" style="339" customWidth="1"/>
    <col min="14" max="15" width="4.25" style="339" customWidth="1"/>
    <col min="16" max="16" width="4.5" style="338" customWidth="1"/>
    <col min="17" max="25" width="4.25" style="339" customWidth="1"/>
    <col min="26" max="26" width="4.5" style="339" customWidth="1"/>
    <col min="27" max="28" width="4.375" style="339" customWidth="1"/>
    <col min="29" max="16384" width="11" style="339"/>
  </cols>
  <sheetData>
    <row r="1" spans="1:28" ht="18" customHeight="1" x14ac:dyDescent="0.2">
      <c r="A1" s="333"/>
      <c r="B1" s="707" t="s">
        <v>386</v>
      </c>
      <c r="C1" s="707"/>
      <c r="D1" s="707"/>
      <c r="E1" s="707"/>
      <c r="F1" s="707"/>
      <c r="G1" s="707"/>
      <c r="H1" s="707"/>
      <c r="I1" s="707"/>
      <c r="J1" s="707"/>
      <c r="K1" s="707"/>
      <c r="L1" s="707"/>
      <c r="M1" s="707"/>
      <c r="N1" s="707"/>
      <c r="O1" s="707"/>
      <c r="P1" s="707"/>
      <c r="Q1" s="707"/>
      <c r="R1" s="707"/>
      <c r="S1" s="707"/>
      <c r="T1" s="707"/>
      <c r="U1" s="707"/>
      <c r="V1" s="707"/>
      <c r="W1" s="707"/>
      <c r="X1" s="707"/>
      <c r="Y1" s="707"/>
      <c r="Z1" s="707"/>
      <c r="AA1" s="334"/>
      <c r="AB1" s="334"/>
    </row>
    <row r="2" spans="1:28" ht="18" customHeight="1" x14ac:dyDescent="0.2">
      <c r="A2" s="333"/>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334"/>
      <c r="AB2" s="334"/>
    </row>
    <row r="3" spans="1:28" ht="18" customHeight="1" x14ac:dyDescent="0.2">
      <c r="A3" s="333"/>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334"/>
      <c r="AB3" s="334"/>
    </row>
    <row r="4" spans="1:28" ht="18" customHeight="1" x14ac:dyDescent="0.2">
      <c r="A4" s="333"/>
      <c r="B4" s="706" t="s">
        <v>502</v>
      </c>
      <c r="C4" s="706"/>
      <c r="D4" s="706"/>
      <c r="E4" s="706"/>
      <c r="F4" s="706"/>
      <c r="G4" s="706"/>
      <c r="H4" s="706"/>
      <c r="I4" s="706"/>
      <c r="J4" s="706"/>
      <c r="K4" s="706"/>
      <c r="L4" s="706"/>
      <c r="M4" s="706"/>
      <c r="N4" s="706"/>
      <c r="O4" s="706"/>
      <c r="P4" s="706"/>
      <c r="Q4" s="706"/>
      <c r="R4" s="706"/>
      <c r="S4" s="706"/>
      <c r="T4" s="706"/>
      <c r="U4" s="706"/>
      <c r="V4" s="706"/>
      <c r="W4" s="706"/>
      <c r="X4" s="706"/>
      <c r="Y4" s="706"/>
      <c r="Z4" s="706"/>
      <c r="AA4" s="335"/>
      <c r="AB4" s="335"/>
    </row>
    <row r="5" spans="1:28" ht="18" customHeight="1" x14ac:dyDescent="0.2">
      <c r="A5" s="333"/>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335"/>
      <c r="AB5" s="335"/>
    </row>
    <row r="6" spans="1:28" ht="18" customHeight="1" x14ac:dyDescent="0.2">
      <c r="A6" s="333"/>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335"/>
      <c r="AB6" s="335"/>
    </row>
    <row r="7" spans="1:28" ht="18" customHeight="1" x14ac:dyDescent="0.2">
      <c r="A7" s="333"/>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335"/>
      <c r="AB7" s="335"/>
    </row>
    <row r="8" spans="1:28" ht="18" customHeight="1" x14ac:dyDescent="0.2">
      <c r="A8" s="333"/>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335"/>
      <c r="AB8" s="335"/>
    </row>
    <row r="9" spans="1:28" ht="18" customHeight="1" x14ac:dyDescent="0.2">
      <c r="A9" s="333"/>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335"/>
      <c r="AB9" s="335"/>
    </row>
    <row r="10" spans="1:28" ht="18" customHeight="1" x14ac:dyDescent="0.2">
      <c r="A10" s="333"/>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335"/>
      <c r="AB10" s="335"/>
    </row>
    <row r="11" spans="1:28" ht="18" customHeight="1" x14ac:dyDescent="0.2">
      <c r="A11" s="333"/>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335"/>
      <c r="AB11" s="335"/>
    </row>
    <row r="12" spans="1:28" ht="18" customHeight="1" x14ac:dyDescent="0.2">
      <c r="A12" s="333"/>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335"/>
      <c r="AB12" s="335"/>
    </row>
    <row r="13" spans="1:28" ht="18" customHeight="1" x14ac:dyDescent="0.2">
      <c r="A13" s="333"/>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335"/>
      <c r="AB13" s="335"/>
    </row>
    <row r="14" spans="1:28" ht="18" customHeight="1" x14ac:dyDescent="0.2">
      <c r="A14" s="333"/>
      <c r="B14" s="706"/>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335"/>
      <c r="AB14" s="335"/>
    </row>
    <row r="15" spans="1:28" ht="18" customHeight="1" x14ac:dyDescent="0.2">
      <c r="A15" s="333"/>
      <c r="B15" s="336" t="s">
        <v>1527</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2">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2">
      <c r="A17" s="333"/>
      <c r="B17" s="333"/>
      <c r="C17" s="708" t="s">
        <v>546</v>
      </c>
      <c r="D17" s="709"/>
      <c r="E17" s="709"/>
      <c r="F17" s="709"/>
      <c r="G17" s="709"/>
      <c r="H17" s="709"/>
      <c r="I17" s="709"/>
      <c r="J17" s="709"/>
      <c r="K17" s="709"/>
      <c r="L17" s="709"/>
      <c r="M17" s="709"/>
      <c r="N17" s="709"/>
      <c r="O17" s="709"/>
      <c r="P17" s="709"/>
      <c r="Q17" s="709"/>
      <c r="R17" s="709"/>
      <c r="S17" s="709"/>
      <c r="T17" s="709"/>
      <c r="U17" s="709"/>
      <c r="V17" s="709"/>
      <c r="W17" s="709"/>
      <c r="X17" s="709"/>
      <c r="Y17" s="710"/>
      <c r="Z17" s="333"/>
      <c r="AA17" s="333"/>
      <c r="AB17" s="333"/>
    </row>
    <row r="18" spans="1:28" ht="18" customHeight="1" x14ac:dyDescent="0.2">
      <c r="A18" s="333"/>
      <c r="B18" s="333"/>
      <c r="C18" s="711"/>
      <c r="D18" s="712"/>
      <c r="E18" s="712"/>
      <c r="F18" s="712"/>
      <c r="G18" s="712"/>
      <c r="H18" s="712"/>
      <c r="I18" s="712"/>
      <c r="J18" s="712"/>
      <c r="K18" s="712"/>
      <c r="L18" s="712"/>
      <c r="M18" s="712"/>
      <c r="N18" s="712"/>
      <c r="O18" s="712"/>
      <c r="P18" s="712"/>
      <c r="Q18" s="712"/>
      <c r="R18" s="712"/>
      <c r="S18" s="712"/>
      <c r="T18" s="712"/>
      <c r="U18" s="712"/>
      <c r="V18" s="712"/>
      <c r="W18" s="712"/>
      <c r="X18" s="712"/>
      <c r="Y18" s="713"/>
      <c r="Z18" s="333"/>
      <c r="AA18" s="333"/>
      <c r="AB18" s="333"/>
    </row>
    <row r="19" spans="1:28" ht="18" customHeight="1" x14ac:dyDescent="0.2">
      <c r="A19" s="333"/>
      <c r="B19" s="333"/>
      <c r="C19" s="711"/>
      <c r="D19" s="712"/>
      <c r="E19" s="712"/>
      <c r="F19" s="712"/>
      <c r="G19" s="712"/>
      <c r="H19" s="712"/>
      <c r="I19" s="712"/>
      <c r="J19" s="712"/>
      <c r="K19" s="712"/>
      <c r="L19" s="712"/>
      <c r="M19" s="712"/>
      <c r="N19" s="712"/>
      <c r="O19" s="712"/>
      <c r="P19" s="712"/>
      <c r="Q19" s="712"/>
      <c r="R19" s="712"/>
      <c r="S19" s="712"/>
      <c r="T19" s="712"/>
      <c r="U19" s="712"/>
      <c r="V19" s="712"/>
      <c r="W19" s="712"/>
      <c r="X19" s="712"/>
      <c r="Y19" s="713"/>
      <c r="Z19" s="333"/>
      <c r="AA19" s="333"/>
      <c r="AB19" s="333"/>
    </row>
    <row r="20" spans="1:28" ht="18" customHeight="1" x14ac:dyDescent="0.2">
      <c r="A20" s="333"/>
      <c r="B20" s="333"/>
      <c r="C20" s="714"/>
      <c r="D20" s="715"/>
      <c r="E20" s="715"/>
      <c r="F20" s="715"/>
      <c r="G20" s="715"/>
      <c r="H20" s="715"/>
      <c r="I20" s="715"/>
      <c r="J20" s="715"/>
      <c r="K20" s="715"/>
      <c r="L20" s="715"/>
      <c r="M20" s="715"/>
      <c r="N20" s="715"/>
      <c r="O20" s="715"/>
      <c r="P20" s="715"/>
      <c r="Q20" s="715"/>
      <c r="R20" s="715"/>
      <c r="S20" s="715"/>
      <c r="T20" s="715"/>
      <c r="U20" s="715"/>
      <c r="V20" s="715"/>
      <c r="W20" s="715"/>
      <c r="X20" s="715"/>
      <c r="Y20" s="716"/>
      <c r="Z20" s="333"/>
      <c r="AA20" s="333"/>
      <c r="AB20" s="333"/>
    </row>
    <row r="21" spans="1:28" ht="18" customHeight="1" x14ac:dyDescent="0.2">
      <c r="A21" s="337"/>
      <c r="B21" s="337"/>
      <c r="C21" s="337"/>
      <c r="D21" s="337"/>
      <c r="E21" s="337"/>
      <c r="F21" s="337"/>
      <c r="G21" s="337"/>
      <c r="H21" s="337"/>
      <c r="I21" s="337"/>
      <c r="J21" s="337"/>
      <c r="K21" s="337"/>
      <c r="L21" s="337"/>
      <c r="M21" s="337"/>
      <c r="N21" s="337"/>
      <c r="O21" s="337"/>
    </row>
    <row r="22" spans="1:28" ht="18" customHeight="1" x14ac:dyDescent="0.2">
      <c r="A22" s="337"/>
      <c r="B22" s="337"/>
      <c r="C22" s="337"/>
      <c r="D22" s="337"/>
      <c r="E22" s="337"/>
      <c r="F22" s="337"/>
      <c r="G22" s="337"/>
      <c r="H22" s="337"/>
      <c r="I22" s="337"/>
      <c r="J22" s="337"/>
      <c r="K22" s="337"/>
      <c r="L22" s="337"/>
      <c r="M22" s="337"/>
      <c r="N22" s="337"/>
      <c r="O22" s="337"/>
    </row>
    <row r="23" spans="1:28" s="342" customFormat="1" ht="36" customHeight="1" x14ac:dyDescent="0.2">
      <c r="A23" s="340"/>
      <c r="B23" s="340"/>
      <c r="C23" s="341">
        <v>1</v>
      </c>
      <c r="D23" s="695" t="s">
        <v>381</v>
      </c>
      <c r="E23" s="696"/>
      <c r="F23" s="696"/>
      <c r="G23" s="696"/>
      <c r="H23" s="696"/>
      <c r="I23" s="696"/>
      <c r="J23" s="696"/>
      <c r="K23" s="696"/>
      <c r="L23" s="696"/>
      <c r="M23" s="696"/>
      <c r="N23" s="696"/>
      <c r="O23" s="696"/>
      <c r="P23" s="696"/>
      <c r="Q23" s="696"/>
      <c r="R23" s="696"/>
      <c r="S23" s="696"/>
      <c r="T23" s="696"/>
      <c r="U23" s="696"/>
      <c r="V23" s="696"/>
      <c r="W23" s="696"/>
      <c r="X23" s="696"/>
      <c r="Y23" s="697"/>
    </row>
    <row r="24" spans="1:28" ht="18" customHeight="1" x14ac:dyDescent="0.2">
      <c r="A24" s="337"/>
      <c r="B24" s="337"/>
      <c r="C24" s="337"/>
      <c r="D24" s="337"/>
      <c r="E24" s="337"/>
      <c r="F24" s="337"/>
      <c r="G24" s="337"/>
      <c r="H24" s="337"/>
      <c r="I24" s="337"/>
      <c r="J24" s="337"/>
      <c r="K24" s="337"/>
      <c r="L24" s="337"/>
      <c r="M24" s="337"/>
      <c r="N24" s="337"/>
      <c r="O24" s="337"/>
    </row>
    <row r="25" spans="1:28" ht="18" customHeight="1" x14ac:dyDescent="0.2">
      <c r="A25" s="337"/>
      <c r="B25" s="337"/>
      <c r="C25" s="337"/>
      <c r="D25" s="337"/>
      <c r="E25" s="337"/>
      <c r="F25" s="337"/>
      <c r="G25" s="337"/>
      <c r="H25" s="337"/>
      <c r="I25" s="337"/>
      <c r="J25" s="337"/>
      <c r="K25" s="337"/>
      <c r="L25" s="337"/>
      <c r="M25" s="337"/>
      <c r="N25" s="337"/>
      <c r="O25" s="337"/>
    </row>
    <row r="26" spans="1:28" ht="18" customHeight="1" x14ac:dyDescent="0.2">
      <c r="A26" s="337"/>
      <c r="B26" s="337"/>
      <c r="C26" s="340"/>
      <c r="D26" s="340"/>
      <c r="E26" s="340"/>
      <c r="F26" s="340"/>
      <c r="G26" s="340"/>
      <c r="H26" s="340"/>
      <c r="I26" s="340"/>
      <c r="J26" s="343" t="s">
        <v>266</v>
      </c>
      <c r="K26" s="717"/>
      <c r="L26" s="717"/>
      <c r="M26" s="340"/>
      <c r="N26" s="337"/>
      <c r="O26" s="337"/>
    </row>
    <row r="27" spans="1:28" ht="18" customHeight="1" x14ac:dyDescent="0.2">
      <c r="A27" s="337"/>
      <c r="B27" s="337"/>
      <c r="C27" s="344" t="s">
        <v>230</v>
      </c>
      <c r="D27" s="340"/>
      <c r="E27" s="340"/>
      <c r="F27" s="340"/>
      <c r="G27" s="340"/>
      <c r="H27" s="340"/>
      <c r="I27" s="340"/>
      <c r="J27" s="340"/>
      <c r="K27" s="345"/>
      <c r="L27" s="340"/>
      <c r="M27" s="340"/>
      <c r="N27" s="337"/>
      <c r="O27" s="337"/>
    </row>
    <row r="28" spans="1:28" ht="18" customHeight="1" x14ac:dyDescent="0.2">
      <c r="A28" s="337"/>
      <c r="B28" s="337"/>
      <c r="C28" s="337"/>
      <c r="D28" s="337"/>
      <c r="E28" s="337"/>
      <c r="F28" s="640" t="s">
        <v>0</v>
      </c>
      <c r="G28" s="640"/>
      <c r="H28" s="640"/>
      <c r="I28" s="640" t="s">
        <v>1</v>
      </c>
      <c r="J28" s="640"/>
      <c r="K28" s="640"/>
      <c r="L28" s="640" t="s">
        <v>2</v>
      </c>
      <c r="M28" s="640"/>
      <c r="N28" s="640"/>
      <c r="O28" s="640" t="s">
        <v>3</v>
      </c>
      <c r="P28" s="640"/>
      <c r="Q28" s="640"/>
      <c r="R28" s="640"/>
      <c r="S28" s="640"/>
      <c r="T28" s="640"/>
    </row>
    <row r="29" spans="1:28" ht="18" customHeight="1" x14ac:dyDescent="0.2">
      <c r="A29" s="337"/>
      <c r="B29" s="337"/>
      <c r="C29" s="337"/>
      <c r="D29" s="337"/>
      <c r="E29" s="337"/>
      <c r="F29" s="638"/>
      <c r="G29" s="638"/>
      <c r="H29" s="638"/>
      <c r="I29" s="638"/>
      <c r="J29" s="638"/>
      <c r="K29" s="638"/>
      <c r="L29" s="638"/>
      <c r="M29" s="638"/>
      <c r="N29" s="638"/>
      <c r="O29" s="638"/>
      <c r="P29" s="638"/>
      <c r="Q29" s="638"/>
      <c r="R29" s="638"/>
      <c r="S29" s="638"/>
      <c r="T29" s="638"/>
    </row>
    <row r="30" spans="1:28" ht="18" customHeight="1" x14ac:dyDescent="0.2">
      <c r="A30" s="337"/>
      <c r="B30" s="337"/>
      <c r="C30" s="337"/>
      <c r="D30" s="337"/>
      <c r="E30" s="337"/>
      <c r="F30" s="638"/>
      <c r="G30" s="638"/>
      <c r="H30" s="638"/>
      <c r="I30" s="638"/>
      <c r="J30" s="638"/>
      <c r="K30" s="638"/>
      <c r="L30" s="638"/>
      <c r="M30" s="638"/>
      <c r="N30" s="638"/>
      <c r="O30" s="638"/>
      <c r="P30" s="638"/>
      <c r="Q30" s="638"/>
      <c r="R30" s="638"/>
      <c r="S30" s="638"/>
      <c r="T30" s="638"/>
    </row>
    <row r="31" spans="1:28" ht="18" customHeight="1" x14ac:dyDescent="0.2">
      <c r="A31" s="337"/>
      <c r="B31" s="337"/>
      <c r="C31" s="337"/>
      <c r="D31" s="337"/>
      <c r="E31" s="337"/>
      <c r="F31" s="638"/>
      <c r="G31" s="638"/>
      <c r="H31" s="638"/>
      <c r="I31" s="638"/>
      <c r="J31" s="638"/>
      <c r="K31" s="638"/>
      <c r="L31" s="638"/>
      <c r="M31" s="638"/>
      <c r="N31" s="638"/>
      <c r="O31" s="638"/>
      <c r="P31" s="638"/>
      <c r="Q31" s="638"/>
      <c r="R31" s="638"/>
      <c r="S31" s="638"/>
      <c r="T31" s="638"/>
    </row>
    <row r="32" spans="1:28" ht="18" customHeight="1" x14ac:dyDescent="0.2">
      <c r="A32" s="337"/>
      <c r="B32" s="337"/>
      <c r="C32" s="337"/>
      <c r="D32" s="337"/>
      <c r="E32" s="337"/>
      <c r="F32" s="638"/>
      <c r="G32" s="638"/>
      <c r="H32" s="638"/>
      <c r="I32" s="638"/>
      <c r="J32" s="638"/>
      <c r="K32" s="638"/>
      <c r="L32" s="638"/>
      <c r="M32" s="638"/>
      <c r="N32" s="638"/>
      <c r="O32" s="638"/>
      <c r="P32" s="638"/>
      <c r="Q32" s="638"/>
      <c r="R32" s="638"/>
      <c r="S32" s="638"/>
      <c r="T32" s="638"/>
    </row>
    <row r="33" spans="1:25" ht="18" customHeight="1" x14ac:dyDescent="0.2">
      <c r="C33" s="31"/>
      <c r="D33" s="31"/>
      <c r="E33" s="31"/>
      <c r="F33" s="345"/>
      <c r="G33" s="31"/>
      <c r="H33" s="31"/>
    </row>
    <row r="34" spans="1:25" ht="18" customHeight="1" x14ac:dyDescent="0.2">
      <c r="C34" s="685" t="s">
        <v>277</v>
      </c>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1:25" ht="18" customHeight="1" x14ac:dyDescent="0.2">
      <c r="C35" s="792"/>
      <c r="D35" s="792"/>
      <c r="E35" s="792"/>
      <c r="F35" s="792"/>
      <c r="G35" s="792"/>
      <c r="H35" s="792"/>
      <c r="I35" s="792"/>
      <c r="J35" s="792"/>
      <c r="K35" s="792"/>
      <c r="L35" s="792"/>
      <c r="M35" s="792"/>
      <c r="N35" s="792"/>
      <c r="O35" s="792"/>
      <c r="P35" s="792"/>
      <c r="Q35" s="792"/>
      <c r="R35" s="792"/>
      <c r="S35" s="792"/>
      <c r="T35" s="792"/>
      <c r="U35" s="792"/>
      <c r="V35" s="792"/>
      <c r="W35" s="792"/>
      <c r="X35" s="792"/>
      <c r="Y35" s="792"/>
    </row>
    <row r="36" spans="1:25" ht="18" customHeight="1" x14ac:dyDescent="0.2">
      <c r="C36" s="792"/>
      <c r="D36" s="792"/>
      <c r="E36" s="792"/>
      <c r="F36" s="792"/>
      <c r="G36" s="792"/>
      <c r="H36" s="792"/>
      <c r="I36" s="792"/>
      <c r="J36" s="792"/>
      <c r="K36" s="792"/>
      <c r="L36" s="792"/>
      <c r="M36" s="792"/>
      <c r="N36" s="792"/>
      <c r="O36" s="792"/>
      <c r="P36" s="792"/>
      <c r="Q36" s="792"/>
      <c r="R36" s="792"/>
      <c r="S36" s="792"/>
      <c r="T36" s="792"/>
      <c r="U36" s="792"/>
      <c r="V36" s="792"/>
      <c r="W36" s="792"/>
      <c r="X36" s="792"/>
      <c r="Y36" s="792"/>
    </row>
    <row r="37" spans="1:25" ht="18" customHeight="1" x14ac:dyDescent="0.2">
      <c r="C37" s="792"/>
      <c r="D37" s="792"/>
      <c r="E37" s="792"/>
      <c r="F37" s="792"/>
      <c r="G37" s="792"/>
      <c r="H37" s="792"/>
      <c r="I37" s="792"/>
      <c r="J37" s="792"/>
      <c r="K37" s="792"/>
      <c r="L37" s="792"/>
      <c r="M37" s="792"/>
      <c r="N37" s="792"/>
      <c r="O37" s="792"/>
      <c r="P37" s="792"/>
      <c r="Q37" s="792"/>
      <c r="R37" s="792"/>
      <c r="S37" s="792"/>
      <c r="T37" s="792"/>
      <c r="U37" s="792"/>
      <c r="V37" s="792"/>
      <c r="W37" s="792"/>
      <c r="X37" s="792"/>
      <c r="Y37" s="792"/>
    </row>
    <row r="38" spans="1:25" ht="18" customHeight="1" x14ac:dyDescent="0.2">
      <c r="C38" s="792"/>
      <c r="D38" s="792"/>
      <c r="E38" s="792"/>
      <c r="F38" s="792"/>
      <c r="G38" s="792"/>
      <c r="H38" s="792"/>
      <c r="I38" s="792"/>
      <c r="J38" s="792"/>
      <c r="K38" s="792"/>
      <c r="L38" s="792"/>
      <c r="M38" s="792"/>
      <c r="N38" s="792"/>
      <c r="O38" s="792"/>
      <c r="P38" s="792"/>
      <c r="Q38" s="792"/>
      <c r="R38" s="792"/>
      <c r="S38" s="792"/>
      <c r="T38" s="792"/>
      <c r="U38" s="792"/>
      <c r="V38" s="792"/>
      <c r="W38" s="792"/>
      <c r="X38" s="792"/>
      <c r="Y38" s="792"/>
    </row>
    <row r="39" spans="1:25" ht="18" customHeight="1" x14ac:dyDescent="0.2">
      <c r="C39" s="31"/>
      <c r="D39" s="31"/>
      <c r="E39" s="31"/>
      <c r="F39" s="345"/>
      <c r="G39" s="31"/>
      <c r="H39" s="31"/>
    </row>
    <row r="40" spans="1:25" ht="18" customHeight="1" x14ac:dyDescent="0.2">
      <c r="C40" s="31"/>
      <c r="D40" s="31"/>
      <c r="E40" s="31"/>
      <c r="F40" s="345"/>
      <c r="G40" s="31"/>
      <c r="H40" s="31"/>
    </row>
    <row r="41" spans="1:25" ht="36" customHeight="1" x14ac:dyDescent="0.2">
      <c r="A41" s="337"/>
      <c r="B41" s="337"/>
      <c r="C41" s="341" t="s">
        <v>382</v>
      </c>
      <c r="D41" s="695" t="s">
        <v>383</v>
      </c>
      <c r="E41" s="696"/>
      <c r="F41" s="696"/>
      <c r="G41" s="696"/>
      <c r="H41" s="696"/>
      <c r="I41" s="696"/>
      <c r="J41" s="696"/>
      <c r="K41" s="696"/>
      <c r="L41" s="696"/>
      <c r="M41" s="696"/>
      <c r="N41" s="696"/>
      <c r="O41" s="696"/>
      <c r="P41" s="696"/>
      <c r="Q41" s="696"/>
      <c r="R41" s="696"/>
      <c r="S41" s="696"/>
      <c r="T41" s="696"/>
      <c r="U41" s="696"/>
      <c r="V41" s="696"/>
      <c r="W41" s="696"/>
      <c r="X41" s="696"/>
      <c r="Y41" s="697"/>
    </row>
    <row r="42" spans="1:25" s="347" customFormat="1" ht="18" customHeight="1" x14ac:dyDescent="0.2">
      <c r="A42" s="346"/>
      <c r="B42" s="346"/>
      <c r="C42" s="366"/>
      <c r="D42" s="366"/>
      <c r="E42" s="366"/>
      <c r="F42" s="366"/>
      <c r="G42" s="366"/>
      <c r="H42" s="366"/>
      <c r="I42" s="366"/>
      <c r="J42" s="366"/>
      <c r="K42" s="366"/>
      <c r="L42" s="366"/>
      <c r="M42" s="366"/>
      <c r="N42" s="366"/>
      <c r="O42" s="366"/>
      <c r="P42" s="366"/>
      <c r="Q42" s="366"/>
      <c r="R42" s="366"/>
      <c r="S42" s="366"/>
      <c r="T42" s="366"/>
      <c r="U42" s="366"/>
      <c r="V42" s="366"/>
      <c r="W42" s="366"/>
      <c r="X42" s="366"/>
      <c r="Y42" s="366"/>
    </row>
    <row r="43" spans="1:25" ht="18" customHeight="1" x14ac:dyDescent="0.2">
      <c r="A43" s="337"/>
      <c r="B43" s="337"/>
      <c r="C43" s="348" t="s">
        <v>278</v>
      </c>
      <c r="D43" s="348"/>
      <c r="E43" s="348"/>
      <c r="F43" s="349"/>
      <c r="G43" s="349"/>
      <c r="H43" s="349"/>
      <c r="I43" s="349"/>
      <c r="J43" s="349"/>
      <c r="K43" s="349"/>
      <c r="L43" s="349"/>
      <c r="M43" s="349"/>
      <c r="N43" s="349"/>
      <c r="O43" s="349"/>
      <c r="P43" s="349"/>
      <c r="Q43" s="349"/>
      <c r="R43" s="349"/>
      <c r="S43" s="349"/>
      <c r="T43" s="349"/>
      <c r="U43" s="349"/>
      <c r="V43" s="349"/>
      <c r="W43" s="349"/>
      <c r="X43" s="349"/>
      <c r="Y43" s="349"/>
    </row>
    <row r="44" spans="1:25" ht="18" customHeight="1" x14ac:dyDescent="0.2">
      <c r="C44" s="536"/>
      <c r="D44" s="537"/>
      <c r="E44" s="537"/>
      <c r="F44" s="537"/>
      <c r="G44" s="537"/>
      <c r="H44" s="537"/>
      <c r="I44" s="537"/>
      <c r="J44" s="537"/>
      <c r="K44" s="537"/>
      <c r="L44" s="537"/>
      <c r="M44" s="537"/>
      <c r="N44" s="537"/>
      <c r="O44" s="537"/>
      <c r="P44" s="537"/>
      <c r="Q44" s="537"/>
      <c r="R44" s="537"/>
      <c r="S44" s="537"/>
      <c r="T44" s="537"/>
      <c r="U44" s="537"/>
      <c r="V44" s="537"/>
      <c r="W44" s="537"/>
      <c r="X44" s="537"/>
      <c r="Y44" s="538"/>
    </row>
    <row r="45" spans="1:25" ht="18" customHeight="1" x14ac:dyDescent="0.2">
      <c r="C45" s="345"/>
      <c r="P45" s="339"/>
    </row>
    <row r="46" spans="1:25" ht="18" customHeight="1" x14ac:dyDescent="0.2">
      <c r="A46" s="337"/>
      <c r="B46" s="337"/>
      <c r="C46" s="344" t="s">
        <v>279</v>
      </c>
      <c r="D46" s="340"/>
      <c r="E46" s="349"/>
      <c r="F46" s="349"/>
      <c r="G46" s="349"/>
      <c r="H46" s="349"/>
      <c r="I46" s="349"/>
      <c r="J46" s="349"/>
      <c r="K46" s="349"/>
      <c r="L46" s="349"/>
      <c r="M46" s="349"/>
      <c r="N46" s="349"/>
      <c r="O46" s="349"/>
      <c r="P46" s="349"/>
      <c r="Q46" s="349"/>
      <c r="R46" s="349"/>
      <c r="S46" s="349"/>
      <c r="T46" s="349"/>
      <c r="U46" s="349"/>
      <c r="V46" s="349"/>
      <c r="W46" s="349"/>
      <c r="X46" s="349"/>
      <c r="Y46" s="349"/>
    </row>
    <row r="47" spans="1:25" ht="18" customHeight="1" x14ac:dyDescent="0.2">
      <c r="C47" s="536"/>
      <c r="D47" s="537"/>
      <c r="E47" s="537"/>
      <c r="F47" s="537"/>
      <c r="G47" s="537"/>
      <c r="H47" s="537"/>
      <c r="I47" s="537"/>
      <c r="J47" s="537"/>
      <c r="K47" s="537"/>
      <c r="L47" s="537"/>
      <c r="M47" s="537"/>
      <c r="N47" s="537"/>
      <c r="O47" s="537"/>
      <c r="P47" s="537"/>
      <c r="Q47" s="537"/>
      <c r="R47" s="537"/>
      <c r="S47" s="537"/>
      <c r="T47" s="537"/>
      <c r="U47" s="537"/>
      <c r="V47" s="537"/>
      <c r="W47" s="537"/>
      <c r="X47" s="537"/>
      <c r="Y47" s="538"/>
    </row>
    <row r="48" spans="1:25" ht="18" customHeight="1" x14ac:dyDescent="0.2">
      <c r="C48" s="345"/>
      <c r="P48" s="339"/>
    </row>
    <row r="49" spans="1:25" ht="18" customHeight="1" x14ac:dyDescent="0.2">
      <c r="A49" s="337"/>
      <c r="B49" s="337"/>
      <c r="C49" s="344" t="s">
        <v>280</v>
      </c>
      <c r="D49" s="340"/>
      <c r="E49" s="349"/>
      <c r="F49" s="349"/>
      <c r="G49" s="349"/>
      <c r="H49" s="349"/>
      <c r="I49" s="349"/>
      <c r="J49" s="349"/>
      <c r="K49" s="349"/>
      <c r="L49" s="349"/>
      <c r="M49" s="349"/>
      <c r="N49" s="349"/>
      <c r="O49" s="349"/>
      <c r="P49" s="349"/>
      <c r="Q49" s="349"/>
      <c r="R49" s="349"/>
      <c r="S49" s="349"/>
      <c r="T49" s="349"/>
      <c r="U49" s="349"/>
      <c r="V49" s="349"/>
      <c r="W49" s="349"/>
      <c r="X49" s="349"/>
      <c r="Y49" s="349"/>
    </row>
    <row r="50" spans="1:25" ht="18" customHeight="1" x14ac:dyDescent="0.2">
      <c r="A50" s="337"/>
      <c r="B50" s="337"/>
      <c r="C50" s="536"/>
      <c r="D50" s="537"/>
      <c r="E50" s="537"/>
      <c r="F50" s="537"/>
      <c r="G50" s="537"/>
      <c r="H50" s="537"/>
      <c r="I50" s="537"/>
      <c r="J50" s="537"/>
      <c r="K50" s="537"/>
      <c r="L50" s="537"/>
      <c r="M50" s="537"/>
      <c r="N50" s="537"/>
      <c r="O50" s="537"/>
      <c r="P50" s="537"/>
      <c r="Q50" s="537"/>
      <c r="R50" s="537"/>
      <c r="S50" s="537"/>
      <c r="T50" s="537"/>
      <c r="U50" s="537"/>
      <c r="V50" s="537"/>
      <c r="W50" s="537"/>
      <c r="X50" s="537"/>
      <c r="Y50" s="538"/>
    </row>
    <row r="51" spans="1:25" ht="18" customHeight="1" x14ac:dyDescent="0.2">
      <c r="A51" s="337"/>
      <c r="B51" s="337"/>
      <c r="C51" s="345"/>
      <c r="D51" s="337"/>
      <c r="E51" s="337"/>
      <c r="F51" s="337"/>
      <c r="G51" s="337"/>
      <c r="H51" s="337"/>
      <c r="I51" s="337"/>
      <c r="J51" s="337"/>
      <c r="K51" s="337"/>
      <c r="L51" s="337"/>
      <c r="M51" s="337"/>
      <c r="N51" s="337"/>
      <c r="O51" s="337"/>
    </row>
    <row r="52" spans="1:25" ht="18" customHeight="1" x14ac:dyDescent="0.2">
      <c r="A52" s="337"/>
      <c r="B52" s="337"/>
      <c r="C52" s="345"/>
      <c r="D52" s="337"/>
      <c r="E52" s="337"/>
      <c r="F52" s="337"/>
      <c r="G52" s="337"/>
      <c r="H52" s="337"/>
      <c r="I52" s="337"/>
      <c r="J52" s="337"/>
      <c r="K52" s="337"/>
      <c r="L52" s="337"/>
      <c r="M52" s="337"/>
      <c r="N52" s="337"/>
      <c r="O52" s="337"/>
    </row>
    <row r="53" spans="1:25" ht="18" customHeight="1" x14ac:dyDescent="0.2">
      <c r="A53" s="337"/>
      <c r="B53" s="337"/>
      <c r="C53" s="791" t="s">
        <v>231</v>
      </c>
      <c r="D53" s="791"/>
      <c r="E53" s="791"/>
      <c r="F53" s="791"/>
      <c r="G53" s="791"/>
      <c r="H53" s="791"/>
      <c r="I53" s="791"/>
      <c r="J53" s="791"/>
      <c r="K53" s="791"/>
      <c r="L53" s="791"/>
      <c r="M53" s="791"/>
      <c r="N53" s="791"/>
      <c r="O53" s="791"/>
      <c r="P53" s="791"/>
      <c r="Q53" s="791"/>
      <c r="R53" s="791"/>
      <c r="S53" s="791"/>
      <c r="T53" s="791"/>
      <c r="U53" s="791"/>
      <c r="V53" s="791"/>
      <c r="W53" s="791"/>
      <c r="X53" s="791"/>
      <c r="Y53" s="791"/>
    </row>
    <row r="54" spans="1:25" ht="18" customHeight="1" x14ac:dyDescent="0.2">
      <c r="A54" s="337"/>
      <c r="B54" s="337"/>
      <c r="C54" s="686"/>
      <c r="D54" s="687"/>
      <c r="E54" s="687"/>
      <c r="F54" s="687"/>
      <c r="G54" s="687"/>
      <c r="H54" s="687"/>
      <c r="I54" s="687"/>
      <c r="J54" s="687"/>
      <c r="K54" s="687"/>
      <c r="L54" s="687"/>
      <c r="M54" s="687"/>
      <c r="N54" s="687"/>
      <c r="O54" s="687"/>
      <c r="P54" s="687"/>
      <c r="Q54" s="687"/>
      <c r="R54" s="687"/>
      <c r="S54" s="687"/>
      <c r="T54" s="687"/>
      <c r="U54" s="687"/>
      <c r="V54" s="687"/>
      <c r="W54" s="687"/>
      <c r="X54" s="687"/>
      <c r="Y54" s="688"/>
    </row>
    <row r="55" spans="1:25" ht="18" customHeight="1" x14ac:dyDescent="0.2">
      <c r="A55" s="337"/>
      <c r="B55" s="337"/>
      <c r="C55" s="689"/>
      <c r="D55" s="690"/>
      <c r="E55" s="690"/>
      <c r="F55" s="690"/>
      <c r="G55" s="690"/>
      <c r="H55" s="690"/>
      <c r="I55" s="690"/>
      <c r="J55" s="690"/>
      <c r="K55" s="690"/>
      <c r="L55" s="690"/>
      <c r="M55" s="690"/>
      <c r="N55" s="690"/>
      <c r="O55" s="690"/>
      <c r="P55" s="690"/>
      <c r="Q55" s="690"/>
      <c r="R55" s="690"/>
      <c r="S55" s="690"/>
      <c r="T55" s="690"/>
      <c r="U55" s="690"/>
      <c r="V55" s="690"/>
      <c r="W55" s="690"/>
      <c r="X55" s="690"/>
      <c r="Y55" s="691"/>
    </row>
    <row r="56" spans="1:25" ht="18" customHeight="1" x14ac:dyDescent="0.2">
      <c r="A56" s="337"/>
      <c r="B56" s="337"/>
      <c r="C56" s="689"/>
      <c r="D56" s="690"/>
      <c r="E56" s="690"/>
      <c r="F56" s="690"/>
      <c r="G56" s="690"/>
      <c r="H56" s="690"/>
      <c r="I56" s="690"/>
      <c r="J56" s="690"/>
      <c r="K56" s="690"/>
      <c r="L56" s="690"/>
      <c r="M56" s="690"/>
      <c r="N56" s="690"/>
      <c r="O56" s="690"/>
      <c r="P56" s="690"/>
      <c r="Q56" s="690"/>
      <c r="R56" s="690"/>
      <c r="S56" s="690"/>
      <c r="T56" s="690"/>
      <c r="U56" s="690"/>
      <c r="V56" s="690"/>
      <c r="W56" s="690"/>
      <c r="X56" s="690"/>
      <c r="Y56" s="691"/>
    </row>
    <row r="57" spans="1:25" ht="18" customHeight="1" x14ac:dyDescent="0.2">
      <c r="A57" s="337"/>
      <c r="B57" s="337"/>
      <c r="C57" s="689"/>
      <c r="D57" s="690"/>
      <c r="E57" s="690"/>
      <c r="F57" s="690"/>
      <c r="G57" s="690"/>
      <c r="H57" s="690"/>
      <c r="I57" s="690"/>
      <c r="J57" s="690"/>
      <c r="K57" s="690"/>
      <c r="L57" s="690"/>
      <c r="M57" s="690"/>
      <c r="N57" s="690"/>
      <c r="O57" s="690"/>
      <c r="P57" s="690"/>
      <c r="Q57" s="690"/>
      <c r="R57" s="690"/>
      <c r="S57" s="690"/>
      <c r="T57" s="690"/>
      <c r="U57" s="690"/>
      <c r="V57" s="690"/>
      <c r="W57" s="690"/>
      <c r="X57" s="690"/>
      <c r="Y57" s="691"/>
    </row>
    <row r="58" spans="1:25" ht="18" customHeight="1" x14ac:dyDescent="0.2">
      <c r="A58" s="337"/>
      <c r="B58" s="337"/>
      <c r="C58" s="689"/>
      <c r="D58" s="690"/>
      <c r="E58" s="690"/>
      <c r="F58" s="690"/>
      <c r="G58" s="690"/>
      <c r="H58" s="690"/>
      <c r="I58" s="690"/>
      <c r="J58" s="690"/>
      <c r="K58" s="690"/>
      <c r="L58" s="690"/>
      <c r="M58" s="690"/>
      <c r="N58" s="690"/>
      <c r="O58" s="690"/>
      <c r="P58" s="690"/>
      <c r="Q58" s="690"/>
      <c r="R58" s="690"/>
      <c r="S58" s="690"/>
      <c r="T58" s="690"/>
      <c r="U58" s="690"/>
      <c r="V58" s="690"/>
      <c r="W58" s="690"/>
      <c r="X58" s="690"/>
      <c r="Y58" s="691"/>
    </row>
    <row r="59" spans="1:25" ht="18" customHeight="1" x14ac:dyDescent="0.2">
      <c r="A59" s="337"/>
      <c r="B59" s="337"/>
      <c r="C59" s="689"/>
      <c r="D59" s="690"/>
      <c r="E59" s="690"/>
      <c r="F59" s="690"/>
      <c r="G59" s="690"/>
      <c r="H59" s="690"/>
      <c r="I59" s="690"/>
      <c r="J59" s="690"/>
      <c r="K59" s="690"/>
      <c r="L59" s="690"/>
      <c r="M59" s="690"/>
      <c r="N59" s="690"/>
      <c r="O59" s="690"/>
      <c r="P59" s="690"/>
      <c r="Q59" s="690"/>
      <c r="R59" s="690"/>
      <c r="S59" s="690"/>
      <c r="T59" s="690"/>
      <c r="U59" s="690"/>
      <c r="V59" s="690"/>
      <c r="W59" s="690"/>
      <c r="X59" s="690"/>
      <c r="Y59" s="691"/>
    </row>
    <row r="60" spans="1:25" ht="18" customHeight="1" x14ac:dyDescent="0.2">
      <c r="A60" s="337"/>
      <c r="B60" s="337"/>
      <c r="C60" s="689"/>
      <c r="D60" s="690"/>
      <c r="E60" s="690"/>
      <c r="F60" s="690"/>
      <c r="G60" s="690"/>
      <c r="H60" s="690"/>
      <c r="I60" s="690"/>
      <c r="J60" s="690"/>
      <c r="K60" s="690"/>
      <c r="L60" s="690"/>
      <c r="M60" s="690"/>
      <c r="N60" s="690"/>
      <c r="O60" s="690"/>
      <c r="P60" s="690"/>
      <c r="Q60" s="690"/>
      <c r="R60" s="690"/>
      <c r="S60" s="690"/>
      <c r="T60" s="690"/>
      <c r="U60" s="690"/>
      <c r="V60" s="690"/>
      <c r="W60" s="690"/>
      <c r="X60" s="690"/>
      <c r="Y60" s="691"/>
    </row>
    <row r="61" spans="1:25" ht="18" customHeight="1" x14ac:dyDescent="0.2">
      <c r="A61" s="337"/>
      <c r="B61" s="337"/>
      <c r="C61" s="689"/>
      <c r="D61" s="690"/>
      <c r="E61" s="690"/>
      <c r="F61" s="690"/>
      <c r="G61" s="690"/>
      <c r="H61" s="690"/>
      <c r="I61" s="690"/>
      <c r="J61" s="690"/>
      <c r="K61" s="690"/>
      <c r="L61" s="690"/>
      <c r="M61" s="690"/>
      <c r="N61" s="690"/>
      <c r="O61" s="690"/>
      <c r="P61" s="690"/>
      <c r="Q61" s="690"/>
      <c r="R61" s="690"/>
      <c r="S61" s="690"/>
      <c r="T61" s="690"/>
      <c r="U61" s="690"/>
      <c r="V61" s="690"/>
      <c r="W61" s="690"/>
      <c r="X61" s="690"/>
      <c r="Y61" s="691"/>
    </row>
    <row r="62" spans="1:25" ht="18" customHeight="1" x14ac:dyDescent="0.2">
      <c r="A62" s="337"/>
      <c r="B62" s="337"/>
      <c r="C62" s="689"/>
      <c r="D62" s="690"/>
      <c r="E62" s="690"/>
      <c r="F62" s="690"/>
      <c r="G62" s="690"/>
      <c r="H62" s="690"/>
      <c r="I62" s="690"/>
      <c r="J62" s="690"/>
      <c r="K62" s="690"/>
      <c r="L62" s="690"/>
      <c r="M62" s="690"/>
      <c r="N62" s="690"/>
      <c r="O62" s="690"/>
      <c r="P62" s="690"/>
      <c r="Q62" s="690"/>
      <c r="R62" s="690"/>
      <c r="S62" s="690"/>
      <c r="T62" s="690"/>
      <c r="U62" s="690"/>
      <c r="V62" s="690"/>
      <c r="W62" s="690"/>
      <c r="X62" s="690"/>
      <c r="Y62" s="691"/>
    </row>
    <row r="63" spans="1:25" ht="18" customHeight="1" x14ac:dyDescent="0.2">
      <c r="A63" s="337"/>
      <c r="B63" s="337"/>
      <c r="C63" s="689"/>
      <c r="D63" s="690"/>
      <c r="E63" s="690"/>
      <c r="F63" s="690"/>
      <c r="G63" s="690"/>
      <c r="H63" s="690"/>
      <c r="I63" s="690"/>
      <c r="J63" s="690"/>
      <c r="K63" s="690"/>
      <c r="L63" s="690"/>
      <c r="M63" s="690"/>
      <c r="N63" s="690"/>
      <c r="O63" s="690"/>
      <c r="P63" s="690"/>
      <c r="Q63" s="690"/>
      <c r="R63" s="690"/>
      <c r="S63" s="690"/>
      <c r="T63" s="690"/>
      <c r="U63" s="690"/>
      <c r="V63" s="690"/>
      <c r="W63" s="690"/>
      <c r="X63" s="690"/>
      <c r="Y63" s="691"/>
    </row>
    <row r="64" spans="1:25" ht="18" customHeight="1" x14ac:dyDescent="0.2">
      <c r="A64" s="337"/>
      <c r="B64" s="337"/>
      <c r="C64" s="689"/>
      <c r="D64" s="690"/>
      <c r="E64" s="690"/>
      <c r="F64" s="690"/>
      <c r="G64" s="690"/>
      <c r="H64" s="690"/>
      <c r="I64" s="690"/>
      <c r="J64" s="690"/>
      <c r="K64" s="690"/>
      <c r="L64" s="690"/>
      <c r="M64" s="690"/>
      <c r="N64" s="690"/>
      <c r="O64" s="690"/>
      <c r="P64" s="690"/>
      <c r="Q64" s="690"/>
      <c r="R64" s="690"/>
      <c r="S64" s="690"/>
      <c r="T64" s="690"/>
      <c r="U64" s="690"/>
      <c r="V64" s="690"/>
      <c r="W64" s="690"/>
      <c r="X64" s="690"/>
      <c r="Y64" s="691"/>
    </row>
    <row r="65" spans="1:25" ht="18" customHeight="1" x14ac:dyDescent="0.2">
      <c r="A65" s="337"/>
      <c r="B65" s="337"/>
      <c r="C65" s="689"/>
      <c r="D65" s="690"/>
      <c r="E65" s="690"/>
      <c r="F65" s="690"/>
      <c r="G65" s="690"/>
      <c r="H65" s="690"/>
      <c r="I65" s="690"/>
      <c r="J65" s="690"/>
      <c r="K65" s="690"/>
      <c r="L65" s="690"/>
      <c r="M65" s="690"/>
      <c r="N65" s="690"/>
      <c r="O65" s="690"/>
      <c r="P65" s="690"/>
      <c r="Q65" s="690"/>
      <c r="R65" s="690"/>
      <c r="S65" s="690"/>
      <c r="T65" s="690"/>
      <c r="U65" s="690"/>
      <c r="V65" s="690"/>
      <c r="W65" s="690"/>
      <c r="X65" s="690"/>
      <c r="Y65" s="691"/>
    </row>
    <row r="66" spans="1:25" ht="18" customHeight="1" x14ac:dyDescent="0.2">
      <c r="A66" s="337"/>
      <c r="B66" s="337"/>
      <c r="C66" s="689"/>
      <c r="D66" s="690"/>
      <c r="E66" s="690"/>
      <c r="F66" s="690"/>
      <c r="G66" s="690"/>
      <c r="H66" s="690"/>
      <c r="I66" s="690"/>
      <c r="J66" s="690"/>
      <c r="K66" s="690"/>
      <c r="L66" s="690"/>
      <c r="M66" s="690"/>
      <c r="N66" s="690"/>
      <c r="O66" s="690"/>
      <c r="P66" s="690"/>
      <c r="Q66" s="690"/>
      <c r="R66" s="690"/>
      <c r="S66" s="690"/>
      <c r="T66" s="690"/>
      <c r="U66" s="690"/>
      <c r="V66" s="690"/>
      <c r="W66" s="690"/>
      <c r="X66" s="690"/>
      <c r="Y66" s="691"/>
    </row>
    <row r="67" spans="1:25" ht="18" customHeight="1" x14ac:dyDescent="0.2">
      <c r="A67" s="337"/>
      <c r="B67" s="337"/>
      <c r="C67" s="689"/>
      <c r="D67" s="690"/>
      <c r="E67" s="690"/>
      <c r="F67" s="690"/>
      <c r="G67" s="690"/>
      <c r="H67" s="690"/>
      <c r="I67" s="690"/>
      <c r="J67" s="690"/>
      <c r="K67" s="690"/>
      <c r="L67" s="690"/>
      <c r="M67" s="690"/>
      <c r="N67" s="690"/>
      <c r="O67" s="690"/>
      <c r="P67" s="690"/>
      <c r="Q67" s="690"/>
      <c r="R67" s="690"/>
      <c r="S67" s="690"/>
      <c r="T67" s="690"/>
      <c r="U67" s="690"/>
      <c r="V67" s="690"/>
      <c r="W67" s="690"/>
      <c r="X67" s="690"/>
      <c r="Y67" s="691"/>
    </row>
    <row r="68" spans="1:25" ht="18" customHeight="1" x14ac:dyDescent="0.2">
      <c r="A68" s="337"/>
      <c r="B68" s="337"/>
      <c r="C68" s="689"/>
      <c r="D68" s="690"/>
      <c r="E68" s="690"/>
      <c r="F68" s="690"/>
      <c r="G68" s="690"/>
      <c r="H68" s="690"/>
      <c r="I68" s="690"/>
      <c r="J68" s="690"/>
      <c r="K68" s="690"/>
      <c r="L68" s="690"/>
      <c r="M68" s="690"/>
      <c r="N68" s="690"/>
      <c r="O68" s="690"/>
      <c r="P68" s="690"/>
      <c r="Q68" s="690"/>
      <c r="R68" s="690"/>
      <c r="S68" s="690"/>
      <c r="T68" s="690"/>
      <c r="U68" s="690"/>
      <c r="V68" s="690"/>
      <c r="W68" s="690"/>
      <c r="X68" s="690"/>
      <c r="Y68" s="691"/>
    </row>
    <row r="69" spans="1:25" ht="18" customHeight="1" x14ac:dyDescent="0.2">
      <c r="A69" s="337"/>
      <c r="B69" s="337"/>
      <c r="C69" s="689"/>
      <c r="D69" s="690"/>
      <c r="E69" s="690"/>
      <c r="F69" s="690"/>
      <c r="G69" s="690"/>
      <c r="H69" s="690"/>
      <c r="I69" s="690"/>
      <c r="J69" s="690"/>
      <c r="K69" s="690"/>
      <c r="L69" s="690"/>
      <c r="M69" s="690"/>
      <c r="N69" s="690"/>
      <c r="O69" s="690"/>
      <c r="P69" s="690"/>
      <c r="Q69" s="690"/>
      <c r="R69" s="690"/>
      <c r="S69" s="690"/>
      <c r="T69" s="690"/>
      <c r="U69" s="690"/>
      <c r="V69" s="690"/>
      <c r="W69" s="690"/>
      <c r="X69" s="690"/>
      <c r="Y69" s="691"/>
    </row>
    <row r="70" spans="1:25" ht="18" customHeight="1" x14ac:dyDescent="0.2">
      <c r="A70" s="337"/>
      <c r="B70" s="337"/>
      <c r="C70" s="689"/>
      <c r="D70" s="690"/>
      <c r="E70" s="690"/>
      <c r="F70" s="690"/>
      <c r="G70" s="690"/>
      <c r="H70" s="690"/>
      <c r="I70" s="690"/>
      <c r="J70" s="690"/>
      <c r="K70" s="690"/>
      <c r="L70" s="690"/>
      <c r="M70" s="690"/>
      <c r="N70" s="690"/>
      <c r="O70" s="690"/>
      <c r="P70" s="690"/>
      <c r="Q70" s="690"/>
      <c r="R70" s="690"/>
      <c r="S70" s="690"/>
      <c r="T70" s="690"/>
      <c r="U70" s="690"/>
      <c r="V70" s="690"/>
      <c r="W70" s="690"/>
      <c r="X70" s="690"/>
      <c r="Y70" s="691"/>
    </row>
    <row r="71" spans="1:25" ht="18" customHeight="1" x14ac:dyDescent="0.2">
      <c r="A71" s="337"/>
      <c r="B71" s="337"/>
      <c r="C71" s="689"/>
      <c r="D71" s="690"/>
      <c r="E71" s="690"/>
      <c r="F71" s="690"/>
      <c r="G71" s="690"/>
      <c r="H71" s="690"/>
      <c r="I71" s="690"/>
      <c r="J71" s="690"/>
      <c r="K71" s="690"/>
      <c r="L71" s="690"/>
      <c r="M71" s="690"/>
      <c r="N71" s="690"/>
      <c r="O71" s="690"/>
      <c r="P71" s="690"/>
      <c r="Q71" s="690"/>
      <c r="R71" s="690"/>
      <c r="S71" s="690"/>
      <c r="T71" s="690"/>
      <c r="U71" s="690"/>
      <c r="V71" s="690"/>
      <c r="W71" s="690"/>
      <c r="X71" s="690"/>
      <c r="Y71" s="691"/>
    </row>
    <row r="72" spans="1:25" ht="18" customHeight="1" x14ac:dyDescent="0.2">
      <c r="A72" s="337"/>
      <c r="B72" s="337"/>
      <c r="C72" s="689"/>
      <c r="D72" s="690"/>
      <c r="E72" s="690"/>
      <c r="F72" s="690"/>
      <c r="G72" s="690"/>
      <c r="H72" s="690"/>
      <c r="I72" s="690"/>
      <c r="J72" s="690"/>
      <c r="K72" s="690"/>
      <c r="L72" s="690"/>
      <c r="M72" s="690"/>
      <c r="N72" s="690"/>
      <c r="O72" s="690"/>
      <c r="P72" s="690"/>
      <c r="Q72" s="690"/>
      <c r="R72" s="690"/>
      <c r="S72" s="690"/>
      <c r="T72" s="690"/>
      <c r="U72" s="690"/>
      <c r="V72" s="690"/>
      <c r="W72" s="690"/>
      <c r="X72" s="690"/>
      <c r="Y72" s="691"/>
    </row>
    <row r="73" spans="1:25" ht="18" customHeight="1" x14ac:dyDescent="0.2">
      <c r="A73" s="337"/>
      <c r="B73" s="337"/>
      <c r="C73" s="689"/>
      <c r="D73" s="690"/>
      <c r="E73" s="690"/>
      <c r="F73" s="690"/>
      <c r="G73" s="690"/>
      <c r="H73" s="690"/>
      <c r="I73" s="690"/>
      <c r="J73" s="690"/>
      <c r="K73" s="690"/>
      <c r="L73" s="690"/>
      <c r="M73" s="690"/>
      <c r="N73" s="690"/>
      <c r="O73" s="690"/>
      <c r="P73" s="690"/>
      <c r="Q73" s="690"/>
      <c r="R73" s="690"/>
      <c r="S73" s="690"/>
      <c r="T73" s="690"/>
      <c r="U73" s="690"/>
      <c r="V73" s="690"/>
      <c r="W73" s="690"/>
      <c r="X73" s="690"/>
      <c r="Y73" s="691"/>
    </row>
    <row r="74" spans="1:25" ht="18" customHeight="1" x14ac:dyDescent="0.2">
      <c r="A74" s="337"/>
      <c r="B74" s="337"/>
      <c r="C74" s="689"/>
      <c r="D74" s="690"/>
      <c r="E74" s="690"/>
      <c r="F74" s="690"/>
      <c r="G74" s="690"/>
      <c r="H74" s="690"/>
      <c r="I74" s="690"/>
      <c r="J74" s="690"/>
      <c r="K74" s="690"/>
      <c r="L74" s="690"/>
      <c r="M74" s="690"/>
      <c r="N74" s="690"/>
      <c r="O74" s="690"/>
      <c r="P74" s="690"/>
      <c r="Q74" s="690"/>
      <c r="R74" s="690"/>
      <c r="S74" s="690"/>
      <c r="T74" s="690"/>
      <c r="U74" s="690"/>
      <c r="V74" s="690"/>
      <c r="W74" s="690"/>
      <c r="X74" s="690"/>
      <c r="Y74" s="691"/>
    </row>
    <row r="75" spans="1:25" ht="18" customHeight="1" x14ac:dyDescent="0.2">
      <c r="A75" s="337"/>
      <c r="B75" s="337"/>
      <c r="C75" s="689"/>
      <c r="D75" s="690"/>
      <c r="E75" s="690"/>
      <c r="F75" s="690"/>
      <c r="G75" s="690"/>
      <c r="H75" s="690"/>
      <c r="I75" s="690"/>
      <c r="J75" s="690"/>
      <c r="K75" s="690"/>
      <c r="L75" s="690"/>
      <c r="M75" s="690"/>
      <c r="N75" s="690"/>
      <c r="O75" s="690"/>
      <c r="P75" s="690"/>
      <c r="Q75" s="690"/>
      <c r="R75" s="690"/>
      <c r="S75" s="690"/>
      <c r="T75" s="690"/>
      <c r="U75" s="690"/>
      <c r="V75" s="690"/>
      <c r="W75" s="690"/>
      <c r="X75" s="690"/>
      <c r="Y75" s="691"/>
    </row>
    <row r="76" spans="1:25" ht="18" customHeight="1" x14ac:dyDescent="0.2">
      <c r="A76" s="337"/>
      <c r="B76" s="337"/>
      <c r="C76" s="689"/>
      <c r="D76" s="690"/>
      <c r="E76" s="690"/>
      <c r="F76" s="690"/>
      <c r="G76" s="690"/>
      <c r="H76" s="690"/>
      <c r="I76" s="690"/>
      <c r="J76" s="690"/>
      <c r="K76" s="690"/>
      <c r="L76" s="690"/>
      <c r="M76" s="690"/>
      <c r="N76" s="690"/>
      <c r="O76" s="690"/>
      <c r="P76" s="690"/>
      <c r="Q76" s="690"/>
      <c r="R76" s="690"/>
      <c r="S76" s="690"/>
      <c r="T76" s="690"/>
      <c r="U76" s="690"/>
      <c r="V76" s="690"/>
      <c r="W76" s="690"/>
      <c r="X76" s="690"/>
      <c r="Y76" s="691"/>
    </row>
    <row r="77" spans="1:25" ht="18" customHeight="1" x14ac:dyDescent="0.2">
      <c r="A77" s="337"/>
      <c r="B77" s="337"/>
      <c r="C77" s="689"/>
      <c r="D77" s="690"/>
      <c r="E77" s="690"/>
      <c r="F77" s="690"/>
      <c r="G77" s="690"/>
      <c r="H77" s="690"/>
      <c r="I77" s="690"/>
      <c r="J77" s="690"/>
      <c r="K77" s="690"/>
      <c r="L77" s="690"/>
      <c r="M77" s="690"/>
      <c r="N77" s="690"/>
      <c r="O77" s="690"/>
      <c r="P77" s="690"/>
      <c r="Q77" s="690"/>
      <c r="R77" s="690"/>
      <c r="S77" s="690"/>
      <c r="T77" s="690"/>
      <c r="U77" s="690"/>
      <c r="V77" s="690"/>
      <c r="W77" s="690"/>
      <c r="X77" s="690"/>
      <c r="Y77" s="691"/>
    </row>
    <row r="78" spans="1:25" ht="18" customHeight="1" x14ac:dyDescent="0.2">
      <c r="A78" s="337"/>
      <c r="B78" s="337"/>
      <c r="C78" s="689"/>
      <c r="D78" s="690"/>
      <c r="E78" s="690"/>
      <c r="F78" s="690"/>
      <c r="G78" s="690"/>
      <c r="H78" s="690"/>
      <c r="I78" s="690"/>
      <c r="J78" s="690"/>
      <c r="K78" s="690"/>
      <c r="L78" s="690"/>
      <c r="M78" s="690"/>
      <c r="N78" s="690"/>
      <c r="O78" s="690"/>
      <c r="P78" s="690"/>
      <c r="Q78" s="690"/>
      <c r="R78" s="690"/>
      <c r="S78" s="690"/>
      <c r="T78" s="690"/>
      <c r="U78" s="690"/>
      <c r="V78" s="690"/>
      <c r="W78" s="690"/>
      <c r="X78" s="690"/>
      <c r="Y78" s="691"/>
    </row>
    <row r="79" spans="1:25" ht="18" customHeight="1" x14ac:dyDescent="0.2">
      <c r="A79" s="337"/>
      <c r="B79" s="337"/>
      <c r="C79" s="689"/>
      <c r="D79" s="690"/>
      <c r="E79" s="690"/>
      <c r="F79" s="690"/>
      <c r="G79" s="690"/>
      <c r="H79" s="690"/>
      <c r="I79" s="690"/>
      <c r="J79" s="690"/>
      <c r="K79" s="690"/>
      <c r="L79" s="690"/>
      <c r="M79" s="690"/>
      <c r="N79" s="690"/>
      <c r="O79" s="690"/>
      <c r="P79" s="690"/>
      <c r="Q79" s="690"/>
      <c r="R79" s="690"/>
      <c r="S79" s="690"/>
      <c r="T79" s="690"/>
      <c r="U79" s="690"/>
      <c r="V79" s="690"/>
      <c r="W79" s="690"/>
      <c r="X79" s="690"/>
      <c r="Y79" s="691"/>
    </row>
    <row r="80" spans="1:25" ht="18" customHeight="1" x14ac:dyDescent="0.2">
      <c r="A80" s="337"/>
      <c r="B80" s="337"/>
      <c r="C80" s="689"/>
      <c r="D80" s="690"/>
      <c r="E80" s="690"/>
      <c r="F80" s="690"/>
      <c r="G80" s="690"/>
      <c r="H80" s="690"/>
      <c r="I80" s="690"/>
      <c r="J80" s="690"/>
      <c r="K80" s="690"/>
      <c r="L80" s="690"/>
      <c r="M80" s="690"/>
      <c r="N80" s="690"/>
      <c r="O80" s="690"/>
      <c r="P80" s="690"/>
      <c r="Q80" s="690"/>
      <c r="R80" s="690"/>
      <c r="S80" s="690"/>
      <c r="T80" s="690"/>
      <c r="U80" s="690"/>
      <c r="V80" s="690"/>
      <c r="W80" s="690"/>
      <c r="X80" s="690"/>
      <c r="Y80" s="691"/>
    </row>
    <row r="81" spans="1:25" ht="18" customHeight="1" x14ac:dyDescent="0.2">
      <c r="A81" s="337"/>
      <c r="B81" s="337"/>
      <c r="C81" s="689"/>
      <c r="D81" s="690"/>
      <c r="E81" s="690"/>
      <c r="F81" s="690"/>
      <c r="G81" s="690"/>
      <c r="H81" s="690"/>
      <c r="I81" s="690"/>
      <c r="J81" s="690"/>
      <c r="K81" s="690"/>
      <c r="L81" s="690"/>
      <c r="M81" s="690"/>
      <c r="N81" s="690"/>
      <c r="O81" s="690"/>
      <c r="P81" s="690"/>
      <c r="Q81" s="690"/>
      <c r="R81" s="690"/>
      <c r="S81" s="690"/>
      <c r="T81" s="690"/>
      <c r="U81" s="690"/>
      <c r="V81" s="690"/>
      <c r="W81" s="690"/>
      <c r="X81" s="690"/>
      <c r="Y81" s="691"/>
    </row>
    <row r="82" spans="1:25" ht="18" customHeight="1" x14ac:dyDescent="0.2">
      <c r="A82" s="337"/>
      <c r="B82" s="337"/>
      <c r="C82" s="689"/>
      <c r="D82" s="690"/>
      <c r="E82" s="690"/>
      <c r="F82" s="690"/>
      <c r="G82" s="690"/>
      <c r="H82" s="690"/>
      <c r="I82" s="690"/>
      <c r="J82" s="690"/>
      <c r="K82" s="690"/>
      <c r="L82" s="690"/>
      <c r="M82" s="690"/>
      <c r="N82" s="690"/>
      <c r="O82" s="690"/>
      <c r="P82" s="690"/>
      <c r="Q82" s="690"/>
      <c r="R82" s="690"/>
      <c r="S82" s="690"/>
      <c r="T82" s="690"/>
      <c r="U82" s="690"/>
      <c r="V82" s="690"/>
      <c r="W82" s="690"/>
      <c r="X82" s="690"/>
      <c r="Y82" s="691"/>
    </row>
    <row r="83" spans="1:25" ht="18" customHeight="1" x14ac:dyDescent="0.2">
      <c r="A83" s="337"/>
      <c r="B83" s="337"/>
      <c r="C83" s="689"/>
      <c r="D83" s="690"/>
      <c r="E83" s="690"/>
      <c r="F83" s="690"/>
      <c r="G83" s="690"/>
      <c r="H83" s="690"/>
      <c r="I83" s="690"/>
      <c r="J83" s="690"/>
      <c r="K83" s="690"/>
      <c r="L83" s="690"/>
      <c r="M83" s="690"/>
      <c r="N83" s="690"/>
      <c r="O83" s="690"/>
      <c r="P83" s="690"/>
      <c r="Q83" s="690"/>
      <c r="R83" s="690"/>
      <c r="S83" s="690"/>
      <c r="T83" s="690"/>
      <c r="U83" s="690"/>
      <c r="V83" s="690"/>
      <c r="W83" s="690"/>
      <c r="X83" s="690"/>
      <c r="Y83" s="691"/>
    </row>
    <row r="84" spans="1:25" ht="18" customHeight="1" x14ac:dyDescent="0.2">
      <c r="A84" s="337"/>
      <c r="B84" s="337"/>
      <c r="C84" s="689"/>
      <c r="D84" s="690"/>
      <c r="E84" s="690"/>
      <c r="F84" s="690"/>
      <c r="G84" s="690"/>
      <c r="H84" s="690"/>
      <c r="I84" s="690"/>
      <c r="J84" s="690"/>
      <c r="K84" s="690"/>
      <c r="L84" s="690"/>
      <c r="M84" s="690"/>
      <c r="N84" s="690"/>
      <c r="O84" s="690"/>
      <c r="P84" s="690"/>
      <c r="Q84" s="690"/>
      <c r="R84" s="690"/>
      <c r="S84" s="690"/>
      <c r="T84" s="690"/>
      <c r="U84" s="690"/>
      <c r="V84" s="690"/>
      <c r="W84" s="690"/>
      <c r="X84" s="690"/>
      <c r="Y84" s="691"/>
    </row>
    <row r="85" spans="1:25" ht="18" customHeight="1" x14ac:dyDescent="0.2">
      <c r="A85" s="337"/>
      <c r="B85" s="337"/>
      <c r="C85" s="689"/>
      <c r="D85" s="690"/>
      <c r="E85" s="690"/>
      <c r="F85" s="690"/>
      <c r="G85" s="690"/>
      <c r="H85" s="690"/>
      <c r="I85" s="690"/>
      <c r="J85" s="690"/>
      <c r="K85" s="690"/>
      <c r="L85" s="690"/>
      <c r="M85" s="690"/>
      <c r="N85" s="690"/>
      <c r="O85" s="690"/>
      <c r="P85" s="690"/>
      <c r="Q85" s="690"/>
      <c r="R85" s="690"/>
      <c r="S85" s="690"/>
      <c r="T85" s="690"/>
      <c r="U85" s="690"/>
      <c r="V85" s="690"/>
      <c r="W85" s="690"/>
      <c r="X85" s="690"/>
      <c r="Y85" s="691"/>
    </row>
    <row r="86" spans="1:25" ht="18" customHeight="1" x14ac:dyDescent="0.2">
      <c r="A86" s="337"/>
      <c r="B86" s="337"/>
      <c r="C86" s="689"/>
      <c r="D86" s="690"/>
      <c r="E86" s="690"/>
      <c r="F86" s="690"/>
      <c r="G86" s="690"/>
      <c r="H86" s="690"/>
      <c r="I86" s="690"/>
      <c r="J86" s="690"/>
      <c r="K86" s="690"/>
      <c r="L86" s="690"/>
      <c r="M86" s="690"/>
      <c r="N86" s="690"/>
      <c r="O86" s="690"/>
      <c r="P86" s="690"/>
      <c r="Q86" s="690"/>
      <c r="R86" s="690"/>
      <c r="S86" s="690"/>
      <c r="T86" s="690"/>
      <c r="U86" s="690"/>
      <c r="V86" s="690"/>
      <c r="W86" s="690"/>
      <c r="X86" s="690"/>
      <c r="Y86" s="691"/>
    </row>
    <row r="87" spans="1:25" ht="18" customHeight="1" x14ac:dyDescent="0.2">
      <c r="A87" s="337"/>
      <c r="B87" s="337"/>
      <c r="C87" s="689"/>
      <c r="D87" s="690"/>
      <c r="E87" s="690"/>
      <c r="F87" s="690"/>
      <c r="G87" s="690"/>
      <c r="H87" s="690"/>
      <c r="I87" s="690"/>
      <c r="J87" s="690"/>
      <c r="K87" s="690"/>
      <c r="L87" s="690"/>
      <c r="M87" s="690"/>
      <c r="N87" s="690"/>
      <c r="O87" s="690"/>
      <c r="P87" s="690"/>
      <c r="Q87" s="690"/>
      <c r="R87" s="690"/>
      <c r="S87" s="690"/>
      <c r="T87" s="690"/>
      <c r="U87" s="690"/>
      <c r="V87" s="690"/>
      <c r="W87" s="690"/>
      <c r="X87" s="690"/>
      <c r="Y87" s="691"/>
    </row>
    <row r="88" spans="1:25" ht="18" customHeight="1" x14ac:dyDescent="0.2">
      <c r="A88" s="337"/>
      <c r="B88" s="337"/>
      <c r="C88" s="689"/>
      <c r="D88" s="690"/>
      <c r="E88" s="690"/>
      <c r="F88" s="690"/>
      <c r="G88" s="690"/>
      <c r="H88" s="690"/>
      <c r="I88" s="690"/>
      <c r="J88" s="690"/>
      <c r="K88" s="690"/>
      <c r="L88" s="690"/>
      <c r="M88" s="690"/>
      <c r="N88" s="690"/>
      <c r="O88" s="690"/>
      <c r="P88" s="690"/>
      <c r="Q88" s="690"/>
      <c r="R88" s="690"/>
      <c r="S88" s="690"/>
      <c r="T88" s="690"/>
      <c r="U88" s="690"/>
      <c r="V88" s="690"/>
      <c r="W88" s="690"/>
      <c r="X88" s="690"/>
      <c r="Y88" s="691"/>
    </row>
    <row r="89" spans="1:25" ht="18" customHeight="1" x14ac:dyDescent="0.2">
      <c r="A89" s="337"/>
      <c r="B89" s="337"/>
      <c r="C89" s="689"/>
      <c r="D89" s="690"/>
      <c r="E89" s="690"/>
      <c r="F89" s="690"/>
      <c r="G89" s="690"/>
      <c r="H89" s="690"/>
      <c r="I89" s="690"/>
      <c r="J89" s="690"/>
      <c r="K89" s="690"/>
      <c r="L89" s="690"/>
      <c r="M89" s="690"/>
      <c r="N89" s="690"/>
      <c r="O89" s="690"/>
      <c r="P89" s="690"/>
      <c r="Q89" s="690"/>
      <c r="R89" s="690"/>
      <c r="S89" s="690"/>
      <c r="T89" s="690"/>
      <c r="U89" s="690"/>
      <c r="V89" s="690"/>
      <c r="W89" s="690"/>
      <c r="X89" s="690"/>
      <c r="Y89" s="691"/>
    </row>
    <row r="90" spans="1:25" ht="18" customHeight="1" x14ac:dyDescent="0.2">
      <c r="A90" s="337"/>
      <c r="B90" s="337"/>
      <c r="C90" s="689"/>
      <c r="D90" s="690"/>
      <c r="E90" s="690"/>
      <c r="F90" s="690"/>
      <c r="G90" s="690"/>
      <c r="H90" s="690"/>
      <c r="I90" s="690"/>
      <c r="J90" s="690"/>
      <c r="K90" s="690"/>
      <c r="L90" s="690"/>
      <c r="M90" s="690"/>
      <c r="N90" s="690"/>
      <c r="O90" s="690"/>
      <c r="P90" s="690"/>
      <c r="Q90" s="690"/>
      <c r="R90" s="690"/>
      <c r="S90" s="690"/>
      <c r="T90" s="690"/>
      <c r="U90" s="690"/>
      <c r="V90" s="690"/>
      <c r="W90" s="690"/>
      <c r="X90" s="690"/>
      <c r="Y90" s="691"/>
    </row>
    <row r="91" spans="1:25" ht="18" customHeight="1" x14ac:dyDescent="0.2">
      <c r="A91" s="337"/>
      <c r="B91" s="337"/>
      <c r="C91" s="689"/>
      <c r="D91" s="690"/>
      <c r="E91" s="690"/>
      <c r="F91" s="690"/>
      <c r="G91" s="690"/>
      <c r="H91" s="690"/>
      <c r="I91" s="690"/>
      <c r="J91" s="690"/>
      <c r="K91" s="690"/>
      <c r="L91" s="690"/>
      <c r="M91" s="690"/>
      <c r="N91" s="690"/>
      <c r="O91" s="690"/>
      <c r="P91" s="690"/>
      <c r="Q91" s="690"/>
      <c r="R91" s="690"/>
      <c r="S91" s="690"/>
      <c r="T91" s="690"/>
      <c r="U91" s="690"/>
      <c r="V91" s="690"/>
      <c r="W91" s="690"/>
      <c r="X91" s="690"/>
      <c r="Y91" s="691"/>
    </row>
    <row r="92" spans="1:25" ht="18" customHeight="1" x14ac:dyDescent="0.2">
      <c r="A92" s="337"/>
      <c r="B92" s="337"/>
      <c r="C92" s="689"/>
      <c r="D92" s="690"/>
      <c r="E92" s="690"/>
      <c r="F92" s="690"/>
      <c r="G92" s="690"/>
      <c r="H92" s="690"/>
      <c r="I92" s="690"/>
      <c r="J92" s="690"/>
      <c r="K92" s="690"/>
      <c r="L92" s="690"/>
      <c r="M92" s="690"/>
      <c r="N92" s="690"/>
      <c r="O92" s="690"/>
      <c r="P92" s="690"/>
      <c r="Q92" s="690"/>
      <c r="R92" s="690"/>
      <c r="S92" s="690"/>
      <c r="T92" s="690"/>
      <c r="U92" s="690"/>
      <c r="V92" s="690"/>
      <c r="W92" s="690"/>
      <c r="X92" s="690"/>
      <c r="Y92" s="691"/>
    </row>
    <row r="93" spans="1:25" ht="18" customHeight="1" x14ac:dyDescent="0.2">
      <c r="A93" s="337"/>
      <c r="B93" s="337"/>
      <c r="C93" s="689"/>
      <c r="D93" s="690"/>
      <c r="E93" s="690"/>
      <c r="F93" s="690"/>
      <c r="G93" s="690"/>
      <c r="H93" s="690"/>
      <c r="I93" s="690"/>
      <c r="J93" s="690"/>
      <c r="K93" s="690"/>
      <c r="L93" s="690"/>
      <c r="M93" s="690"/>
      <c r="N93" s="690"/>
      <c r="O93" s="690"/>
      <c r="P93" s="690"/>
      <c r="Q93" s="690"/>
      <c r="R93" s="690"/>
      <c r="S93" s="690"/>
      <c r="T93" s="690"/>
      <c r="U93" s="690"/>
      <c r="V93" s="690"/>
      <c r="W93" s="690"/>
      <c r="X93" s="690"/>
      <c r="Y93" s="691"/>
    </row>
    <row r="94" spans="1:25" ht="18" customHeight="1" x14ac:dyDescent="0.2">
      <c r="A94" s="337"/>
      <c r="B94" s="337"/>
      <c r="C94" s="689"/>
      <c r="D94" s="690"/>
      <c r="E94" s="690"/>
      <c r="F94" s="690"/>
      <c r="G94" s="690"/>
      <c r="H94" s="690"/>
      <c r="I94" s="690"/>
      <c r="J94" s="690"/>
      <c r="K94" s="690"/>
      <c r="L94" s="690"/>
      <c r="M94" s="690"/>
      <c r="N94" s="690"/>
      <c r="O94" s="690"/>
      <c r="P94" s="690"/>
      <c r="Q94" s="690"/>
      <c r="R94" s="690"/>
      <c r="S94" s="690"/>
      <c r="T94" s="690"/>
      <c r="U94" s="690"/>
      <c r="V94" s="690"/>
      <c r="W94" s="690"/>
      <c r="X94" s="690"/>
      <c r="Y94" s="691"/>
    </row>
    <row r="95" spans="1:25" ht="18" customHeight="1" x14ac:dyDescent="0.2">
      <c r="A95" s="337"/>
      <c r="B95" s="337"/>
      <c r="C95" s="689"/>
      <c r="D95" s="690"/>
      <c r="E95" s="690"/>
      <c r="F95" s="690"/>
      <c r="G95" s="690"/>
      <c r="H95" s="690"/>
      <c r="I95" s="690"/>
      <c r="J95" s="690"/>
      <c r="K95" s="690"/>
      <c r="L95" s="690"/>
      <c r="M95" s="690"/>
      <c r="N95" s="690"/>
      <c r="O95" s="690"/>
      <c r="P95" s="690"/>
      <c r="Q95" s="690"/>
      <c r="R95" s="690"/>
      <c r="S95" s="690"/>
      <c r="T95" s="690"/>
      <c r="U95" s="690"/>
      <c r="V95" s="690"/>
      <c r="W95" s="690"/>
      <c r="X95" s="690"/>
      <c r="Y95" s="691"/>
    </row>
    <row r="96" spans="1:25" ht="18" customHeight="1" x14ac:dyDescent="0.2">
      <c r="A96" s="337"/>
      <c r="B96" s="337"/>
      <c r="C96" s="689"/>
      <c r="D96" s="690"/>
      <c r="E96" s="690"/>
      <c r="F96" s="690"/>
      <c r="G96" s="690"/>
      <c r="H96" s="690"/>
      <c r="I96" s="690"/>
      <c r="J96" s="690"/>
      <c r="K96" s="690"/>
      <c r="L96" s="690"/>
      <c r="M96" s="690"/>
      <c r="N96" s="690"/>
      <c r="O96" s="690"/>
      <c r="P96" s="690"/>
      <c r="Q96" s="690"/>
      <c r="R96" s="690"/>
      <c r="S96" s="690"/>
      <c r="T96" s="690"/>
      <c r="U96" s="690"/>
      <c r="V96" s="690"/>
      <c r="W96" s="690"/>
      <c r="X96" s="690"/>
      <c r="Y96" s="691"/>
    </row>
    <row r="97" spans="1:27" ht="18" customHeight="1" x14ac:dyDescent="0.2">
      <c r="A97" s="337"/>
      <c r="B97" s="337"/>
      <c r="C97" s="689"/>
      <c r="D97" s="690"/>
      <c r="E97" s="690"/>
      <c r="F97" s="690"/>
      <c r="G97" s="690"/>
      <c r="H97" s="690"/>
      <c r="I97" s="690"/>
      <c r="J97" s="690"/>
      <c r="K97" s="690"/>
      <c r="L97" s="690"/>
      <c r="M97" s="690"/>
      <c r="N97" s="690"/>
      <c r="O97" s="690"/>
      <c r="P97" s="690"/>
      <c r="Q97" s="690"/>
      <c r="R97" s="690"/>
      <c r="S97" s="690"/>
      <c r="T97" s="690"/>
      <c r="U97" s="690"/>
      <c r="V97" s="690"/>
      <c r="W97" s="690"/>
      <c r="X97" s="690"/>
      <c r="Y97" s="691"/>
    </row>
    <row r="98" spans="1:27" ht="18" customHeight="1" x14ac:dyDescent="0.2">
      <c r="A98" s="337"/>
      <c r="B98" s="337"/>
      <c r="C98" s="689"/>
      <c r="D98" s="690"/>
      <c r="E98" s="690"/>
      <c r="F98" s="690"/>
      <c r="G98" s="690"/>
      <c r="H98" s="690"/>
      <c r="I98" s="690"/>
      <c r="J98" s="690"/>
      <c r="K98" s="690"/>
      <c r="L98" s="690"/>
      <c r="M98" s="690"/>
      <c r="N98" s="690"/>
      <c r="O98" s="690"/>
      <c r="P98" s="690"/>
      <c r="Q98" s="690"/>
      <c r="R98" s="690"/>
      <c r="S98" s="690"/>
      <c r="T98" s="690"/>
      <c r="U98" s="690"/>
      <c r="V98" s="690"/>
      <c r="W98" s="690"/>
      <c r="X98" s="690"/>
      <c r="Y98" s="691"/>
    </row>
    <row r="99" spans="1:27" ht="18" customHeight="1" x14ac:dyDescent="0.2">
      <c r="A99" s="337"/>
      <c r="B99" s="337"/>
      <c r="C99" s="689"/>
      <c r="D99" s="690"/>
      <c r="E99" s="690"/>
      <c r="F99" s="690"/>
      <c r="G99" s="690"/>
      <c r="H99" s="690"/>
      <c r="I99" s="690"/>
      <c r="J99" s="690"/>
      <c r="K99" s="690"/>
      <c r="L99" s="690"/>
      <c r="M99" s="690"/>
      <c r="N99" s="690"/>
      <c r="O99" s="690"/>
      <c r="P99" s="690"/>
      <c r="Q99" s="690"/>
      <c r="R99" s="690"/>
      <c r="S99" s="690"/>
      <c r="T99" s="690"/>
      <c r="U99" s="690"/>
      <c r="V99" s="690"/>
      <c r="W99" s="690"/>
      <c r="X99" s="690"/>
      <c r="Y99" s="691"/>
    </row>
    <row r="100" spans="1:27" ht="18" customHeight="1" x14ac:dyDescent="0.2">
      <c r="A100" s="337"/>
      <c r="B100" s="337"/>
      <c r="C100" s="689"/>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1"/>
    </row>
    <row r="101" spans="1:27" ht="18" customHeight="1" x14ac:dyDescent="0.2">
      <c r="A101" s="337"/>
      <c r="B101" s="337"/>
      <c r="C101" s="689"/>
      <c r="D101" s="690"/>
      <c r="E101" s="690"/>
      <c r="F101" s="690"/>
      <c r="G101" s="690"/>
      <c r="H101" s="690"/>
      <c r="I101" s="690"/>
      <c r="J101" s="690"/>
      <c r="K101" s="690"/>
      <c r="L101" s="690"/>
      <c r="M101" s="690"/>
      <c r="N101" s="690"/>
      <c r="O101" s="690"/>
      <c r="P101" s="690"/>
      <c r="Q101" s="690"/>
      <c r="R101" s="690"/>
      <c r="S101" s="690"/>
      <c r="T101" s="690"/>
      <c r="U101" s="690"/>
      <c r="V101" s="690"/>
      <c r="W101" s="690"/>
      <c r="X101" s="690"/>
      <c r="Y101" s="691"/>
    </row>
    <row r="102" spans="1:27" ht="18" customHeight="1" x14ac:dyDescent="0.2">
      <c r="A102" s="337"/>
      <c r="B102" s="337"/>
      <c r="C102" s="692"/>
      <c r="D102" s="693"/>
      <c r="E102" s="693"/>
      <c r="F102" s="693"/>
      <c r="G102" s="693"/>
      <c r="H102" s="693"/>
      <c r="I102" s="693"/>
      <c r="J102" s="693"/>
      <c r="K102" s="693"/>
      <c r="L102" s="693"/>
      <c r="M102" s="693"/>
      <c r="N102" s="693"/>
      <c r="O102" s="693"/>
      <c r="P102" s="693"/>
      <c r="Q102" s="693"/>
      <c r="R102" s="693"/>
      <c r="S102" s="693"/>
      <c r="T102" s="693"/>
      <c r="U102" s="693"/>
      <c r="V102" s="693"/>
      <c r="W102" s="693"/>
      <c r="X102" s="693"/>
      <c r="Y102" s="694"/>
    </row>
    <row r="103" spans="1:27" ht="18" customHeight="1" x14ac:dyDescent="0.2">
      <c r="A103" s="337"/>
      <c r="B103" s="337"/>
      <c r="C103" s="350"/>
      <c r="D103" s="350"/>
      <c r="E103" s="350"/>
      <c r="F103" s="351" t="s">
        <v>363</v>
      </c>
      <c r="G103" s="536"/>
      <c r="H103" s="538"/>
      <c r="I103" s="345"/>
      <c r="J103" s="337"/>
      <c r="K103" s="337"/>
      <c r="L103" s="337"/>
      <c r="M103" s="337"/>
      <c r="N103" s="337"/>
      <c r="O103" s="337"/>
    </row>
    <row r="104" spans="1:27" ht="18" customHeight="1" x14ac:dyDescent="0.2">
      <c r="A104" s="337"/>
      <c r="B104" s="337"/>
      <c r="C104" s="442"/>
      <c r="D104" s="442"/>
      <c r="E104" s="442"/>
      <c r="F104" s="442"/>
      <c r="G104" s="352"/>
      <c r="H104" s="352"/>
      <c r="I104" s="337"/>
      <c r="J104" s="337"/>
      <c r="K104" s="337"/>
      <c r="L104" s="337"/>
      <c r="M104" s="337"/>
      <c r="N104" s="337"/>
      <c r="O104" s="337"/>
    </row>
    <row r="105" spans="1:27" ht="18" customHeight="1" x14ac:dyDescent="0.2">
      <c r="A105" s="337"/>
      <c r="B105" s="337"/>
      <c r="C105" s="581" t="s">
        <v>232</v>
      </c>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row>
    <row r="106" spans="1:27" ht="18" customHeight="1" x14ac:dyDescent="0.2">
      <c r="A106" s="337"/>
      <c r="B106" s="705" t="str">
        <f>IF(OR(C17="SITE IMPACTE - AVEC IMPACT ENVISAGE
(SIMULATION)",C17="SITE IMPACTE - APRES IMPACT"),"L'aire qui n'est plus en zone humide (par ex. bâti, route) dans le site du fait de l'aménagement n'apparaît pas dans l'état avec impact envisagé ou après impact.","")</f>
        <v/>
      </c>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row>
    <row r="107" spans="1:27" ht="18" customHeight="1" x14ac:dyDescent="0.2">
      <c r="A107" s="337"/>
      <c r="B107" s="337"/>
      <c r="C107" s="337"/>
      <c r="D107" s="337"/>
      <c r="E107" s="337"/>
      <c r="F107" s="337"/>
      <c r="G107" s="337"/>
      <c r="H107" s="337"/>
      <c r="I107" s="337"/>
      <c r="J107" s="337"/>
      <c r="K107" s="337"/>
      <c r="L107" s="337"/>
      <c r="M107" s="337"/>
      <c r="N107" s="337"/>
      <c r="O107" s="337"/>
      <c r="S107" s="353" t="s">
        <v>233</v>
      </c>
      <c r="T107" s="578"/>
      <c r="U107" s="578"/>
      <c r="V107" s="578"/>
      <c r="W107" s="578"/>
      <c r="X107" s="591" t="s">
        <v>111</v>
      </c>
      <c r="Y107" s="591"/>
    </row>
    <row r="108" spans="1:27" ht="18" customHeight="1" x14ac:dyDescent="0.2">
      <c r="A108" s="337"/>
      <c r="B108" s="337"/>
      <c r="C108" s="345"/>
      <c r="D108" s="337"/>
      <c r="E108" s="337"/>
      <c r="F108" s="337"/>
      <c r="G108" s="337"/>
      <c r="H108" s="337"/>
      <c r="I108" s="337"/>
      <c r="J108" s="337"/>
      <c r="K108" s="337"/>
      <c r="L108" s="337"/>
      <c r="M108" s="337"/>
      <c r="N108" s="337"/>
      <c r="O108" s="337"/>
    </row>
    <row r="109" spans="1:27" ht="18" customHeight="1" x14ac:dyDescent="0.2">
      <c r="A109" s="337"/>
      <c r="B109" s="337"/>
      <c r="C109" s="345"/>
      <c r="D109" s="337"/>
      <c r="E109" s="337"/>
      <c r="F109" s="337"/>
      <c r="G109" s="337"/>
      <c r="H109" s="337"/>
      <c r="I109" s="337"/>
      <c r="J109" s="337"/>
      <c r="K109" s="337"/>
      <c r="L109" s="337"/>
      <c r="M109" s="337"/>
      <c r="N109" s="337"/>
      <c r="O109" s="337"/>
    </row>
    <row r="110" spans="1:27" ht="18" customHeight="1" x14ac:dyDescent="0.2">
      <c r="A110" s="337"/>
      <c r="B110" s="337"/>
      <c r="C110" s="581" t="s">
        <v>281</v>
      </c>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row>
    <row r="111" spans="1:27" ht="18" customHeight="1" x14ac:dyDescent="0.2">
      <c r="A111" s="337"/>
      <c r="B111" s="337"/>
      <c r="C111" s="354" t="s">
        <v>234</v>
      </c>
      <c r="D111" s="354"/>
      <c r="E111" s="354"/>
      <c r="F111" s="355"/>
      <c r="G111" s="354"/>
      <c r="H111" s="355"/>
      <c r="I111" s="355"/>
      <c r="J111" s="356"/>
      <c r="K111" s="356"/>
      <c r="L111" s="356"/>
      <c r="M111" s="356"/>
      <c r="N111" s="356"/>
      <c r="O111" s="356"/>
      <c r="P111" s="356"/>
      <c r="Q111" s="356"/>
      <c r="R111" s="356"/>
      <c r="S111" s="357" t="s">
        <v>50</v>
      </c>
      <c r="T111" s="665"/>
      <c r="U111" s="666"/>
      <c r="V111" s="666"/>
      <c r="W111" s="667"/>
      <c r="X111" s="358"/>
      <c r="Y111" s="359"/>
    </row>
    <row r="112" spans="1:27" ht="18" customHeight="1" x14ac:dyDescent="0.2">
      <c r="A112" s="337"/>
      <c r="B112" s="337"/>
      <c r="C112" s="360"/>
      <c r="D112" s="32"/>
      <c r="E112" s="32"/>
      <c r="F112" s="361"/>
      <c r="G112" s="361"/>
      <c r="H112" s="361"/>
      <c r="I112" s="361"/>
      <c r="J112" s="361"/>
      <c r="K112" s="346"/>
      <c r="L112" s="346"/>
      <c r="M112" s="346"/>
      <c r="N112" s="346"/>
      <c r="O112" s="346"/>
      <c r="P112" s="346"/>
      <c r="Q112" s="346"/>
      <c r="R112" s="346"/>
      <c r="S112" s="362" t="s">
        <v>51</v>
      </c>
      <c r="T112" s="638"/>
      <c r="U112" s="638"/>
      <c r="V112" s="638"/>
      <c r="W112" s="638"/>
      <c r="X112" s="363"/>
      <c r="Y112" s="364"/>
    </row>
    <row r="113" spans="1:25" ht="18" customHeight="1" x14ac:dyDescent="0.2">
      <c r="A113" s="337"/>
      <c r="B113" s="337"/>
      <c r="C113" s="365"/>
      <c r="D113" s="32"/>
      <c r="E113" s="32"/>
      <c r="F113" s="361"/>
      <c r="G113" s="361"/>
      <c r="H113" s="361"/>
      <c r="I113" s="361"/>
      <c r="J113" s="361"/>
      <c r="K113" s="346"/>
      <c r="L113" s="346"/>
      <c r="M113" s="346"/>
      <c r="N113" s="346"/>
      <c r="O113" s="346"/>
      <c r="P113" s="346"/>
      <c r="Q113" s="346"/>
      <c r="R113" s="346"/>
      <c r="S113" s="362" t="s">
        <v>276</v>
      </c>
      <c r="T113" s="638"/>
      <c r="U113" s="638"/>
      <c r="V113" s="638"/>
      <c r="W113" s="638"/>
      <c r="X113" s="363"/>
      <c r="Y113" s="364"/>
    </row>
    <row r="114" spans="1:25" ht="18" customHeight="1" x14ac:dyDescent="0.2">
      <c r="A114" s="337"/>
      <c r="B114" s="337"/>
      <c r="C114" s="345"/>
      <c r="D114" s="337"/>
      <c r="E114" s="337"/>
      <c r="F114" s="361"/>
      <c r="G114" s="337"/>
      <c r="H114" s="337"/>
      <c r="I114" s="337"/>
      <c r="J114" s="337"/>
      <c r="K114" s="337"/>
      <c r="L114" s="337"/>
      <c r="M114" s="337"/>
      <c r="N114" s="337"/>
      <c r="O114" s="337"/>
    </row>
    <row r="115" spans="1:25" ht="18" customHeight="1" x14ac:dyDescent="0.2">
      <c r="A115" s="337"/>
      <c r="B115" s="337"/>
      <c r="C115" s="345"/>
      <c r="D115" s="337"/>
      <c r="E115" s="337"/>
      <c r="F115" s="361"/>
      <c r="G115" s="337"/>
      <c r="H115" s="337"/>
      <c r="I115" s="337"/>
      <c r="J115" s="337"/>
      <c r="K115" s="337"/>
      <c r="L115" s="337"/>
      <c r="M115" s="337"/>
      <c r="N115" s="337"/>
      <c r="O115" s="337"/>
    </row>
    <row r="116" spans="1:25" ht="18" customHeight="1" x14ac:dyDescent="0.2">
      <c r="A116" s="337"/>
      <c r="B116" s="337"/>
      <c r="C116" s="581" t="s">
        <v>757</v>
      </c>
      <c r="D116" s="581"/>
      <c r="E116" s="581"/>
      <c r="F116" s="581"/>
      <c r="G116" s="704"/>
      <c r="H116" s="704"/>
      <c r="I116" s="704"/>
      <c r="J116" s="704"/>
      <c r="K116" s="704"/>
      <c r="L116" s="704"/>
      <c r="M116" s="704"/>
      <c r="N116" s="704"/>
      <c r="O116" s="704"/>
      <c r="P116" s="704"/>
      <c r="Q116" s="704"/>
      <c r="R116" s="704"/>
      <c r="S116" s="704"/>
      <c r="T116" s="704"/>
      <c r="U116" s="704"/>
      <c r="V116" s="704"/>
      <c r="W116" s="704"/>
      <c r="X116" s="704"/>
      <c r="Y116" s="704"/>
    </row>
    <row r="117" spans="1:25" ht="18" customHeight="1" x14ac:dyDescent="0.2">
      <c r="A117" s="337"/>
      <c r="B117" s="337"/>
      <c r="D117" s="367"/>
      <c r="F117" s="362" t="s">
        <v>235</v>
      </c>
      <c r="G117" s="536"/>
      <c r="H117" s="537"/>
      <c r="I117" s="537"/>
      <c r="J117" s="537"/>
      <c r="K117" s="537"/>
      <c r="L117" s="537"/>
      <c r="M117" s="537"/>
      <c r="N117" s="537"/>
      <c r="O117" s="537"/>
      <c r="P117" s="537"/>
      <c r="Q117" s="537"/>
      <c r="R117" s="537"/>
      <c r="S117" s="537"/>
      <c r="T117" s="537"/>
      <c r="U117" s="537"/>
      <c r="V117" s="537"/>
      <c r="W117" s="537"/>
      <c r="X117" s="537"/>
      <c r="Y117" s="538"/>
    </row>
    <row r="118" spans="1:25" ht="18" customHeight="1" x14ac:dyDescent="0.2">
      <c r="C118" s="345"/>
      <c r="D118" s="367"/>
    </row>
    <row r="119" spans="1:25" ht="18" customHeight="1" x14ac:dyDescent="0.2">
      <c r="C119" s="345"/>
      <c r="D119" s="367"/>
    </row>
    <row r="120" spans="1:25" ht="18" customHeight="1" x14ac:dyDescent="0.2">
      <c r="A120" s="337"/>
      <c r="B120" s="337"/>
      <c r="C120" s="581" t="s">
        <v>282</v>
      </c>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row>
    <row r="121" spans="1:25" ht="18" customHeight="1" x14ac:dyDescent="0.2">
      <c r="A121" s="337"/>
      <c r="B121" s="337"/>
      <c r="C121" s="354" t="s">
        <v>236</v>
      </c>
      <c r="D121" s="354"/>
      <c r="E121" s="337"/>
      <c r="F121" s="368"/>
      <c r="G121" s="368"/>
      <c r="H121" s="368"/>
      <c r="I121" s="353" t="s">
        <v>21</v>
      </c>
      <c r="J121" s="588"/>
      <c r="K121" s="588"/>
      <c r="P121" s="368"/>
      <c r="Q121" s="368"/>
      <c r="S121" s="353" t="s">
        <v>53</v>
      </c>
      <c r="T121" s="588"/>
      <c r="U121" s="588"/>
      <c r="V121" s="588"/>
      <c r="W121" s="588"/>
    </row>
    <row r="122" spans="1:25" ht="18" customHeight="1" x14ac:dyDescent="0.2">
      <c r="A122" s="337"/>
      <c r="B122" s="337"/>
      <c r="C122" s="354"/>
      <c r="D122" s="354"/>
      <c r="E122" s="337"/>
      <c r="F122" s="367"/>
      <c r="G122" s="367"/>
      <c r="H122" s="367"/>
      <c r="I122" s="369" t="s">
        <v>52</v>
      </c>
      <c r="J122" s="588"/>
      <c r="K122" s="588"/>
      <c r="P122" s="367"/>
      <c r="Q122" s="368"/>
      <c r="S122" s="353" t="s">
        <v>23</v>
      </c>
      <c r="T122" s="588"/>
      <c r="U122" s="588"/>
      <c r="V122" s="588"/>
      <c r="W122" s="588"/>
    </row>
    <row r="123" spans="1:25" ht="18" customHeight="1" x14ac:dyDescent="0.2">
      <c r="A123" s="337"/>
      <c r="B123" s="337"/>
      <c r="C123" s="337"/>
      <c r="D123" s="337"/>
      <c r="E123" s="337"/>
      <c r="F123" s="368"/>
      <c r="G123" s="368"/>
      <c r="H123" s="367"/>
      <c r="I123" s="353" t="s">
        <v>22</v>
      </c>
      <c r="J123" s="588"/>
      <c r="K123" s="588"/>
      <c r="P123" s="367"/>
      <c r="Q123" s="367"/>
    </row>
    <row r="124" spans="1:25" ht="18" customHeight="1" x14ac:dyDescent="0.2">
      <c r="A124" s="337"/>
      <c r="B124" s="337"/>
      <c r="C124" s="345"/>
      <c r="D124" s="337"/>
      <c r="E124" s="337"/>
      <c r="F124" s="337"/>
      <c r="G124" s="337"/>
      <c r="H124" s="337"/>
      <c r="I124" s="337"/>
      <c r="J124" s="337"/>
      <c r="K124" s="337"/>
      <c r="L124" s="337"/>
      <c r="M124" s="337"/>
      <c r="N124" s="337"/>
      <c r="O124" s="337"/>
    </row>
    <row r="125" spans="1:25" ht="18" customHeight="1" x14ac:dyDescent="0.2">
      <c r="A125" s="337"/>
      <c r="B125" s="337"/>
      <c r="C125" s="345"/>
      <c r="D125" s="337"/>
      <c r="E125" s="337"/>
      <c r="F125" s="337"/>
      <c r="G125" s="337"/>
      <c r="H125" s="337"/>
      <c r="I125" s="337"/>
      <c r="J125" s="337"/>
      <c r="K125" s="337"/>
      <c r="L125" s="337"/>
      <c r="M125" s="337"/>
      <c r="N125" s="337"/>
      <c r="O125" s="337"/>
    </row>
    <row r="126" spans="1:25" ht="18" customHeight="1" x14ac:dyDescent="0.2">
      <c r="A126" s="337"/>
      <c r="B126" s="337"/>
      <c r="C126" s="583" t="s">
        <v>283</v>
      </c>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row>
    <row r="127" spans="1:25" ht="18" customHeight="1" x14ac:dyDescent="0.2">
      <c r="A127" s="337"/>
      <c r="B127" s="337"/>
      <c r="C127" s="592"/>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row>
    <row r="128" spans="1:25" ht="18" customHeight="1" x14ac:dyDescent="0.2">
      <c r="A128" s="337"/>
      <c r="B128" s="337"/>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row>
    <row r="129" spans="1:25" ht="18" customHeight="1" x14ac:dyDescent="0.2">
      <c r="C129" s="345"/>
      <c r="D129" s="332"/>
      <c r="E129" s="370"/>
      <c r="F129" s="370"/>
      <c r="G129" s="370"/>
      <c r="H129" s="370"/>
      <c r="I129" s="370"/>
      <c r="J129" s="370"/>
      <c r="K129" s="370"/>
      <c r="L129" s="370"/>
    </row>
    <row r="130" spans="1:25" ht="18" customHeight="1" x14ac:dyDescent="0.2">
      <c r="C130" s="345"/>
      <c r="D130" s="332"/>
      <c r="E130" s="370"/>
      <c r="F130" s="370"/>
      <c r="G130" s="370"/>
      <c r="H130" s="370"/>
      <c r="I130" s="370"/>
      <c r="J130" s="370"/>
      <c r="K130" s="370"/>
      <c r="L130" s="370"/>
    </row>
    <row r="131" spans="1:25" ht="18" customHeight="1" x14ac:dyDescent="0.2">
      <c r="C131" s="581" t="s">
        <v>284</v>
      </c>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row>
    <row r="132" spans="1:25" ht="18" customHeight="1" x14ac:dyDescent="0.2">
      <c r="C132" s="365"/>
      <c r="D132" s="365"/>
      <c r="S132" s="369" t="s">
        <v>237</v>
      </c>
      <c r="T132" s="701"/>
      <c r="U132" s="701"/>
      <c r="V132" s="701"/>
      <c r="W132" s="701"/>
      <c r="X132" s="371"/>
      <c r="Y132" s="372"/>
    </row>
    <row r="133" spans="1:25" ht="18" customHeight="1" x14ac:dyDescent="0.2">
      <c r="C133" s="345"/>
      <c r="D133" s="332"/>
      <c r="E133" s="370"/>
      <c r="F133" s="370"/>
      <c r="G133" s="370"/>
      <c r="H133" s="370"/>
      <c r="I133" s="370"/>
      <c r="J133" s="370"/>
      <c r="K133" s="370"/>
      <c r="L133" s="370"/>
    </row>
    <row r="134" spans="1:25" ht="18" customHeight="1" x14ac:dyDescent="0.2">
      <c r="C134" s="345"/>
      <c r="D134" s="332"/>
      <c r="E134" s="370"/>
      <c r="F134" s="370"/>
      <c r="G134" s="370"/>
      <c r="H134" s="370"/>
      <c r="I134" s="370"/>
      <c r="J134" s="370"/>
      <c r="K134" s="370"/>
      <c r="L134" s="370"/>
    </row>
    <row r="135" spans="1:25" ht="33.75" customHeight="1" x14ac:dyDescent="0.2">
      <c r="A135" s="337"/>
      <c r="B135" s="337"/>
      <c r="C135" s="341" t="s">
        <v>403</v>
      </c>
      <c r="D135" s="695" t="s">
        <v>44</v>
      </c>
      <c r="E135" s="696"/>
      <c r="F135" s="696"/>
      <c r="G135" s="696"/>
      <c r="H135" s="696"/>
      <c r="I135" s="696"/>
      <c r="J135" s="696"/>
      <c r="K135" s="696"/>
      <c r="L135" s="696"/>
      <c r="M135" s="696"/>
      <c r="N135" s="696"/>
      <c r="O135" s="696"/>
      <c r="P135" s="696"/>
      <c r="Q135" s="696"/>
      <c r="R135" s="696"/>
      <c r="S135" s="696"/>
      <c r="T135" s="696"/>
      <c r="U135" s="696"/>
      <c r="V135" s="696"/>
      <c r="W135" s="696"/>
      <c r="X135" s="696"/>
      <c r="Y135" s="697"/>
    </row>
    <row r="136" spans="1:25" ht="18" customHeight="1" x14ac:dyDescent="0.2">
      <c r="A136" s="337"/>
      <c r="B136" s="337"/>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row>
    <row r="137" spans="1:25" ht="18" customHeight="1" x14ac:dyDescent="0.2">
      <c r="A137" s="337"/>
      <c r="B137" s="337"/>
      <c r="C137" s="583" t="s">
        <v>364</v>
      </c>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row>
    <row r="138" spans="1:25" ht="18" customHeight="1" x14ac:dyDescent="0.2">
      <c r="A138" s="337"/>
      <c r="B138" s="337"/>
      <c r="C138" s="592"/>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row>
    <row r="139" spans="1:25" ht="18" customHeight="1" thickBot="1" x14ac:dyDescent="0.25">
      <c r="A139" s="337"/>
      <c r="B139" s="337"/>
      <c r="C139" s="373"/>
      <c r="D139" s="373"/>
      <c r="E139" s="374"/>
      <c r="F139" s="374"/>
      <c r="G139" s="374"/>
      <c r="H139" s="374"/>
      <c r="I139" s="374"/>
      <c r="J139" s="374"/>
      <c r="K139" s="373"/>
      <c r="L139" s="373"/>
      <c r="M139" s="374"/>
      <c r="N139" s="374"/>
      <c r="O139" s="374"/>
      <c r="P139" s="374"/>
      <c r="Q139" s="374"/>
      <c r="R139" s="374"/>
      <c r="S139" s="362" t="s">
        <v>238</v>
      </c>
      <c r="T139" s="702"/>
      <c r="U139" s="702"/>
      <c r="V139" s="702"/>
      <c r="W139" s="702"/>
      <c r="X139" s="703"/>
      <c r="Y139" s="703"/>
    </row>
    <row r="140" spans="1:25" ht="18" customHeight="1" thickBot="1" x14ac:dyDescent="0.25">
      <c r="A140" s="337"/>
      <c r="B140" s="337"/>
      <c r="C140" s="345"/>
      <c r="D140" s="366"/>
      <c r="E140" s="366"/>
      <c r="F140" s="366"/>
      <c r="G140" s="366"/>
      <c r="H140" s="366"/>
      <c r="I140" s="366"/>
      <c r="J140" s="366"/>
      <c r="K140" s="366"/>
      <c r="L140" s="366"/>
      <c r="M140" s="366"/>
      <c r="N140" s="366"/>
      <c r="O140" s="366"/>
      <c r="P140" s="366"/>
      <c r="Q140" s="366"/>
      <c r="R140" s="366"/>
      <c r="S140" s="366"/>
      <c r="T140" s="375"/>
      <c r="U140" s="376"/>
      <c r="V140" s="376"/>
      <c r="W140" s="377" t="str">
        <f>CONCATENATE(IF($T$139="","",IF($T$139&gt;8,"Le rang de Strahler maximal est de 8 dans la BD CARTHAGE","")),IF(AND(OR($J$121="X",$J$122="X"),$T$139=""),"Site alluvial ou riverain des étendues d'eau, renseignez un rang de Strahler.",""))</f>
        <v/>
      </c>
      <c r="X140" s="366"/>
      <c r="Y140" s="366"/>
    </row>
    <row r="141" spans="1:25" ht="18" customHeight="1" x14ac:dyDescent="0.2">
      <c r="A141" s="337"/>
      <c r="B141" s="337"/>
      <c r="C141" s="345"/>
      <c r="D141" s="366"/>
      <c r="E141" s="366"/>
      <c r="F141" s="366"/>
      <c r="G141" s="366"/>
      <c r="H141" s="366"/>
      <c r="I141" s="366"/>
      <c r="J141" s="366"/>
      <c r="K141" s="366"/>
      <c r="L141" s="366"/>
      <c r="M141" s="366"/>
      <c r="N141" s="366"/>
      <c r="O141" s="366"/>
      <c r="P141" s="366"/>
      <c r="Q141" s="366"/>
      <c r="R141" s="366"/>
      <c r="S141" s="366"/>
      <c r="T141" s="366"/>
      <c r="U141" s="366"/>
      <c r="V141" s="366"/>
      <c r="W141" s="378"/>
      <c r="X141" s="366"/>
      <c r="Y141" s="366"/>
    </row>
    <row r="142" spans="1:25" ht="18" customHeight="1" x14ac:dyDescent="0.2">
      <c r="A142" s="337"/>
      <c r="B142" s="337"/>
      <c r="C142" s="581" t="s">
        <v>777</v>
      </c>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row>
    <row r="143" spans="1:25" ht="18" customHeight="1" x14ac:dyDescent="0.2">
      <c r="A143" s="337"/>
      <c r="B143" s="337"/>
      <c r="C143" s="684" t="s">
        <v>365</v>
      </c>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row>
    <row r="144" spans="1:25" ht="18" customHeight="1" x14ac:dyDescent="0.2">
      <c r="A144" s="337"/>
      <c r="B144" s="337"/>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row>
    <row r="145" spans="1:25" ht="18" customHeight="1" x14ac:dyDescent="0.2">
      <c r="A145" s="337"/>
      <c r="B145" s="337"/>
      <c r="C145" s="686"/>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8"/>
    </row>
    <row r="146" spans="1:25" ht="18" customHeight="1" x14ac:dyDescent="0.2">
      <c r="A146" s="337"/>
      <c r="B146" s="337"/>
      <c r="C146" s="689"/>
      <c r="D146" s="690"/>
      <c r="E146" s="690"/>
      <c r="F146" s="690"/>
      <c r="G146" s="690"/>
      <c r="H146" s="690"/>
      <c r="I146" s="690"/>
      <c r="J146" s="690"/>
      <c r="K146" s="690"/>
      <c r="L146" s="690"/>
      <c r="M146" s="690"/>
      <c r="N146" s="690"/>
      <c r="O146" s="690"/>
      <c r="P146" s="690"/>
      <c r="Q146" s="690"/>
      <c r="R146" s="690"/>
      <c r="S146" s="690"/>
      <c r="T146" s="690"/>
      <c r="U146" s="690"/>
      <c r="V146" s="690"/>
      <c r="W146" s="690"/>
      <c r="X146" s="690"/>
      <c r="Y146" s="691"/>
    </row>
    <row r="147" spans="1:25" ht="18" customHeight="1" x14ac:dyDescent="0.2">
      <c r="A147" s="337"/>
      <c r="B147" s="337"/>
      <c r="C147" s="689"/>
      <c r="D147" s="690"/>
      <c r="E147" s="690"/>
      <c r="F147" s="690"/>
      <c r="G147" s="690"/>
      <c r="H147" s="690"/>
      <c r="I147" s="690"/>
      <c r="J147" s="690"/>
      <c r="K147" s="690"/>
      <c r="L147" s="690"/>
      <c r="M147" s="690"/>
      <c r="N147" s="690"/>
      <c r="O147" s="690"/>
      <c r="P147" s="690"/>
      <c r="Q147" s="690"/>
      <c r="R147" s="690"/>
      <c r="S147" s="690"/>
      <c r="T147" s="690"/>
      <c r="U147" s="690"/>
      <c r="V147" s="690"/>
      <c r="W147" s="690"/>
      <c r="X147" s="690"/>
      <c r="Y147" s="691"/>
    </row>
    <row r="148" spans="1:25" ht="18" customHeight="1" x14ac:dyDescent="0.2">
      <c r="A148" s="337"/>
      <c r="B148" s="337"/>
      <c r="C148" s="689"/>
      <c r="D148" s="690"/>
      <c r="E148" s="690"/>
      <c r="F148" s="690"/>
      <c r="G148" s="690"/>
      <c r="H148" s="690"/>
      <c r="I148" s="690"/>
      <c r="J148" s="690"/>
      <c r="K148" s="690"/>
      <c r="L148" s="690"/>
      <c r="M148" s="690"/>
      <c r="N148" s="690"/>
      <c r="O148" s="690"/>
      <c r="P148" s="690"/>
      <c r="Q148" s="690"/>
      <c r="R148" s="690"/>
      <c r="S148" s="690"/>
      <c r="T148" s="690"/>
      <c r="U148" s="690"/>
      <c r="V148" s="690"/>
      <c r="W148" s="690"/>
      <c r="X148" s="690"/>
      <c r="Y148" s="691"/>
    </row>
    <row r="149" spans="1:25" ht="18" customHeight="1" x14ac:dyDescent="0.2">
      <c r="A149" s="337"/>
      <c r="B149" s="337"/>
      <c r="C149" s="689"/>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1"/>
    </row>
    <row r="150" spans="1:25" ht="18" customHeight="1" x14ac:dyDescent="0.2">
      <c r="A150" s="337"/>
      <c r="B150" s="337"/>
      <c r="C150" s="689"/>
      <c r="D150" s="690"/>
      <c r="E150" s="690"/>
      <c r="F150" s="690"/>
      <c r="G150" s="690"/>
      <c r="H150" s="690"/>
      <c r="I150" s="690"/>
      <c r="J150" s="690"/>
      <c r="K150" s="690"/>
      <c r="L150" s="690"/>
      <c r="M150" s="690"/>
      <c r="N150" s="690"/>
      <c r="O150" s="690"/>
      <c r="P150" s="690"/>
      <c r="Q150" s="690"/>
      <c r="R150" s="690"/>
      <c r="S150" s="690"/>
      <c r="T150" s="690"/>
      <c r="U150" s="690"/>
      <c r="V150" s="690"/>
      <c r="W150" s="690"/>
      <c r="X150" s="690"/>
      <c r="Y150" s="691"/>
    </row>
    <row r="151" spans="1:25" ht="18" customHeight="1" x14ac:dyDescent="0.2">
      <c r="A151" s="337"/>
      <c r="B151" s="337"/>
      <c r="C151" s="689"/>
      <c r="D151" s="690"/>
      <c r="E151" s="690"/>
      <c r="F151" s="690"/>
      <c r="G151" s="690"/>
      <c r="H151" s="690"/>
      <c r="I151" s="690"/>
      <c r="J151" s="690"/>
      <c r="K151" s="690"/>
      <c r="L151" s="690"/>
      <c r="M151" s="690"/>
      <c r="N151" s="690"/>
      <c r="O151" s="690"/>
      <c r="P151" s="690"/>
      <c r="Q151" s="690"/>
      <c r="R151" s="690"/>
      <c r="S151" s="690"/>
      <c r="T151" s="690"/>
      <c r="U151" s="690"/>
      <c r="V151" s="690"/>
      <c r="W151" s="690"/>
      <c r="X151" s="690"/>
      <c r="Y151" s="691"/>
    </row>
    <row r="152" spans="1:25" ht="18" customHeight="1" x14ac:dyDescent="0.2">
      <c r="A152" s="337"/>
      <c r="B152" s="337"/>
      <c r="C152" s="689"/>
      <c r="D152" s="690"/>
      <c r="E152" s="690"/>
      <c r="F152" s="690"/>
      <c r="G152" s="690"/>
      <c r="H152" s="690"/>
      <c r="I152" s="690"/>
      <c r="J152" s="690"/>
      <c r="K152" s="690"/>
      <c r="L152" s="690"/>
      <c r="M152" s="690"/>
      <c r="N152" s="690"/>
      <c r="O152" s="690"/>
      <c r="P152" s="690"/>
      <c r="Q152" s="690"/>
      <c r="R152" s="690"/>
      <c r="S152" s="690"/>
      <c r="T152" s="690"/>
      <c r="U152" s="690"/>
      <c r="V152" s="690"/>
      <c r="W152" s="690"/>
      <c r="X152" s="690"/>
      <c r="Y152" s="691"/>
    </row>
    <row r="153" spans="1:25" ht="18" customHeight="1" x14ac:dyDescent="0.2">
      <c r="A153" s="337"/>
      <c r="B153" s="337"/>
      <c r="C153" s="689"/>
      <c r="D153" s="690"/>
      <c r="E153" s="690"/>
      <c r="F153" s="690"/>
      <c r="G153" s="690"/>
      <c r="H153" s="690"/>
      <c r="I153" s="690"/>
      <c r="J153" s="690"/>
      <c r="K153" s="690"/>
      <c r="L153" s="690"/>
      <c r="M153" s="690"/>
      <c r="N153" s="690"/>
      <c r="O153" s="690"/>
      <c r="P153" s="690"/>
      <c r="Q153" s="690"/>
      <c r="R153" s="690"/>
      <c r="S153" s="690"/>
      <c r="T153" s="690"/>
      <c r="U153" s="690"/>
      <c r="V153" s="690"/>
      <c r="W153" s="690"/>
      <c r="X153" s="690"/>
      <c r="Y153" s="691"/>
    </row>
    <row r="154" spans="1:25" ht="18" customHeight="1" x14ac:dyDescent="0.2">
      <c r="A154" s="337"/>
      <c r="B154" s="337"/>
      <c r="C154" s="689"/>
      <c r="D154" s="690"/>
      <c r="E154" s="690"/>
      <c r="F154" s="690"/>
      <c r="G154" s="690"/>
      <c r="H154" s="690"/>
      <c r="I154" s="690"/>
      <c r="J154" s="690"/>
      <c r="K154" s="690"/>
      <c r="L154" s="690"/>
      <c r="M154" s="690"/>
      <c r="N154" s="690"/>
      <c r="O154" s="690"/>
      <c r="P154" s="690"/>
      <c r="Q154" s="690"/>
      <c r="R154" s="690"/>
      <c r="S154" s="690"/>
      <c r="T154" s="690"/>
      <c r="U154" s="690"/>
      <c r="V154" s="690"/>
      <c r="W154" s="690"/>
      <c r="X154" s="690"/>
      <c r="Y154" s="691"/>
    </row>
    <row r="155" spans="1:25" ht="18" customHeight="1" x14ac:dyDescent="0.2">
      <c r="A155" s="337"/>
      <c r="B155" s="337"/>
      <c r="C155" s="689"/>
      <c r="D155" s="690"/>
      <c r="E155" s="690"/>
      <c r="F155" s="690"/>
      <c r="G155" s="690"/>
      <c r="H155" s="690"/>
      <c r="I155" s="690"/>
      <c r="J155" s="690"/>
      <c r="K155" s="690"/>
      <c r="L155" s="690"/>
      <c r="M155" s="690"/>
      <c r="N155" s="690"/>
      <c r="O155" s="690"/>
      <c r="P155" s="690"/>
      <c r="Q155" s="690"/>
      <c r="R155" s="690"/>
      <c r="S155" s="690"/>
      <c r="T155" s="690"/>
      <c r="U155" s="690"/>
      <c r="V155" s="690"/>
      <c r="W155" s="690"/>
      <c r="X155" s="690"/>
      <c r="Y155" s="691"/>
    </row>
    <row r="156" spans="1:25" ht="18" customHeight="1" x14ac:dyDescent="0.2">
      <c r="A156" s="337"/>
      <c r="B156" s="337"/>
      <c r="C156" s="689"/>
      <c r="D156" s="690"/>
      <c r="E156" s="690"/>
      <c r="F156" s="690"/>
      <c r="G156" s="690"/>
      <c r="H156" s="690"/>
      <c r="I156" s="690"/>
      <c r="J156" s="690"/>
      <c r="K156" s="690"/>
      <c r="L156" s="690"/>
      <c r="M156" s="690"/>
      <c r="N156" s="690"/>
      <c r="O156" s="690"/>
      <c r="P156" s="690"/>
      <c r="Q156" s="690"/>
      <c r="R156" s="690"/>
      <c r="S156" s="690"/>
      <c r="T156" s="690"/>
      <c r="U156" s="690"/>
      <c r="V156" s="690"/>
      <c r="W156" s="690"/>
      <c r="X156" s="690"/>
      <c r="Y156" s="691"/>
    </row>
    <row r="157" spans="1:25" ht="18" customHeight="1" x14ac:dyDescent="0.2">
      <c r="A157" s="337"/>
      <c r="B157" s="337"/>
      <c r="C157" s="689"/>
      <c r="D157" s="690"/>
      <c r="E157" s="690"/>
      <c r="F157" s="690"/>
      <c r="G157" s="690"/>
      <c r="H157" s="690"/>
      <c r="I157" s="690"/>
      <c r="J157" s="690"/>
      <c r="K157" s="690"/>
      <c r="L157" s="690"/>
      <c r="M157" s="690"/>
      <c r="N157" s="690"/>
      <c r="O157" s="690"/>
      <c r="P157" s="690"/>
      <c r="Q157" s="690"/>
      <c r="R157" s="690"/>
      <c r="S157" s="690"/>
      <c r="T157" s="690"/>
      <c r="U157" s="690"/>
      <c r="V157" s="690"/>
      <c r="W157" s="690"/>
      <c r="X157" s="690"/>
      <c r="Y157" s="691"/>
    </row>
    <row r="158" spans="1:25" ht="18" customHeight="1" x14ac:dyDescent="0.2">
      <c r="A158" s="337"/>
      <c r="B158" s="337"/>
      <c r="C158" s="689"/>
      <c r="D158" s="690"/>
      <c r="E158" s="690"/>
      <c r="F158" s="690"/>
      <c r="G158" s="690"/>
      <c r="H158" s="690"/>
      <c r="I158" s="690"/>
      <c r="J158" s="690"/>
      <c r="K158" s="690"/>
      <c r="L158" s="690"/>
      <c r="M158" s="690"/>
      <c r="N158" s="690"/>
      <c r="O158" s="690"/>
      <c r="P158" s="690"/>
      <c r="Q158" s="690"/>
      <c r="R158" s="690"/>
      <c r="S158" s="690"/>
      <c r="T158" s="690"/>
      <c r="U158" s="690"/>
      <c r="V158" s="690"/>
      <c r="W158" s="690"/>
      <c r="X158" s="690"/>
      <c r="Y158" s="691"/>
    </row>
    <row r="159" spans="1:25" ht="18" customHeight="1" x14ac:dyDescent="0.2">
      <c r="A159" s="337"/>
      <c r="B159" s="337"/>
      <c r="C159" s="689"/>
      <c r="D159" s="690"/>
      <c r="E159" s="690"/>
      <c r="F159" s="690"/>
      <c r="G159" s="690"/>
      <c r="H159" s="690"/>
      <c r="I159" s="690"/>
      <c r="J159" s="690"/>
      <c r="K159" s="690"/>
      <c r="L159" s="690"/>
      <c r="M159" s="690"/>
      <c r="N159" s="690"/>
      <c r="O159" s="690"/>
      <c r="P159" s="690"/>
      <c r="Q159" s="690"/>
      <c r="R159" s="690"/>
      <c r="S159" s="690"/>
      <c r="T159" s="690"/>
      <c r="U159" s="690"/>
      <c r="V159" s="690"/>
      <c r="W159" s="690"/>
      <c r="X159" s="690"/>
      <c r="Y159" s="691"/>
    </row>
    <row r="160" spans="1:25" ht="18" customHeight="1" x14ac:dyDescent="0.2">
      <c r="A160" s="337"/>
      <c r="B160" s="337"/>
      <c r="C160" s="689"/>
      <c r="D160" s="690"/>
      <c r="E160" s="690"/>
      <c r="F160" s="690"/>
      <c r="G160" s="690"/>
      <c r="H160" s="690"/>
      <c r="I160" s="690"/>
      <c r="J160" s="690"/>
      <c r="K160" s="690"/>
      <c r="L160" s="690"/>
      <c r="M160" s="690"/>
      <c r="N160" s="690"/>
      <c r="O160" s="690"/>
      <c r="P160" s="690"/>
      <c r="Q160" s="690"/>
      <c r="R160" s="690"/>
      <c r="S160" s="690"/>
      <c r="T160" s="690"/>
      <c r="U160" s="690"/>
      <c r="V160" s="690"/>
      <c r="W160" s="690"/>
      <c r="X160" s="690"/>
      <c r="Y160" s="691"/>
    </row>
    <row r="161" spans="1:25" ht="18" customHeight="1" x14ac:dyDescent="0.2">
      <c r="A161" s="337"/>
      <c r="B161" s="337"/>
      <c r="C161" s="689"/>
      <c r="D161" s="690"/>
      <c r="E161" s="690"/>
      <c r="F161" s="690"/>
      <c r="G161" s="690"/>
      <c r="H161" s="690"/>
      <c r="I161" s="690"/>
      <c r="J161" s="690"/>
      <c r="K161" s="690"/>
      <c r="L161" s="690"/>
      <c r="M161" s="690"/>
      <c r="N161" s="690"/>
      <c r="O161" s="690"/>
      <c r="P161" s="690"/>
      <c r="Q161" s="690"/>
      <c r="R161" s="690"/>
      <c r="S161" s="690"/>
      <c r="T161" s="690"/>
      <c r="U161" s="690"/>
      <c r="V161" s="690"/>
      <c r="W161" s="690"/>
      <c r="X161" s="690"/>
      <c r="Y161" s="691"/>
    </row>
    <row r="162" spans="1:25" ht="18" customHeight="1" x14ac:dyDescent="0.2">
      <c r="A162" s="337"/>
      <c r="B162" s="337"/>
      <c r="C162" s="689"/>
      <c r="D162" s="690"/>
      <c r="E162" s="690"/>
      <c r="F162" s="690"/>
      <c r="G162" s="690"/>
      <c r="H162" s="690"/>
      <c r="I162" s="690"/>
      <c r="J162" s="690"/>
      <c r="K162" s="690"/>
      <c r="L162" s="690"/>
      <c r="M162" s="690"/>
      <c r="N162" s="690"/>
      <c r="O162" s="690"/>
      <c r="P162" s="690"/>
      <c r="Q162" s="690"/>
      <c r="R162" s="690"/>
      <c r="S162" s="690"/>
      <c r="T162" s="690"/>
      <c r="U162" s="690"/>
      <c r="V162" s="690"/>
      <c r="W162" s="690"/>
      <c r="X162" s="690"/>
      <c r="Y162" s="691"/>
    </row>
    <row r="163" spans="1:25" ht="18" customHeight="1" x14ac:dyDescent="0.2">
      <c r="A163" s="337"/>
      <c r="B163" s="337"/>
      <c r="C163" s="689"/>
      <c r="D163" s="690"/>
      <c r="E163" s="690"/>
      <c r="F163" s="690"/>
      <c r="G163" s="690"/>
      <c r="H163" s="690"/>
      <c r="I163" s="690"/>
      <c r="J163" s="690"/>
      <c r="K163" s="690"/>
      <c r="L163" s="690"/>
      <c r="M163" s="690"/>
      <c r="N163" s="690"/>
      <c r="O163" s="690"/>
      <c r="P163" s="690"/>
      <c r="Q163" s="690"/>
      <c r="R163" s="690"/>
      <c r="S163" s="690"/>
      <c r="T163" s="690"/>
      <c r="U163" s="690"/>
      <c r="V163" s="690"/>
      <c r="W163" s="690"/>
      <c r="X163" s="690"/>
      <c r="Y163" s="691"/>
    </row>
    <row r="164" spans="1:25" ht="18" customHeight="1" x14ac:dyDescent="0.2">
      <c r="A164" s="337"/>
      <c r="B164" s="337"/>
      <c r="C164" s="689"/>
      <c r="D164" s="690"/>
      <c r="E164" s="690"/>
      <c r="F164" s="690"/>
      <c r="G164" s="690"/>
      <c r="H164" s="690"/>
      <c r="I164" s="690"/>
      <c r="J164" s="690"/>
      <c r="K164" s="690"/>
      <c r="L164" s="690"/>
      <c r="M164" s="690"/>
      <c r="N164" s="690"/>
      <c r="O164" s="690"/>
      <c r="P164" s="690"/>
      <c r="Q164" s="690"/>
      <c r="R164" s="690"/>
      <c r="S164" s="690"/>
      <c r="T164" s="690"/>
      <c r="U164" s="690"/>
      <c r="V164" s="690"/>
      <c r="W164" s="690"/>
      <c r="X164" s="690"/>
      <c r="Y164" s="691"/>
    </row>
    <row r="165" spans="1:25" ht="18" customHeight="1" x14ac:dyDescent="0.2">
      <c r="A165" s="337"/>
      <c r="B165" s="337"/>
      <c r="C165" s="689"/>
      <c r="D165" s="690"/>
      <c r="E165" s="690"/>
      <c r="F165" s="690"/>
      <c r="G165" s="690"/>
      <c r="H165" s="690"/>
      <c r="I165" s="690"/>
      <c r="J165" s="690"/>
      <c r="K165" s="690"/>
      <c r="L165" s="690"/>
      <c r="M165" s="690"/>
      <c r="N165" s="690"/>
      <c r="O165" s="690"/>
      <c r="P165" s="690"/>
      <c r="Q165" s="690"/>
      <c r="R165" s="690"/>
      <c r="S165" s="690"/>
      <c r="T165" s="690"/>
      <c r="U165" s="690"/>
      <c r="V165" s="690"/>
      <c r="W165" s="690"/>
      <c r="X165" s="690"/>
      <c r="Y165" s="691"/>
    </row>
    <row r="166" spans="1:25" ht="18" customHeight="1" x14ac:dyDescent="0.2">
      <c r="A166" s="337"/>
      <c r="B166" s="337"/>
      <c r="C166" s="689"/>
      <c r="D166" s="690"/>
      <c r="E166" s="690"/>
      <c r="F166" s="690"/>
      <c r="G166" s="690"/>
      <c r="H166" s="690"/>
      <c r="I166" s="690"/>
      <c r="J166" s="690"/>
      <c r="K166" s="690"/>
      <c r="L166" s="690"/>
      <c r="M166" s="690"/>
      <c r="N166" s="690"/>
      <c r="O166" s="690"/>
      <c r="P166" s="690"/>
      <c r="Q166" s="690"/>
      <c r="R166" s="690"/>
      <c r="S166" s="690"/>
      <c r="T166" s="690"/>
      <c r="U166" s="690"/>
      <c r="V166" s="690"/>
      <c r="W166" s="690"/>
      <c r="X166" s="690"/>
      <c r="Y166" s="691"/>
    </row>
    <row r="167" spans="1:25" ht="18" customHeight="1" x14ac:dyDescent="0.2">
      <c r="A167" s="337"/>
      <c r="B167" s="337"/>
      <c r="C167" s="689"/>
      <c r="D167" s="690"/>
      <c r="E167" s="690"/>
      <c r="F167" s="690"/>
      <c r="G167" s="690"/>
      <c r="H167" s="690"/>
      <c r="I167" s="690"/>
      <c r="J167" s="690"/>
      <c r="K167" s="690"/>
      <c r="L167" s="690"/>
      <c r="M167" s="690"/>
      <c r="N167" s="690"/>
      <c r="O167" s="690"/>
      <c r="P167" s="690"/>
      <c r="Q167" s="690"/>
      <c r="R167" s="690"/>
      <c r="S167" s="690"/>
      <c r="T167" s="690"/>
      <c r="U167" s="690"/>
      <c r="V167" s="690"/>
      <c r="W167" s="690"/>
      <c r="X167" s="690"/>
      <c r="Y167" s="691"/>
    </row>
    <row r="168" spans="1:25" ht="18" customHeight="1" x14ac:dyDescent="0.2">
      <c r="A168" s="337"/>
      <c r="B168" s="337"/>
      <c r="C168" s="689"/>
      <c r="D168" s="690"/>
      <c r="E168" s="690"/>
      <c r="F168" s="690"/>
      <c r="G168" s="690"/>
      <c r="H168" s="690"/>
      <c r="I168" s="690"/>
      <c r="J168" s="690"/>
      <c r="K168" s="690"/>
      <c r="L168" s="690"/>
      <c r="M168" s="690"/>
      <c r="N168" s="690"/>
      <c r="O168" s="690"/>
      <c r="P168" s="690"/>
      <c r="Q168" s="690"/>
      <c r="R168" s="690"/>
      <c r="S168" s="690"/>
      <c r="T168" s="690"/>
      <c r="U168" s="690"/>
      <c r="V168" s="690"/>
      <c r="W168" s="690"/>
      <c r="X168" s="690"/>
      <c r="Y168" s="691"/>
    </row>
    <row r="169" spans="1:25" ht="18" customHeight="1" x14ac:dyDescent="0.2">
      <c r="A169" s="337"/>
      <c r="B169" s="337"/>
      <c r="C169" s="689"/>
      <c r="D169" s="690"/>
      <c r="E169" s="690"/>
      <c r="F169" s="690"/>
      <c r="G169" s="690"/>
      <c r="H169" s="690"/>
      <c r="I169" s="690"/>
      <c r="J169" s="690"/>
      <c r="K169" s="690"/>
      <c r="L169" s="690"/>
      <c r="M169" s="690"/>
      <c r="N169" s="690"/>
      <c r="O169" s="690"/>
      <c r="P169" s="690"/>
      <c r="Q169" s="690"/>
      <c r="R169" s="690"/>
      <c r="S169" s="690"/>
      <c r="T169" s="690"/>
      <c r="U169" s="690"/>
      <c r="V169" s="690"/>
      <c r="W169" s="690"/>
      <c r="X169" s="690"/>
      <c r="Y169" s="691"/>
    </row>
    <row r="170" spans="1:25" ht="18" customHeight="1" x14ac:dyDescent="0.2">
      <c r="A170" s="337"/>
      <c r="B170" s="337"/>
      <c r="C170" s="689"/>
      <c r="D170" s="690"/>
      <c r="E170" s="690"/>
      <c r="F170" s="690"/>
      <c r="G170" s="690"/>
      <c r="H170" s="690"/>
      <c r="I170" s="690"/>
      <c r="J170" s="690"/>
      <c r="K170" s="690"/>
      <c r="L170" s="690"/>
      <c r="M170" s="690"/>
      <c r="N170" s="690"/>
      <c r="O170" s="690"/>
      <c r="P170" s="690"/>
      <c r="Q170" s="690"/>
      <c r="R170" s="690"/>
      <c r="S170" s="690"/>
      <c r="T170" s="690"/>
      <c r="U170" s="690"/>
      <c r="V170" s="690"/>
      <c r="W170" s="690"/>
      <c r="X170" s="690"/>
      <c r="Y170" s="691"/>
    </row>
    <row r="171" spans="1:25" ht="18" customHeight="1" x14ac:dyDescent="0.2">
      <c r="A171" s="337"/>
      <c r="B171" s="337"/>
      <c r="C171" s="689"/>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1"/>
    </row>
    <row r="172" spans="1:25" ht="18" customHeight="1" x14ac:dyDescent="0.2">
      <c r="A172" s="337"/>
      <c r="B172" s="337"/>
      <c r="C172" s="689"/>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1"/>
    </row>
    <row r="173" spans="1:25" ht="18" customHeight="1" x14ac:dyDescent="0.2">
      <c r="A173" s="337"/>
      <c r="B173" s="337"/>
      <c r="C173" s="689"/>
      <c r="D173" s="690"/>
      <c r="E173" s="690"/>
      <c r="F173" s="690"/>
      <c r="G173" s="690"/>
      <c r="H173" s="690"/>
      <c r="I173" s="690"/>
      <c r="J173" s="690"/>
      <c r="K173" s="690"/>
      <c r="L173" s="690"/>
      <c r="M173" s="690"/>
      <c r="N173" s="690"/>
      <c r="O173" s="690"/>
      <c r="P173" s="690"/>
      <c r="Q173" s="690"/>
      <c r="R173" s="690"/>
      <c r="S173" s="690"/>
      <c r="T173" s="690"/>
      <c r="U173" s="690"/>
      <c r="V173" s="690"/>
      <c r="W173" s="690"/>
      <c r="X173" s="690"/>
      <c r="Y173" s="691"/>
    </row>
    <row r="174" spans="1:25" ht="18" customHeight="1" x14ac:dyDescent="0.2">
      <c r="A174" s="337"/>
      <c r="B174" s="337"/>
      <c r="C174" s="689"/>
      <c r="D174" s="690"/>
      <c r="E174" s="690"/>
      <c r="F174" s="690"/>
      <c r="G174" s="690"/>
      <c r="H174" s="690"/>
      <c r="I174" s="690"/>
      <c r="J174" s="690"/>
      <c r="K174" s="690"/>
      <c r="L174" s="690"/>
      <c r="M174" s="690"/>
      <c r="N174" s="690"/>
      <c r="O174" s="690"/>
      <c r="P174" s="690"/>
      <c r="Q174" s="690"/>
      <c r="R174" s="690"/>
      <c r="S174" s="690"/>
      <c r="T174" s="690"/>
      <c r="U174" s="690"/>
      <c r="V174" s="690"/>
      <c r="W174" s="690"/>
      <c r="X174" s="690"/>
      <c r="Y174" s="691"/>
    </row>
    <row r="175" spans="1:25" ht="18" customHeight="1" x14ac:dyDescent="0.2">
      <c r="A175" s="337"/>
      <c r="B175" s="337"/>
      <c r="C175" s="689"/>
      <c r="D175" s="690"/>
      <c r="E175" s="690"/>
      <c r="F175" s="690"/>
      <c r="G175" s="690"/>
      <c r="H175" s="690"/>
      <c r="I175" s="690"/>
      <c r="J175" s="690"/>
      <c r="K175" s="690"/>
      <c r="L175" s="690"/>
      <c r="M175" s="690"/>
      <c r="N175" s="690"/>
      <c r="O175" s="690"/>
      <c r="P175" s="690"/>
      <c r="Q175" s="690"/>
      <c r="R175" s="690"/>
      <c r="S175" s="690"/>
      <c r="T175" s="690"/>
      <c r="U175" s="690"/>
      <c r="V175" s="690"/>
      <c r="W175" s="690"/>
      <c r="X175" s="690"/>
      <c r="Y175" s="691"/>
    </row>
    <row r="176" spans="1:25" ht="18" customHeight="1" x14ac:dyDescent="0.2">
      <c r="A176" s="337"/>
      <c r="B176" s="337"/>
      <c r="C176" s="689"/>
      <c r="D176" s="690"/>
      <c r="E176" s="690"/>
      <c r="F176" s="690"/>
      <c r="G176" s="690"/>
      <c r="H176" s="690"/>
      <c r="I176" s="690"/>
      <c r="J176" s="690"/>
      <c r="K176" s="690"/>
      <c r="L176" s="690"/>
      <c r="M176" s="690"/>
      <c r="N176" s="690"/>
      <c r="O176" s="690"/>
      <c r="P176" s="690"/>
      <c r="Q176" s="690"/>
      <c r="R176" s="690"/>
      <c r="S176" s="690"/>
      <c r="T176" s="690"/>
      <c r="U176" s="690"/>
      <c r="V176" s="690"/>
      <c r="W176" s="690"/>
      <c r="X176" s="690"/>
      <c r="Y176" s="691"/>
    </row>
    <row r="177" spans="1:25" ht="18" customHeight="1" x14ac:dyDescent="0.2">
      <c r="A177" s="337"/>
      <c r="B177" s="337"/>
      <c r="C177" s="689"/>
      <c r="D177" s="690"/>
      <c r="E177" s="690"/>
      <c r="F177" s="690"/>
      <c r="G177" s="690"/>
      <c r="H177" s="690"/>
      <c r="I177" s="690"/>
      <c r="J177" s="690"/>
      <c r="K177" s="690"/>
      <c r="L177" s="690"/>
      <c r="M177" s="690"/>
      <c r="N177" s="690"/>
      <c r="O177" s="690"/>
      <c r="P177" s="690"/>
      <c r="Q177" s="690"/>
      <c r="R177" s="690"/>
      <c r="S177" s="690"/>
      <c r="T177" s="690"/>
      <c r="U177" s="690"/>
      <c r="V177" s="690"/>
      <c r="W177" s="690"/>
      <c r="X177" s="690"/>
      <c r="Y177" s="691"/>
    </row>
    <row r="178" spans="1:25" ht="18" customHeight="1" x14ac:dyDescent="0.2">
      <c r="A178" s="337"/>
      <c r="B178" s="337"/>
      <c r="C178" s="689"/>
      <c r="D178" s="690"/>
      <c r="E178" s="690"/>
      <c r="F178" s="690"/>
      <c r="G178" s="690"/>
      <c r="H178" s="690"/>
      <c r="I178" s="690"/>
      <c r="J178" s="690"/>
      <c r="K178" s="690"/>
      <c r="L178" s="690"/>
      <c r="M178" s="690"/>
      <c r="N178" s="690"/>
      <c r="O178" s="690"/>
      <c r="P178" s="690"/>
      <c r="Q178" s="690"/>
      <c r="R178" s="690"/>
      <c r="S178" s="690"/>
      <c r="T178" s="690"/>
      <c r="U178" s="690"/>
      <c r="V178" s="690"/>
      <c r="W178" s="690"/>
      <c r="X178" s="690"/>
      <c r="Y178" s="691"/>
    </row>
    <row r="179" spans="1:25" ht="18" customHeight="1" x14ac:dyDescent="0.2">
      <c r="A179" s="337"/>
      <c r="B179" s="337"/>
      <c r="C179" s="689"/>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1"/>
    </row>
    <row r="180" spans="1:25" ht="18" customHeight="1" x14ac:dyDescent="0.2">
      <c r="A180" s="337"/>
      <c r="B180" s="337"/>
      <c r="C180" s="689"/>
      <c r="D180" s="690"/>
      <c r="E180" s="690"/>
      <c r="F180" s="690"/>
      <c r="G180" s="690"/>
      <c r="H180" s="690"/>
      <c r="I180" s="690"/>
      <c r="J180" s="690"/>
      <c r="K180" s="690"/>
      <c r="L180" s="690"/>
      <c r="M180" s="690"/>
      <c r="N180" s="690"/>
      <c r="O180" s="690"/>
      <c r="P180" s="690"/>
      <c r="Q180" s="690"/>
      <c r="R180" s="690"/>
      <c r="S180" s="690"/>
      <c r="T180" s="690"/>
      <c r="U180" s="690"/>
      <c r="V180" s="690"/>
      <c r="W180" s="690"/>
      <c r="X180" s="690"/>
      <c r="Y180" s="691"/>
    </row>
    <row r="181" spans="1:25" ht="18" customHeight="1" x14ac:dyDescent="0.2">
      <c r="A181" s="337"/>
      <c r="B181" s="337"/>
      <c r="C181" s="689"/>
      <c r="D181" s="690"/>
      <c r="E181" s="690"/>
      <c r="F181" s="690"/>
      <c r="G181" s="690"/>
      <c r="H181" s="690"/>
      <c r="I181" s="690"/>
      <c r="J181" s="690"/>
      <c r="K181" s="690"/>
      <c r="L181" s="690"/>
      <c r="M181" s="690"/>
      <c r="N181" s="690"/>
      <c r="O181" s="690"/>
      <c r="P181" s="690"/>
      <c r="Q181" s="690"/>
      <c r="R181" s="690"/>
      <c r="S181" s="690"/>
      <c r="T181" s="690"/>
      <c r="U181" s="690"/>
      <c r="V181" s="690"/>
      <c r="W181" s="690"/>
      <c r="X181" s="690"/>
      <c r="Y181" s="691"/>
    </row>
    <row r="182" spans="1:25" ht="18" customHeight="1" x14ac:dyDescent="0.2">
      <c r="A182" s="337"/>
      <c r="B182" s="337"/>
      <c r="C182" s="689"/>
      <c r="D182" s="690"/>
      <c r="E182" s="690"/>
      <c r="F182" s="690"/>
      <c r="G182" s="690"/>
      <c r="H182" s="690"/>
      <c r="I182" s="690"/>
      <c r="J182" s="690"/>
      <c r="K182" s="690"/>
      <c r="L182" s="690"/>
      <c r="M182" s="690"/>
      <c r="N182" s="690"/>
      <c r="O182" s="690"/>
      <c r="P182" s="690"/>
      <c r="Q182" s="690"/>
      <c r="R182" s="690"/>
      <c r="S182" s="690"/>
      <c r="T182" s="690"/>
      <c r="U182" s="690"/>
      <c r="V182" s="690"/>
      <c r="W182" s="690"/>
      <c r="X182" s="690"/>
      <c r="Y182" s="691"/>
    </row>
    <row r="183" spans="1:25" ht="18" customHeight="1" x14ac:dyDescent="0.2">
      <c r="A183" s="337"/>
      <c r="B183" s="337"/>
      <c r="C183" s="689"/>
      <c r="D183" s="690"/>
      <c r="E183" s="690"/>
      <c r="F183" s="690"/>
      <c r="G183" s="690"/>
      <c r="H183" s="690"/>
      <c r="I183" s="690"/>
      <c r="J183" s="690"/>
      <c r="K183" s="690"/>
      <c r="L183" s="690"/>
      <c r="M183" s="690"/>
      <c r="N183" s="690"/>
      <c r="O183" s="690"/>
      <c r="P183" s="690"/>
      <c r="Q183" s="690"/>
      <c r="R183" s="690"/>
      <c r="S183" s="690"/>
      <c r="T183" s="690"/>
      <c r="U183" s="690"/>
      <c r="V183" s="690"/>
      <c r="W183" s="690"/>
      <c r="X183" s="690"/>
      <c r="Y183" s="691"/>
    </row>
    <row r="184" spans="1:25" ht="18" customHeight="1" x14ac:dyDescent="0.2">
      <c r="A184" s="337"/>
      <c r="B184" s="337"/>
      <c r="C184" s="689"/>
      <c r="D184" s="690"/>
      <c r="E184" s="690"/>
      <c r="F184" s="690"/>
      <c r="G184" s="690"/>
      <c r="H184" s="690"/>
      <c r="I184" s="690"/>
      <c r="J184" s="690"/>
      <c r="K184" s="690"/>
      <c r="L184" s="690"/>
      <c r="M184" s="690"/>
      <c r="N184" s="690"/>
      <c r="O184" s="690"/>
      <c r="P184" s="690"/>
      <c r="Q184" s="690"/>
      <c r="R184" s="690"/>
      <c r="S184" s="690"/>
      <c r="T184" s="690"/>
      <c r="U184" s="690"/>
      <c r="V184" s="690"/>
      <c r="W184" s="690"/>
      <c r="X184" s="690"/>
      <c r="Y184" s="691"/>
    </row>
    <row r="185" spans="1:25" ht="18" customHeight="1" x14ac:dyDescent="0.2">
      <c r="A185" s="337"/>
      <c r="B185" s="337"/>
      <c r="C185" s="689"/>
      <c r="D185" s="690"/>
      <c r="E185" s="690"/>
      <c r="F185" s="690"/>
      <c r="G185" s="690"/>
      <c r="H185" s="690"/>
      <c r="I185" s="690"/>
      <c r="J185" s="690"/>
      <c r="K185" s="690"/>
      <c r="L185" s="690"/>
      <c r="M185" s="690"/>
      <c r="N185" s="690"/>
      <c r="O185" s="690"/>
      <c r="P185" s="690"/>
      <c r="Q185" s="690"/>
      <c r="R185" s="690"/>
      <c r="S185" s="690"/>
      <c r="T185" s="690"/>
      <c r="U185" s="690"/>
      <c r="V185" s="690"/>
      <c r="W185" s="690"/>
      <c r="X185" s="690"/>
      <c r="Y185" s="691"/>
    </row>
    <row r="186" spans="1:25" ht="18" customHeight="1" x14ac:dyDescent="0.2">
      <c r="A186" s="337"/>
      <c r="B186" s="337"/>
      <c r="C186" s="689"/>
      <c r="D186" s="690"/>
      <c r="E186" s="690"/>
      <c r="F186" s="690"/>
      <c r="G186" s="690"/>
      <c r="H186" s="690"/>
      <c r="I186" s="690"/>
      <c r="J186" s="690"/>
      <c r="K186" s="690"/>
      <c r="L186" s="690"/>
      <c r="M186" s="690"/>
      <c r="N186" s="690"/>
      <c r="O186" s="690"/>
      <c r="P186" s="690"/>
      <c r="Q186" s="690"/>
      <c r="R186" s="690"/>
      <c r="S186" s="690"/>
      <c r="T186" s="690"/>
      <c r="U186" s="690"/>
      <c r="V186" s="690"/>
      <c r="W186" s="690"/>
      <c r="X186" s="690"/>
      <c r="Y186" s="691"/>
    </row>
    <row r="187" spans="1:25" ht="18" customHeight="1" x14ac:dyDescent="0.2">
      <c r="A187" s="337"/>
      <c r="B187" s="337"/>
      <c r="C187" s="689"/>
      <c r="D187" s="690"/>
      <c r="E187" s="690"/>
      <c r="F187" s="690"/>
      <c r="G187" s="690"/>
      <c r="H187" s="690"/>
      <c r="I187" s="690"/>
      <c r="J187" s="690"/>
      <c r="K187" s="690"/>
      <c r="L187" s="690"/>
      <c r="M187" s="690"/>
      <c r="N187" s="690"/>
      <c r="O187" s="690"/>
      <c r="P187" s="690"/>
      <c r="Q187" s="690"/>
      <c r="R187" s="690"/>
      <c r="S187" s="690"/>
      <c r="T187" s="690"/>
      <c r="U187" s="690"/>
      <c r="V187" s="690"/>
      <c r="W187" s="690"/>
      <c r="X187" s="690"/>
      <c r="Y187" s="691"/>
    </row>
    <row r="188" spans="1:25" ht="18" customHeight="1" x14ac:dyDescent="0.2">
      <c r="A188" s="337"/>
      <c r="B188" s="337"/>
      <c r="C188" s="689"/>
      <c r="D188" s="690"/>
      <c r="E188" s="690"/>
      <c r="F188" s="690"/>
      <c r="G188" s="690"/>
      <c r="H188" s="690"/>
      <c r="I188" s="690"/>
      <c r="J188" s="690"/>
      <c r="K188" s="690"/>
      <c r="L188" s="690"/>
      <c r="M188" s="690"/>
      <c r="N188" s="690"/>
      <c r="O188" s="690"/>
      <c r="P188" s="690"/>
      <c r="Q188" s="690"/>
      <c r="R188" s="690"/>
      <c r="S188" s="690"/>
      <c r="T188" s="690"/>
      <c r="U188" s="690"/>
      <c r="V188" s="690"/>
      <c r="W188" s="690"/>
      <c r="X188" s="690"/>
      <c r="Y188" s="691"/>
    </row>
    <row r="189" spans="1:25" ht="18" customHeight="1" x14ac:dyDescent="0.2">
      <c r="A189" s="337"/>
      <c r="B189" s="337"/>
      <c r="C189" s="689"/>
      <c r="D189" s="690"/>
      <c r="E189" s="690"/>
      <c r="F189" s="690"/>
      <c r="G189" s="690"/>
      <c r="H189" s="690"/>
      <c r="I189" s="690"/>
      <c r="J189" s="690"/>
      <c r="K189" s="690"/>
      <c r="L189" s="690"/>
      <c r="M189" s="690"/>
      <c r="N189" s="690"/>
      <c r="O189" s="690"/>
      <c r="P189" s="690"/>
      <c r="Q189" s="690"/>
      <c r="R189" s="690"/>
      <c r="S189" s="690"/>
      <c r="T189" s="690"/>
      <c r="U189" s="690"/>
      <c r="V189" s="690"/>
      <c r="W189" s="690"/>
      <c r="X189" s="690"/>
      <c r="Y189" s="691"/>
    </row>
    <row r="190" spans="1:25" ht="18" customHeight="1" x14ac:dyDescent="0.2">
      <c r="A190" s="337"/>
      <c r="B190" s="337"/>
      <c r="C190" s="692"/>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4"/>
    </row>
    <row r="191" spans="1:25" ht="18" customHeight="1" x14ac:dyDescent="0.2">
      <c r="A191" s="337"/>
      <c r="B191" s="337"/>
      <c r="C191" s="379"/>
      <c r="D191" s="379"/>
      <c r="E191" s="379"/>
      <c r="F191" s="379"/>
      <c r="G191" s="379"/>
      <c r="H191" s="379"/>
      <c r="I191" s="379"/>
      <c r="J191" s="379"/>
      <c r="K191" s="379"/>
      <c r="L191" s="379"/>
      <c r="M191" s="379"/>
      <c r="N191" s="379"/>
      <c r="O191" s="380"/>
    </row>
    <row r="192" spans="1:25" ht="18" customHeight="1" x14ac:dyDescent="0.2">
      <c r="A192" s="337"/>
      <c r="B192" s="337"/>
      <c r="C192" s="379"/>
      <c r="D192" s="379"/>
      <c r="E192" s="379"/>
      <c r="F192" s="379"/>
      <c r="G192" s="379"/>
      <c r="H192" s="379"/>
      <c r="I192" s="379"/>
      <c r="J192" s="379"/>
      <c r="K192" s="379"/>
      <c r="L192" s="379"/>
      <c r="M192" s="379"/>
      <c r="N192" s="379"/>
      <c r="O192" s="380"/>
    </row>
    <row r="193" spans="1:25" ht="18" customHeight="1" x14ac:dyDescent="0.2">
      <c r="A193" s="337"/>
      <c r="B193" s="337"/>
      <c r="C193" s="581" t="s">
        <v>285</v>
      </c>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row>
    <row r="194" spans="1:25" ht="18" customHeight="1" x14ac:dyDescent="0.2">
      <c r="A194" s="337"/>
      <c r="B194" s="337"/>
      <c r="C194" s="783" t="s">
        <v>234</v>
      </c>
      <c r="D194" s="783"/>
      <c r="E194" s="783"/>
      <c r="F194" s="783"/>
      <c r="G194" s="783"/>
      <c r="I194" s="353" t="s">
        <v>24</v>
      </c>
      <c r="J194" s="588"/>
      <c r="K194" s="588"/>
      <c r="P194" s="339"/>
      <c r="S194" s="353" t="s">
        <v>25</v>
      </c>
      <c r="T194" s="588"/>
      <c r="U194" s="588"/>
      <c r="V194" s="588"/>
      <c r="W194" s="588"/>
    </row>
    <row r="195" spans="1:25" ht="18" customHeight="1" x14ac:dyDescent="0.2">
      <c r="A195" s="337"/>
      <c r="B195" s="337"/>
      <c r="C195" s="784"/>
      <c r="D195" s="784"/>
      <c r="E195" s="784"/>
      <c r="F195" s="784"/>
      <c r="G195" s="784"/>
      <c r="H195" s="337"/>
      <c r="I195" s="369" t="s">
        <v>26</v>
      </c>
      <c r="J195" s="588"/>
      <c r="K195" s="588"/>
      <c r="P195" s="339"/>
      <c r="S195" s="353" t="s">
        <v>27</v>
      </c>
      <c r="T195" s="588"/>
      <c r="U195" s="588"/>
      <c r="V195" s="588"/>
      <c r="W195" s="588"/>
    </row>
    <row r="196" spans="1:25" ht="18" customHeight="1" x14ac:dyDescent="0.2">
      <c r="A196" s="337"/>
      <c r="B196" s="337"/>
      <c r="C196" s="784"/>
      <c r="D196" s="784"/>
      <c r="E196" s="784"/>
      <c r="F196" s="784"/>
      <c r="G196" s="784"/>
      <c r="H196" s="337"/>
      <c r="I196" s="353" t="s">
        <v>54</v>
      </c>
      <c r="J196" s="588"/>
      <c r="K196" s="588"/>
      <c r="P196" s="367"/>
      <c r="Q196" s="367"/>
    </row>
    <row r="197" spans="1:25" ht="18" customHeight="1" x14ac:dyDescent="0.2">
      <c r="A197" s="337"/>
      <c r="B197" s="337"/>
      <c r="C197" s="381"/>
      <c r="D197" s="381"/>
      <c r="E197" s="381"/>
      <c r="F197" s="381"/>
      <c r="G197" s="786" t="s">
        <v>239</v>
      </c>
      <c r="H197" s="786"/>
      <c r="I197" s="787"/>
      <c r="J197" s="588"/>
      <c r="K197" s="588"/>
      <c r="L197" s="381"/>
      <c r="M197" s="381"/>
      <c r="N197" s="381"/>
      <c r="O197" s="381"/>
      <c r="P197" s="381"/>
      <c r="Q197" s="381"/>
      <c r="R197" s="381"/>
      <c r="S197" s="381"/>
      <c r="T197" s="381"/>
      <c r="U197" s="381"/>
      <c r="V197" s="381"/>
      <c r="W197" s="381"/>
      <c r="X197" s="381"/>
      <c r="Y197" s="381"/>
    </row>
    <row r="198" spans="1:25" ht="18" customHeight="1" x14ac:dyDescent="0.2">
      <c r="A198" s="337"/>
      <c r="B198" s="337"/>
      <c r="C198" s="793"/>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5"/>
    </row>
    <row r="199" spans="1:25" ht="18" customHeight="1" x14ac:dyDescent="0.2">
      <c r="A199" s="337"/>
      <c r="B199" s="337"/>
      <c r="C199" s="796"/>
      <c r="D199" s="797"/>
      <c r="E199" s="797"/>
      <c r="F199" s="797"/>
      <c r="G199" s="797"/>
      <c r="H199" s="797"/>
      <c r="I199" s="797"/>
      <c r="J199" s="797"/>
      <c r="K199" s="797"/>
      <c r="L199" s="797"/>
      <c r="M199" s="797"/>
      <c r="N199" s="797"/>
      <c r="O199" s="797"/>
      <c r="P199" s="797"/>
      <c r="Q199" s="797"/>
      <c r="R199" s="797"/>
      <c r="S199" s="797"/>
      <c r="T199" s="797"/>
      <c r="U199" s="797"/>
      <c r="V199" s="797"/>
      <c r="W199" s="797"/>
      <c r="X199" s="797"/>
      <c r="Y199" s="798"/>
    </row>
    <row r="200" spans="1:25" ht="18" customHeight="1" x14ac:dyDescent="0.2">
      <c r="A200" s="337"/>
      <c r="B200" s="337"/>
      <c r="C200" s="799"/>
      <c r="D200" s="800"/>
      <c r="E200" s="800"/>
      <c r="F200" s="800"/>
      <c r="G200" s="800"/>
      <c r="H200" s="800"/>
      <c r="I200" s="800"/>
      <c r="J200" s="800"/>
      <c r="K200" s="800"/>
      <c r="L200" s="800"/>
      <c r="M200" s="800"/>
      <c r="N200" s="800"/>
      <c r="O200" s="800"/>
      <c r="P200" s="800"/>
      <c r="Q200" s="800"/>
      <c r="R200" s="800"/>
      <c r="S200" s="800"/>
      <c r="T200" s="800"/>
      <c r="U200" s="800"/>
      <c r="V200" s="800"/>
      <c r="W200" s="800"/>
      <c r="X200" s="800"/>
      <c r="Y200" s="801"/>
    </row>
    <row r="201" spans="1:25" ht="18" customHeight="1" x14ac:dyDescent="0.2">
      <c r="A201" s="337"/>
      <c r="B201" s="337"/>
      <c r="C201" s="345"/>
      <c r="D201" s="379"/>
      <c r="E201" s="379"/>
      <c r="F201" s="379"/>
      <c r="G201" s="379"/>
      <c r="H201" s="379"/>
      <c r="I201" s="379"/>
      <c r="J201" s="379"/>
      <c r="K201" s="379"/>
      <c r="L201" s="379"/>
      <c r="M201" s="379"/>
      <c r="N201" s="379"/>
      <c r="O201" s="380"/>
    </row>
    <row r="202" spans="1:25" ht="18" customHeight="1" x14ac:dyDescent="0.2">
      <c r="A202" s="337"/>
      <c r="B202" s="337"/>
      <c r="C202" s="345"/>
      <c r="D202" s="379"/>
      <c r="E202" s="379"/>
      <c r="F202" s="379"/>
      <c r="G202" s="379"/>
      <c r="H202" s="379"/>
      <c r="I202" s="379"/>
      <c r="J202" s="379"/>
      <c r="K202" s="379"/>
      <c r="L202" s="379"/>
      <c r="M202" s="379"/>
      <c r="N202" s="379"/>
      <c r="O202" s="380"/>
    </row>
    <row r="203" spans="1:25" ht="18" customHeight="1" x14ac:dyDescent="0.2">
      <c r="A203" s="337"/>
      <c r="B203" s="337"/>
      <c r="C203" s="583" t="s">
        <v>286</v>
      </c>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row>
    <row r="204" spans="1:25" ht="18" customHeight="1" x14ac:dyDescent="0.2">
      <c r="A204" s="337"/>
      <c r="B204" s="337"/>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row>
    <row r="205" spans="1:25" ht="18" customHeight="1" x14ac:dyDescent="0.2">
      <c r="A205" s="337"/>
      <c r="B205" s="337"/>
      <c r="C205" s="669"/>
      <c r="D205" s="670"/>
      <c r="E205" s="670"/>
      <c r="F205" s="670"/>
      <c r="G205" s="670"/>
      <c r="H205" s="670"/>
      <c r="I205" s="670"/>
      <c r="J205" s="670"/>
      <c r="K205" s="670"/>
      <c r="L205" s="670"/>
      <c r="M205" s="670"/>
      <c r="N205" s="670"/>
      <c r="O205" s="670"/>
      <c r="P205" s="670"/>
      <c r="Q205" s="670"/>
      <c r="R205" s="670"/>
      <c r="S205" s="670"/>
      <c r="T205" s="670"/>
      <c r="U205" s="670"/>
      <c r="V205" s="670"/>
      <c r="W205" s="670"/>
      <c r="X205" s="670"/>
      <c r="Y205" s="671"/>
    </row>
    <row r="206" spans="1:25" ht="18" customHeight="1" x14ac:dyDescent="0.2">
      <c r="A206" s="337"/>
      <c r="B206" s="337"/>
      <c r="C206" s="802"/>
      <c r="D206" s="803"/>
      <c r="E206" s="803"/>
      <c r="F206" s="803"/>
      <c r="G206" s="803"/>
      <c r="H206" s="803"/>
      <c r="I206" s="803"/>
      <c r="J206" s="803"/>
      <c r="K206" s="803"/>
      <c r="L206" s="803"/>
      <c r="M206" s="803"/>
      <c r="N206" s="803"/>
      <c r="O206" s="803"/>
      <c r="P206" s="803"/>
      <c r="Q206" s="803"/>
      <c r="R206" s="803"/>
      <c r="S206" s="803"/>
      <c r="T206" s="803"/>
      <c r="U206" s="803"/>
      <c r="V206" s="803"/>
      <c r="W206" s="803"/>
      <c r="X206" s="803"/>
      <c r="Y206" s="804"/>
    </row>
    <row r="207" spans="1:25" ht="18" customHeight="1" x14ac:dyDescent="0.2">
      <c r="A207" s="337"/>
      <c r="B207" s="337"/>
      <c r="C207" s="672"/>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4"/>
    </row>
    <row r="208" spans="1:25" ht="18" customHeight="1" x14ac:dyDescent="0.2">
      <c r="A208" s="337"/>
      <c r="B208" s="337"/>
      <c r="C208" s="379"/>
      <c r="D208" s="379"/>
      <c r="E208" s="379"/>
      <c r="F208" s="379"/>
      <c r="G208" s="379"/>
      <c r="H208" s="379"/>
      <c r="I208" s="379"/>
      <c r="J208" s="379"/>
      <c r="K208" s="379"/>
      <c r="L208" s="379"/>
      <c r="M208" s="379"/>
      <c r="N208" s="379"/>
      <c r="O208" s="380"/>
    </row>
    <row r="209" spans="1:26" ht="18" customHeight="1" x14ac:dyDescent="0.2">
      <c r="A209" s="337"/>
      <c r="B209" s="337"/>
      <c r="C209" s="379"/>
      <c r="D209" s="379"/>
      <c r="E209" s="379"/>
      <c r="F209" s="379"/>
      <c r="G209" s="379"/>
      <c r="H209" s="379"/>
      <c r="I209" s="379"/>
      <c r="J209" s="379"/>
      <c r="K209" s="379"/>
      <c r="L209" s="379"/>
      <c r="M209" s="379"/>
      <c r="N209" s="379"/>
      <c r="O209" s="380"/>
    </row>
    <row r="210" spans="1:26" ht="18" customHeight="1" x14ac:dyDescent="0.2">
      <c r="A210" s="337"/>
      <c r="B210" s="337"/>
      <c r="C210" s="581" t="s">
        <v>287</v>
      </c>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row>
    <row r="211" spans="1:26" ht="18" customHeight="1" x14ac:dyDescent="0.2">
      <c r="A211" s="337"/>
      <c r="B211" s="788" t="s">
        <v>1528</v>
      </c>
      <c r="C211" s="789"/>
      <c r="D211" s="789"/>
      <c r="E211" s="789"/>
      <c r="F211" s="789"/>
      <c r="G211" s="789"/>
      <c r="H211" s="789"/>
      <c r="I211" s="789"/>
      <c r="J211" s="789"/>
      <c r="K211" s="789"/>
      <c r="L211" s="789"/>
      <c r="M211" s="789"/>
      <c r="N211" s="789"/>
      <c r="O211" s="789"/>
      <c r="P211" s="789"/>
      <c r="Q211" s="789"/>
      <c r="R211" s="789"/>
      <c r="S211" s="789"/>
      <c r="T211" s="789"/>
      <c r="U211" s="789"/>
      <c r="V211" s="789"/>
      <c r="W211" s="789"/>
      <c r="X211" s="789"/>
      <c r="Y211" s="789"/>
      <c r="Z211" s="789"/>
    </row>
    <row r="212" spans="1:26" ht="18" customHeight="1" x14ac:dyDescent="0.2">
      <c r="A212" s="337"/>
      <c r="B212" s="789"/>
      <c r="C212" s="789"/>
      <c r="D212" s="789"/>
      <c r="E212" s="789"/>
      <c r="F212" s="789"/>
      <c r="G212" s="789"/>
      <c r="H212" s="789"/>
      <c r="I212" s="789"/>
      <c r="J212" s="789"/>
      <c r="K212" s="789"/>
      <c r="L212" s="789"/>
      <c r="M212" s="789"/>
      <c r="N212" s="789"/>
      <c r="O212" s="789"/>
      <c r="P212" s="789"/>
      <c r="Q212" s="789"/>
      <c r="R212" s="789"/>
      <c r="S212" s="789"/>
      <c r="T212" s="789"/>
      <c r="U212" s="789"/>
      <c r="V212" s="789"/>
      <c r="W212" s="789"/>
      <c r="X212" s="789"/>
      <c r="Y212" s="789"/>
      <c r="Z212" s="789"/>
    </row>
    <row r="213" spans="1:26" ht="18" customHeight="1" thickBot="1" x14ac:dyDescent="0.25">
      <c r="A213" s="337"/>
      <c r="B213" s="337"/>
      <c r="C213" s="337"/>
      <c r="D213" s="337"/>
      <c r="E213" s="337"/>
      <c r="F213" s="337"/>
      <c r="G213" s="337"/>
      <c r="H213" s="337"/>
      <c r="I213" s="337"/>
      <c r="J213" s="337"/>
      <c r="K213" s="368"/>
      <c r="L213" s="368"/>
      <c r="M213" s="337"/>
      <c r="N213" s="337"/>
      <c r="O213" s="380"/>
      <c r="S213" s="353" t="s">
        <v>240</v>
      </c>
      <c r="T213" s="785"/>
      <c r="U213" s="785"/>
      <c r="V213" s="785"/>
      <c r="W213" s="785"/>
      <c r="X213" s="591" t="s">
        <v>111</v>
      </c>
      <c r="Y213" s="591"/>
    </row>
    <row r="214" spans="1:26" ht="18" customHeight="1" thickBot="1" x14ac:dyDescent="0.25">
      <c r="A214" s="337"/>
      <c r="B214" s="337"/>
      <c r="C214" s="345"/>
      <c r="D214" s="382"/>
      <c r="E214" s="382"/>
      <c r="F214" s="382"/>
      <c r="G214" s="382"/>
      <c r="H214" s="382"/>
      <c r="I214" s="382"/>
      <c r="J214" s="382"/>
      <c r="K214" s="382"/>
      <c r="L214" s="382"/>
      <c r="M214" s="383"/>
      <c r="N214" s="382"/>
      <c r="O214" s="382"/>
      <c r="P214" s="382"/>
      <c r="Q214" s="382"/>
      <c r="R214" s="382"/>
      <c r="S214" s="384"/>
      <c r="T214" s="375"/>
      <c r="U214" s="385"/>
      <c r="V214" s="385"/>
      <c r="W214" s="377" t="str">
        <f>IF($T$213="","",IF($T$213&lt;$T$107,"La superficie de la zone contributive ne peut pas être inférieure à la superficie du site",""))</f>
        <v/>
      </c>
      <c r="X214" s="382"/>
      <c r="Y214" s="382"/>
    </row>
    <row r="215" spans="1:26" ht="18" customHeight="1" x14ac:dyDescent="0.2">
      <c r="A215" s="337"/>
      <c r="B215" s="337"/>
      <c r="C215" s="345"/>
      <c r="D215" s="382"/>
      <c r="E215" s="382"/>
      <c r="F215" s="382"/>
      <c r="G215" s="382"/>
      <c r="H215" s="382"/>
      <c r="I215" s="382"/>
      <c r="J215" s="382"/>
      <c r="K215" s="382"/>
      <c r="L215" s="382"/>
      <c r="M215" s="383"/>
      <c r="N215" s="382"/>
      <c r="O215" s="382"/>
      <c r="P215" s="382"/>
      <c r="Q215" s="382"/>
      <c r="R215" s="382"/>
      <c r="S215" s="384"/>
      <c r="T215" s="382"/>
      <c r="U215" s="382"/>
      <c r="V215" s="382"/>
      <c r="W215" s="378"/>
      <c r="X215" s="382"/>
      <c r="Y215" s="382"/>
    </row>
    <row r="216" spans="1:26" ht="18" customHeight="1" x14ac:dyDescent="0.2">
      <c r="A216" s="337"/>
      <c r="B216" s="337"/>
      <c r="C216" s="592" t="s">
        <v>288</v>
      </c>
      <c r="D216" s="592"/>
      <c r="E216" s="592"/>
      <c r="F216" s="592"/>
      <c r="G216" s="592"/>
      <c r="H216" s="592"/>
      <c r="I216" s="592"/>
      <c r="J216" s="592"/>
      <c r="K216" s="592"/>
      <c r="L216" s="592"/>
      <c r="M216" s="592"/>
      <c r="N216" s="592"/>
      <c r="O216" s="592"/>
      <c r="P216" s="592"/>
      <c r="Q216" s="592"/>
      <c r="R216" s="592"/>
      <c r="S216" s="592"/>
      <c r="T216" s="592"/>
      <c r="U216" s="592"/>
      <c r="V216" s="592"/>
      <c r="W216" s="592"/>
      <c r="X216" s="592"/>
      <c r="Y216" s="592"/>
    </row>
    <row r="217" spans="1:26" ht="18" customHeight="1" x14ac:dyDescent="0.2">
      <c r="A217" s="337"/>
      <c r="B217" s="337"/>
      <c r="C217" s="337"/>
      <c r="D217" s="337"/>
      <c r="E217" s="337"/>
      <c r="F217" s="337"/>
      <c r="G217" s="337"/>
      <c r="H217" s="337"/>
      <c r="I217" s="337"/>
      <c r="J217" s="337"/>
      <c r="K217" s="337"/>
      <c r="L217" s="337"/>
      <c r="M217" s="337"/>
      <c r="N217" s="337"/>
      <c r="O217" s="337"/>
      <c r="P217" s="337"/>
      <c r="S217" s="353" t="s">
        <v>241</v>
      </c>
      <c r="T217" s="701"/>
      <c r="U217" s="701"/>
      <c r="V217" s="701"/>
      <c r="W217" s="701"/>
      <c r="X217" s="371"/>
      <c r="Y217" s="372"/>
    </row>
    <row r="218" spans="1:26" ht="18" customHeight="1" x14ac:dyDescent="0.2">
      <c r="A218" s="337"/>
      <c r="B218" s="337"/>
      <c r="C218" s="345"/>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row>
    <row r="219" spans="1:26" ht="18" customHeight="1" x14ac:dyDescent="0.2">
      <c r="A219" s="337"/>
      <c r="B219" s="337"/>
      <c r="C219" s="345"/>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row>
    <row r="220" spans="1:26" ht="18" customHeight="1" x14ac:dyDescent="0.2">
      <c r="A220" s="337"/>
      <c r="B220" s="337"/>
      <c r="C220" s="592" t="s">
        <v>289</v>
      </c>
      <c r="D220" s="592"/>
      <c r="E220" s="592"/>
      <c r="F220" s="592"/>
      <c r="G220" s="592"/>
      <c r="H220" s="592"/>
      <c r="I220" s="592"/>
      <c r="J220" s="592"/>
      <c r="K220" s="592"/>
      <c r="L220" s="592"/>
      <c r="M220" s="592"/>
      <c r="N220" s="592"/>
      <c r="O220" s="592"/>
      <c r="P220" s="592"/>
      <c r="Q220" s="592"/>
      <c r="R220" s="592"/>
      <c r="S220" s="592"/>
      <c r="T220" s="592"/>
      <c r="U220" s="592"/>
      <c r="V220" s="592"/>
      <c r="W220" s="592"/>
      <c r="X220" s="592"/>
      <c r="Y220" s="592"/>
    </row>
    <row r="221" spans="1:26" ht="18" customHeight="1" x14ac:dyDescent="0.2">
      <c r="A221" s="337"/>
      <c r="B221" s="337"/>
      <c r="C221" s="356"/>
      <c r="D221" s="356"/>
      <c r="E221" s="356"/>
      <c r="F221" s="356"/>
      <c r="G221" s="356"/>
      <c r="H221" s="356"/>
      <c r="I221" s="362"/>
      <c r="J221" s="356"/>
      <c r="K221" s="379"/>
      <c r="L221" s="379"/>
      <c r="M221" s="379"/>
      <c r="N221" s="379"/>
      <c r="O221" s="380"/>
      <c r="S221" s="357" t="s">
        <v>242</v>
      </c>
      <c r="T221" s="578"/>
      <c r="U221" s="578"/>
      <c r="V221" s="578"/>
      <c r="W221" s="578"/>
      <c r="X221" s="591" t="s">
        <v>111</v>
      </c>
      <c r="Y221" s="591"/>
    </row>
    <row r="222" spans="1:26" ht="18" customHeight="1" thickBot="1" x14ac:dyDescent="0.25">
      <c r="A222" s="337"/>
      <c r="B222" s="337"/>
      <c r="C222" s="346"/>
      <c r="D222" s="346"/>
      <c r="E222" s="346"/>
      <c r="F222" s="346"/>
      <c r="G222" s="346"/>
      <c r="H222" s="346"/>
      <c r="I222" s="362"/>
      <c r="J222" s="346"/>
      <c r="K222" s="379"/>
      <c r="L222" s="379"/>
      <c r="M222" s="379"/>
      <c r="N222" s="379"/>
      <c r="O222" s="380"/>
      <c r="S222" s="362" t="s">
        <v>243</v>
      </c>
      <c r="T222" s="785"/>
      <c r="U222" s="785"/>
      <c r="V222" s="785"/>
      <c r="W222" s="785"/>
      <c r="X222" s="591" t="s">
        <v>111</v>
      </c>
      <c r="Y222" s="591"/>
    </row>
    <row r="223" spans="1:26" ht="18" customHeight="1" thickBot="1" x14ac:dyDescent="0.25">
      <c r="A223" s="337"/>
      <c r="B223" s="337"/>
      <c r="C223" s="345"/>
      <c r="D223" s="382"/>
      <c r="E223" s="382"/>
      <c r="F223" s="382"/>
      <c r="G223" s="382"/>
      <c r="H223" s="382"/>
      <c r="I223" s="382"/>
      <c r="J223" s="382"/>
      <c r="K223" s="382"/>
      <c r="L223" s="382"/>
      <c r="M223" s="382"/>
      <c r="N223" s="382"/>
      <c r="O223" s="382"/>
      <c r="P223" s="382"/>
      <c r="Q223" s="382"/>
      <c r="R223" s="382"/>
      <c r="S223" s="382"/>
      <c r="T223" s="375"/>
      <c r="U223" s="385"/>
      <c r="V223" s="385"/>
      <c r="W223" s="377" t="str">
        <f>IF(AND(ISBLANK($T$221),ISBLANK($T$222)),"",IF(SUM($T$221,$T$222)&gt;$T$213,"La somme des superficies des surfaces enherbées et cultivées ne peut pas être supérieure à la superficie de la zone contributive.",""))</f>
        <v/>
      </c>
      <c r="X223" s="382"/>
      <c r="Y223" s="382"/>
    </row>
    <row r="224" spans="1:26" ht="18" customHeight="1" x14ac:dyDescent="0.2">
      <c r="A224" s="337"/>
      <c r="B224" s="337"/>
      <c r="C224" s="345"/>
      <c r="D224" s="382"/>
      <c r="E224" s="382"/>
      <c r="F224" s="382"/>
      <c r="G224" s="382"/>
      <c r="H224" s="382"/>
      <c r="I224" s="382"/>
      <c r="J224" s="382"/>
      <c r="K224" s="382"/>
      <c r="L224" s="382"/>
      <c r="M224" s="382"/>
      <c r="N224" s="382"/>
      <c r="O224" s="382"/>
      <c r="P224" s="382"/>
      <c r="Q224" s="382"/>
      <c r="R224" s="382"/>
      <c r="S224" s="382"/>
      <c r="T224" s="382"/>
      <c r="U224" s="382"/>
      <c r="V224" s="382"/>
      <c r="W224" s="378"/>
      <c r="X224" s="382"/>
      <c r="Y224" s="382"/>
    </row>
    <row r="225" spans="1:25" ht="18" customHeight="1" x14ac:dyDescent="0.2">
      <c r="A225" s="337"/>
      <c r="B225" s="337"/>
      <c r="C225" s="592" t="s">
        <v>290</v>
      </c>
      <c r="D225" s="592"/>
      <c r="E225" s="592"/>
      <c r="F225" s="592"/>
      <c r="G225" s="592"/>
      <c r="H225" s="592"/>
      <c r="I225" s="592"/>
      <c r="J225" s="592"/>
      <c r="K225" s="592"/>
      <c r="L225" s="592"/>
      <c r="M225" s="592"/>
      <c r="N225" s="592"/>
      <c r="O225" s="592"/>
      <c r="P225" s="592"/>
      <c r="Q225" s="592"/>
      <c r="R225" s="592"/>
      <c r="S225" s="592"/>
      <c r="T225" s="592"/>
      <c r="U225" s="592"/>
      <c r="V225" s="592"/>
      <c r="W225" s="592"/>
      <c r="X225" s="592"/>
      <c r="Y225" s="592"/>
    </row>
    <row r="226" spans="1:25" ht="18" customHeight="1" x14ac:dyDescent="0.2">
      <c r="A226" s="337"/>
      <c r="B226" s="337"/>
      <c r="C226" s="354" t="s">
        <v>234</v>
      </c>
      <c r="D226" s="354"/>
      <c r="E226" s="337"/>
      <c r="F226" s="368"/>
      <c r="G226" s="368"/>
      <c r="H226" s="368"/>
      <c r="I226" s="353" t="s">
        <v>28</v>
      </c>
      <c r="J226" s="588"/>
      <c r="K226" s="588"/>
      <c r="N226" s="368"/>
      <c r="P226" s="368"/>
      <c r="Q226" s="368"/>
      <c r="S226" s="369" t="s">
        <v>29</v>
      </c>
      <c r="T226" s="588"/>
      <c r="U226" s="588"/>
      <c r="V226" s="588"/>
      <c r="W226" s="588"/>
    </row>
    <row r="227" spans="1:25" ht="18" customHeight="1" x14ac:dyDescent="0.2">
      <c r="A227" s="337"/>
      <c r="B227" s="337"/>
      <c r="C227" s="345"/>
      <c r="D227" s="337"/>
      <c r="E227" s="337"/>
      <c r="F227" s="337"/>
      <c r="G227" s="337"/>
      <c r="H227" s="337"/>
      <c r="I227" s="337"/>
      <c r="J227" s="337"/>
      <c r="K227" s="337"/>
      <c r="L227" s="337"/>
      <c r="M227" s="337"/>
      <c r="N227" s="386"/>
      <c r="O227" s="380"/>
    </row>
    <row r="228" spans="1:25" ht="18" customHeight="1" x14ac:dyDescent="0.2">
      <c r="A228" s="337"/>
      <c r="B228" s="337"/>
      <c r="C228" s="345"/>
      <c r="D228" s="337"/>
      <c r="E228" s="337"/>
      <c r="F228" s="337"/>
      <c r="G228" s="337"/>
      <c r="H228" s="337"/>
      <c r="I228" s="337"/>
      <c r="J228" s="337"/>
      <c r="K228" s="337"/>
      <c r="L228" s="337"/>
      <c r="M228" s="337"/>
      <c r="N228" s="386"/>
      <c r="O228" s="380"/>
    </row>
    <row r="229" spans="1:25" ht="18" customHeight="1" x14ac:dyDescent="0.2">
      <c r="A229" s="337"/>
      <c r="B229" s="337"/>
      <c r="C229" s="581" t="s">
        <v>291</v>
      </c>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row>
    <row r="230" spans="1:25" ht="18" customHeight="1" thickBot="1" x14ac:dyDescent="0.25">
      <c r="A230" s="337"/>
      <c r="B230" s="337"/>
      <c r="C230" s="337"/>
      <c r="D230" s="337"/>
      <c r="E230" s="337"/>
      <c r="F230" s="337"/>
      <c r="G230" s="337"/>
      <c r="H230" s="337"/>
      <c r="I230" s="337"/>
      <c r="J230" s="337"/>
      <c r="K230" s="386"/>
      <c r="L230" s="386"/>
      <c r="M230" s="386"/>
      <c r="N230" s="386"/>
      <c r="O230" s="380"/>
      <c r="S230" s="353" t="s">
        <v>244</v>
      </c>
      <c r="T230" s="578"/>
      <c r="U230" s="578"/>
      <c r="V230" s="578"/>
      <c r="W230" s="578"/>
      <c r="X230" s="591" t="s">
        <v>111</v>
      </c>
      <c r="Y230" s="591"/>
    </row>
    <row r="231" spans="1:25" ht="18" customHeight="1" thickBot="1" x14ac:dyDescent="0.25">
      <c r="A231" s="337"/>
      <c r="B231" s="337"/>
      <c r="C231" s="345"/>
      <c r="D231" s="337"/>
      <c r="E231" s="337"/>
      <c r="F231" s="337"/>
      <c r="G231" s="337"/>
      <c r="H231" s="337"/>
      <c r="I231" s="337"/>
      <c r="J231" s="337"/>
      <c r="K231" s="337"/>
      <c r="L231" s="337"/>
      <c r="M231" s="337"/>
      <c r="N231" s="386"/>
      <c r="O231" s="380"/>
      <c r="T231" s="375"/>
      <c r="U231" s="385"/>
      <c r="V231" s="385"/>
      <c r="W231" s="377" t="str">
        <f>IF($T$230="","",IF($T$230&gt;$T$213,"La superficie des surfaces construites ne peut pas être supérieure à la superficie de la zone contributive",""))</f>
        <v/>
      </c>
    </row>
    <row r="232" spans="1:25" ht="18" customHeight="1" x14ac:dyDescent="0.2">
      <c r="A232" s="337"/>
      <c r="B232" s="337"/>
      <c r="C232" s="345"/>
      <c r="D232" s="337"/>
      <c r="E232" s="337"/>
      <c r="F232" s="337"/>
      <c r="G232" s="337"/>
      <c r="H232" s="337"/>
      <c r="I232" s="337"/>
      <c r="J232" s="337"/>
      <c r="K232" s="337"/>
      <c r="L232" s="337"/>
      <c r="M232" s="337"/>
      <c r="N232" s="386"/>
      <c r="O232" s="380"/>
      <c r="W232" s="387"/>
    </row>
    <row r="233" spans="1:25" ht="18" customHeight="1" x14ac:dyDescent="0.2">
      <c r="A233" s="337"/>
      <c r="B233" s="337"/>
      <c r="C233" s="581" t="s">
        <v>292</v>
      </c>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row>
    <row r="234" spans="1:25" ht="18" customHeight="1" x14ac:dyDescent="0.2">
      <c r="A234" s="337"/>
      <c r="B234" s="337"/>
      <c r="C234" s="388"/>
      <c r="D234" s="388"/>
      <c r="E234" s="388"/>
      <c r="F234" s="388"/>
      <c r="G234" s="388"/>
      <c r="H234" s="388"/>
      <c r="I234" s="356"/>
      <c r="J234" s="346"/>
      <c r="K234" s="389"/>
      <c r="L234" s="389"/>
      <c r="M234" s="373"/>
      <c r="N234" s="386"/>
      <c r="O234" s="380"/>
      <c r="S234" s="357" t="s">
        <v>245</v>
      </c>
      <c r="T234" s="578"/>
      <c r="U234" s="578"/>
      <c r="V234" s="578"/>
      <c r="W234" s="578"/>
      <c r="X234" s="591" t="s">
        <v>112</v>
      </c>
      <c r="Y234" s="591"/>
    </row>
    <row r="235" spans="1:25" ht="18" customHeight="1" x14ac:dyDescent="0.2">
      <c r="A235" s="337"/>
      <c r="B235" s="337"/>
      <c r="C235" s="345"/>
      <c r="D235" s="337"/>
      <c r="E235" s="337"/>
      <c r="F235" s="337"/>
      <c r="G235" s="337"/>
      <c r="H235" s="337"/>
      <c r="I235" s="337"/>
      <c r="J235" s="337"/>
      <c r="K235" s="337"/>
      <c r="L235" s="337"/>
      <c r="M235" s="337"/>
      <c r="N235" s="386"/>
      <c r="O235" s="380"/>
    </row>
    <row r="236" spans="1:25" ht="18" customHeight="1" x14ac:dyDescent="0.2">
      <c r="A236" s="337"/>
      <c r="B236" s="337"/>
      <c r="C236" s="345"/>
      <c r="D236" s="337"/>
      <c r="E236" s="337"/>
      <c r="F236" s="337"/>
      <c r="G236" s="337"/>
      <c r="H236" s="337"/>
      <c r="I236" s="337"/>
      <c r="J236" s="337"/>
      <c r="K236" s="337"/>
      <c r="L236" s="337"/>
      <c r="M236" s="337"/>
      <c r="N236" s="386"/>
      <c r="O236" s="380"/>
    </row>
    <row r="237" spans="1:25" ht="35.25" customHeight="1" x14ac:dyDescent="0.2">
      <c r="A237" s="337"/>
      <c r="B237" s="337"/>
      <c r="C237" s="341" t="s">
        <v>402</v>
      </c>
      <c r="D237" s="695" t="s">
        <v>404</v>
      </c>
      <c r="E237" s="696"/>
      <c r="F237" s="696"/>
      <c r="G237" s="696"/>
      <c r="H237" s="696"/>
      <c r="I237" s="696"/>
      <c r="J237" s="696"/>
      <c r="K237" s="696"/>
      <c r="L237" s="696"/>
      <c r="M237" s="696"/>
      <c r="N237" s="696"/>
      <c r="O237" s="696"/>
      <c r="P237" s="696"/>
      <c r="Q237" s="696"/>
      <c r="R237" s="696"/>
      <c r="S237" s="696"/>
      <c r="T237" s="696"/>
      <c r="U237" s="696"/>
      <c r="V237" s="696"/>
      <c r="W237" s="696"/>
      <c r="X237" s="696"/>
      <c r="Y237" s="697"/>
    </row>
    <row r="238" spans="1:25" ht="18" customHeight="1" x14ac:dyDescent="0.2">
      <c r="A238" s="337"/>
      <c r="B238" s="337"/>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row>
    <row r="239" spans="1:25" ht="18" customHeight="1" x14ac:dyDescent="0.2">
      <c r="A239" s="337"/>
      <c r="B239" s="337"/>
      <c r="C239" s="581" t="s">
        <v>366</v>
      </c>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row>
    <row r="240" spans="1:25" ht="18" customHeight="1" x14ac:dyDescent="0.2">
      <c r="A240" s="337"/>
      <c r="B240" s="337"/>
      <c r="C240" s="684" t="s">
        <v>246</v>
      </c>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row>
    <row r="241" spans="1:25" ht="18" customHeight="1" x14ac:dyDescent="0.2">
      <c r="A241" s="337"/>
      <c r="B241" s="337"/>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row>
    <row r="242" spans="1:25" ht="18" customHeight="1" x14ac:dyDescent="0.2">
      <c r="A242" s="337"/>
      <c r="B242" s="337"/>
      <c r="C242" s="686"/>
      <c r="D242" s="687"/>
      <c r="E242" s="687"/>
      <c r="F242" s="687"/>
      <c r="G242" s="687"/>
      <c r="H242" s="687"/>
      <c r="I242" s="687"/>
      <c r="J242" s="687"/>
      <c r="K242" s="687"/>
      <c r="L242" s="687"/>
      <c r="M242" s="687"/>
      <c r="N242" s="687"/>
      <c r="O242" s="687"/>
      <c r="P242" s="687"/>
      <c r="Q242" s="687"/>
      <c r="R242" s="687"/>
      <c r="S242" s="687"/>
      <c r="T242" s="687"/>
      <c r="U242" s="687"/>
      <c r="V242" s="687"/>
      <c r="W242" s="687"/>
      <c r="X242" s="687"/>
      <c r="Y242" s="688"/>
    </row>
    <row r="243" spans="1:25" ht="18" customHeight="1" x14ac:dyDescent="0.2">
      <c r="A243" s="337"/>
      <c r="B243" s="337"/>
      <c r="C243" s="689"/>
      <c r="D243" s="690"/>
      <c r="E243" s="690"/>
      <c r="F243" s="690"/>
      <c r="G243" s="690"/>
      <c r="H243" s="690"/>
      <c r="I243" s="690"/>
      <c r="J243" s="690"/>
      <c r="K243" s="690"/>
      <c r="L243" s="690"/>
      <c r="M243" s="690"/>
      <c r="N243" s="690"/>
      <c r="O243" s="690"/>
      <c r="P243" s="690"/>
      <c r="Q243" s="690"/>
      <c r="R243" s="690"/>
      <c r="S243" s="690"/>
      <c r="T243" s="690"/>
      <c r="U243" s="690"/>
      <c r="V243" s="690"/>
      <c r="W243" s="690"/>
      <c r="X243" s="690"/>
      <c r="Y243" s="691"/>
    </row>
    <row r="244" spans="1:25" ht="18" customHeight="1" x14ac:dyDescent="0.2">
      <c r="A244" s="337"/>
      <c r="B244" s="337"/>
      <c r="C244" s="689"/>
      <c r="D244" s="690"/>
      <c r="E244" s="690"/>
      <c r="F244" s="690"/>
      <c r="G244" s="690"/>
      <c r="H244" s="690"/>
      <c r="I244" s="690"/>
      <c r="J244" s="690"/>
      <c r="K244" s="690"/>
      <c r="L244" s="690"/>
      <c r="M244" s="690"/>
      <c r="N244" s="690"/>
      <c r="O244" s="690"/>
      <c r="P244" s="690"/>
      <c r="Q244" s="690"/>
      <c r="R244" s="690"/>
      <c r="S244" s="690"/>
      <c r="T244" s="690"/>
      <c r="U244" s="690"/>
      <c r="V244" s="690"/>
      <c r="W244" s="690"/>
      <c r="X244" s="690"/>
      <c r="Y244" s="691"/>
    </row>
    <row r="245" spans="1:25" ht="18" customHeight="1" x14ac:dyDescent="0.2">
      <c r="A245" s="337"/>
      <c r="B245" s="337"/>
      <c r="C245" s="689"/>
      <c r="D245" s="690"/>
      <c r="E245" s="690"/>
      <c r="F245" s="690"/>
      <c r="G245" s="690"/>
      <c r="H245" s="690"/>
      <c r="I245" s="690"/>
      <c r="J245" s="690"/>
      <c r="K245" s="690"/>
      <c r="L245" s="690"/>
      <c r="M245" s="690"/>
      <c r="N245" s="690"/>
      <c r="O245" s="690"/>
      <c r="P245" s="690"/>
      <c r="Q245" s="690"/>
      <c r="R245" s="690"/>
      <c r="S245" s="690"/>
      <c r="T245" s="690"/>
      <c r="U245" s="690"/>
      <c r="V245" s="690"/>
      <c r="W245" s="690"/>
      <c r="X245" s="690"/>
      <c r="Y245" s="691"/>
    </row>
    <row r="246" spans="1:25" ht="18" customHeight="1" x14ac:dyDescent="0.2">
      <c r="A246" s="337"/>
      <c r="B246" s="337"/>
      <c r="C246" s="689"/>
      <c r="D246" s="690"/>
      <c r="E246" s="690"/>
      <c r="F246" s="690"/>
      <c r="G246" s="690"/>
      <c r="H246" s="690"/>
      <c r="I246" s="690"/>
      <c r="J246" s="690"/>
      <c r="K246" s="690"/>
      <c r="L246" s="690"/>
      <c r="M246" s="690"/>
      <c r="N246" s="690"/>
      <c r="O246" s="690"/>
      <c r="P246" s="690"/>
      <c r="Q246" s="690"/>
      <c r="R246" s="690"/>
      <c r="S246" s="690"/>
      <c r="T246" s="690"/>
      <c r="U246" s="690"/>
      <c r="V246" s="690"/>
      <c r="W246" s="690"/>
      <c r="X246" s="690"/>
      <c r="Y246" s="691"/>
    </row>
    <row r="247" spans="1:25" ht="18" customHeight="1" x14ac:dyDescent="0.2">
      <c r="A247" s="337"/>
      <c r="B247" s="337"/>
      <c r="C247" s="689"/>
      <c r="D247" s="690"/>
      <c r="E247" s="690"/>
      <c r="F247" s="690"/>
      <c r="G247" s="690"/>
      <c r="H247" s="690"/>
      <c r="I247" s="690"/>
      <c r="J247" s="690"/>
      <c r="K247" s="690"/>
      <c r="L247" s="690"/>
      <c r="M247" s="690"/>
      <c r="N247" s="690"/>
      <c r="O247" s="690"/>
      <c r="P247" s="690"/>
      <c r="Q247" s="690"/>
      <c r="R247" s="690"/>
      <c r="S247" s="690"/>
      <c r="T247" s="690"/>
      <c r="U247" s="690"/>
      <c r="V247" s="690"/>
      <c r="W247" s="690"/>
      <c r="X247" s="690"/>
      <c r="Y247" s="691"/>
    </row>
    <row r="248" spans="1:25" ht="18" customHeight="1" x14ac:dyDescent="0.2">
      <c r="A248" s="337"/>
      <c r="B248" s="337"/>
      <c r="C248" s="689"/>
      <c r="D248" s="690"/>
      <c r="E248" s="690"/>
      <c r="F248" s="690"/>
      <c r="G248" s="690"/>
      <c r="H248" s="690"/>
      <c r="I248" s="690"/>
      <c r="J248" s="690"/>
      <c r="K248" s="690"/>
      <c r="L248" s="690"/>
      <c r="M248" s="690"/>
      <c r="N248" s="690"/>
      <c r="O248" s="690"/>
      <c r="P248" s="690"/>
      <c r="Q248" s="690"/>
      <c r="R248" s="690"/>
      <c r="S248" s="690"/>
      <c r="T248" s="690"/>
      <c r="U248" s="690"/>
      <c r="V248" s="690"/>
      <c r="W248" s="690"/>
      <c r="X248" s="690"/>
      <c r="Y248" s="691"/>
    </row>
    <row r="249" spans="1:25" ht="18" customHeight="1" x14ac:dyDescent="0.2">
      <c r="A249" s="337"/>
      <c r="B249" s="337"/>
      <c r="C249" s="689"/>
      <c r="D249" s="690"/>
      <c r="E249" s="690"/>
      <c r="F249" s="690"/>
      <c r="G249" s="690"/>
      <c r="H249" s="690"/>
      <c r="I249" s="690"/>
      <c r="J249" s="690"/>
      <c r="K249" s="690"/>
      <c r="L249" s="690"/>
      <c r="M249" s="690"/>
      <c r="N249" s="690"/>
      <c r="O249" s="690"/>
      <c r="P249" s="690"/>
      <c r="Q249" s="690"/>
      <c r="R249" s="690"/>
      <c r="S249" s="690"/>
      <c r="T249" s="690"/>
      <c r="U249" s="690"/>
      <c r="V249" s="690"/>
      <c r="W249" s="690"/>
      <c r="X249" s="690"/>
      <c r="Y249" s="691"/>
    </row>
    <row r="250" spans="1:25" ht="18" customHeight="1" x14ac:dyDescent="0.2">
      <c r="A250" s="337"/>
      <c r="B250" s="337"/>
      <c r="C250" s="689"/>
      <c r="D250" s="690"/>
      <c r="E250" s="690"/>
      <c r="F250" s="690"/>
      <c r="G250" s="690"/>
      <c r="H250" s="690"/>
      <c r="I250" s="690"/>
      <c r="J250" s="690"/>
      <c r="K250" s="690"/>
      <c r="L250" s="690"/>
      <c r="M250" s="690"/>
      <c r="N250" s="690"/>
      <c r="O250" s="690"/>
      <c r="P250" s="690"/>
      <c r="Q250" s="690"/>
      <c r="R250" s="690"/>
      <c r="S250" s="690"/>
      <c r="T250" s="690"/>
      <c r="U250" s="690"/>
      <c r="V250" s="690"/>
      <c r="W250" s="690"/>
      <c r="X250" s="690"/>
      <c r="Y250" s="691"/>
    </row>
    <row r="251" spans="1:25" ht="18" customHeight="1" x14ac:dyDescent="0.2">
      <c r="A251" s="337"/>
      <c r="B251" s="337"/>
      <c r="C251" s="689"/>
      <c r="D251" s="690"/>
      <c r="E251" s="690"/>
      <c r="F251" s="690"/>
      <c r="G251" s="690"/>
      <c r="H251" s="690"/>
      <c r="I251" s="690"/>
      <c r="J251" s="690"/>
      <c r="K251" s="690"/>
      <c r="L251" s="690"/>
      <c r="M251" s="690"/>
      <c r="N251" s="690"/>
      <c r="O251" s="690"/>
      <c r="P251" s="690"/>
      <c r="Q251" s="690"/>
      <c r="R251" s="690"/>
      <c r="S251" s="690"/>
      <c r="T251" s="690"/>
      <c r="U251" s="690"/>
      <c r="V251" s="690"/>
      <c r="W251" s="690"/>
      <c r="X251" s="690"/>
      <c r="Y251" s="691"/>
    </row>
    <row r="252" spans="1:25" ht="18" customHeight="1" x14ac:dyDescent="0.2">
      <c r="A252" s="337"/>
      <c r="B252" s="337"/>
      <c r="C252" s="689"/>
      <c r="D252" s="690"/>
      <c r="E252" s="690"/>
      <c r="F252" s="690"/>
      <c r="G252" s="690"/>
      <c r="H252" s="690"/>
      <c r="I252" s="690"/>
      <c r="J252" s="690"/>
      <c r="K252" s="690"/>
      <c r="L252" s="690"/>
      <c r="M252" s="690"/>
      <c r="N252" s="690"/>
      <c r="O252" s="690"/>
      <c r="P252" s="690"/>
      <c r="Q252" s="690"/>
      <c r="R252" s="690"/>
      <c r="S252" s="690"/>
      <c r="T252" s="690"/>
      <c r="U252" s="690"/>
      <c r="V252" s="690"/>
      <c r="W252" s="690"/>
      <c r="X252" s="690"/>
      <c r="Y252" s="691"/>
    </row>
    <row r="253" spans="1:25" ht="18" customHeight="1" x14ac:dyDescent="0.2">
      <c r="A253" s="337"/>
      <c r="B253" s="337"/>
      <c r="C253" s="689"/>
      <c r="D253" s="690"/>
      <c r="E253" s="690"/>
      <c r="F253" s="690"/>
      <c r="G253" s="690"/>
      <c r="H253" s="690"/>
      <c r="I253" s="690"/>
      <c r="J253" s="690"/>
      <c r="K253" s="690"/>
      <c r="L253" s="690"/>
      <c r="M253" s="690"/>
      <c r="N253" s="690"/>
      <c r="O253" s="690"/>
      <c r="P253" s="690"/>
      <c r="Q253" s="690"/>
      <c r="R253" s="690"/>
      <c r="S253" s="690"/>
      <c r="T253" s="690"/>
      <c r="U253" s="690"/>
      <c r="V253" s="690"/>
      <c r="W253" s="690"/>
      <c r="X253" s="690"/>
      <c r="Y253" s="691"/>
    </row>
    <row r="254" spans="1:25" ht="18" customHeight="1" x14ac:dyDescent="0.2">
      <c r="A254" s="337"/>
      <c r="B254" s="337"/>
      <c r="C254" s="689"/>
      <c r="D254" s="690"/>
      <c r="E254" s="690"/>
      <c r="F254" s="690"/>
      <c r="G254" s="690"/>
      <c r="H254" s="690"/>
      <c r="I254" s="690"/>
      <c r="J254" s="690"/>
      <c r="K254" s="690"/>
      <c r="L254" s="690"/>
      <c r="M254" s="690"/>
      <c r="N254" s="690"/>
      <c r="O254" s="690"/>
      <c r="P254" s="690"/>
      <c r="Q254" s="690"/>
      <c r="R254" s="690"/>
      <c r="S254" s="690"/>
      <c r="T254" s="690"/>
      <c r="U254" s="690"/>
      <c r="V254" s="690"/>
      <c r="W254" s="690"/>
      <c r="X254" s="690"/>
      <c r="Y254" s="691"/>
    </row>
    <row r="255" spans="1:25" ht="18" customHeight="1" x14ac:dyDescent="0.2">
      <c r="A255" s="337"/>
      <c r="B255" s="337"/>
      <c r="C255" s="689"/>
      <c r="D255" s="690"/>
      <c r="E255" s="690"/>
      <c r="F255" s="690"/>
      <c r="G255" s="690"/>
      <c r="H255" s="690"/>
      <c r="I255" s="690"/>
      <c r="J255" s="690"/>
      <c r="K255" s="690"/>
      <c r="L255" s="690"/>
      <c r="M255" s="690"/>
      <c r="N255" s="690"/>
      <c r="O255" s="690"/>
      <c r="P255" s="690"/>
      <c r="Q255" s="690"/>
      <c r="R255" s="690"/>
      <c r="S255" s="690"/>
      <c r="T255" s="690"/>
      <c r="U255" s="690"/>
      <c r="V255" s="690"/>
      <c r="W255" s="690"/>
      <c r="X255" s="690"/>
      <c r="Y255" s="691"/>
    </row>
    <row r="256" spans="1:25" ht="18" customHeight="1" x14ac:dyDescent="0.2">
      <c r="A256" s="337"/>
      <c r="B256" s="337"/>
      <c r="C256" s="689"/>
      <c r="D256" s="690"/>
      <c r="E256" s="690"/>
      <c r="F256" s="690"/>
      <c r="G256" s="690"/>
      <c r="H256" s="690"/>
      <c r="I256" s="690"/>
      <c r="J256" s="690"/>
      <c r="K256" s="690"/>
      <c r="L256" s="690"/>
      <c r="M256" s="690"/>
      <c r="N256" s="690"/>
      <c r="O256" s="690"/>
      <c r="P256" s="690"/>
      <c r="Q256" s="690"/>
      <c r="R256" s="690"/>
      <c r="S256" s="690"/>
      <c r="T256" s="690"/>
      <c r="U256" s="690"/>
      <c r="V256" s="690"/>
      <c r="W256" s="690"/>
      <c r="X256" s="690"/>
      <c r="Y256" s="691"/>
    </row>
    <row r="257" spans="1:25" ht="18" customHeight="1" x14ac:dyDescent="0.2">
      <c r="A257" s="337"/>
      <c r="B257" s="337"/>
      <c r="C257" s="689"/>
      <c r="D257" s="690"/>
      <c r="E257" s="690"/>
      <c r="F257" s="690"/>
      <c r="G257" s="690"/>
      <c r="H257" s="690"/>
      <c r="I257" s="690"/>
      <c r="J257" s="690"/>
      <c r="K257" s="690"/>
      <c r="L257" s="690"/>
      <c r="M257" s="690"/>
      <c r="N257" s="690"/>
      <c r="O257" s="690"/>
      <c r="P257" s="690"/>
      <c r="Q257" s="690"/>
      <c r="R257" s="690"/>
      <c r="S257" s="690"/>
      <c r="T257" s="690"/>
      <c r="U257" s="690"/>
      <c r="V257" s="690"/>
      <c r="W257" s="690"/>
      <c r="X257" s="690"/>
      <c r="Y257" s="691"/>
    </row>
    <row r="258" spans="1:25" ht="18" customHeight="1" x14ac:dyDescent="0.2">
      <c r="A258" s="337"/>
      <c r="B258" s="337"/>
      <c r="C258" s="689"/>
      <c r="D258" s="690"/>
      <c r="E258" s="690"/>
      <c r="F258" s="690"/>
      <c r="G258" s="690"/>
      <c r="H258" s="690"/>
      <c r="I258" s="690"/>
      <c r="J258" s="690"/>
      <c r="K258" s="690"/>
      <c r="L258" s="690"/>
      <c r="M258" s="690"/>
      <c r="N258" s="690"/>
      <c r="O258" s="690"/>
      <c r="P258" s="690"/>
      <c r="Q258" s="690"/>
      <c r="R258" s="690"/>
      <c r="S258" s="690"/>
      <c r="T258" s="690"/>
      <c r="U258" s="690"/>
      <c r="V258" s="690"/>
      <c r="W258" s="690"/>
      <c r="X258" s="690"/>
      <c r="Y258" s="691"/>
    </row>
    <row r="259" spans="1:25" ht="18" customHeight="1" x14ac:dyDescent="0.2">
      <c r="A259" s="337"/>
      <c r="B259" s="337"/>
      <c r="C259" s="689"/>
      <c r="D259" s="690"/>
      <c r="E259" s="690"/>
      <c r="F259" s="690"/>
      <c r="G259" s="690"/>
      <c r="H259" s="690"/>
      <c r="I259" s="690"/>
      <c r="J259" s="690"/>
      <c r="K259" s="690"/>
      <c r="L259" s="690"/>
      <c r="M259" s="690"/>
      <c r="N259" s="690"/>
      <c r="O259" s="690"/>
      <c r="P259" s="690"/>
      <c r="Q259" s="690"/>
      <c r="R259" s="690"/>
      <c r="S259" s="690"/>
      <c r="T259" s="690"/>
      <c r="U259" s="690"/>
      <c r="V259" s="690"/>
      <c r="W259" s="690"/>
      <c r="X259" s="690"/>
      <c r="Y259" s="691"/>
    </row>
    <row r="260" spans="1:25" ht="18" customHeight="1" x14ac:dyDescent="0.2">
      <c r="A260" s="337"/>
      <c r="B260" s="337"/>
      <c r="C260" s="689"/>
      <c r="D260" s="690"/>
      <c r="E260" s="690"/>
      <c r="F260" s="690"/>
      <c r="G260" s="690"/>
      <c r="H260" s="690"/>
      <c r="I260" s="690"/>
      <c r="J260" s="690"/>
      <c r="K260" s="690"/>
      <c r="L260" s="690"/>
      <c r="M260" s="690"/>
      <c r="N260" s="690"/>
      <c r="O260" s="690"/>
      <c r="P260" s="690"/>
      <c r="Q260" s="690"/>
      <c r="R260" s="690"/>
      <c r="S260" s="690"/>
      <c r="T260" s="690"/>
      <c r="U260" s="690"/>
      <c r="V260" s="690"/>
      <c r="W260" s="690"/>
      <c r="X260" s="690"/>
      <c r="Y260" s="691"/>
    </row>
    <row r="261" spans="1:25" ht="18" customHeight="1" x14ac:dyDescent="0.2">
      <c r="A261" s="337"/>
      <c r="B261" s="337"/>
      <c r="C261" s="689"/>
      <c r="D261" s="690"/>
      <c r="E261" s="690"/>
      <c r="F261" s="690"/>
      <c r="G261" s="690"/>
      <c r="H261" s="690"/>
      <c r="I261" s="690"/>
      <c r="J261" s="690"/>
      <c r="K261" s="690"/>
      <c r="L261" s="690"/>
      <c r="M261" s="690"/>
      <c r="N261" s="690"/>
      <c r="O261" s="690"/>
      <c r="P261" s="690"/>
      <c r="Q261" s="690"/>
      <c r="R261" s="690"/>
      <c r="S261" s="690"/>
      <c r="T261" s="690"/>
      <c r="U261" s="690"/>
      <c r="V261" s="690"/>
      <c r="W261" s="690"/>
      <c r="X261" s="690"/>
      <c r="Y261" s="691"/>
    </row>
    <row r="262" spans="1:25" ht="18" customHeight="1" x14ac:dyDescent="0.2">
      <c r="A262" s="337"/>
      <c r="B262" s="337"/>
      <c r="C262" s="689"/>
      <c r="D262" s="690"/>
      <c r="E262" s="690"/>
      <c r="F262" s="690"/>
      <c r="G262" s="690"/>
      <c r="H262" s="690"/>
      <c r="I262" s="690"/>
      <c r="J262" s="690"/>
      <c r="K262" s="690"/>
      <c r="L262" s="690"/>
      <c r="M262" s="690"/>
      <c r="N262" s="690"/>
      <c r="O262" s="690"/>
      <c r="P262" s="690"/>
      <c r="Q262" s="690"/>
      <c r="R262" s="690"/>
      <c r="S262" s="690"/>
      <c r="T262" s="690"/>
      <c r="U262" s="690"/>
      <c r="V262" s="690"/>
      <c r="W262" s="690"/>
      <c r="X262" s="690"/>
      <c r="Y262" s="691"/>
    </row>
    <row r="263" spans="1:25" ht="18" customHeight="1" x14ac:dyDescent="0.2">
      <c r="A263" s="337"/>
      <c r="B263" s="337"/>
      <c r="C263" s="689"/>
      <c r="D263" s="690"/>
      <c r="E263" s="690"/>
      <c r="F263" s="690"/>
      <c r="G263" s="690"/>
      <c r="H263" s="690"/>
      <c r="I263" s="690"/>
      <c r="J263" s="690"/>
      <c r="K263" s="690"/>
      <c r="L263" s="690"/>
      <c r="M263" s="690"/>
      <c r="N263" s="690"/>
      <c r="O263" s="690"/>
      <c r="P263" s="690"/>
      <c r="Q263" s="690"/>
      <c r="R263" s="690"/>
      <c r="S263" s="690"/>
      <c r="T263" s="690"/>
      <c r="U263" s="690"/>
      <c r="V263" s="690"/>
      <c r="W263" s="690"/>
      <c r="X263" s="690"/>
      <c r="Y263" s="691"/>
    </row>
    <row r="264" spans="1:25" ht="18" customHeight="1" x14ac:dyDescent="0.2">
      <c r="A264" s="337"/>
      <c r="B264" s="337"/>
      <c r="C264" s="689"/>
      <c r="D264" s="690"/>
      <c r="E264" s="690"/>
      <c r="F264" s="690"/>
      <c r="G264" s="690"/>
      <c r="H264" s="690"/>
      <c r="I264" s="690"/>
      <c r="J264" s="690"/>
      <c r="K264" s="690"/>
      <c r="L264" s="690"/>
      <c r="M264" s="690"/>
      <c r="N264" s="690"/>
      <c r="O264" s="690"/>
      <c r="P264" s="690"/>
      <c r="Q264" s="690"/>
      <c r="R264" s="690"/>
      <c r="S264" s="690"/>
      <c r="T264" s="690"/>
      <c r="U264" s="690"/>
      <c r="V264" s="690"/>
      <c r="W264" s="690"/>
      <c r="X264" s="690"/>
      <c r="Y264" s="691"/>
    </row>
    <row r="265" spans="1:25" ht="18" customHeight="1" x14ac:dyDescent="0.2">
      <c r="A265" s="337"/>
      <c r="B265" s="337"/>
      <c r="C265" s="689"/>
      <c r="D265" s="690"/>
      <c r="E265" s="690"/>
      <c r="F265" s="690"/>
      <c r="G265" s="690"/>
      <c r="H265" s="690"/>
      <c r="I265" s="690"/>
      <c r="J265" s="690"/>
      <c r="K265" s="690"/>
      <c r="L265" s="690"/>
      <c r="M265" s="690"/>
      <c r="N265" s="690"/>
      <c r="O265" s="690"/>
      <c r="P265" s="690"/>
      <c r="Q265" s="690"/>
      <c r="R265" s="690"/>
      <c r="S265" s="690"/>
      <c r="T265" s="690"/>
      <c r="U265" s="690"/>
      <c r="V265" s="690"/>
      <c r="W265" s="690"/>
      <c r="X265" s="690"/>
      <c r="Y265" s="691"/>
    </row>
    <row r="266" spans="1:25" ht="18" customHeight="1" x14ac:dyDescent="0.2">
      <c r="A266" s="337"/>
      <c r="B266" s="337"/>
      <c r="C266" s="689"/>
      <c r="D266" s="690"/>
      <c r="E266" s="690"/>
      <c r="F266" s="690"/>
      <c r="G266" s="690"/>
      <c r="H266" s="690"/>
      <c r="I266" s="690"/>
      <c r="J266" s="690"/>
      <c r="K266" s="690"/>
      <c r="L266" s="690"/>
      <c r="M266" s="690"/>
      <c r="N266" s="690"/>
      <c r="O266" s="690"/>
      <c r="P266" s="690"/>
      <c r="Q266" s="690"/>
      <c r="R266" s="690"/>
      <c r="S266" s="690"/>
      <c r="T266" s="690"/>
      <c r="U266" s="690"/>
      <c r="V266" s="690"/>
      <c r="W266" s="690"/>
      <c r="X266" s="690"/>
      <c r="Y266" s="691"/>
    </row>
    <row r="267" spans="1:25" ht="18" customHeight="1" x14ac:dyDescent="0.2">
      <c r="A267" s="337"/>
      <c r="B267" s="337"/>
      <c r="C267" s="689"/>
      <c r="D267" s="690"/>
      <c r="E267" s="690"/>
      <c r="F267" s="690"/>
      <c r="G267" s="690"/>
      <c r="H267" s="690"/>
      <c r="I267" s="690"/>
      <c r="J267" s="690"/>
      <c r="K267" s="690"/>
      <c r="L267" s="690"/>
      <c r="M267" s="690"/>
      <c r="N267" s="690"/>
      <c r="O267" s="690"/>
      <c r="P267" s="690"/>
      <c r="Q267" s="690"/>
      <c r="R267" s="690"/>
      <c r="S267" s="690"/>
      <c r="T267" s="690"/>
      <c r="U267" s="690"/>
      <c r="V267" s="690"/>
      <c r="W267" s="690"/>
      <c r="X267" s="690"/>
      <c r="Y267" s="691"/>
    </row>
    <row r="268" spans="1:25" ht="18" customHeight="1" x14ac:dyDescent="0.2">
      <c r="A268" s="337"/>
      <c r="B268" s="337"/>
      <c r="C268" s="689"/>
      <c r="D268" s="690"/>
      <c r="E268" s="690"/>
      <c r="F268" s="690"/>
      <c r="G268" s="690"/>
      <c r="H268" s="690"/>
      <c r="I268" s="690"/>
      <c r="J268" s="690"/>
      <c r="K268" s="690"/>
      <c r="L268" s="690"/>
      <c r="M268" s="690"/>
      <c r="N268" s="690"/>
      <c r="O268" s="690"/>
      <c r="P268" s="690"/>
      <c r="Q268" s="690"/>
      <c r="R268" s="690"/>
      <c r="S268" s="690"/>
      <c r="T268" s="690"/>
      <c r="U268" s="690"/>
      <c r="V268" s="690"/>
      <c r="W268" s="690"/>
      <c r="X268" s="690"/>
      <c r="Y268" s="691"/>
    </row>
    <row r="269" spans="1:25" ht="18" customHeight="1" x14ac:dyDescent="0.2">
      <c r="A269" s="337"/>
      <c r="B269" s="337"/>
      <c r="C269" s="689"/>
      <c r="D269" s="690"/>
      <c r="E269" s="690"/>
      <c r="F269" s="690"/>
      <c r="G269" s="690"/>
      <c r="H269" s="690"/>
      <c r="I269" s="690"/>
      <c r="J269" s="690"/>
      <c r="K269" s="690"/>
      <c r="L269" s="690"/>
      <c r="M269" s="690"/>
      <c r="N269" s="690"/>
      <c r="O269" s="690"/>
      <c r="P269" s="690"/>
      <c r="Q269" s="690"/>
      <c r="R269" s="690"/>
      <c r="S269" s="690"/>
      <c r="T269" s="690"/>
      <c r="U269" s="690"/>
      <c r="V269" s="690"/>
      <c r="W269" s="690"/>
      <c r="X269" s="690"/>
      <c r="Y269" s="691"/>
    </row>
    <row r="270" spans="1:25" ht="18" customHeight="1" x14ac:dyDescent="0.2">
      <c r="A270" s="337"/>
      <c r="B270" s="337"/>
      <c r="C270" s="689"/>
      <c r="D270" s="690"/>
      <c r="E270" s="690"/>
      <c r="F270" s="690"/>
      <c r="G270" s="690"/>
      <c r="H270" s="690"/>
      <c r="I270" s="690"/>
      <c r="J270" s="690"/>
      <c r="K270" s="690"/>
      <c r="L270" s="690"/>
      <c r="M270" s="690"/>
      <c r="N270" s="690"/>
      <c r="O270" s="690"/>
      <c r="P270" s="690"/>
      <c r="Q270" s="690"/>
      <c r="R270" s="690"/>
      <c r="S270" s="690"/>
      <c r="T270" s="690"/>
      <c r="U270" s="690"/>
      <c r="V270" s="690"/>
      <c r="W270" s="690"/>
      <c r="X270" s="690"/>
      <c r="Y270" s="691"/>
    </row>
    <row r="271" spans="1:25" ht="18" customHeight="1" x14ac:dyDescent="0.2">
      <c r="A271" s="337"/>
      <c r="B271" s="337"/>
      <c r="C271" s="689"/>
      <c r="D271" s="690"/>
      <c r="E271" s="690"/>
      <c r="F271" s="690"/>
      <c r="G271" s="690"/>
      <c r="H271" s="690"/>
      <c r="I271" s="690"/>
      <c r="J271" s="690"/>
      <c r="K271" s="690"/>
      <c r="L271" s="690"/>
      <c r="M271" s="690"/>
      <c r="N271" s="690"/>
      <c r="O271" s="690"/>
      <c r="P271" s="690"/>
      <c r="Q271" s="690"/>
      <c r="R271" s="690"/>
      <c r="S271" s="690"/>
      <c r="T271" s="690"/>
      <c r="U271" s="690"/>
      <c r="V271" s="690"/>
      <c r="W271" s="690"/>
      <c r="X271" s="690"/>
      <c r="Y271" s="691"/>
    </row>
    <row r="272" spans="1:25" ht="18" customHeight="1" x14ac:dyDescent="0.2">
      <c r="A272" s="337"/>
      <c r="B272" s="337"/>
      <c r="C272" s="689"/>
      <c r="D272" s="690"/>
      <c r="E272" s="690"/>
      <c r="F272" s="690"/>
      <c r="G272" s="690"/>
      <c r="H272" s="690"/>
      <c r="I272" s="690"/>
      <c r="J272" s="690"/>
      <c r="K272" s="690"/>
      <c r="L272" s="690"/>
      <c r="M272" s="690"/>
      <c r="N272" s="690"/>
      <c r="O272" s="690"/>
      <c r="P272" s="690"/>
      <c r="Q272" s="690"/>
      <c r="R272" s="690"/>
      <c r="S272" s="690"/>
      <c r="T272" s="690"/>
      <c r="U272" s="690"/>
      <c r="V272" s="690"/>
      <c r="W272" s="690"/>
      <c r="X272" s="690"/>
      <c r="Y272" s="691"/>
    </row>
    <row r="273" spans="1:25" ht="18" customHeight="1" x14ac:dyDescent="0.2">
      <c r="A273" s="337"/>
      <c r="B273" s="337"/>
      <c r="C273" s="689"/>
      <c r="D273" s="690"/>
      <c r="E273" s="690"/>
      <c r="F273" s="690"/>
      <c r="G273" s="690"/>
      <c r="H273" s="690"/>
      <c r="I273" s="690"/>
      <c r="J273" s="690"/>
      <c r="K273" s="690"/>
      <c r="L273" s="690"/>
      <c r="M273" s="690"/>
      <c r="N273" s="690"/>
      <c r="O273" s="690"/>
      <c r="P273" s="690"/>
      <c r="Q273" s="690"/>
      <c r="R273" s="690"/>
      <c r="S273" s="690"/>
      <c r="T273" s="690"/>
      <c r="U273" s="690"/>
      <c r="V273" s="690"/>
      <c r="W273" s="690"/>
      <c r="X273" s="690"/>
      <c r="Y273" s="691"/>
    </row>
    <row r="274" spans="1:25" ht="18" customHeight="1" x14ac:dyDescent="0.2">
      <c r="A274" s="337"/>
      <c r="B274" s="337"/>
      <c r="C274" s="689"/>
      <c r="D274" s="690"/>
      <c r="E274" s="690"/>
      <c r="F274" s="690"/>
      <c r="G274" s="690"/>
      <c r="H274" s="690"/>
      <c r="I274" s="690"/>
      <c r="J274" s="690"/>
      <c r="K274" s="690"/>
      <c r="L274" s="690"/>
      <c r="M274" s="690"/>
      <c r="N274" s="690"/>
      <c r="O274" s="690"/>
      <c r="P274" s="690"/>
      <c r="Q274" s="690"/>
      <c r="R274" s="690"/>
      <c r="S274" s="690"/>
      <c r="T274" s="690"/>
      <c r="U274" s="690"/>
      <c r="V274" s="690"/>
      <c r="W274" s="690"/>
      <c r="X274" s="690"/>
      <c r="Y274" s="691"/>
    </row>
    <row r="275" spans="1:25" ht="18" customHeight="1" x14ac:dyDescent="0.2">
      <c r="A275" s="337"/>
      <c r="B275" s="337"/>
      <c r="C275" s="689"/>
      <c r="D275" s="690"/>
      <c r="E275" s="690"/>
      <c r="F275" s="690"/>
      <c r="G275" s="690"/>
      <c r="H275" s="690"/>
      <c r="I275" s="690"/>
      <c r="J275" s="690"/>
      <c r="K275" s="690"/>
      <c r="L275" s="690"/>
      <c r="M275" s="690"/>
      <c r="N275" s="690"/>
      <c r="O275" s="690"/>
      <c r="P275" s="690"/>
      <c r="Q275" s="690"/>
      <c r="R275" s="690"/>
      <c r="S275" s="690"/>
      <c r="T275" s="690"/>
      <c r="U275" s="690"/>
      <c r="V275" s="690"/>
      <c r="W275" s="690"/>
      <c r="X275" s="690"/>
      <c r="Y275" s="691"/>
    </row>
    <row r="276" spans="1:25" ht="18" customHeight="1" x14ac:dyDescent="0.2">
      <c r="A276" s="337"/>
      <c r="B276" s="337"/>
      <c r="C276" s="689"/>
      <c r="D276" s="690"/>
      <c r="E276" s="690"/>
      <c r="F276" s="690"/>
      <c r="G276" s="690"/>
      <c r="H276" s="690"/>
      <c r="I276" s="690"/>
      <c r="J276" s="690"/>
      <c r="K276" s="690"/>
      <c r="L276" s="690"/>
      <c r="M276" s="690"/>
      <c r="N276" s="690"/>
      <c r="O276" s="690"/>
      <c r="P276" s="690"/>
      <c r="Q276" s="690"/>
      <c r="R276" s="690"/>
      <c r="S276" s="690"/>
      <c r="T276" s="690"/>
      <c r="U276" s="690"/>
      <c r="V276" s="690"/>
      <c r="W276" s="690"/>
      <c r="X276" s="690"/>
      <c r="Y276" s="691"/>
    </row>
    <row r="277" spans="1:25" ht="18" customHeight="1" x14ac:dyDescent="0.2">
      <c r="A277" s="337"/>
      <c r="B277" s="337"/>
      <c r="C277" s="689"/>
      <c r="D277" s="690"/>
      <c r="E277" s="690"/>
      <c r="F277" s="690"/>
      <c r="G277" s="690"/>
      <c r="H277" s="690"/>
      <c r="I277" s="690"/>
      <c r="J277" s="690"/>
      <c r="K277" s="690"/>
      <c r="L277" s="690"/>
      <c r="M277" s="690"/>
      <c r="N277" s="690"/>
      <c r="O277" s="690"/>
      <c r="P277" s="690"/>
      <c r="Q277" s="690"/>
      <c r="R277" s="690"/>
      <c r="S277" s="690"/>
      <c r="T277" s="690"/>
      <c r="U277" s="690"/>
      <c r="V277" s="690"/>
      <c r="W277" s="690"/>
      <c r="X277" s="690"/>
      <c r="Y277" s="691"/>
    </row>
    <row r="278" spans="1:25" ht="18" customHeight="1" x14ac:dyDescent="0.2">
      <c r="A278" s="337"/>
      <c r="B278" s="337"/>
      <c r="C278" s="689"/>
      <c r="D278" s="690"/>
      <c r="E278" s="690"/>
      <c r="F278" s="690"/>
      <c r="G278" s="690"/>
      <c r="H278" s="690"/>
      <c r="I278" s="690"/>
      <c r="J278" s="690"/>
      <c r="K278" s="690"/>
      <c r="L278" s="690"/>
      <c r="M278" s="690"/>
      <c r="N278" s="690"/>
      <c r="O278" s="690"/>
      <c r="P278" s="690"/>
      <c r="Q278" s="690"/>
      <c r="R278" s="690"/>
      <c r="S278" s="690"/>
      <c r="T278" s="690"/>
      <c r="U278" s="690"/>
      <c r="V278" s="690"/>
      <c r="W278" s="690"/>
      <c r="X278" s="690"/>
      <c r="Y278" s="691"/>
    </row>
    <row r="279" spans="1:25" ht="18" customHeight="1" x14ac:dyDescent="0.2">
      <c r="A279" s="337"/>
      <c r="B279" s="337"/>
      <c r="C279" s="689"/>
      <c r="D279" s="690"/>
      <c r="E279" s="690"/>
      <c r="F279" s="690"/>
      <c r="G279" s="690"/>
      <c r="H279" s="690"/>
      <c r="I279" s="690"/>
      <c r="J279" s="690"/>
      <c r="K279" s="690"/>
      <c r="L279" s="690"/>
      <c r="M279" s="690"/>
      <c r="N279" s="690"/>
      <c r="O279" s="690"/>
      <c r="P279" s="690"/>
      <c r="Q279" s="690"/>
      <c r="R279" s="690"/>
      <c r="S279" s="690"/>
      <c r="T279" s="690"/>
      <c r="U279" s="690"/>
      <c r="V279" s="690"/>
      <c r="W279" s="690"/>
      <c r="X279" s="690"/>
      <c r="Y279" s="691"/>
    </row>
    <row r="280" spans="1:25" ht="18" customHeight="1" x14ac:dyDescent="0.2">
      <c r="A280" s="337"/>
      <c r="B280" s="337"/>
      <c r="C280" s="689"/>
      <c r="D280" s="690"/>
      <c r="E280" s="690"/>
      <c r="F280" s="690"/>
      <c r="G280" s="690"/>
      <c r="H280" s="690"/>
      <c r="I280" s="690"/>
      <c r="J280" s="690"/>
      <c r="K280" s="690"/>
      <c r="L280" s="690"/>
      <c r="M280" s="690"/>
      <c r="N280" s="690"/>
      <c r="O280" s="690"/>
      <c r="P280" s="690"/>
      <c r="Q280" s="690"/>
      <c r="R280" s="690"/>
      <c r="S280" s="690"/>
      <c r="T280" s="690"/>
      <c r="U280" s="690"/>
      <c r="V280" s="690"/>
      <c r="W280" s="690"/>
      <c r="X280" s="690"/>
      <c r="Y280" s="691"/>
    </row>
    <row r="281" spans="1:25" ht="18" customHeight="1" x14ac:dyDescent="0.2">
      <c r="A281" s="337"/>
      <c r="B281" s="337"/>
      <c r="C281" s="689"/>
      <c r="D281" s="690"/>
      <c r="E281" s="690"/>
      <c r="F281" s="690"/>
      <c r="G281" s="690"/>
      <c r="H281" s="690"/>
      <c r="I281" s="690"/>
      <c r="J281" s="690"/>
      <c r="K281" s="690"/>
      <c r="L281" s="690"/>
      <c r="M281" s="690"/>
      <c r="N281" s="690"/>
      <c r="O281" s="690"/>
      <c r="P281" s="690"/>
      <c r="Q281" s="690"/>
      <c r="R281" s="690"/>
      <c r="S281" s="690"/>
      <c r="T281" s="690"/>
      <c r="U281" s="690"/>
      <c r="V281" s="690"/>
      <c r="W281" s="690"/>
      <c r="X281" s="690"/>
      <c r="Y281" s="691"/>
    </row>
    <row r="282" spans="1:25" ht="18" customHeight="1" x14ac:dyDescent="0.2">
      <c r="A282" s="337"/>
      <c r="B282" s="337"/>
      <c r="C282" s="689"/>
      <c r="D282" s="690"/>
      <c r="E282" s="690"/>
      <c r="F282" s="690"/>
      <c r="G282" s="690"/>
      <c r="H282" s="690"/>
      <c r="I282" s="690"/>
      <c r="J282" s="690"/>
      <c r="K282" s="690"/>
      <c r="L282" s="690"/>
      <c r="M282" s="690"/>
      <c r="N282" s="690"/>
      <c r="O282" s="690"/>
      <c r="P282" s="690"/>
      <c r="Q282" s="690"/>
      <c r="R282" s="690"/>
      <c r="S282" s="690"/>
      <c r="T282" s="690"/>
      <c r="U282" s="690"/>
      <c r="V282" s="690"/>
      <c r="W282" s="690"/>
      <c r="X282" s="690"/>
      <c r="Y282" s="691"/>
    </row>
    <row r="283" spans="1:25" ht="18" customHeight="1" x14ac:dyDescent="0.2">
      <c r="A283" s="337"/>
      <c r="B283" s="337"/>
      <c r="C283" s="689"/>
      <c r="D283" s="690"/>
      <c r="E283" s="690"/>
      <c r="F283" s="690"/>
      <c r="G283" s="690"/>
      <c r="H283" s="690"/>
      <c r="I283" s="690"/>
      <c r="J283" s="690"/>
      <c r="K283" s="690"/>
      <c r="L283" s="690"/>
      <c r="M283" s="690"/>
      <c r="N283" s="690"/>
      <c r="O283" s="690"/>
      <c r="P283" s="690"/>
      <c r="Q283" s="690"/>
      <c r="R283" s="690"/>
      <c r="S283" s="690"/>
      <c r="T283" s="690"/>
      <c r="U283" s="690"/>
      <c r="V283" s="690"/>
      <c r="W283" s="690"/>
      <c r="X283" s="690"/>
      <c r="Y283" s="691"/>
    </row>
    <row r="284" spans="1:25" ht="18" customHeight="1" x14ac:dyDescent="0.2">
      <c r="A284" s="337"/>
      <c r="B284" s="337"/>
      <c r="C284" s="689"/>
      <c r="D284" s="690"/>
      <c r="E284" s="690"/>
      <c r="F284" s="690"/>
      <c r="G284" s="690"/>
      <c r="H284" s="690"/>
      <c r="I284" s="690"/>
      <c r="J284" s="690"/>
      <c r="K284" s="690"/>
      <c r="L284" s="690"/>
      <c r="M284" s="690"/>
      <c r="N284" s="690"/>
      <c r="O284" s="690"/>
      <c r="P284" s="690"/>
      <c r="Q284" s="690"/>
      <c r="R284" s="690"/>
      <c r="S284" s="690"/>
      <c r="T284" s="690"/>
      <c r="U284" s="690"/>
      <c r="V284" s="690"/>
      <c r="W284" s="690"/>
      <c r="X284" s="690"/>
      <c r="Y284" s="691"/>
    </row>
    <row r="285" spans="1:25" ht="18" customHeight="1" x14ac:dyDescent="0.2">
      <c r="A285" s="337"/>
      <c r="B285" s="337"/>
      <c r="C285" s="689"/>
      <c r="D285" s="690"/>
      <c r="E285" s="690"/>
      <c r="F285" s="690"/>
      <c r="G285" s="690"/>
      <c r="H285" s="690"/>
      <c r="I285" s="690"/>
      <c r="J285" s="690"/>
      <c r="K285" s="690"/>
      <c r="L285" s="690"/>
      <c r="M285" s="690"/>
      <c r="N285" s="690"/>
      <c r="O285" s="690"/>
      <c r="P285" s="690"/>
      <c r="Q285" s="690"/>
      <c r="R285" s="690"/>
      <c r="S285" s="690"/>
      <c r="T285" s="690"/>
      <c r="U285" s="690"/>
      <c r="V285" s="690"/>
      <c r="W285" s="690"/>
      <c r="X285" s="690"/>
      <c r="Y285" s="691"/>
    </row>
    <row r="286" spans="1:25" ht="18" customHeight="1" x14ac:dyDescent="0.2">
      <c r="A286" s="337"/>
      <c r="B286" s="337"/>
      <c r="C286" s="689"/>
      <c r="D286" s="690"/>
      <c r="E286" s="690"/>
      <c r="F286" s="690"/>
      <c r="G286" s="690"/>
      <c r="H286" s="690"/>
      <c r="I286" s="690"/>
      <c r="J286" s="690"/>
      <c r="K286" s="690"/>
      <c r="L286" s="690"/>
      <c r="M286" s="690"/>
      <c r="N286" s="690"/>
      <c r="O286" s="690"/>
      <c r="P286" s="690"/>
      <c r="Q286" s="690"/>
      <c r="R286" s="690"/>
      <c r="S286" s="690"/>
      <c r="T286" s="690"/>
      <c r="U286" s="690"/>
      <c r="V286" s="690"/>
      <c r="W286" s="690"/>
      <c r="X286" s="690"/>
      <c r="Y286" s="691"/>
    </row>
    <row r="287" spans="1:25" ht="18" customHeight="1" x14ac:dyDescent="0.2">
      <c r="A287" s="337"/>
      <c r="B287" s="337"/>
      <c r="C287" s="692"/>
      <c r="D287" s="693"/>
      <c r="E287" s="693"/>
      <c r="F287" s="693"/>
      <c r="G287" s="693"/>
      <c r="H287" s="693"/>
      <c r="I287" s="693"/>
      <c r="J287" s="693"/>
      <c r="K287" s="693"/>
      <c r="L287" s="693"/>
      <c r="M287" s="693"/>
      <c r="N287" s="693"/>
      <c r="O287" s="693"/>
      <c r="P287" s="693"/>
      <c r="Q287" s="693"/>
      <c r="R287" s="693"/>
      <c r="S287" s="693"/>
      <c r="T287" s="693"/>
      <c r="U287" s="693"/>
      <c r="V287" s="693"/>
      <c r="W287" s="693"/>
      <c r="X287" s="693"/>
      <c r="Y287" s="694"/>
    </row>
    <row r="288" spans="1:25" ht="18" customHeight="1" x14ac:dyDescent="0.2">
      <c r="A288" s="337"/>
      <c r="B288" s="337"/>
      <c r="C288" s="356"/>
      <c r="D288" s="373"/>
      <c r="E288" s="390"/>
      <c r="F288" s="357" t="s">
        <v>367</v>
      </c>
      <c r="G288" s="536"/>
      <c r="H288" s="538"/>
      <c r="I288" s="337"/>
      <c r="J288" s="337"/>
      <c r="K288" s="337"/>
      <c r="L288" s="337"/>
      <c r="M288" s="337"/>
      <c r="N288" s="337"/>
      <c r="O288" s="337"/>
    </row>
    <row r="289" spans="1:25" ht="18" customHeight="1" x14ac:dyDescent="0.2">
      <c r="A289" s="337"/>
      <c r="B289" s="337"/>
      <c r="C289" s="345"/>
      <c r="D289" s="391"/>
      <c r="E289" s="391"/>
      <c r="F289" s="391"/>
      <c r="G289" s="347"/>
      <c r="H289" s="347"/>
      <c r="O289" s="337"/>
    </row>
    <row r="290" spans="1:25" ht="18" customHeight="1" x14ac:dyDescent="0.2">
      <c r="A290" s="337"/>
      <c r="B290" s="337"/>
      <c r="C290" s="345"/>
      <c r="D290" s="391"/>
      <c r="E290" s="391"/>
      <c r="F290" s="391"/>
      <c r="G290" s="347"/>
      <c r="H290" s="347"/>
      <c r="O290" s="337"/>
    </row>
    <row r="291" spans="1:25" ht="18" customHeight="1" x14ac:dyDescent="0.2">
      <c r="A291" s="337"/>
      <c r="B291" s="337"/>
      <c r="C291" s="581" t="s">
        <v>293</v>
      </c>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row>
    <row r="292" spans="1:25" ht="18" customHeight="1" x14ac:dyDescent="0.2">
      <c r="A292" s="337"/>
      <c r="B292" s="337"/>
      <c r="C292" s="337"/>
      <c r="D292" s="337"/>
      <c r="E292" s="337"/>
      <c r="F292" s="337"/>
      <c r="G292" s="337"/>
      <c r="H292" s="337"/>
      <c r="I292" s="337"/>
      <c r="J292" s="337"/>
      <c r="K292" s="386"/>
      <c r="L292" s="386"/>
      <c r="M292" s="337"/>
      <c r="N292" s="386"/>
      <c r="O292" s="380"/>
      <c r="S292" s="353" t="s">
        <v>247</v>
      </c>
      <c r="T292" s="578"/>
      <c r="U292" s="578"/>
      <c r="V292" s="578"/>
      <c r="W292" s="578"/>
      <c r="X292" s="591" t="s">
        <v>111</v>
      </c>
      <c r="Y292" s="591"/>
    </row>
    <row r="293" spans="1:25" ht="18" customHeight="1" x14ac:dyDescent="0.2">
      <c r="A293" s="337"/>
      <c r="B293" s="337"/>
      <c r="C293" s="345"/>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row>
    <row r="294" spans="1:25" ht="18" customHeight="1" x14ac:dyDescent="0.2">
      <c r="A294" s="337"/>
      <c r="B294" s="337"/>
      <c r="C294" s="345"/>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row>
    <row r="295" spans="1:25" ht="18" customHeight="1" x14ac:dyDescent="0.2">
      <c r="A295" s="337"/>
      <c r="B295" s="337"/>
      <c r="C295" s="592" t="s">
        <v>294</v>
      </c>
      <c r="D295" s="592"/>
      <c r="E295" s="592"/>
      <c r="F295" s="592"/>
      <c r="G295" s="592"/>
      <c r="H295" s="592"/>
      <c r="I295" s="592"/>
      <c r="J295" s="592"/>
      <c r="K295" s="592"/>
      <c r="L295" s="592"/>
      <c r="M295" s="592"/>
      <c r="N295" s="592"/>
      <c r="O295" s="592"/>
      <c r="P295" s="592"/>
      <c r="Q295" s="592"/>
      <c r="R295" s="592"/>
      <c r="S295" s="592"/>
      <c r="T295" s="592"/>
      <c r="U295" s="592"/>
      <c r="V295" s="592"/>
      <c r="W295" s="592"/>
      <c r="X295" s="592"/>
      <c r="Y295" s="592"/>
    </row>
    <row r="296" spans="1:25" ht="18" customHeight="1" thickBot="1" x14ac:dyDescent="0.25">
      <c r="A296" s="337"/>
      <c r="B296" s="337"/>
      <c r="C296" s="337"/>
      <c r="D296" s="337"/>
      <c r="E296" s="337"/>
      <c r="F296" s="337"/>
      <c r="G296" s="337"/>
      <c r="H296" s="337"/>
      <c r="I296" s="337"/>
      <c r="J296" s="337"/>
      <c r="K296" s="368"/>
      <c r="L296" s="368"/>
      <c r="M296" s="368"/>
      <c r="N296" s="386"/>
      <c r="O296" s="380"/>
      <c r="S296" s="353" t="s">
        <v>248</v>
      </c>
      <c r="T296" s="590"/>
      <c r="U296" s="590"/>
      <c r="V296" s="590"/>
      <c r="W296" s="590"/>
      <c r="X296" s="591" t="s">
        <v>118</v>
      </c>
      <c r="Y296" s="591"/>
    </row>
    <row r="297" spans="1:25" ht="18" customHeight="1" thickBot="1" x14ac:dyDescent="0.25">
      <c r="A297" s="337"/>
      <c r="B297" s="337"/>
      <c r="C297" s="345"/>
      <c r="D297" s="391"/>
      <c r="E297" s="391"/>
      <c r="F297" s="391"/>
      <c r="G297" s="347"/>
      <c r="H297" s="347"/>
      <c r="O297" s="337"/>
      <c r="T297" s="392"/>
      <c r="U297" s="393"/>
      <c r="V297" s="393"/>
      <c r="W297" s="377" t="str">
        <f>CONCATENATE(IF($T$296&gt;100,"La proportion de la zone tampon occupée par un couvert végétal permanent ne peut pas être supérieure à 100%. ",""),IF(AND($T$292=0,$T$296&lt;&gt;""),"En l'absence de zone tampon, aucune valeur à octroyer en réponse à cette question.",""))</f>
        <v/>
      </c>
    </row>
    <row r="298" spans="1:25" ht="18" customHeight="1" x14ac:dyDescent="0.2">
      <c r="A298" s="337"/>
      <c r="B298" s="337"/>
      <c r="C298" s="345"/>
      <c r="D298" s="391"/>
      <c r="E298" s="391"/>
      <c r="F298" s="391"/>
      <c r="G298" s="347"/>
      <c r="H298" s="347"/>
      <c r="O298" s="337"/>
      <c r="T298" s="382"/>
      <c r="U298" s="382"/>
      <c r="V298" s="382"/>
      <c r="W298" s="378"/>
    </row>
    <row r="299" spans="1:25" ht="18" customHeight="1" x14ac:dyDescent="0.2">
      <c r="A299" s="337"/>
      <c r="B299" s="337"/>
      <c r="C299" s="345"/>
      <c r="D299" s="391"/>
      <c r="E299" s="391"/>
      <c r="F299" s="391"/>
      <c r="G299" s="347"/>
      <c r="H299" s="347"/>
      <c r="O299" s="337"/>
      <c r="T299" s="382"/>
      <c r="U299" s="382"/>
      <c r="V299" s="382"/>
      <c r="W299" s="378"/>
    </row>
    <row r="300" spans="1:25" ht="33.75" customHeight="1" x14ac:dyDescent="0.2">
      <c r="A300" s="337"/>
      <c r="B300" s="337"/>
      <c r="C300" s="341" t="s">
        <v>401</v>
      </c>
      <c r="D300" s="695" t="s">
        <v>49</v>
      </c>
      <c r="E300" s="696"/>
      <c r="F300" s="696"/>
      <c r="G300" s="696"/>
      <c r="H300" s="696"/>
      <c r="I300" s="696"/>
      <c r="J300" s="696"/>
      <c r="K300" s="696"/>
      <c r="L300" s="696"/>
      <c r="M300" s="696"/>
      <c r="N300" s="696"/>
      <c r="O300" s="696"/>
      <c r="P300" s="696"/>
      <c r="Q300" s="696"/>
      <c r="R300" s="696"/>
      <c r="S300" s="696"/>
      <c r="T300" s="696"/>
      <c r="U300" s="696"/>
      <c r="V300" s="696"/>
      <c r="W300" s="696"/>
      <c r="X300" s="696"/>
      <c r="Y300" s="697"/>
    </row>
    <row r="301" spans="1:25" s="347" customFormat="1" ht="18" customHeight="1" x14ac:dyDescent="0.2">
      <c r="A301" s="346"/>
      <c r="B301" s="34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row>
    <row r="302" spans="1:25" ht="18" customHeight="1" x14ac:dyDescent="0.2">
      <c r="A302" s="337"/>
      <c r="B302" s="337"/>
      <c r="C302" s="581" t="s">
        <v>295</v>
      </c>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row>
    <row r="303" spans="1:25" ht="18" customHeight="1" x14ac:dyDescent="0.2">
      <c r="A303" s="337"/>
      <c r="B303" s="337"/>
      <c r="C303" s="684" t="s">
        <v>249</v>
      </c>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row>
    <row r="304" spans="1:25" ht="18" customHeight="1" x14ac:dyDescent="0.2">
      <c r="A304" s="337"/>
      <c r="B304" s="337"/>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row>
    <row r="305" spans="1:25" ht="18" customHeight="1" x14ac:dyDescent="0.2">
      <c r="A305" s="337"/>
      <c r="B305" s="337"/>
      <c r="C305" s="686"/>
      <c r="D305" s="687"/>
      <c r="E305" s="687"/>
      <c r="F305" s="687"/>
      <c r="G305" s="687"/>
      <c r="H305" s="687"/>
      <c r="I305" s="687"/>
      <c r="J305" s="687"/>
      <c r="K305" s="687"/>
      <c r="L305" s="687"/>
      <c r="M305" s="687"/>
      <c r="N305" s="687"/>
      <c r="O305" s="687"/>
      <c r="P305" s="687"/>
      <c r="Q305" s="687"/>
      <c r="R305" s="687"/>
      <c r="S305" s="687"/>
      <c r="T305" s="687"/>
      <c r="U305" s="687"/>
      <c r="V305" s="687"/>
      <c r="W305" s="687"/>
      <c r="X305" s="687"/>
      <c r="Y305" s="688"/>
    </row>
    <row r="306" spans="1:25" ht="18" customHeight="1" x14ac:dyDescent="0.2">
      <c r="A306" s="337"/>
      <c r="B306" s="337"/>
      <c r="C306" s="689"/>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1"/>
    </row>
    <row r="307" spans="1:25" ht="18" customHeight="1" x14ac:dyDescent="0.2">
      <c r="A307" s="337"/>
      <c r="B307" s="337"/>
      <c r="C307" s="689"/>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1"/>
    </row>
    <row r="308" spans="1:25" ht="18" customHeight="1" x14ac:dyDescent="0.2">
      <c r="A308" s="337"/>
      <c r="B308" s="337"/>
      <c r="C308" s="689"/>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1"/>
    </row>
    <row r="309" spans="1:25" ht="18" customHeight="1" x14ac:dyDescent="0.2">
      <c r="A309" s="337"/>
      <c r="B309" s="337"/>
      <c r="C309" s="689"/>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1"/>
    </row>
    <row r="310" spans="1:25" ht="18" customHeight="1" x14ac:dyDescent="0.2">
      <c r="A310" s="337"/>
      <c r="B310" s="337"/>
      <c r="C310" s="689"/>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1"/>
    </row>
    <row r="311" spans="1:25" ht="18" customHeight="1" x14ac:dyDescent="0.2">
      <c r="A311" s="337"/>
      <c r="B311" s="337"/>
      <c r="C311" s="689"/>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1"/>
    </row>
    <row r="312" spans="1:25" ht="18" customHeight="1" x14ac:dyDescent="0.2">
      <c r="A312" s="337"/>
      <c r="B312" s="337"/>
      <c r="C312" s="689"/>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1"/>
    </row>
    <row r="313" spans="1:25" ht="18" customHeight="1" x14ac:dyDescent="0.2">
      <c r="A313" s="337"/>
      <c r="B313" s="337"/>
      <c r="C313" s="689"/>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1"/>
    </row>
    <row r="314" spans="1:25" ht="18" customHeight="1" x14ac:dyDescent="0.2">
      <c r="A314" s="337"/>
      <c r="B314" s="337"/>
      <c r="C314" s="689"/>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1"/>
    </row>
    <row r="315" spans="1:25" ht="18" customHeight="1" x14ac:dyDescent="0.2">
      <c r="A315" s="337"/>
      <c r="B315" s="337"/>
      <c r="C315" s="689"/>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1"/>
    </row>
    <row r="316" spans="1:25" ht="18" customHeight="1" x14ac:dyDescent="0.2">
      <c r="A316" s="337"/>
      <c r="B316" s="337"/>
      <c r="C316" s="689"/>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1"/>
    </row>
    <row r="317" spans="1:25" ht="18" customHeight="1" x14ac:dyDescent="0.2">
      <c r="A317" s="337"/>
      <c r="B317" s="337"/>
      <c r="C317" s="689"/>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1"/>
    </row>
    <row r="318" spans="1:25" ht="18" customHeight="1" x14ac:dyDescent="0.2">
      <c r="A318" s="337"/>
      <c r="B318" s="337"/>
      <c r="C318" s="689"/>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1"/>
    </row>
    <row r="319" spans="1:25" ht="18" customHeight="1" x14ac:dyDescent="0.2">
      <c r="A319" s="337"/>
      <c r="B319" s="337"/>
      <c r="C319" s="689"/>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1"/>
    </row>
    <row r="320" spans="1:25" ht="18" customHeight="1" x14ac:dyDescent="0.2">
      <c r="A320" s="337"/>
      <c r="B320" s="337"/>
      <c r="C320" s="689"/>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1"/>
    </row>
    <row r="321" spans="1:25" ht="18" customHeight="1" x14ac:dyDescent="0.2">
      <c r="A321" s="337"/>
      <c r="B321" s="337"/>
      <c r="C321" s="689"/>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1"/>
    </row>
    <row r="322" spans="1:25" ht="18" customHeight="1" x14ac:dyDescent="0.2">
      <c r="A322" s="337"/>
      <c r="B322" s="337"/>
      <c r="C322" s="689"/>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1"/>
    </row>
    <row r="323" spans="1:25" ht="18" customHeight="1" x14ac:dyDescent="0.2">
      <c r="A323" s="337"/>
      <c r="B323" s="337"/>
      <c r="C323" s="689"/>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1"/>
    </row>
    <row r="324" spans="1:25" ht="18" customHeight="1" x14ac:dyDescent="0.2">
      <c r="A324" s="337"/>
      <c r="B324" s="337"/>
      <c r="C324" s="689"/>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1"/>
    </row>
    <row r="325" spans="1:25" ht="18" customHeight="1" x14ac:dyDescent="0.2">
      <c r="A325" s="337"/>
      <c r="B325" s="337"/>
      <c r="C325" s="689"/>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1"/>
    </row>
    <row r="326" spans="1:25" ht="18" customHeight="1" x14ac:dyDescent="0.2">
      <c r="A326" s="337"/>
      <c r="B326" s="337"/>
      <c r="C326" s="689"/>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1"/>
    </row>
    <row r="327" spans="1:25" ht="18" customHeight="1" x14ac:dyDescent="0.2">
      <c r="A327" s="337"/>
      <c r="B327" s="337"/>
      <c r="C327" s="689"/>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1"/>
    </row>
    <row r="328" spans="1:25" ht="18" customHeight="1" x14ac:dyDescent="0.2">
      <c r="A328" s="337"/>
      <c r="B328" s="337"/>
      <c r="C328" s="689"/>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1"/>
    </row>
    <row r="329" spans="1:25" ht="18" customHeight="1" x14ac:dyDescent="0.2">
      <c r="A329" s="337"/>
      <c r="B329" s="337"/>
      <c r="C329" s="689"/>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1"/>
    </row>
    <row r="330" spans="1:25" ht="18" customHeight="1" x14ac:dyDescent="0.2">
      <c r="A330" s="337"/>
      <c r="B330" s="337"/>
      <c r="C330" s="689"/>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1"/>
    </row>
    <row r="331" spans="1:25" ht="18" customHeight="1" x14ac:dyDescent="0.2">
      <c r="A331" s="337"/>
      <c r="B331" s="337"/>
      <c r="C331" s="689"/>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1"/>
    </row>
    <row r="332" spans="1:25" ht="18" customHeight="1" x14ac:dyDescent="0.2">
      <c r="A332" s="337"/>
      <c r="B332" s="337"/>
      <c r="C332" s="689"/>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1"/>
    </row>
    <row r="333" spans="1:25" ht="18" customHeight="1" x14ac:dyDescent="0.2">
      <c r="A333" s="337"/>
      <c r="B333" s="337"/>
      <c r="C333" s="689"/>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1"/>
    </row>
    <row r="334" spans="1:25" ht="18" customHeight="1" x14ac:dyDescent="0.2">
      <c r="A334" s="337"/>
      <c r="B334" s="337"/>
      <c r="C334" s="689"/>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1"/>
    </row>
    <row r="335" spans="1:25" ht="18" customHeight="1" x14ac:dyDescent="0.2">
      <c r="A335" s="337"/>
      <c r="B335" s="337"/>
      <c r="C335" s="689"/>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1"/>
    </row>
    <row r="336" spans="1:25" ht="18" customHeight="1" x14ac:dyDescent="0.2">
      <c r="A336" s="337"/>
      <c r="B336" s="337"/>
      <c r="C336" s="689"/>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1"/>
    </row>
    <row r="337" spans="1:25" ht="18" customHeight="1" x14ac:dyDescent="0.2">
      <c r="A337" s="337"/>
      <c r="B337" s="337"/>
      <c r="C337" s="689"/>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1"/>
    </row>
    <row r="338" spans="1:25" ht="18" customHeight="1" x14ac:dyDescent="0.2">
      <c r="A338" s="337"/>
      <c r="B338" s="337"/>
      <c r="C338" s="689"/>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1"/>
    </row>
    <row r="339" spans="1:25" ht="18" customHeight="1" x14ac:dyDescent="0.2">
      <c r="A339" s="337"/>
      <c r="B339" s="337"/>
      <c r="C339" s="689"/>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1"/>
    </row>
    <row r="340" spans="1:25" ht="18" customHeight="1" x14ac:dyDescent="0.2">
      <c r="A340" s="337"/>
      <c r="B340" s="337"/>
      <c r="C340" s="689"/>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1"/>
    </row>
    <row r="341" spans="1:25" ht="18" customHeight="1" x14ac:dyDescent="0.2">
      <c r="A341" s="337"/>
      <c r="B341" s="337"/>
      <c r="C341" s="689"/>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1"/>
    </row>
    <row r="342" spans="1:25" ht="18" customHeight="1" x14ac:dyDescent="0.2">
      <c r="A342" s="337"/>
      <c r="B342" s="337"/>
      <c r="C342" s="689"/>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1"/>
    </row>
    <row r="343" spans="1:25" ht="18" customHeight="1" x14ac:dyDescent="0.2">
      <c r="A343" s="337"/>
      <c r="B343" s="337"/>
      <c r="C343" s="689"/>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1"/>
    </row>
    <row r="344" spans="1:25" ht="18" customHeight="1" x14ac:dyDescent="0.2">
      <c r="A344" s="337"/>
      <c r="B344" s="337"/>
      <c r="C344" s="689"/>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1"/>
    </row>
    <row r="345" spans="1:25" ht="18" customHeight="1" x14ac:dyDescent="0.2">
      <c r="A345" s="337"/>
      <c r="B345" s="337"/>
      <c r="C345" s="689"/>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1"/>
    </row>
    <row r="346" spans="1:25" ht="18" customHeight="1" x14ac:dyDescent="0.2">
      <c r="A346" s="337"/>
      <c r="B346" s="337"/>
      <c r="C346" s="689"/>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1"/>
    </row>
    <row r="347" spans="1:25" ht="18" customHeight="1" x14ac:dyDescent="0.2">
      <c r="A347" s="337"/>
      <c r="B347" s="337"/>
      <c r="C347" s="689"/>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1"/>
    </row>
    <row r="348" spans="1:25" ht="18" customHeight="1" x14ac:dyDescent="0.2">
      <c r="A348" s="337"/>
      <c r="B348" s="337"/>
      <c r="C348" s="689"/>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1"/>
    </row>
    <row r="349" spans="1:25" ht="18" customHeight="1" x14ac:dyDescent="0.2">
      <c r="A349" s="337"/>
      <c r="B349" s="337"/>
      <c r="C349" s="689"/>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1"/>
    </row>
    <row r="350" spans="1:25" ht="18" customHeight="1" x14ac:dyDescent="0.2">
      <c r="A350" s="337"/>
      <c r="B350" s="337"/>
      <c r="C350" s="689"/>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1"/>
    </row>
    <row r="351" spans="1:25" ht="18" customHeight="1" x14ac:dyDescent="0.2">
      <c r="A351" s="337"/>
      <c r="B351" s="337"/>
      <c r="C351" s="692"/>
      <c r="D351" s="693"/>
      <c r="E351" s="693"/>
      <c r="F351" s="693"/>
      <c r="G351" s="693"/>
      <c r="H351" s="693"/>
      <c r="I351" s="693"/>
      <c r="J351" s="693"/>
      <c r="K351" s="693"/>
      <c r="L351" s="693"/>
      <c r="M351" s="693"/>
      <c r="N351" s="693"/>
      <c r="O351" s="693"/>
      <c r="P351" s="693"/>
      <c r="Q351" s="693"/>
      <c r="R351" s="693"/>
      <c r="S351" s="693"/>
      <c r="T351" s="693"/>
      <c r="U351" s="693"/>
      <c r="V351" s="693"/>
      <c r="W351" s="693"/>
      <c r="X351" s="693"/>
      <c r="Y351" s="694"/>
    </row>
    <row r="352" spans="1:25" ht="18" customHeight="1" x14ac:dyDescent="0.2">
      <c r="A352" s="337"/>
      <c r="B352" s="337"/>
      <c r="C352" s="346"/>
      <c r="D352" s="373"/>
      <c r="E352" s="365"/>
      <c r="F352" s="362" t="s">
        <v>363</v>
      </c>
      <c r="G352" s="536"/>
      <c r="H352" s="538"/>
      <c r="I352" s="337"/>
      <c r="J352" s="337"/>
      <c r="K352" s="337"/>
      <c r="L352" s="337"/>
      <c r="M352" s="337"/>
      <c r="N352" s="337"/>
      <c r="O352" s="337"/>
    </row>
    <row r="353" spans="1:25" ht="18" customHeight="1" x14ac:dyDescent="0.2">
      <c r="A353" s="337"/>
      <c r="B353" s="337"/>
      <c r="C353" s="345"/>
      <c r="D353" s="337"/>
      <c r="E353" s="337"/>
      <c r="F353" s="337"/>
      <c r="G353" s="337"/>
      <c r="H353" s="337"/>
      <c r="I353" s="337"/>
      <c r="J353" s="337"/>
      <c r="K353" s="337"/>
      <c r="L353" s="337"/>
      <c r="M353" s="337"/>
      <c r="N353" s="337"/>
      <c r="O353" s="337"/>
    </row>
    <row r="354" spans="1:25" ht="18" customHeight="1" x14ac:dyDescent="0.2">
      <c r="A354" s="337"/>
      <c r="B354" s="337"/>
      <c r="C354" s="345"/>
      <c r="D354" s="337"/>
      <c r="E354" s="337"/>
      <c r="F354" s="337"/>
      <c r="G354" s="337"/>
      <c r="H354" s="337"/>
      <c r="I354" s="337"/>
      <c r="J354" s="337"/>
      <c r="K354" s="337"/>
      <c r="L354" s="337"/>
      <c r="M354" s="337"/>
      <c r="N354" s="337"/>
      <c r="O354" s="337"/>
    </row>
    <row r="355" spans="1:25" ht="18" customHeight="1" x14ac:dyDescent="0.2">
      <c r="A355" s="337"/>
      <c r="B355" s="337"/>
      <c r="C355" s="581" t="s">
        <v>296</v>
      </c>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row>
    <row r="356" spans="1:25" ht="18" customHeight="1" thickBot="1" x14ac:dyDescent="0.25">
      <c r="A356" s="337"/>
      <c r="B356" s="337"/>
      <c r="C356" s="337"/>
      <c r="D356" s="337"/>
      <c r="E356" s="337"/>
      <c r="F356" s="337"/>
      <c r="G356" s="337"/>
      <c r="H356" s="337"/>
      <c r="I356" s="337"/>
      <c r="J356" s="337"/>
      <c r="K356" s="337"/>
      <c r="L356" s="337"/>
      <c r="M356" s="394"/>
      <c r="N356" s="337"/>
      <c r="O356" s="337"/>
      <c r="P356" s="339"/>
      <c r="S356" s="353" t="s">
        <v>250</v>
      </c>
      <c r="T356" s="785"/>
      <c r="U356" s="785"/>
      <c r="V356" s="785"/>
      <c r="W356" s="785"/>
      <c r="X356" s="591" t="s">
        <v>111</v>
      </c>
      <c r="Y356" s="591"/>
    </row>
    <row r="357" spans="1:25" ht="18" customHeight="1" thickBot="1" x14ac:dyDescent="0.25">
      <c r="A357" s="337"/>
      <c r="B357" s="337"/>
      <c r="C357" s="345"/>
      <c r="D357" s="337"/>
      <c r="E357" s="337"/>
      <c r="F357" s="337"/>
      <c r="G357" s="337"/>
      <c r="H357" s="337"/>
      <c r="I357" s="337"/>
      <c r="J357" s="337"/>
      <c r="K357" s="337"/>
      <c r="L357" s="337"/>
      <c r="M357" s="337"/>
      <c r="N357" s="337"/>
      <c r="O357" s="337"/>
      <c r="T357" s="395"/>
      <c r="U357" s="396"/>
      <c r="V357" s="396"/>
      <c r="W357" s="397" t="str">
        <f>IF($T$356="","",IF($T$356&lt;$T$107,"La superficie du paysage ne peut pas être inférieure à la superficie du site.",""))</f>
        <v/>
      </c>
    </row>
    <row r="358" spans="1:25" ht="18" customHeight="1" x14ac:dyDescent="0.2">
      <c r="A358" s="337"/>
      <c r="B358" s="337"/>
      <c r="C358" s="345"/>
      <c r="D358" s="337"/>
      <c r="E358" s="337"/>
      <c r="F358" s="337"/>
      <c r="G358" s="337"/>
      <c r="H358" s="337"/>
      <c r="I358" s="337"/>
      <c r="J358" s="337"/>
      <c r="K358" s="337"/>
      <c r="L358" s="337"/>
      <c r="M358" s="337"/>
      <c r="N358" s="337"/>
      <c r="O358" s="337"/>
      <c r="T358" s="347"/>
      <c r="U358" s="347"/>
      <c r="V358" s="347"/>
      <c r="W358" s="398"/>
    </row>
    <row r="359" spans="1:25" ht="18" customHeight="1" x14ac:dyDescent="0.2">
      <c r="A359" s="337"/>
      <c r="B359" s="337"/>
      <c r="C359" s="581" t="s">
        <v>368</v>
      </c>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row>
    <row r="360" spans="1:25" ht="36" customHeight="1" x14ac:dyDescent="0.2">
      <c r="A360" s="337"/>
      <c r="B360" s="337"/>
      <c r="C360" s="698" t="s">
        <v>4</v>
      </c>
      <c r="D360" s="699"/>
      <c r="E360" s="699"/>
      <c r="F360" s="699"/>
      <c r="G360" s="699"/>
      <c r="H360" s="699"/>
      <c r="I360" s="699"/>
      <c r="J360" s="699"/>
      <c r="K360" s="699"/>
      <c r="L360" s="699"/>
      <c r="M360" s="699"/>
      <c r="N360" s="699"/>
      <c r="O360" s="699"/>
      <c r="P360" s="699"/>
      <c r="Q360" s="699"/>
      <c r="R360" s="699"/>
      <c r="S360" s="699"/>
      <c r="T360" s="700" t="s">
        <v>42</v>
      </c>
      <c r="U360" s="700"/>
      <c r="V360" s="700"/>
      <c r="W360" s="700"/>
      <c r="X360" s="700"/>
      <c r="Y360" s="700"/>
    </row>
    <row r="361" spans="1:25" ht="26.25" customHeight="1" x14ac:dyDescent="0.2">
      <c r="A361" s="337"/>
      <c r="B361" s="337"/>
      <c r="C361" s="399"/>
      <c r="D361" s="400" t="s">
        <v>55</v>
      </c>
      <c r="E361" s="677" t="s">
        <v>65</v>
      </c>
      <c r="F361" s="678"/>
      <c r="G361" s="678"/>
      <c r="H361" s="678"/>
      <c r="I361" s="678"/>
      <c r="J361" s="678"/>
      <c r="K361" s="678"/>
      <c r="L361" s="678"/>
      <c r="M361" s="678"/>
      <c r="N361" s="678"/>
      <c r="O361" s="678"/>
      <c r="P361" s="678"/>
      <c r="Q361" s="678"/>
      <c r="R361" s="678"/>
      <c r="S361" s="678"/>
      <c r="T361" s="679"/>
      <c r="U361" s="679"/>
      <c r="V361" s="679"/>
      <c r="W361" s="679"/>
      <c r="X361" s="634" t="s">
        <v>5</v>
      </c>
      <c r="Y361" s="635"/>
    </row>
    <row r="362" spans="1:25" ht="26.25" customHeight="1" x14ac:dyDescent="0.2">
      <c r="A362" s="337"/>
      <c r="B362" s="337"/>
      <c r="C362" s="401"/>
      <c r="D362" s="400" t="s">
        <v>56</v>
      </c>
      <c r="E362" s="677" t="s">
        <v>66</v>
      </c>
      <c r="F362" s="678"/>
      <c r="G362" s="678"/>
      <c r="H362" s="678"/>
      <c r="I362" s="678"/>
      <c r="J362" s="678"/>
      <c r="K362" s="678"/>
      <c r="L362" s="678"/>
      <c r="M362" s="678"/>
      <c r="N362" s="678"/>
      <c r="O362" s="678"/>
      <c r="P362" s="678"/>
      <c r="Q362" s="678"/>
      <c r="R362" s="678"/>
      <c r="S362" s="678"/>
      <c r="T362" s="679"/>
      <c r="U362" s="679"/>
      <c r="V362" s="679"/>
      <c r="W362" s="679"/>
      <c r="X362" s="634" t="s">
        <v>5</v>
      </c>
      <c r="Y362" s="635"/>
    </row>
    <row r="363" spans="1:25" ht="26.25" customHeight="1" x14ac:dyDescent="0.2">
      <c r="A363" s="337"/>
      <c r="B363" s="337"/>
      <c r="C363" s="402"/>
      <c r="D363" s="400" t="s">
        <v>57</v>
      </c>
      <c r="E363" s="677" t="s">
        <v>369</v>
      </c>
      <c r="F363" s="678"/>
      <c r="G363" s="678"/>
      <c r="H363" s="678"/>
      <c r="I363" s="678"/>
      <c r="J363" s="678"/>
      <c r="K363" s="678"/>
      <c r="L363" s="678"/>
      <c r="M363" s="678"/>
      <c r="N363" s="678"/>
      <c r="O363" s="678"/>
      <c r="P363" s="678"/>
      <c r="Q363" s="678"/>
      <c r="R363" s="678"/>
      <c r="S363" s="678"/>
      <c r="T363" s="679"/>
      <c r="U363" s="679"/>
      <c r="V363" s="679"/>
      <c r="W363" s="679"/>
      <c r="X363" s="634" t="s">
        <v>5</v>
      </c>
      <c r="Y363" s="635"/>
    </row>
    <row r="364" spans="1:25" ht="26.25" customHeight="1" x14ac:dyDescent="0.2">
      <c r="A364" s="337"/>
      <c r="B364" s="337"/>
      <c r="C364" s="403"/>
      <c r="D364" s="400" t="s">
        <v>58</v>
      </c>
      <c r="E364" s="677" t="s">
        <v>67</v>
      </c>
      <c r="F364" s="678"/>
      <c r="G364" s="678"/>
      <c r="H364" s="678"/>
      <c r="I364" s="678"/>
      <c r="J364" s="678"/>
      <c r="K364" s="678"/>
      <c r="L364" s="678"/>
      <c r="M364" s="678"/>
      <c r="N364" s="678"/>
      <c r="O364" s="678"/>
      <c r="P364" s="678"/>
      <c r="Q364" s="678"/>
      <c r="R364" s="678"/>
      <c r="S364" s="678"/>
      <c r="T364" s="679"/>
      <c r="U364" s="679"/>
      <c r="V364" s="679"/>
      <c r="W364" s="679"/>
      <c r="X364" s="634" t="s">
        <v>5</v>
      </c>
      <c r="Y364" s="635"/>
    </row>
    <row r="365" spans="1:25" ht="26.25" customHeight="1" x14ac:dyDescent="0.2">
      <c r="A365" s="337"/>
      <c r="B365" s="337"/>
      <c r="C365" s="404"/>
      <c r="D365" s="400" t="s">
        <v>59</v>
      </c>
      <c r="E365" s="677" t="s">
        <v>68</v>
      </c>
      <c r="F365" s="678"/>
      <c r="G365" s="678"/>
      <c r="H365" s="678"/>
      <c r="I365" s="678"/>
      <c r="J365" s="678"/>
      <c r="K365" s="678"/>
      <c r="L365" s="678"/>
      <c r="M365" s="678"/>
      <c r="N365" s="678"/>
      <c r="O365" s="678"/>
      <c r="P365" s="678"/>
      <c r="Q365" s="678"/>
      <c r="R365" s="678"/>
      <c r="S365" s="678"/>
      <c r="T365" s="679"/>
      <c r="U365" s="679"/>
      <c r="V365" s="679"/>
      <c r="W365" s="679"/>
      <c r="X365" s="634" t="s">
        <v>5</v>
      </c>
      <c r="Y365" s="635"/>
    </row>
    <row r="366" spans="1:25" ht="26.25" customHeight="1" x14ac:dyDescent="0.2">
      <c r="A366" s="337"/>
      <c r="B366" s="337"/>
      <c r="C366" s="405"/>
      <c r="D366" s="400" t="s">
        <v>60</v>
      </c>
      <c r="E366" s="677" t="s">
        <v>69</v>
      </c>
      <c r="F366" s="678"/>
      <c r="G366" s="678"/>
      <c r="H366" s="678"/>
      <c r="I366" s="678"/>
      <c r="J366" s="678"/>
      <c r="K366" s="678"/>
      <c r="L366" s="678"/>
      <c r="M366" s="678"/>
      <c r="N366" s="678"/>
      <c r="O366" s="678"/>
      <c r="P366" s="678"/>
      <c r="Q366" s="678"/>
      <c r="R366" s="678"/>
      <c r="S366" s="678"/>
      <c r="T366" s="679"/>
      <c r="U366" s="679"/>
      <c r="V366" s="679"/>
      <c r="W366" s="679"/>
      <c r="X366" s="634" t="s">
        <v>5</v>
      </c>
      <c r="Y366" s="635"/>
    </row>
    <row r="367" spans="1:25" ht="26.25" customHeight="1" x14ac:dyDescent="0.2">
      <c r="A367" s="337"/>
      <c r="B367" s="337"/>
      <c r="C367" s="406"/>
      <c r="D367" s="400" t="s">
        <v>61</v>
      </c>
      <c r="E367" s="677" t="s">
        <v>370</v>
      </c>
      <c r="F367" s="678"/>
      <c r="G367" s="678"/>
      <c r="H367" s="678"/>
      <c r="I367" s="678"/>
      <c r="J367" s="678"/>
      <c r="K367" s="678"/>
      <c r="L367" s="678"/>
      <c r="M367" s="678"/>
      <c r="N367" s="678"/>
      <c r="O367" s="678"/>
      <c r="P367" s="678"/>
      <c r="Q367" s="678"/>
      <c r="R367" s="678"/>
      <c r="S367" s="678"/>
      <c r="T367" s="679"/>
      <c r="U367" s="679"/>
      <c r="V367" s="679"/>
      <c r="W367" s="679"/>
      <c r="X367" s="634" t="s">
        <v>5</v>
      </c>
      <c r="Y367" s="635"/>
    </row>
    <row r="368" spans="1:25" ht="26.25" customHeight="1" x14ac:dyDescent="0.2">
      <c r="A368" s="337"/>
      <c r="B368" s="337"/>
      <c r="C368" s="407"/>
      <c r="D368" s="400" t="s">
        <v>62</v>
      </c>
      <c r="E368" s="677" t="s">
        <v>70</v>
      </c>
      <c r="F368" s="678"/>
      <c r="G368" s="678"/>
      <c r="H368" s="678"/>
      <c r="I368" s="678"/>
      <c r="J368" s="678"/>
      <c r="K368" s="678"/>
      <c r="L368" s="678"/>
      <c r="M368" s="678"/>
      <c r="N368" s="678"/>
      <c r="O368" s="678"/>
      <c r="P368" s="678"/>
      <c r="Q368" s="678"/>
      <c r="R368" s="678"/>
      <c r="S368" s="678"/>
      <c r="T368" s="679"/>
      <c r="U368" s="679"/>
      <c r="V368" s="679"/>
      <c r="W368" s="679"/>
      <c r="X368" s="634" t="s">
        <v>5</v>
      </c>
      <c r="Y368" s="635"/>
    </row>
    <row r="369" spans="1:25" ht="26.25" customHeight="1" x14ac:dyDescent="0.2">
      <c r="A369" s="337"/>
      <c r="B369" s="337"/>
      <c r="C369" s="408"/>
      <c r="D369" s="400" t="s">
        <v>63</v>
      </c>
      <c r="E369" s="677" t="s">
        <v>71</v>
      </c>
      <c r="F369" s="678"/>
      <c r="G369" s="678"/>
      <c r="H369" s="678"/>
      <c r="I369" s="678"/>
      <c r="J369" s="678"/>
      <c r="K369" s="678"/>
      <c r="L369" s="678"/>
      <c r="M369" s="678"/>
      <c r="N369" s="678"/>
      <c r="O369" s="678"/>
      <c r="P369" s="678"/>
      <c r="Q369" s="678"/>
      <c r="R369" s="678"/>
      <c r="S369" s="678"/>
      <c r="T369" s="679"/>
      <c r="U369" s="679"/>
      <c r="V369" s="679"/>
      <c r="W369" s="679"/>
      <c r="X369" s="634" t="s">
        <v>5</v>
      </c>
      <c r="Y369" s="635"/>
    </row>
    <row r="370" spans="1:25" ht="26.25" customHeight="1" x14ac:dyDescent="0.2">
      <c r="A370" s="337"/>
      <c r="B370" s="337"/>
      <c r="C370" s="409"/>
      <c r="D370" s="400" t="s">
        <v>64</v>
      </c>
      <c r="E370" s="677" t="s">
        <v>72</v>
      </c>
      <c r="F370" s="678"/>
      <c r="G370" s="678"/>
      <c r="H370" s="678"/>
      <c r="I370" s="678"/>
      <c r="J370" s="678"/>
      <c r="K370" s="678"/>
      <c r="L370" s="678"/>
      <c r="M370" s="678"/>
      <c r="N370" s="678"/>
      <c r="O370" s="678"/>
      <c r="P370" s="678"/>
      <c r="Q370" s="678"/>
      <c r="R370" s="678"/>
      <c r="S370" s="678"/>
      <c r="T370" s="679"/>
      <c r="U370" s="679"/>
      <c r="V370" s="679"/>
      <c r="W370" s="679"/>
      <c r="X370" s="634" t="s">
        <v>5</v>
      </c>
      <c r="Y370" s="635"/>
    </row>
    <row r="371" spans="1:25" ht="26.25" customHeight="1" thickBot="1" x14ac:dyDescent="0.25">
      <c r="A371" s="337"/>
      <c r="B371" s="337"/>
      <c r="C371" s="410"/>
      <c r="D371" s="680" t="s">
        <v>214</v>
      </c>
      <c r="E371" s="680"/>
      <c r="F371" s="680"/>
      <c r="G371" s="680"/>
      <c r="H371" s="680"/>
      <c r="I371" s="680"/>
      <c r="J371" s="680"/>
      <c r="K371" s="680"/>
      <c r="L371" s="680"/>
      <c r="M371" s="680"/>
      <c r="N371" s="680"/>
      <c r="O371" s="680"/>
      <c r="P371" s="680"/>
      <c r="Q371" s="680"/>
      <c r="R371" s="680"/>
      <c r="S371" s="680"/>
      <c r="T371" s="681">
        <f>SUM($T$361:$W$370)</f>
        <v>0</v>
      </c>
      <c r="U371" s="681"/>
      <c r="V371" s="681"/>
      <c r="W371" s="681"/>
      <c r="X371" s="682" t="s">
        <v>5</v>
      </c>
      <c r="Y371" s="683"/>
    </row>
    <row r="372" spans="1:25" ht="18" customHeight="1" thickBot="1" x14ac:dyDescent="0.25">
      <c r="A372" s="337"/>
      <c r="B372" s="337"/>
      <c r="C372" s="345"/>
      <c r="D372" s="337"/>
      <c r="E372" s="337"/>
      <c r="F372" s="337"/>
      <c r="G372" s="337"/>
      <c r="H372" s="337"/>
      <c r="I372" s="337"/>
      <c r="J372" s="337"/>
      <c r="K372" s="337"/>
      <c r="L372" s="337"/>
      <c r="M372" s="337"/>
      <c r="N372" s="337"/>
      <c r="O372" s="337"/>
      <c r="T372" s="395"/>
      <c r="U372" s="396"/>
      <c r="V372" s="396"/>
      <c r="W372" s="397" t="str">
        <f>IF(AND(SUM($T$361:$W$370)&lt;&gt;0,$T$371&lt;&gt;100),"La somme de la proportion des différents habitats dans le paysage doit être égale à 100. ","")</f>
        <v/>
      </c>
    </row>
    <row r="373" spans="1:25" ht="18" customHeight="1" x14ac:dyDescent="0.2">
      <c r="A373" s="337"/>
      <c r="B373" s="337"/>
      <c r="C373" s="345"/>
      <c r="D373" s="337"/>
      <c r="E373" s="337"/>
      <c r="F373" s="337"/>
      <c r="G373" s="337"/>
      <c r="H373" s="337"/>
      <c r="I373" s="337"/>
      <c r="J373" s="337"/>
      <c r="K373" s="337"/>
      <c r="L373" s="337"/>
      <c r="M373" s="337"/>
      <c r="N373" s="337"/>
      <c r="O373" s="337"/>
    </row>
    <row r="374" spans="1:25" ht="18" customHeight="1" x14ac:dyDescent="0.2">
      <c r="A374" s="337"/>
      <c r="B374" s="337"/>
      <c r="C374" s="345"/>
      <c r="D374" s="337"/>
      <c r="E374" s="337"/>
      <c r="F374" s="337"/>
      <c r="G374" s="337"/>
      <c r="H374" s="337"/>
      <c r="I374" s="337"/>
      <c r="J374" s="337"/>
      <c r="K374" s="337"/>
      <c r="L374" s="337"/>
      <c r="M374" s="337"/>
      <c r="N374" s="337"/>
      <c r="O374" s="337"/>
    </row>
    <row r="375" spans="1:25" ht="18" customHeight="1" x14ac:dyDescent="0.2">
      <c r="A375" s="337"/>
      <c r="B375" s="337"/>
      <c r="C375" s="581" t="s">
        <v>297</v>
      </c>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row>
    <row r="376" spans="1:25" ht="18" customHeight="1" x14ac:dyDescent="0.2">
      <c r="A376" s="337"/>
      <c r="B376" s="337"/>
      <c r="C376" s="675" t="s">
        <v>234</v>
      </c>
      <c r="D376" s="675"/>
      <c r="E376" s="675"/>
      <c r="F376" s="675"/>
      <c r="G376" s="675"/>
      <c r="H376" s="368"/>
      <c r="I376" s="353" t="s">
        <v>24</v>
      </c>
      <c r="J376" s="588"/>
      <c r="K376" s="588"/>
      <c r="P376" s="339"/>
      <c r="Q376" s="368"/>
      <c r="S376" s="353" t="s">
        <v>25</v>
      </c>
      <c r="T376" s="588"/>
      <c r="U376" s="588"/>
      <c r="V376" s="588"/>
      <c r="W376" s="588"/>
    </row>
    <row r="377" spans="1:25" ht="18" customHeight="1" x14ac:dyDescent="0.2">
      <c r="A377" s="337"/>
      <c r="B377" s="337"/>
      <c r="C377" s="676"/>
      <c r="D377" s="676"/>
      <c r="E377" s="676"/>
      <c r="F377" s="676"/>
      <c r="G377" s="676"/>
      <c r="H377" s="367"/>
      <c r="I377" s="369" t="s">
        <v>26</v>
      </c>
      <c r="J377" s="588"/>
      <c r="K377" s="588"/>
      <c r="P377" s="339"/>
      <c r="Q377" s="368"/>
      <c r="T377" s="347"/>
      <c r="U377" s="347"/>
      <c r="V377" s="347"/>
      <c r="W377" s="347"/>
    </row>
    <row r="378" spans="1:25" ht="18" customHeight="1" x14ac:dyDescent="0.2">
      <c r="A378" s="337"/>
      <c r="B378" s="337"/>
      <c r="C378" s="345"/>
      <c r="D378" s="337"/>
      <c r="E378" s="337"/>
      <c r="F378" s="337"/>
      <c r="G378" s="337"/>
      <c r="H378" s="337"/>
      <c r="I378" s="337"/>
      <c r="J378" s="337"/>
      <c r="K378" s="337"/>
      <c r="L378" s="337"/>
      <c r="M378" s="337"/>
      <c r="N378" s="337"/>
      <c r="O378" s="337"/>
    </row>
    <row r="379" spans="1:25" ht="18" customHeight="1" x14ac:dyDescent="0.2">
      <c r="A379" s="337"/>
      <c r="B379" s="337"/>
      <c r="C379" s="345"/>
      <c r="D379" s="337"/>
      <c r="E379" s="337"/>
      <c r="F379" s="337"/>
      <c r="G379" s="337"/>
      <c r="H379" s="337"/>
      <c r="I379" s="337"/>
      <c r="J379" s="337"/>
      <c r="K379" s="337"/>
      <c r="L379" s="337"/>
      <c r="M379" s="337"/>
      <c r="N379" s="337"/>
      <c r="O379" s="337"/>
    </row>
    <row r="380" spans="1:25" ht="18" customHeight="1" x14ac:dyDescent="0.2">
      <c r="A380" s="337"/>
      <c r="B380" s="337"/>
      <c r="C380" s="583" t="s">
        <v>371</v>
      </c>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row>
    <row r="381" spans="1:25" ht="18" customHeight="1" x14ac:dyDescent="0.2">
      <c r="A381" s="337"/>
      <c r="B381" s="337"/>
      <c r="C381" s="592"/>
      <c r="D381" s="592"/>
      <c r="E381" s="592"/>
      <c r="F381" s="592"/>
      <c r="G381" s="592"/>
      <c r="H381" s="592"/>
      <c r="I381" s="592"/>
      <c r="J381" s="592"/>
      <c r="K381" s="592"/>
      <c r="L381" s="592"/>
      <c r="M381" s="592"/>
      <c r="N381" s="592"/>
      <c r="O381" s="592"/>
      <c r="P381" s="592"/>
      <c r="Q381" s="592"/>
      <c r="R381" s="592"/>
      <c r="S381" s="592"/>
      <c r="T381" s="592"/>
      <c r="U381" s="592"/>
      <c r="V381" s="592"/>
      <c r="W381" s="592"/>
      <c r="X381" s="592"/>
      <c r="Y381" s="592"/>
    </row>
    <row r="382" spans="1:25" ht="18" customHeight="1" x14ac:dyDescent="0.2">
      <c r="A382" s="337"/>
      <c r="B382" s="337"/>
      <c r="C382" s="337"/>
      <c r="D382" s="337"/>
      <c r="E382" s="337"/>
      <c r="F382" s="337"/>
      <c r="G382" s="337"/>
      <c r="H382" s="337"/>
      <c r="I382" s="337"/>
      <c r="J382" s="337"/>
      <c r="K382" s="386"/>
      <c r="L382" s="337"/>
      <c r="M382" s="386"/>
      <c r="N382" s="386"/>
      <c r="O382" s="380"/>
      <c r="S382" s="353" t="s">
        <v>251</v>
      </c>
      <c r="T382" s="578"/>
      <c r="U382" s="578"/>
      <c r="V382" s="578"/>
      <c r="W382" s="578"/>
      <c r="X382" s="591" t="s">
        <v>111</v>
      </c>
      <c r="Y382" s="591"/>
    </row>
    <row r="383" spans="1:25" ht="18" customHeight="1" x14ac:dyDescent="0.2">
      <c r="A383" s="337"/>
      <c r="B383" s="337"/>
      <c r="C383" s="345"/>
      <c r="D383" s="337"/>
      <c r="E383" s="337"/>
      <c r="F383" s="337"/>
      <c r="G383" s="337"/>
      <c r="H383" s="337"/>
      <c r="I383" s="337"/>
      <c r="J383" s="337"/>
      <c r="K383" s="337"/>
      <c r="L383" s="337"/>
      <c r="M383" s="337"/>
      <c r="N383" s="337"/>
      <c r="O383" s="337"/>
    </row>
    <row r="384" spans="1:25" ht="18" customHeight="1" x14ac:dyDescent="0.2">
      <c r="A384" s="337"/>
      <c r="B384" s="337"/>
      <c r="C384" s="345"/>
      <c r="D384" s="337"/>
      <c r="E384" s="337"/>
      <c r="F384" s="337"/>
      <c r="G384" s="337"/>
      <c r="H384" s="337"/>
      <c r="I384" s="337"/>
      <c r="J384" s="337"/>
      <c r="K384" s="337"/>
      <c r="L384" s="337"/>
      <c r="M384" s="337"/>
      <c r="N384" s="337"/>
      <c r="O384" s="337"/>
    </row>
    <row r="385" spans="1:25" ht="18" customHeight="1" x14ac:dyDescent="0.2">
      <c r="A385" s="337"/>
      <c r="B385" s="337"/>
      <c r="C385" s="583" t="s">
        <v>372</v>
      </c>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row>
    <row r="386" spans="1:25" ht="18" customHeight="1" x14ac:dyDescent="0.2">
      <c r="A386" s="337"/>
      <c r="B386" s="337"/>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row>
    <row r="387" spans="1:25" ht="18" customHeight="1" x14ac:dyDescent="0.2">
      <c r="A387" s="337"/>
      <c r="B387" s="337"/>
      <c r="C387" s="337"/>
      <c r="D387" s="337"/>
      <c r="E387" s="337"/>
      <c r="F387" s="337"/>
      <c r="G387" s="337"/>
      <c r="H387" s="337"/>
      <c r="I387" s="337"/>
      <c r="J387" s="337"/>
      <c r="K387" s="337"/>
      <c r="L387" s="368"/>
      <c r="M387" s="368"/>
      <c r="N387" s="386"/>
      <c r="O387" s="380"/>
      <c r="S387" s="353" t="s">
        <v>252</v>
      </c>
      <c r="T387" s="578"/>
      <c r="U387" s="578"/>
      <c r="V387" s="578"/>
      <c r="W387" s="578"/>
      <c r="X387" s="591" t="s">
        <v>112</v>
      </c>
      <c r="Y387" s="591"/>
    </row>
    <row r="388" spans="1:25" ht="18" customHeight="1" x14ac:dyDescent="0.2">
      <c r="C388" s="345"/>
      <c r="I388" s="411"/>
      <c r="J388" s="411"/>
      <c r="K388" s="412"/>
      <c r="N388" s="413"/>
      <c r="O388" s="414"/>
    </row>
    <row r="389" spans="1:25" ht="18" customHeight="1" x14ac:dyDescent="0.2">
      <c r="C389" s="345"/>
      <c r="I389" s="411"/>
      <c r="J389" s="411"/>
      <c r="K389" s="412"/>
      <c r="N389" s="413"/>
      <c r="O389" s="414"/>
    </row>
    <row r="390" spans="1:25" ht="18" customHeight="1" x14ac:dyDescent="0.2">
      <c r="A390" s="337"/>
      <c r="B390" s="337"/>
      <c r="C390" s="583" t="s">
        <v>373</v>
      </c>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row>
    <row r="391" spans="1:25" ht="18" customHeight="1" x14ac:dyDescent="0.2">
      <c r="A391" s="337"/>
      <c r="B391" s="337"/>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row>
    <row r="392" spans="1:25" ht="18" customHeight="1" x14ac:dyDescent="0.2">
      <c r="A392" s="337"/>
      <c r="B392" s="337"/>
      <c r="C392" s="592"/>
      <c r="D392" s="592"/>
      <c r="E392" s="592"/>
      <c r="F392" s="592"/>
      <c r="G392" s="592"/>
      <c r="H392" s="592"/>
      <c r="I392" s="592"/>
      <c r="J392" s="592"/>
      <c r="K392" s="592"/>
      <c r="L392" s="592"/>
      <c r="M392" s="592"/>
      <c r="N392" s="592"/>
      <c r="O392" s="592"/>
      <c r="P392" s="592"/>
      <c r="Q392" s="592"/>
      <c r="R392" s="592"/>
      <c r="S392" s="592"/>
      <c r="T392" s="592"/>
      <c r="U392" s="592"/>
      <c r="V392" s="592"/>
      <c r="W392" s="592"/>
      <c r="X392" s="592"/>
      <c r="Y392" s="592"/>
    </row>
    <row r="393" spans="1:25" ht="18" customHeight="1" x14ac:dyDescent="0.2">
      <c r="A393" s="337"/>
      <c r="B393" s="337"/>
      <c r="C393" s="337"/>
      <c r="D393" s="337"/>
      <c r="E393" s="337"/>
      <c r="F393" s="337"/>
      <c r="G393" s="337"/>
      <c r="H393" s="337"/>
      <c r="I393" s="389"/>
      <c r="J393" s="337"/>
      <c r="K393" s="368"/>
      <c r="L393" s="368"/>
      <c r="M393" s="368"/>
      <c r="N393" s="386"/>
      <c r="O393" s="380"/>
      <c r="S393" s="353" t="s">
        <v>253</v>
      </c>
      <c r="T393" s="578"/>
      <c r="U393" s="578"/>
      <c r="V393" s="578"/>
      <c r="W393" s="578"/>
      <c r="X393" s="591" t="s">
        <v>111</v>
      </c>
      <c r="Y393" s="591"/>
    </row>
    <row r="394" spans="1:25" ht="18" customHeight="1" x14ac:dyDescent="0.2">
      <c r="A394" s="337"/>
      <c r="B394" s="337"/>
      <c r="C394" s="337"/>
      <c r="D394" s="415"/>
      <c r="E394" s="415"/>
      <c r="F394" s="337"/>
      <c r="G394" s="337"/>
      <c r="H394" s="337"/>
      <c r="I394" s="415"/>
      <c r="J394" s="416"/>
      <c r="K394" s="417"/>
      <c r="L394" s="417"/>
      <c r="M394" s="368"/>
      <c r="N394" s="386"/>
      <c r="O394" s="380"/>
      <c r="S394" s="353" t="s">
        <v>254</v>
      </c>
      <c r="T394" s="578"/>
      <c r="U394" s="578"/>
      <c r="V394" s="578"/>
      <c r="W394" s="578"/>
      <c r="X394" s="591" t="s">
        <v>112</v>
      </c>
      <c r="Y394" s="591"/>
    </row>
    <row r="395" spans="1:25" ht="18" customHeight="1" x14ac:dyDescent="0.2">
      <c r="A395" s="337"/>
      <c r="B395" s="337"/>
      <c r="C395" s="345"/>
      <c r="D395" s="337"/>
      <c r="E395" s="337"/>
      <c r="F395" s="337"/>
      <c r="G395" s="337"/>
      <c r="H395" s="337"/>
      <c r="I395" s="337"/>
      <c r="J395" s="337"/>
      <c r="K395" s="337"/>
      <c r="L395" s="337"/>
      <c r="M395" s="337"/>
      <c r="N395" s="337"/>
      <c r="O395" s="337"/>
    </row>
    <row r="396" spans="1:25" ht="18" customHeight="1" x14ac:dyDescent="0.2">
      <c r="A396" s="337"/>
      <c r="B396" s="337"/>
      <c r="C396" s="345"/>
      <c r="D396" s="337"/>
      <c r="E396" s="337"/>
      <c r="F396" s="337"/>
      <c r="G396" s="337"/>
      <c r="H396" s="337"/>
      <c r="I396" s="337"/>
      <c r="J396" s="337"/>
      <c r="K396" s="337"/>
      <c r="L396" s="337"/>
      <c r="M396" s="337"/>
      <c r="N396" s="337"/>
      <c r="O396" s="337"/>
    </row>
    <row r="397" spans="1:25" ht="18" customHeight="1" x14ac:dyDescent="0.2">
      <c r="A397" s="337"/>
      <c r="B397" s="337"/>
      <c r="C397" s="581" t="s">
        <v>298</v>
      </c>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row>
    <row r="398" spans="1:25" ht="18" customHeight="1" x14ac:dyDescent="0.2">
      <c r="A398" s="337"/>
      <c r="B398" s="337"/>
      <c r="C398" s="346"/>
      <c r="D398" s="346"/>
      <c r="E398" s="346"/>
      <c r="F398" s="346"/>
      <c r="G398" s="346"/>
      <c r="H398" s="362"/>
      <c r="I398" s="346"/>
      <c r="J398" s="346"/>
      <c r="K398" s="368"/>
      <c r="L398" s="368"/>
      <c r="M398" s="368"/>
      <c r="N398" s="374"/>
      <c r="O398" s="337"/>
      <c r="S398" s="362" t="s">
        <v>374</v>
      </c>
      <c r="T398" s="782"/>
      <c r="U398" s="782"/>
      <c r="V398" s="782"/>
      <c r="W398" s="782"/>
      <c r="X398" s="591" t="s">
        <v>112</v>
      </c>
      <c r="Y398" s="591"/>
    </row>
    <row r="399" spans="1:25" ht="18" customHeight="1" x14ac:dyDescent="0.2">
      <c r="A399" s="337"/>
      <c r="B399" s="337"/>
      <c r="C399" s="346"/>
      <c r="D399" s="346"/>
      <c r="E399" s="346"/>
      <c r="F399" s="346"/>
      <c r="G399" s="346"/>
      <c r="H399" s="362"/>
      <c r="I399" s="346"/>
      <c r="J399" s="346"/>
      <c r="K399" s="368"/>
      <c r="L399" s="368"/>
      <c r="M399" s="368"/>
      <c r="N399" s="386"/>
      <c r="O399" s="380"/>
      <c r="S399" s="362" t="s">
        <v>255</v>
      </c>
      <c r="T399" s="578"/>
      <c r="U399" s="578"/>
      <c r="V399" s="578"/>
      <c r="W399" s="578"/>
      <c r="X399" s="591" t="s">
        <v>112</v>
      </c>
      <c r="Y399" s="591"/>
    </row>
    <row r="400" spans="1:25" ht="18" customHeight="1" x14ac:dyDescent="0.2">
      <c r="A400" s="337"/>
      <c r="B400" s="337"/>
      <c r="C400" s="345"/>
      <c r="D400" s="337"/>
      <c r="E400" s="337"/>
      <c r="F400" s="337"/>
      <c r="G400" s="337"/>
      <c r="H400" s="337"/>
      <c r="I400" s="337"/>
      <c r="J400" s="337"/>
      <c r="K400" s="337"/>
      <c r="L400" s="337"/>
      <c r="M400" s="337"/>
      <c r="N400" s="337"/>
      <c r="O400" s="337"/>
    </row>
    <row r="401" spans="1:25" ht="18" customHeight="1" x14ac:dyDescent="0.2">
      <c r="A401" s="337"/>
      <c r="B401" s="337"/>
      <c r="C401" s="345"/>
      <c r="D401" s="337"/>
      <c r="E401" s="337"/>
      <c r="F401" s="337"/>
      <c r="G401" s="337"/>
      <c r="H401" s="337"/>
      <c r="I401" s="337"/>
      <c r="J401" s="337"/>
      <c r="K401" s="337"/>
      <c r="L401" s="337"/>
      <c r="M401" s="337"/>
      <c r="N401" s="337"/>
      <c r="O401" s="337"/>
    </row>
    <row r="402" spans="1:25" ht="18" customHeight="1" x14ac:dyDescent="0.2">
      <c r="A402" s="337"/>
      <c r="B402" s="337"/>
      <c r="C402" s="583" t="s">
        <v>299</v>
      </c>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row>
    <row r="403" spans="1:25" ht="18" customHeight="1" x14ac:dyDescent="0.2">
      <c r="A403" s="337"/>
      <c r="B403" s="337"/>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row>
    <row r="404" spans="1:25" ht="18" customHeight="1" x14ac:dyDescent="0.2">
      <c r="A404" s="337"/>
      <c r="B404" s="337"/>
      <c r="C404" s="354" t="s">
        <v>234</v>
      </c>
      <c r="D404" s="354"/>
      <c r="E404" s="337"/>
      <c r="H404" s="368"/>
      <c r="I404" s="353" t="s">
        <v>28</v>
      </c>
      <c r="J404" s="588"/>
      <c r="K404" s="588"/>
      <c r="P404" s="339"/>
      <c r="Q404" s="368"/>
      <c r="R404" s="368"/>
      <c r="S404" s="369" t="s">
        <v>29</v>
      </c>
      <c r="T404" s="588"/>
      <c r="U404" s="588"/>
      <c r="V404" s="588"/>
      <c r="W404" s="588"/>
    </row>
    <row r="405" spans="1:25" ht="18" customHeight="1" x14ac:dyDescent="0.2">
      <c r="A405" s="337"/>
      <c r="B405" s="337"/>
      <c r="C405" s="345"/>
      <c r="D405" s="337"/>
      <c r="E405" s="337"/>
      <c r="F405" s="337"/>
      <c r="G405" s="337"/>
      <c r="H405" s="337"/>
      <c r="I405" s="337"/>
      <c r="J405" s="337"/>
      <c r="K405" s="337"/>
      <c r="L405" s="337"/>
      <c r="M405" s="337"/>
      <c r="N405" s="337"/>
      <c r="O405" s="337"/>
    </row>
    <row r="406" spans="1:25" ht="18" customHeight="1" x14ac:dyDescent="0.2">
      <c r="A406" s="337"/>
      <c r="B406" s="337"/>
      <c r="C406" s="345"/>
      <c r="D406" s="337"/>
      <c r="E406" s="337"/>
      <c r="F406" s="337"/>
      <c r="G406" s="337"/>
      <c r="H406" s="337"/>
      <c r="I406" s="337"/>
      <c r="J406" s="337"/>
      <c r="K406" s="337"/>
      <c r="L406" s="337"/>
      <c r="M406" s="337"/>
      <c r="N406" s="337"/>
      <c r="O406" s="337"/>
    </row>
    <row r="407" spans="1:25" ht="18" customHeight="1" x14ac:dyDescent="0.2">
      <c r="A407" s="337"/>
      <c r="B407" s="337"/>
      <c r="C407" s="581" t="s">
        <v>300</v>
      </c>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row>
    <row r="408" spans="1:25" ht="18" customHeight="1" x14ac:dyDescent="0.2">
      <c r="A408" s="337"/>
      <c r="B408" s="337"/>
      <c r="C408" s="337"/>
      <c r="D408" s="337"/>
      <c r="E408" s="337"/>
      <c r="F408" s="337"/>
      <c r="G408" s="337"/>
      <c r="H408" s="337"/>
      <c r="I408" s="337"/>
      <c r="J408" s="337"/>
      <c r="K408" s="353"/>
      <c r="L408" s="368"/>
      <c r="M408" s="368"/>
      <c r="N408" s="386"/>
      <c r="O408" s="380"/>
      <c r="S408" s="353" t="s">
        <v>256</v>
      </c>
      <c r="T408" s="578"/>
      <c r="U408" s="578"/>
      <c r="V408" s="578"/>
      <c r="W408" s="578"/>
      <c r="X408" s="591" t="s">
        <v>112</v>
      </c>
      <c r="Y408" s="591"/>
    </row>
    <row r="409" spans="1:25" ht="18" customHeight="1" x14ac:dyDescent="0.2">
      <c r="A409" s="337"/>
      <c r="B409" s="337"/>
      <c r="C409" s="345"/>
      <c r="D409" s="337"/>
      <c r="E409" s="337"/>
      <c r="F409" s="337"/>
      <c r="G409" s="337"/>
      <c r="H409" s="337"/>
      <c r="I409" s="337"/>
      <c r="J409" s="337"/>
      <c r="K409" s="337"/>
      <c r="L409" s="337"/>
      <c r="M409" s="337"/>
      <c r="N409" s="337"/>
      <c r="O409" s="337"/>
    </row>
    <row r="410" spans="1:25" ht="18" customHeight="1" x14ac:dyDescent="0.2">
      <c r="A410" s="337"/>
      <c r="B410" s="337"/>
      <c r="C410" s="345"/>
      <c r="D410" s="337"/>
      <c r="E410" s="337"/>
      <c r="F410" s="337"/>
      <c r="G410" s="337"/>
      <c r="H410" s="337"/>
      <c r="I410" s="337"/>
      <c r="J410" s="337"/>
      <c r="K410" s="337"/>
      <c r="L410" s="337"/>
      <c r="M410" s="337"/>
      <c r="N410" s="337"/>
      <c r="O410" s="337"/>
    </row>
    <row r="411" spans="1:25" ht="18" customHeight="1" x14ac:dyDescent="0.2">
      <c r="A411" s="337"/>
      <c r="B411" s="337"/>
      <c r="C411" s="583" t="s">
        <v>301</v>
      </c>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row>
    <row r="412" spans="1:25" ht="18" customHeight="1" x14ac:dyDescent="0.2">
      <c r="A412" s="337"/>
      <c r="B412" s="337"/>
      <c r="C412" s="592"/>
      <c r="D412" s="592"/>
      <c r="E412" s="592"/>
      <c r="F412" s="592"/>
      <c r="G412" s="592"/>
      <c r="H412" s="592"/>
      <c r="I412" s="592"/>
      <c r="J412" s="592"/>
      <c r="K412" s="592"/>
      <c r="L412" s="592"/>
      <c r="M412" s="592"/>
      <c r="N412" s="592"/>
      <c r="O412" s="592"/>
      <c r="P412" s="592"/>
      <c r="Q412" s="592"/>
      <c r="R412" s="592"/>
      <c r="S412" s="592"/>
      <c r="T412" s="592"/>
      <c r="U412" s="592"/>
      <c r="V412" s="592"/>
      <c r="W412" s="592"/>
      <c r="X412" s="592"/>
      <c r="Y412" s="592"/>
    </row>
    <row r="413" spans="1:25" ht="18" customHeight="1" x14ac:dyDescent="0.2">
      <c r="A413" s="337"/>
      <c r="B413" s="337"/>
      <c r="C413" s="354" t="s">
        <v>234</v>
      </c>
      <c r="D413" s="354"/>
      <c r="E413" s="337"/>
      <c r="H413" s="368"/>
      <c r="I413" s="353" t="s">
        <v>28</v>
      </c>
      <c r="J413" s="588"/>
      <c r="K413" s="588"/>
      <c r="P413" s="339"/>
      <c r="Q413" s="368"/>
      <c r="R413" s="368"/>
      <c r="S413" s="369" t="s">
        <v>29</v>
      </c>
      <c r="T413" s="588"/>
      <c r="U413" s="588"/>
      <c r="V413" s="588"/>
      <c r="W413" s="588"/>
    </row>
    <row r="414" spans="1:25" ht="18" customHeight="1" x14ac:dyDescent="0.2">
      <c r="A414" s="337"/>
      <c r="B414" s="337"/>
      <c r="C414" s="345"/>
      <c r="D414" s="337"/>
      <c r="E414" s="337"/>
      <c r="F414" s="337"/>
      <c r="G414" s="337"/>
      <c r="H414" s="337"/>
      <c r="I414" s="337"/>
      <c r="J414" s="337"/>
      <c r="K414" s="337"/>
      <c r="L414" s="337"/>
      <c r="M414" s="337"/>
      <c r="N414" s="337"/>
      <c r="O414" s="337"/>
    </row>
    <row r="415" spans="1:25" ht="18" customHeight="1" x14ac:dyDescent="0.2">
      <c r="A415" s="337"/>
      <c r="B415" s="337"/>
      <c r="C415" s="345"/>
      <c r="D415" s="337"/>
      <c r="E415" s="337"/>
      <c r="F415" s="337"/>
      <c r="G415" s="337"/>
      <c r="H415" s="337"/>
      <c r="I415" s="337"/>
      <c r="J415" s="337"/>
      <c r="K415" s="337"/>
      <c r="L415" s="337"/>
      <c r="M415" s="337"/>
      <c r="N415" s="337"/>
      <c r="O415" s="337"/>
    </row>
    <row r="416" spans="1:25" ht="18" customHeight="1" x14ac:dyDescent="0.2">
      <c r="A416" s="337"/>
      <c r="B416" s="337"/>
      <c r="C416" s="583" t="s">
        <v>302</v>
      </c>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row>
    <row r="417" spans="1:25" ht="18" customHeight="1" x14ac:dyDescent="0.2">
      <c r="A417" s="337"/>
      <c r="B417" s="337"/>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row>
    <row r="418" spans="1:25" ht="18" customHeight="1" x14ac:dyDescent="0.2">
      <c r="A418" s="337"/>
      <c r="B418" s="337"/>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row>
    <row r="419" spans="1:25" ht="18" customHeight="1" x14ac:dyDescent="0.2">
      <c r="A419" s="337"/>
      <c r="B419" s="337"/>
      <c r="C419" s="669"/>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1"/>
    </row>
    <row r="420" spans="1:25" ht="18" customHeight="1" x14ac:dyDescent="0.2">
      <c r="A420" s="337"/>
      <c r="B420" s="337"/>
      <c r="C420" s="672"/>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4"/>
    </row>
    <row r="421" spans="1:25" ht="18" customHeight="1" x14ac:dyDescent="0.2">
      <c r="A421" s="337"/>
      <c r="B421" s="337"/>
      <c r="C421" s="337"/>
      <c r="D421" s="337"/>
      <c r="E421" s="337"/>
      <c r="F421" s="337"/>
      <c r="G421" s="337"/>
      <c r="H421" s="337"/>
      <c r="I421" s="337"/>
      <c r="J421" s="337"/>
      <c r="K421" s="337"/>
      <c r="L421" s="337"/>
      <c r="M421" s="337"/>
      <c r="N421" s="337"/>
      <c r="O421" s="337"/>
    </row>
    <row r="422" spans="1:25" ht="18" customHeight="1" x14ac:dyDescent="0.2">
      <c r="A422" s="337"/>
      <c r="B422" s="337"/>
      <c r="C422" s="337"/>
      <c r="D422" s="337"/>
      <c r="E422" s="337"/>
      <c r="F422" s="337"/>
      <c r="G422" s="337"/>
      <c r="H422" s="337"/>
      <c r="I422" s="337"/>
      <c r="J422" s="337"/>
      <c r="K422" s="337"/>
      <c r="L422" s="337"/>
      <c r="M422" s="337"/>
      <c r="N422" s="337"/>
      <c r="O422" s="337"/>
    </row>
    <row r="423" spans="1:25" ht="18" customHeight="1" x14ac:dyDescent="0.2">
      <c r="A423" s="337"/>
      <c r="B423" s="337"/>
      <c r="C423" s="581" t="s">
        <v>303</v>
      </c>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row>
    <row r="424" spans="1:25" ht="18" customHeight="1" x14ac:dyDescent="0.2">
      <c r="A424" s="337"/>
      <c r="B424" s="337"/>
      <c r="C424" s="337"/>
      <c r="D424" s="337"/>
      <c r="E424" s="337"/>
      <c r="F424" s="337"/>
      <c r="G424" s="337"/>
      <c r="H424" s="337"/>
      <c r="I424" s="337"/>
      <c r="J424" s="337"/>
      <c r="K424" s="337"/>
      <c r="L424" s="386"/>
      <c r="M424" s="386"/>
      <c r="N424" s="386"/>
      <c r="O424" s="380"/>
      <c r="S424" s="353" t="s">
        <v>257</v>
      </c>
      <c r="T424" s="578"/>
      <c r="U424" s="578"/>
      <c r="V424" s="578"/>
      <c r="W424" s="578"/>
      <c r="X424" s="591" t="s">
        <v>112</v>
      </c>
      <c r="Y424" s="591"/>
    </row>
    <row r="425" spans="1:25" ht="18" customHeight="1" x14ac:dyDescent="0.2">
      <c r="A425" s="337"/>
      <c r="B425" s="337"/>
      <c r="C425" s="345"/>
      <c r="D425" s="337"/>
      <c r="E425" s="337"/>
      <c r="F425" s="337"/>
      <c r="G425" s="337"/>
      <c r="H425" s="337"/>
      <c r="I425" s="337"/>
      <c r="J425" s="337"/>
      <c r="K425" s="337"/>
      <c r="L425" s="337"/>
      <c r="M425" s="337"/>
      <c r="N425" s="337"/>
      <c r="O425" s="337"/>
    </row>
    <row r="426" spans="1:25" ht="18" customHeight="1" x14ac:dyDescent="0.2">
      <c r="A426" s="337"/>
      <c r="B426" s="337"/>
      <c r="C426" s="345"/>
      <c r="D426" s="337"/>
      <c r="E426" s="337"/>
      <c r="F426" s="337"/>
      <c r="G426" s="337"/>
      <c r="H426" s="337"/>
      <c r="I426" s="337"/>
      <c r="J426" s="337"/>
      <c r="K426" s="337"/>
      <c r="L426" s="337"/>
      <c r="M426" s="337"/>
      <c r="N426" s="337"/>
      <c r="O426" s="337"/>
    </row>
    <row r="427" spans="1:25" ht="23.1" customHeight="1" x14ac:dyDescent="0.2">
      <c r="A427" s="337"/>
      <c r="B427" s="337"/>
      <c r="C427" s="583" t="s">
        <v>304</v>
      </c>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row>
    <row r="428" spans="1:25" ht="23.1" customHeight="1" x14ac:dyDescent="0.2">
      <c r="A428" s="337"/>
      <c r="B428" s="337"/>
      <c r="C428" s="592"/>
      <c r="D428" s="592"/>
      <c r="E428" s="592"/>
      <c r="F428" s="592"/>
      <c r="G428" s="592"/>
      <c r="H428" s="592"/>
      <c r="I428" s="592"/>
      <c r="J428" s="592"/>
      <c r="K428" s="592"/>
      <c r="L428" s="592"/>
      <c r="M428" s="592"/>
      <c r="N428" s="592"/>
      <c r="O428" s="592"/>
      <c r="P428" s="592"/>
      <c r="Q428" s="592"/>
      <c r="R428" s="592"/>
      <c r="S428" s="592"/>
      <c r="T428" s="592"/>
      <c r="U428" s="592"/>
      <c r="V428" s="592"/>
      <c r="W428" s="592"/>
      <c r="X428" s="592"/>
      <c r="Y428" s="592"/>
    </row>
    <row r="429" spans="1:25" ht="18" customHeight="1" x14ac:dyDescent="0.2">
      <c r="A429" s="337"/>
      <c r="B429" s="337"/>
      <c r="C429" s="354" t="s">
        <v>234</v>
      </c>
      <c r="D429" s="354"/>
      <c r="E429" s="337"/>
      <c r="H429" s="368"/>
      <c r="I429" s="353" t="s">
        <v>28</v>
      </c>
      <c r="J429" s="588"/>
      <c r="K429" s="588"/>
      <c r="P429" s="339"/>
      <c r="Q429" s="368"/>
      <c r="R429" s="368"/>
      <c r="S429" s="369" t="s">
        <v>29</v>
      </c>
      <c r="T429" s="588"/>
      <c r="U429" s="588"/>
      <c r="V429" s="588"/>
      <c r="W429" s="588"/>
    </row>
    <row r="430" spans="1:25" ht="18" customHeight="1" x14ac:dyDescent="0.2">
      <c r="A430" s="337"/>
      <c r="B430" s="337"/>
      <c r="C430" s="345"/>
      <c r="D430" s="337"/>
      <c r="E430" s="337"/>
      <c r="F430" s="337"/>
      <c r="G430" s="337"/>
      <c r="H430" s="337"/>
      <c r="I430" s="337"/>
      <c r="J430" s="337"/>
      <c r="K430" s="337"/>
      <c r="L430" s="337"/>
      <c r="M430" s="337"/>
      <c r="N430" s="337"/>
      <c r="O430" s="337"/>
    </row>
    <row r="431" spans="1:25" ht="18" customHeight="1" x14ac:dyDescent="0.2">
      <c r="A431" s="337"/>
      <c r="B431" s="337"/>
      <c r="C431" s="345"/>
      <c r="D431" s="337"/>
      <c r="E431" s="337"/>
      <c r="F431" s="337"/>
      <c r="G431" s="337"/>
      <c r="H431" s="337"/>
      <c r="I431" s="337"/>
      <c r="J431" s="337"/>
      <c r="K431" s="337"/>
      <c r="L431" s="337"/>
      <c r="M431" s="337"/>
      <c r="N431" s="337"/>
      <c r="O431" s="337"/>
    </row>
    <row r="432" spans="1:25" ht="18" customHeight="1" x14ac:dyDescent="0.2">
      <c r="A432" s="337"/>
      <c r="B432" s="337"/>
      <c r="C432" s="583" t="s">
        <v>305</v>
      </c>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row>
    <row r="433" spans="1:25" ht="18" customHeight="1" x14ac:dyDescent="0.2">
      <c r="A433" s="337"/>
      <c r="B433" s="337"/>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row>
    <row r="434" spans="1:25" ht="18" customHeight="1" x14ac:dyDescent="0.2">
      <c r="A434" s="337"/>
      <c r="B434" s="337"/>
      <c r="C434" s="592"/>
      <c r="D434" s="592"/>
      <c r="E434" s="592"/>
      <c r="F434" s="592"/>
      <c r="G434" s="592"/>
      <c r="H434" s="592"/>
      <c r="I434" s="592"/>
      <c r="J434" s="592"/>
      <c r="K434" s="592"/>
      <c r="L434" s="592"/>
      <c r="M434" s="592"/>
      <c r="N434" s="592"/>
      <c r="O434" s="592"/>
      <c r="P434" s="592"/>
      <c r="Q434" s="592"/>
      <c r="R434" s="592"/>
      <c r="S434" s="592"/>
      <c r="T434" s="592"/>
      <c r="U434" s="592"/>
      <c r="V434" s="592"/>
      <c r="W434" s="592"/>
      <c r="X434" s="592"/>
      <c r="Y434" s="592"/>
    </row>
    <row r="435" spans="1:25" ht="18" customHeight="1" x14ac:dyDescent="0.2">
      <c r="A435" s="337"/>
      <c r="B435" s="337"/>
      <c r="C435" s="669"/>
      <c r="D435" s="670"/>
      <c r="E435" s="670"/>
      <c r="F435" s="670"/>
      <c r="G435" s="670"/>
      <c r="H435" s="670"/>
      <c r="I435" s="670"/>
      <c r="J435" s="670"/>
      <c r="K435" s="670"/>
      <c r="L435" s="670"/>
      <c r="M435" s="670"/>
      <c r="N435" s="670"/>
      <c r="O435" s="670"/>
      <c r="P435" s="670"/>
      <c r="Q435" s="670"/>
      <c r="R435" s="670"/>
      <c r="S435" s="670"/>
      <c r="T435" s="670"/>
      <c r="U435" s="670"/>
      <c r="V435" s="670"/>
      <c r="W435" s="670"/>
      <c r="X435" s="670"/>
      <c r="Y435" s="671"/>
    </row>
    <row r="436" spans="1:25" ht="18" customHeight="1" x14ac:dyDescent="0.2">
      <c r="A436" s="337"/>
      <c r="B436" s="337"/>
      <c r="C436" s="672"/>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4"/>
    </row>
    <row r="437" spans="1:25" ht="18" customHeight="1" x14ac:dyDescent="0.2">
      <c r="A437" s="337"/>
      <c r="B437" s="337"/>
      <c r="C437" s="337"/>
      <c r="D437" s="337"/>
      <c r="E437" s="337"/>
      <c r="F437" s="337"/>
      <c r="G437" s="337"/>
      <c r="H437" s="337"/>
      <c r="I437" s="337"/>
      <c r="J437" s="337"/>
      <c r="K437" s="337"/>
      <c r="L437" s="337"/>
      <c r="M437" s="337"/>
      <c r="N437" s="337"/>
      <c r="O437" s="337"/>
    </row>
    <row r="438" spans="1:25" ht="18" customHeight="1" x14ac:dyDescent="0.2">
      <c r="A438" s="337"/>
      <c r="B438" s="337"/>
      <c r="C438" s="337"/>
      <c r="D438" s="337"/>
      <c r="E438" s="337"/>
      <c r="F438" s="337"/>
      <c r="G438" s="337"/>
      <c r="H438" s="337"/>
      <c r="I438" s="337"/>
      <c r="J438" s="337"/>
      <c r="K438" s="337"/>
      <c r="L438" s="337"/>
      <c r="M438" s="337"/>
      <c r="N438" s="337"/>
      <c r="O438" s="337"/>
    </row>
    <row r="439" spans="1:25" ht="18" customHeight="1" x14ac:dyDescent="0.2">
      <c r="A439" s="337"/>
      <c r="B439" s="337"/>
      <c r="C439" s="581" t="s">
        <v>306</v>
      </c>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row>
    <row r="440" spans="1:25" ht="18" customHeight="1" x14ac:dyDescent="0.2">
      <c r="A440" s="337"/>
      <c r="B440" s="337"/>
      <c r="C440" s="354" t="s">
        <v>234</v>
      </c>
      <c r="D440" s="354"/>
      <c r="E440" s="337"/>
      <c r="H440" s="368"/>
      <c r="I440" s="353" t="s">
        <v>28</v>
      </c>
      <c r="J440" s="588"/>
      <c r="K440" s="588"/>
      <c r="P440" s="339"/>
      <c r="Q440" s="368"/>
      <c r="R440" s="368"/>
      <c r="S440" s="369" t="s">
        <v>29</v>
      </c>
      <c r="T440" s="588"/>
      <c r="U440" s="588"/>
      <c r="V440" s="588"/>
      <c r="W440" s="588"/>
    </row>
    <row r="441" spans="1:25" ht="18" customHeight="1" x14ac:dyDescent="0.2">
      <c r="A441" s="337"/>
      <c r="B441" s="337"/>
      <c r="C441" s="345"/>
      <c r="D441" s="337"/>
      <c r="E441" s="337"/>
      <c r="F441" s="337"/>
      <c r="G441" s="337"/>
      <c r="H441" s="337"/>
      <c r="I441" s="337"/>
      <c r="J441" s="337"/>
      <c r="K441" s="337"/>
      <c r="L441" s="337"/>
      <c r="M441" s="337"/>
      <c r="N441" s="337"/>
      <c r="O441" s="337"/>
    </row>
    <row r="442" spans="1:25" ht="18" customHeight="1" x14ac:dyDescent="0.2">
      <c r="A442" s="337"/>
      <c r="B442" s="337"/>
      <c r="C442" s="345"/>
      <c r="D442" s="337"/>
      <c r="E442" s="337"/>
      <c r="F442" s="337"/>
      <c r="G442" s="337"/>
      <c r="H442" s="337"/>
      <c r="I442" s="337"/>
      <c r="J442" s="337"/>
      <c r="K442" s="337"/>
      <c r="L442" s="337"/>
      <c r="M442" s="337"/>
      <c r="N442" s="337"/>
      <c r="O442" s="337"/>
    </row>
    <row r="443" spans="1:25" ht="18" customHeight="1" x14ac:dyDescent="0.2">
      <c r="A443" s="337"/>
      <c r="B443" s="337"/>
      <c r="C443" s="592" t="s">
        <v>307</v>
      </c>
      <c r="D443" s="592"/>
      <c r="E443" s="592"/>
      <c r="F443" s="592"/>
      <c r="G443" s="592"/>
      <c r="H443" s="592"/>
      <c r="I443" s="592"/>
      <c r="J443" s="592"/>
      <c r="K443" s="592"/>
      <c r="L443" s="592"/>
      <c r="M443" s="592"/>
      <c r="N443" s="592"/>
      <c r="O443" s="592"/>
      <c r="P443" s="592"/>
      <c r="Q443" s="592"/>
      <c r="R443" s="592"/>
      <c r="S443" s="592"/>
      <c r="T443" s="592"/>
      <c r="U443" s="592"/>
      <c r="V443" s="592"/>
      <c r="W443" s="592"/>
      <c r="X443" s="592"/>
      <c r="Y443" s="592"/>
    </row>
    <row r="444" spans="1:25" ht="18" customHeight="1" x14ac:dyDescent="0.2">
      <c r="A444" s="337"/>
      <c r="B444" s="337"/>
      <c r="C444" s="354" t="s">
        <v>234</v>
      </c>
      <c r="D444" s="354"/>
      <c r="E444" s="337"/>
      <c r="H444" s="368"/>
      <c r="I444" s="353" t="s">
        <v>28</v>
      </c>
      <c r="J444" s="771"/>
      <c r="K444" s="771"/>
      <c r="P444" s="339"/>
      <c r="Q444" s="368"/>
      <c r="R444" s="368"/>
      <c r="S444" s="369" t="s">
        <v>29</v>
      </c>
      <c r="T444" s="771"/>
      <c r="U444" s="771"/>
      <c r="V444" s="771"/>
      <c r="W444" s="771"/>
    </row>
    <row r="445" spans="1:25" ht="18" customHeight="1" x14ac:dyDescent="0.2">
      <c r="A445" s="337"/>
      <c r="B445" s="337"/>
      <c r="C445" s="345"/>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row>
    <row r="446" spans="1:25" ht="18" customHeight="1" x14ac:dyDescent="0.2">
      <c r="A446" s="337"/>
      <c r="B446" s="337"/>
      <c r="C446" s="345"/>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row>
    <row r="447" spans="1:25" ht="18" customHeight="1" x14ac:dyDescent="0.2">
      <c r="A447" s="337"/>
      <c r="B447" s="337"/>
      <c r="C447" s="583" t="s">
        <v>308</v>
      </c>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row>
    <row r="448" spans="1:25" ht="18" customHeight="1" x14ac:dyDescent="0.2">
      <c r="A448" s="337"/>
      <c r="B448" s="337"/>
      <c r="C448" s="592"/>
      <c r="D448" s="592"/>
      <c r="E448" s="592"/>
      <c r="F448" s="592"/>
      <c r="G448" s="592"/>
      <c r="H448" s="592"/>
      <c r="I448" s="592"/>
      <c r="J448" s="592"/>
      <c r="K448" s="592"/>
      <c r="L448" s="592"/>
      <c r="M448" s="592"/>
      <c r="N448" s="592"/>
      <c r="O448" s="592"/>
      <c r="P448" s="592"/>
      <c r="Q448" s="592"/>
      <c r="R448" s="592"/>
      <c r="S448" s="592"/>
      <c r="T448" s="592"/>
      <c r="U448" s="592"/>
      <c r="V448" s="592"/>
      <c r="W448" s="592"/>
      <c r="X448" s="592"/>
      <c r="Y448" s="592"/>
    </row>
    <row r="449" spans="1:27" ht="18" customHeight="1" x14ac:dyDescent="0.2">
      <c r="A449" s="337"/>
      <c r="B449" s="337"/>
      <c r="C449" s="354" t="s">
        <v>234</v>
      </c>
      <c r="D449" s="354"/>
      <c r="E449" s="337"/>
      <c r="H449" s="368"/>
      <c r="I449" s="353" t="s">
        <v>28</v>
      </c>
      <c r="J449" s="588"/>
      <c r="K449" s="588"/>
      <c r="P449" s="339"/>
      <c r="Q449" s="368"/>
      <c r="R449" s="368"/>
      <c r="S449" s="369" t="s">
        <v>29</v>
      </c>
      <c r="T449" s="588"/>
      <c r="U449" s="588"/>
      <c r="V449" s="588"/>
      <c r="W449" s="588"/>
    </row>
    <row r="450" spans="1:27" ht="18" customHeight="1" x14ac:dyDescent="0.2">
      <c r="A450" s="337"/>
      <c r="B450" s="337"/>
      <c r="C450" s="345"/>
      <c r="D450" s="337"/>
      <c r="E450" s="337"/>
      <c r="F450" s="337"/>
      <c r="G450" s="337"/>
      <c r="H450" s="337"/>
      <c r="I450" s="337"/>
      <c r="J450" s="337"/>
      <c r="K450" s="337"/>
      <c r="L450" s="337"/>
      <c r="M450" s="337"/>
      <c r="N450" s="337"/>
      <c r="O450" s="337"/>
    </row>
    <row r="451" spans="1:27" ht="18" customHeight="1" x14ac:dyDescent="0.2">
      <c r="A451" s="337"/>
      <c r="B451" s="337"/>
      <c r="C451" s="345"/>
      <c r="D451" s="337"/>
      <c r="E451" s="337"/>
      <c r="F451" s="337"/>
      <c r="G451" s="337"/>
      <c r="H451" s="337"/>
      <c r="I451" s="337"/>
      <c r="J451" s="337"/>
      <c r="K451" s="337"/>
      <c r="L451" s="337"/>
      <c r="M451" s="337"/>
      <c r="N451" s="337"/>
      <c r="O451" s="337"/>
    </row>
    <row r="452" spans="1:27" ht="33.75" customHeight="1" x14ac:dyDescent="0.2">
      <c r="A452" s="337"/>
      <c r="B452" s="337"/>
      <c r="C452" s="341" t="s">
        <v>400</v>
      </c>
      <c r="D452" s="695" t="s">
        <v>405</v>
      </c>
      <c r="E452" s="696"/>
      <c r="F452" s="696"/>
      <c r="G452" s="696"/>
      <c r="H452" s="696"/>
      <c r="I452" s="696"/>
      <c r="J452" s="696"/>
      <c r="K452" s="696"/>
      <c r="L452" s="696"/>
      <c r="M452" s="696"/>
      <c r="N452" s="696"/>
      <c r="O452" s="696"/>
      <c r="P452" s="696"/>
      <c r="Q452" s="696"/>
      <c r="R452" s="696"/>
      <c r="S452" s="696"/>
      <c r="T452" s="696"/>
      <c r="U452" s="696"/>
      <c r="V452" s="696"/>
      <c r="W452" s="696"/>
      <c r="X452" s="696"/>
      <c r="Y452" s="697"/>
    </row>
    <row r="453" spans="1:27" ht="18" customHeight="1" x14ac:dyDescent="0.2">
      <c r="A453" s="337"/>
      <c r="B453" s="337"/>
      <c r="C453" s="583" t="s">
        <v>309</v>
      </c>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row>
    <row r="454" spans="1:27" s="367" customFormat="1" ht="18" customHeight="1" x14ac:dyDescent="0.2">
      <c r="A454" s="368"/>
      <c r="B454" s="368"/>
      <c r="C454" s="592"/>
      <c r="D454" s="592"/>
      <c r="E454" s="592"/>
      <c r="F454" s="592"/>
      <c r="G454" s="592"/>
      <c r="H454" s="592"/>
      <c r="I454" s="592"/>
      <c r="J454" s="592"/>
      <c r="K454" s="592"/>
      <c r="L454" s="592"/>
      <c r="M454" s="592"/>
      <c r="N454" s="592"/>
      <c r="O454" s="592"/>
      <c r="P454" s="592"/>
      <c r="Q454" s="592"/>
      <c r="R454" s="592"/>
      <c r="S454" s="592"/>
      <c r="T454" s="592"/>
      <c r="U454" s="592"/>
      <c r="V454" s="592"/>
      <c r="W454" s="592"/>
      <c r="X454" s="592"/>
      <c r="Y454" s="592"/>
    </row>
    <row r="455" spans="1:27" s="367" customFormat="1" ht="18" customHeight="1" x14ac:dyDescent="0.2">
      <c r="A455" s="368"/>
      <c r="B455" s="781" t="s">
        <v>1522</v>
      </c>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c r="AA455" s="781"/>
    </row>
    <row r="456" spans="1:27" ht="18" customHeight="1" x14ac:dyDescent="0.2">
      <c r="A456" s="337"/>
      <c r="B456" s="337"/>
      <c r="C456" s="354" t="s">
        <v>234</v>
      </c>
      <c r="D456" s="354"/>
      <c r="E456" s="337"/>
      <c r="I456" s="362" t="s">
        <v>8</v>
      </c>
      <c r="J456" s="588"/>
      <c r="K456" s="588"/>
      <c r="N456" s="346"/>
      <c r="P456" s="339"/>
      <c r="S456" s="362" t="s">
        <v>9</v>
      </c>
      <c r="T456" s="588"/>
      <c r="U456" s="588"/>
      <c r="V456" s="588"/>
      <c r="W456" s="588"/>
    </row>
    <row r="457" spans="1:27" ht="18" customHeight="1" x14ac:dyDescent="0.2">
      <c r="A457" s="337"/>
      <c r="B457" s="337"/>
      <c r="C457" s="354"/>
      <c r="D457" s="354"/>
      <c r="E457" s="337"/>
      <c r="F457" s="337"/>
      <c r="G457" s="337"/>
      <c r="H457" s="337"/>
      <c r="I457" s="362" t="s">
        <v>10</v>
      </c>
      <c r="J457" s="588"/>
      <c r="K457" s="588"/>
      <c r="P457" s="339"/>
      <c r="S457" s="362" t="s">
        <v>11</v>
      </c>
      <c r="T457" s="588"/>
      <c r="U457" s="588"/>
      <c r="V457" s="588"/>
      <c r="W457" s="588"/>
    </row>
    <row r="458" spans="1:27" s="347" customFormat="1" ht="18" customHeight="1" x14ac:dyDescent="0.2">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row>
    <row r="459" spans="1:27" s="347" customFormat="1" ht="18" customHeight="1" x14ac:dyDescent="0.2">
      <c r="A459" s="346"/>
      <c r="B459" s="346"/>
      <c r="C459" s="583" t="s">
        <v>310</v>
      </c>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row>
    <row r="460" spans="1:27" s="347" customFormat="1" ht="18" customHeight="1" x14ac:dyDescent="0.2">
      <c r="A460" s="346"/>
      <c r="B460" s="346"/>
      <c r="C460" s="583"/>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row>
    <row r="461" spans="1:27" ht="18" customHeight="1" x14ac:dyDescent="0.2">
      <c r="A461" s="337"/>
      <c r="B461" s="705" t="s">
        <v>1525</v>
      </c>
      <c r="C461" s="705"/>
      <c r="D461" s="705"/>
      <c r="E461" s="705"/>
      <c r="F461" s="705"/>
      <c r="G461" s="705"/>
      <c r="H461" s="705"/>
      <c r="I461" s="705"/>
      <c r="J461" s="705"/>
      <c r="K461" s="705"/>
      <c r="L461" s="705"/>
      <c r="M461" s="705"/>
      <c r="N461" s="705"/>
      <c r="O461" s="705"/>
      <c r="P461" s="705"/>
      <c r="Q461" s="705"/>
      <c r="R461" s="705"/>
      <c r="S461" s="705"/>
      <c r="T461" s="705"/>
      <c r="U461" s="705"/>
      <c r="V461" s="705"/>
      <c r="W461" s="705"/>
      <c r="X461" s="705"/>
      <c r="Y461" s="705"/>
      <c r="Z461" s="705"/>
      <c r="AA461" s="705"/>
    </row>
    <row r="462" spans="1:27" ht="39.75" customHeight="1" x14ac:dyDescent="0.2">
      <c r="A462" s="337"/>
      <c r="B462" s="337"/>
      <c r="C462" s="640" t="s">
        <v>85</v>
      </c>
      <c r="D462" s="640"/>
      <c r="E462" s="640"/>
      <c r="F462" s="772" t="s">
        <v>86</v>
      </c>
      <c r="G462" s="773"/>
      <c r="H462" s="773"/>
      <c r="I462" s="773"/>
      <c r="J462" s="773"/>
      <c r="K462" s="773"/>
      <c r="L462" s="773"/>
      <c r="M462" s="773"/>
      <c r="N462" s="773"/>
      <c r="O462" s="773"/>
      <c r="P462" s="773"/>
      <c r="Q462" s="773"/>
      <c r="R462" s="773"/>
      <c r="S462" s="774"/>
      <c r="T462" s="772" t="s">
        <v>12</v>
      </c>
      <c r="U462" s="773"/>
      <c r="V462" s="773"/>
      <c r="W462" s="773"/>
      <c r="X462" s="773"/>
      <c r="Y462" s="774"/>
      <c r="Z462" s="419"/>
      <c r="AA462" s="419"/>
    </row>
    <row r="463" spans="1:27" ht="23.1" customHeight="1" x14ac:dyDescent="0.2">
      <c r="A463" s="337"/>
      <c r="B463" s="337"/>
      <c r="C463" s="775" t="s">
        <v>37</v>
      </c>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7"/>
      <c r="Z463" s="419"/>
      <c r="AA463" s="419"/>
    </row>
    <row r="464" spans="1:27" ht="26.25" customHeight="1" x14ac:dyDescent="0.2">
      <c r="A464" s="337"/>
      <c r="B464" s="337"/>
      <c r="C464" s="770" t="s">
        <v>113</v>
      </c>
      <c r="D464" s="770"/>
      <c r="E464" s="770"/>
      <c r="F464" s="778" t="s">
        <v>114</v>
      </c>
      <c r="G464" s="779"/>
      <c r="H464" s="779"/>
      <c r="I464" s="779"/>
      <c r="J464" s="779"/>
      <c r="K464" s="779"/>
      <c r="L464" s="779"/>
      <c r="M464" s="779"/>
      <c r="N464" s="779"/>
      <c r="O464" s="779"/>
      <c r="P464" s="779"/>
      <c r="Q464" s="779"/>
      <c r="R464" s="779"/>
      <c r="S464" s="780"/>
      <c r="T464" s="770">
        <v>35</v>
      </c>
      <c r="U464" s="770"/>
      <c r="V464" s="770"/>
      <c r="W464" s="770"/>
      <c r="X464" s="770" t="s">
        <v>5</v>
      </c>
      <c r="Y464" s="770"/>
      <c r="Z464" s="419"/>
      <c r="AA464" s="527"/>
    </row>
    <row r="465" spans="1:27" ht="26.25" customHeight="1" x14ac:dyDescent="0.2">
      <c r="A465" s="337"/>
      <c r="B465" s="337"/>
      <c r="C465" s="638"/>
      <c r="D465" s="638"/>
      <c r="E465" s="638"/>
      <c r="F465" s="665"/>
      <c r="G465" s="666"/>
      <c r="H465" s="666"/>
      <c r="I465" s="666"/>
      <c r="J465" s="666"/>
      <c r="K465" s="666"/>
      <c r="L465" s="666"/>
      <c r="M465" s="666"/>
      <c r="N465" s="666"/>
      <c r="O465" s="666"/>
      <c r="P465" s="666"/>
      <c r="Q465" s="666"/>
      <c r="R465" s="666"/>
      <c r="S465" s="667"/>
      <c r="T465" s="590"/>
      <c r="U465" s="590"/>
      <c r="V465" s="590"/>
      <c r="W465" s="590"/>
      <c r="X465" s="668" t="s">
        <v>5</v>
      </c>
      <c r="Y465" s="668"/>
      <c r="Z465" s="419"/>
      <c r="AA465" s="420"/>
    </row>
    <row r="466" spans="1:27" ht="26.25" customHeight="1" x14ac:dyDescent="0.2">
      <c r="A466" s="337"/>
      <c r="B466" s="337"/>
      <c r="C466" s="638"/>
      <c r="D466" s="638"/>
      <c r="E466" s="638"/>
      <c r="F466" s="665"/>
      <c r="G466" s="666"/>
      <c r="H466" s="666"/>
      <c r="I466" s="666"/>
      <c r="J466" s="666"/>
      <c r="K466" s="666"/>
      <c r="L466" s="666"/>
      <c r="M466" s="666"/>
      <c r="N466" s="666"/>
      <c r="O466" s="666"/>
      <c r="P466" s="666"/>
      <c r="Q466" s="666"/>
      <c r="R466" s="666"/>
      <c r="S466" s="667"/>
      <c r="T466" s="590"/>
      <c r="U466" s="590"/>
      <c r="V466" s="590"/>
      <c r="W466" s="590"/>
      <c r="X466" s="668" t="s">
        <v>5</v>
      </c>
      <c r="Y466" s="668"/>
      <c r="Z466" s="419"/>
      <c r="AA466" s="420"/>
    </row>
    <row r="467" spans="1:27" ht="26.25" customHeight="1" x14ac:dyDescent="0.2">
      <c r="A467" s="337"/>
      <c r="B467" s="337"/>
      <c r="C467" s="638"/>
      <c r="D467" s="638"/>
      <c r="E467" s="638"/>
      <c r="F467" s="665"/>
      <c r="G467" s="666"/>
      <c r="H467" s="666"/>
      <c r="I467" s="666"/>
      <c r="J467" s="666"/>
      <c r="K467" s="666"/>
      <c r="L467" s="666"/>
      <c r="M467" s="666"/>
      <c r="N467" s="666"/>
      <c r="O467" s="666"/>
      <c r="P467" s="666"/>
      <c r="Q467" s="666"/>
      <c r="R467" s="666"/>
      <c r="S467" s="667"/>
      <c r="T467" s="590"/>
      <c r="U467" s="590"/>
      <c r="V467" s="590"/>
      <c r="W467" s="590"/>
      <c r="X467" s="668" t="s">
        <v>5</v>
      </c>
      <c r="Y467" s="668"/>
      <c r="Z467" s="419"/>
      <c r="AA467" s="420"/>
    </row>
    <row r="468" spans="1:27" ht="26.25" customHeight="1" x14ac:dyDescent="0.2">
      <c r="A468" s="337"/>
      <c r="B468" s="337"/>
      <c r="C468" s="638"/>
      <c r="D468" s="638"/>
      <c r="E468" s="638"/>
      <c r="F468" s="665"/>
      <c r="G468" s="666"/>
      <c r="H468" s="666"/>
      <c r="I468" s="666"/>
      <c r="J468" s="666"/>
      <c r="K468" s="666"/>
      <c r="L468" s="666"/>
      <c r="M468" s="666"/>
      <c r="N468" s="666"/>
      <c r="O468" s="666"/>
      <c r="P468" s="666"/>
      <c r="Q468" s="666"/>
      <c r="R468" s="666"/>
      <c r="S468" s="667"/>
      <c r="T468" s="590"/>
      <c r="U468" s="590"/>
      <c r="V468" s="590"/>
      <c r="W468" s="590"/>
      <c r="X468" s="668" t="s">
        <v>5</v>
      </c>
      <c r="Y468" s="668"/>
      <c r="Z468" s="419"/>
      <c r="AA468" s="420"/>
    </row>
    <row r="469" spans="1:27" ht="26.25" customHeight="1" x14ac:dyDescent="0.2">
      <c r="A469" s="337"/>
      <c r="B469" s="337"/>
      <c r="C469" s="638"/>
      <c r="D469" s="638"/>
      <c r="E469" s="638"/>
      <c r="F469" s="665"/>
      <c r="G469" s="666"/>
      <c r="H469" s="666"/>
      <c r="I469" s="666"/>
      <c r="J469" s="666"/>
      <c r="K469" s="666"/>
      <c r="L469" s="666"/>
      <c r="M469" s="666"/>
      <c r="N469" s="666"/>
      <c r="O469" s="666"/>
      <c r="P469" s="666"/>
      <c r="Q469" s="666"/>
      <c r="R469" s="666"/>
      <c r="S469" s="667"/>
      <c r="T469" s="590"/>
      <c r="U469" s="590"/>
      <c r="V469" s="590"/>
      <c r="W469" s="590"/>
      <c r="X469" s="668" t="s">
        <v>5</v>
      </c>
      <c r="Y469" s="668"/>
      <c r="Z469" s="419"/>
      <c r="AA469" s="420"/>
    </row>
    <row r="470" spans="1:27" ht="26.25" customHeight="1" x14ac:dyDescent="0.2">
      <c r="A470" s="337"/>
      <c r="B470" s="337"/>
      <c r="C470" s="638"/>
      <c r="D470" s="638"/>
      <c r="E470" s="638"/>
      <c r="F470" s="665"/>
      <c r="G470" s="666"/>
      <c r="H470" s="666"/>
      <c r="I470" s="666"/>
      <c r="J470" s="666"/>
      <c r="K470" s="666"/>
      <c r="L470" s="666"/>
      <c r="M470" s="666"/>
      <c r="N470" s="666"/>
      <c r="O470" s="666"/>
      <c r="P470" s="666"/>
      <c r="Q470" s="666"/>
      <c r="R470" s="666"/>
      <c r="S470" s="667"/>
      <c r="T470" s="590"/>
      <c r="U470" s="590"/>
      <c r="V470" s="590"/>
      <c r="W470" s="590"/>
      <c r="X470" s="668" t="s">
        <v>5</v>
      </c>
      <c r="Y470" s="668"/>
      <c r="Z470" s="419"/>
      <c r="AA470" s="420"/>
    </row>
    <row r="471" spans="1:27" ht="26.25" customHeight="1" x14ac:dyDescent="0.2">
      <c r="A471" s="337"/>
      <c r="B471" s="337"/>
      <c r="C471" s="638"/>
      <c r="D471" s="638"/>
      <c r="E471" s="638"/>
      <c r="F471" s="665"/>
      <c r="G471" s="666"/>
      <c r="H471" s="666"/>
      <c r="I471" s="666"/>
      <c r="J471" s="666"/>
      <c r="K471" s="666"/>
      <c r="L471" s="666"/>
      <c r="M471" s="666"/>
      <c r="N471" s="666"/>
      <c r="O471" s="666"/>
      <c r="P471" s="666"/>
      <c r="Q471" s="666"/>
      <c r="R471" s="666"/>
      <c r="S471" s="667"/>
      <c r="T471" s="590"/>
      <c r="U471" s="590"/>
      <c r="V471" s="590"/>
      <c r="W471" s="590"/>
      <c r="X471" s="668" t="s">
        <v>5</v>
      </c>
      <c r="Y471" s="668"/>
      <c r="Z471" s="419"/>
      <c r="AA471" s="420"/>
    </row>
    <row r="472" spans="1:27" ht="26.25" customHeight="1" x14ac:dyDescent="0.2">
      <c r="A472" s="337"/>
      <c r="B472" s="337"/>
      <c r="C472" s="638"/>
      <c r="D472" s="638"/>
      <c r="E472" s="638"/>
      <c r="F472" s="665"/>
      <c r="G472" s="666"/>
      <c r="H472" s="666"/>
      <c r="I472" s="666"/>
      <c r="J472" s="666"/>
      <c r="K472" s="666"/>
      <c r="L472" s="666"/>
      <c r="M472" s="666"/>
      <c r="N472" s="666"/>
      <c r="O472" s="666"/>
      <c r="P472" s="666"/>
      <c r="Q472" s="666"/>
      <c r="R472" s="666"/>
      <c r="S472" s="667"/>
      <c r="T472" s="590"/>
      <c r="U472" s="590"/>
      <c r="V472" s="590"/>
      <c r="W472" s="590"/>
      <c r="X472" s="668" t="s">
        <v>5</v>
      </c>
      <c r="Y472" s="668"/>
      <c r="Z472" s="419"/>
      <c r="AA472" s="420"/>
    </row>
    <row r="473" spans="1:27" ht="26.25" customHeight="1" x14ac:dyDescent="0.2">
      <c r="A473" s="337"/>
      <c r="B473" s="337"/>
      <c r="C473" s="638"/>
      <c r="D473" s="638"/>
      <c r="E473" s="638"/>
      <c r="F473" s="665"/>
      <c r="G473" s="666"/>
      <c r="H473" s="666"/>
      <c r="I473" s="666"/>
      <c r="J473" s="666"/>
      <c r="K473" s="666"/>
      <c r="L473" s="666"/>
      <c r="M473" s="666"/>
      <c r="N473" s="666"/>
      <c r="O473" s="666"/>
      <c r="P473" s="666"/>
      <c r="Q473" s="666"/>
      <c r="R473" s="666"/>
      <c r="S473" s="667"/>
      <c r="T473" s="590"/>
      <c r="U473" s="590"/>
      <c r="V473" s="590"/>
      <c r="W473" s="590"/>
      <c r="X473" s="668" t="s">
        <v>5</v>
      </c>
      <c r="Y473" s="668"/>
      <c r="Z473" s="419"/>
      <c r="AA473" s="420"/>
    </row>
    <row r="474" spans="1:27" ht="26.25" customHeight="1" x14ac:dyDescent="0.2">
      <c r="A474" s="337"/>
      <c r="B474" s="337"/>
      <c r="C474" s="638"/>
      <c r="D474" s="638"/>
      <c r="E474" s="638"/>
      <c r="F474" s="665"/>
      <c r="G474" s="666"/>
      <c r="H474" s="666"/>
      <c r="I474" s="666"/>
      <c r="J474" s="666"/>
      <c r="K474" s="666"/>
      <c r="L474" s="666"/>
      <c r="M474" s="666"/>
      <c r="N474" s="666"/>
      <c r="O474" s="666"/>
      <c r="P474" s="666"/>
      <c r="Q474" s="666"/>
      <c r="R474" s="666"/>
      <c r="S474" s="667"/>
      <c r="T474" s="590"/>
      <c r="U474" s="590"/>
      <c r="V474" s="590"/>
      <c r="W474" s="590"/>
      <c r="X474" s="668" t="s">
        <v>5</v>
      </c>
      <c r="Y474" s="668"/>
      <c r="Z474" s="419"/>
      <c r="AA474" s="420"/>
    </row>
    <row r="475" spans="1:27" ht="26.25" customHeight="1" x14ac:dyDescent="0.2">
      <c r="A475" s="337"/>
      <c r="B475" s="337"/>
      <c r="C475" s="638"/>
      <c r="D475" s="638"/>
      <c r="E475" s="638"/>
      <c r="F475" s="665"/>
      <c r="G475" s="666"/>
      <c r="H475" s="666"/>
      <c r="I475" s="666"/>
      <c r="J475" s="666"/>
      <c r="K475" s="666"/>
      <c r="L475" s="666"/>
      <c r="M475" s="666"/>
      <c r="N475" s="666"/>
      <c r="O475" s="666"/>
      <c r="P475" s="666"/>
      <c r="Q475" s="666"/>
      <c r="R475" s="666"/>
      <c r="S475" s="667"/>
      <c r="T475" s="590"/>
      <c r="U475" s="590"/>
      <c r="V475" s="590"/>
      <c r="W475" s="590"/>
      <c r="X475" s="668" t="s">
        <v>5</v>
      </c>
      <c r="Y475" s="668"/>
      <c r="Z475" s="419"/>
      <c r="AA475" s="420"/>
    </row>
    <row r="476" spans="1:27" ht="26.25" customHeight="1" x14ac:dyDescent="0.2">
      <c r="A476" s="337"/>
      <c r="B476" s="337"/>
      <c r="C476" s="638"/>
      <c r="D476" s="638"/>
      <c r="E476" s="638"/>
      <c r="F476" s="665"/>
      <c r="G476" s="666"/>
      <c r="H476" s="666"/>
      <c r="I476" s="666"/>
      <c r="J476" s="666"/>
      <c r="K476" s="666"/>
      <c r="L476" s="666"/>
      <c r="M476" s="666"/>
      <c r="N476" s="666"/>
      <c r="O476" s="666"/>
      <c r="P476" s="666"/>
      <c r="Q476" s="666"/>
      <c r="R476" s="666"/>
      <c r="S476" s="667"/>
      <c r="T476" s="590"/>
      <c r="U476" s="590"/>
      <c r="V476" s="590"/>
      <c r="W476" s="590"/>
      <c r="X476" s="668" t="s">
        <v>5</v>
      </c>
      <c r="Y476" s="668"/>
      <c r="Z476" s="419"/>
      <c r="AA476" s="420"/>
    </row>
    <row r="477" spans="1:27" ht="26.25" customHeight="1" x14ac:dyDescent="0.2">
      <c r="A477" s="337"/>
      <c r="B477" s="337"/>
      <c r="C477" s="638"/>
      <c r="D477" s="638"/>
      <c r="E477" s="638"/>
      <c r="F477" s="665"/>
      <c r="G477" s="666"/>
      <c r="H477" s="666"/>
      <c r="I477" s="666"/>
      <c r="J477" s="666"/>
      <c r="K477" s="666"/>
      <c r="L477" s="666"/>
      <c r="M477" s="666"/>
      <c r="N477" s="666"/>
      <c r="O477" s="666"/>
      <c r="P477" s="666"/>
      <c r="Q477" s="666"/>
      <c r="R477" s="666"/>
      <c r="S477" s="667"/>
      <c r="T477" s="590"/>
      <c r="U477" s="590"/>
      <c r="V477" s="590"/>
      <c r="W477" s="590"/>
      <c r="X477" s="668" t="s">
        <v>5</v>
      </c>
      <c r="Y477" s="668"/>
      <c r="Z477" s="419"/>
      <c r="AA477" s="420"/>
    </row>
    <row r="478" spans="1:27" ht="26.25" customHeight="1" x14ac:dyDescent="0.2">
      <c r="A478" s="337"/>
      <c r="B478" s="337"/>
      <c r="C478" s="638"/>
      <c r="D478" s="638"/>
      <c r="E478" s="638"/>
      <c r="F478" s="665"/>
      <c r="G478" s="666"/>
      <c r="H478" s="666"/>
      <c r="I478" s="666"/>
      <c r="J478" s="666"/>
      <c r="K478" s="666"/>
      <c r="L478" s="666"/>
      <c r="M478" s="666"/>
      <c r="N478" s="666"/>
      <c r="O478" s="666"/>
      <c r="P478" s="666"/>
      <c r="Q478" s="666"/>
      <c r="R478" s="666"/>
      <c r="S478" s="667"/>
      <c r="T478" s="590"/>
      <c r="U478" s="590"/>
      <c r="V478" s="590"/>
      <c r="W478" s="590"/>
      <c r="X478" s="668" t="s">
        <v>5</v>
      </c>
      <c r="Y478" s="668"/>
      <c r="Z478" s="419"/>
      <c r="AA478" s="420"/>
    </row>
    <row r="479" spans="1:27" ht="26.25" customHeight="1" x14ac:dyDescent="0.2">
      <c r="C479" s="638"/>
      <c r="D479" s="638"/>
      <c r="E479" s="638"/>
      <c r="F479" s="665"/>
      <c r="G479" s="666"/>
      <c r="H479" s="666"/>
      <c r="I479" s="666"/>
      <c r="J479" s="666"/>
      <c r="K479" s="666"/>
      <c r="L479" s="666"/>
      <c r="M479" s="666"/>
      <c r="N479" s="666"/>
      <c r="O479" s="666"/>
      <c r="P479" s="666"/>
      <c r="Q479" s="666"/>
      <c r="R479" s="666"/>
      <c r="S479" s="667"/>
      <c r="T479" s="590"/>
      <c r="U479" s="590"/>
      <c r="V479" s="590"/>
      <c r="W479" s="590"/>
      <c r="X479" s="668" t="s">
        <v>5</v>
      </c>
      <c r="Y479" s="668"/>
      <c r="Z479" s="419"/>
      <c r="AA479" s="420"/>
    </row>
    <row r="480" spans="1:27" ht="18" customHeight="1" thickBot="1" x14ac:dyDescent="0.25">
      <c r="A480" s="337"/>
      <c r="B480" s="337"/>
      <c r="C480" s="625" t="s">
        <v>258</v>
      </c>
      <c r="D480" s="626"/>
      <c r="E480" s="626"/>
      <c r="F480" s="626"/>
      <c r="G480" s="626"/>
      <c r="H480" s="626"/>
      <c r="I480" s="626"/>
      <c r="J480" s="626"/>
      <c r="K480" s="626"/>
      <c r="L480" s="626"/>
      <c r="M480" s="626"/>
      <c r="N480" s="626"/>
      <c r="O480" s="626"/>
      <c r="P480" s="626"/>
      <c r="Q480" s="626"/>
      <c r="R480" s="626"/>
      <c r="S480" s="627"/>
      <c r="T480" s="662" t="str">
        <f>IF(COUNTA($T$465:$W$479)=0,"",SUM($T$465:$W$479))</f>
        <v/>
      </c>
      <c r="U480" s="662"/>
      <c r="V480" s="662"/>
      <c r="W480" s="662"/>
      <c r="X480" s="663" t="s">
        <v>5</v>
      </c>
      <c r="Y480" s="663"/>
      <c r="Z480" s="419"/>
      <c r="AA480" s="420"/>
    </row>
    <row r="481" spans="1:27" ht="18" customHeight="1" thickBot="1" x14ac:dyDescent="0.25">
      <c r="A481" s="337"/>
      <c r="B481" s="337"/>
      <c r="C481" s="337"/>
      <c r="D481" s="337"/>
      <c r="E481" s="337"/>
      <c r="F481" s="337"/>
      <c r="I481" s="424"/>
      <c r="J481" s="424"/>
      <c r="K481" s="337"/>
      <c r="L481" s="337"/>
      <c r="M481" s="369"/>
      <c r="N481" s="337"/>
      <c r="O481" s="337"/>
      <c r="P481" s="337"/>
      <c r="Q481" s="337"/>
      <c r="R481" s="337"/>
      <c r="S481" s="337"/>
      <c r="T481" s="528">
        <f t="array" ref="T481">SUM(IF(COUNTIF(C465:E479,C465:E479)&lt;&gt;0,1/COUNTIF(C465:E479,C465:E479),""))</f>
        <v>0</v>
      </c>
      <c r="U481" s="396"/>
      <c r="V481" s="396"/>
      <c r="W481" s="397" t="str">
        <f>IF($T$480="","",IF($T$480&lt;&gt;100,"La somme des proportions du site occupée par les différents types d'habitats EUNIS niveau 3 doit être égale à 100%. ",""))</f>
        <v/>
      </c>
      <c r="X481" s="425"/>
      <c r="Y481" s="425"/>
      <c r="Z481" s="419"/>
      <c r="AA481" s="420"/>
    </row>
    <row r="482" spans="1:27" ht="18" customHeight="1" thickBot="1" x14ac:dyDescent="0.25">
      <c r="A482" s="337"/>
      <c r="B482" s="337"/>
      <c r="C482" s="423"/>
      <c r="D482" s="337"/>
      <c r="E482" s="337"/>
      <c r="F482" s="337"/>
      <c r="G482" s="337"/>
      <c r="H482" s="337"/>
      <c r="I482" s="337"/>
      <c r="J482" s="337"/>
      <c r="K482" s="337"/>
      <c r="L482" s="337"/>
      <c r="M482" s="337"/>
      <c r="N482" s="337"/>
      <c r="O482" s="337"/>
      <c r="P482" s="337"/>
      <c r="Q482" s="337"/>
      <c r="R482" s="337"/>
      <c r="S482" s="337"/>
      <c r="T482" s="426" t="str">
        <f>CONCATENATE(IF(SUM(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IF(AND(LEN(C478)&lt;&gt;4,C478&lt;&gt;""),1,0),IF(AND(LEN(C479)&lt;&gt;4,C479&lt;&gt;""),1,0))&gt;0,"Au moins un code EUNIS niveau 3 est mal renseigné (voir les instructions dans le guide page 106).",""),IF(SUM(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IF(AND(LEFT(RIGHT(C478,2),1)&lt;&gt;".",LEFT(RIGHT(C478,2),1)&lt;&gt;""),1,0),IF(AND(LEFT(RIGHT(C479,2),1)&lt;&gt;".",LEFT(RIGHT(C479,2),1)&lt;&gt;""),1,0))&gt;0,"Au moins un code EUNIS niveau 3 est mal renseigné (voir instructions du guide page 106).",""),IF(SUM(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IF(OR(LEFT(C478,2)="C1",LEFT(C478,2)="C2",LEFT(C478,2)="J5",LEFT(C478,2)="J1",LEFT(C478,2)="J2",LEFT(C478,2)="J4"),1,0),IF(OR(LEFT(C479,2)="C1",LEFT(C479,2)="C2",LEFT(C479,2)="J5",LEFT(C479,2)="J1",LEFT(C479,2)="J2",LEFT(C479,2)="J4"),1,0))&gt;0,"C1, C2, J1, J2, J4 et J5 ne peuvent pas figurer ici (non humide). Avec impact envisagé ou après impact, réduisez l'emprise sur site impacté (question 1) pour les exclure et ne pas les noter ici.",""),IF(COUNTA(C465:E479)-T481&gt;0,"Un code EUNIS apparaît en doublon et ce n'est pas logique.",""),IF(COUNTA(C465:E479)&gt;COUNTIF(T465:W479,"&gt;0"),"La part de chaque habitat indiqué dans la colonne de gauche, doit être renseignée dans la colonne de droite.",""),IF(COUNTIF(T465:W479,"&gt;0")&gt;COUNTA(C465:E479),"Le code de chaque habitat doit être indiqué dans la colonne de gauche.",""))</f>
        <v/>
      </c>
      <c r="U482" s="427"/>
      <c r="V482" s="427"/>
      <c r="W482" s="397" t="str">
        <f>IF(COUNTA($T$465:$W$479)=0,"",CONCATENATE(IF(AND($J$456="X",MIN($T$465:$T$479)*$T$107*100&lt;15625),"La part d'un des habitats est inférieure à la surface minimale cartographiable choisie (15 625 m²).",IF(AND($T$456="X",MIN($T$465:$T$479)*$T$107*100&lt;2500),"La part d'un des habitats est inférieure à la surface minimale cartographiable choisie (2500 m²).",IF(AND($J$457="X",MIN($T$465:$T$479)*$T$107*100&lt;625),"La part d'un des habitats est inférieure à la surface minimale cartographiable choisie (625 m²).",IF(AND($T$457="X",MIN($T$465:$T$479)*$T$107*100&lt;156),"La part d'un des habitats est inférieure à la surface minimale cartographiable choisie (156 m²).","")))),CONCATENATE(IF(SUMIF($C$465:$E$479,"A*",$T$465:$W$479)*$T$107*100&gt;$T$361*$T$356*100,"La superficie de l’habitat A dans le paysage ne peut pas être inférieure à celle de l’habitat A dans le site. ",""),IF(SUMIF($C$465:$E$479,"B*",$T$465:$W$479)*$T$107*100&gt;$T$362*$T$356*100,"La superficie de l’habitat B dans le paysage ne peut pas être inférieure à celle de l’habitat B dans le site. ",""),IF(SUMIF($C$465:$E$479,"C*",$T$465:$W$479)*$T$107*100&gt;$T$363*$T$356*100,"La superficie de l’habitat C dans le paysage ne peut pas être inférieure à celle de l’habitat C dans le site. ",""),IF(SUMIF($C$465:$E$479,"D*",$T$465:$W$479)*$T$107*100&gt;$T$364*$T$356*100,"La superficie de l’habitat D dans le paysage ne peut pas être inférieure à celle de l’habitat D dans le site. ",""),IF(SUMIF($C$465:$E$479,"E*",$T$465:$W$479)*$T$107*100&gt;$T$365*$T$356*100,"La superficie de l’habitat E dans le paysage ne peut pas être inférieure à celle de l’habitat E dans le site. ",""),IF(SUMIF($C$465:$E$479,"F*",$T$465:$W$479)*$T$107*100&gt;$T$366*$T$356*100,"La superficie de l’habitat F dans le paysage ne peut pas être inférieure à celle de l’habitat F dans le site. ",""),IF(SUMIF($C$465:$E$479,"G*",$T$465:$W$479)*$T$107*100&gt;$T$367*$T$356*100,"La superficie de l’habitat G dans le paysage ne peut pas être inférieure à celle de l’habitat G dans le site. ",""),IF(SUMIF($C$465:$E$479,"H*",$T$465:$W$479)*$T$107*100&gt;$T$368*$T$356*100,"La superficie de l’habitat H dans le paysage ne peut pas être inférieure à celle de l’habitat H dans le site. ",""),IF(SUMIF($C$465:$E$479,"I*",$T$465:$W$479)*$T$107*100&gt;$T$369*$T$356*100,"La superficie de l’habitat I dans le paysage ne peut pas être inférieure à celle de l’habitat I dans le site. ",""),IF(SUMIF($C$465:$E$479,"J*",$T$465:$W$479)*$T$107*100&gt;$T$370*$T$356*100,"La superficie de l’habitat J dans le paysage ne peut pas être inférieure à celle de l’habitat J dans le site.",""))))</f>
        <v/>
      </c>
      <c r="X482" s="428"/>
      <c r="Y482" s="428"/>
      <c r="Z482" s="419"/>
      <c r="AA482" s="420"/>
    </row>
    <row r="483" spans="1:27" ht="18" customHeight="1" x14ac:dyDescent="0.2">
      <c r="A483" s="337"/>
      <c r="B483" s="337"/>
      <c r="C483" s="345"/>
      <c r="D483" s="337"/>
      <c r="E483" s="337"/>
      <c r="F483" s="337"/>
      <c r="G483" s="337"/>
      <c r="H483" s="337"/>
      <c r="I483" s="337"/>
      <c r="J483" s="337"/>
      <c r="K483" s="337"/>
      <c r="L483" s="337"/>
      <c r="M483" s="337"/>
      <c r="N483" s="337"/>
      <c r="O483" s="337"/>
      <c r="P483" s="337"/>
      <c r="Q483" s="337"/>
      <c r="R483" s="337"/>
      <c r="S483" s="337"/>
      <c r="T483" s="429"/>
      <c r="U483" s="429"/>
      <c r="V483" s="429"/>
      <c r="W483" s="398"/>
      <c r="X483" s="428"/>
      <c r="Y483" s="428"/>
      <c r="Z483" s="419"/>
      <c r="AA483" s="420"/>
    </row>
    <row r="484" spans="1:27" ht="23.1" customHeight="1" x14ac:dyDescent="0.2">
      <c r="A484" s="337"/>
      <c r="B484" s="337"/>
      <c r="C484" s="583" t="s">
        <v>311</v>
      </c>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row>
    <row r="485" spans="1:27" ht="23.1" customHeight="1" x14ac:dyDescent="0.2">
      <c r="A485" s="337"/>
      <c r="B485" s="337"/>
      <c r="C485" s="592"/>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row>
    <row r="486" spans="1:27" ht="18" customHeight="1" x14ac:dyDescent="0.2">
      <c r="A486" s="337"/>
      <c r="B486" s="337"/>
      <c r="C486" s="669"/>
      <c r="D486" s="670"/>
      <c r="E486" s="670"/>
      <c r="F486" s="670"/>
      <c r="G486" s="670"/>
      <c r="H486" s="670"/>
      <c r="I486" s="670"/>
      <c r="J486" s="670"/>
      <c r="K486" s="670"/>
      <c r="L486" s="670"/>
      <c r="M486" s="670"/>
      <c r="N486" s="670"/>
      <c r="O486" s="670"/>
      <c r="P486" s="670"/>
      <c r="Q486" s="670"/>
      <c r="R486" s="670"/>
      <c r="S486" s="670"/>
      <c r="T486" s="670"/>
      <c r="U486" s="670"/>
      <c r="V486" s="670"/>
      <c r="W486" s="670"/>
      <c r="X486" s="670"/>
      <c r="Y486" s="671"/>
    </row>
    <row r="487" spans="1:27" ht="18" customHeight="1" x14ac:dyDescent="0.2">
      <c r="A487" s="337"/>
      <c r="B487" s="337"/>
      <c r="C487" s="672"/>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4"/>
    </row>
    <row r="488" spans="1:27" s="347" customFormat="1" ht="18" customHeight="1" x14ac:dyDescent="0.2">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row>
    <row r="489" spans="1:27" s="347" customFormat="1" ht="18" customHeight="1" x14ac:dyDescent="0.2">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row>
    <row r="490" spans="1:27" ht="18" customHeight="1" x14ac:dyDescent="0.2">
      <c r="A490" s="337"/>
      <c r="B490" s="337"/>
      <c r="C490" s="581" t="s">
        <v>312</v>
      </c>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row>
    <row r="491" spans="1:27" ht="18" customHeight="1" thickBot="1" x14ac:dyDescent="0.25">
      <c r="A491" s="337"/>
      <c r="B491" s="337"/>
      <c r="C491" s="337"/>
      <c r="D491" s="337"/>
      <c r="E491" s="337"/>
      <c r="F491" s="337"/>
      <c r="G491" s="337"/>
      <c r="H491" s="337"/>
      <c r="I491" s="337"/>
      <c r="J491" s="337"/>
      <c r="K491" s="337"/>
      <c r="L491" s="337"/>
      <c r="M491" s="337"/>
      <c r="N491" s="337"/>
      <c r="O491" s="337"/>
      <c r="S491" s="353" t="s">
        <v>259</v>
      </c>
      <c r="T491" s="769"/>
      <c r="U491" s="769"/>
      <c r="V491" s="769"/>
      <c r="W491" s="769"/>
      <c r="X491" s="591" t="s">
        <v>118</v>
      </c>
      <c r="Y491" s="591"/>
    </row>
    <row r="492" spans="1:27" ht="18" customHeight="1" thickBot="1" x14ac:dyDescent="0.25">
      <c r="A492" s="337"/>
      <c r="B492" s="337"/>
      <c r="C492" s="345"/>
      <c r="D492" s="337"/>
      <c r="E492" s="337"/>
      <c r="F492" s="337"/>
      <c r="G492" s="337"/>
      <c r="H492" s="337"/>
      <c r="I492" s="337"/>
      <c r="J492" s="337"/>
      <c r="K492" s="337"/>
      <c r="L492" s="337"/>
      <c r="M492" s="337"/>
      <c r="N492" s="337"/>
      <c r="O492" s="337"/>
      <c r="T492" s="395"/>
      <c r="U492" s="396"/>
      <c r="V492" s="396"/>
      <c r="W492" s="397" t="str">
        <f>IF($T$491="","",IF($T$491&gt;100,"La proportion du site occupée par un couvert végétal permanent ne peut pas être supérieure à 100%",""))</f>
        <v/>
      </c>
    </row>
    <row r="493" spans="1:27" ht="18" customHeight="1" x14ac:dyDescent="0.2">
      <c r="A493" s="337"/>
      <c r="B493" s="337"/>
      <c r="C493" s="345"/>
      <c r="D493" s="337"/>
      <c r="E493" s="337"/>
      <c r="F493" s="337"/>
      <c r="G493" s="337"/>
      <c r="H493" s="337"/>
      <c r="I493" s="337"/>
      <c r="J493" s="337"/>
      <c r="K493" s="337"/>
      <c r="L493" s="337"/>
      <c r="M493" s="337"/>
      <c r="N493" s="337"/>
      <c r="O493" s="337"/>
      <c r="T493" s="347"/>
      <c r="U493" s="347"/>
      <c r="V493" s="347"/>
      <c r="W493" s="398"/>
    </row>
    <row r="494" spans="1:27" ht="33.75" customHeight="1" x14ac:dyDescent="0.2">
      <c r="A494" s="337"/>
      <c r="B494" s="337"/>
      <c r="C494" s="341" t="s">
        <v>399</v>
      </c>
      <c r="D494" s="695" t="s">
        <v>406</v>
      </c>
      <c r="E494" s="696"/>
      <c r="F494" s="696"/>
      <c r="G494" s="696"/>
      <c r="H494" s="696"/>
      <c r="I494" s="696"/>
      <c r="J494" s="696"/>
      <c r="K494" s="696"/>
      <c r="L494" s="696"/>
      <c r="M494" s="696"/>
      <c r="N494" s="696"/>
      <c r="O494" s="696"/>
      <c r="P494" s="696"/>
      <c r="Q494" s="696"/>
      <c r="R494" s="696"/>
      <c r="S494" s="696"/>
      <c r="T494" s="696"/>
      <c r="U494" s="696"/>
      <c r="V494" s="696"/>
      <c r="W494" s="696"/>
      <c r="X494" s="696"/>
      <c r="Y494" s="697"/>
    </row>
    <row r="495" spans="1:27" s="432" customFormat="1" ht="18" customHeight="1" thickBot="1" x14ac:dyDescent="0.25">
      <c r="A495" s="431"/>
      <c r="B495" s="431"/>
      <c r="C495" s="664" t="s">
        <v>115</v>
      </c>
      <c r="D495" s="664"/>
      <c r="E495" s="664"/>
      <c r="F495" s="664"/>
      <c r="G495" s="664"/>
      <c r="H495" s="664"/>
      <c r="I495" s="664"/>
      <c r="J495" s="664"/>
      <c r="K495" s="664"/>
      <c r="L495" s="664"/>
      <c r="M495" s="664"/>
      <c r="N495" s="664"/>
      <c r="O495" s="664"/>
      <c r="P495" s="664"/>
      <c r="Q495" s="664"/>
      <c r="R495" s="664"/>
      <c r="S495" s="664"/>
      <c r="T495" s="664"/>
      <c r="U495" s="664"/>
      <c r="V495" s="664"/>
      <c r="W495" s="664"/>
      <c r="X495" s="664"/>
      <c r="Y495" s="664"/>
    </row>
    <row r="496" spans="1:27" ht="18" customHeight="1" thickBot="1" x14ac:dyDescent="0.25">
      <c r="A496" s="337"/>
      <c r="B496" s="337"/>
      <c r="C496" s="433"/>
      <c r="D496" s="433"/>
      <c r="E496" s="433"/>
      <c r="F496" s="433"/>
      <c r="G496" s="433"/>
      <c r="H496" s="433"/>
      <c r="I496" s="433"/>
      <c r="J496" s="433"/>
      <c r="K496" s="433"/>
      <c r="L496" s="433"/>
      <c r="M496" s="433"/>
      <c r="N496" s="433"/>
      <c r="O496" s="433"/>
      <c r="P496" s="433"/>
      <c r="Q496" s="433"/>
      <c r="R496" s="433"/>
      <c r="S496" s="433"/>
      <c r="T496" s="434"/>
      <c r="U496" s="435"/>
      <c r="V496" s="435"/>
      <c r="W496" s="377" t="str">
        <f>IF(AND($J$121="X",COUNTA($T$503,$T$504,$J$508,$T$508)&lt;3),"Le site est dans un système hydrogéomorphologique alluvial, la sous-partie 1.6 doit être renseignée. ",IF(AND(COUNTA($J$121)=0,COUNTA($T$498,$T$503,$T$504,$J$508,$T$508)&gt;0),"Le système n'est pas dans un système hydromorphologique alluvial, ne répondez pas aux 3 questions suivantes.",""))</f>
        <v/>
      </c>
      <c r="X496" s="433"/>
      <c r="Y496" s="433"/>
    </row>
    <row r="497" spans="1:25" ht="18" customHeight="1" x14ac:dyDescent="0.2">
      <c r="A497" s="337"/>
      <c r="B497" s="337"/>
      <c r="C497" s="581" t="s">
        <v>313</v>
      </c>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row>
    <row r="498" spans="1:25" ht="18" customHeight="1" x14ac:dyDescent="0.2">
      <c r="A498" s="337"/>
      <c r="B498" s="337"/>
      <c r="C498" s="337"/>
      <c r="D498" s="337"/>
      <c r="E498" s="337"/>
      <c r="F498" s="337"/>
      <c r="G498" s="337"/>
      <c r="H498" s="337"/>
      <c r="I498" s="337"/>
      <c r="J498" s="337"/>
      <c r="K498" s="394"/>
      <c r="L498" s="394"/>
      <c r="M498" s="394"/>
      <c r="N498" s="337"/>
      <c r="O498" s="337"/>
      <c r="S498" s="353" t="s">
        <v>260</v>
      </c>
      <c r="T498" s="578"/>
      <c r="U498" s="578"/>
      <c r="V498" s="578"/>
      <c r="W498" s="578"/>
      <c r="X498" s="591" t="s">
        <v>112</v>
      </c>
      <c r="Y498" s="591"/>
    </row>
    <row r="499" spans="1:25" ht="18" customHeight="1" x14ac:dyDescent="0.2">
      <c r="A499" s="337"/>
      <c r="B499" s="337"/>
      <c r="C499" s="337"/>
      <c r="D499" s="337"/>
      <c r="E499" s="337"/>
      <c r="F499" s="337"/>
      <c r="G499" s="337"/>
      <c r="H499" s="337"/>
      <c r="I499" s="337"/>
      <c r="J499" s="337"/>
      <c r="K499" s="337"/>
      <c r="L499" s="337"/>
      <c r="M499" s="337"/>
      <c r="N499" s="337"/>
      <c r="O499" s="337"/>
    </row>
    <row r="500" spans="1:25" ht="18" customHeight="1" x14ac:dyDescent="0.2">
      <c r="A500" s="337"/>
      <c r="B500" s="337"/>
      <c r="C500" s="337"/>
      <c r="D500" s="337"/>
      <c r="E500" s="337"/>
      <c r="F500" s="337"/>
      <c r="G500" s="337"/>
      <c r="H500" s="337"/>
      <c r="I500" s="337"/>
      <c r="J500" s="337"/>
      <c r="K500" s="337"/>
      <c r="L500" s="337"/>
      <c r="M500" s="337"/>
      <c r="N500" s="337"/>
      <c r="O500" s="337"/>
    </row>
    <row r="501" spans="1:25" ht="18" customHeight="1" x14ac:dyDescent="0.2">
      <c r="A501" s="337"/>
      <c r="B501" s="337"/>
      <c r="C501" s="583" t="s">
        <v>314</v>
      </c>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row>
    <row r="502" spans="1:25" ht="18" customHeight="1" x14ac:dyDescent="0.2">
      <c r="A502" s="337"/>
      <c r="B502" s="337"/>
      <c r="C502" s="592"/>
      <c r="D502" s="592"/>
      <c r="E502" s="592"/>
      <c r="F502" s="592"/>
      <c r="G502" s="592"/>
      <c r="H502" s="592"/>
      <c r="I502" s="592"/>
      <c r="J502" s="592"/>
      <c r="K502" s="592"/>
      <c r="L502" s="592"/>
      <c r="M502" s="592"/>
      <c r="N502" s="592"/>
      <c r="O502" s="592"/>
      <c r="P502" s="592"/>
      <c r="Q502" s="592"/>
      <c r="R502" s="592"/>
      <c r="S502" s="592"/>
      <c r="T502" s="592"/>
      <c r="U502" s="592"/>
      <c r="V502" s="592"/>
      <c r="W502" s="592"/>
      <c r="X502" s="592"/>
      <c r="Y502" s="592"/>
    </row>
    <row r="503" spans="1:25" ht="18" customHeight="1" x14ac:dyDescent="0.2">
      <c r="A503" s="337"/>
      <c r="B503" s="337"/>
      <c r="C503" s="436"/>
      <c r="D503" s="436"/>
      <c r="E503" s="436"/>
      <c r="F503" s="436"/>
      <c r="G503" s="436"/>
      <c r="H503" s="353"/>
      <c r="I503" s="353"/>
      <c r="J503" s="353"/>
      <c r="K503" s="337"/>
      <c r="L503" s="337"/>
      <c r="M503" s="337"/>
      <c r="N503" s="337"/>
      <c r="O503" s="337"/>
      <c r="S503" s="437" t="s">
        <v>261</v>
      </c>
      <c r="T503" s="578"/>
      <c r="U503" s="578"/>
      <c r="V503" s="578"/>
      <c r="W503" s="578"/>
      <c r="X503" s="591" t="s">
        <v>112</v>
      </c>
      <c r="Y503" s="591"/>
    </row>
    <row r="504" spans="1:25" ht="17.25" customHeight="1" thickBot="1" x14ac:dyDescent="0.25">
      <c r="A504" s="337"/>
      <c r="B504" s="337"/>
      <c r="C504" s="438"/>
      <c r="D504" s="439"/>
      <c r="E504" s="439"/>
      <c r="F504" s="439"/>
      <c r="G504" s="439"/>
      <c r="H504" s="439"/>
      <c r="I504" s="439"/>
      <c r="J504" s="439"/>
      <c r="K504" s="337"/>
      <c r="L504" s="337"/>
      <c r="M504" s="337"/>
      <c r="N504" s="337"/>
      <c r="O504" s="337"/>
      <c r="S504" s="440" t="s">
        <v>262</v>
      </c>
      <c r="T504" s="578"/>
      <c r="U504" s="578"/>
      <c r="V504" s="578"/>
      <c r="W504" s="578"/>
      <c r="X504" s="591" t="s">
        <v>112</v>
      </c>
      <c r="Y504" s="591"/>
    </row>
    <row r="505" spans="1:25" ht="18" customHeight="1" thickBot="1" x14ac:dyDescent="0.25">
      <c r="A505" s="337"/>
      <c r="B505" s="337"/>
      <c r="C505" s="337"/>
      <c r="D505" s="337"/>
      <c r="E505" s="337"/>
      <c r="F505" s="337"/>
      <c r="G505" s="337"/>
      <c r="H505" s="337"/>
      <c r="I505" s="337"/>
      <c r="J505" s="337"/>
      <c r="K505" s="337"/>
      <c r="L505" s="337"/>
      <c r="M505" s="337"/>
      <c r="N505" s="337"/>
      <c r="O505" s="337"/>
      <c r="T505" s="395"/>
      <c r="U505" s="396"/>
      <c r="V505" s="396"/>
      <c r="W505" s="397" t="str">
        <f>CONCATENATE(IF(AND($J$121="X",COUNTBLANK($T$503:$T$504)&gt;0),"Le site est dans un système hydrogéomorphologique alluvial, répondez à cette question.",""),(IF($T$503&lt;$T$504,CONCATENATE("La longueur développée doit être supérieure ou égale à la longueur de l'enveloppe de méandrage en passant par les points d'inflexion des sinuosités."),"")))</f>
        <v/>
      </c>
    </row>
    <row r="506" spans="1:25" ht="18" customHeight="1" x14ac:dyDescent="0.2">
      <c r="A506" s="337"/>
      <c r="B506" s="337"/>
      <c r="C506" s="337"/>
      <c r="D506" s="337"/>
      <c r="E506" s="337"/>
      <c r="F506" s="337"/>
      <c r="G506" s="337"/>
      <c r="H506" s="337"/>
      <c r="I506" s="337"/>
      <c r="J506" s="337"/>
      <c r="K506" s="337"/>
      <c r="L506" s="337"/>
      <c r="M506" s="337"/>
      <c r="N506" s="337"/>
      <c r="O506" s="337"/>
    </row>
    <row r="507" spans="1:25" ht="18" customHeight="1" x14ac:dyDescent="0.2">
      <c r="A507" s="337"/>
      <c r="B507" s="337"/>
      <c r="C507" s="581" t="s">
        <v>375</v>
      </c>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row>
    <row r="508" spans="1:25" ht="18" customHeight="1" x14ac:dyDescent="0.2">
      <c r="A508" s="337"/>
      <c r="B508" s="337"/>
      <c r="C508" s="354" t="s">
        <v>234</v>
      </c>
      <c r="D508" s="354"/>
      <c r="E508" s="337"/>
      <c r="H508" s="368"/>
      <c r="I508" s="353" t="s">
        <v>28</v>
      </c>
      <c r="J508" s="588"/>
      <c r="K508" s="588"/>
      <c r="P508" s="339"/>
      <c r="Q508" s="368"/>
      <c r="R508" s="368"/>
      <c r="S508" s="369" t="s">
        <v>29</v>
      </c>
      <c r="T508" s="588"/>
      <c r="U508" s="588"/>
      <c r="V508" s="588"/>
      <c r="W508" s="588"/>
    </row>
    <row r="509" spans="1:25" ht="18" customHeight="1" x14ac:dyDescent="0.2">
      <c r="A509" s="337"/>
      <c r="B509" s="337"/>
      <c r="C509" s="345"/>
      <c r="D509" s="337"/>
      <c r="E509" s="337"/>
      <c r="F509" s="337"/>
      <c r="G509" s="337"/>
      <c r="H509" s="337"/>
      <c r="I509" s="337"/>
      <c r="J509" s="337"/>
      <c r="K509" s="337"/>
      <c r="L509" s="337"/>
      <c r="M509" s="337"/>
      <c r="N509" s="337"/>
      <c r="O509" s="337"/>
    </row>
    <row r="510" spans="1:25" ht="18" customHeight="1" x14ac:dyDescent="0.2">
      <c r="A510" s="337"/>
      <c r="B510" s="337"/>
      <c r="C510" s="345"/>
      <c r="D510" s="337"/>
      <c r="E510" s="337"/>
      <c r="F510" s="337"/>
      <c r="G510" s="337"/>
      <c r="H510" s="337"/>
      <c r="I510" s="337"/>
      <c r="J510" s="337"/>
      <c r="K510" s="337"/>
      <c r="L510" s="337"/>
      <c r="M510" s="337"/>
      <c r="N510" s="337"/>
      <c r="O510" s="337"/>
    </row>
    <row r="511" spans="1:25" ht="35.25" customHeight="1" x14ac:dyDescent="0.2">
      <c r="A511" s="337"/>
      <c r="B511" s="337"/>
      <c r="C511" s="341" t="s">
        <v>398</v>
      </c>
      <c r="D511" s="695" t="s">
        <v>407</v>
      </c>
      <c r="E511" s="696"/>
      <c r="F511" s="696"/>
      <c r="G511" s="696"/>
      <c r="H511" s="696"/>
      <c r="I511" s="696"/>
      <c r="J511" s="696"/>
      <c r="K511" s="696"/>
      <c r="L511" s="696"/>
      <c r="M511" s="696"/>
      <c r="N511" s="696"/>
      <c r="O511" s="696"/>
      <c r="P511" s="696"/>
      <c r="Q511" s="696"/>
      <c r="R511" s="696"/>
      <c r="S511" s="696"/>
      <c r="T511" s="696"/>
      <c r="U511" s="696"/>
      <c r="V511" s="696"/>
      <c r="W511" s="696"/>
      <c r="X511" s="696"/>
      <c r="Y511" s="697"/>
    </row>
    <row r="512" spans="1:25" ht="18" customHeight="1" x14ac:dyDescent="0.2">
      <c r="A512" s="337"/>
      <c r="B512" s="337"/>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row>
    <row r="513" spans="1:25" ht="18" customHeight="1" x14ac:dyDescent="0.2">
      <c r="A513" s="337"/>
      <c r="B513" s="337"/>
      <c r="C513" s="581" t="s">
        <v>315</v>
      </c>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row>
    <row r="514" spans="1:25" ht="18" customHeight="1" x14ac:dyDescent="0.2">
      <c r="A514" s="337"/>
      <c r="B514" s="337"/>
      <c r="C514" s="536"/>
      <c r="D514" s="537"/>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1:25" s="347" customFormat="1" ht="18" customHeight="1" x14ac:dyDescent="0.2">
      <c r="C515" s="345"/>
      <c r="D515" s="332"/>
      <c r="E515" s="352"/>
      <c r="F515" s="352"/>
      <c r="G515" s="352"/>
      <c r="H515" s="352"/>
      <c r="I515" s="352"/>
      <c r="J515" s="352"/>
      <c r="K515" s="352"/>
      <c r="L515" s="352"/>
      <c r="M515" s="352"/>
      <c r="N515" s="352"/>
      <c r="O515" s="352"/>
      <c r="P515" s="352"/>
      <c r="Q515" s="352"/>
      <c r="R515" s="352"/>
      <c r="S515" s="352"/>
      <c r="T515" s="352"/>
      <c r="U515" s="352"/>
      <c r="V515" s="352"/>
      <c r="W515" s="352"/>
      <c r="X515" s="352"/>
      <c r="Y515" s="352"/>
    </row>
    <row r="516" spans="1:25" s="347" customFormat="1" ht="18" customHeight="1" x14ac:dyDescent="0.2">
      <c r="C516" s="345"/>
      <c r="D516" s="332"/>
      <c r="E516" s="352"/>
      <c r="F516" s="352"/>
      <c r="G516" s="352"/>
      <c r="H516" s="352"/>
      <c r="I516" s="352"/>
      <c r="J516" s="352"/>
      <c r="K516" s="352"/>
      <c r="L516" s="352"/>
      <c r="M516" s="352"/>
      <c r="N516" s="352"/>
      <c r="O516" s="352"/>
      <c r="P516" s="352"/>
      <c r="Q516" s="352"/>
      <c r="R516" s="352"/>
      <c r="S516" s="352"/>
      <c r="T516" s="352"/>
      <c r="U516" s="352"/>
      <c r="V516" s="352"/>
      <c r="W516" s="352"/>
      <c r="X516" s="352"/>
      <c r="Y516" s="352"/>
    </row>
    <row r="517" spans="1:25" ht="33.75" customHeight="1" x14ac:dyDescent="0.2">
      <c r="A517" s="337"/>
      <c r="B517" s="337"/>
      <c r="C517" s="341" t="s">
        <v>397</v>
      </c>
      <c r="D517" s="695" t="s">
        <v>408</v>
      </c>
      <c r="E517" s="696"/>
      <c r="F517" s="696"/>
      <c r="G517" s="696"/>
      <c r="H517" s="696"/>
      <c r="I517" s="696"/>
      <c r="J517" s="696"/>
      <c r="K517" s="696"/>
      <c r="L517" s="696"/>
      <c r="M517" s="696"/>
      <c r="N517" s="696"/>
      <c r="O517" s="696"/>
      <c r="P517" s="696"/>
      <c r="Q517" s="696"/>
      <c r="R517" s="696"/>
      <c r="S517" s="696"/>
      <c r="T517" s="696"/>
      <c r="U517" s="696"/>
      <c r="V517" s="696"/>
      <c r="W517" s="696"/>
      <c r="X517" s="696"/>
      <c r="Y517" s="697"/>
    </row>
    <row r="518" spans="1:25" ht="18" customHeight="1" x14ac:dyDescent="0.2">
      <c r="A518" s="337"/>
      <c r="B518" s="337"/>
      <c r="C518" s="660" t="s">
        <v>116</v>
      </c>
      <c r="D518" s="660"/>
      <c r="E518" s="660"/>
      <c r="F518" s="660"/>
      <c r="G518" s="660"/>
      <c r="H518" s="660"/>
      <c r="I518" s="660"/>
      <c r="J518" s="660"/>
      <c r="K518" s="660"/>
      <c r="L518" s="660"/>
      <c r="M518" s="660"/>
      <c r="N518" s="660"/>
      <c r="O518" s="660"/>
      <c r="P518" s="660"/>
      <c r="Q518" s="660"/>
      <c r="R518" s="660"/>
      <c r="S518" s="660"/>
      <c r="T518" s="660"/>
      <c r="U518" s="660"/>
      <c r="V518" s="660"/>
      <c r="W518" s="660"/>
      <c r="X518" s="660"/>
      <c r="Y518" s="660"/>
    </row>
    <row r="519" spans="1:25" ht="18" customHeight="1" x14ac:dyDescent="0.2">
      <c r="A519" s="337"/>
      <c r="B519" s="337"/>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row>
    <row r="520" spans="1:25" ht="18" customHeight="1" x14ac:dyDescent="0.2">
      <c r="A520" s="337"/>
      <c r="B520" s="337"/>
      <c r="C520" s="441"/>
      <c r="D520" s="441"/>
      <c r="E520" s="441"/>
      <c r="F520" s="441"/>
      <c r="G520" s="441"/>
      <c r="H520" s="441"/>
      <c r="I520" s="441"/>
      <c r="J520" s="441"/>
      <c r="K520" s="441"/>
      <c r="L520" s="441"/>
      <c r="M520" s="441"/>
      <c r="N520" s="441"/>
      <c r="O520" s="441"/>
      <c r="P520" s="441"/>
      <c r="Q520" s="441"/>
      <c r="R520" s="441"/>
      <c r="S520" s="441"/>
      <c r="T520" s="441"/>
      <c r="U520" s="441"/>
      <c r="V520" s="441"/>
      <c r="W520" s="441"/>
      <c r="X520" s="441"/>
      <c r="Y520" s="441"/>
    </row>
    <row r="521" spans="1:25" ht="18" customHeight="1" x14ac:dyDescent="0.2">
      <c r="A521" s="337"/>
      <c r="B521" s="337"/>
      <c r="C521" s="581" t="s">
        <v>316</v>
      </c>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row>
    <row r="522" spans="1:25" ht="18" customHeight="1" x14ac:dyDescent="0.2">
      <c r="A522" s="337"/>
      <c r="B522" s="337"/>
      <c r="C522" s="354" t="s">
        <v>234</v>
      </c>
      <c r="D522" s="354"/>
      <c r="E522" s="337"/>
      <c r="H522" s="368"/>
      <c r="I522" s="353" t="s">
        <v>28</v>
      </c>
      <c r="J522" s="588"/>
      <c r="K522" s="588"/>
      <c r="P522" s="339"/>
      <c r="Q522" s="368"/>
      <c r="R522" s="368"/>
      <c r="S522" s="369" t="s">
        <v>29</v>
      </c>
      <c r="T522" s="588"/>
      <c r="U522" s="588"/>
      <c r="V522" s="588"/>
      <c r="W522" s="588"/>
    </row>
    <row r="523" spans="1:25" ht="18" customHeight="1" x14ac:dyDescent="0.2">
      <c r="A523" s="337"/>
      <c r="B523" s="337"/>
      <c r="C523" s="345"/>
      <c r="D523" s="337"/>
    </row>
    <row r="524" spans="1:25" ht="18" customHeight="1" x14ac:dyDescent="0.2">
      <c r="A524" s="337"/>
      <c r="B524" s="337"/>
      <c r="C524" s="345"/>
      <c r="D524" s="337"/>
    </row>
    <row r="525" spans="1:25" ht="18" customHeight="1" x14ac:dyDescent="0.2">
      <c r="A525" s="337"/>
      <c r="B525" s="337"/>
      <c r="C525" s="581" t="s">
        <v>317</v>
      </c>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row>
    <row r="526" spans="1:25" ht="18" customHeight="1" x14ac:dyDescent="0.2">
      <c r="A526" s="337"/>
      <c r="B526" s="337"/>
      <c r="C526" s="536"/>
      <c r="D526" s="537"/>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1:25" ht="18" customHeight="1" x14ac:dyDescent="0.2">
      <c r="A527" s="337"/>
      <c r="B527" s="337"/>
      <c r="C527" s="345"/>
      <c r="D527" s="337"/>
    </row>
    <row r="528" spans="1:25" ht="18" customHeight="1" x14ac:dyDescent="0.2">
      <c r="A528" s="337"/>
      <c r="B528" s="337"/>
      <c r="C528" s="345"/>
      <c r="D528" s="337"/>
    </row>
    <row r="529" spans="1:25" ht="35.25" customHeight="1" x14ac:dyDescent="0.2">
      <c r="A529" s="337"/>
      <c r="B529" s="337"/>
      <c r="C529" s="341" t="s">
        <v>396</v>
      </c>
      <c r="D529" s="695" t="s">
        <v>748</v>
      </c>
      <c r="E529" s="696"/>
      <c r="F529" s="696"/>
      <c r="G529" s="696"/>
      <c r="H529" s="696"/>
      <c r="I529" s="696"/>
      <c r="J529" s="696"/>
      <c r="K529" s="696"/>
      <c r="L529" s="696"/>
      <c r="M529" s="696"/>
      <c r="N529" s="696"/>
      <c r="O529" s="696"/>
      <c r="P529" s="696"/>
      <c r="Q529" s="696"/>
      <c r="R529" s="696"/>
      <c r="S529" s="696"/>
      <c r="T529" s="696"/>
      <c r="U529" s="696"/>
      <c r="V529" s="696"/>
      <c r="W529" s="696"/>
      <c r="X529" s="696"/>
      <c r="Y529" s="697"/>
    </row>
    <row r="530" spans="1:25" ht="18" customHeight="1" x14ac:dyDescent="0.2">
      <c r="A530" s="337"/>
      <c r="B530" s="337"/>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row>
    <row r="531" spans="1:25" ht="18" customHeight="1" x14ac:dyDescent="0.2">
      <c r="A531" s="337"/>
      <c r="B531" s="337"/>
      <c r="C531" s="583" t="s">
        <v>318</v>
      </c>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row>
    <row r="532" spans="1:25" ht="18" customHeight="1" x14ac:dyDescent="0.2">
      <c r="A532" s="337"/>
      <c r="B532" s="337"/>
      <c r="C532" s="592"/>
      <c r="D532" s="592"/>
      <c r="E532" s="592"/>
      <c r="F532" s="592"/>
      <c r="G532" s="592"/>
      <c r="H532" s="592"/>
      <c r="I532" s="592"/>
      <c r="J532" s="592"/>
      <c r="K532" s="592"/>
      <c r="L532" s="592"/>
      <c r="M532" s="592"/>
      <c r="N532" s="592"/>
      <c r="O532" s="592"/>
      <c r="P532" s="592"/>
      <c r="Q532" s="592"/>
      <c r="R532" s="592"/>
      <c r="S532" s="592"/>
      <c r="T532" s="592"/>
      <c r="U532" s="592"/>
      <c r="V532" s="592"/>
      <c r="W532" s="592"/>
      <c r="X532" s="592"/>
      <c r="Y532" s="592"/>
    </row>
    <row r="533" spans="1:25" ht="18" customHeight="1" x14ac:dyDescent="0.2">
      <c r="A533" s="337"/>
      <c r="B533" s="337"/>
      <c r="C533" s="652" t="s">
        <v>749</v>
      </c>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row>
    <row r="534" spans="1:25" ht="18" customHeight="1" x14ac:dyDescent="0.2">
      <c r="A534" s="337"/>
      <c r="B534" s="337"/>
      <c r="C534" s="645"/>
      <c r="D534" s="646"/>
      <c r="E534" s="646"/>
      <c r="F534" s="646"/>
      <c r="G534" s="646"/>
      <c r="H534" s="646"/>
      <c r="I534" s="646"/>
      <c r="J534" s="646"/>
      <c r="K534" s="646"/>
      <c r="L534" s="646"/>
      <c r="M534" s="646"/>
      <c r="N534" s="646"/>
      <c r="O534" s="646"/>
      <c r="P534" s="646"/>
      <c r="Q534" s="646"/>
      <c r="R534" s="646"/>
      <c r="S534" s="646"/>
      <c r="T534" s="646"/>
      <c r="U534" s="646"/>
      <c r="V534" s="646"/>
      <c r="W534" s="646"/>
      <c r="X534" s="646"/>
      <c r="Y534" s="647"/>
    </row>
    <row r="535" spans="1:25" ht="18" customHeight="1" x14ac:dyDescent="0.2">
      <c r="A535" s="337"/>
      <c r="B535" s="337"/>
      <c r="C535" s="648"/>
      <c r="D535" s="649"/>
      <c r="E535" s="649"/>
      <c r="F535" s="649"/>
      <c r="G535" s="649"/>
      <c r="H535" s="649"/>
      <c r="I535" s="649"/>
      <c r="J535" s="649"/>
      <c r="K535" s="649"/>
      <c r="L535" s="649"/>
      <c r="M535" s="649"/>
      <c r="N535" s="649"/>
      <c r="O535" s="649"/>
      <c r="P535" s="649"/>
      <c r="Q535" s="649"/>
      <c r="R535" s="649"/>
      <c r="S535" s="649"/>
      <c r="T535" s="649"/>
      <c r="U535" s="649"/>
      <c r="V535" s="649"/>
      <c r="W535" s="649"/>
      <c r="X535" s="649"/>
      <c r="Y535" s="650"/>
    </row>
    <row r="536" spans="1:25" ht="18" customHeight="1" x14ac:dyDescent="0.2">
      <c r="A536" s="337"/>
      <c r="B536" s="337"/>
      <c r="C536" s="652" t="s">
        <v>752</v>
      </c>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row>
    <row r="537" spans="1:25" ht="18" customHeight="1" x14ac:dyDescent="0.2">
      <c r="A537" s="337"/>
      <c r="B537" s="337"/>
      <c r="C537" s="645"/>
      <c r="D537" s="646"/>
      <c r="E537" s="646"/>
      <c r="F537" s="646"/>
      <c r="G537" s="646"/>
      <c r="H537" s="646"/>
      <c r="I537" s="646"/>
      <c r="J537" s="646"/>
      <c r="K537" s="646"/>
      <c r="L537" s="646"/>
      <c r="M537" s="646"/>
      <c r="N537" s="646"/>
      <c r="O537" s="646"/>
      <c r="P537" s="646"/>
      <c r="Q537" s="646"/>
      <c r="R537" s="646"/>
      <c r="S537" s="646"/>
      <c r="T537" s="646"/>
      <c r="U537" s="646"/>
      <c r="V537" s="646"/>
      <c r="W537" s="646"/>
      <c r="X537" s="646"/>
      <c r="Y537" s="647"/>
    </row>
    <row r="538" spans="1:25" ht="18" customHeight="1" x14ac:dyDescent="0.2">
      <c r="A538" s="337"/>
      <c r="B538" s="337"/>
      <c r="C538" s="648"/>
      <c r="D538" s="649"/>
      <c r="E538" s="649"/>
      <c r="F538" s="649"/>
      <c r="G538" s="649"/>
      <c r="H538" s="649"/>
      <c r="I538" s="649"/>
      <c r="J538" s="649"/>
      <c r="K538" s="649"/>
      <c r="L538" s="649"/>
      <c r="M538" s="649"/>
      <c r="N538" s="649"/>
      <c r="O538" s="649"/>
      <c r="P538" s="649"/>
      <c r="Q538" s="649"/>
      <c r="R538" s="649"/>
      <c r="S538" s="649"/>
      <c r="T538" s="649"/>
      <c r="U538" s="649"/>
      <c r="V538" s="649"/>
      <c r="W538" s="649"/>
      <c r="X538" s="649"/>
      <c r="Y538" s="650"/>
    </row>
    <row r="539" spans="1:25" ht="18" customHeight="1" x14ac:dyDescent="0.2">
      <c r="A539" s="337"/>
      <c r="B539" s="337"/>
      <c r="C539" s="652" t="s">
        <v>264</v>
      </c>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row>
    <row r="540" spans="1:25" ht="18" customHeight="1" x14ac:dyDescent="0.2">
      <c r="A540" s="337"/>
      <c r="B540" s="337"/>
      <c r="C540" s="645"/>
      <c r="D540" s="646"/>
      <c r="E540" s="646"/>
      <c r="F540" s="646"/>
      <c r="G540" s="646"/>
      <c r="H540" s="646"/>
      <c r="I540" s="646"/>
      <c r="J540" s="646"/>
      <c r="K540" s="646"/>
      <c r="L540" s="646"/>
      <c r="M540" s="646"/>
      <c r="N540" s="646"/>
      <c r="O540" s="646"/>
      <c r="P540" s="646"/>
      <c r="Q540" s="646"/>
      <c r="R540" s="646"/>
      <c r="S540" s="646"/>
      <c r="T540" s="646"/>
      <c r="U540" s="646"/>
      <c r="V540" s="646"/>
      <c r="W540" s="646"/>
      <c r="X540" s="646"/>
      <c r="Y540" s="647"/>
    </row>
    <row r="541" spans="1:25" ht="18" customHeight="1" x14ac:dyDescent="0.2">
      <c r="A541" s="337"/>
      <c r="B541" s="337"/>
      <c r="C541" s="648"/>
      <c r="D541" s="649"/>
      <c r="E541" s="649"/>
      <c r="F541" s="649"/>
      <c r="G541" s="649"/>
      <c r="H541" s="649"/>
      <c r="I541" s="649"/>
      <c r="J541" s="649"/>
      <c r="K541" s="649"/>
      <c r="L541" s="649"/>
      <c r="M541" s="649"/>
      <c r="N541" s="649"/>
      <c r="O541" s="649"/>
      <c r="P541" s="649"/>
      <c r="Q541" s="649"/>
      <c r="R541" s="649"/>
      <c r="S541" s="649"/>
      <c r="T541" s="649"/>
      <c r="U541" s="649"/>
      <c r="V541" s="649"/>
      <c r="W541" s="649"/>
      <c r="X541" s="649"/>
      <c r="Y541" s="650"/>
    </row>
    <row r="542" spans="1:25" ht="18" customHeight="1" x14ac:dyDescent="0.2">
      <c r="A542" s="337"/>
      <c r="B542" s="337"/>
      <c r="C542" s="651" t="s">
        <v>750</v>
      </c>
      <c r="D542" s="651"/>
      <c r="E542" s="651"/>
      <c r="F542" s="651"/>
      <c r="G542" s="651"/>
      <c r="H542" s="651"/>
      <c r="I542" s="651"/>
      <c r="J542" s="651"/>
      <c r="K542" s="651"/>
      <c r="L542" s="651"/>
      <c r="M542" s="651"/>
      <c r="N542" s="651"/>
      <c r="O542" s="651"/>
      <c r="P542" s="651"/>
      <c r="Q542" s="651"/>
      <c r="R542" s="651"/>
      <c r="S542" s="651"/>
      <c r="T542" s="651"/>
      <c r="U542" s="651"/>
      <c r="V542" s="651"/>
      <c r="W542" s="651"/>
      <c r="X542" s="651"/>
      <c r="Y542" s="651"/>
    </row>
    <row r="543" spans="1:25" ht="18" customHeight="1" x14ac:dyDescent="0.2">
      <c r="A543" s="337"/>
      <c r="B543" s="337"/>
      <c r="C543" s="645"/>
      <c r="D543" s="646"/>
      <c r="E543" s="646"/>
      <c r="F543" s="646"/>
      <c r="G543" s="646"/>
      <c r="H543" s="646"/>
      <c r="I543" s="646"/>
      <c r="J543" s="646"/>
      <c r="K543" s="646"/>
      <c r="L543" s="646"/>
      <c r="M543" s="646"/>
      <c r="N543" s="646"/>
      <c r="O543" s="646"/>
      <c r="P543" s="646"/>
      <c r="Q543" s="646"/>
      <c r="R543" s="646"/>
      <c r="S543" s="646"/>
      <c r="T543" s="646"/>
      <c r="U543" s="646"/>
      <c r="V543" s="646"/>
      <c r="W543" s="646"/>
      <c r="X543" s="646"/>
      <c r="Y543" s="647"/>
    </row>
    <row r="544" spans="1:25" ht="18" customHeight="1" x14ac:dyDescent="0.2">
      <c r="A544" s="337"/>
      <c r="B544" s="337"/>
      <c r="C544" s="648"/>
      <c r="D544" s="649"/>
      <c r="E544" s="649"/>
      <c r="F544" s="649"/>
      <c r="G544" s="649"/>
      <c r="H544" s="649"/>
      <c r="I544" s="649"/>
      <c r="J544" s="649"/>
      <c r="K544" s="649"/>
      <c r="L544" s="649"/>
      <c r="M544" s="649"/>
      <c r="N544" s="649"/>
      <c r="O544" s="649"/>
      <c r="P544" s="649"/>
      <c r="Q544" s="649"/>
      <c r="R544" s="649"/>
      <c r="S544" s="649"/>
      <c r="T544" s="649"/>
      <c r="U544" s="649"/>
      <c r="V544" s="649"/>
      <c r="W544" s="649"/>
      <c r="X544" s="649"/>
      <c r="Y544" s="650"/>
    </row>
    <row r="545" spans="1:25" ht="18" customHeight="1" x14ac:dyDescent="0.2">
      <c r="A545" s="337"/>
      <c r="B545" s="337"/>
      <c r="C545" s="651" t="s">
        <v>263</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row>
    <row r="546" spans="1:25" ht="18" customHeight="1" x14ac:dyDescent="0.2">
      <c r="A546" s="337"/>
      <c r="B546" s="337"/>
      <c r="C546" s="645"/>
      <c r="D546" s="646"/>
      <c r="E546" s="646"/>
      <c r="F546" s="646"/>
      <c r="G546" s="646"/>
      <c r="H546" s="646"/>
      <c r="I546" s="646"/>
      <c r="J546" s="646"/>
      <c r="K546" s="646"/>
      <c r="L546" s="646"/>
      <c r="M546" s="646"/>
      <c r="N546" s="646"/>
      <c r="O546" s="646"/>
      <c r="P546" s="646"/>
      <c r="Q546" s="646"/>
      <c r="R546" s="646"/>
      <c r="S546" s="646"/>
      <c r="T546" s="646"/>
      <c r="U546" s="646"/>
      <c r="V546" s="646"/>
      <c r="W546" s="646"/>
      <c r="X546" s="646"/>
      <c r="Y546" s="647"/>
    </row>
    <row r="547" spans="1:25" ht="18" customHeight="1" x14ac:dyDescent="0.2">
      <c r="A547" s="337"/>
      <c r="B547" s="337"/>
      <c r="C547" s="648"/>
      <c r="D547" s="649"/>
      <c r="E547" s="649"/>
      <c r="F547" s="649"/>
      <c r="G547" s="649"/>
      <c r="H547" s="649"/>
      <c r="I547" s="649"/>
      <c r="J547" s="649"/>
      <c r="K547" s="649"/>
      <c r="L547" s="649"/>
      <c r="M547" s="649"/>
      <c r="N547" s="649"/>
      <c r="O547" s="649"/>
      <c r="P547" s="649"/>
      <c r="Q547" s="649"/>
      <c r="R547" s="649"/>
      <c r="S547" s="649"/>
      <c r="T547" s="649"/>
      <c r="U547" s="649"/>
      <c r="V547" s="649"/>
      <c r="W547" s="649"/>
      <c r="X547" s="649"/>
      <c r="Y547" s="650"/>
    </row>
    <row r="548" spans="1:25" ht="18" customHeight="1" x14ac:dyDescent="0.2">
      <c r="A548" s="337"/>
      <c r="B548" s="337"/>
      <c r="C548" s="337"/>
      <c r="D548" s="337"/>
      <c r="E548" s="337"/>
      <c r="F548" s="337"/>
      <c r="G548" s="337"/>
      <c r="H548" s="337"/>
      <c r="I548" s="337"/>
      <c r="J548" s="337"/>
      <c r="K548" s="337"/>
      <c r="L548" s="337"/>
      <c r="M548" s="337"/>
      <c r="N548" s="337"/>
      <c r="O548" s="337"/>
    </row>
    <row r="549" spans="1:25" ht="18" customHeight="1" x14ac:dyDescent="0.2">
      <c r="A549" s="337"/>
      <c r="B549" s="337"/>
      <c r="C549" s="337"/>
      <c r="D549" s="337"/>
      <c r="E549" s="337"/>
      <c r="F549" s="337"/>
      <c r="G549" s="337"/>
      <c r="H549" s="337"/>
      <c r="I549" s="337"/>
      <c r="J549" s="337"/>
      <c r="K549" s="337"/>
      <c r="L549" s="337"/>
      <c r="M549" s="337"/>
      <c r="N549" s="337"/>
      <c r="O549" s="337"/>
    </row>
    <row r="550" spans="1:25" ht="18" customHeight="1" x14ac:dyDescent="0.2">
      <c r="A550" s="337"/>
      <c r="B550" s="337"/>
      <c r="C550" s="583" t="s">
        <v>751</v>
      </c>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row>
    <row r="551" spans="1:25" ht="18" customHeight="1" x14ac:dyDescent="0.2">
      <c r="A551" s="337"/>
      <c r="B551" s="337"/>
      <c r="C551" s="583"/>
      <c r="D551" s="583"/>
      <c r="E551" s="583"/>
      <c r="F551" s="583"/>
      <c r="G551" s="583"/>
      <c r="H551" s="583"/>
      <c r="I551" s="583"/>
      <c r="J551" s="583"/>
      <c r="K551" s="583"/>
      <c r="L551" s="583"/>
      <c r="M551" s="583"/>
      <c r="N551" s="583"/>
      <c r="O551" s="583"/>
      <c r="P551" s="583"/>
      <c r="Q551" s="583"/>
      <c r="R551" s="583"/>
      <c r="S551" s="583"/>
      <c r="T551" s="583"/>
      <c r="U551" s="583"/>
      <c r="V551" s="583"/>
      <c r="W551" s="583"/>
      <c r="X551" s="583"/>
      <c r="Y551" s="583"/>
    </row>
    <row r="552" spans="1:25" ht="18" customHeight="1" x14ac:dyDescent="0.2">
      <c r="A552" s="337"/>
      <c r="B552" s="337"/>
      <c r="C552" s="654"/>
      <c r="D552" s="655"/>
      <c r="E552" s="655"/>
      <c r="F552" s="655"/>
      <c r="G552" s="655"/>
      <c r="H552" s="655"/>
      <c r="I552" s="655"/>
      <c r="J552" s="655"/>
      <c r="K552" s="655"/>
      <c r="L552" s="655"/>
      <c r="M552" s="655"/>
      <c r="N552" s="655"/>
      <c r="O552" s="655"/>
      <c r="P552" s="655"/>
      <c r="Q552" s="655"/>
      <c r="R552" s="655"/>
      <c r="S552" s="655"/>
      <c r="T552" s="655"/>
      <c r="U552" s="655"/>
      <c r="V552" s="655"/>
      <c r="W552" s="655"/>
      <c r="X552" s="655"/>
      <c r="Y552" s="656"/>
    </row>
    <row r="553" spans="1:25" ht="18" customHeight="1" x14ac:dyDescent="0.2">
      <c r="A553" s="337"/>
      <c r="B553" s="337"/>
      <c r="C553" s="657"/>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9"/>
    </row>
    <row r="554" spans="1:25" ht="18" customHeight="1" x14ac:dyDescent="0.2">
      <c r="A554" s="337"/>
      <c r="B554" s="337"/>
      <c r="C554" s="337"/>
      <c r="D554" s="337"/>
      <c r="E554" s="337"/>
      <c r="F554" s="337"/>
      <c r="G554" s="337"/>
      <c r="H554" s="337"/>
      <c r="I554" s="337"/>
      <c r="J554" s="337"/>
      <c r="K554" s="337"/>
      <c r="L554" s="337"/>
      <c r="M554" s="337"/>
      <c r="N554" s="337"/>
      <c r="O554" s="337"/>
    </row>
    <row r="555" spans="1:25" ht="18" customHeight="1" x14ac:dyDescent="0.2">
      <c r="A555" s="337"/>
      <c r="B555" s="337"/>
      <c r="C555" s="337"/>
      <c r="D555" s="337"/>
      <c r="E555" s="337"/>
      <c r="F555" s="337"/>
      <c r="G555" s="337"/>
      <c r="H555" s="337"/>
      <c r="I555" s="337"/>
      <c r="J555" s="337"/>
      <c r="K555" s="337"/>
      <c r="L555" s="337"/>
      <c r="M555" s="337"/>
      <c r="N555" s="337"/>
      <c r="O555" s="337"/>
    </row>
    <row r="556" spans="1:25" ht="18" customHeight="1" x14ac:dyDescent="0.2">
      <c r="A556" s="337"/>
      <c r="B556" s="337"/>
      <c r="C556" s="583" t="s">
        <v>319</v>
      </c>
      <c r="D556" s="583"/>
      <c r="E556" s="583"/>
      <c r="F556" s="583"/>
      <c r="G556" s="583"/>
      <c r="H556" s="583"/>
      <c r="I556" s="583"/>
      <c r="J556" s="583"/>
      <c r="K556" s="583"/>
      <c r="L556" s="583"/>
      <c r="M556" s="583"/>
      <c r="N556" s="583"/>
      <c r="O556" s="583"/>
      <c r="P556" s="583"/>
      <c r="Q556" s="583"/>
      <c r="R556" s="583"/>
      <c r="S556" s="583"/>
      <c r="T556" s="583"/>
      <c r="U556" s="583"/>
      <c r="V556" s="583"/>
      <c r="W556" s="583"/>
      <c r="X556" s="583"/>
      <c r="Y556" s="583"/>
    </row>
    <row r="557" spans="1:25" ht="18" customHeight="1" x14ac:dyDescent="0.2">
      <c r="A557" s="337"/>
      <c r="B557" s="337"/>
      <c r="C557" s="592"/>
      <c r="D557" s="592"/>
      <c r="E557" s="592"/>
      <c r="F557" s="592"/>
      <c r="G557" s="592"/>
      <c r="H557" s="592"/>
      <c r="I557" s="592"/>
      <c r="J557" s="592"/>
      <c r="K557" s="592"/>
      <c r="L557" s="592"/>
      <c r="M557" s="592"/>
      <c r="N557" s="592"/>
      <c r="O557" s="592"/>
      <c r="P557" s="592"/>
      <c r="Q557" s="592"/>
      <c r="R557" s="592"/>
      <c r="S557" s="592"/>
      <c r="T557" s="592"/>
      <c r="U557" s="592"/>
      <c r="V557" s="592"/>
      <c r="W557" s="592"/>
      <c r="X557" s="592"/>
      <c r="Y557" s="592"/>
    </row>
    <row r="558" spans="1:25" ht="18" customHeight="1" x14ac:dyDescent="0.2">
      <c r="A558" s="337"/>
      <c r="B558" s="337"/>
      <c r="C558" s="652" t="s">
        <v>749</v>
      </c>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row>
    <row r="559" spans="1:25" ht="18" customHeight="1" x14ac:dyDescent="0.2">
      <c r="A559" s="337"/>
      <c r="B559" s="337"/>
      <c r="C559" s="645"/>
      <c r="D559" s="646"/>
      <c r="E559" s="646"/>
      <c r="F559" s="646"/>
      <c r="G559" s="646"/>
      <c r="H559" s="646"/>
      <c r="I559" s="646"/>
      <c r="J559" s="646"/>
      <c r="K559" s="646"/>
      <c r="L559" s="646"/>
      <c r="M559" s="646"/>
      <c r="N559" s="646"/>
      <c r="O559" s="646"/>
      <c r="P559" s="646"/>
      <c r="Q559" s="646"/>
      <c r="R559" s="646"/>
      <c r="S559" s="646"/>
      <c r="T559" s="646"/>
      <c r="U559" s="646"/>
      <c r="V559" s="646"/>
      <c r="W559" s="646"/>
      <c r="X559" s="646"/>
      <c r="Y559" s="647"/>
    </row>
    <row r="560" spans="1:25" ht="18" customHeight="1" x14ac:dyDescent="0.2">
      <c r="A560" s="337"/>
      <c r="B560" s="337"/>
      <c r="C560" s="648"/>
      <c r="D560" s="649"/>
      <c r="E560" s="649"/>
      <c r="F560" s="649"/>
      <c r="G560" s="649"/>
      <c r="H560" s="649"/>
      <c r="I560" s="649"/>
      <c r="J560" s="649"/>
      <c r="K560" s="649"/>
      <c r="L560" s="649"/>
      <c r="M560" s="649"/>
      <c r="N560" s="649"/>
      <c r="O560" s="649"/>
      <c r="P560" s="649"/>
      <c r="Q560" s="649"/>
      <c r="R560" s="649"/>
      <c r="S560" s="649"/>
      <c r="T560" s="649"/>
      <c r="U560" s="649"/>
      <c r="V560" s="649"/>
      <c r="W560" s="649"/>
      <c r="X560" s="649"/>
      <c r="Y560" s="650"/>
    </row>
    <row r="561" spans="1:25" ht="18" customHeight="1" x14ac:dyDescent="0.2">
      <c r="A561" s="337"/>
      <c r="B561" s="337"/>
      <c r="C561" s="652" t="s">
        <v>752</v>
      </c>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row>
    <row r="562" spans="1:25" ht="18" customHeight="1" x14ac:dyDescent="0.2">
      <c r="A562" s="337"/>
      <c r="B562" s="337"/>
      <c r="C562" s="645"/>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7"/>
    </row>
    <row r="563" spans="1:25" ht="18" customHeight="1" x14ac:dyDescent="0.2">
      <c r="A563" s="337"/>
      <c r="B563" s="337"/>
      <c r="C563" s="648"/>
      <c r="D563" s="649"/>
      <c r="E563" s="649"/>
      <c r="F563" s="649"/>
      <c r="G563" s="649"/>
      <c r="H563" s="649"/>
      <c r="I563" s="649"/>
      <c r="J563" s="649"/>
      <c r="K563" s="649"/>
      <c r="L563" s="649"/>
      <c r="M563" s="649"/>
      <c r="N563" s="649"/>
      <c r="O563" s="649"/>
      <c r="P563" s="649"/>
      <c r="Q563" s="649"/>
      <c r="R563" s="649"/>
      <c r="S563" s="649"/>
      <c r="T563" s="649"/>
      <c r="U563" s="649"/>
      <c r="V563" s="649"/>
      <c r="W563" s="649"/>
      <c r="X563" s="649"/>
      <c r="Y563" s="650"/>
    </row>
    <row r="564" spans="1:25" ht="18" customHeight="1" x14ac:dyDescent="0.2">
      <c r="A564" s="337"/>
      <c r="B564" s="337"/>
      <c r="C564" s="653" t="s">
        <v>264</v>
      </c>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row>
    <row r="565" spans="1:25" ht="18" customHeight="1" x14ac:dyDescent="0.2">
      <c r="A565" s="337"/>
      <c r="B565" s="337"/>
      <c r="C565" s="645"/>
      <c r="D565" s="646"/>
      <c r="E565" s="646"/>
      <c r="F565" s="646"/>
      <c r="G565" s="646"/>
      <c r="H565" s="646"/>
      <c r="I565" s="646"/>
      <c r="J565" s="646"/>
      <c r="K565" s="646"/>
      <c r="L565" s="646"/>
      <c r="M565" s="646"/>
      <c r="N565" s="646"/>
      <c r="O565" s="646"/>
      <c r="P565" s="646"/>
      <c r="Q565" s="646"/>
      <c r="R565" s="646"/>
      <c r="S565" s="646"/>
      <c r="T565" s="646"/>
      <c r="U565" s="646"/>
      <c r="V565" s="646"/>
      <c r="W565" s="646"/>
      <c r="X565" s="646"/>
      <c r="Y565" s="647"/>
    </row>
    <row r="566" spans="1:25" ht="18" customHeight="1" x14ac:dyDescent="0.2">
      <c r="A566" s="337"/>
      <c r="B566" s="337"/>
      <c r="C566" s="648"/>
      <c r="D566" s="649"/>
      <c r="E566" s="649"/>
      <c r="F566" s="649"/>
      <c r="G566" s="649"/>
      <c r="H566" s="649"/>
      <c r="I566" s="649"/>
      <c r="J566" s="649"/>
      <c r="K566" s="649"/>
      <c r="L566" s="649"/>
      <c r="M566" s="649"/>
      <c r="N566" s="649"/>
      <c r="O566" s="649"/>
      <c r="P566" s="649"/>
      <c r="Q566" s="649"/>
      <c r="R566" s="649"/>
      <c r="S566" s="649"/>
      <c r="T566" s="649"/>
      <c r="U566" s="649"/>
      <c r="V566" s="649"/>
      <c r="W566" s="649"/>
      <c r="X566" s="649"/>
      <c r="Y566" s="650"/>
    </row>
    <row r="567" spans="1:25" ht="18" customHeight="1" x14ac:dyDescent="0.2">
      <c r="A567" s="337"/>
      <c r="B567" s="337"/>
      <c r="C567" s="651" t="s">
        <v>753</v>
      </c>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row>
    <row r="568" spans="1:25" ht="18" customHeight="1" x14ac:dyDescent="0.2">
      <c r="A568" s="337"/>
      <c r="B568" s="337"/>
      <c r="C568" s="645"/>
      <c r="D568" s="646"/>
      <c r="E568" s="646"/>
      <c r="F568" s="646"/>
      <c r="G568" s="646"/>
      <c r="H568" s="646"/>
      <c r="I568" s="646"/>
      <c r="J568" s="646"/>
      <c r="K568" s="646"/>
      <c r="L568" s="646"/>
      <c r="M568" s="646"/>
      <c r="N568" s="646"/>
      <c r="O568" s="646"/>
      <c r="P568" s="646"/>
      <c r="Q568" s="646"/>
      <c r="R568" s="646"/>
      <c r="S568" s="646"/>
      <c r="T568" s="646"/>
      <c r="U568" s="646"/>
      <c r="V568" s="646"/>
      <c r="W568" s="646"/>
      <c r="X568" s="646"/>
      <c r="Y568" s="647"/>
    </row>
    <row r="569" spans="1:25" ht="18" customHeight="1" x14ac:dyDescent="0.2">
      <c r="A569" s="337"/>
      <c r="B569" s="337"/>
      <c r="C569" s="648"/>
      <c r="D569" s="649"/>
      <c r="E569" s="649"/>
      <c r="F569" s="649"/>
      <c r="G569" s="649"/>
      <c r="H569" s="649"/>
      <c r="I569" s="649"/>
      <c r="J569" s="649"/>
      <c r="K569" s="649"/>
      <c r="L569" s="649"/>
      <c r="M569" s="649"/>
      <c r="N569" s="649"/>
      <c r="O569" s="649"/>
      <c r="P569" s="649"/>
      <c r="Q569" s="649"/>
      <c r="R569" s="649"/>
      <c r="S569" s="649"/>
      <c r="T569" s="649"/>
      <c r="U569" s="649"/>
      <c r="V569" s="649"/>
      <c r="W569" s="649"/>
      <c r="X569" s="649"/>
      <c r="Y569" s="650"/>
    </row>
    <row r="570" spans="1:25" ht="18" customHeight="1" x14ac:dyDescent="0.2">
      <c r="A570" s="337"/>
      <c r="B570" s="337"/>
      <c r="C570" s="337"/>
      <c r="D570" s="337"/>
      <c r="E570" s="337"/>
      <c r="F570" s="337"/>
      <c r="G570" s="337"/>
      <c r="H570" s="337"/>
      <c r="I570" s="337"/>
      <c r="J570" s="337"/>
      <c r="K570" s="337"/>
      <c r="L570" s="337"/>
      <c r="M570" s="337"/>
      <c r="N570" s="337"/>
      <c r="O570" s="337"/>
    </row>
    <row r="571" spans="1:25" ht="18" customHeight="1" x14ac:dyDescent="0.2">
      <c r="A571" s="337"/>
      <c r="B571" s="337"/>
      <c r="C571" s="337"/>
      <c r="D571" s="337"/>
      <c r="E571" s="337"/>
      <c r="F571" s="337"/>
      <c r="G571" s="337"/>
      <c r="H571" s="337"/>
      <c r="I571" s="337"/>
      <c r="J571" s="337"/>
      <c r="K571" s="337"/>
      <c r="L571" s="337"/>
      <c r="M571" s="337"/>
      <c r="N571" s="337"/>
      <c r="O571" s="337"/>
    </row>
    <row r="572" spans="1:25" ht="33.75" customHeight="1" x14ac:dyDescent="0.2">
      <c r="A572" s="337"/>
      <c r="B572" s="337"/>
      <c r="C572" s="341" t="s">
        <v>395</v>
      </c>
      <c r="D572" s="695" t="s">
        <v>754</v>
      </c>
      <c r="E572" s="696"/>
      <c r="F572" s="696"/>
      <c r="G572" s="696"/>
      <c r="H572" s="696"/>
      <c r="I572" s="696"/>
      <c r="J572" s="696"/>
      <c r="K572" s="696"/>
      <c r="L572" s="696"/>
      <c r="M572" s="696"/>
      <c r="N572" s="696"/>
      <c r="O572" s="696"/>
      <c r="P572" s="696"/>
      <c r="Q572" s="696"/>
      <c r="R572" s="696"/>
      <c r="S572" s="696"/>
      <c r="T572" s="696"/>
      <c r="U572" s="696"/>
      <c r="V572" s="696"/>
      <c r="W572" s="696"/>
      <c r="X572" s="696"/>
      <c r="Y572" s="697"/>
    </row>
    <row r="573" spans="1:25" ht="18" customHeight="1" x14ac:dyDescent="0.2">
      <c r="A573" s="337"/>
      <c r="B573" s="337"/>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row>
    <row r="574" spans="1:25" ht="18" customHeight="1" x14ac:dyDescent="0.2">
      <c r="A574" s="337"/>
      <c r="B574" s="337"/>
      <c r="C574" s="583" t="s">
        <v>320</v>
      </c>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row>
    <row r="575" spans="1:25" ht="18" customHeight="1" x14ac:dyDescent="0.2">
      <c r="A575" s="337"/>
      <c r="B575" s="337"/>
      <c r="C575" s="583"/>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row>
    <row r="576" spans="1:25" ht="18" customHeight="1" x14ac:dyDescent="0.2">
      <c r="A576" s="337"/>
      <c r="B576" s="337"/>
      <c r="C576" s="645"/>
      <c r="D576" s="646"/>
      <c r="E576" s="646"/>
      <c r="F576" s="646"/>
      <c r="G576" s="646"/>
      <c r="H576" s="646"/>
      <c r="I576" s="646"/>
      <c r="J576" s="646"/>
      <c r="K576" s="646"/>
      <c r="L576" s="646"/>
      <c r="M576" s="646"/>
      <c r="N576" s="646"/>
      <c r="O576" s="646"/>
      <c r="P576" s="646"/>
      <c r="Q576" s="646"/>
      <c r="R576" s="646"/>
      <c r="S576" s="646"/>
      <c r="T576" s="646"/>
      <c r="U576" s="646"/>
      <c r="V576" s="646"/>
      <c r="W576" s="646"/>
      <c r="X576" s="646"/>
      <c r="Y576" s="647"/>
    </row>
    <row r="577" spans="1:25" ht="18" customHeight="1" x14ac:dyDescent="0.2">
      <c r="A577" s="337"/>
      <c r="B577" s="337"/>
      <c r="C577" s="648"/>
      <c r="D577" s="649"/>
      <c r="E577" s="649"/>
      <c r="F577" s="649"/>
      <c r="G577" s="649"/>
      <c r="H577" s="649"/>
      <c r="I577" s="649"/>
      <c r="J577" s="649"/>
      <c r="K577" s="649"/>
      <c r="L577" s="649"/>
      <c r="M577" s="649"/>
      <c r="N577" s="649"/>
      <c r="O577" s="649"/>
      <c r="P577" s="649"/>
      <c r="Q577" s="649"/>
      <c r="R577" s="649"/>
      <c r="S577" s="649"/>
      <c r="T577" s="649"/>
      <c r="U577" s="649"/>
      <c r="V577" s="649"/>
      <c r="W577" s="649"/>
      <c r="X577" s="649"/>
      <c r="Y577" s="650"/>
    </row>
    <row r="578" spans="1:25" ht="18" customHeight="1" x14ac:dyDescent="0.2">
      <c r="A578" s="337"/>
      <c r="B578" s="337"/>
      <c r="C578" s="345"/>
      <c r="D578" s="337"/>
      <c r="E578" s="337"/>
      <c r="F578" s="337"/>
      <c r="G578" s="337"/>
      <c r="H578" s="337"/>
      <c r="I578" s="337"/>
      <c r="J578" s="337"/>
      <c r="K578" s="337"/>
      <c r="L578" s="337"/>
      <c r="M578" s="337"/>
      <c r="N578" s="337"/>
      <c r="O578" s="337"/>
    </row>
    <row r="579" spans="1:25" ht="18" customHeight="1" x14ac:dyDescent="0.2">
      <c r="A579" s="337"/>
      <c r="B579" s="337"/>
      <c r="C579" s="345"/>
      <c r="D579" s="337"/>
      <c r="E579" s="337"/>
      <c r="F579" s="337"/>
      <c r="G579" s="337"/>
      <c r="H579" s="337"/>
      <c r="I579" s="337"/>
      <c r="J579" s="337"/>
      <c r="K579" s="337"/>
      <c r="L579" s="337"/>
      <c r="M579" s="337"/>
      <c r="N579" s="337"/>
      <c r="O579" s="337"/>
    </row>
    <row r="580" spans="1:25" ht="18" customHeight="1" x14ac:dyDescent="0.2">
      <c r="A580" s="337"/>
      <c r="B580" s="337"/>
      <c r="C580" s="583" t="s">
        <v>321</v>
      </c>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row>
    <row r="581" spans="1:25" ht="18" customHeight="1" x14ac:dyDescent="0.2">
      <c r="A581" s="337"/>
      <c r="B581" s="337"/>
      <c r="C581" s="583"/>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row>
    <row r="582" spans="1:25" ht="18" customHeight="1" x14ac:dyDescent="0.2">
      <c r="A582" s="337"/>
      <c r="B582" s="337"/>
      <c r="C582" s="645"/>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7"/>
    </row>
    <row r="583" spans="1:25" ht="18" customHeight="1" x14ac:dyDescent="0.2">
      <c r="A583" s="337"/>
      <c r="B583" s="337"/>
      <c r="C583" s="648"/>
      <c r="D583" s="649"/>
      <c r="E583" s="649"/>
      <c r="F583" s="649"/>
      <c r="G583" s="649"/>
      <c r="H583" s="649"/>
      <c r="I583" s="649"/>
      <c r="J583" s="649"/>
      <c r="K583" s="649"/>
      <c r="L583" s="649"/>
      <c r="M583" s="649"/>
      <c r="N583" s="649"/>
      <c r="O583" s="649"/>
      <c r="P583" s="649"/>
      <c r="Q583" s="649"/>
      <c r="R583" s="649"/>
      <c r="S583" s="649"/>
      <c r="T583" s="649"/>
      <c r="U583" s="649"/>
      <c r="V583" s="649"/>
      <c r="W583" s="649"/>
      <c r="X583" s="649"/>
      <c r="Y583" s="650"/>
    </row>
    <row r="584" spans="1:25" ht="18" customHeight="1" x14ac:dyDescent="0.2">
      <c r="A584" s="337"/>
      <c r="B584" s="337"/>
      <c r="C584" s="345"/>
      <c r="D584" s="337"/>
      <c r="E584" s="337"/>
      <c r="F584" s="337"/>
      <c r="G584" s="337"/>
      <c r="H584" s="337"/>
      <c r="I584" s="337"/>
      <c r="J584" s="337"/>
      <c r="K584" s="337"/>
      <c r="L584" s="337"/>
      <c r="M584" s="337"/>
      <c r="N584" s="337"/>
      <c r="O584" s="337"/>
    </row>
    <row r="585" spans="1:25" ht="18" customHeight="1" x14ac:dyDescent="0.2">
      <c r="A585" s="337"/>
      <c r="B585" s="337"/>
      <c r="C585" s="345"/>
      <c r="D585" s="337"/>
      <c r="E585" s="337"/>
      <c r="F585" s="337"/>
      <c r="G585" s="337"/>
      <c r="H585" s="337"/>
      <c r="I585" s="337"/>
      <c r="J585" s="337"/>
      <c r="K585" s="337"/>
      <c r="L585" s="337"/>
      <c r="M585" s="337"/>
      <c r="N585" s="337"/>
      <c r="O585" s="337"/>
    </row>
    <row r="586" spans="1:25" ht="18" customHeight="1" x14ac:dyDescent="0.2">
      <c r="A586" s="337"/>
      <c r="B586" s="337"/>
      <c r="C586" s="583" t="s">
        <v>322</v>
      </c>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row>
    <row r="587" spans="1:25" ht="18" customHeight="1" x14ac:dyDescent="0.2">
      <c r="A587" s="337"/>
      <c r="B587" s="337"/>
      <c r="C587" s="583"/>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row>
    <row r="588" spans="1:25" ht="18" customHeight="1" x14ac:dyDescent="0.2">
      <c r="A588" s="337"/>
      <c r="B588" s="337"/>
      <c r="C588" s="645"/>
      <c r="D588" s="646"/>
      <c r="E588" s="646"/>
      <c r="F588" s="646"/>
      <c r="G588" s="646"/>
      <c r="H588" s="646"/>
      <c r="I588" s="646"/>
      <c r="J588" s="646"/>
      <c r="K588" s="646"/>
      <c r="L588" s="646"/>
      <c r="M588" s="646"/>
      <c r="N588" s="646"/>
      <c r="O588" s="646"/>
      <c r="P588" s="646"/>
      <c r="Q588" s="646"/>
      <c r="R588" s="646"/>
      <c r="S588" s="646"/>
      <c r="T588" s="646"/>
      <c r="U588" s="646"/>
      <c r="V588" s="646"/>
      <c r="W588" s="646"/>
      <c r="X588" s="646"/>
      <c r="Y588" s="647"/>
    </row>
    <row r="589" spans="1:25" ht="18" customHeight="1" x14ac:dyDescent="0.2">
      <c r="A589" s="337"/>
      <c r="B589" s="337"/>
      <c r="C589" s="648"/>
      <c r="D589" s="649"/>
      <c r="E589" s="649"/>
      <c r="F589" s="649"/>
      <c r="G589" s="649"/>
      <c r="H589" s="649"/>
      <c r="I589" s="649"/>
      <c r="J589" s="649"/>
      <c r="K589" s="649"/>
      <c r="L589" s="649"/>
      <c r="M589" s="649"/>
      <c r="N589" s="649"/>
      <c r="O589" s="649"/>
      <c r="P589" s="649"/>
      <c r="Q589" s="649"/>
      <c r="R589" s="649"/>
      <c r="S589" s="649"/>
      <c r="T589" s="649"/>
      <c r="U589" s="649"/>
      <c r="V589" s="649"/>
      <c r="W589" s="649"/>
      <c r="X589" s="649"/>
      <c r="Y589" s="650"/>
    </row>
    <row r="590" spans="1:25" ht="18" customHeight="1" x14ac:dyDescent="0.2">
      <c r="A590" s="337"/>
      <c r="B590" s="337"/>
      <c r="C590" s="345"/>
      <c r="D590" s="337"/>
      <c r="E590" s="337"/>
      <c r="F590" s="337"/>
      <c r="G590" s="337"/>
      <c r="H590" s="337"/>
      <c r="I590" s="337"/>
      <c r="J590" s="337"/>
      <c r="K590" s="337"/>
      <c r="L590" s="337"/>
      <c r="M590" s="337"/>
      <c r="N590" s="386"/>
      <c r="O590" s="380"/>
    </row>
    <row r="591" spans="1:25" ht="18" customHeight="1" x14ac:dyDescent="0.2">
      <c r="A591" s="337"/>
      <c r="B591" s="337"/>
      <c r="C591" s="345"/>
      <c r="D591" s="337"/>
      <c r="E591" s="337"/>
      <c r="F591" s="337"/>
      <c r="G591" s="337"/>
      <c r="H591" s="337"/>
      <c r="I591" s="337"/>
      <c r="J591" s="337"/>
      <c r="K591" s="337"/>
      <c r="L591" s="337"/>
      <c r="M591" s="337"/>
      <c r="N591" s="386"/>
      <c r="O591" s="380"/>
    </row>
    <row r="592" spans="1:25" ht="18" customHeight="1" x14ac:dyDescent="0.2">
      <c r="A592" s="337"/>
      <c r="B592" s="337"/>
      <c r="C592" s="583" t="s">
        <v>323</v>
      </c>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row>
    <row r="593" spans="1:25" ht="18" customHeight="1" x14ac:dyDescent="0.2">
      <c r="A593" s="337"/>
      <c r="B593" s="337"/>
      <c r="C593" s="592"/>
      <c r="D593" s="592"/>
      <c r="E593" s="592"/>
      <c r="F593" s="592"/>
      <c r="G593" s="592"/>
      <c r="H593" s="592"/>
      <c r="I593" s="592"/>
      <c r="J593" s="592"/>
      <c r="K593" s="592"/>
      <c r="L593" s="592"/>
      <c r="M593" s="592"/>
      <c r="N593" s="592"/>
      <c r="O593" s="592"/>
      <c r="P593" s="592"/>
      <c r="Q593" s="592"/>
      <c r="R593" s="592"/>
      <c r="S593" s="592"/>
      <c r="T593" s="592"/>
      <c r="U593" s="592"/>
      <c r="V593" s="592"/>
      <c r="W593" s="592"/>
      <c r="X593" s="592"/>
      <c r="Y593" s="592"/>
    </row>
    <row r="594" spans="1:25" ht="18" customHeight="1" x14ac:dyDescent="0.2">
      <c r="A594" s="337"/>
      <c r="B594" s="337"/>
      <c r="C594" s="354" t="s">
        <v>234</v>
      </c>
      <c r="D594" s="354"/>
      <c r="E594" s="337"/>
      <c r="H594" s="368"/>
      <c r="I594" s="353" t="s">
        <v>28</v>
      </c>
      <c r="J594" s="588"/>
      <c r="K594" s="588"/>
      <c r="P594" s="339"/>
      <c r="Q594" s="368"/>
      <c r="R594" s="368"/>
      <c r="S594" s="369" t="s">
        <v>29</v>
      </c>
      <c r="T594" s="588"/>
      <c r="U594" s="588"/>
      <c r="V594" s="588"/>
      <c r="W594" s="588"/>
    </row>
    <row r="595" spans="1:25" ht="18" customHeight="1" x14ac:dyDescent="0.2">
      <c r="A595" s="337"/>
      <c r="B595" s="337"/>
      <c r="C595" s="345"/>
      <c r="D595" s="337"/>
      <c r="E595" s="337"/>
      <c r="F595" s="337"/>
      <c r="G595" s="337"/>
      <c r="H595" s="337"/>
      <c r="I595" s="337"/>
      <c r="J595" s="337"/>
      <c r="K595" s="337"/>
      <c r="L595" s="337"/>
      <c r="M595" s="337"/>
      <c r="N595" s="337"/>
      <c r="O595" s="337"/>
    </row>
    <row r="596" spans="1:25" ht="18" customHeight="1" x14ac:dyDescent="0.2">
      <c r="A596" s="337"/>
      <c r="B596" s="337"/>
      <c r="C596" s="345"/>
      <c r="D596" s="337"/>
      <c r="E596" s="337"/>
      <c r="F596" s="337"/>
      <c r="G596" s="337"/>
      <c r="H596" s="337"/>
      <c r="I596" s="337"/>
      <c r="J596" s="337"/>
      <c r="K596" s="337"/>
      <c r="L596" s="337"/>
      <c r="M596" s="337"/>
      <c r="N596" s="337"/>
      <c r="O596" s="337"/>
    </row>
    <row r="597" spans="1:25" ht="18" customHeight="1" x14ac:dyDescent="0.2">
      <c r="A597" s="337"/>
      <c r="B597" s="337"/>
      <c r="C597" s="583" t="s">
        <v>376</v>
      </c>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row>
    <row r="598" spans="1:25" ht="18" customHeight="1" x14ac:dyDescent="0.2">
      <c r="A598" s="337"/>
      <c r="B598" s="337"/>
      <c r="C598" s="592"/>
      <c r="D598" s="592"/>
      <c r="E598" s="592"/>
      <c r="F598" s="592"/>
      <c r="G598" s="592"/>
      <c r="H598" s="592"/>
      <c r="I598" s="592"/>
      <c r="J598" s="592"/>
      <c r="K598" s="592"/>
      <c r="L598" s="592"/>
      <c r="M598" s="592"/>
      <c r="N598" s="592"/>
      <c r="O598" s="592"/>
      <c r="P598" s="592"/>
      <c r="Q598" s="592"/>
      <c r="R598" s="592"/>
      <c r="S598" s="592"/>
      <c r="T598" s="592"/>
      <c r="U598" s="592"/>
      <c r="V598" s="592"/>
      <c r="W598" s="592"/>
      <c r="X598" s="592"/>
      <c r="Y598" s="592"/>
    </row>
    <row r="599" spans="1:25" ht="18" customHeight="1" x14ac:dyDescent="0.2">
      <c r="A599" s="337"/>
      <c r="B599" s="337"/>
      <c r="C599" s="356"/>
      <c r="D599" s="443"/>
      <c r="E599" s="443"/>
      <c r="F599" s="443"/>
      <c r="G599" s="641" t="s">
        <v>265</v>
      </c>
      <c r="H599" s="641"/>
      <c r="I599" s="641"/>
      <c r="J599" s="641"/>
      <c r="K599" s="641"/>
      <c r="L599" s="641"/>
      <c r="M599" s="641"/>
      <c r="N599" s="641"/>
      <c r="O599" s="641"/>
      <c r="P599" s="641"/>
      <c r="Q599" s="641"/>
      <c r="R599" s="641"/>
      <c r="S599" s="641"/>
    </row>
    <row r="600" spans="1:25" ht="18" customHeight="1" x14ac:dyDescent="0.2">
      <c r="A600" s="337"/>
      <c r="B600" s="337"/>
      <c r="C600" s="419"/>
      <c r="D600" s="419"/>
      <c r="E600" s="419"/>
      <c r="F600" s="419"/>
      <c r="G600" s="642"/>
      <c r="H600" s="642"/>
      <c r="I600" s="642"/>
      <c r="J600" s="642"/>
      <c r="K600" s="642"/>
      <c r="L600" s="642"/>
      <c r="M600" s="642"/>
      <c r="N600" s="642"/>
      <c r="O600" s="642"/>
      <c r="P600" s="642"/>
      <c r="Q600" s="642"/>
      <c r="R600" s="642"/>
      <c r="S600" s="642"/>
      <c r="T600" s="590"/>
      <c r="U600" s="590"/>
      <c r="V600" s="590"/>
      <c r="W600" s="590"/>
      <c r="X600" s="591" t="s">
        <v>118</v>
      </c>
      <c r="Y600" s="591"/>
    </row>
    <row r="601" spans="1:25" ht="18" customHeight="1" x14ac:dyDescent="0.2">
      <c r="A601" s="337"/>
      <c r="B601" s="337"/>
      <c r="C601" s="345"/>
      <c r="D601" s="419"/>
      <c r="E601" s="419"/>
      <c r="F601" s="419"/>
      <c r="G601" s="419"/>
      <c r="H601" s="419"/>
      <c r="I601" s="419"/>
      <c r="J601" s="419"/>
      <c r="K601" s="337"/>
      <c r="L601" s="337"/>
      <c r="M601" s="337"/>
      <c r="N601" s="337"/>
      <c r="O601" s="337"/>
    </row>
    <row r="602" spans="1:25" ht="18" customHeight="1" x14ac:dyDescent="0.2">
      <c r="A602" s="337"/>
      <c r="B602" s="337"/>
      <c r="C602" s="337"/>
      <c r="D602" s="337"/>
      <c r="E602" s="337"/>
      <c r="F602" s="337"/>
      <c r="G602" s="337"/>
      <c r="H602" s="337"/>
      <c r="I602" s="337"/>
      <c r="J602" s="337"/>
      <c r="K602" s="444"/>
      <c r="L602" s="337"/>
      <c r="M602" s="337"/>
      <c r="N602" s="337"/>
      <c r="O602" s="337"/>
    </row>
    <row r="603" spans="1:25" ht="35.25" customHeight="1" x14ac:dyDescent="0.2">
      <c r="A603" s="337"/>
      <c r="B603" s="337"/>
      <c r="C603" s="341">
        <v>2</v>
      </c>
      <c r="D603" s="695" t="s">
        <v>385</v>
      </c>
      <c r="E603" s="696"/>
      <c r="F603" s="696"/>
      <c r="G603" s="696"/>
      <c r="H603" s="696"/>
      <c r="I603" s="696"/>
      <c r="J603" s="696"/>
      <c r="K603" s="696"/>
      <c r="L603" s="696"/>
      <c r="M603" s="696"/>
      <c r="N603" s="696"/>
      <c r="O603" s="696"/>
      <c r="P603" s="696"/>
      <c r="Q603" s="696"/>
      <c r="R603" s="696"/>
      <c r="S603" s="696"/>
      <c r="T603" s="696"/>
      <c r="U603" s="696"/>
      <c r="V603" s="696"/>
      <c r="W603" s="696"/>
      <c r="X603" s="696"/>
      <c r="Y603" s="697"/>
    </row>
    <row r="604" spans="1:25" ht="18" customHeight="1" x14ac:dyDescent="0.2">
      <c r="A604" s="337"/>
      <c r="B604" s="337"/>
      <c r="C604" s="337"/>
      <c r="D604" s="337"/>
      <c r="E604" s="337"/>
      <c r="F604" s="337"/>
      <c r="G604" s="337"/>
      <c r="H604" s="337"/>
      <c r="I604" s="337"/>
      <c r="J604" s="337"/>
      <c r="K604" s="337"/>
      <c r="L604" s="337"/>
      <c r="M604" s="337"/>
      <c r="N604" s="337"/>
      <c r="O604" s="337"/>
    </row>
    <row r="605" spans="1:25" ht="18" customHeight="1" x14ac:dyDescent="0.2">
      <c r="A605" s="337"/>
      <c r="B605" s="337"/>
      <c r="C605" s="337"/>
      <c r="D605" s="337"/>
      <c r="E605" s="337"/>
      <c r="F605" s="337"/>
      <c r="G605" s="337"/>
      <c r="H605" s="337"/>
      <c r="I605" s="343" t="s">
        <v>266</v>
      </c>
      <c r="J605" s="643"/>
      <c r="K605" s="644"/>
      <c r="L605" s="337"/>
      <c r="M605" s="337"/>
      <c r="N605" s="337"/>
      <c r="O605" s="337"/>
    </row>
    <row r="606" spans="1:25" ht="18" customHeight="1" x14ac:dyDescent="0.2">
      <c r="A606" s="337"/>
      <c r="B606" s="337"/>
      <c r="C606" s="345"/>
      <c r="D606" s="337"/>
      <c r="E606" s="337"/>
      <c r="F606" s="337"/>
      <c r="G606" s="337"/>
      <c r="H606" s="337"/>
      <c r="I606" s="445"/>
      <c r="J606" s="337"/>
      <c r="K606" s="337"/>
      <c r="L606" s="337"/>
      <c r="M606" s="337"/>
      <c r="N606" s="337"/>
      <c r="O606" s="337"/>
    </row>
    <row r="607" spans="1:25" ht="18" customHeight="1" x14ac:dyDescent="0.2">
      <c r="A607" s="337"/>
      <c r="B607" s="337"/>
      <c r="C607" s="344" t="s">
        <v>267</v>
      </c>
      <c r="D607" s="344"/>
      <c r="E607" s="344"/>
      <c r="F607" s="344"/>
      <c r="G607" s="344"/>
      <c r="H607" s="344"/>
      <c r="I607" s="344"/>
      <c r="J607" s="344"/>
      <c r="K607" s="344"/>
      <c r="L607" s="344"/>
      <c r="M607" s="344"/>
      <c r="N607" s="337"/>
      <c r="O607" s="337"/>
    </row>
    <row r="608" spans="1:25" ht="18" customHeight="1" x14ac:dyDescent="0.2">
      <c r="A608" s="337"/>
      <c r="B608" s="337"/>
      <c r="C608" s="344"/>
      <c r="D608" s="446"/>
      <c r="E608" s="447"/>
      <c r="F608" s="640" t="s">
        <v>0</v>
      </c>
      <c r="G608" s="640"/>
      <c r="H608" s="640"/>
      <c r="I608" s="640" t="s">
        <v>1</v>
      </c>
      <c r="J608" s="640"/>
      <c r="K608" s="640"/>
      <c r="L608" s="640" t="s">
        <v>2</v>
      </c>
      <c r="M608" s="640"/>
      <c r="N608" s="640"/>
      <c r="O608" s="640" t="s">
        <v>3</v>
      </c>
      <c r="P608" s="640"/>
      <c r="Q608" s="640"/>
      <c r="R608" s="640"/>
      <c r="S608" s="640"/>
      <c r="T608" s="640"/>
    </row>
    <row r="609" spans="1:25" ht="18" customHeight="1" x14ac:dyDescent="0.2">
      <c r="A609" s="337"/>
      <c r="B609" s="337"/>
      <c r="C609" s="344"/>
      <c r="D609" s="446"/>
      <c r="E609" s="447"/>
      <c r="F609" s="638"/>
      <c r="G609" s="638"/>
      <c r="H609" s="638"/>
      <c r="I609" s="638"/>
      <c r="J609" s="638"/>
      <c r="K609" s="638"/>
      <c r="L609" s="638"/>
      <c r="M609" s="638"/>
      <c r="N609" s="638"/>
      <c r="O609" s="638"/>
      <c r="P609" s="638"/>
      <c r="Q609" s="638"/>
      <c r="R609" s="638"/>
      <c r="S609" s="638"/>
      <c r="T609" s="638"/>
    </row>
    <row r="610" spans="1:25" ht="18" customHeight="1" x14ac:dyDescent="0.2">
      <c r="A610" s="337"/>
      <c r="B610" s="337"/>
      <c r="C610" s="344"/>
      <c r="D610" s="446"/>
      <c r="E610" s="447"/>
      <c r="F610" s="638"/>
      <c r="G610" s="638"/>
      <c r="H610" s="638"/>
      <c r="I610" s="638"/>
      <c r="J610" s="638"/>
      <c r="K610" s="638"/>
      <c r="L610" s="638"/>
      <c r="M610" s="638"/>
      <c r="N610" s="638"/>
      <c r="O610" s="638"/>
      <c r="P610" s="638"/>
      <c r="Q610" s="638"/>
      <c r="R610" s="638"/>
      <c r="S610" s="638"/>
      <c r="T610" s="638"/>
    </row>
    <row r="611" spans="1:25" ht="18" customHeight="1" x14ac:dyDescent="0.2">
      <c r="A611" s="337"/>
      <c r="B611" s="337"/>
      <c r="C611" s="344"/>
      <c r="D611" s="446"/>
      <c r="E611" s="447"/>
      <c r="F611" s="638"/>
      <c r="G611" s="638"/>
      <c r="H611" s="638"/>
      <c r="I611" s="638"/>
      <c r="J611" s="638"/>
      <c r="K611" s="638"/>
      <c r="L611" s="638"/>
      <c r="M611" s="638"/>
      <c r="N611" s="638"/>
      <c r="O611" s="638"/>
      <c r="P611" s="638"/>
      <c r="Q611" s="638"/>
      <c r="R611" s="638"/>
      <c r="S611" s="638"/>
      <c r="T611" s="638"/>
    </row>
    <row r="612" spans="1:25" ht="18" customHeight="1" x14ac:dyDescent="0.2">
      <c r="A612" s="337"/>
      <c r="B612" s="337"/>
      <c r="C612" s="344"/>
      <c r="D612" s="446"/>
      <c r="E612" s="447"/>
      <c r="F612" s="638"/>
      <c r="G612" s="638"/>
      <c r="H612" s="638"/>
      <c r="I612" s="638"/>
      <c r="J612" s="638"/>
      <c r="K612" s="638"/>
      <c r="L612" s="638"/>
      <c r="M612" s="638"/>
      <c r="N612" s="638"/>
      <c r="O612" s="638"/>
      <c r="P612" s="638"/>
      <c r="Q612" s="638"/>
      <c r="R612" s="638"/>
      <c r="S612" s="638"/>
      <c r="T612" s="638"/>
    </row>
    <row r="613" spans="1:25" ht="18" customHeight="1" x14ac:dyDescent="0.2">
      <c r="A613" s="337"/>
      <c r="B613" s="337"/>
      <c r="C613" s="345"/>
      <c r="D613" s="337"/>
      <c r="E613" s="337"/>
      <c r="F613" s="337"/>
      <c r="G613" s="337"/>
      <c r="H613" s="337"/>
      <c r="I613" s="337"/>
      <c r="J613" s="337"/>
      <c r="K613" s="337"/>
      <c r="L613" s="337"/>
      <c r="M613" s="337"/>
      <c r="N613" s="337"/>
      <c r="O613" s="337"/>
    </row>
    <row r="614" spans="1:25" ht="18" customHeight="1" x14ac:dyDescent="0.2">
      <c r="A614" s="337"/>
      <c r="B614" s="337"/>
      <c r="C614" s="345"/>
      <c r="D614" s="337"/>
      <c r="E614" s="337"/>
      <c r="F614" s="337"/>
      <c r="G614" s="337"/>
      <c r="H614" s="337"/>
      <c r="I614" s="337"/>
      <c r="J614" s="337"/>
      <c r="K614" s="337"/>
      <c r="L614" s="337"/>
      <c r="M614" s="337"/>
      <c r="N614" s="337"/>
      <c r="O614" s="337"/>
    </row>
    <row r="615" spans="1:25" ht="33.75" customHeight="1" x14ac:dyDescent="0.2">
      <c r="A615" s="337"/>
      <c r="B615" s="337"/>
      <c r="C615" s="341" t="s">
        <v>394</v>
      </c>
      <c r="D615" s="695" t="s">
        <v>409</v>
      </c>
      <c r="E615" s="696"/>
      <c r="F615" s="696"/>
      <c r="G615" s="696"/>
      <c r="H615" s="696"/>
      <c r="I615" s="696"/>
      <c r="J615" s="696"/>
      <c r="K615" s="696"/>
      <c r="L615" s="696"/>
      <c r="M615" s="696"/>
      <c r="N615" s="696"/>
      <c r="O615" s="696"/>
      <c r="P615" s="696"/>
      <c r="Q615" s="696"/>
      <c r="R615" s="696"/>
      <c r="S615" s="696"/>
      <c r="T615" s="696"/>
      <c r="U615" s="696"/>
      <c r="V615" s="696"/>
      <c r="W615" s="696"/>
      <c r="X615" s="696"/>
      <c r="Y615" s="697"/>
    </row>
    <row r="616" spans="1:25" ht="18" customHeight="1" x14ac:dyDescent="0.2">
      <c r="A616" s="337"/>
      <c r="B616" s="337"/>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row>
    <row r="617" spans="1:25" ht="18" customHeight="1" x14ac:dyDescent="0.2">
      <c r="A617" s="337"/>
      <c r="B617" s="337"/>
      <c r="C617" s="581" t="s">
        <v>324</v>
      </c>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row>
    <row r="618" spans="1:25" ht="18" customHeight="1" x14ac:dyDescent="0.2">
      <c r="A618" s="346"/>
      <c r="B618" s="346"/>
      <c r="C618" s="619" t="s">
        <v>74</v>
      </c>
      <c r="D618" s="619"/>
      <c r="E618" s="619"/>
      <c r="F618" s="619"/>
      <c r="G618" s="619"/>
      <c r="H618" s="619"/>
      <c r="I618" s="619"/>
      <c r="J618" s="619"/>
      <c r="K618" s="619"/>
      <c r="L618" s="619"/>
      <c r="M618" s="619"/>
      <c r="N618" s="619"/>
      <c r="O618" s="619"/>
      <c r="P618" s="619"/>
      <c r="Q618" s="619"/>
      <c r="R618" s="619"/>
      <c r="S618" s="619"/>
      <c r="T618" s="448" t="s">
        <v>73</v>
      </c>
      <c r="U618" s="347"/>
      <c r="V618" s="347"/>
      <c r="W618" s="347"/>
      <c r="X618" s="347"/>
      <c r="Y618" s="347"/>
    </row>
    <row r="619" spans="1:25" ht="18" customHeight="1" x14ac:dyDescent="0.2">
      <c r="A619" s="346"/>
      <c r="B619" s="346"/>
      <c r="C619" s="639" t="s">
        <v>377</v>
      </c>
      <c r="D619" s="639"/>
      <c r="E619" s="639"/>
      <c r="F619" s="639"/>
      <c r="G619" s="639"/>
      <c r="H619" s="639"/>
      <c r="I619" s="639"/>
      <c r="J619" s="639"/>
      <c r="K619" s="639"/>
      <c r="L619" s="639"/>
      <c r="M619" s="639"/>
      <c r="N619" s="639"/>
      <c r="O619" s="639"/>
      <c r="P619" s="639"/>
      <c r="Q619" s="639"/>
      <c r="R619" s="639"/>
      <c r="S619" s="639"/>
      <c r="T619" s="590"/>
      <c r="U619" s="590"/>
      <c r="V619" s="590"/>
      <c r="W619" s="590"/>
      <c r="X619" s="579" t="s">
        <v>5</v>
      </c>
      <c r="Y619" s="579"/>
    </row>
    <row r="620" spans="1:25" ht="18" customHeight="1" x14ac:dyDescent="0.2">
      <c r="A620" s="346"/>
      <c r="B620" s="346"/>
      <c r="C620" s="639"/>
      <c r="D620" s="639"/>
      <c r="E620" s="639"/>
      <c r="F620" s="639"/>
      <c r="G620" s="639"/>
      <c r="H620" s="639"/>
      <c r="I620" s="639"/>
      <c r="J620" s="639"/>
      <c r="K620" s="639"/>
      <c r="L620" s="639"/>
      <c r="M620" s="639"/>
      <c r="N620" s="639"/>
      <c r="O620" s="639"/>
      <c r="P620" s="639"/>
      <c r="Q620" s="639"/>
      <c r="R620" s="639"/>
      <c r="S620" s="639"/>
      <c r="T620" s="590"/>
      <c r="U620" s="590"/>
      <c r="V620" s="590"/>
      <c r="W620" s="590"/>
      <c r="X620" s="579"/>
      <c r="Y620" s="579"/>
    </row>
    <row r="621" spans="1:25" ht="18" customHeight="1" x14ac:dyDescent="0.2">
      <c r="A621" s="346"/>
      <c r="B621" s="346"/>
      <c r="C621" s="600" t="s">
        <v>498</v>
      </c>
      <c r="D621" s="601"/>
      <c r="E621" s="601"/>
      <c r="F621" s="601"/>
      <c r="G621" s="601"/>
      <c r="H621" s="601"/>
      <c r="I621" s="601"/>
      <c r="J621" s="601"/>
      <c r="K621" s="601"/>
      <c r="L621" s="601"/>
      <c r="M621" s="601"/>
      <c r="N621" s="601"/>
      <c r="O621" s="601"/>
      <c r="P621" s="601"/>
      <c r="Q621" s="601"/>
      <c r="R621" s="601"/>
      <c r="S621" s="601"/>
      <c r="T621" s="601"/>
      <c r="U621" s="601"/>
      <c r="V621" s="601"/>
      <c r="W621" s="601"/>
      <c r="X621" s="601"/>
      <c r="Y621" s="602"/>
    </row>
    <row r="622" spans="1:25" ht="18" customHeight="1" x14ac:dyDescent="0.2">
      <c r="A622" s="346"/>
      <c r="B622" s="346"/>
      <c r="C622" s="449"/>
      <c r="D622" s="620" t="s">
        <v>1518</v>
      </c>
      <c r="E622" s="620"/>
      <c r="F622" s="620"/>
      <c r="G622" s="620"/>
      <c r="H622" s="620"/>
      <c r="I622" s="620"/>
      <c r="J622" s="620"/>
      <c r="K622" s="620"/>
      <c r="L622" s="620"/>
      <c r="M622" s="620"/>
      <c r="N622" s="620"/>
      <c r="O622" s="620"/>
      <c r="P622" s="620"/>
      <c r="Q622" s="620"/>
      <c r="R622" s="620"/>
      <c r="S622" s="620"/>
      <c r="T622" s="590"/>
      <c r="U622" s="590"/>
      <c r="V622" s="590"/>
      <c r="W622" s="590"/>
      <c r="X622" s="622" t="s">
        <v>5</v>
      </c>
      <c r="Y622" s="623"/>
    </row>
    <row r="623" spans="1:25" ht="18" customHeight="1" x14ac:dyDescent="0.2">
      <c r="A623" s="346"/>
      <c r="B623" s="346"/>
      <c r="C623" s="450"/>
      <c r="D623" s="620" t="s">
        <v>439</v>
      </c>
      <c r="E623" s="620"/>
      <c r="F623" s="620"/>
      <c r="G623" s="620"/>
      <c r="H623" s="620"/>
      <c r="I623" s="620"/>
      <c r="J623" s="620"/>
      <c r="K623" s="620"/>
      <c r="L623" s="620"/>
      <c r="M623" s="620"/>
      <c r="N623" s="620"/>
      <c r="O623" s="620"/>
      <c r="P623" s="620"/>
      <c r="Q623" s="620"/>
      <c r="R623" s="620"/>
      <c r="S623" s="620"/>
      <c r="T623" s="590"/>
      <c r="U623" s="590"/>
      <c r="V623" s="590"/>
      <c r="W623" s="590"/>
      <c r="X623" s="622" t="s">
        <v>5</v>
      </c>
      <c r="Y623" s="623"/>
    </row>
    <row r="624" spans="1:25" ht="18" customHeight="1" x14ac:dyDescent="0.2">
      <c r="A624" s="346"/>
      <c r="B624" s="346"/>
      <c r="C624" s="451"/>
      <c r="D624" s="633" t="s">
        <v>75</v>
      </c>
      <c r="E624" s="633"/>
      <c r="F624" s="633"/>
      <c r="G624" s="633"/>
      <c r="H624" s="633"/>
      <c r="I624" s="633"/>
      <c r="J624" s="633"/>
      <c r="K624" s="633"/>
      <c r="L624" s="633"/>
      <c r="M624" s="633"/>
      <c r="N624" s="633"/>
      <c r="O624" s="633"/>
      <c r="P624" s="633"/>
      <c r="Q624" s="633"/>
      <c r="R624" s="633"/>
      <c r="S624" s="633"/>
      <c r="T624" s="590"/>
      <c r="U624" s="590"/>
      <c r="V624" s="590"/>
      <c r="W624" s="590"/>
      <c r="X624" s="634" t="s">
        <v>5</v>
      </c>
      <c r="Y624" s="635"/>
    </row>
    <row r="625" spans="1:25" ht="18" customHeight="1" x14ac:dyDescent="0.2">
      <c r="A625" s="346"/>
      <c r="B625" s="346"/>
      <c r="C625" s="600" t="s">
        <v>499</v>
      </c>
      <c r="D625" s="601"/>
      <c r="E625" s="601"/>
      <c r="F625" s="601"/>
      <c r="G625" s="601"/>
      <c r="H625" s="601"/>
      <c r="I625" s="601"/>
      <c r="J625" s="601"/>
      <c r="K625" s="601"/>
      <c r="L625" s="601"/>
      <c r="M625" s="601"/>
      <c r="N625" s="601"/>
      <c r="O625" s="601"/>
      <c r="P625" s="601"/>
      <c r="Q625" s="601"/>
      <c r="R625" s="601"/>
      <c r="S625" s="601"/>
      <c r="T625" s="601"/>
      <c r="U625" s="601"/>
      <c r="V625" s="601"/>
      <c r="W625" s="601"/>
      <c r="X625" s="601"/>
      <c r="Y625" s="602"/>
    </row>
    <row r="626" spans="1:25" ht="18" customHeight="1" x14ac:dyDescent="0.2">
      <c r="A626" s="346"/>
      <c r="B626" s="346"/>
      <c r="C626" s="449"/>
      <c r="D626" s="633" t="s">
        <v>1519</v>
      </c>
      <c r="E626" s="633"/>
      <c r="F626" s="633"/>
      <c r="G626" s="633"/>
      <c r="H626" s="633"/>
      <c r="I626" s="633"/>
      <c r="J626" s="633"/>
      <c r="K626" s="633"/>
      <c r="L626" s="633"/>
      <c r="M626" s="633"/>
      <c r="N626" s="633"/>
      <c r="O626" s="633"/>
      <c r="P626" s="633"/>
      <c r="Q626" s="633"/>
      <c r="R626" s="633"/>
      <c r="S626" s="633"/>
      <c r="T626" s="590"/>
      <c r="U626" s="590"/>
      <c r="V626" s="590"/>
      <c r="W626" s="590"/>
      <c r="X626" s="634" t="s">
        <v>5</v>
      </c>
      <c r="Y626" s="635"/>
    </row>
    <row r="627" spans="1:25" ht="18" customHeight="1" x14ac:dyDescent="0.2">
      <c r="A627" s="346"/>
      <c r="B627" s="346"/>
      <c r="C627" s="449"/>
      <c r="D627" s="633" t="s">
        <v>440</v>
      </c>
      <c r="E627" s="633"/>
      <c r="F627" s="633"/>
      <c r="G627" s="633"/>
      <c r="H627" s="633"/>
      <c r="I627" s="633"/>
      <c r="J627" s="633"/>
      <c r="K627" s="633"/>
      <c r="L627" s="633"/>
      <c r="M627" s="633"/>
      <c r="N627" s="633"/>
      <c r="O627" s="633"/>
      <c r="P627" s="633"/>
      <c r="Q627" s="633"/>
      <c r="R627" s="633"/>
      <c r="S627" s="633"/>
      <c r="T627" s="590"/>
      <c r="U627" s="590"/>
      <c r="V627" s="590"/>
      <c r="W627" s="590"/>
      <c r="X627" s="634" t="s">
        <v>5</v>
      </c>
      <c r="Y627" s="635"/>
    </row>
    <row r="628" spans="1:25" ht="18" customHeight="1" x14ac:dyDescent="0.2">
      <c r="A628" s="346"/>
      <c r="B628" s="346"/>
      <c r="C628" s="452"/>
      <c r="D628" s="636" t="s">
        <v>75</v>
      </c>
      <c r="E628" s="636"/>
      <c r="F628" s="636"/>
      <c r="G628" s="636"/>
      <c r="H628" s="636"/>
      <c r="I628" s="636"/>
      <c r="J628" s="636"/>
      <c r="K628" s="636"/>
      <c r="L628" s="636"/>
      <c r="M628" s="636"/>
      <c r="N628" s="636"/>
      <c r="O628" s="636"/>
      <c r="P628" s="636"/>
      <c r="Q628" s="636"/>
      <c r="R628" s="636"/>
      <c r="S628" s="636"/>
      <c r="T628" s="590"/>
      <c r="U628" s="590"/>
      <c r="V628" s="590"/>
      <c r="W628" s="590"/>
      <c r="X628" s="637" t="s">
        <v>5</v>
      </c>
      <c r="Y628" s="604"/>
    </row>
    <row r="629" spans="1:25" ht="18" customHeight="1" x14ac:dyDescent="0.2">
      <c r="A629" s="346"/>
      <c r="B629" s="346"/>
      <c r="C629" s="767" t="s">
        <v>500</v>
      </c>
      <c r="D629" s="768"/>
      <c r="E629" s="768"/>
      <c r="F629" s="768"/>
      <c r="G629" s="768"/>
      <c r="H629" s="768"/>
      <c r="I629" s="768"/>
      <c r="J629" s="768"/>
      <c r="K629" s="768"/>
      <c r="L629" s="768"/>
      <c r="M629" s="768"/>
      <c r="N629" s="768"/>
      <c r="O629" s="768"/>
      <c r="P629" s="768"/>
      <c r="Q629" s="768"/>
      <c r="R629" s="768"/>
      <c r="S629" s="768"/>
      <c r="T629" s="590"/>
      <c r="U629" s="590"/>
      <c r="V629" s="590"/>
      <c r="W629" s="590"/>
      <c r="X629" s="634" t="s">
        <v>5</v>
      </c>
      <c r="Y629" s="635"/>
    </row>
    <row r="630" spans="1:25" ht="18" customHeight="1" x14ac:dyDescent="0.2">
      <c r="A630" s="346"/>
      <c r="B630" s="346"/>
      <c r="C630" s="767" t="s">
        <v>501</v>
      </c>
      <c r="D630" s="768"/>
      <c r="E630" s="768"/>
      <c r="F630" s="768"/>
      <c r="G630" s="768"/>
      <c r="H630" s="768"/>
      <c r="I630" s="768"/>
      <c r="J630" s="768"/>
      <c r="K630" s="768"/>
      <c r="L630" s="768"/>
      <c r="M630" s="768"/>
      <c r="N630" s="768"/>
      <c r="O630" s="768"/>
      <c r="P630" s="768"/>
      <c r="Q630" s="768"/>
      <c r="R630" s="768"/>
      <c r="S630" s="768"/>
      <c r="T630" s="590"/>
      <c r="U630" s="590"/>
      <c r="V630" s="590"/>
      <c r="W630" s="590"/>
      <c r="X630" s="634" t="s">
        <v>5</v>
      </c>
      <c r="Y630" s="635"/>
    </row>
    <row r="631" spans="1:25" ht="18" customHeight="1" thickBot="1" x14ac:dyDescent="0.25">
      <c r="A631" s="346"/>
      <c r="B631" s="346"/>
      <c r="C631" s="625" t="s">
        <v>258</v>
      </c>
      <c r="D631" s="626"/>
      <c r="E631" s="626"/>
      <c r="F631" s="626"/>
      <c r="G631" s="626"/>
      <c r="H631" s="626"/>
      <c r="I631" s="626"/>
      <c r="J631" s="626"/>
      <c r="K631" s="626"/>
      <c r="L631" s="626"/>
      <c r="M631" s="626"/>
      <c r="N631" s="626"/>
      <c r="O631" s="626"/>
      <c r="P631" s="626"/>
      <c r="Q631" s="626"/>
      <c r="R631" s="626"/>
      <c r="S631" s="627"/>
      <c r="T631" s="628" t="str">
        <f>IF(COUNTA($T$626:$W$630,$T$622:$W$624,$T$619)=0,"",SUM($T$626:$W$630,$T$622:$W$624,$T$619))</f>
        <v/>
      </c>
      <c r="U631" s="628"/>
      <c r="V631" s="628"/>
      <c r="W631" s="628"/>
      <c r="X631" s="579" t="s">
        <v>5</v>
      </c>
      <c r="Y631" s="579"/>
    </row>
    <row r="632" spans="1:25" ht="18" customHeight="1" thickBot="1" x14ac:dyDescent="0.25">
      <c r="A632" s="346"/>
      <c r="B632" s="346"/>
      <c r="C632" s="345"/>
      <c r="D632" s="453"/>
      <c r="E632" s="453"/>
      <c r="F632" s="453"/>
      <c r="G632" s="453"/>
      <c r="H632" s="453"/>
      <c r="I632" s="453"/>
      <c r="J632" s="453"/>
      <c r="K632" s="454"/>
      <c r="L632" s="455"/>
      <c r="M632" s="455"/>
      <c r="N632" s="455"/>
      <c r="O632" s="346"/>
      <c r="P632" s="346"/>
      <c r="Q632" s="347"/>
      <c r="R632" s="347"/>
      <c r="S632" s="347"/>
      <c r="T632" s="395"/>
      <c r="U632" s="396"/>
      <c r="V632" s="396"/>
      <c r="W632" s="397" t="str">
        <f>IF(COUNTIF($T$626:$T$630,0)+COUNTIF($T$622:$T$624,0)+COUNTIF($T$619,0)&gt;0,"Supprimez les valeurs nulles.",IF(COUNTA($T$619,$T$622:$W$624,$T$626:$W$630)=0,"",CONCATENATE(CONCATENATE(IF(AND($J$456="X",MIN($T$619,$T$622:$W$624,$T$626:$W$630)*$T$107*100&lt;15625),"La part d'un type de couvert végétal est inférieure à la surface minimale cartographiable choisie (15 625 m²). ",IF(AND($T$456="X",MIN($T$619,$T$622:$W$624,$T$626:$W$630)*$T$107*100&lt;2500)," La part d'un type de couvert végétal est inférieure à la surface minimale cartographiable choisie (2500 m²). ",IF(AND($J$457="X",MIN($T$619,$T$622:$W$624,$T$626:$W$630)*$T$107*100&lt;625)," La part d'un type de couvert végétal est inférieure à la surface minimale cartographiable choisie (625 m²). ",IF(AND($T$457="X",MIN($T$619,$T$622:$W$624,$T$626:$W$630)*$T$107*100&lt;156)," La part d'un type de couvert végétal est inférieure à la surface minimale cartographiable choisie (156 m²). ",""))))),IF($T$631="","",IF(COUNTA($T$619,$T$622:$T$624,$T$626:$T$630)=0,"Renseignez la proportion du site occupée par les différents types de couverts végétaux. ",IF($T$631&lt;&gt;100,"La somme des proportions du site occupée par les différents types de couverts végétaux doit être égale à 100%. ",""))))))</f>
        <v/>
      </c>
      <c r="X632" s="347"/>
      <c r="Y632" s="347"/>
    </row>
    <row r="633" spans="1:25" ht="18" customHeight="1" x14ac:dyDescent="0.2">
      <c r="A633" s="346"/>
      <c r="B633" s="346"/>
      <c r="C633" s="345"/>
      <c r="D633" s="453"/>
      <c r="E633" s="453"/>
      <c r="F633" s="453"/>
      <c r="G633" s="453"/>
      <c r="H633" s="453"/>
      <c r="I633" s="453"/>
      <c r="J633" s="453"/>
      <c r="K633" s="453"/>
      <c r="L633" s="456"/>
      <c r="M633" s="455"/>
      <c r="N633" s="455"/>
      <c r="O633" s="346"/>
      <c r="P633" s="346"/>
      <c r="Q633" s="347"/>
      <c r="R633" s="347"/>
      <c r="S633" s="347"/>
      <c r="T633" s="457"/>
      <c r="U633" s="457"/>
      <c r="V633" s="347"/>
      <c r="W633" s="398"/>
      <c r="X633" s="347"/>
      <c r="Y633" s="347"/>
    </row>
    <row r="634" spans="1:25" ht="18" customHeight="1" x14ac:dyDescent="0.2">
      <c r="A634" s="337"/>
      <c r="B634" s="337"/>
      <c r="C634" s="583" t="s">
        <v>755</v>
      </c>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row>
    <row r="635" spans="1:25" ht="18" customHeight="1" x14ac:dyDescent="0.2">
      <c r="A635" s="337"/>
      <c r="B635" s="337"/>
      <c r="C635" s="592"/>
      <c r="D635" s="592"/>
      <c r="E635" s="592"/>
      <c r="F635" s="592"/>
      <c r="G635" s="592"/>
      <c r="H635" s="592"/>
      <c r="I635" s="592"/>
      <c r="J635" s="592"/>
      <c r="K635" s="592"/>
      <c r="L635" s="592"/>
      <c r="M635" s="592"/>
      <c r="N635" s="592"/>
      <c r="O635" s="592"/>
      <c r="P635" s="592"/>
      <c r="Q635" s="592"/>
      <c r="R635" s="592"/>
      <c r="S635" s="592"/>
      <c r="T635" s="592"/>
      <c r="U635" s="592"/>
      <c r="V635" s="592"/>
      <c r="W635" s="592"/>
      <c r="X635" s="592"/>
      <c r="Y635" s="592"/>
    </row>
    <row r="636" spans="1:25" ht="18" customHeight="1" x14ac:dyDescent="0.2">
      <c r="A636" s="337"/>
      <c r="B636" s="337"/>
      <c r="C636" s="619" t="s">
        <v>225</v>
      </c>
      <c r="D636" s="619"/>
      <c r="E636" s="619"/>
      <c r="F636" s="619"/>
      <c r="G636" s="619"/>
      <c r="H636" s="619"/>
      <c r="I636" s="619"/>
      <c r="J636" s="619"/>
      <c r="K636" s="619"/>
      <c r="L636" s="619"/>
      <c r="M636" s="619"/>
      <c r="N636" s="619"/>
      <c r="O636" s="619"/>
      <c r="P636" s="619"/>
      <c r="Q636" s="619"/>
      <c r="R636" s="619"/>
      <c r="S636" s="619"/>
      <c r="T636" s="448" t="s">
        <v>73</v>
      </c>
      <c r="U636" s="347"/>
      <c r="V636" s="347"/>
      <c r="W636" s="347"/>
      <c r="X636" s="347"/>
      <c r="Y636" s="347"/>
    </row>
    <row r="637" spans="1:25" ht="18" customHeight="1" x14ac:dyDescent="0.2">
      <c r="A637" s="337"/>
      <c r="B637" s="337"/>
      <c r="C637" s="600" t="s">
        <v>220</v>
      </c>
      <c r="D637" s="601"/>
      <c r="E637" s="601"/>
      <c r="F637" s="601"/>
      <c r="G637" s="601"/>
      <c r="H637" s="601"/>
      <c r="I637" s="601"/>
      <c r="J637" s="601"/>
      <c r="K637" s="601"/>
      <c r="L637" s="601"/>
      <c r="M637" s="601"/>
      <c r="N637" s="601"/>
      <c r="O637" s="601"/>
      <c r="P637" s="601"/>
      <c r="Q637" s="601"/>
      <c r="R637" s="601"/>
      <c r="S637" s="602"/>
      <c r="T637" s="629"/>
      <c r="U637" s="630"/>
      <c r="V637" s="630"/>
      <c r="W637" s="631"/>
      <c r="X637" s="632" t="s">
        <v>5</v>
      </c>
      <c r="Y637" s="623"/>
    </row>
    <row r="638" spans="1:25" ht="18" customHeight="1" x14ac:dyDescent="0.2">
      <c r="A638" s="337"/>
      <c r="B638" s="337"/>
      <c r="C638" s="600" t="s">
        <v>227</v>
      </c>
      <c r="D638" s="601"/>
      <c r="E638" s="601"/>
      <c r="F638" s="601"/>
      <c r="G638" s="601"/>
      <c r="H638" s="601"/>
      <c r="I638" s="601"/>
      <c r="J638" s="601"/>
      <c r="K638" s="601"/>
      <c r="L638" s="601"/>
      <c r="M638" s="601"/>
      <c r="N638" s="601"/>
      <c r="O638" s="601"/>
      <c r="P638" s="601"/>
      <c r="Q638" s="601"/>
      <c r="R638" s="601"/>
      <c r="S638" s="601"/>
      <c r="T638" s="458"/>
      <c r="U638" s="458"/>
      <c r="V638" s="458"/>
      <c r="W638" s="458"/>
      <c r="X638" s="458"/>
      <c r="Y638" s="459"/>
    </row>
    <row r="639" spans="1:25" ht="18" customHeight="1" x14ac:dyDescent="0.2">
      <c r="A639" s="337"/>
      <c r="B639" s="337"/>
      <c r="C639" s="449"/>
      <c r="D639" s="620" t="s">
        <v>221</v>
      </c>
      <c r="E639" s="620"/>
      <c r="F639" s="620"/>
      <c r="G639" s="620"/>
      <c r="H639" s="620"/>
      <c r="I639" s="620"/>
      <c r="J639" s="620"/>
      <c r="K639" s="620"/>
      <c r="L639" s="620"/>
      <c r="M639" s="620"/>
      <c r="N639" s="620"/>
      <c r="O639" s="620"/>
      <c r="P639" s="620"/>
      <c r="Q639" s="620"/>
      <c r="R639" s="620"/>
      <c r="S639" s="620"/>
      <c r="T639" s="621"/>
      <c r="U639" s="621"/>
      <c r="V639" s="621"/>
      <c r="W639" s="621"/>
      <c r="X639" s="622" t="s">
        <v>5</v>
      </c>
      <c r="Y639" s="623"/>
    </row>
    <row r="640" spans="1:25" ht="18" customHeight="1" x14ac:dyDescent="0.2">
      <c r="A640" s="337"/>
      <c r="B640" s="337"/>
      <c r="C640" s="451"/>
      <c r="D640" s="624" t="s">
        <v>222</v>
      </c>
      <c r="E640" s="577"/>
      <c r="F640" s="577"/>
      <c r="G640" s="577"/>
      <c r="H640" s="577"/>
      <c r="I640" s="577"/>
      <c r="J640" s="577"/>
      <c r="K640" s="577"/>
      <c r="L640" s="577"/>
      <c r="M640" s="577"/>
      <c r="N640" s="577"/>
      <c r="O640" s="577"/>
      <c r="P640" s="577"/>
      <c r="Q640" s="577"/>
      <c r="R640" s="577"/>
      <c r="S640" s="577"/>
      <c r="T640" s="588"/>
      <c r="U640" s="588"/>
      <c r="V640" s="588"/>
      <c r="W640" s="588"/>
      <c r="X640" s="579" t="s">
        <v>5</v>
      </c>
      <c r="Y640" s="579"/>
    </row>
    <row r="641" spans="1:25" ht="18" customHeight="1" thickBot="1" x14ac:dyDescent="0.25">
      <c r="C641" s="611" t="s">
        <v>486</v>
      </c>
      <c r="D641" s="612"/>
      <c r="E641" s="612"/>
      <c r="F641" s="612"/>
      <c r="G641" s="612"/>
      <c r="H641" s="612"/>
      <c r="I641" s="612"/>
      <c r="J641" s="612"/>
      <c r="K641" s="612"/>
      <c r="L641" s="612"/>
      <c r="M641" s="612"/>
      <c r="N641" s="612"/>
      <c r="O641" s="612"/>
      <c r="P641" s="612"/>
      <c r="Q641" s="612"/>
      <c r="R641" s="612"/>
      <c r="S641" s="613"/>
      <c r="T641" s="614" t="str">
        <f>IF(COUNTA($T$639:$W$640,$T$637)=0,"",SUM($T$639:$W$640,$T$637))</f>
        <v/>
      </c>
      <c r="U641" s="615"/>
      <c r="V641" s="615"/>
      <c r="W641" s="616"/>
      <c r="X641" s="617" t="s">
        <v>5</v>
      </c>
      <c r="Y641" s="618"/>
    </row>
    <row r="642" spans="1:25" ht="18" customHeight="1" thickBot="1" x14ac:dyDescent="0.25">
      <c r="A642" s="337"/>
      <c r="B642" s="337"/>
      <c r="C642" s="345"/>
      <c r="D642" s="382"/>
      <c r="E642" s="382"/>
      <c r="F642" s="382"/>
      <c r="G642" s="382"/>
      <c r="H642" s="382"/>
      <c r="I642" s="382"/>
      <c r="J642" s="382"/>
      <c r="K642" s="460"/>
      <c r="L642" s="382"/>
      <c r="M642" s="382"/>
      <c r="N642" s="382"/>
      <c r="O642" s="382"/>
      <c r="P642" s="382"/>
      <c r="Q642" s="382"/>
      <c r="R642" s="382"/>
      <c r="S642" s="382"/>
      <c r="T642" s="395"/>
      <c r="U642" s="396"/>
      <c r="V642" s="396"/>
      <c r="W642" s="397" t="str">
        <f>CONCATENATE(IF(COUNTIF($C$465:$C$479,"FA.1")+COUNTIF($C$465:$C$479,"FB.1")+COUNTIF($C$465:$C$479,"FB.2")+COUNTIF($C$465:$C$479,"FB.3")+COUNTIF($C$465:$C$479,"FB.4")=0,"",IF(AND(OR(COUNTIF($C$465:$C$479,"FA.1")&gt;0,COUNTIF($C$465:$C$479,"FB.1")&gt;0,COUNTIF($C$465:$C$479,"FB.2")&gt;0,COUNTIF($C$465:$C$479,"FB.3")&gt;0,COUNTIF($C$465:$C$479,"FB.4")&gt;0),COUNTA($T$637,$T$639:$T$640)=0),"Les habitats mentionnés ici ont été observés dans le site (voir question 39), renseignez les types de couverts herbacés.",IF($T$641&lt;&gt;(SUMIF($C$465:$C$479,"FA.1",$T$465:$T$479)+SUMIF($C$465:$C$479,"FB.1",$T$465:$T$479)+SUMIF($C$465:$C$479,"FB.2",$T$465:$T$479)+SUMIF($C$465:$C$479,"FB.3",$T$465:$T$479)+SUMIF($C$465:$C$479,"FB.4",$T$465:$T$479)),"La somme renseignée ici doit être égale à la somme des proportions des habitats FA.1, FB.1, FB.2, FB.3, FB.4 dans le site. ",""))),IF(AND(COUNTIF($C$465:$C$479,"FA.1")+COUNTIF($C$465:$C$479,"FB.1")+COUNTIF($C$465:$C$479,"FB.2")+COUNTIF($C$465:$C$479,"FB.3")+COUNTIF($C$465:$C$479,"FB.4")=0,SUM($T$637,$T$639:$T$640)&gt;0),"Les habitats mentionnés ici n’ont pas été détectés dans la question 39, ne répondez pas à la question. ",""))</f>
        <v/>
      </c>
      <c r="X642" s="382"/>
      <c r="Y642" s="382"/>
    </row>
    <row r="643" spans="1:25" ht="18" customHeight="1" x14ac:dyDescent="0.2">
      <c r="A643" s="337"/>
      <c r="B643" s="337"/>
      <c r="C643" s="345"/>
      <c r="D643" s="382"/>
      <c r="E643" s="382"/>
      <c r="F643" s="382"/>
      <c r="G643" s="382"/>
      <c r="H643" s="382"/>
      <c r="I643" s="382"/>
      <c r="J643" s="382"/>
      <c r="K643" s="382"/>
      <c r="L643" s="382"/>
      <c r="M643" s="382"/>
      <c r="N643" s="382"/>
      <c r="O643" s="382"/>
      <c r="P643" s="382"/>
      <c r="Q643" s="382"/>
      <c r="R643" s="382"/>
      <c r="S643" s="382"/>
      <c r="T643" s="347"/>
      <c r="U643" s="347"/>
      <c r="V643" s="347"/>
      <c r="W643" s="382"/>
      <c r="X643" s="382"/>
      <c r="Y643" s="382"/>
    </row>
    <row r="644" spans="1:25" ht="18" customHeight="1" x14ac:dyDescent="0.2">
      <c r="A644" s="337"/>
      <c r="B644" s="337"/>
      <c r="C644" s="583" t="s">
        <v>756</v>
      </c>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row>
    <row r="645" spans="1:25" ht="18" customHeight="1" x14ac:dyDescent="0.2">
      <c r="A645" s="337"/>
      <c r="B645" s="337"/>
      <c r="C645" s="592"/>
      <c r="D645" s="592"/>
      <c r="E645" s="592"/>
      <c r="F645" s="592"/>
      <c r="G645" s="592"/>
      <c r="H645" s="592"/>
      <c r="I645" s="592"/>
      <c r="J645" s="592"/>
      <c r="K645" s="592"/>
      <c r="L645" s="592"/>
      <c r="M645" s="592"/>
      <c r="N645" s="592"/>
      <c r="O645" s="592"/>
      <c r="P645" s="592"/>
      <c r="Q645" s="592"/>
      <c r="R645" s="592"/>
      <c r="S645" s="592"/>
      <c r="T645" s="592"/>
      <c r="U645" s="592"/>
      <c r="V645" s="592"/>
      <c r="W645" s="592"/>
      <c r="X645" s="592"/>
      <c r="Y645" s="592"/>
    </row>
    <row r="646" spans="1:25" ht="18" customHeight="1" x14ac:dyDescent="0.2">
      <c r="A646" s="337"/>
      <c r="B646" s="337"/>
      <c r="C646" s="619" t="s">
        <v>226</v>
      </c>
      <c r="D646" s="619"/>
      <c r="E646" s="619"/>
      <c r="F646" s="619"/>
      <c r="G646" s="619"/>
      <c r="H646" s="619"/>
      <c r="I646" s="619"/>
      <c r="J646" s="619"/>
      <c r="K646" s="619"/>
      <c r="L646" s="619"/>
      <c r="M646" s="619"/>
      <c r="N646" s="619"/>
      <c r="O646" s="619"/>
      <c r="P646" s="619"/>
      <c r="Q646" s="619"/>
      <c r="R646" s="619"/>
      <c r="S646" s="619"/>
      <c r="T646" s="461" t="s">
        <v>73</v>
      </c>
      <c r="U646" s="462"/>
      <c r="V646" s="462"/>
      <c r="W646" s="462"/>
      <c r="X646" s="462"/>
      <c r="Y646" s="462"/>
    </row>
    <row r="647" spans="1:25" ht="18" customHeight="1" x14ac:dyDescent="0.2">
      <c r="A647" s="337"/>
      <c r="B647" s="337"/>
      <c r="C647" s="600" t="s">
        <v>220</v>
      </c>
      <c r="D647" s="601"/>
      <c r="E647" s="601"/>
      <c r="F647" s="601"/>
      <c r="G647" s="601"/>
      <c r="H647" s="601"/>
      <c r="I647" s="601"/>
      <c r="J647" s="601"/>
      <c r="K647" s="601"/>
      <c r="L647" s="601"/>
      <c r="M647" s="601"/>
      <c r="N647" s="601"/>
      <c r="O647" s="601"/>
      <c r="P647" s="601"/>
      <c r="Q647" s="601"/>
      <c r="R647" s="601"/>
      <c r="S647" s="601"/>
      <c r="T647" s="601"/>
      <c r="U647" s="601"/>
      <c r="V647" s="601"/>
      <c r="W647" s="601"/>
      <c r="X647" s="601"/>
      <c r="Y647" s="602"/>
    </row>
    <row r="648" spans="1:25" ht="18" customHeight="1" x14ac:dyDescent="0.2">
      <c r="A648" s="337"/>
      <c r="C648" s="463"/>
      <c r="D648" s="562" t="s">
        <v>517</v>
      </c>
      <c r="E648" s="562"/>
      <c r="F648" s="562"/>
      <c r="G648" s="562"/>
      <c r="H648" s="562"/>
      <c r="I648" s="562"/>
      <c r="J648" s="562"/>
      <c r="K648" s="562"/>
      <c r="L648" s="562"/>
      <c r="M648" s="562"/>
      <c r="N648" s="562"/>
      <c r="O648" s="562"/>
      <c r="P648" s="562"/>
      <c r="Q648" s="562"/>
      <c r="R648" s="562"/>
      <c r="S648" s="562"/>
      <c r="T648" s="599"/>
      <c r="U648" s="599"/>
      <c r="V648" s="599"/>
      <c r="W648" s="599"/>
      <c r="X648" s="579" t="s">
        <v>5</v>
      </c>
      <c r="Y648" s="579"/>
    </row>
    <row r="649" spans="1:25" ht="18" customHeight="1" x14ac:dyDescent="0.2">
      <c r="A649" s="337"/>
      <c r="C649" s="463"/>
      <c r="D649" s="597" t="s">
        <v>518</v>
      </c>
      <c r="E649" s="598"/>
      <c r="F649" s="598"/>
      <c r="G649" s="598"/>
      <c r="H649" s="598"/>
      <c r="I649" s="598"/>
      <c r="J649" s="598"/>
      <c r="K649" s="598"/>
      <c r="L649" s="598"/>
      <c r="M649" s="598"/>
      <c r="N649" s="598"/>
      <c r="O649" s="598"/>
      <c r="P649" s="598"/>
      <c r="Q649" s="598"/>
      <c r="R649" s="598"/>
      <c r="S649" s="598"/>
      <c r="T649" s="599"/>
      <c r="U649" s="599"/>
      <c r="V649" s="599"/>
      <c r="W649" s="599"/>
      <c r="X649" s="603" t="s">
        <v>5</v>
      </c>
      <c r="Y649" s="604"/>
    </row>
    <row r="650" spans="1:25" ht="18" customHeight="1" x14ac:dyDescent="0.2">
      <c r="A650" s="337"/>
      <c r="C650" s="600" t="s">
        <v>223</v>
      </c>
      <c r="D650" s="601"/>
      <c r="E650" s="601"/>
      <c r="F650" s="601"/>
      <c r="G650" s="601"/>
      <c r="H650" s="601"/>
      <c r="I650" s="601"/>
      <c r="J650" s="601"/>
      <c r="K650" s="601"/>
      <c r="L650" s="601"/>
      <c r="M650" s="601"/>
      <c r="N650" s="601"/>
      <c r="O650" s="601"/>
      <c r="P650" s="601"/>
      <c r="Q650" s="601"/>
      <c r="R650" s="601"/>
      <c r="S650" s="601"/>
      <c r="T650" s="601"/>
      <c r="U650" s="601"/>
      <c r="V650" s="601"/>
      <c r="W650" s="601"/>
      <c r="X650" s="601"/>
      <c r="Y650" s="602"/>
    </row>
    <row r="651" spans="1:25" ht="18" customHeight="1" x14ac:dyDescent="0.2">
      <c r="A651" s="337"/>
      <c r="C651" s="463"/>
      <c r="D651" s="597" t="s">
        <v>517</v>
      </c>
      <c r="E651" s="598"/>
      <c r="F651" s="598"/>
      <c r="G651" s="598"/>
      <c r="H651" s="598"/>
      <c r="I651" s="598"/>
      <c r="J651" s="598"/>
      <c r="K651" s="598"/>
      <c r="L651" s="598"/>
      <c r="M651" s="598"/>
      <c r="N651" s="598"/>
      <c r="O651" s="598"/>
      <c r="P651" s="598"/>
      <c r="Q651" s="598"/>
      <c r="R651" s="598"/>
      <c r="S651" s="598"/>
      <c r="T651" s="599"/>
      <c r="U651" s="599"/>
      <c r="V651" s="599"/>
      <c r="W651" s="599"/>
      <c r="X651" s="579" t="s">
        <v>5</v>
      </c>
      <c r="Y651" s="579"/>
    </row>
    <row r="652" spans="1:25" ht="18" customHeight="1" x14ac:dyDescent="0.2">
      <c r="A652" s="337"/>
      <c r="C652" s="464"/>
      <c r="D652" s="605" t="s">
        <v>519</v>
      </c>
      <c r="E652" s="606"/>
      <c r="F652" s="606"/>
      <c r="G652" s="606"/>
      <c r="H652" s="606"/>
      <c r="I652" s="606"/>
      <c r="J652" s="606"/>
      <c r="K652" s="606"/>
      <c r="L652" s="606"/>
      <c r="M652" s="606"/>
      <c r="N652" s="606"/>
      <c r="O652" s="606"/>
      <c r="P652" s="606"/>
      <c r="Q652" s="606"/>
      <c r="R652" s="606"/>
      <c r="S652" s="607"/>
      <c r="T652" s="599"/>
      <c r="U652" s="599"/>
      <c r="V652" s="599"/>
      <c r="W652" s="599"/>
      <c r="X652" s="579" t="s">
        <v>5</v>
      </c>
      <c r="Y652" s="579"/>
    </row>
    <row r="653" spans="1:25" ht="18" customHeight="1" x14ac:dyDescent="0.2">
      <c r="A653" s="337"/>
      <c r="C653" s="600" t="s">
        <v>520</v>
      </c>
      <c r="D653" s="601"/>
      <c r="E653" s="601"/>
      <c r="F653" s="601"/>
      <c r="G653" s="601"/>
      <c r="H653" s="601"/>
      <c r="I653" s="601"/>
      <c r="J653" s="601"/>
      <c r="K653" s="601"/>
      <c r="L653" s="601"/>
      <c r="M653" s="601"/>
      <c r="N653" s="601"/>
      <c r="O653" s="601"/>
      <c r="P653" s="601"/>
      <c r="Q653" s="601"/>
      <c r="R653" s="601"/>
      <c r="S653" s="601"/>
      <c r="T653" s="601"/>
      <c r="U653" s="601"/>
      <c r="V653" s="601"/>
      <c r="W653" s="601"/>
      <c r="X653" s="601"/>
      <c r="Y653" s="602"/>
    </row>
    <row r="654" spans="1:25" ht="18" customHeight="1" x14ac:dyDescent="0.2">
      <c r="A654" s="337"/>
      <c r="C654" s="608" t="s">
        <v>224</v>
      </c>
      <c r="D654" s="609"/>
      <c r="E654" s="609"/>
      <c r="F654" s="609"/>
      <c r="G654" s="609"/>
      <c r="H654" s="609"/>
      <c r="I654" s="609"/>
      <c r="J654" s="609"/>
      <c r="K654" s="609"/>
      <c r="L654" s="609"/>
      <c r="M654" s="609"/>
      <c r="N654" s="609"/>
      <c r="O654" s="609"/>
      <c r="P654" s="609"/>
      <c r="Q654" s="609"/>
      <c r="R654" s="609"/>
      <c r="S654" s="610"/>
      <c r="T654" s="599"/>
      <c r="U654" s="599"/>
      <c r="V654" s="599"/>
      <c r="W654" s="599"/>
      <c r="X654" s="579" t="s">
        <v>5</v>
      </c>
      <c r="Y654" s="579"/>
    </row>
    <row r="655" spans="1:25" ht="18" customHeight="1" thickBot="1" x14ac:dyDescent="0.25">
      <c r="C655" s="611" t="s">
        <v>486</v>
      </c>
      <c r="D655" s="612"/>
      <c r="E655" s="612"/>
      <c r="F655" s="612"/>
      <c r="G655" s="612"/>
      <c r="H655" s="612"/>
      <c r="I655" s="612"/>
      <c r="J655" s="612"/>
      <c r="K655" s="612"/>
      <c r="L655" s="612"/>
      <c r="M655" s="612"/>
      <c r="N655" s="612"/>
      <c r="O655" s="612"/>
      <c r="P655" s="612"/>
      <c r="Q655" s="612"/>
      <c r="R655" s="612"/>
      <c r="S655" s="613"/>
      <c r="T655" s="614" t="str">
        <f>IF(COUNTA($T$648:$W$649,$T$651:$W$652,$T$654)=0,"",SUM($T$648:$W$649,$T$651:$W$652,$T$654))</f>
        <v/>
      </c>
      <c r="U655" s="615"/>
      <c r="V655" s="615"/>
      <c r="W655" s="616"/>
      <c r="X655" s="790" t="s">
        <v>5</v>
      </c>
      <c r="Y655" s="683"/>
    </row>
    <row r="656" spans="1:25" ht="18" customHeight="1" thickBot="1" x14ac:dyDescent="0.25">
      <c r="A656" s="337"/>
      <c r="B656" s="337"/>
      <c r="C656" s="345"/>
      <c r="D656" s="337"/>
      <c r="E656" s="337"/>
      <c r="F656" s="337"/>
      <c r="G656" s="337"/>
      <c r="H656" s="337"/>
      <c r="I656" s="337"/>
      <c r="J656" s="337"/>
      <c r="K656" s="337"/>
      <c r="L656" s="337"/>
      <c r="M656" s="337"/>
      <c r="N656" s="337"/>
      <c r="O656" s="337"/>
      <c r="T656" s="395"/>
      <c r="U656" s="396"/>
      <c r="V656" s="396"/>
      <c r="W656" s="397" t="str">
        <f>CONCATENATE(IF(COUNTIF($C$465:$C$479,"G1.C")+COUNTIF($C$465:$C$479,"G1.D")+COUNTIF($C$465:$C$479,"G2.8")+COUNTIF($C$465:$C$479,"G2.9")+COUNTIF($C$465:$C$479,"G3.F")=0,"",IF(AND(OR(COUNTIF($C$465:$C$479,"G1.C")&gt;0,COUNTIF($C$465:$C$479,"G1.D")&gt;0,COUNTIF($C$465:$C$479,"G2.8")&gt;0,COUNTIF($C$465:$C$479,"G2.9")&gt;0,COUNTIF($C$465:$C$479,"G3.F")&gt;0),COUNTA($T$648:$W$649,$T$651:$W$652,$T$654)=0),"Les habitats mentionnés ici ont été observés dans le site (voir question 39), renseignez les types de couverts herbacés et arbustifs. ",IF($T$655&lt;&gt;(SUMIF($C$465:$C$479,"G1.C",T465:T479)+SUMIF($C$465:$C$479,"G1.D",$T$465:$T$479)+SUMIF($C$465:$C$479,"G2.8",$T$465:$T$479)+SUMIF($C$465:$C$479,"G2.9",$T$465:$T$479)+SUMIF($C$465:$C$479,"G3.F",$T$465:$T$479)),"La somme renseignée ici doit être égale à la somme des proportions des habitats G1.C, G1.D, G2.8, G2.9, G3.F dans le site. ",""))),IF(AND(COUNTIF($C$465:$C$479,"G1.C")+COUNTIF($C$465:$C$479,"G1.D")+COUNTIF($C$465:$C$479,"G2.8")+COUNTIF($C$465:$C$479,"G2.9")+COUNTIF($C$465:$C$479,"G3.F")=0,SUM($T$648:$W$649,$T$651:$W$652,$T$654)&gt;0),"Les habitats mentionnés ici n’ont pas été détectés dans la question 39, ne répondez pas à la question. ",""))</f>
        <v/>
      </c>
      <c r="Y656" s="465"/>
    </row>
    <row r="657" spans="1:25" ht="18" customHeight="1" x14ac:dyDescent="0.2">
      <c r="A657" s="337"/>
      <c r="B657" s="337"/>
      <c r="C657" s="345"/>
      <c r="D657" s="337"/>
      <c r="E657" s="337"/>
      <c r="F657" s="337"/>
      <c r="G657" s="337"/>
      <c r="H657" s="337"/>
      <c r="I657" s="337"/>
      <c r="J657" s="337"/>
      <c r="K657" s="337"/>
      <c r="L657" s="337"/>
      <c r="M657" s="337"/>
      <c r="N657" s="337"/>
      <c r="O657" s="337"/>
      <c r="T657" s="347"/>
      <c r="U657" s="347"/>
      <c r="V657" s="347"/>
      <c r="W657" s="398"/>
    </row>
    <row r="658" spans="1:25" ht="33.75" customHeight="1" x14ac:dyDescent="0.2">
      <c r="A658" s="337"/>
      <c r="B658" s="337"/>
      <c r="C658" s="341" t="s">
        <v>393</v>
      </c>
      <c r="D658" s="695" t="s">
        <v>410</v>
      </c>
      <c r="E658" s="696"/>
      <c r="F658" s="696"/>
      <c r="G658" s="696"/>
      <c r="H658" s="696"/>
      <c r="I658" s="696"/>
      <c r="J658" s="696"/>
      <c r="K658" s="696"/>
      <c r="L658" s="696"/>
      <c r="M658" s="696"/>
      <c r="N658" s="696"/>
      <c r="O658" s="696"/>
      <c r="P658" s="696"/>
      <c r="Q658" s="696"/>
      <c r="R658" s="696"/>
      <c r="S658" s="696"/>
      <c r="T658" s="696"/>
      <c r="U658" s="696"/>
      <c r="V658" s="696"/>
      <c r="W658" s="696"/>
      <c r="X658" s="696"/>
      <c r="Y658" s="697"/>
    </row>
    <row r="659" spans="1:25" ht="18" customHeight="1" x14ac:dyDescent="0.2">
      <c r="A659" s="337"/>
      <c r="B659" s="337"/>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row>
    <row r="660" spans="1:25" ht="18" customHeight="1" x14ac:dyDescent="0.2">
      <c r="A660" s="337"/>
      <c r="B660" s="337"/>
      <c r="C660" s="581" t="s">
        <v>325</v>
      </c>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row>
    <row r="661" spans="1:25" ht="18" customHeight="1" x14ac:dyDescent="0.2">
      <c r="A661" s="337"/>
      <c r="B661" s="337"/>
      <c r="C661" s="466" t="s">
        <v>236</v>
      </c>
      <c r="D661" s="466"/>
      <c r="E661" s="337"/>
      <c r="H661" s="369" t="s">
        <v>268</v>
      </c>
      <c r="I661" s="353" t="s">
        <v>28</v>
      </c>
      <c r="J661" s="588"/>
      <c r="K661" s="588"/>
      <c r="P661" s="339"/>
      <c r="Q661" s="368"/>
      <c r="R661" s="368"/>
      <c r="S661" s="369" t="s">
        <v>29</v>
      </c>
      <c r="T661" s="588"/>
      <c r="U661" s="588"/>
      <c r="V661" s="588"/>
      <c r="W661" s="588"/>
    </row>
    <row r="662" spans="1:25" ht="18" customHeight="1" thickBot="1" x14ac:dyDescent="0.25">
      <c r="A662" s="337"/>
      <c r="B662" s="337"/>
      <c r="C662" s="354"/>
      <c r="D662" s="354"/>
      <c r="E662" s="337"/>
      <c r="H662" s="369" t="s">
        <v>269</v>
      </c>
      <c r="I662" s="353" t="s">
        <v>28</v>
      </c>
      <c r="J662" s="588"/>
      <c r="K662" s="588"/>
      <c r="P662" s="339"/>
      <c r="Q662" s="368"/>
      <c r="R662" s="368"/>
      <c r="S662" s="369" t="s">
        <v>29</v>
      </c>
      <c r="T662" s="588"/>
      <c r="U662" s="588"/>
      <c r="V662" s="588"/>
      <c r="W662" s="588"/>
    </row>
    <row r="663" spans="1:25" ht="18" customHeight="1" thickBot="1" x14ac:dyDescent="0.25">
      <c r="A663" s="337"/>
      <c r="B663" s="337"/>
      <c r="C663" s="337"/>
      <c r="D663" s="337"/>
      <c r="E663" s="337"/>
      <c r="F663" s="337"/>
      <c r="G663" s="337"/>
      <c r="H663" s="337"/>
      <c r="I663" s="337"/>
      <c r="J663" s="337"/>
      <c r="K663" s="337"/>
      <c r="L663" s="337"/>
      <c r="M663" s="337"/>
      <c r="N663" s="337"/>
      <c r="O663" s="337"/>
      <c r="T663" s="395"/>
      <c r="U663" s="396"/>
      <c r="V663" s="396"/>
      <c r="W663" s="397" t="str">
        <f>CONCATENATE(IF(COUNTA($J$661,$J$662,$T$661,$T$662)=0,"",IF(COUNTA($J$661,$J$662,$T$661,$T$662)&lt;&gt;2,"2 réponses nécessaires. ","")),IF(AND($T$121="X",$J$662&lt;&gt;"X"),"Site dans un système de versant et bas-versant, improbable qu'il n'y ait pas de source dans le site et la zone tampon. ",""))</f>
        <v/>
      </c>
    </row>
    <row r="664" spans="1:25" ht="18" customHeight="1" x14ac:dyDescent="0.2">
      <c r="A664" s="337"/>
      <c r="B664" s="337"/>
      <c r="C664" s="345"/>
      <c r="D664" s="337"/>
      <c r="E664" s="337"/>
      <c r="F664" s="337"/>
      <c r="G664" s="337"/>
      <c r="H664" s="337"/>
      <c r="I664" s="337"/>
      <c r="J664" s="337"/>
      <c r="K664" s="337"/>
      <c r="L664" s="337"/>
      <c r="M664" s="337"/>
      <c r="N664" s="337"/>
      <c r="O664" s="337"/>
    </row>
    <row r="665" spans="1:25" ht="18" customHeight="1" x14ac:dyDescent="0.2">
      <c r="A665" s="337"/>
      <c r="B665" s="337"/>
      <c r="C665" s="583" t="s">
        <v>378</v>
      </c>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row>
    <row r="666" spans="1:25" ht="18" customHeight="1" x14ac:dyDescent="0.2">
      <c r="A666" s="337"/>
      <c r="B666" s="337"/>
      <c r="C666" s="592"/>
      <c r="D666" s="592"/>
      <c r="E666" s="592"/>
      <c r="F666" s="592"/>
      <c r="G666" s="592"/>
      <c r="H666" s="592"/>
      <c r="I666" s="592"/>
      <c r="J666" s="592"/>
      <c r="K666" s="592"/>
      <c r="L666" s="592"/>
      <c r="M666" s="592"/>
      <c r="N666" s="592"/>
      <c r="O666" s="592"/>
      <c r="P666" s="592"/>
      <c r="Q666" s="592"/>
      <c r="R666" s="592"/>
      <c r="S666" s="592"/>
      <c r="T666" s="592"/>
      <c r="U666" s="592"/>
      <c r="V666" s="592"/>
      <c r="W666" s="592"/>
      <c r="X666" s="592"/>
      <c r="Y666" s="592"/>
    </row>
    <row r="667" spans="1:25" ht="18" customHeight="1" x14ac:dyDescent="0.2">
      <c r="A667" s="337"/>
      <c r="B667" s="337"/>
      <c r="C667" s="346"/>
      <c r="D667" s="346"/>
      <c r="E667" s="346"/>
      <c r="F667" s="346"/>
      <c r="G667" s="346"/>
      <c r="H667" s="346"/>
      <c r="I667" s="346"/>
      <c r="J667" s="594" t="s">
        <v>78</v>
      </c>
      <c r="K667" s="594"/>
      <c r="L667" s="594"/>
      <c r="M667" s="346"/>
      <c r="N667" s="595" t="s">
        <v>379</v>
      </c>
      <c r="O667" s="595"/>
      <c r="P667" s="595"/>
      <c r="Q667" s="595"/>
      <c r="R667" s="595"/>
      <c r="S667" s="346"/>
      <c r="T667" s="594" t="s">
        <v>80</v>
      </c>
      <c r="U667" s="594"/>
      <c r="V667" s="594"/>
      <c r="W667" s="594"/>
      <c r="X667" s="594"/>
      <c r="Y667" s="594"/>
    </row>
    <row r="668" spans="1:25" ht="18" customHeight="1" x14ac:dyDescent="0.2">
      <c r="A668" s="337"/>
      <c r="B668" s="337"/>
      <c r="C668" s="346"/>
      <c r="D668" s="346"/>
      <c r="E668" s="346"/>
      <c r="F668" s="346"/>
      <c r="G668" s="346"/>
      <c r="H668" s="346"/>
      <c r="I668" s="346"/>
      <c r="J668" s="594" t="s">
        <v>77</v>
      </c>
      <c r="K668" s="594"/>
      <c r="L668" s="594"/>
      <c r="M668" s="346"/>
      <c r="N668" s="596"/>
      <c r="O668" s="596"/>
      <c r="P668" s="596"/>
      <c r="Q668" s="596"/>
      <c r="R668" s="596"/>
      <c r="S668" s="346"/>
      <c r="T668" s="594" t="s">
        <v>81</v>
      </c>
      <c r="U668" s="594"/>
      <c r="V668" s="594"/>
      <c r="W668" s="594"/>
      <c r="X668" s="594"/>
      <c r="Y668" s="594"/>
    </row>
    <row r="669" spans="1:25" ht="18" customHeight="1" x14ac:dyDescent="0.2">
      <c r="A669" s="337"/>
      <c r="B669" s="337"/>
      <c r="C669" s="346"/>
      <c r="D669" s="346"/>
      <c r="E669" s="346"/>
      <c r="F669" s="346"/>
      <c r="G669" s="346"/>
      <c r="H669" s="362" t="s">
        <v>38</v>
      </c>
      <c r="I669" s="346"/>
      <c r="J669" s="761"/>
      <c r="K669" s="762"/>
      <c r="L669" s="467" t="s">
        <v>6</v>
      </c>
      <c r="M669" s="346"/>
      <c r="N669" s="701"/>
      <c r="O669" s="701"/>
      <c r="P669" s="701"/>
      <c r="Q669" s="763" t="s">
        <v>6</v>
      </c>
      <c r="R669" s="763"/>
      <c r="S669" s="346"/>
      <c r="T669" s="761"/>
      <c r="U669" s="764"/>
      <c r="V669" s="764"/>
      <c r="W669" s="762"/>
      <c r="X669" s="765" t="s">
        <v>6</v>
      </c>
      <c r="Y669" s="765"/>
    </row>
    <row r="670" spans="1:25" ht="18" customHeight="1" thickBot="1" x14ac:dyDescent="0.3">
      <c r="A670" s="337"/>
      <c r="B670" s="337"/>
      <c r="C670" s="346"/>
      <c r="D670" s="346"/>
      <c r="E670" s="346"/>
      <c r="F670" s="346"/>
      <c r="G670" s="346"/>
      <c r="H670" s="362" t="s">
        <v>76</v>
      </c>
      <c r="I670" s="346"/>
      <c r="J670" s="701"/>
      <c r="K670" s="766"/>
      <c r="L670" s="467" t="s">
        <v>6</v>
      </c>
      <c r="M670" s="346"/>
      <c r="N670" s="701"/>
      <c r="O670" s="701"/>
      <c r="P670" s="701"/>
      <c r="Q670" s="763" t="s">
        <v>6</v>
      </c>
      <c r="R670" s="763"/>
      <c r="S670" s="346"/>
      <c r="T670" s="761"/>
      <c r="U670" s="764"/>
      <c r="V670" s="764"/>
      <c r="W670" s="762"/>
      <c r="X670" s="765" t="s">
        <v>6</v>
      </c>
      <c r="Y670" s="765"/>
    </row>
    <row r="671" spans="1:25" ht="18" customHeight="1" thickBot="1" x14ac:dyDescent="0.25">
      <c r="A671" s="337"/>
      <c r="B671" s="337"/>
      <c r="C671" s="345"/>
      <c r="D671" s="337"/>
      <c r="E671" s="337"/>
      <c r="F671" s="337"/>
      <c r="G671" s="337"/>
      <c r="H671" s="337"/>
      <c r="I671" s="337"/>
      <c r="J671" s="337"/>
      <c r="K671" s="337"/>
      <c r="L671" s="337"/>
      <c r="M671" s="337"/>
      <c r="N671" s="337"/>
      <c r="O671" s="337"/>
      <c r="T671" s="395"/>
      <c r="U671" s="396"/>
      <c r="V671" s="396"/>
      <c r="W671" s="397" t="str">
        <f>IF(COUNTA($J$669,$J$670,$N$669,$N$670,$T$669,$T$670)=0,"",IF(COUNTA($J$669,$J$670,$N$669,$N$670,$T$669,$T$670)&lt;6,"Renseignez 6 valeurs en réponse à cette question, y compris les valeurs nulles. ",""))</f>
        <v/>
      </c>
    </row>
    <row r="672" spans="1:25" ht="18" customHeight="1" x14ac:dyDescent="0.2">
      <c r="A672" s="337"/>
      <c r="B672" s="337"/>
      <c r="C672" s="345"/>
      <c r="D672" s="337"/>
      <c r="E672" s="337"/>
      <c r="F672" s="337"/>
      <c r="G672" s="337"/>
      <c r="H672" s="337"/>
      <c r="I672" s="337"/>
      <c r="J672" s="337"/>
      <c r="K672" s="337"/>
      <c r="L672" s="337"/>
      <c r="M672" s="337"/>
      <c r="N672" s="337"/>
      <c r="O672" s="337"/>
    </row>
    <row r="673" spans="1:25" ht="18" customHeight="1" x14ac:dyDescent="0.2">
      <c r="A673" s="337"/>
      <c r="B673" s="337"/>
      <c r="C673" s="345"/>
      <c r="D673" s="337"/>
      <c r="E673" s="337"/>
      <c r="F673" s="337"/>
      <c r="G673" s="337"/>
      <c r="H673" s="337"/>
      <c r="I673" s="337"/>
      <c r="J673" s="337"/>
      <c r="K673" s="337"/>
      <c r="L673" s="337"/>
      <c r="M673" s="337"/>
      <c r="N673" s="337"/>
      <c r="O673" s="337"/>
    </row>
    <row r="674" spans="1:25" ht="18" customHeight="1" x14ac:dyDescent="0.2">
      <c r="A674" s="337"/>
      <c r="B674" s="337"/>
      <c r="C674" s="593" t="s">
        <v>481</v>
      </c>
      <c r="D674" s="593"/>
      <c r="E674" s="593"/>
      <c r="F674" s="593"/>
      <c r="G674" s="593"/>
      <c r="H674" s="593"/>
      <c r="I674" s="593"/>
      <c r="J674" s="593"/>
      <c r="K674" s="593"/>
      <c r="L674" s="593"/>
      <c r="M674" s="593"/>
      <c r="N674" s="593"/>
      <c r="O674" s="593"/>
      <c r="P674" s="593"/>
      <c r="Q674" s="593"/>
      <c r="R674" s="593"/>
      <c r="S674" s="593"/>
      <c r="T674" s="593"/>
      <c r="U674" s="593"/>
      <c r="V674" s="593"/>
      <c r="W674" s="593"/>
      <c r="X674" s="593"/>
      <c r="Y674" s="593"/>
    </row>
    <row r="675" spans="1:25" ht="18" customHeight="1" x14ac:dyDescent="0.2">
      <c r="A675" s="337"/>
      <c r="B675" s="337"/>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row>
    <row r="676" spans="1:25" ht="18" customHeight="1" x14ac:dyDescent="0.2">
      <c r="A676" s="337"/>
      <c r="B676" s="337"/>
      <c r="C676" s="581" t="s">
        <v>326</v>
      </c>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row>
    <row r="677" spans="1:25" ht="18" customHeight="1" thickBot="1" x14ac:dyDescent="0.25">
      <c r="A677" s="337"/>
      <c r="B677" s="337"/>
      <c r="C677" s="354" t="s">
        <v>234</v>
      </c>
      <c r="D677" s="354"/>
      <c r="E677" s="337"/>
      <c r="H677" s="368"/>
      <c r="I677" s="353" t="s">
        <v>28</v>
      </c>
      <c r="J677" s="588"/>
      <c r="K677" s="588"/>
      <c r="P677" s="339"/>
      <c r="Q677" s="368"/>
      <c r="R677" s="368"/>
      <c r="S677" s="369" t="s">
        <v>29</v>
      </c>
      <c r="T677" s="588"/>
      <c r="U677" s="588"/>
      <c r="V677" s="588"/>
      <c r="W677" s="588"/>
    </row>
    <row r="678" spans="1:25" ht="18" customHeight="1" thickBot="1" x14ac:dyDescent="0.25">
      <c r="A678" s="337"/>
      <c r="B678" s="337"/>
      <c r="C678" s="345"/>
      <c r="D678" s="337"/>
      <c r="E678" s="337"/>
      <c r="F678" s="337"/>
      <c r="G678" s="337"/>
      <c r="H678" s="337"/>
      <c r="I678" s="337"/>
      <c r="J678" s="337"/>
      <c r="K678" s="337"/>
      <c r="L678" s="337"/>
      <c r="M678" s="337"/>
      <c r="N678" s="337"/>
      <c r="O678" s="337"/>
      <c r="T678" s="395"/>
      <c r="U678" s="396"/>
      <c r="V678" s="396"/>
      <c r="W678" s="397" t="str">
        <f>CONCATENATE(IF(AND(SUM($N$669,$N$670,$T$669,$T$670)&gt;0,COUNTA($J$677,$T$677)=0),"Des fossés et/ou des fossés profonds sont présents dans le site, donc répondez à cette question. ",""),IF(COUNTA($J$677,$T$677)&gt;1,"Une seule réponse est possible.",""))</f>
        <v/>
      </c>
    </row>
    <row r="679" spans="1:25" ht="18" customHeight="1" x14ac:dyDescent="0.2">
      <c r="A679" s="337"/>
      <c r="B679" s="337"/>
      <c r="C679" s="345"/>
      <c r="D679" s="337"/>
      <c r="E679" s="337"/>
      <c r="F679" s="337"/>
      <c r="G679" s="337"/>
      <c r="H679" s="337"/>
      <c r="I679" s="337"/>
      <c r="J679" s="337"/>
      <c r="K679" s="337"/>
      <c r="L679" s="337"/>
      <c r="M679" s="337"/>
      <c r="N679" s="337"/>
      <c r="O679" s="337"/>
    </row>
    <row r="680" spans="1:25" ht="23.1" customHeight="1" x14ac:dyDescent="0.2">
      <c r="A680" s="337"/>
      <c r="B680" s="337"/>
      <c r="C680" s="583" t="s">
        <v>327</v>
      </c>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row>
    <row r="681" spans="1:25" ht="23.1" customHeight="1" x14ac:dyDescent="0.2">
      <c r="A681" s="337"/>
      <c r="B681" s="337"/>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c r="Y681" s="592"/>
    </row>
    <row r="682" spans="1:25" ht="18" customHeight="1" thickBot="1" x14ac:dyDescent="0.25">
      <c r="A682" s="337"/>
      <c r="B682" s="337"/>
      <c r="C682" s="354" t="s">
        <v>234</v>
      </c>
      <c r="D682" s="354"/>
      <c r="E682" s="337"/>
      <c r="H682" s="368"/>
      <c r="I682" s="353" t="s">
        <v>28</v>
      </c>
      <c r="J682" s="588"/>
      <c r="K682" s="588"/>
      <c r="P682" s="339"/>
      <c r="Q682" s="368"/>
      <c r="R682" s="368"/>
      <c r="S682" s="369" t="s">
        <v>29</v>
      </c>
      <c r="T682" s="588"/>
      <c r="U682" s="588"/>
      <c r="V682" s="588"/>
      <c r="W682" s="588"/>
    </row>
    <row r="683" spans="1:25" ht="18" customHeight="1" thickBot="1" x14ac:dyDescent="0.25">
      <c r="A683" s="337"/>
      <c r="B683" s="337"/>
      <c r="C683" s="345"/>
      <c r="D683" s="337"/>
      <c r="E683" s="337"/>
      <c r="F683" s="337"/>
      <c r="G683" s="337"/>
      <c r="H683" s="337"/>
      <c r="I683" s="337"/>
      <c r="J683" s="337"/>
      <c r="K683" s="337"/>
      <c r="L683" s="337"/>
      <c r="M683" s="337"/>
      <c r="N683" s="337"/>
      <c r="O683" s="337"/>
      <c r="T683" s="395"/>
      <c r="U683" s="396"/>
      <c r="V683" s="396"/>
      <c r="W683" s="397" t="str">
        <f>CONCATENATE(IF(AND(SUM($N$669,$N$670,$T$669,$T$670)&gt;0,COUNTA($J$682,$T$682)=0),"Des fossés et/ou des fossés profonds sont présents dans le site, donc répondez à cette question. ",""),IF(COUNTA($J$682,$T$682)&gt;1,"Une seule réponse est possible.",""))</f>
        <v/>
      </c>
    </row>
    <row r="684" spans="1:25" ht="18" customHeight="1" x14ac:dyDescent="0.2">
      <c r="A684" s="337"/>
      <c r="B684" s="337"/>
      <c r="C684" s="345"/>
      <c r="D684" s="337"/>
      <c r="E684" s="337"/>
      <c r="F684" s="337"/>
      <c r="G684" s="337"/>
      <c r="H684" s="337"/>
      <c r="I684" s="337"/>
      <c r="J684" s="337"/>
      <c r="K684" s="337"/>
      <c r="L684" s="337"/>
      <c r="M684" s="337"/>
      <c r="N684" s="337"/>
      <c r="O684" s="337"/>
    </row>
    <row r="685" spans="1:25" ht="18" customHeight="1" x14ac:dyDescent="0.2">
      <c r="A685" s="337"/>
      <c r="B685" s="337"/>
      <c r="C685" s="581" t="s">
        <v>328</v>
      </c>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row>
    <row r="686" spans="1:25" ht="18" customHeight="1" thickBot="1" x14ac:dyDescent="0.25">
      <c r="A686" s="337"/>
      <c r="B686" s="337"/>
      <c r="C686" s="354" t="s">
        <v>234</v>
      </c>
      <c r="D686" s="354"/>
      <c r="E686" s="337"/>
      <c r="H686" s="368"/>
      <c r="I686" s="353" t="s">
        <v>28</v>
      </c>
      <c r="J686" s="588"/>
      <c r="K686" s="588"/>
      <c r="P686" s="339"/>
      <c r="Q686" s="368"/>
      <c r="R686" s="368"/>
      <c r="S686" s="369" t="s">
        <v>29</v>
      </c>
      <c r="T686" s="588"/>
      <c r="U686" s="588"/>
      <c r="V686" s="588"/>
      <c r="W686" s="588"/>
    </row>
    <row r="687" spans="1:25" ht="18" customHeight="1" thickBot="1" x14ac:dyDescent="0.25">
      <c r="A687" s="337"/>
      <c r="B687" s="337"/>
      <c r="C687" s="345"/>
      <c r="D687" s="337"/>
      <c r="E687" s="337"/>
      <c r="F687" s="337"/>
      <c r="G687" s="337"/>
      <c r="H687" s="337"/>
      <c r="I687" s="337"/>
      <c r="J687" s="337"/>
      <c r="K687" s="337"/>
      <c r="L687" s="337"/>
      <c r="M687" s="337"/>
      <c r="N687" s="337"/>
      <c r="O687" s="337"/>
      <c r="T687" s="395"/>
      <c r="U687" s="396"/>
      <c r="V687" s="396"/>
      <c r="W687" s="397" t="str">
        <f>IF(COUNTA($J$686,$T$686)&gt;1,"Une seule réponse est possible.","")</f>
        <v/>
      </c>
    </row>
    <row r="688" spans="1:25" ht="18" customHeight="1" x14ac:dyDescent="0.2">
      <c r="A688" s="337"/>
      <c r="B688" s="337"/>
      <c r="C688" s="345"/>
      <c r="D688" s="337"/>
      <c r="E688" s="337"/>
      <c r="F688" s="337"/>
      <c r="G688" s="337"/>
      <c r="H688" s="337"/>
      <c r="I688" s="337"/>
      <c r="J688" s="337"/>
      <c r="K688" s="337"/>
      <c r="L688" s="337"/>
      <c r="M688" s="337"/>
      <c r="N688" s="337"/>
      <c r="O688" s="337"/>
    </row>
    <row r="689" spans="1:27" ht="18" customHeight="1" x14ac:dyDescent="0.2">
      <c r="A689" s="337"/>
      <c r="B689" s="337"/>
      <c r="C689" s="583" t="s">
        <v>380</v>
      </c>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row>
    <row r="690" spans="1:27" ht="18" customHeight="1" x14ac:dyDescent="0.2">
      <c r="A690" s="337"/>
      <c r="B690" s="337"/>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c r="Y690" s="592"/>
    </row>
    <row r="691" spans="1:27" ht="18" customHeight="1" thickBot="1" x14ac:dyDescent="0.25">
      <c r="A691" s="337"/>
      <c r="B691" s="337"/>
      <c r="C691" s="337"/>
      <c r="D691" s="337"/>
      <c r="E691" s="337"/>
      <c r="F691" s="337"/>
      <c r="G691" s="337"/>
      <c r="H691" s="337"/>
      <c r="I691" s="337"/>
      <c r="J691" s="337"/>
      <c r="K691" s="337"/>
      <c r="L691" s="337"/>
      <c r="M691" s="337"/>
      <c r="N691" s="337"/>
      <c r="O691" s="337"/>
      <c r="S691" s="369" t="s">
        <v>270</v>
      </c>
      <c r="T691" s="590"/>
      <c r="U691" s="590"/>
      <c r="V691" s="590"/>
      <c r="W691" s="590"/>
      <c r="X691" s="591" t="s">
        <v>118</v>
      </c>
      <c r="Y691" s="591"/>
    </row>
    <row r="692" spans="1:27" ht="18" customHeight="1" thickBot="1" x14ac:dyDescent="0.25">
      <c r="A692" s="337"/>
      <c r="B692" s="337"/>
      <c r="C692" s="345"/>
      <c r="D692" s="337"/>
      <c r="E692" s="337"/>
      <c r="F692" s="337"/>
      <c r="G692" s="337"/>
      <c r="H692" s="337"/>
      <c r="I692" s="337"/>
      <c r="J692" s="337"/>
      <c r="K692" s="337"/>
      <c r="L692" s="337"/>
      <c r="M692" s="337"/>
      <c r="N692" s="337"/>
      <c r="O692" s="337"/>
      <c r="P692" s="337"/>
      <c r="Q692" s="337"/>
      <c r="R692" s="337"/>
      <c r="S692" s="337"/>
      <c r="T692" s="395"/>
      <c r="U692" s="396"/>
      <c r="V692" s="396"/>
      <c r="W692" s="397" t="str">
        <f>IF(OR(AND(T686="X",LEN(T691)&gt;0),AND(J686="",LEN(T691)&gt;0)),"Si vous n'avez pas répondu oui à la question 63, ne répondez pas à celle-ci.",CONCATENATE(IF(AND($J$686="X",ISBLANK($T$691)),"Vous avez affirmé que vous saviez si des drains souterrains sont présents (question 63), donc répondez à cette question.",""),IF($T$691&gt;100," La valeur renseignée ne peut pas être supérieure à 100%.","")))</f>
        <v/>
      </c>
      <c r="X692" s="425"/>
      <c r="Y692" s="425"/>
      <c r="Z692" s="425"/>
      <c r="AA692" s="425"/>
    </row>
    <row r="693" spans="1:27" ht="18" customHeight="1" x14ac:dyDescent="0.2">
      <c r="A693" s="337"/>
      <c r="B693" s="337"/>
      <c r="C693" s="345"/>
      <c r="D693" s="337"/>
      <c r="E693" s="337"/>
      <c r="F693" s="337"/>
      <c r="G693" s="337"/>
      <c r="H693" s="337"/>
      <c r="I693" s="337"/>
      <c r="J693" s="337"/>
      <c r="K693" s="337"/>
      <c r="L693" s="337"/>
      <c r="M693" s="337"/>
      <c r="N693" s="337"/>
      <c r="O693" s="337"/>
      <c r="P693" s="337"/>
      <c r="Q693" s="337"/>
      <c r="R693" s="337"/>
      <c r="S693" s="337"/>
      <c r="T693" s="425"/>
      <c r="U693" s="425"/>
      <c r="V693" s="425"/>
      <c r="W693" s="425"/>
      <c r="X693" s="425"/>
      <c r="Y693" s="425"/>
      <c r="Z693" s="425"/>
      <c r="AA693" s="425"/>
    </row>
    <row r="694" spans="1:27" ht="18" customHeight="1" x14ac:dyDescent="0.2">
      <c r="A694" s="337"/>
      <c r="B694" s="337"/>
      <c r="C694" s="592" t="s">
        <v>329</v>
      </c>
      <c r="D694" s="592"/>
      <c r="E694" s="592"/>
      <c r="F694" s="592"/>
      <c r="G694" s="592"/>
      <c r="H694" s="592"/>
      <c r="I694" s="592"/>
      <c r="J694" s="592"/>
      <c r="K694" s="592"/>
      <c r="L694" s="592"/>
      <c r="M694" s="592"/>
      <c r="N694" s="592"/>
      <c r="O694" s="592"/>
      <c r="P694" s="592"/>
      <c r="Q694" s="592"/>
      <c r="R694" s="592"/>
      <c r="S694" s="592"/>
      <c r="T694" s="592"/>
      <c r="U694" s="592"/>
      <c r="V694" s="592"/>
      <c r="W694" s="592"/>
      <c r="X694" s="592"/>
      <c r="Y694" s="592"/>
    </row>
    <row r="695" spans="1:27" ht="18" customHeight="1" thickBot="1" x14ac:dyDescent="0.25">
      <c r="A695" s="337"/>
      <c r="B695" s="337"/>
      <c r="C695" s="354" t="s">
        <v>234</v>
      </c>
      <c r="D695" s="354"/>
      <c r="E695" s="337"/>
      <c r="H695" s="368"/>
      <c r="I695" s="353" t="s">
        <v>28</v>
      </c>
      <c r="J695" s="588"/>
      <c r="K695" s="588"/>
      <c r="P695" s="339"/>
      <c r="Q695" s="368"/>
      <c r="R695" s="368"/>
      <c r="S695" s="369" t="s">
        <v>29</v>
      </c>
      <c r="T695" s="588"/>
      <c r="U695" s="588"/>
      <c r="V695" s="588"/>
      <c r="W695" s="588"/>
    </row>
    <row r="696" spans="1:27" ht="18" customHeight="1" thickBot="1" x14ac:dyDescent="0.25">
      <c r="A696" s="337"/>
      <c r="B696" s="337"/>
      <c r="C696" s="345"/>
      <c r="D696" s="337"/>
      <c r="E696" s="337"/>
      <c r="F696" s="337"/>
      <c r="G696" s="337"/>
      <c r="H696" s="337"/>
      <c r="I696" s="337"/>
      <c r="J696" s="337"/>
      <c r="K696" s="337"/>
      <c r="L696" s="337"/>
      <c r="M696" s="337"/>
      <c r="N696" s="337"/>
      <c r="O696" s="337"/>
      <c r="T696" s="395"/>
      <c r="U696" s="396"/>
      <c r="V696" s="396"/>
      <c r="W696" s="397" t="str">
        <f>CONCATENATE(IF(AND($J$686="X",AND($J$695&lt;&gt;"X",$T$695&lt;&gt;"X")),"Vous avez affirmé que vous saviez si des drains souterrains sont présents (question 63), donc répondez à cette question.",""),IF(AND(COUNTA($J$695,$T$695)&gt;1)," Une seule réponse est possible.",""),IF(AND($T$686="X",COUNTA($J$695,$T$695)&gt;0),"Vous avez affirmé que vous ne saviez pas si des drains souterrains sont présents (question 63), donc ne répondez pas à cette question.",""))</f>
        <v/>
      </c>
    </row>
    <row r="697" spans="1:27" ht="18" customHeight="1" x14ac:dyDescent="0.2">
      <c r="A697" s="337"/>
      <c r="B697" s="337"/>
      <c r="C697" s="345"/>
      <c r="D697" s="337"/>
      <c r="E697" s="337"/>
      <c r="F697" s="337"/>
      <c r="G697" s="337"/>
      <c r="H697" s="337"/>
      <c r="I697" s="337"/>
      <c r="J697" s="337"/>
      <c r="K697" s="337"/>
      <c r="L697" s="337"/>
      <c r="M697" s="337"/>
      <c r="N697" s="337"/>
      <c r="O697" s="337"/>
    </row>
    <row r="698" spans="1:27" ht="18" customHeight="1" x14ac:dyDescent="0.2">
      <c r="A698" s="337"/>
      <c r="B698" s="337"/>
      <c r="C698" s="581" t="s">
        <v>330</v>
      </c>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row>
    <row r="699" spans="1:27" ht="18" customHeight="1" thickBot="1" x14ac:dyDescent="0.25">
      <c r="A699" s="337"/>
      <c r="B699" s="337"/>
      <c r="C699" s="337"/>
      <c r="D699" s="337"/>
      <c r="E699" s="337"/>
      <c r="F699" s="337"/>
      <c r="G699" s="337"/>
      <c r="H699" s="337"/>
      <c r="I699" s="337"/>
      <c r="J699" s="337"/>
      <c r="K699" s="469"/>
      <c r="L699" s="337"/>
      <c r="M699" s="337"/>
      <c r="N699" s="337"/>
      <c r="O699" s="337"/>
      <c r="S699" s="369" t="s">
        <v>271</v>
      </c>
      <c r="T699" s="590"/>
      <c r="U699" s="590"/>
      <c r="V699" s="590"/>
      <c r="W699" s="590"/>
      <c r="X699" s="591" t="s">
        <v>118</v>
      </c>
      <c r="Y699" s="591"/>
    </row>
    <row r="700" spans="1:27" ht="18" customHeight="1" thickBot="1" x14ac:dyDescent="0.25">
      <c r="A700" s="337"/>
      <c r="B700" s="337"/>
      <c r="C700" s="345"/>
      <c r="D700" s="337"/>
      <c r="E700" s="337"/>
      <c r="F700" s="337"/>
      <c r="G700" s="337"/>
      <c r="H700" s="337"/>
      <c r="I700" s="337"/>
      <c r="J700" s="337"/>
      <c r="K700" s="337"/>
      <c r="L700" s="337"/>
      <c r="M700" s="337"/>
      <c r="N700" s="337"/>
      <c r="O700" s="337"/>
      <c r="T700" s="395"/>
      <c r="U700" s="396"/>
      <c r="V700" s="396"/>
      <c r="W700" s="397" t="str">
        <f>IF($T$699&gt;100,"La réponse donnée ne peut pas être supérieure à 100%.","")</f>
        <v/>
      </c>
    </row>
    <row r="701" spans="1:27" ht="18" customHeight="1" x14ac:dyDescent="0.2">
      <c r="A701" s="337"/>
      <c r="B701" s="337"/>
      <c r="C701" s="345"/>
      <c r="D701" s="337"/>
      <c r="E701" s="337"/>
      <c r="F701" s="337"/>
      <c r="G701" s="337"/>
      <c r="H701" s="337"/>
      <c r="I701" s="337"/>
      <c r="J701" s="337"/>
      <c r="K701" s="337"/>
      <c r="L701" s="337"/>
      <c r="M701" s="337"/>
      <c r="N701" s="337"/>
      <c r="O701" s="337"/>
    </row>
    <row r="702" spans="1:27" ht="18" customHeight="1" x14ac:dyDescent="0.2">
      <c r="A702" s="337"/>
      <c r="B702" s="337"/>
      <c r="C702" s="581" t="s">
        <v>331</v>
      </c>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row>
    <row r="703" spans="1:27" ht="18" customHeight="1" thickBot="1" x14ac:dyDescent="0.25">
      <c r="A703" s="337"/>
      <c r="B703" s="337"/>
      <c r="C703" s="354" t="s">
        <v>234</v>
      </c>
      <c r="D703" s="354"/>
      <c r="E703" s="337"/>
      <c r="H703" s="368"/>
      <c r="I703" s="353" t="s">
        <v>28</v>
      </c>
      <c r="J703" s="588"/>
      <c r="K703" s="588"/>
      <c r="P703" s="339"/>
      <c r="Q703" s="368"/>
      <c r="R703" s="368"/>
      <c r="S703" s="369" t="s">
        <v>29</v>
      </c>
      <c r="T703" s="588"/>
      <c r="U703" s="588"/>
      <c r="V703" s="588"/>
      <c r="W703" s="588"/>
    </row>
    <row r="704" spans="1:27" ht="18" customHeight="1" thickBot="1" x14ac:dyDescent="0.25">
      <c r="A704" s="337"/>
      <c r="B704" s="337"/>
      <c r="C704" s="345"/>
      <c r="D704" s="337"/>
      <c r="E704" s="337"/>
      <c r="F704" s="337"/>
      <c r="G704" s="337"/>
      <c r="H704" s="337"/>
      <c r="I704" s="337"/>
      <c r="J704" s="337"/>
      <c r="K704" s="337"/>
      <c r="L704" s="337"/>
      <c r="M704" s="337"/>
      <c r="N704" s="337"/>
      <c r="O704" s="337"/>
      <c r="T704" s="395"/>
      <c r="U704" s="396"/>
      <c r="V704" s="396"/>
      <c r="W704" s="397" t="str">
        <f>IF(COUNTA($J$703,$T$703)&gt;1,"Une seule réponse est possible.","")</f>
        <v/>
      </c>
    </row>
    <row r="705" spans="1:25" ht="18" customHeight="1" x14ac:dyDescent="0.2">
      <c r="A705" s="337"/>
      <c r="B705" s="337"/>
      <c r="C705" s="345"/>
      <c r="D705" s="337"/>
      <c r="E705" s="337"/>
      <c r="F705" s="337"/>
      <c r="G705" s="337"/>
      <c r="H705" s="337"/>
      <c r="I705" s="337"/>
      <c r="J705" s="337"/>
      <c r="K705" s="337"/>
      <c r="L705" s="337"/>
      <c r="M705" s="337"/>
      <c r="N705" s="337"/>
      <c r="O705" s="337"/>
    </row>
    <row r="706" spans="1:25" ht="33.75" customHeight="1" x14ac:dyDescent="0.2">
      <c r="A706" s="337"/>
      <c r="B706" s="337"/>
      <c r="C706" s="341" t="s">
        <v>392</v>
      </c>
      <c r="D706" s="805" t="s">
        <v>406</v>
      </c>
      <c r="E706" s="805"/>
      <c r="F706" s="805"/>
      <c r="G706" s="805"/>
      <c r="H706" s="805"/>
      <c r="I706" s="805"/>
      <c r="J706" s="805"/>
      <c r="K706" s="805"/>
      <c r="L706" s="805"/>
      <c r="M706" s="805"/>
      <c r="N706" s="805"/>
      <c r="O706" s="805"/>
      <c r="P706" s="805"/>
      <c r="Q706" s="805"/>
      <c r="R706" s="805"/>
      <c r="S706" s="805"/>
      <c r="T706" s="805"/>
      <c r="U706" s="805"/>
      <c r="V706" s="805"/>
      <c r="W706" s="805"/>
      <c r="X706" s="805"/>
      <c r="Y706" s="805"/>
    </row>
    <row r="707" spans="1:25" ht="18" customHeight="1" x14ac:dyDescent="0.2">
      <c r="A707" s="337"/>
      <c r="B707" s="337"/>
      <c r="C707" s="470"/>
      <c r="D707" s="470"/>
      <c r="E707" s="470"/>
      <c r="F707" s="470"/>
      <c r="G707" s="470"/>
      <c r="H707" s="470"/>
      <c r="I707" s="470"/>
      <c r="J707" s="470"/>
      <c r="K707" s="470"/>
      <c r="L707" s="470"/>
      <c r="M707" s="470"/>
      <c r="N707" s="470"/>
      <c r="O707" s="470"/>
      <c r="P707" s="470"/>
      <c r="Q707" s="470"/>
      <c r="R707" s="470"/>
      <c r="S707" s="470"/>
      <c r="T707" s="470"/>
      <c r="U707" s="470"/>
      <c r="V707" s="470"/>
      <c r="W707" s="470"/>
      <c r="X707" s="470"/>
      <c r="Y707" s="470"/>
    </row>
    <row r="708" spans="1:25" ht="23.1" customHeight="1" thickBot="1" x14ac:dyDescent="0.25">
      <c r="A708" s="337"/>
      <c r="B708" s="337"/>
      <c r="C708" s="589" t="s">
        <v>117</v>
      </c>
      <c r="D708" s="589"/>
      <c r="E708" s="589"/>
      <c r="F708" s="589"/>
      <c r="G708" s="589"/>
      <c r="H708" s="589"/>
      <c r="I708" s="589"/>
      <c r="J708" s="589"/>
      <c r="K708" s="589"/>
      <c r="L708" s="589"/>
      <c r="M708" s="589"/>
      <c r="N708" s="589"/>
      <c r="O708" s="589"/>
      <c r="P708" s="589"/>
      <c r="Q708" s="589"/>
      <c r="R708" s="589"/>
      <c r="S708" s="589"/>
      <c r="T708" s="589"/>
      <c r="U708" s="589"/>
      <c r="V708" s="589"/>
      <c r="W708" s="589"/>
      <c r="X708" s="589"/>
      <c r="Y708" s="589"/>
    </row>
    <row r="709" spans="1:25" ht="18" customHeight="1" thickBot="1" x14ac:dyDescent="0.25">
      <c r="A709" s="337"/>
      <c r="B709" s="337"/>
      <c r="C709" s="345"/>
      <c r="D709" s="471"/>
      <c r="E709" s="471"/>
      <c r="F709" s="471"/>
      <c r="G709" s="471"/>
      <c r="H709" s="471"/>
      <c r="I709" s="471"/>
      <c r="J709" s="471"/>
      <c r="K709" s="471"/>
      <c r="L709" s="471"/>
      <c r="M709" s="471"/>
      <c r="N709" s="471"/>
      <c r="O709" s="471"/>
      <c r="P709" s="471"/>
      <c r="Q709" s="471"/>
      <c r="R709" s="471"/>
      <c r="S709" s="471"/>
      <c r="T709" s="395"/>
      <c r="U709" s="396"/>
      <c r="V709" s="396"/>
      <c r="W709" s="397" t="str">
        <f>IF(AND($J$121&lt;&gt;"X",COUNTA($J$711,$T$711,$J$715:$K$718,$T$715:$W$717,$T$722,$T$726,$T$732:$W$739)&gt;0),"Le site n'est pas dans un système alluvial, donc ne répondez pas à ces questions.","")</f>
        <v/>
      </c>
      <c r="X709" s="471"/>
      <c r="Y709" s="471"/>
    </row>
    <row r="710" spans="1:25" ht="18" customHeight="1" x14ac:dyDescent="0.2">
      <c r="A710" s="337"/>
      <c r="B710" s="337"/>
      <c r="C710" s="581" t="s">
        <v>332</v>
      </c>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row>
    <row r="711" spans="1:25" ht="18" customHeight="1" thickBot="1" x14ac:dyDescent="0.25">
      <c r="A711" s="337"/>
      <c r="B711" s="337"/>
      <c r="C711" s="354" t="s">
        <v>234</v>
      </c>
      <c r="D711" s="354"/>
      <c r="E711" s="337"/>
      <c r="H711" s="368"/>
      <c r="I711" s="353" t="s">
        <v>28</v>
      </c>
      <c r="J711" s="588"/>
      <c r="K711" s="588"/>
      <c r="P711" s="339"/>
      <c r="Q711" s="368"/>
      <c r="R711" s="368"/>
      <c r="S711" s="369" t="s">
        <v>29</v>
      </c>
      <c r="T711" s="588"/>
      <c r="U711" s="588"/>
      <c r="V711" s="588"/>
      <c r="W711" s="588"/>
    </row>
    <row r="712" spans="1:25" ht="18" customHeight="1" thickBot="1" x14ac:dyDescent="0.25">
      <c r="A712" s="337"/>
      <c r="B712" s="337"/>
      <c r="C712" s="345"/>
      <c r="D712" s="337"/>
      <c r="E712" s="337"/>
      <c r="F712" s="337"/>
      <c r="G712" s="337"/>
      <c r="H712" s="337"/>
      <c r="I712" s="337"/>
      <c r="J712" s="337"/>
      <c r="K712" s="337"/>
      <c r="L712" s="337"/>
      <c r="M712" s="337"/>
      <c r="N712" s="337"/>
      <c r="O712" s="337"/>
      <c r="T712" s="395"/>
      <c r="U712" s="396"/>
      <c r="V712" s="396"/>
      <c r="W712" s="397" t="str">
        <f>CONCATENATE(IF(COUNTA($J$711,$T$711)&gt;1,"Une seule réponse est possible.",""),IF(AND($J$121="x",AND($J$711&lt;&gt;"X",$T$711&lt;&gt;"X")),"Votre site est alluvial, donnez une réponse à cette question.",""))</f>
        <v/>
      </c>
    </row>
    <row r="713" spans="1:25" ht="18" customHeight="1" x14ac:dyDescent="0.2">
      <c r="A713" s="337"/>
      <c r="B713" s="337"/>
      <c r="C713" s="345"/>
      <c r="D713" s="337"/>
      <c r="E713" s="337"/>
      <c r="F713" s="337"/>
      <c r="G713" s="337"/>
      <c r="H713" s="337"/>
      <c r="I713" s="337"/>
      <c r="J713" s="337"/>
      <c r="K713" s="337"/>
      <c r="L713" s="337"/>
      <c r="M713" s="337"/>
      <c r="N713" s="337"/>
      <c r="O713" s="337"/>
    </row>
    <row r="714" spans="1:25" ht="18" customHeight="1" x14ac:dyDescent="0.2">
      <c r="A714" s="337"/>
      <c r="B714" s="337"/>
      <c r="C714" s="581" t="s">
        <v>333</v>
      </c>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row>
    <row r="715" spans="1:25" s="369" customFormat="1" ht="18" customHeight="1" x14ac:dyDescent="0.2">
      <c r="A715" s="353"/>
      <c r="B715" s="353"/>
      <c r="C715" s="472" t="s">
        <v>234</v>
      </c>
      <c r="D715" s="473"/>
      <c r="E715" s="353"/>
      <c r="I715" s="353" t="s">
        <v>13</v>
      </c>
      <c r="J715" s="588"/>
      <c r="K715" s="588"/>
      <c r="S715" s="353" t="s">
        <v>18</v>
      </c>
      <c r="T715" s="588"/>
      <c r="U715" s="588"/>
      <c r="V715" s="588"/>
      <c r="W715" s="588"/>
    </row>
    <row r="716" spans="1:25" s="369" customFormat="1" ht="18" customHeight="1" x14ac:dyDescent="0.2">
      <c r="A716" s="353"/>
      <c r="B716" s="353"/>
      <c r="C716" s="473"/>
      <c r="D716" s="473"/>
      <c r="E716" s="353"/>
      <c r="F716" s="353"/>
      <c r="G716" s="353"/>
      <c r="H716" s="353"/>
      <c r="I716" s="353" t="s">
        <v>19</v>
      </c>
      <c r="J716" s="588"/>
      <c r="K716" s="588"/>
      <c r="S716" s="353" t="s">
        <v>20</v>
      </c>
      <c r="T716" s="588"/>
      <c r="U716" s="588"/>
      <c r="V716" s="588"/>
      <c r="W716" s="588"/>
    </row>
    <row r="717" spans="1:25" s="369" customFormat="1" ht="18" customHeight="1" x14ac:dyDescent="0.2">
      <c r="A717" s="353"/>
      <c r="B717" s="353"/>
      <c r="C717" s="353"/>
      <c r="D717" s="353"/>
      <c r="E717" s="353"/>
      <c r="F717" s="353"/>
      <c r="G717" s="353"/>
      <c r="H717" s="353"/>
      <c r="I717" s="353" t="s">
        <v>14</v>
      </c>
      <c r="J717" s="588"/>
      <c r="K717" s="588"/>
      <c r="S717" s="353" t="s">
        <v>16</v>
      </c>
      <c r="T717" s="588"/>
      <c r="U717" s="588"/>
      <c r="V717" s="588"/>
      <c r="W717" s="588"/>
    </row>
    <row r="718" spans="1:25" s="369" customFormat="1" ht="18" customHeight="1" thickBot="1" x14ac:dyDescent="0.25">
      <c r="A718" s="353"/>
      <c r="B718" s="353"/>
      <c r="C718" s="353"/>
      <c r="D718" s="353"/>
      <c r="E718" s="353"/>
      <c r="F718" s="353"/>
      <c r="G718" s="353"/>
      <c r="H718" s="353"/>
      <c r="I718" s="353" t="s">
        <v>15</v>
      </c>
      <c r="J718" s="588"/>
      <c r="K718" s="588"/>
      <c r="S718" s="353"/>
    </row>
    <row r="719" spans="1:25" s="347" customFormat="1" ht="18" customHeight="1" thickBot="1" x14ac:dyDescent="0.25">
      <c r="C719" s="345"/>
      <c r="E719" s="352"/>
      <c r="F719" s="352"/>
      <c r="G719" s="370"/>
      <c r="H719" s="370"/>
      <c r="J719" s="352"/>
      <c r="K719" s="370"/>
      <c r="M719" s="352"/>
      <c r="N719" s="370"/>
      <c r="P719" s="418"/>
      <c r="R719" s="349"/>
      <c r="S719" s="349"/>
      <c r="T719" s="395"/>
      <c r="U719" s="396"/>
      <c r="V719" s="396"/>
      <c r="W719" s="397" t="str">
        <f>CONCATENATE(IF(COUNTA($J$715:$K$718,$T$715:$W$717)&gt;1,"Une seule réponse est possible.",""),IF(AND($J$121="x",AND($J$715&lt;&gt;"X",$J$716&lt;&gt;"X",$J$717&lt;&gt;"x",$J$718&lt;&gt;"x",$T$715&lt;&gt;"x",$T$716&lt;&gt;"x",$T$717&lt;&gt;"x")),"Votre site est alluvial, donnez une réponse à cette question.",""))</f>
        <v/>
      </c>
    </row>
    <row r="720" spans="1:25" s="347" customFormat="1" ht="18" customHeight="1" x14ac:dyDescent="0.2">
      <c r="C720" s="345"/>
      <c r="E720" s="352"/>
      <c r="F720" s="352"/>
      <c r="G720" s="370"/>
      <c r="H720" s="370"/>
      <c r="J720" s="352"/>
      <c r="K720" s="370"/>
      <c r="M720" s="352"/>
      <c r="N720" s="370"/>
      <c r="P720" s="418"/>
      <c r="R720" s="349"/>
      <c r="S720" s="349"/>
    </row>
    <row r="721" spans="1:25" ht="18" customHeight="1" x14ac:dyDescent="0.2">
      <c r="A721" s="337"/>
      <c r="B721" s="337"/>
      <c r="C721" s="581" t="s">
        <v>334</v>
      </c>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row>
    <row r="722" spans="1:25" ht="18" customHeight="1" thickBot="1" x14ac:dyDescent="0.25">
      <c r="A722" s="337"/>
      <c r="B722" s="337"/>
      <c r="C722" s="354" t="s">
        <v>234</v>
      </c>
      <c r="D722" s="354"/>
      <c r="E722" s="337"/>
      <c r="H722" s="368"/>
      <c r="I722" s="353" t="s">
        <v>28</v>
      </c>
      <c r="J722" s="588"/>
      <c r="K722" s="588"/>
      <c r="P722" s="339"/>
      <c r="Q722" s="368"/>
      <c r="R722" s="368"/>
      <c r="S722" s="369" t="s">
        <v>29</v>
      </c>
      <c r="T722" s="588"/>
      <c r="U722" s="588"/>
      <c r="V722" s="588"/>
      <c r="W722" s="588"/>
    </row>
    <row r="723" spans="1:25" s="347" customFormat="1" ht="18" customHeight="1" thickBot="1" x14ac:dyDescent="0.25">
      <c r="C723" s="345"/>
      <c r="D723" s="360"/>
      <c r="E723" s="352"/>
      <c r="F723" s="352"/>
      <c r="G723" s="349"/>
      <c r="H723" s="349"/>
      <c r="I723" s="349"/>
      <c r="J723" s="349"/>
      <c r="K723" s="352"/>
      <c r="L723" s="349"/>
      <c r="P723" s="418"/>
      <c r="T723" s="395"/>
      <c r="U723" s="396"/>
      <c r="V723" s="396"/>
      <c r="W723" s="397" t="str">
        <f>CONCATENATE(IF(COUNTA($J$722,$T$722)&gt;1,"Une seule réponse est possible.",""),IF(AND($J$121="x",AND($J$722&lt;&gt;"X",$T$722&lt;&gt;"X")),"Votre site est alluvial, donnez une réponse à cette question.",""))</f>
        <v/>
      </c>
    </row>
    <row r="724" spans="1:25" s="347" customFormat="1" ht="18" customHeight="1" x14ac:dyDescent="0.2">
      <c r="C724" s="345"/>
      <c r="D724" s="360"/>
      <c r="E724" s="352"/>
      <c r="F724" s="352"/>
      <c r="G724" s="349"/>
      <c r="H724" s="349"/>
      <c r="I724" s="349"/>
      <c r="J724" s="349"/>
      <c r="K724" s="352"/>
      <c r="L724" s="349"/>
      <c r="P724" s="418"/>
    </row>
    <row r="725" spans="1:25" ht="18" customHeight="1" x14ac:dyDescent="0.2">
      <c r="A725" s="337"/>
      <c r="B725" s="337"/>
      <c r="C725" s="581" t="s">
        <v>335</v>
      </c>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row>
    <row r="726" spans="1:25" ht="18" customHeight="1" thickBot="1" x14ac:dyDescent="0.25">
      <c r="A726" s="337"/>
      <c r="B726" s="337"/>
      <c r="C726" s="337"/>
      <c r="D726" s="337"/>
      <c r="E726" s="337"/>
      <c r="F726" s="337"/>
      <c r="G726" s="337"/>
      <c r="H726" s="337"/>
      <c r="I726" s="337"/>
      <c r="J726" s="337"/>
      <c r="K726" s="337"/>
      <c r="L726" s="337"/>
      <c r="M726" s="394"/>
      <c r="N726" s="337"/>
      <c r="O726" s="337"/>
      <c r="S726" s="369" t="s">
        <v>119</v>
      </c>
      <c r="T726" s="578"/>
      <c r="U726" s="578"/>
      <c r="V726" s="578"/>
      <c r="W726" s="578"/>
      <c r="X726" s="582" t="s">
        <v>112</v>
      </c>
      <c r="Y726" s="582"/>
    </row>
    <row r="727" spans="1:25" ht="18" customHeight="1" thickBot="1" x14ac:dyDescent="0.25">
      <c r="A727" s="337"/>
      <c r="B727" s="337"/>
      <c r="C727" s="345"/>
      <c r="D727" s="337"/>
      <c r="E727" s="337"/>
      <c r="F727" s="337"/>
      <c r="G727" s="337"/>
      <c r="H727" s="337"/>
      <c r="I727" s="337"/>
      <c r="J727" s="337"/>
      <c r="K727" s="337"/>
      <c r="L727" s="337"/>
      <c r="M727" s="337"/>
      <c r="N727" s="337"/>
      <c r="O727" s="337"/>
      <c r="T727" s="395"/>
      <c r="U727" s="396"/>
      <c r="V727" s="396"/>
      <c r="W727" s="397" t="str">
        <f>IF(AND($J$121="x",AND($T$726="")),"Votre site est alluvial, donnez une réponse à cette question.","")</f>
        <v/>
      </c>
    </row>
    <row r="728" spans="1:25" ht="18" customHeight="1" x14ac:dyDescent="0.2">
      <c r="A728" s="337"/>
      <c r="B728" s="337"/>
      <c r="C728" s="345"/>
      <c r="D728" s="337"/>
      <c r="E728" s="337"/>
      <c r="F728" s="337"/>
      <c r="G728" s="337"/>
      <c r="H728" s="337"/>
      <c r="I728" s="337"/>
      <c r="J728" s="337"/>
      <c r="K728" s="337"/>
      <c r="L728" s="337"/>
      <c r="M728" s="337"/>
      <c r="N728" s="337"/>
      <c r="O728" s="337"/>
    </row>
    <row r="729" spans="1:25" ht="23.1" customHeight="1" x14ac:dyDescent="0.2">
      <c r="A729" s="337"/>
      <c r="B729" s="337"/>
      <c r="C729" s="583" t="s">
        <v>336</v>
      </c>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row>
    <row r="730" spans="1:25" ht="23.1" customHeight="1" x14ac:dyDescent="0.2">
      <c r="A730" s="337"/>
      <c r="B730" s="337"/>
      <c r="C730" s="583"/>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row>
    <row r="731" spans="1:25" ht="36" customHeight="1" x14ac:dyDescent="0.2">
      <c r="A731" s="337"/>
      <c r="B731" s="337"/>
      <c r="C731" s="584" t="s">
        <v>84</v>
      </c>
      <c r="D731" s="584"/>
      <c r="E731" s="584"/>
      <c r="F731" s="584"/>
      <c r="G731" s="584"/>
      <c r="H731" s="584"/>
      <c r="I731" s="584"/>
      <c r="J731" s="584"/>
      <c r="K731" s="584"/>
      <c r="L731" s="584"/>
      <c r="M731" s="584"/>
      <c r="N731" s="584"/>
      <c r="O731" s="584"/>
      <c r="P731" s="584"/>
      <c r="Q731" s="584"/>
      <c r="R731" s="584"/>
      <c r="S731" s="584"/>
      <c r="T731" s="585" t="s">
        <v>110</v>
      </c>
      <c r="U731" s="586"/>
      <c r="V731" s="586"/>
      <c r="W731" s="586"/>
      <c r="X731" s="586"/>
      <c r="Y731" s="587"/>
    </row>
    <row r="732" spans="1:25" ht="18" customHeight="1" x14ac:dyDescent="0.2">
      <c r="A732" s="337"/>
      <c r="B732" s="337"/>
      <c r="C732" s="577" t="s">
        <v>337</v>
      </c>
      <c r="D732" s="577"/>
      <c r="E732" s="577"/>
      <c r="F732" s="577"/>
      <c r="G732" s="577"/>
      <c r="H732" s="577"/>
      <c r="I732" s="577"/>
      <c r="J732" s="577"/>
      <c r="K732" s="577"/>
      <c r="L732" s="577"/>
      <c r="M732" s="577"/>
      <c r="N732" s="577"/>
      <c r="O732" s="577"/>
      <c r="P732" s="577"/>
      <c r="Q732" s="577"/>
      <c r="R732" s="577"/>
      <c r="S732" s="577"/>
      <c r="T732" s="578"/>
      <c r="U732" s="578"/>
      <c r="V732" s="578"/>
      <c r="W732" s="578"/>
      <c r="X732" s="579" t="s">
        <v>82</v>
      </c>
      <c r="Y732" s="579"/>
    </row>
    <row r="733" spans="1:25" ht="18" customHeight="1" x14ac:dyDescent="0.2">
      <c r="A733" s="337"/>
      <c r="B733" s="337"/>
      <c r="C733" s="577"/>
      <c r="D733" s="577"/>
      <c r="E733" s="577"/>
      <c r="F733" s="577"/>
      <c r="G733" s="577"/>
      <c r="H733" s="577"/>
      <c r="I733" s="577"/>
      <c r="J733" s="577"/>
      <c r="K733" s="577"/>
      <c r="L733" s="577"/>
      <c r="M733" s="577"/>
      <c r="N733" s="577"/>
      <c r="O733" s="577"/>
      <c r="P733" s="577"/>
      <c r="Q733" s="577"/>
      <c r="R733" s="577"/>
      <c r="S733" s="577"/>
      <c r="T733" s="578"/>
      <c r="U733" s="578"/>
      <c r="V733" s="578"/>
      <c r="W733" s="578"/>
      <c r="X733" s="579"/>
      <c r="Y733" s="579"/>
    </row>
    <row r="734" spans="1:25" ht="18" customHeight="1" x14ac:dyDescent="0.2">
      <c r="A734" s="337"/>
      <c r="B734" s="337"/>
      <c r="C734" s="577" t="s">
        <v>480</v>
      </c>
      <c r="D734" s="577"/>
      <c r="E734" s="577"/>
      <c r="F734" s="577"/>
      <c r="G734" s="577"/>
      <c r="H734" s="577"/>
      <c r="I734" s="577"/>
      <c r="J734" s="577"/>
      <c r="K734" s="577"/>
      <c r="L734" s="577"/>
      <c r="M734" s="577"/>
      <c r="N734" s="577"/>
      <c r="O734" s="577"/>
      <c r="P734" s="577"/>
      <c r="Q734" s="577"/>
      <c r="R734" s="577"/>
      <c r="S734" s="577"/>
      <c r="T734" s="578"/>
      <c r="U734" s="578"/>
      <c r="V734" s="578"/>
      <c r="W734" s="578"/>
      <c r="X734" s="580" t="s">
        <v>82</v>
      </c>
      <c r="Y734" s="580"/>
    </row>
    <row r="735" spans="1:25" ht="18" customHeight="1" x14ac:dyDescent="0.2">
      <c r="A735" s="337"/>
      <c r="B735" s="337"/>
      <c r="C735" s="577"/>
      <c r="D735" s="577"/>
      <c r="E735" s="577"/>
      <c r="F735" s="577"/>
      <c r="G735" s="577"/>
      <c r="H735" s="577"/>
      <c r="I735" s="577"/>
      <c r="J735" s="577"/>
      <c r="K735" s="577"/>
      <c r="L735" s="577"/>
      <c r="M735" s="577"/>
      <c r="N735" s="577"/>
      <c r="O735" s="577"/>
      <c r="P735" s="577"/>
      <c r="Q735" s="577"/>
      <c r="R735" s="577"/>
      <c r="S735" s="577"/>
      <c r="T735" s="578"/>
      <c r="U735" s="578"/>
      <c r="V735" s="578"/>
      <c r="W735" s="578"/>
      <c r="X735" s="580"/>
      <c r="Y735" s="580"/>
    </row>
    <row r="736" spans="1:25" ht="18" customHeight="1" x14ac:dyDescent="0.2">
      <c r="A736" s="337"/>
      <c r="B736" s="337"/>
      <c r="C736" s="561" t="s">
        <v>83</v>
      </c>
      <c r="D736" s="562"/>
      <c r="E736" s="562"/>
      <c r="F736" s="562"/>
      <c r="G736" s="562"/>
      <c r="H736" s="562"/>
      <c r="I736" s="562"/>
      <c r="J736" s="562"/>
      <c r="K736" s="562"/>
      <c r="L736" s="562"/>
      <c r="M736" s="562"/>
      <c r="N736" s="562"/>
      <c r="O736" s="562"/>
      <c r="P736" s="562"/>
      <c r="Q736" s="562"/>
      <c r="R736" s="562"/>
      <c r="S736" s="563"/>
      <c r="T736" s="567"/>
      <c r="U736" s="568"/>
      <c r="V736" s="568"/>
      <c r="W736" s="569"/>
      <c r="X736" s="573" t="s">
        <v>82</v>
      </c>
      <c r="Y736" s="574"/>
    </row>
    <row r="737" spans="1:28" ht="18" customHeight="1" x14ac:dyDescent="0.2">
      <c r="A737" s="337"/>
      <c r="B737" s="337"/>
      <c r="C737" s="564"/>
      <c r="D737" s="565"/>
      <c r="E737" s="565"/>
      <c r="F737" s="565"/>
      <c r="G737" s="565"/>
      <c r="H737" s="565"/>
      <c r="I737" s="565"/>
      <c r="J737" s="565"/>
      <c r="K737" s="565"/>
      <c r="L737" s="565"/>
      <c r="M737" s="565"/>
      <c r="N737" s="565"/>
      <c r="O737" s="565"/>
      <c r="P737" s="565"/>
      <c r="Q737" s="565"/>
      <c r="R737" s="565"/>
      <c r="S737" s="566"/>
      <c r="T737" s="570"/>
      <c r="U737" s="571"/>
      <c r="V737" s="571"/>
      <c r="W737" s="572"/>
      <c r="X737" s="575"/>
      <c r="Y737" s="576"/>
    </row>
    <row r="738" spans="1:28" ht="18" customHeight="1" x14ac:dyDescent="0.2">
      <c r="A738" s="337"/>
      <c r="B738" s="337"/>
      <c r="C738" s="561" t="s">
        <v>338</v>
      </c>
      <c r="D738" s="562"/>
      <c r="E738" s="562"/>
      <c r="F738" s="562"/>
      <c r="G738" s="562"/>
      <c r="H738" s="562"/>
      <c r="I738" s="562"/>
      <c r="J738" s="562"/>
      <c r="K738" s="562"/>
      <c r="L738" s="562"/>
      <c r="M738" s="562"/>
      <c r="N738" s="562"/>
      <c r="O738" s="562"/>
      <c r="P738" s="562"/>
      <c r="Q738" s="562"/>
      <c r="R738" s="562"/>
      <c r="S738" s="563"/>
      <c r="T738" s="567"/>
      <c r="U738" s="568"/>
      <c r="V738" s="568"/>
      <c r="W738" s="569"/>
      <c r="X738" s="573" t="s">
        <v>82</v>
      </c>
      <c r="Y738" s="574"/>
    </row>
    <row r="739" spans="1:28" ht="18" customHeight="1" thickBot="1" x14ac:dyDescent="0.25">
      <c r="A739" s="337"/>
      <c r="B739" s="337"/>
      <c r="C739" s="564"/>
      <c r="D739" s="565"/>
      <c r="E739" s="565"/>
      <c r="F739" s="565"/>
      <c r="G739" s="565"/>
      <c r="H739" s="565"/>
      <c r="I739" s="565"/>
      <c r="J739" s="565"/>
      <c r="K739" s="565"/>
      <c r="L739" s="565"/>
      <c r="M739" s="565"/>
      <c r="N739" s="565"/>
      <c r="O739" s="565"/>
      <c r="P739" s="565"/>
      <c r="Q739" s="565"/>
      <c r="R739" s="565"/>
      <c r="S739" s="566"/>
      <c r="T739" s="570"/>
      <c r="U739" s="571"/>
      <c r="V739" s="571"/>
      <c r="W739" s="572"/>
      <c r="X739" s="575"/>
      <c r="Y739" s="576"/>
    </row>
    <row r="740" spans="1:28" ht="18" customHeight="1" thickBot="1" x14ac:dyDescent="0.25">
      <c r="A740" s="337"/>
      <c r="B740" s="337"/>
      <c r="C740" s="345"/>
      <c r="D740" s="337"/>
      <c r="G740" s="337"/>
      <c r="H740" s="337"/>
      <c r="I740" s="337"/>
      <c r="J740" s="337"/>
      <c r="K740" s="337"/>
      <c r="L740" s="337"/>
      <c r="M740" s="337"/>
      <c r="N740" s="337"/>
      <c r="O740" s="337"/>
      <c r="T740" s="395"/>
      <c r="U740" s="396"/>
      <c r="V740" s="396"/>
      <c r="W740" s="397" t="str">
        <f>IF(SUM($T$732:$W$739)&lt;&gt;$T$726,"La somme des réponses données à cette question doit correspondre au linéaire total de berges (question 71).","")</f>
        <v/>
      </c>
    </row>
    <row r="741" spans="1:28" ht="18" customHeight="1" x14ac:dyDescent="0.2">
      <c r="A741" s="337"/>
      <c r="B741" s="337"/>
      <c r="C741" s="345"/>
      <c r="D741" s="337"/>
      <c r="G741" s="337"/>
      <c r="H741" s="337"/>
      <c r="I741" s="337"/>
      <c r="J741" s="337"/>
      <c r="K741" s="337"/>
      <c r="L741" s="337"/>
      <c r="M741" s="337"/>
      <c r="N741" s="337"/>
      <c r="O741" s="337"/>
    </row>
    <row r="742" spans="1:28" ht="33.75" customHeight="1" x14ac:dyDescent="0.2">
      <c r="A742" s="337"/>
      <c r="B742" s="337"/>
      <c r="C742" s="341" t="s">
        <v>391</v>
      </c>
      <c r="D742" s="695" t="s">
        <v>411</v>
      </c>
      <c r="E742" s="696"/>
      <c r="F742" s="696"/>
      <c r="G742" s="696"/>
      <c r="H742" s="696"/>
      <c r="I742" s="696"/>
      <c r="J742" s="696"/>
      <c r="K742" s="696"/>
      <c r="L742" s="696"/>
      <c r="M742" s="696"/>
      <c r="N742" s="696"/>
      <c r="O742" s="696"/>
      <c r="P742" s="696"/>
      <c r="Q742" s="696"/>
      <c r="R742" s="696"/>
      <c r="S742" s="696"/>
      <c r="T742" s="696"/>
      <c r="U742" s="696"/>
      <c r="V742" s="696"/>
      <c r="W742" s="696"/>
      <c r="X742" s="696"/>
      <c r="Y742" s="697"/>
    </row>
    <row r="743" spans="1:28" ht="18" customHeight="1" x14ac:dyDescent="0.2">
      <c r="A743" s="337"/>
      <c r="B743" s="337"/>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row>
    <row r="744" spans="1:28" ht="17.25" customHeight="1" x14ac:dyDescent="0.2">
      <c r="A744" s="337"/>
      <c r="B744" s="337"/>
      <c r="C744" s="581" t="s">
        <v>339</v>
      </c>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row>
    <row r="745" spans="1:28" ht="33.75" customHeight="1" x14ac:dyDescent="0.2">
      <c r="A745" s="542" t="s">
        <v>466</v>
      </c>
      <c r="B745" s="543" t="s">
        <v>483</v>
      </c>
      <c r="C745" s="546" t="s">
        <v>87</v>
      </c>
      <c r="D745" s="546" t="s">
        <v>30</v>
      </c>
      <c r="E745" s="548" t="s">
        <v>31</v>
      </c>
      <c r="F745" s="549"/>
      <c r="G745" s="544" t="s">
        <v>32</v>
      </c>
      <c r="H745" s="552" t="s">
        <v>482</v>
      </c>
      <c r="I745" s="553"/>
      <c r="J745" s="553"/>
      <c r="K745" s="554"/>
      <c r="L745" s="544" t="s">
        <v>488</v>
      </c>
      <c r="M745" s="544" t="s">
        <v>487</v>
      </c>
      <c r="N745" s="743" t="s">
        <v>462</v>
      </c>
      <c r="O745" s="744"/>
      <c r="P745" s="744"/>
      <c r="Q745" s="744"/>
      <c r="R745" s="744"/>
      <c r="S745" s="744"/>
      <c r="T745" s="744"/>
      <c r="U745" s="744"/>
      <c r="V745" s="744"/>
      <c r="W745" s="744"/>
      <c r="X745" s="744"/>
      <c r="Y745" s="745"/>
      <c r="Z745" s="746" t="s">
        <v>216</v>
      </c>
      <c r="AA745" s="749" t="s">
        <v>215</v>
      </c>
      <c r="AB745" s="752" t="s">
        <v>105</v>
      </c>
    </row>
    <row r="746" spans="1:28" ht="54" customHeight="1" x14ac:dyDescent="0.2">
      <c r="A746" s="542"/>
      <c r="B746" s="544"/>
      <c r="C746" s="546"/>
      <c r="D746" s="546"/>
      <c r="E746" s="548"/>
      <c r="F746" s="549"/>
      <c r="G746" s="544"/>
      <c r="H746" s="753" t="s">
        <v>340</v>
      </c>
      <c r="I746" s="754"/>
      <c r="J746" s="754"/>
      <c r="K746" s="755"/>
      <c r="L746" s="544"/>
      <c r="M746" s="544"/>
      <c r="N746" s="756" t="s">
        <v>102</v>
      </c>
      <c r="O746" s="757"/>
      <c r="P746" s="757"/>
      <c r="Q746" s="757"/>
      <c r="R746" s="757"/>
      <c r="S746" s="758"/>
      <c r="T746" s="759" t="s">
        <v>103</v>
      </c>
      <c r="U746" s="757"/>
      <c r="V746" s="757"/>
      <c r="W746" s="757"/>
      <c r="X746" s="757"/>
      <c r="Y746" s="760"/>
      <c r="Z746" s="747"/>
      <c r="AA746" s="750"/>
      <c r="AB746" s="549"/>
    </row>
    <row r="747" spans="1:28" ht="32.25" customHeight="1" x14ac:dyDescent="0.2">
      <c r="A747" s="542"/>
      <c r="B747" s="544"/>
      <c r="C747" s="546"/>
      <c r="D747" s="546"/>
      <c r="E747" s="548"/>
      <c r="F747" s="549"/>
      <c r="G747" s="544"/>
      <c r="H747" s="543" t="s">
        <v>33</v>
      </c>
      <c r="I747" s="543" t="s">
        <v>34</v>
      </c>
      <c r="J747" s="543" t="s">
        <v>35</v>
      </c>
      <c r="K747" s="543" t="s">
        <v>109</v>
      </c>
      <c r="L747" s="544"/>
      <c r="M747" s="544"/>
      <c r="N747" s="555" t="s">
        <v>447</v>
      </c>
      <c r="O747" s="556"/>
      <c r="P747" s="556"/>
      <c r="Q747" s="556"/>
      <c r="R747" s="556"/>
      <c r="S747" s="557"/>
      <c r="T747" s="734" t="s">
        <v>441</v>
      </c>
      <c r="U747" s="735"/>
      <c r="V747" s="735"/>
      <c r="W747" s="735"/>
      <c r="X747" s="735"/>
      <c r="Y747" s="736"/>
      <c r="Z747" s="747"/>
      <c r="AA747" s="750"/>
      <c r="AB747" s="549"/>
    </row>
    <row r="748" spans="1:28" ht="32.25" customHeight="1" x14ac:dyDescent="0.2">
      <c r="A748" s="542"/>
      <c r="B748" s="544"/>
      <c r="C748" s="546"/>
      <c r="D748" s="546"/>
      <c r="E748" s="548"/>
      <c r="F748" s="549"/>
      <c r="G748" s="544"/>
      <c r="H748" s="544"/>
      <c r="I748" s="544"/>
      <c r="J748" s="544"/>
      <c r="K748" s="544"/>
      <c r="L748" s="544"/>
      <c r="M748" s="544"/>
      <c r="N748" s="555" t="s">
        <v>448</v>
      </c>
      <c r="O748" s="556"/>
      <c r="P748" s="556"/>
      <c r="Q748" s="556"/>
      <c r="R748" s="556"/>
      <c r="S748" s="557"/>
      <c r="T748" s="734" t="s">
        <v>442</v>
      </c>
      <c r="U748" s="735"/>
      <c r="V748" s="735"/>
      <c r="W748" s="735"/>
      <c r="X748" s="735"/>
      <c r="Y748" s="736"/>
      <c r="Z748" s="747"/>
      <c r="AA748" s="750"/>
      <c r="AB748" s="549"/>
    </row>
    <row r="749" spans="1:28" ht="32.25" customHeight="1" x14ac:dyDescent="0.2">
      <c r="A749" s="542"/>
      <c r="B749" s="544"/>
      <c r="C749" s="546"/>
      <c r="D749" s="546"/>
      <c r="E749" s="548"/>
      <c r="F749" s="549"/>
      <c r="G749" s="544"/>
      <c r="H749" s="544"/>
      <c r="I749" s="544"/>
      <c r="J749" s="544"/>
      <c r="K749" s="544"/>
      <c r="L749" s="544"/>
      <c r="M749" s="544"/>
      <c r="N749" s="555" t="s">
        <v>449</v>
      </c>
      <c r="O749" s="556"/>
      <c r="P749" s="556"/>
      <c r="Q749" s="556"/>
      <c r="R749" s="556"/>
      <c r="S749" s="557"/>
      <c r="T749" s="734" t="s">
        <v>443</v>
      </c>
      <c r="U749" s="735"/>
      <c r="V749" s="735"/>
      <c r="W749" s="735"/>
      <c r="X749" s="735"/>
      <c r="Y749" s="736"/>
      <c r="Z749" s="747"/>
      <c r="AA749" s="750"/>
      <c r="AB749" s="549"/>
    </row>
    <row r="750" spans="1:28" ht="32.25" customHeight="1" x14ac:dyDescent="0.2">
      <c r="A750" s="542"/>
      <c r="B750" s="544"/>
      <c r="C750" s="546"/>
      <c r="D750" s="546"/>
      <c r="E750" s="548"/>
      <c r="F750" s="549"/>
      <c r="G750" s="544"/>
      <c r="H750" s="544"/>
      <c r="I750" s="544"/>
      <c r="J750" s="544"/>
      <c r="K750" s="544"/>
      <c r="L750" s="544"/>
      <c r="M750" s="544"/>
      <c r="N750" s="555" t="s">
        <v>450</v>
      </c>
      <c r="O750" s="556"/>
      <c r="P750" s="556"/>
      <c r="Q750" s="556"/>
      <c r="R750" s="556"/>
      <c r="S750" s="557"/>
      <c r="T750" s="737" t="s">
        <v>104</v>
      </c>
      <c r="U750" s="738"/>
      <c r="V750" s="738"/>
      <c r="W750" s="738"/>
      <c r="X750" s="738"/>
      <c r="Y750" s="739"/>
      <c r="Z750" s="747"/>
      <c r="AA750" s="750"/>
      <c r="AB750" s="549"/>
    </row>
    <row r="751" spans="1:28" ht="32.25" customHeight="1" x14ac:dyDescent="0.2">
      <c r="A751" s="542"/>
      <c r="B751" s="544"/>
      <c r="C751" s="546"/>
      <c r="D751" s="546"/>
      <c r="E751" s="548"/>
      <c r="F751" s="549"/>
      <c r="G751" s="544"/>
      <c r="H751" s="544"/>
      <c r="I751" s="544"/>
      <c r="J751" s="544"/>
      <c r="K751" s="544"/>
      <c r="L751" s="544"/>
      <c r="M751" s="544"/>
      <c r="N751" s="555" t="s">
        <v>451</v>
      </c>
      <c r="O751" s="556"/>
      <c r="P751" s="556"/>
      <c r="Q751" s="556"/>
      <c r="R751" s="556"/>
      <c r="S751" s="557"/>
      <c r="T751" s="737"/>
      <c r="U751" s="738"/>
      <c r="V751" s="738"/>
      <c r="W751" s="738"/>
      <c r="X751" s="738"/>
      <c r="Y751" s="739"/>
      <c r="Z751" s="747"/>
      <c r="AA751" s="750"/>
      <c r="AB751" s="549"/>
    </row>
    <row r="752" spans="1:28" ht="32.25" customHeight="1" x14ac:dyDescent="0.2">
      <c r="A752" s="542"/>
      <c r="B752" s="544"/>
      <c r="C752" s="546"/>
      <c r="D752" s="546"/>
      <c r="E752" s="548"/>
      <c r="F752" s="549"/>
      <c r="G752" s="544"/>
      <c r="H752" s="544"/>
      <c r="I752" s="544"/>
      <c r="J752" s="544"/>
      <c r="K752" s="544"/>
      <c r="L752" s="544"/>
      <c r="M752" s="544"/>
      <c r="N752" s="555" t="s">
        <v>452</v>
      </c>
      <c r="O752" s="556"/>
      <c r="P752" s="556"/>
      <c r="Q752" s="556"/>
      <c r="R752" s="556"/>
      <c r="S752" s="557"/>
      <c r="T752" s="737"/>
      <c r="U752" s="738"/>
      <c r="V752" s="738"/>
      <c r="W752" s="738"/>
      <c r="X752" s="738"/>
      <c r="Y752" s="739"/>
      <c r="Z752" s="747"/>
      <c r="AA752" s="750"/>
      <c r="AB752" s="549"/>
    </row>
    <row r="753" spans="1:28" ht="32.25" customHeight="1" x14ac:dyDescent="0.2">
      <c r="A753" s="542"/>
      <c r="B753" s="544"/>
      <c r="C753" s="546"/>
      <c r="D753" s="546"/>
      <c r="E753" s="548"/>
      <c r="F753" s="549"/>
      <c r="G753" s="544"/>
      <c r="H753" s="544"/>
      <c r="I753" s="544"/>
      <c r="J753" s="544"/>
      <c r="K753" s="544"/>
      <c r="L753" s="544"/>
      <c r="M753" s="544"/>
      <c r="N753" s="558" t="s">
        <v>453</v>
      </c>
      <c r="O753" s="559"/>
      <c r="P753" s="559"/>
      <c r="Q753" s="559"/>
      <c r="R753" s="559"/>
      <c r="S753" s="560"/>
      <c r="T753" s="740"/>
      <c r="U753" s="741"/>
      <c r="V753" s="741"/>
      <c r="W753" s="741"/>
      <c r="X753" s="741"/>
      <c r="Y753" s="742"/>
      <c r="Z753" s="747"/>
      <c r="AA753" s="750"/>
      <c r="AB753" s="549"/>
    </row>
    <row r="754" spans="1:28" ht="84.75" customHeight="1" x14ac:dyDescent="0.2">
      <c r="A754" s="542"/>
      <c r="B754" s="545"/>
      <c r="C754" s="547"/>
      <c r="D754" s="547"/>
      <c r="E754" s="550"/>
      <c r="F754" s="551"/>
      <c r="G754" s="545"/>
      <c r="H754" s="545"/>
      <c r="I754" s="545"/>
      <c r="J754" s="545"/>
      <c r="K754" s="545"/>
      <c r="L754" s="545"/>
      <c r="M754" s="545"/>
      <c r="N754" s="474" t="s">
        <v>90</v>
      </c>
      <c r="O754" s="474" t="s">
        <v>91</v>
      </c>
      <c r="P754" s="474" t="s">
        <v>92</v>
      </c>
      <c r="Q754" s="474" t="s">
        <v>93</v>
      </c>
      <c r="R754" s="474" t="s">
        <v>94</v>
      </c>
      <c r="S754" s="474" t="s">
        <v>95</v>
      </c>
      <c r="T754" s="474" t="s">
        <v>96</v>
      </c>
      <c r="U754" s="474" t="s">
        <v>97</v>
      </c>
      <c r="V754" s="474" t="s">
        <v>98</v>
      </c>
      <c r="W754" s="474" t="s">
        <v>99</v>
      </c>
      <c r="X754" s="474" t="s">
        <v>100</v>
      </c>
      <c r="Y754" s="474" t="s">
        <v>101</v>
      </c>
      <c r="Z754" s="748"/>
      <c r="AA754" s="751"/>
      <c r="AB754" s="551"/>
    </row>
    <row r="755" spans="1:28" ht="39" customHeight="1" x14ac:dyDescent="0.2">
      <c r="A755" s="475"/>
      <c r="B755" s="522"/>
      <c r="C755" s="522"/>
      <c r="D755" s="730" t="s">
        <v>446</v>
      </c>
      <c r="E755" s="731"/>
      <c r="F755" s="731"/>
      <c r="G755" s="731"/>
      <c r="H755" s="731"/>
      <c r="I755" s="731"/>
      <c r="J755" s="731"/>
      <c r="K755" s="731"/>
      <c r="L755" s="731"/>
      <c r="M755" s="731"/>
      <c r="N755" s="731"/>
      <c r="O755" s="731"/>
      <c r="P755" s="731"/>
      <c r="Q755" s="731"/>
      <c r="R755" s="731"/>
      <c r="S755" s="731"/>
      <c r="T755" s="731"/>
      <c r="U755" s="731"/>
      <c r="V755" s="731"/>
      <c r="W755" s="731"/>
      <c r="X755" s="731"/>
      <c r="Y755" s="731"/>
      <c r="Z755" s="731"/>
      <c r="AA755" s="731"/>
      <c r="AB755" s="731"/>
    </row>
    <row r="756" spans="1:28" ht="15" x14ac:dyDescent="0.2">
      <c r="A756" s="732" t="s">
        <v>37</v>
      </c>
      <c r="B756" s="733"/>
      <c r="C756" s="733"/>
      <c r="D756" s="733"/>
      <c r="E756" s="733"/>
      <c r="F756" s="733"/>
      <c r="G756" s="733"/>
      <c r="H756" s="733"/>
      <c r="I756" s="733"/>
      <c r="J756" s="733"/>
      <c r="K756" s="733"/>
      <c r="L756" s="733"/>
      <c r="M756" s="733"/>
      <c r="N756" s="733"/>
      <c r="O756" s="733"/>
      <c r="P756" s="733"/>
      <c r="Q756" s="733"/>
      <c r="R756" s="733"/>
      <c r="S756" s="733"/>
      <c r="T756" s="733"/>
      <c r="U756" s="733"/>
      <c r="V756" s="733"/>
      <c r="W756" s="733"/>
      <c r="X756" s="733"/>
      <c r="Y756" s="733"/>
      <c r="Z756" s="733"/>
      <c r="AA756" s="733"/>
      <c r="AB756" s="733"/>
    </row>
    <row r="757" spans="1:28" ht="30" customHeight="1" x14ac:dyDescent="0.2">
      <c r="A757" s="476">
        <v>1</v>
      </c>
      <c r="B757" s="476">
        <v>30</v>
      </c>
      <c r="C757" s="476" t="s">
        <v>88</v>
      </c>
      <c r="D757" s="477">
        <v>1</v>
      </c>
      <c r="E757" s="539" t="s">
        <v>89</v>
      </c>
      <c r="F757" s="540"/>
      <c r="G757" s="478">
        <v>6</v>
      </c>
      <c r="H757" s="476" t="s">
        <v>7</v>
      </c>
      <c r="I757" s="476"/>
      <c r="J757" s="476"/>
      <c r="K757" s="476"/>
      <c r="L757" s="476">
        <v>0</v>
      </c>
      <c r="M757" s="479">
        <v>0</v>
      </c>
      <c r="N757" s="476" t="s">
        <v>106</v>
      </c>
      <c r="O757" s="476" t="s">
        <v>106</v>
      </c>
      <c r="P757" s="476" t="s">
        <v>106</v>
      </c>
      <c r="Q757" s="476" t="s">
        <v>107</v>
      </c>
      <c r="R757" s="476" t="s">
        <v>107</v>
      </c>
      <c r="S757" s="476" t="s">
        <v>55</v>
      </c>
      <c r="T757" s="476" t="s">
        <v>55</v>
      </c>
      <c r="U757" s="476" t="s">
        <v>55</v>
      </c>
      <c r="V757" s="476" t="s">
        <v>55</v>
      </c>
      <c r="W757" s="476" t="s">
        <v>55</v>
      </c>
      <c r="X757" s="476" t="s">
        <v>55</v>
      </c>
      <c r="Y757" s="476" t="s">
        <v>55</v>
      </c>
      <c r="Z757" s="541" t="s">
        <v>108</v>
      </c>
      <c r="AA757" s="541"/>
      <c r="AB757" s="541"/>
    </row>
    <row r="758" spans="1:28" ht="30" customHeight="1" x14ac:dyDescent="0.2">
      <c r="A758" s="480">
        <v>1</v>
      </c>
      <c r="B758" s="480">
        <v>30</v>
      </c>
      <c r="C758" s="480" t="s">
        <v>88</v>
      </c>
      <c r="D758" s="481">
        <v>2</v>
      </c>
      <c r="E758" s="539" t="s">
        <v>206</v>
      </c>
      <c r="F758" s="540"/>
      <c r="G758" s="482">
        <v>5</v>
      </c>
      <c r="H758" s="480" t="s">
        <v>7</v>
      </c>
      <c r="I758" s="480"/>
      <c r="J758" s="480"/>
      <c r="K758" s="480"/>
      <c r="L758" s="480">
        <v>0</v>
      </c>
      <c r="M758" s="483">
        <v>0</v>
      </c>
      <c r="N758" s="476" t="s">
        <v>106</v>
      </c>
      <c r="O758" s="476" t="s">
        <v>106</v>
      </c>
      <c r="P758" s="476" t="s">
        <v>107</v>
      </c>
      <c r="Q758" s="476" t="s">
        <v>107</v>
      </c>
      <c r="R758" s="476" t="s">
        <v>55</v>
      </c>
      <c r="S758" s="476" t="s">
        <v>55</v>
      </c>
      <c r="T758" s="476" t="s">
        <v>55</v>
      </c>
      <c r="U758" s="476" t="s">
        <v>55</v>
      </c>
      <c r="V758" s="476" t="s">
        <v>55</v>
      </c>
      <c r="W758" s="476" t="s">
        <v>55</v>
      </c>
      <c r="X758" s="476" t="s">
        <v>55</v>
      </c>
      <c r="Y758" s="476" t="s">
        <v>55</v>
      </c>
      <c r="Z758" s="541" t="s">
        <v>209</v>
      </c>
      <c r="AA758" s="541"/>
      <c r="AB758" s="540"/>
    </row>
    <row r="759" spans="1:28" ht="30" customHeight="1" x14ac:dyDescent="0.2">
      <c r="A759" s="480">
        <v>2</v>
      </c>
      <c r="B759" s="480">
        <v>70</v>
      </c>
      <c r="C759" s="480" t="s">
        <v>205</v>
      </c>
      <c r="D759" s="481">
        <v>3</v>
      </c>
      <c r="E759" s="539" t="s">
        <v>207</v>
      </c>
      <c r="F759" s="540"/>
      <c r="G759" s="482">
        <v>5</v>
      </c>
      <c r="H759" s="480"/>
      <c r="I759" s="480"/>
      <c r="J759" s="480" t="s">
        <v>7</v>
      </c>
      <c r="K759" s="480"/>
      <c r="L759" s="478">
        <v>22</v>
      </c>
      <c r="M759" s="484">
        <v>0</v>
      </c>
      <c r="N759" s="476" t="s">
        <v>212</v>
      </c>
      <c r="O759" s="476" t="s">
        <v>212</v>
      </c>
      <c r="P759" s="476" t="s">
        <v>212</v>
      </c>
      <c r="Q759" s="476" t="s">
        <v>210</v>
      </c>
      <c r="R759" s="476" t="s">
        <v>55</v>
      </c>
      <c r="S759" s="476" t="s">
        <v>55</v>
      </c>
      <c r="T759" s="476" t="s">
        <v>55</v>
      </c>
      <c r="U759" s="476" t="s">
        <v>55</v>
      </c>
      <c r="V759" s="476" t="s">
        <v>55</v>
      </c>
      <c r="W759" s="476" t="s">
        <v>57</v>
      </c>
      <c r="X759" s="476"/>
      <c r="Y759" s="476"/>
      <c r="Z759" s="541" t="s">
        <v>211</v>
      </c>
      <c r="AA759" s="541"/>
      <c r="AB759" s="540"/>
    </row>
    <row r="760" spans="1:28" ht="30" customHeight="1" x14ac:dyDescent="0.2">
      <c r="A760" s="480">
        <v>2</v>
      </c>
      <c r="B760" s="480">
        <v>70</v>
      </c>
      <c r="C760" s="480" t="s">
        <v>205</v>
      </c>
      <c r="D760" s="481">
        <v>4</v>
      </c>
      <c r="E760" s="539" t="s">
        <v>208</v>
      </c>
      <c r="F760" s="540"/>
      <c r="G760" s="482">
        <v>6</v>
      </c>
      <c r="H760" s="480"/>
      <c r="I760" s="480"/>
      <c r="J760" s="480" t="s">
        <v>7</v>
      </c>
      <c r="K760" s="480"/>
      <c r="L760" s="482">
        <v>35</v>
      </c>
      <c r="M760" s="485">
        <v>0</v>
      </c>
      <c r="N760" s="476" t="s">
        <v>212</v>
      </c>
      <c r="O760" s="476" t="s">
        <v>212</v>
      </c>
      <c r="P760" s="476" t="s">
        <v>55</v>
      </c>
      <c r="Q760" s="476" t="s">
        <v>55</v>
      </c>
      <c r="R760" s="476" t="s">
        <v>55</v>
      </c>
      <c r="S760" s="476" t="s">
        <v>55</v>
      </c>
      <c r="T760" s="476" t="s">
        <v>55</v>
      </c>
      <c r="U760" s="476" t="s">
        <v>55</v>
      </c>
      <c r="V760" s="476" t="s">
        <v>55</v>
      </c>
      <c r="W760" s="476" t="s">
        <v>55</v>
      </c>
      <c r="X760" s="476" t="s">
        <v>55</v>
      </c>
      <c r="Y760" s="476" t="s">
        <v>55</v>
      </c>
      <c r="Z760" s="541" t="s">
        <v>213</v>
      </c>
      <c r="AA760" s="541"/>
      <c r="AB760" s="540"/>
    </row>
    <row r="761" spans="1:28" ht="33" customHeight="1" x14ac:dyDescent="0.2">
      <c r="A761" s="522"/>
      <c r="B761" s="522"/>
      <c r="C761" s="522"/>
      <c r="D761" s="486">
        <v>1</v>
      </c>
      <c r="E761" s="529"/>
      <c r="F761" s="531"/>
      <c r="G761" s="522"/>
      <c r="H761" s="522"/>
      <c r="I761" s="522"/>
      <c r="J761" s="522"/>
      <c r="K761" s="522"/>
      <c r="L761" s="525"/>
      <c r="M761" s="525"/>
      <c r="N761" s="522"/>
      <c r="O761" s="522"/>
      <c r="P761" s="522"/>
      <c r="Q761" s="522"/>
      <c r="R761" s="522"/>
      <c r="S761" s="522"/>
      <c r="T761" s="522"/>
      <c r="U761" s="522"/>
      <c r="V761" s="522"/>
      <c r="W761" s="522"/>
      <c r="X761" s="522"/>
      <c r="Y761" s="522"/>
      <c r="Z761" s="529"/>
      <c r="AA761" s="530"/>
      <c r="AB761" s="531"/>
    </row>
    <row r="762" spans="1:28" ht="33" customHeight="1" x14ac:dyDescent="0.2">
      <c r="A762" s="523"/>
      <c r="B762" s="523"/>
      <c r="C762" s="523"/>
      <c r="D762" s="487">
        <v>2</v>
      </c>
      <c r="E762" s="529"/>
      <c r="F762" s="531"/>
      <c r="G762" s="522"/>
      <c r="H762" s="523"/>
      <c r="I762" s="523"/>
      <c r="J762" s="523"/>
      <c r="K762" s="523"/>
      <c r="L762" s="525"/>
      <c r="M762" s="525"/>
      <c r="N762" s="522"/>
      <c r="O762" s="522"/>
      <c r="P762" s="522"/>
      <c r="Q762" s="522"/>
      <c r="R762" s="522"/>
      <c r="S762" s="522"/>
      <c r="T762" s="522"/>
      <c r="U762" s="522"/>
      <c r="V762" s="522"/>
      <c r="W762" s="522"/>
      <c r="X762" s="522"/>
      <c r="Y762" s="522"/>
      <c r="Z762" s="529"/>
      <c r="AA762" s="530"/>
      <c r="AB762" s="531"/>
    </row>
    <row r="763" spans="1:28" ht="33" customHeight="1" x14ac:dyDescent="0.2">
      <c r="A763" s="523"/>
      <c r="B763" s="523"/>
      <c r="C763" s="523"/>
      <c r="D763" s="487">
        <v>3</v>
      </c>
      <c r="E763" s="529"/>
      <c r="F763" s="531"/>
      <c r="G763" s="522"/>
      <c r="H763" s="523"/>
      <c r="I763" s="523"/>
      <c r="J763" s="523"/>
      <c r="K763" s="523"/>
      <c r="L763" s="525"/>
      <c r="M763" s="525"/>
      <c r="N763" s="523"/>
      <c r="O763" s="523"/>
      <c r="P763" s="523"/>
      <c r="Q763" s="523"/>
      <c r="R763" s="523"/>
      <c r="S763" s="522"/>
      <c r="T763" s="522"/>
      <c r="U763" s="522"/>
      <c r="V763" s="522"/>
      <c r="W763" s="522"/>
      <c r="X763" s="522"/>
      <c r="Y763" s="522"/>
      <c r="Z763" s="529"/>
      <c r="AA763" s="530"/>
      <c r="AB763" s="531"/>
    </row>
    <row r="764" spans="1:28" ht="33" customHeight="1" x14ac:dyDescent="0.2">
      <c r="A764" s="523"/>
      <c r="B764" s="523"/>
      <c r="C764" s="523"/>
      <c r="D764" s="487">
        <v>4</v>
      </c>
      <c r="E764" s="529"/>
      <c r="F764" s="531"/>
      <c r="G764" s="522"/>
      <c r="H764" s="523"/>
      <c r="I764" s="523"/>
      <c r="J764" s="523"/>
      <c r="K764" s="523"/>
      <c r="L764" s="525"/>
      <c r="M764" s="525"/>
      <c r="N764" s="523"/>
      <c r="O764" s="523"/>
      <c r="P764" s="523"/>
      <c r="Q764" s="523"/>
      <c r="R764" s="523"/>
      <c r="S764" s="523"/>
      <c r="T764" s="523"/>
      <c r="U764" s="523"/>
      <c r="V764" s="523"/>
      <c r="W764" s="523"/>
      <c r="X764" s="523"/>
      <c r="Y764" s="523"/>
      <c r="Z764" s="529"/>
      <c r="AA764" s="530"/>
      <c r="AB764" s="531"/>
    </row>
    <row r="765" spans="1:28" ht="33" customHeight="1" x14ac:dyDescent="0.2">
      <c r="A765" s="523"/>
      <c r="B765" s="523"/>
      <c r="C765" s="523"/>
      <c r="D765" s="487">
        <v>5</v>
      </c>
      <c r="E765" s="532"/>
      <c r="F765" s="533"/>
      <c r="G765" s="522"/>
      <c r="H765" s="523"/>
      <c r="I765" s="523"/>
      <c r="J765" s="523"/>
      <c r="K765" s="523"/>
      <c r="L765" s="525"/>
      <c r="M765" s="525"/>
      <c r="N765" s="523"/>
      <c r="O765" s="523"/>
      <c r="P765" s="523"/>
      <c r="Q765" s="523"/>
      <c r="R765" s="523"/>
      <c r="S765" s="523"/>
      <c r="T765" s="523"/>
      <c r="U765" s="523"/>
      <c r="V765" s="523"/>
      <c r="W765" s="523"/>
      <c r="X765" s="523"/>
      <c r="Y765" s="523"/>
      <c r="Z765" s="529"/>
      <c r="AA765" s="530"/>
      <c r="AB765" s="531"/>
    </row>
    <row r="766" spans="1:28" ht="33" customHeight="1" x14ac:dyDescent="0.2">
      <c r="A766" s="523"/>
      <c r="B766" s="523"/>
      <c r="C766" s="523"/>
      <c r="D766" s="487">
        <v>6</v>
      </c>
      <c r="E766" s="532"/>
      <c r="F766" s="533"/>
      <c r="G766" s="522"/>
      <c r="H766" s="523"/>
      <c r="I766" s="523"/>
      <c r="J766" s="523"/>
      <c r="K766" s="523"/>
      <c r="L766" s="525"/>
      <c r="M766" s="525"/>
      <c r="N766" s="523"/>
      <c r="O766" s="523"/>
      <c r="P766" s="523"/>
      <c r="Q766" s="523"/>
      <c r="R766" s="523"/>
      <c r="S766" s="523"/>
      <c r="T766" s="523"/>
      <c r="U766" s="523"/>
      <c r="V766" s="523"/>
      <c r="W766" s="523"/>
      <c r="X766" s="523"/>
      <c r="Y766" s="523"/>
      <c r="Z766" s="529"/>
      <c r="AA766" s="530"/>
      <c r="AB766" s="531"/>
    </row>
    <row r="767" spans="1:28" ht="33" customHeight="1" x14ac:dyDescent="0.2">
      <c r="A767" s="523"/>
      <c r="B767" s="523"/>
      <c r="C767" s="523"/>
      <c r="D767" s="487">
        <v>7</v>
      </c>
      <c r="E767" s="532"/>
      <c r="F767" s="533"/>
      <c r="G767" s="522"/>
      <c r="H767" s="523"/>
      <c r="I767" s="523"/>
      <c r="J767" s="523"/>
      <c r="K767" s="523"/>
      <c r="L767" s="525"/>
      <c r="M767" s="525"/>
      <c r="N767" s="523"/>
      <c r="O767" s="523"/>
      <c r="P767" s="523"/>
      <c r="Q767" s="523"/>
      <c r="R767" s="523"/>
      <c r="S767" s="522"/>
      <c r="T767" s="522"/>
      <c r="U767" s="522"/>
      <c r="V767" s="522"/>
      <c r="W767" s="522"/>
      <c r="X767" s="522"/>
      <c r="Y767" s="522"/>
      <c r="Z767" s="529"/>
      <c r="AA767" s="530"/>
      <c r="AB767" s="531"/>
    </row>
    <row r="768" spans="1:28" ht="33" customHeight="1" x14ac:dyDescent="0.2">
      <c r="A768" s="523"/>
      <c r="B768" s="523"/>
      <c r="C768" s="523"/>
      <c r="D768" s="487">
        <v>8</v>
      </c>
      <c r="E768" s="532"/>
      <c r="F768" s="533"/>
      <c r="G768" s="522"/>
      <c r="H768" s="523"/>
      <c r="I768" s="523"/>
      <c r="J768" s="523"/>
      <c r="K768" s="523"/>
      <c r="L768" s="525"/>
      <c r="M768" s="525"/>
      <c r="N768" s="523"/>
      <c r="O768" s="523"/>
      <c r="P768" s="523"/>
      <c r="Q768" s="523"/>
      <c r="R768" s="523"/>
      <c r="S768" s="523"/>
      <c r="T768" s="523"/>
      <c r="U768" s="523"/>
      <c r="V768" s="523"/>
      <c r="W768" s="523"/>
      <c r="X768" s="523"/>
      <c r="Y768" s="523"/>
      <c r="Z768" s="529"/>
      <c r="AA768" s="530"/>
      <c r="AB768" s="531"/>
    </row>
    <row r="769" spans="1:28" ht="33" customHeight="1" x14ac:dyDescent="0.2">
      <c r="A769" s="523"/>
      <c r="B769" s="523"/>
      <c r="C769" s="523"/>
      <c r="D769" s="487">
        <v>9</v>
      </c>
      <c r="E769" s="532"/>
      <c r="F769" s="533"/>
      <c r="G769" s="522"/>
      <c r="H769" s="523"/>
      <c r="I769" s="523"/>
      <c r="J769" s="523"/>
      <c r="K769" s="523"/>
      <c r="L769" s="525"/>
      <c r="M769" s="525"/>
      <c r="N769" s="523"/>
      <c r="O769" s="523"/>
      <c r="P769" s="523"/>
      <c r="Q769" s="523"/>
      <c r="R769" s="523"/>
      <c r="S769" s="523"/>
      <c r="T769" s="523"/>
      <c r="U769" s="523"/>
      <c r="V769" s="523"/>
      <c r="W769" s="523"/>
      <c r="X769" s="523"/>
      <c r="Y769" s="523"/>
      <c r="Z769" s="529"/>
      <c r="AA769" s="530"/>
      <c r="AB769" s="531"/>
    </row>
    <row r="770" spans="1:28" ht="33" customHeight="1" x14ac:dyDescent="0.2">
      <c r="A770" s="523"/>
      <c r="B770" s="523"/>
      <c r="C770" s="523"/>
      <c r="D770" s="487">
        <v>10</v>
      </c>
      <c r="E770" s="532"/>
      <c r="F770" s="533"/>
      <c r="G770" s="522"/>
      <c r="H770" s="523"/>
      <c r="I770" s="523"/>
      <c r="J770" s="523"/>
      <c r="K770" s="523"/>
      <c r="L770" s="525"/>
      <c r="M770" s="525"/>
      <c r="N770" s="523"/>
      <c r="O770" s="523"/>
      <c r="P770" s="523"/>
      <c r="Q770" s="523"/>
      <c r="R770" s="523"/>
      <c r="S770" s="523"/>
      <c r="T770" s="523"/>
      <c r="U770" s="523"/>
      <c r="V770" s="523"/>
      <c r="W770" s="523"/>
      <c r="X770" s="523"/>
      <c r="Y770" s="523"/>
      <c r="Z770" s="529"/>
      <c r="AA770" s="530"/>
      <c r="AB770" s="531"/>
    </row>
    <row r="771" spans="1:28" ht="33" customHeight="1" x14ac:dyDescent="0.2">
      <c r="A771" s="523"/>
      <c r="B771" s="523"/>
      <c r="C771" s="523"/>
      <c r="D771" s="487">
        <v>11</v>
      </c>
      <c r="E771" s="532"/>
      <c r="F771" s="533"/>
      <c r="G771" s="522"/>
      <c r="H771" s="523"/>
      <c r="I771" s="523"/>
      <c r="J771" s="523"/>
      <c r="K771" s="523"/>
      <c r="L771" s="525"/>
      <c r="M771" s="525"/>
      <c r="N771" s="523"/>
      <c r="O771" s="523"/>
      <c r="P771" s="523"/>
      <c r="Q771" s="523"/>
      <c r="R771" s="523"/>
      <c r="S771" s="523"/>
      <c r="T771" s="523"/>
      <c r="U771" s="523"/>
      <c r="V771" s="523"/>
      <c r="W771" s="523"/>
      <c r="X771" s="523"/>
      <c r="Y771" s="523"/>
      <c r="Z771" s="529"/>
      <c r="AA771" s="530"/>
      <c r="AB771" s="531"/>
    </row>
    <row r="772" spans="1:28" ht="33" customHeight="1" x14ac:dyDescent="0.2">
      <c r="A772" s="523"/>
      <c r="B772" s="523"/>
      <c r="C772" s="523"/>
      <c r="D772" s="487">
        <v>12</v>
      </c>
      <c r="E772" s="532"/>
      <c r="F772" s="533"/>
      <c r="G772" s="522"/>
      <c r="H772" s="523"/>
      <c r="I772" s="523"/>
      <c r="J772" s="523"/>
      <c r="K772" s="523"/>
      <c r="L772" s="525"/>
      <c r="M772" s="525"/>
      <c r="N772" s="523"/>
      <c r="O772" s="523"/>
      <c r="P772" s="523"/>
      <c r="Q772" s="523"/>
      <c r="R772" s="523"/>
      <c r="S772" s="523"/>
      <c r="T772" s="523"/>
      <c r="U772" s="523"/>
      <c r="V772" s="523"/>
      <c r="W772" s="523"/>
      <c r="X772" s="523"/>
      <c r="Y772" s="523"/>
      <c r="Z772" s="529"/>
      <c r="AA772" s="530"/>
      <c r="AB772" s="531"/>
    </row>
    <row r="773" spans="1:28" ht="33" customHeight="1" x14ac:dyDescent="0.2">
      <c r="A773" s="523"/>
      <c r="B773" s="523"/>
      <c r="C773" s="523"/>
      <c r="D773" s="487">
        <v>13</v>
      </c>
      <c r="E773" s="532"/>
      <c r="F773" s="533"/>
      <c r="G773" s="522"/>
      <c r="H773" s="523"/>
      <c r="I773" s="523"/>
      <c r="J773" s="523"/>
      <c r="K773" s="523"/>
      <c r="L773" s="525"/>
      <c r="M773" s="525"/>
      <c r="N773" s="523"/>
      <c r="O773" s="523"/>
      <c r="P773" s="523"/>
      <c r="Q773" s="523"/>
      <c r="R773" s="523"/>
      <c r="S773" s="523"/>
      <c r="T773" s="523"/>
      <c r="U773" s="523"/>
      <c r="V773" s="523"/>
      <c r="W773" s="523"/>
      <c r="X773" s="523"/>
      <c r="Y773" s="523"/>
      <c r="Z773" s="529"/>
      <c r="AA773" s="530"/>
      <c r="AB773" s="531"/>
    </row>
    <row r="774" spans="1:28" ht="33" customHeight="1" x14ac:dyDescent="0.2">
      <c r="A774" s="523"/>
      <c r="B774" s="523"/>
      <c r="C774" s="523"/>
      <c r="D774" s="487">
        <v>14</v>
      </c>
      <c r="E774" s="532"/>
      <c r="F774" s="533"/>
      <c r="G774" s="522"/>
      <c r="H774" s="523"/>
      <c r="I774" s="523"/>
      <c r="J774" s="523"/>
      <c r="K774" s="523"/>
      <c r="L774" s="525"/>
      <c r="M774" s="525"/>
      <c r="N774" s="523"/>
      <c r="O774" s="523"/>
      <c r="P774" s="523"/>
      <c r="Q774" s="523"/>
      <c r="R774" s="523"/>
      <c r="S774" s="523"/>
      <c r="T774" s="523"/>
      <c r="U774" s="523"/>
      <c r="V774" s="523"/>
      <c r="W774" s="523"/>
      <c r="X774" s="523"/>
      <c r="Y774" s="523"/>
      <c r="Z774" s="529"/>
      <c r="AA774" s="530"/>
      <c r="AB774" s="531"/>
    </row>
    <row r="775" spans="1:28" ht="33" customHeight="1" x14ac:dyDescent="0.2">
      <c r="A775" s="523"/>
      <c r="B775" s="523"/>
      <c r="C775" s="523"/>
      <c r="D775" s="487">
        <v>15</v>
      </c>
      <c r="E775" s="532"/>
      <c r="F775" s="533"/>
      <c r="G775" s="523"/>
      <c r="H775" s="523"/>
      <c r="I775" s="523"/>
      <c r="J775" s="523"/>
      <c r="K775" s="523"/>
      <c r="L775" s="526"/>
      <c r="M775" s="526"/>
      <c r="N775" s="523"/>
      <c r="O775" s="523"/>
      <c r="P775" s="523"/>
      <c r="Q775" s="523"/>
      <c r="R775" s="523"/>
      <c r="S775" s="523"/>
      <c r="T775" s="523"/>
      <c r="U775" s="523"/>
      <c r="V775" s="523"/>
      <c r="W775" s="523"/>
      <c r="X775" s="523"/>
      <c r="Y775" s="523"/>
      <c r="Z775" s="529"/>
      <c r="AA775" s="530"/>
      <c r="AB775" s="531"/>
    </row>
    <row r="776" spans="1:28" ht="33" customHeight="1" x14ac:dyDescent="0.2">
      <c r="A776" s="523"/>
      <c r="B776" s="523"/>
      <c r="C776" s="523"/>
      <c r="D776" s="487">
        <v>16</v>
      </c>
      <c r="E776" s="532"/>
      <c r="F776" s="533"/>
      <c r="G776" s="523"/>
      <c r="H776" s="523"/>
      <c r="I776" s="523"/>
      <c r="J776" s="523"/>
      <c r="K776" s="523"/>
      <c r="L776" s="526"/>
      <c r="M776" s="526"/>
      <c r="N776" s="523"/>
      <c r="O776" s="523"/>
      <c r="P776" s="523"/>
      <c r="Q776" s="523"/>
      <c r="R776" s="523"/>
      <c r="S776" s="523"/>
      <c r="T776" s="523"/>
      <c r="U776" s="523"/>
      <c r="V776" s="523"/>
      <c r="W776" s="523"/>
      <c r="X776" s="523"/>
      <c r="Y776" s="523"/>
      <c r="Z776" s="529"/>
      <c r="AA776" s="530"/>
      <c r="AB776" s="531"/>
    </row>
    <row r="777" spans="1:28" ht="33" customHeight="1" x14ac:dyDescent="0.2">
      <c r="A777" s="523"/>
      <c r="B777" s="523"/>
      <c r="C777" s="523"/>
      <c r="D777" s="487">
        <v>17</v>
      </c>
      <c r="E777" s="532"/>
      <c r="F777" s="533"/>
      <c r="G777" s="523"/>
      <c r="H777" s="523"/>
      <c r="I777" s="523"/>
      <c r="J777" s="523"/>
      <c r="K777" s="523"/>
      <c r="L777" s="526"/>
      <c r="M777" s="526"/>
      <c r="N777" s="523"/>
      <c r="O777" s="523"/>
      <c r="P777" s="523"/>
      <c r="Q777" s="523"/>
      <c r="R777" s="523"/>
      <c r="S777" s="523"/>
      <c r="T777" s="523"/>
      <c r="U777" s="523"/>
      <c r="V777" s="523"/>
      <c r="W777" s="523"/>
      <c r="X777" s="523"/>
      <c r="Y777" s="523"/>
      <c r="Z777" s="529"/>
      <c r="AA777" s="530"/>
      <c r="AB777" s="531"/>
    </row>
    <row r="778" spans="1:28" ht="33" customHeight="1" x14ac:dyDescent="0.2">
      <c r="A778" s="523"/>
      <c r="B778" s="523"/>
      <c r="C778" s="523"/>
      <c r="D778" s="487">
        <v>18</v>
      </c>
      <c r="E778" s="532"/>
      <c r="F778" s="533"/>
      <c r="G778" s="523"/>
      <c r="H778" s="523"/>
      <c r="I778" s="523"/>
      <c r="J778" s="523"/>
      <c r="K778" s="523"/>
      <c r="L778" s="526"/>
      <c r="M778" s="526"/>
      <c r="N778" s="523"/>
      <c r="O778" s="523"/>
      <c r="P778" s="523"/>
      <c r="Q778" s="523"/>
      <c r="R778" s="523"/>
      <c r="S778" s="523"/>
      <c r="T778" s="523"/>
      <c r="U778" s="523"/>
      <c r="V778" s="523"/>
      <c r="W778" s="523"/>
      <c r="X778" s="523"/>
      <c r="Y778" s="523"/>
      <c r="Z778" s="529"/>
      <c r="AA778" s="530"/>
      <c r="AB778" s="531"/>
    </row>
    <row r="779" spans="1:28" ht="33" customHeight="1" x14ac:dyDescent="0.2">
      <c r="A779" s="523"/>
      <c r="B779" s="523"/>
      <c r="C779" s="523"/>
      <c r="D779" s="487">
        <v>19</v>
      </c>
      <c r="E779" s="532"/>
      <c r="F779" s="533"/>
      <c r="G779" s="523"/>
      <c r="H779" s="523"/>
      <c r="I779" s="523"/>
      <c r="J779" s="523"/>
      <c r="K779" s="523"/>
      <c r="L779" s="526"/>
      <c r="M779" s="526"/>
      <c r="N779" s="523"/>
      <c r="O779" s="523"/>
      <c r="P779" s="523"/>
      <c r="Q779" s="523"/>
      <c r="R779" s="523"/>
      <c r="S779" s="523"/>
      <c r="T779" s="523"/>
      <c r="U779" s="523"/>
      <c r="V779" s="523"/>
      <c r="W779" s="523"/>
      <c r="X779" s="523"/>
      <c r="Y779" s="523"/>
      <c r="Z779" s="529"/>
      <c r="AA779" s="530"/>
      <c r="AB779" s="531"/>
    </row>
    <row r="780" spans="1:28" ht="33" customHeight="1" x14ac:dyDescent="0.2">
      <c r="A780" s="523"/>
      <c r="B780" s="524"/>
      <c r="C780" s="524"/>
      <c r="D780" s="487">
        <v>20</v>
      </c>
      <c r="E780" s="532"/>
      <c r="F780" s="533"/>
      <c r="G780" s="523"/>
      <c r="H780" s="523"/>
      <c r="I780" s="523"/>
      <c r="J780" s="523"/>
      <c r="K780" s="523"/>
      <c r="L780" s="526"/>
      <c r="M780" s="526"/>
      <c r="N780" s="523"/>
      <c r="O780" s="523"/>
      <c r="P780" s="523"/>
      <c r="Q780" s="523"/>
      <c r="R780" s="523"/>
      <c r="S780" s="523"/>
      <c r="T780" s="523"/>
      <c r="U780" s="523"/>
      <c r="V780" s="523"/>
      <c r="W780" s="523"/>
      <c r="X780" s="523"/>
      <c r="Y780" s="523"/>
      <c r="Z780" s="529"/>
      <c r="AA780" s="530"/>
      <c r="AB780" s="531"/>
    </row>
    <row r="781" spans="1:28" ht="33" customHeight="1" x14ac:dyDescent="0.2">
      <c r="A781" s="488"/>
      <c r="B781" s="489" t="str">
        <f>IF(COUNTA(B761:B780,B755)=0,"",IF(COUNTIF($A$761:$A$780,1)=0,0,SUMIF($A$761:$A$780,"1",$B$761:$B$780)/COUNTIF($A$761:$A$780,1))+IF(COUNTIF($A$761:$A$780,2)=0,0,SUMIF($A$761:$A$780,"2",$B$761:$B$780)/COUNTIF($A$761:$A$780,2))+IF(COUNTIF($A$761:$A$780,3)=0,0,SUMIF($A$761:$A$780,"3",$B$761:$B$780)/COUNTIF($A$761:$A$780,3))+IF(COUNTIF($A$761:$A$780,4)=0,0,SUMIF($A$761:$A$780,"4",$B$761:$B$780)/COUNTIF($A$761:$A$780,4))+IF(COUNTIF($A$761:$A$780,5)=0,0,SUMIF($A$761:$A$780,"5",$B$761:$B$780)/COUNTIF($A$761:$A$780,5))+IF(COUNTIF($A$761:$A$780,6)=0,0,SUMIF($A$761:$A$780,"6",$B$761:$B$780)/COUNTIF($A$761:$A$780,6))+IF(COUNTIF($A$761:$A$780,7)=0,0,SUMIF($A$761:$A$780,"7",$B$761:$B$780)/COUNTIF($A$761:$A$780,7))+IF(COUNTIF($A$761:$A$780,8)=0,0,SUMIF($A$761:$A$780,"8",$B$761:$B$780)/COUNTIF($A$761:$A$780,8))+IF(COUNTIF($A$761:$A$780,9)=0,0,SUMIF($A$761:$A$780,"9",$B$761:$B$780)/COUNTIF($A$761:$A$780,9))+IF(COUNTIF($A$761:$A$780,10)=0,0,SUMIF($A$761:$A$780,"10",$B$761:$B$780)/COUNTIF($A$761:$A$780,10))+IF(COUNTIF($A$761:$A$780,11)=0,0,SUMIF($A$761:$A$780,"11",$B$761:$B$780)/COUNTIF($A$761:$A$780,11))+IF(COUNTIF($A$761:$A$780,12)=0,0,SUMIF($A$761:$A$780,"12",$B$761:$B$780)/COUNTIF($A$761:$A$780,12))+IF(COUNTIF($A$761:$A$780,13)=0,0,SUMIF($A$761:$A$780,"13",$B$761:$B$780)/COUNTIF($A$761:$A$780,13))+IF(COUNTIF($A$761:$A$780,14)=0,0,SUMIF($A$761:$A$780,"14",$B$761:$B$780)/COUNTIF($A$761:$A$780,14))+IF(COUNTIF($A$761:$A$780,15)=0,0,SUMIF($A$761:$A$780,"15",$B$761:$B$780)/COUNTIF($A$761:$A$780,15))+$B$755)</f>
        <v/>
      </c>
      <c r="C781" s="490" t="s">
        <v>5</v>
      </c>
      <c r="D781" s="491" t="s">
        <v>214</v>
      </c>
      <c r="E781" s="488"/>
      <c r="F781" s="488"/>
      <c r="G781" s="488"/>
      <c r="H781" s="488"/>
      <c r="I781" s="488"/>
      <c r="J781" s="488"/>
      <c r="K781" s="488"/>
      <c r="L781" s="492"/>
      <c r="M781" s="492"/>
      <c r="N781" s="488"/>
      <c r="O781" s="488"/>
      <c r="P781" s="488"/>
      <c r="Q781" s="488"/>
      <c r="R781" s="488"/>
      <c r="S781" s="488"/>
      <c r="T781" s="488"/>
      <c r="U781" s="488"/>
      <c r="V781" s="488"/>
      <c r="W781" s="488"/>
      <c r="X781" s="488"/>
      <c r="Y781" s="488"/>
      <c r="Z781" s="492"/>
      <c r="AA781" s="492"/>
      <c r="AB781" s="492"/>
    </row>
    <row r="782" spans="1:28" ht="17.25" customHeight="1" x14ac:dyDescent="0.2">
      <c r="A782" s="534" t="s">
        <v>484</v>
      </c>
      <c r="B782" s="535"/>
      <c r="C782" s="535"/>
      <c r="D782" s="534"/>
      <c r="E782" s="534"/>
      <c r="F782" s="534"/>
      <c r="G782" s="534"/>
      <c r="H782" s="534"/>
      <c r="I782" s="534"/>
      <c r="J782" s="534"/>
      <c r="K782" s="534"/>
      <c r="L782" s="534"/>
      <c r="M782" s="534"/>
      <c r="N782" s="534"/>
      <c r="O782" s="534"/>
      <c r="P782" s="534"/>
      <c r="Q782" s="534"/>
      <c r="R782" s="534"/>
      <c r="S782" s="534"/>
      <c r="T782" s="534"/>
      <c r="U782" s="534"/>
      <c r="V782" s="534"/>
      <c r="W782" s="534"/>
      <c r="X782" s="534"/>
      <c r="Y782" s="534"/>
      <c r="Z782" s="534"/>
      <c r="AA782" s="534"/>
      <c r="AB782" s="534"/>
    </row>
    <row r="783" spans="1:28" ht="17.25" customHeight="1" thickBot="1" x14ac:dyDescent="0.25">
      <c r="A783" s="535"/>
      <c r="B783" s="535"/>
      <c r="C783" s="535"/>
      <c r="D783" s="535"/>
      <c r="E783" s="535"/>
      <c r="F783" s="535"/>
      <c r="G783" s="535"/>
      <c r="H783" s="535"/>
      <c r="I783" s="535"/>
      <c r="J783" s="535"/>
      <c r="K783" s="535"/>
      <c r="L783" s="535"/>
      <c r="M783" s="535"/>
      <c r="N783" s="535"/>
      <c r="O783" s="535"/>
      <c r="P783" s="535"/>
      <c r="Q783" s="535"/>
      <c r="R783" s="535"/>
      <c r="S783" s="535"/>
      <c r="T783" s="535"/>
      <c r="U783" s="535"/>
      <c r="V783" s="535"/>
      <c r="W783" s="535"/>
      <c r="X783" s="535"/>
      <c r="Y783" s="535"/>
      <c r="Z783" s="535"/>
      <c r="AA783" s="535"/>
      <c r="AB783" s="535"/>
    </row>
    <row r="784" spans="1:28" ht="17.25" customHeight="1" thickBot="1" x14ac:dyDescent="0.25">
      <c r="A784" s="493"/>
      <c r="B784" s="493"/>
      <c r="C784" s="494"/>
      <c r="D784" s="331"/>
      <c r="E784" s="331"/>
      <c r="F784" s="331"/>
      <c r="G784" s="331"/>
      <c r="H784" s="331"/>
      <c r="I784" s="493"/>
      <c r="J784" s="493"/>
      <c r="K784" s="493"/>
      <c r="L784" s="493"/>
      <c r="M784" s="494"/>
      <c r="N784" s="493"/>
      <c r="O784" s="493"/>
      <c r="P784" s="493"/>
      <c r="Q784" s="493"/>
      <c r="R784" s="493"/>
      <c r="S784" s="493"/>
      <c r="T784" s="495"/>
      <c r="U784" s="396"/>
      <c r="V784" s="496" t="str">
        <f>IF(OR(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COUNTA(N779)-COUNTA(O779)&lt;0,COUNTA(O779)-COUNTA(P779)&lt;0,COUNTA(P779)-COUNTA(Q779)&lt;0,COUNTA(Q779)-COUNTA(R779)&lt;0,COUNTA(R779)-COUNTA(S779)&lt;0,COUNTA(S779)-COUNTA(T779)&lt;0,COUNTA(T779)-COUNTA(U779)&lt;0,COUNTA(U779)-COUNTA(V779)&lt;0,COUNTA(V779)-COUNTA(W779)&lt;0,COUNTA(W779)-COUNTA(X779)&lt;0,COUNTA(X779)-COUNTA(Y779)&lt;0,COUNTA(N780)-COUNTA(O780)&lt;0,COUNTA(O780)-COUNTA(P780)&lt;0,COUNTA(P780)-COUNTA(Q780)&lt;0,COUNTA(Q780)-COUNTA(R780)&lt;0,COUNTA(R780)-COUNTA(S780)&lt;0,COUNTA(S780)-COUNTA(T780)&lt;0,COUNTA(T780)-COUNTA(U780)&lt;0,COUNTA(U780)-COUNTA(V780)&lt;0,COUNTA(V780)-COUNTA(W780)&lt;0,COUNTA(W780)-COUNTA(X780)&lt;0,COUNTA(X780)-COUNTA(Y780)&lt;0),"Il ne peut pas y avoir de blancs entre deux valeurs renseignées dans les informations sur la texture et les horizons histiques dans un sondage.","")</f>
        <v/>
      </c>
      <c r="W784" s="497" t="str">
        <f>CONCATENATE(IF(AND($B$781&lt;&gt;"",$B$781&lt;&gt;100),"La somme des proportions des sous-ensembles homogènes dans le site n'est pas égale à 100%. ",""),IF(COUNTA($A$761:$A$780)&lt;&gt;COUNTA($M$761:$M$780),"L'horizon Ab doit être renseigné dans tous les sondages (valeur de 0 cm si absent). ",""),IF(COUNTA($A$761:$A$780)&lt;&gt;COUNTA($L$761:$L$780),"L'épisolum humifère doit être renseigné dans tous les sondages (valeur de 0 cm si absent). ",""),IF(MAX($L$761:$L$780)&gt;120,"La valeur maximale entrée pour l'épisolum humifère ne peut excéder 120 cm. ",""),IF(MAX($M$761:$M$780)&gt;120,"La valeur maximale entrée pour l'horizon Ab ne peut excéder 120 cm. ",""),IF(COUNTA($B$755,$B$761:$B$780)=0,"",IF(AND($J$456="X",MIN($B$761:$B$780,$B$755)*$T$107*100&lt;15625),"La part d'un sous-ensemble homogène est inférieure à la surface minimale cartographiable choisie (15 625 m²).",IF(AND($T$456="X",MIN($B$761:$B$780,$B$755)*$T$107*100&lt;2500),"La part d'un sous-ensemble homogène est inférieure à la surface minimale cartographiable choisie (2500 m²).",IF(AND($J$457="X",MIN($B$761:$B$780,$B$755)*$T$107*100&lt;625),"La part d'un sous-ensemble homogène est inférieure à la surface minimale cartographiable choisie (625 m²).",IF(AND($T$457="X",MIN($B$761:$B$780,$B$755)*$T$107*100&lt;156),"La part d'un sous-ensemble homogène est inférieure à la surface minimale cartographiable choisie (156 m²).",""))))),IF(OR(AND(MIN($G$761:$G$780)&gt;0,MIN($G$761:$G$780)&lt;4),MAX($G$761:$G$780)&gt;9),"Les valeurs de pH &gt; 9 ou &lt; 4 sont improbables. ",""),IF(OR(SUMIFS($L$761:$L$780,$H$761:$H$780,"x")&gt;0,SUMIFS($L$761:$L$780,$N$761:$N$780,{"TF";"TM";"TS"})&gt;0),"Il ne peut pas y avoir à la fois un épisolum humifère et un horizon histique ou de la tourbe en surface. ",""),IF(MAX($A$761:$A$780)&lt;16,"","Le n° des sous-ensembles homogènes doit être compris entre 0 et 15. "),IF(COUNTIF(N761:Y780,"A")+COUNTIF(N761:Y780,"AL")+COUNTIF(N761:Y780,"LA")+COUNTIF(N761:Y780,"L")+COUNTIF(N761:Y780,"LS")+COUNTIF(N761:Y780,"SL")+COUNTIF(N761:Y780,"S")+COUNTIF(N761:Y780,"TS")+COUNTIF(N761:Y780,"TM")+COUNTIF(N761:Y780,"TF")+COUNTIF(N761:Y780,"C")&lt;COUNTA(N761:Y780),"Erreur de saisie d'au moins une valeur renseignée dans les informations sur la texture et les horizons histiques.",""))</f>
        <v/>
      </c>
      <c r="X784" s="493"/>
      <c r="Y784" s="493"/>
      <c r="Z784" s="493"/>
      <c r="AA784" s="493"/>
      <c r="AB784" s="493"/>
    </row>
    <row r="785" spans="1:28" ht="17.25" customHeight="1" x14ac:dyDescent="0.2">
      <c r="A785" s="493"/>
      <c r="B785" s="493"/>
      <c r="C785" s="331"/>
      <c r="D785" s="494"/>
      <c r="E785" s="331"/>
      <c r="F785" s="331"/>
      <c r="G785" s="331"/>
      <c r="H785" s="331"/>
      <c r="I785" s="331"/>
      <c r="J785" s="493"/>
      <c r="K785" s="493"/>
      <c r="L785" s="493"/>
      <c r="M785" s="493"/>
      <c r="N785" s="493"/>
      <c r="O785" s="493"/>
      <c r="P785" s="493"/>
      <c r="Q785" s="493"/>
      <c r="R785" s="493"/>
      <c r="S785" s="493"/>
      <c r="T785" s="347"/>
      <c r="U785" s="347"/>
      <c r="V785" s="347"/>
      <c r="W785" s="398"/>
      <c r="X785" s="493"/>
      <c r="Y785" s="493"/>
      <c r="Z785" s="493"/>
      <c r="AA785" s="493"/>
      <c r="AB785" s="493"/>
    </row>
    <row r="786" spans="1:28" ht="18" customHeight="1" x14ac:dyDescent="0.2">
      <c r="A786" s="337"/>
      <c r="B786" s="337"/>
      <c r="C786" s="498" t="s">
        <v>272</v>
      </c>
      <c r="D786" s="337"/>
      <c r="E786" s="337"/>
      <c r="F786" s="337"/>
      <c r="G786" s="337"/>
      <c r="H786" s="337"/>
      <c r="I786" s="337"/>
      <c r="J786" s="337"/>
      <c r="K786" s="337"/>
      <c r="L786" s="337"/>
      <c r="M786" s="337"/>
      <c r="N786" s="337"/>
      <c r="O786" s="337"/>
      <c r="P786" s="337"/>
      <c r="Q786" s="337"/>
      <c r="R786" s="337"/>
      <c r="S786" s="337"/>
      <c r="T786" s="425"/>
      <c r="U786" s="425"/>
      <c r="V786" s="425"/>
      <c r="W786" s="425"/>
      <c r="X786" s="425"/>
      <c r="Y786" s="425"/>
      <c r="Z786" s="425"/>
      <c r="AA786" s="425"/>
    </row>
    <row r="787" spans="1:28" ht="18" customHeight="1" x14ac:dyDescent="0.2">
      <c r="A787" s="337"/>
      <c r="B787" s="337"/>
      <c r="C787" s="536"/>
      <c r="D787" s="537"/>
      <c r="E787" s="537"/>
      <c r="F787" s="537"/>
      <c r="G787" s="537"/>
      <c r="H787" s="537"/>
      <c r="I787" s="537"/>
      <c r="J787" s="537"/>
      <c r="K787" s="537"/>
      <c r="L787" s="537"/>
      <c r="M787" s="537"/>
      <c r="N787" s="537"/>
      <c r="O787" s="537"/>
      <c r="P787" s="537"/>
      <c r="Q787" s="537"/>
      <c r="R787" s="537"/>
      <c r="S787" s="537"/>
      <c r="T787" s="537"/>
      <c r="U787" s="537"/>
      <c r="V787" s="537"/>
      <c r="W787" s="538"/>
      <c r="X787" s="425"/>
      <c r="Y787" s="425"/>
      <c r="Z787" s="425"/>
      <c r="AA787" s="425"/>
    </row>
    <row r="788" spans="1:28" ht="17.25" customHeight="1" x14ac:dyDescent="0.2">
      <c r="A788" s="337"/>
      <c r="B788" s="337"/>
      <c r="C788" s="345"/>
      <c r="D788" s="337"/>
      <c r="E788" s="337"/>
      <c r="F788" s="337"/>
      <c r="G788" s="337"/>
      <c r="H788" s="337"/>
      <c r="I788" s="337"/>
      <c r="J788" s="337"/>
      <c r="K788" s="337"/>
      <c r="L788" s="337"/>
      <c r="M788" s="337"/>
      <c r="N788" s="337"/>
      <c r="O788" s="337"/>
    </row>
    <row r="789" spans="1:28" ht="17.25" customHeight="1" x14ac:dyDescent="0.2">
      <c r="A789" s="337"/>
      <c r="B789" s="337"/>
      <c r="C789" s="345"/>
      <c r="D789" s="337"/>
      <c r="E789" s="337"/>
      <c r="F789" s="337"/>
      <c r="G789" s="337"/>
      <c r="H789" s="337"/>
      <c r="I789" s="337"/>
      <c r="J789" s="337"/>
      <c r="K789" s="337"/>
      <c r="L789" s="337"/>
      <c r="M789" s="337"/>
      <c r="N789" s="337"/>
      <c r="O789" s="337"/>
    </row>
    <row r="790" spans="1:28" ht="33.75" customHeight="1" x14ac:dyDescent="0.2">
      <c r="A790" s="337"/>
      <c r="B790" s="337"/>
      <c r="C790" s="341" t="s">
        <v>390</v>
      </c>
      <c r="D790" s="695" t="s">
        <v>412</v>
      </c>
      <c r="E790" s="696"/>
      <c r="F790" s="696"/>
      <c r="G790" s="696"/>
      <c r="H790" s="696"/>
      <c r="I790" s="696"/>
      <c r="J790" s="696"/>
      <c r="K790" s="696"/>
      <c r="L790" s="696"/>
      <c r="M790" s="696"/>
      <c r="N790" s="696"/>
      <c r="O790" s="696"/>
      <c r="P790" s="696"/>
      <c r="Q790" s="696"/>
      <c r="R790" s="696"/>
      <c r="S790" s="696"/>
      <c r="T790" s="696"/>
      <c r="U790" s="696"/>
      <c r="V790" s="696"/>
      <c r="W790" s="696"/>
      <c r="X790" s="696"/>
      <c r="Y790" s="697"/>
    </row>
    <row r="791" spans="1:28" ht="16.5" customHeight="1" x14ac:dyDescent="0.2">
      <c r="A791" s="337"/>
      <c r="B791" s="337"/>
      <c r="C791" s="337"/>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row>
    <row r="792" spans="1:28" ht="18" customHeight="1" x14ac:dyDescent="0.2">
      <c r="A792" s="337"/>
      <c r="B792" s="337"/>
      <c r="C792" s="727" t="s">
        <v>121</v>
      </c>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row>
    <row r="793" spans="1:28" ht="18" customHeight="1" thickBot="1" x14ac:dyDescent="0.25">
      <c r="A793" s="337"/>
      <c r="B793" s="33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row>
    <row r="794" spans="1:28" ht="18" customHeight="1" thickBot="1" x14ac:dyDescent="0.25">
      <c r="A794" s="337"/>
      <c r="B794" s="337"/>
      <c r="C794" s="345"/>
      <c r="D794" s="337"/>
      <c r="E794" s="337"/>
      <c r="F794" s="337"/>
      <c r="G794" s="337"/>
      <c r="H794" s="337"/>
      <c r="I794" s="337"/>
      <c r="J794" s="337"/>
      <c r="K794" s="337"/>
      <c r="L794" s="337"/>
      <c r="M794" s="337"/>
      <c r="N794" s="337"/>
      <c r="O794" s="337"/>
      <c r="P794" s="337"/>
      <c r="Q794" s="337"/>
      <c r="R794" s="337"/>
      <c r="S794" s="337"/>
      <c r="T794" s="395"/>
      <c r="U794" s="396"/>
      <c r="V794" s="396"/>
      <c r="W794" s="397" t="str">
        <f>IF(AND(COUNTIF($H$761:$H$780,"X")=0,OR($J$797="X",$T$797="X")),"Il n'y a pas de traits d'hydromorphie histiques dans le site, la présence de fosses d'extraction de tourbe est donc peu probable.","")</f>
        <v/>
      </c>
      <c r="X794" s="425"/>
      <c r="Y794" s="425"/>
      <c r="Z794" s="425"/>
      <c r="AA794" s="425"/>
    </row>
    <row r="795" spans="1:28" ht="18" customHeight="1" x14ac:dyDescent="0.2">
      <c r="A795" s="337"/>
      <c r="B795" s="337"/>
      <c r="C795" s="583" t="s">
        <v>341</v>
      </c>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row>
    <row r="796" spans="1:28" ht="18" customHeight="1" x14ac:dyDescent="0.2">
      <c r="A796" s="337"/>
      <c r="B796" s="337"/>
      <c r="C796" s="592"/>
      <c r="D796" s="592"/>
      <c r="E796" s="592"/>
      <c r="F796" s="592"/>
      <c r="G796" s="592"/>
      <c r="H796" s="592"/>
      <c r="I796" s="592"/>
      <c r="J796" s="592"/>
      <c r="K796" s="592"/>
      <c r="L796" s="592"/>
      <c r="M796" s="592"/>
      <c r="N796" s="592"/>
      <c r="O796" s="592"/>
      <c r="P796" s="592"/>
      <c r="Q796" s="592"/>
      <c r="R796" s="592"/>
      <c r="S796" s="592"/>
      <c r="T796" s="592"/>
      <c r="U796" s="592"/>
      <c r="V796" s="592"/>
      <c r="W796" s="592"/>
      <c r="X796" s="592"/>
      <c r="Y796" s="592"/>
    </row>
    <row r="797" spans="1:28" ht="18" customHeight="1" x14ac:dyDescent="0.2">
      <c r="A797" s="337"/>
      <c r="B797" s="337"/>
      <c r="C797" s="354" t="s">
        <v>234</v>
      </c>
      <c r="D797" s="354"/>
      <c r="E797" s="337"/>
      <c r="H797" s="368"/>
      <c r="I797" s="353" t="s">
        <v>28</v>
      </c>
      <c r="J797" s="588"/>
      <c r="K797" s="588"/>
      <c r="P797" s="339"/>
      <c r="Q797" s="368"/>
      <c r="R797" s="368"/>
      <c r="S797" s="369" t="s">
        <v>29</v>
      </c>
      <c r="T797" s="588"/>
      <c r="U797" s="588"/>
      <c r="V797" s="588"/>
      <c r="W797" s="588"/>
    </row>
    <row r="798" spans="1:28" ht="18" customHeight="1" x14ac:dyDescent="0.2">
      <c r="A798" s="337"/>
      <c r="B798" s="337"/>
      <c r="C798" s="374"/>
      <c r="D798" s="374"/>
      <c r="E798" s="374"/>
      <c r="F798" s="374"/>
      <c r="G798" s="374"/>
      <c r="H798" s="374"/>
      <c r="I798" s="374"/>
      <c r="J798" s="374"/>
      <c r="K798" s="374"/>
      <c r="L798" s="374"/>
      <c r="M798" s="374"/>
      <c r="N798" s="374"/>
      <c r="O798" s="374"/>
      <c r="P798" s="374"/>
      <c r="Q798" s="374"/>
      <c r="R798" s="374"/>
      <c r="S798" s="374"/>
      <c r="T798" s="374"/>
      <c r="U798" s="374"/>
      <c r="V798" s="374"/>
      <c r="W798" s="374"/>
      <c r="X798" s="374"/>
      <c r="Y798" s="374"/>
    </row>
    <row r="799" spans="1:28" ht="18" customHeight="1" x14ac:dyDescent="0.2">
      <c r="A799" s="337"/>
      <c r="B799" s="337"/>
      <c r="C799" s="374"/>
      <c r="D799" s="374"/>
      <c r="E799" s="374"/>
      <c r="F799" s="374"/>
      <c r="G799" s="374"/>
      <c r="H799" s="374"/>
      <c r="I799" s="374"/>
      <c r="J799" s="374"/>
      <c r="K799" s="374"/>
      <c r="L799" s="374"/>
      <c r="M799" s="374"/>
      <c r="N799" s="374"/>
      <c r="O799" s="374"/>
      <c r="P799" s="374"/>
      <c r="Q799" s="374"/>
      <c r="R799" s="374"/>
      <c r="S799" s="374"/>
      <c r="T799" s="374"/>
      <c r="U799" s="374"/>
      <c r="V799" s="374"/>
      <c r="W799" s="374"/>
      <c r="X799" s="374"/>
      <c r="Y799" s="374"/>
    </row>
    <row r="800" spans="1:28" ht="35.25" customHeight="1" x14ac:dyDescent="0.2">
      <c r="A800" s="337"/>
      <c r="B800" s="337"/>
      <c r="C800" s="341">
        <v>3</v>
      </c>
      <c r="D800" s="695" t="s">
        <v>384</v>
      </c>
      <c r="E800" s="696"/>
      <c r="F800" s="696"/>
      <c r="G800" s="696"/>
      <c r="H800" s="696"/>
      <c r="I800" s="696"/>
      <c r="J800" s="696"/>
      <c r="K800" s="696"/>
      <c r="L800" s="696"/>
      <c r="M800" s="696"/>
      <c r="N800" s="696"/>
      <c r="O800" s="696"/>
      <c r="P800" s="696"/>
      <c r="Q800" s="696"/>
      <c r="R800" s="696"/>
      <c r="S800" s="696"/>
      <c r="T800" s="696"/>
      <c r="U800" s="696"/>
      <c r="V800" s="696"/>
      <c r="W800" s="696"/>
      <c r="X800" s="696"/>
      <c r="Y800" s="697"/>
    </row>
    <row r="801" spans="1:25" ht="18" customHeight="1" x14ac:dyDescent="0.2">
      <c r="A801" s="337"/>
      <c r="B801" s="337"/>
      <c r="C801" s="374"/>
      <c r="D801" s="374"/>
      <c r="E801" s="374"/>
      <c r="F801" s="374"/>
      <c r="G801" s="374"/>
      <c r="H801" s="374"/>
      <c r="I801" s="374"/>
      <c r="J801" s="374"/>
      <c r="K801" s="374"/>
      <c r="L801" s="374"/>
      <c r="M801" s="374"/>
      <c r="N801" s="374"/>
      <c r="O801" s="374"/>
      <c r="P801" s="374"/>
      <c r="Q801" s="374"/>
      <c r="R801" s="374"/>
      <c r="S801" s="374"/>
      <c r="T801" s="374"/>
      <c r="U801" s="374"/>
      <c r="V801" s="374"/>
      <c r="W801" s="374"/>
      <c r="X801" s="374"/>
      <c r="Y801" s="374"/>
    </row>
    <row r="802" spans="1:25" ht="18" customHeight="1" x14ac:dyDescent="0.2">
      <c r="A802" s="337"/>
      <c r="B802" s="337"/>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4"/>
    </row>
    <row r="803" spans="1:25" ht="33.75" customHeight="1" x14ac:dyDescent="0.2">
      <c r="A803" s="337"/>
      <c r="B803" s="337"/>
      <c r="C803" s="341" t="s">
        <v>389</v>
      </c>
      <c r="D803" s="695" t="s">
        <v>413</v>
      </c>
      <c r="E803" s="696"/>
      <c r="F803" s="696"/>
      <c r="G803" s="696"/>
      <c r="H803" s="696"/>
      <c r="I803" s="696"/>
      <c r="J803" s="696"/>
      <c r="K803" s="696"/>
      <c r="L803" s="696"/>
      <c r="M803" s="696"/>
      <c r="N803" s="696"/>
      <c r="O803" s="696"/>
      <c r="P803" s="696"/>
      <c r="Q803" s="696"/>
      <c r="R803" s="696"/>
      <c r="S803" s="696"/>
      <c r="T803" s="696"/>
      <c r="U803" s="696"/>
      <c r="V803" s="696"/>
      <c r="W803" s="696"/>
      <c r="X803" s="696"/>
      <c r="Y803" s="697"/>
    </row>
    <row r="804" spans="1:25" ht="18" customHeight="1" x14ac:dyDescent="0.2">
      <c r="A804" s="337"/>
      <c r="B804" s="337"/>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row>
    <row r="805" spans="1:25" ht="18" customHeight="1" x14ac:dyDescent="0.2">
      <c r="C805" s="581" t="s">
        <v>342</v>
      </c>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row>
    <row r="806" spans="1:25" ht="18" customHeight="1" x14ac:dyDescent="0.2">
      <c r="C806" s="337"/>
      <c r="D806" s="337"/>
      <c r="E806" s="337"/>
      <c r="F806" s="337"/>
      <c r="G806" s="337"/>
      <c r="H806" s="337"/>
      <c r="I806" s="337"/>
      <c r="J806" s="337"/>
      <c r="K806" s="394"/>
      <c r="L806" s="337"/>
      <c r="M806" s="337"/>
      <c r="N806" s="337"/>
      <c r="O806" s="337"/>
      <c r="S806" s="369" t="s">
        <v>343</v>
      </c>
      <c r="T806" s="590"/>
      <c r="U806" s="590"/>
      <c r="V806" s="590"/>
      <c r="W806" s="590"/>
      <c r="X806" s="591" t="s">
        <v>120</v>
      </c>
      <c r="Y806" s="591"/>
    </row>
    <row r="807" spans="1:25" ht="18" customHeight="1" x14ac:dyDescent="0.2">
      <c r="C807" s="337"/>
      <c r="D807" s="337"/>
      <c r="E807" s="337"/>
      <c r="F807" s="337"/>
      <c r="G807" s="337"/>
      <c r="H807" s="337"/>
      <c r="I807" s="411"/>
      <c r="J807" s="411"/>
      <c r="K807" s="394"/>
      <c r="L807" s="337"/>
      <c r="M807" s="337"/>
      <c r="N807" s="337"/>
      <c r="O807" s="337"/>
    </row>
    <row r="808" spans="1:25" ht="18" customHeight="1" x14ac:dyDescent="0.2">
      <c r="C808" s="337"/>
      <c r="D808" s="337"/>
      <c r="E808" s="337"/>
      <c r="F808" s="337"/>
      <c r="G808" s="337"/>
      <c r="H808" s="337"/>
      <c r="I808" s="501"/>
      <c r="J808" s="501"/>
      <c r="K808" s="394"/>
      <c r="L808" s="337"/>
      <c r="M808" s="337"/>
      <c r="N808" s="337"/>
      <c r="O808" s="337"/>
    </row>
    <row r="809" spans="1:25" ht="35.25" customHeight="1" x14ac:dyDescent="0.2">
      <c r="A809" s="337"/>
      <c r="B809" s="337"/>
      <c r="C809" s="341" t="s">
        <v>388</v>
      </c>
      <c r="D809" s="695" t="s">
        <v>414</v>
      </c>
      <c r="E809" s="696"/>
      <c r="F809" s="696"/>
      <c r="G809" s="696"/>
      <c r="H809" s="696"/>
      <c r="I809" s="696"/>
      <c r="J809" s="696"/>
      <c r="K809" s="696"/>
      <c r="L809" s="696"/>
      <c r="M809" s="696"/>
      <c r="N809" s="696"/>
      <c r="O809" s="696"/>
      <c r="P809" s="696"/>
      <c r="Q809" s="696"/>
      <c r="R809" s="696"/>
      <c r="S809" s="696"/>
      <c r="T809" s="696"/>
      <c r="U809" s="696"/>
      <c r="V809" s="696"/>
      <c r="W809" s="696"/>
      <c r="X809" s="696"/>
      <c r="Y809" s="697"/>
    </row>
    <row r="810" spans="1:25" ht="18" customHeight="1" x14ac:dyDescent="0.2">
      <c r="A810" s="337"/>
      <c r="B810" s="337"/>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row>
    <row r="811" spans="1:25" ht="18" customHeight="1" x14ac:dyDescent="0.2">
      <c r="C811" s="581" t="s">
        <v>344</v>
      </c>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row>
    <row r="812" spans="1:25" ht="18" customHeight="1" x14ac:dyDescent="0.2">
      <c r="C812" s="337"/>
      <c r="D812" s="337"/>
      <c r="E812" s="337"/>
      <c r="F812" s="337"/>
      <c r="G812" s="337"/>
      <c r="H812" s="337"/>
      <c r="I812" s="337"/>
      <c r="J812" s="337"/>
      <c r="K812" s="337"/>
      <c r="L812" s="337"/>
      <c r="M812" s="337"/>
      <c r="N812" s="337"/>
      <c r="O812" s="337"/>
      <c r="S812" s="369" t="s">
        <v>273</v>
      </c>
      <c r="T812" s="578"/>
      <c r="U812" s="578"/>
      <c r="V812" s="578"/>
      <c r="W812" s="578"/>
      <c r="X812" s="591" t="s">
        <v>112</v>
      </c>
      <c r="Y812" s="591"/>
    </row>
    <row r="813" spans="1:25" ht="18" customHeight="1" x14ac:dyDescent="0.2">
      <c r="C813" s="337"/>
      <c r="D813" s="337"/>
      <c r="E813" s="337"/>
      <c r="F813" s="337"/>
      <c r="G813" s="337"/>
      <c r="H813" s="337"/>
      <c r="I813" s="337"/>
      <c r="J813" s="337"/>
      <c r="K813" s="337"/>
      <c r="L813" s="337"/>
      <c r="M813" s="337"/>
      <c r="N813" s="337"/>
      <c r="O813" s="337"/>
    </row>
    <row r="814" spans="1:25" ht="18" customHeight="1" x14ac:dyDescent="0.2">
      <c r="C814" s="337"/>
      <c r="D814" s="337"/>
      <c r="E814" s="337"/>
      <c r="F814" s="337"/>
      <c r="G814" s="337"/>
      <c r="H814" s="337"/>
      <c r="I814" s="337"/>
      <c r="J814" s="337"/>
      <c r="K814" s="337"/>
      <c r="L814" s="337"/>
      <c r="M814" s="337"/>
      <c r="N814" s="337"/>
      <c r="O814" s="337"/>
    </row>
    <row r="815" spans="1:25" ht="18" customHeight="1" x14ac:dyDescent="0.2">
      <c r="C815" s="581" t="s">
        <v>345</v>
      </c>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row>
    <row r="816" spans="1:25" ht="18" customHeight="1" thickBot="1" x14ac:dyDescent="0.25">
      <c r="C816" s="337"/>
      <c r="D816" s="337"/>
      <c r="E816" s="337"/>
      <c r="F816" s="337"/>
      <c r="G816" s="337"/>
      <c r="H816" s="337"/>
      <c r="I816" s="337"/>
      <c r="J816" s="337"/>
      <c r="K816" s="337"/>
      <c r="L816" s="337"/>
      <c r="M816" s="337"/>
      <c r="N816" s="337"/>
      <c r="O816" s="337"/>
      <c r="S816" s="369" t="s">
        <v>274</v>
      </c>
      <c r="T816" s="701"/>
      <c r="U816" s="701"/>
      <c r="V816" s="701"/>
      <c r="W816" s="701"/>
      <c r="X816" s="703"/>
      <c r="Y816" s="703"/>
    </row>
    <row r="817" spans="1:25" ht="18" customHeight="1" thickBot="1" x14ac:dyDescent="0.25">
      <c r="C817" s="337"/>
      <c r="D817" s="337"/>
      <c r="E817" s="337"/>
      <c r="F817" s="337"/>
      <c r="G817" s="337"/>
      <c r="H817" s="337"/>
      <c r="I817" s="337"/>
      <c r="J817" s="337"/>
      <c r="K817" s="337"/>
      <c r="L817" s="337"/>
      <c r="M817" s="337"/>
      <c r="N817" s="337"/>
      <c r="O817" s="337"/>
      <c r="T817" s="502"/>
      <c r="U817" s="396"/>
      <c r="V817" s="396"/>
      <c r="W817" s="397" t="str">
        <f>IF(ISBLANK($T$816),"",CONCATENATE(IF($T$816&gt;0,"","Le nombre d'unités d'habitats EUNIS niveau 1 dans le site ne peut pas être égal à 0. "),IF($T$816&lt;SUM(IF(COUNTIF($C$465:$C$479,"A*")&gt;0,1,0),IF(COUNTIF($C$465:$C$479,"B*")&gt;0,1,0),IF(COUNTIF($C$465:$C$479,"C*")&gt;0,1,0),IF(COUNTIF($C$465:$C$479,"D*")&gt;0,1,0),IF(COUNTIF($C$465:$C$479,"E*")&gt;0,1,0),IF(COUNTIF($C$465:$C$479,"F*")&gt;0,1,0),IF(COUNTIF($C$465:$C$479,"G*")&gt;0,1,0),IF(COUNTIF($C$465:$C$479,"H*")&gt;0,1,0),IF(COUNTIF($C$465:$C$479,"I*")&gt;0,1,0),IF(COUNTIF($C$465:$C$479,"J*")&gt;0,1,0)),"La réponse donnée doit être supérieure ou égale au nombre d'habitats EUNIS niveau 1 détectés dans le site (question 39). ",""),IF(AND($T$816&gt;1,SUM(IF(COUNTIF($C$465:$C$479,"A*")&gt;0,1,0),IF(COUNTIF($C$465:$C$479,"B*")&gt;0,1,0),IF(COUNTIF($C$465:$C$479,"C*")&gt;0,1,0),IF(COUNTIF($C$465:$C$479,"D*")&gt;0,1,0),IF(COUNTIF($C$465:$C$479,"E*")&gt;0,1,0),IF(COUNTIF($C$465:$C$479,"F*")&gt;0,1,0),IF(COUNTIF($C$465:$C$479,"G*")&gt;0,1,0),IF(COUNTIF($C$465:$C$479,"H*")&gt;0,1,0),IF(COUNTIF($C$465:$C$479,"I*")&gt;0,1,0),IF(COUNTIF($C$465:$C$479,"J*")&gt;0,1,0))=1),"Il n’y a qu’un habitat EUNIS niveau 1 dans le site (question 39), il ne peut pas y avoir plusieurs unités d’habitats EUNIS niveau 1. ","")))</f>
        <v/>
      </c>
    </row>
    <row r="818" spans="1:25" ht="18" customHeight="1" x14ac:dyDescent="0.2">
      <c r="C818" s="337"/>
      <c r="D818" s="337"/>
      <c r="E818" s="337"/>
      <c r="F818" s="337"/>
      <c r="G818" s="337"/>
      <c r="H818" s="337"/>
      <c r="I818" s="337"/>
      <c r="J818" s="337"/>
      <c r="K818" s="337"/>
      <c r="L818" s="337"/>
      <c r="M818" s="337"/>
      <c r="N818" s="337"/>
      <c r="O818" s="337"/>
      <c r="T818" s="347"/>
      <c r="U818" s="347"/>
      <c r="V818" s="347"/>
      <c r="W818" s="398"/>
    </row>
    <row r="819" spans="1:25" ht="18" customHeight="1" x14ac:dyDescent="0.2">
      <c r="C819" s="583" t="s">
        <v>346</v>
      </c>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row>
    <row r="820" spans="1:25" ht="18" customHeight="1" x14ac:dyDescent="0.2">
      <c r="C820" s="592"/>
      <c r="D820" s="592"/>
      <c r="E820" s="592"/>
      <c r="F820" s="592"/>
      <c r="G820" s="592"/>
      <c r="H820" s="592"/>
      <c r="I820" s="592"/>
      <c r="J820" s="592"/>
      <c r="K820" s="592"/>
      <c r="L820" s="592"/>
      <c r="M820" s="592"/>
      <c r="N820" s="592"/>
      <c r="O820" s="592"/>
      <c r="P820" s="592"/>
      <c r="Q820" s="592"/>
      <c r="R820" s="592"/>
      <c r="S820" s="592"/>
      <c r="T820" s="592"/>
      <c r="U820" s="592"/>
      <c r="V820" s="592"/>
      <c r="W820" s="592"/>
      <c r="X820" s="592"/>
      <c r="Y820" s="592"/>
    </row>
    <row r="821" spans="1:25" ht="18" customHeight="1" x14ac:dyDescent="0.2">
      <c r="C821" s="728" t="s">
        <v>275</v>
      </c>
      <c r="D821" s="728"/>
      <c r="E821" s="728"/>
      <c r="F821" s="728"/>
      <c r="G821" s="728"/>
      <c r="H821" s="728"/>
      <c r="I821" s="728"/>
      <c r="J821" s="728"/>
      <c r="K821" s="728"/>
      <c r="L821" s="728"/>
      <c r="M821" s="728"/>
      <c r="N821" s="728"/>
      <c r="O821" s="728"/>
      <c r="P821" s="728"/>
      <c r="Q821" s="728"/>
      <c r="R821" s="728"/>
      <c r="S821" s="728"/>
      <c r="T821" s="503"/>
      <c r="U821" s="503"/>
      <c r="V821" s="503"/>
      <c r="W821" s="503"/>
      <c r="X821" s="504"/>
      <c r="Y821" s="504"/>
    </row>
    <row r="822" spans="1:25" ht="18" customHeight="1" thickBot="1" x14ac:dyDescent="0.25">
      <c r="C822" s="729"/>
      <c r="D822" s="729"/>
      <c r="E822" s="729"/>
      <c r="F822" s="729"/>
      <c r="G822" s="729"/>
      <c r="H822" s="729"/>
      <c r="I822" s="729"/>
      <c r="J822" s="729"/>
      <c r="K822" s="729"/>
      <c r="L822" s="729"/>
      <c r="M822" s="729"/>
      <c r="N822" s="729"/>
      <c r="O822" s="729"/>
      <c r="P822" s="729"/>
      <c r="Q822" s="729"/>
      <c r="R822" s="729"/>
      <c r="S822" s="729"/>
      <c r="T822" s="578"/>
      <c r="U822" s="578"/>
      <c r="V822" s="578"/>
      <c r="W822" s="578"/>
      <c r="X822" s="591" t="s">
        <v>112</v>
      </c>
      <c r="Y822" s="591"/>
    </row>
    <row r="823" spans="1:25" ht="18" customHeight="1" thickBot="1" x14ac:dyDescent="0.25">
      <c r="A823" s="337"/>
      <c r="B823" s="337"/>
      <c r="C823" s="337"/>
      <c r="D823" s="337"/>
      <c r="E823" s="337"/>
      <c r="F823" s="337"/>
      <c r="G823" s="337"/>
      <c r="H823" s="337"/>
      <c r="I823" s="337"/>
      <c r="J823" s="337"/>
      <c r="K823" s="337"/>
      <c r="L823" s="337"/>
      <c r="M823" s="337"/>
      <c r="N823" s="386"/>
      <c r="O823" s="380"/>
      <c r="T823" s="395"/>
      <c r="U823" s="396"/>
      <c r="V823" s="396"/>
      <c r="W823" s="397" t="str">
        <f>IF(OR($T$822="",$T$816=""),"",IF($T$822/$T$816&gt;1,"La distance maximale entre deux unités d'habitats est de 1 km.",""))</f>
        <v/>
      </c>
    </row>
    <row r="824" spans="1:25" ht="18" customHeight="1" x14ac:dyDescent="0.2">
      <c r="A824" s="337"/>
      <c r="B824" s="337"/>
      <c r="C824" s="337"/>
      <c r="D824" s="337"/>
      <c r="E824" s="337"/>
      <c r="F824" s="337"/>
      <c r="G824" s="337"/>
      <c r="H824" s="337"/>
      <c r="I824" s="337"/>
      <c r="J824" s="337"/>
      <c r="K824" s="337"/>
      <c r="L824" s="337"/>
      <c r="M824" s="337"/>
      <c r="N824" s="386"/>
      <c r="O824" s="380"/>
    </row>
    <row r="825" spans="1:25" ht="33.75" customHeight="1" x14ac:dyDescent="0.2">
      <c r="A825" s="337"/>
      <c r="B825" s="337"/>
      <c r="C825" s="341" t="s">
        <v>387</v>
      </c>
      <c r="D825" s="695" t="s">
        <v>412</v>
      </c>
      <c r="E825" s="696"/>
      <c r="F825" s="696"/>
      <c r="G825" s="696"/>
      <c r="H825" s="696"/>
      <c r="I825" s="696"/>
      <c r="J825" s="696"/>
      <c r="K825" s="696"/>
      <c r="L825" s="696"/>
      <c r="M825" s="696"/>
      <c r="N825" s="696"/>
      <c r="O825" s="696"/>
      <c r="P825" s="696"/>
      <c r="Q825" s="696"/>
      <c r="R825" s="696"/>
      <c r="S825" s="696"/>
      <c r="T825" s="696"/>
      <c r="U825" s="696"/>
      <c r="V825" s="696"/>
      <c r="W825" s="696"/>
      <c r="X825" s="696"/>
      <c r="Y825" s="697"/>
    </row>
    <row r="826" spans="1:25" ht="18" customHeight="1" x14ac:dyDescent="0.2">
      <c r="A826" s="337"/>
      <c r="B826" s="337"/>
      <c r="C826" s="505"/>
      <c r="D826" s="505"/>
      <c r="E826" s="505"/>
      <c r="F826" s="505"/>
      <c r="G826" s="505"/>
      <c r="H826" s="505"/>
      <c r="I826" s="505"/>
      <c r="J826" s="505"/>
      <c r="K826" s="505"/>
      <c r="L826" s="505"/>
      <c r="M826" s="505"/>
      <c r="N826" s="505"/>
      <c r="O826" s="505"/>
      <c r="P826" s="505"/>
      <c r="Q826" s="505"/>
      <c r="R826" s="505"/>
      <c r="S826" s="505"/>
      <c r="T826" s="505"/>
      <c r="U826" s="505"/>
      <c r="V826" s="505"/>
      <c r="W826" s="505"/>
      <c r="X826" s="505"/>
      <c r="Y826" s="505"/>
    </row>
    <row r="827" spans="1:25" ht="18" customHeight="1" x14ac:dyDescent="0.2">
      <c r="A827" s="337"/>
      <c r="B827" s="337"/>
      <c r="C827" s="583" t="s">
        <v>347</v>
      </c>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row>
    <row r="828" spans="1:25" ht="18" customHeight="1" x14ac:dyDescent="0.2">
      <c r="A828" s="337"/>
      <c r="B828" s="337"/>
      <c r="C828" s="592"/>
      <c r="D828" s="592"/>
      <c r="E828" s="592"/>
      <c r="F828" s="592"/>
      <c r="G828" s="592"/>
      <c r="H828" s="592"/>
      <c r="I828" s="592"/>
      <c r="J828" s="592"/>
      <c r="K828" s="592"/>
      <c r="L828" s="592"/>
      <c r="M828" s="592"/>
      <c r="N828" s="592"/>
      <c r="O828" s="592"/>
      <c r="P828" s="592"/>
      <c r="Q828" s="592"/>
      <c r="R828" s="592"/>
      <c r="S828" s="592"/>
      <c r="T828" s="592"/>
      <c r="U828" s="592"/>
      <c r="V828" s="592"/>
      <c r="W828" s="592"/>
      <c r="X828" s="592"/>
      <c r="Y828" s="592"/>
    </row>
    <row r="829" spans="1:25" ht="18" customHeight="1" x14ac:dyDescent="0.2">
      <c r="A829" s="337"/>
      <c r="B829" s="337"/>
      <c r="C829" s="718"/>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20"/>
    </row>
    <row r="830" spans="1:25" ht="18" customHeight="1" x14ac:dyDescent="0.2">
      <c r="A830" s="337"/>
      <c r="B830" s="337"/>
      <c r="C830" s="721"/>
      <c r="D830" s="722"/>
      <c r="E830" s="722"/>
      <c r="F830" s="722"/>
      <c r="G830" s="722"/>
      <c r="H830" s="722"/>
      <c r="I830" s="722"/>
      <c r="J830" s="722"/>
      <c r="K830" s="722"/>
      <c r="L830" s="722"/>
      <c r="M830" s="722"/>
      <c r="N830" s="722"/>
      <c r="O830" s="722"/>
      <c r="P830" s="722"/>
      <c r="Q830" s="722"/>
      <c r="R830" s="722"/>
      <c r="S830" s="722"/>
      <c r="T830" s="722"/>
      <c r="U830" s="722"/>
      <c r="V830" s="722"/>
      <c r="W830" s="722"/>
      <c r="X830" s="722"/>
      <c r="Y830" s="723"/>
    </row>
    <row r="831" spans="1:25" ht="18" customHeight="1" x14ac:dyDescent="0.2">
      <c r="A831" s="337"/>
      <c r="B831" s="337"/>
      <c r="C831" s="721"/>
      <c r="D831" s="722"/>
      <c r="E831" s="722"/>
      <c r="F831" s="722"/>
      <c r="G831" s="722"/>
      <c r="H831" s="722"/>
      <c r="I831" s="722"/>
      <c r="J831" s="722"/>
      <c r="K831" s="722"/>
      <c r="L831" s="722"/>
      <c r="M831" s="722"/>
      <c r="N831" s="722"/>
      <c r="O831" s="722"/>
      <c r="P831" s="722"/>
      <c r="Q831" s="722"/>
      <c r="R831" s="722"/>
      <c r="S831" s="722"/>
      <c r="T831" s="722"/>
      <c r="U831" s="722"/>
      <c r="V831" s="722"/>
      <c r="W831" s="722"/>
      <c r="X831" s="722"/>
      <c r="Y831" s="723"/>
    </row>
    <row r="832" spans="1:25" ht="18" customHeight="1" x14ac:dyDescent="0.2">
      <c r="C832" s="721"/>
      <c r="D832" s="722"/>
      <c r="E832" s="722"/>
      <c r="F832" s="722"/>
      <c r="G832" s="722"/>
      <c r="H832" s="722"/>
      <c r="I832" s="722"/>
      <c r="J832" s="722"/>
      <c r="K832" s="722"/>
      <c r="L832" s="722"/>
      <c r="M832" s="722"/>
      <c r="N832" s="722"/>
      <c r="O832" s="722"/>
      <c r="P832" s="722"/>
      <c r="Q832" s="722"/>
      <c r="R832" s="722"/>
      <c r="S832" s="722"/>
      <c r="T832" s="722"/>
      <c r="U832" s="722"/>
      <c r="V832" s="722"/>
      <c r="W832" s="722"/>
      <c r="X832" s="722"/>
      <c r="Y832" s="723"/>
    </row>
    <row r="833" spans="3:25" ht="18" customHeight="1" x14ac:dyDescent="0.2">
      <c r="C833" s="721"/>
      <c r="D833" s="722"/>
      <c r="E833" s="722"/>
      <c r="F833" s="722"/>
      <c r="G833" s="722"/>
      <c r="H833" s="722"/>
      <c r="I833" s="722"/>
      <c r="J833" s="722"/>
      <c r="K833" s="722"/>
      <c r="L833" s="722"/>
      <c r="M833" s="722"/>
      <c r="N833" s="722"/>
      <c r="O833" s="722"/>
      <c r="P833" s="722"/>
      <c r="Q833" s="722"/>
      <c r="R833" s="722"/>
      <c r="S833" s="722"/>
      <c r="T833" s="722"/>
      <c r="U833" s="722"/>
      <c r="V833" s="722"/>
      <c r="W833" s="722"/>
      <c r="X833" s="722"/>
      <c r="Y833" s="723"/>
    </row>
    <row r="834" spans="3:25" ht="18" customHeight="1" x14ac:dyDescent="0.2">
      <c r="C834" s="721"/>
      <c r="D834" s="722"/>
      <c r="E834" s="722"/>
      <c r="F834" s="722"/>
      <c r="G834" s="722"/>
      <c r="H834" s="722"/>
      <c r="I834" s="722"/>
      <c r="J834" s="722"/>
      <c r="K834" s="722"/>
      <c r="L834" s="722"/>
      <c r="M834" s="722"/>
      <c r="N834" s="722"/>
      <c r="O834" s="722"/>
      <c r="P834" s="722"/>
      <c r="Q834" s="722"/>
      <c r="R834" s="722"/>
      <c r="S834" s="722"/>
      <c r="T834" s="722"/>
      <c r="U834" s="722"/>
      <c r="V834" s="722"/>
      <c r="W834" s="722"/>
      <c r="X834" s="722"/>
      <c r="Y834" s="723"/>
    </row>
    <row r="835" spans="3:25" ht="18" customHeight="1" x14ac:dyDescent="0.2">
      <c r="C835" s="721"/>
      <c r="D835" s="722"/>
      <c r="E835" s="722"/>
      <c r="F835" s="722"/>
      <c r="G835" s="722"/>
      <c r="H835" s="722"/>
      <c r="I835" s="722"/>
      <c r="J835" s="722"/>
      <c r="K835" s="722"/>
      <c r="L835" s="722"/>
      <c r="M835" s="722"/>
      <c r="N835" s="722"/>
      <c r="O835" s="722"/>
      <c r="P835" s="722"/>
      <c r="Q835" s="722"/>
      <c r="R835" s="722"/>
      <c r="S835" s="722"/>
      <c r="T835" s="722"/>
      <c r="U835" s="722"/>
      <c r="V835" s="722"/>
      <c r="W835" s="722"/>
      <c r="X835" s="722"/>
      <c r="Y835" s="723"/>
    </row>
    <row r="836" spans="3:25" ht="18" customHeight="1" x14ac:dyDescent="0.2">
      <c r="C836" s="721"/>
      <c r="D836" s="722"/>
      <c r="E836" s="722"/>
      <c r="F836" s="722"/>
      <c r="G836" s="722"/>
      <c r="H836" s="722"/>
      <c r="I836" s="722"/>
      <c r="J836" s="722"/>
      <c r="K836" s="722"/>
      <c r="L836" s="722"/>
      <c r="M836" s="722"/>
      <c r="N836" s="722"/>
      <c r="O836" s="722"/>
      <c r="P836" s="722"/>
      <c r="Q836" s="722"/>
      <c r="R836" s="722"/>
      <c r="S836" s="722"/>
      <c r="T836" s="722"/>
      <c r="U836" s="722"/>
      <c r="V836" s="722"/>
      <c r="W836" s="722"/>
      <c r="X836" s="722"/>
      <c r="Y836" s="723"/>
    </row>
    <row r="837" spans="3:25" ht="18" customHeight="1" x14ac:dyDescent="0.2">
      <c r="C837" s="721"/>
      <c r="D837" s="722"/>
      <c r="E837" s="722"/>
      <c r="F837" s="722"/>
      <c r="G837" s="722"/>
      <c r="H837" s="722"/>
      <c r="I837" s="722"/>
      <c r="J837" s="722"/>
      <c r="K837" s="722"/>
      <c r="L837" s="722"/>
      <c r="M837" s="722"/>
      <c r="N837" s="722"/>
      <c r="O837" s="722"/>
      <c r="P837" s="722"/>
      <c r="Q837" s="722"/>
      <c r="R837" s="722"/>
      <c r="S837" s="722"/>
      <c r="T837" s="722"/>
      <c r="U837" s="722"/>
      <c r="V837" s="722"/>
      <c r="W837" s="722"/>
      <c r="X837" s="722"/>
      <c r="Y837" s="723"/>
    </row>
    <row r="838" spans="3:25" ht="18" customHeight="1" x14ac:dyDescent="0.2">
      <c r="C838" s="721"/>
      <c r="D838" s="722"/>
      <c r="E838" s="722"/>
      <c r="F838" s="722"/>
      <c r="G838" s="722"/>
      <c r="H838" s="722"/>
      <c r="I838" s="722"/>
      <c r="J838" s="722"/>
      <c r="K838" s="722"/>
      <c r="L838" s="722"/>
      <c r="M838" s="722"/>
      <c r="N838" s="722"/>
      <c r="O838" s="722"/>
      <c r="P838" s="722"/>
      <c r="Q838" s="722"/>
      <c r="R838" s="722"/>
      <c r="S838" s="722"/>
      <c r="T838" s="722"/>
      <c r="U838" s="722"/>
      <c r="V838" s="722"/>
      <c r="W838" s="722"/>
      <c r="X838" s="722"/>
      <c r="Y838" s="723"/>
    </row>
    <row r="839" spans="3:25" ht="18" customHeight="1" x14ac:dyDescent="0.2">
      <c r="C839" s="721"/>
      <c r="D839" s="722"/>
      <c r="E839" s="722"/>
      <c r="F839" s="722"/>
      <c r="G839" s="722"/>
      <c r="H839" s="722"/>
      <c r="I839" s="722"/>
      <c r="J839" s="722"/>
      <c r="K839" s="722"/>
      <c r="L839" s="722"/>
      <c r="M839" s="722"/>
      <c r="N839" s="722"/>
      <c r="O839" s="722"/>
      <c r="P839" s="722"/>
      <c r="Q839" s="722"/>
      <c r="R839" s="722"/>
      <c r="S839" s="722"/>
      <c r="T839" s="722"/>
      <c r="U839" s="722"/>
      <c r="V839" s="722"/>
      <c r="W839" s="722"/>
      <c r="X839" s="722"/>
      <c r="Y839" s="723"/>
    </row>
    <row r="840" spans="3:25" ht="18" customHeight="1" x14ac:dyDescent="0.2">
      <c r="C840" s="721"/>
      <c r="D840" s="722"/>
      <c r="E840" s="722"/>
      <c r="F840" s="722"/>
      <c r="G840" s="722"/>
      <c r="H840" s="722"/>
      <c r="I840" s="722"/>
      <c r="J840" s="722"/>
      <c r="K840" s="722"/>
      <c r="L840" s="722"/>
      <c r="M840" s="722"/>
      <c r="N840" s="722"/>
      <c r="O840" s="722"/>
      <c r="P840" s="722"/>
      <c r="Q840" s="722"/>
      <c r="R840" s="722"/>
      <c r="S840" s="722"/>
      <c r="T840" s="722"/>
      <c r="U840" s="722"/>
      <c r="V840" s="722"/>
      <c r="W840" s="722"/>
      <c r="X840" s="722"/>
      <c r="Y840" s="723"/>
    </row>
    <row r="841" spans="3:25" ht="18" customHeight="1" x14ac:dyDescent="0.2">
      <c r="C841" s="721"/>
      <c r="D841" s="722"/>
      <c r="E841" s="722"/>
      <c r="F841" s="722"/>
      <c r="G841" s="722"/>
      <c r="H841" s="722"/>
      <c r="I841" s="722"/>
      <c r="J841" s="722"/>
      <c r="K841" s="722"/>
      <c r="L841" s="722"/>
      <c r="M841" s="722"/>
      <c r="N841" s="722"/>
      <c r="O841" s="722"/>
      <c r="P841" s="722"/>
      <c r="Q841" s="722"/>
      <c r="R841" s="722"/>
      <c r="S841" s="722"/>
      <c r="T841" s="722"/>
      <c r="U841" s="722"/>
      <c r="V841" s="722"/>
      <c r="W841" s="722"/>
      <c r="X841" s="722"/>
      <c r="Y841" s="723"/>
    </row>
    <row r="842" spans="3:25" ht="18" customHeight="1" x14ac:dyDescent="0.2">
      <c r="C842" s="721"/>
      <c r="D842" s="722"/>
      <c r="E842" s="722"/>
      <c r="F842" s="722"/>
      <c r="G842" s="722"/>
      <c r="H842" s="722"/>
      <c r="I842" s="722"/>
      <c r="J842" s="722"/>
      <c r="K842" s="722"/>
      <c r="L842" s="722"/>
      <c r="M842" s="722"/>
      <c r="N842" s="722"/>
      <c r="O842" s="722"/>
      <c r="P842" s="722"/>
      <c r="Q842" s="722"/>
      <c r="R842" s="722"/>
      <c r="S842" s="722"/>
      <c r="T842" s="722"/>
      <c r="U842" s="722"/>
      <c r="V842" s="722"/>
      <c r="W842" s="722"/>
      <c r="X842" s="722"/>
      <c r="Y842" s="723"/>
    </row>
    <row r="843" spans="3:25" ht="18" customHeight="1" x14ac:dyDescent="0.2">
      <c r="C843" s="721"/>
      <c r="D843" s="722"/>
      <c r="E843" s="722"/>
      <c r="F843" s="722"/>
      <c r="G843" s="722"/>
      <c r="H843" s="722"/>
      <c r="I843" s="722"/>
      <c r="J843" s="722"/>
      <c r="K843" s="722"/>
      <c r="L843" s="722"/>
      <c r="M843" s="722"/>
      <c r="N843" s="722"/>
      <c r="O843" s="722"/>
      <c r="P843" s="722"/>
      <c r="Q843" s="722"/>
      <c r="R843" s="722"/>
      <c r="S843" s="722"/>
      <c r="T843" s="722"/>
      <c r="U843" s="722"/>
      <c r="V843" s="722"/>
      <c r="W843" s="722"/>
      <c r="X843" s="722"/>
      <c r="Y843" s="723"/>
    </row>
    <row r="844" spans="3:25" ht="18" customHeight="1" x14ac:dyDescent="0.2">
      <c r="C844" s="721"/>
      <c r="D844" s="722"/>
      <c r="E844" s="722"/>
      <c r="F844" s="722"/>
      <c r="G844" s="722"/>
      <c r="H844" s="722"/>
      <c r="I844" s="722"/>
      <c r="J844" s="722"/>
      <c r="K844" s="722"/>
      <c r="L844" s="722"/>
      <c r="M844" s="722"/>
      <c r="N844" s="722"/>
      <c r="O844" s="722"/>
      <c r="P844" s="722"/>
      <c r="Q844" s="722"/>
      <c r="R844" s="722"/>
      <c r="S844" s="722"/>
      <c r="T844" s="722"/>
      <c r="U844" s="722"/>
      <c r="V844" s="722"/>
      <c r="W844" s="722"/>
      <c r="X844" s="722"/>
      <c r="Y844" s="723"/>
    </row>
    <row r="845" spans="3:25" ht="18" customHeight="1" x14ac:dyDescent="0.2">
      <c r="C845" s="721"/>
      <c r="D845" s="722"/>
      <c r="E845" s="722"/>
      <c r="F845" s="722"/>
      <c r="G845" s="722"/>
      <c r="H845" s="722"/>
      <c r="I845" s="722"/>
      <c r="J845" s="722"/>
      <c r="K845" s="722"/>
      <c r="L845" s="722"/>
      <c r="M845" s="722"/>
      <c r="N845" s="722"/>
      <c r="O845" s="722"/>
      <c r="P845" s="722"/>
      <c r="Q845" s="722"/>
      <c r="R845" s="722"/>
      <c r="S845" s="722"/>
      <c r="T845" s="722"/>
      <c r="U845" s="722"/>
      <c r="V845" s="722"/>
      <c r="W845" s="722"/>
      <c r="X845" s="722"/>
      <c r="Y845" s="723"/>
    </row>
    <row r="846" spans="3:25" ht="18" customHeight="1" x14ac:dyDescent="0.2">
      <c r="C846" s="721"/>
      <c r="D846" s="722"/>
      <c r="E846" s="722"/>
      <c r="F846" s="722"/>
      <c r="G846" s="722"/>
      <c r="H846" s="722"/>
      <c r="I846" s="722"/>
      <c r="J846" s="722"/>
      <c r="K846" s="722"/>
      <c r="L846" s="722"/>
      <c r="M846" s="722"/>
      <c r="N846" s="722"/>
      <c r="O846" s="722"/>
      <c r="P846" s="722"/>
      <c r="Q846" s="722"/>
      <c r="R846" s="722"/>
      <c r="S846" s="722"/>
      <c r="T846" s="722"/>
      <c r="U846" s="722"/>
      <c r="V846" s="722"/>
      <c r="W846" s="722"/>
      <c r="X846" s="722"/>
      <c r="Y846" s="723"/>
    </row>
    <row r="847" spans="3:25" ht="18" customHeight="1" x14ac:dyDescent="0.2">
      <c r="C847" s="721"/>
      <c r="D847" s="722"/>
      <c r="E847" s="722"/>
      <c r="F847" s="722"/>
      <c r="G847" s="722"/>
      <c r="H847" s="722"/>
      <c r="I847" s="722"/>
      <c r="J847" s="722"/>
      <c r="K847" s="722"/>
      <c r="L847" s="722"/>
      <c r="M847" s="722"/>
      <c r="N847" s="722"/>
      <c r="O847" s="722"/>
      <c r="P847" s="722"/>
      <c r="Q847" s="722"/>
      <c r="R847" s="722"/>
      <c r="S847" s="722"/>
      <c r="T847" s="722"/>
      <c r="U847" s="722"/>
      <c r="V847" s="722"/>
      <c r="W847" s="722"/>
      <c r="X847" s="722"/>
      <c r="Y847" s="723"/>
    </row>
    <row r="848" spans="3:25" ht="18" customHeight="1" x14ac:dyDescent="0.2">
      <c r="C848" s="721"/>
      <c r="D848" s="722"/>
      <c r="E848" s="722"/>
      <c r="F848" s="722"/>
      <c r="G848" s="722"/>
      <c r="H848" s="722"/>
      <c r="I848" s="722"/>
      <c r="J848" s="722"/>
      <c r="K848" s="722"/>
      <c r="L848" s="722"/>
      <c r="M848" s="722"/>
      <c r="N848" s="722"/>
      <c r="O848" s="722"/>
      <c r="P848" s="722"/>
      <c r="Q848" s="722"/>
      <c r="R848" s="722"/>
      <c r="S848" s="722"/>
      <c r="T848" s="722"/>
      <c r="U848" s="722"/>
      <c r="V848" s="722"/>
      <c r="W848" s="722"/>
      <c r="X848" s="722"/>
      <c r="Y848" s="723"/>
    </row>
    <row r="849" spans="3:25" ht="18" customHeight="1" x14ac:dyDescent="0.2">
      <c r="C849" s="721"/>
      <c r="D849" s="722"/>
      <c r="E849" s="722"/>
      <c r="F849" s="722"/>
      <c r="G849" s="722"/>
      <c r="H849" s="722"/>
      <c r="I849" s="722"/>
      <c r="J849" s="722"/>
      <c r="K849" s="722"/>
      <c r="L849" s="722"/>
      <c r="M849" s="722"/>
      <c r="N849" s="722"/>
      <c r="O849" s="722"/>
      <c r="P849" s="722"/>
      <c r="Q849" s="722"/>
      <c r="R849" s="722"/>
      <c r="S849" s="722"/>
      <c r="T849" s="722"/>
      <c r="U849" s="722"/>
      <c r="V849" s="722"/>
      <c r="W849" s="722"/>
      <c r="X849" s="722"/>
      <c r="Y849" s="723"/>
    </row>
    <row r="850" spans="3:25" ht="18" customHeight="1" x14ac:dyDescent="0.2">
      <c r="C850" s="721"/>
      <c r="D850" s="722"/>
      <c r="E850" s="722"/>
      <c r="F850" s="722"/>
      <c r="G850" s="722"/>
      <c r="H850" s="722"/>
      <c r="I850" s="722"/>
      <c r="J850" s="722"/>
      <c r="K850" s="722"/>
      <c r="L850" s="722"/>
      <c r="M850" s="722"/>
      <c r="N850" s="722"/>
      <c r="O850" s="722"/>
      <c r="P850" s="722"/>
      <c r="Q850" s="722"/>
      <c r="R850" s="722"/>
      <c r="S850" s="722"/>
      <c r="T850" s="722"/>
      <c r="U850" s="722"/>
      <c r="V850" s="722"/>
      <c r="W850" s="722"/>
      <c r="X850" s="722"/>
      <c r="Y850" s="723"/>
    </row>
    <row r="851" spans="3:25" ht="18" customHeight="1" x14ac:dyDescent="0.2">
      <c r="C851" s="721"/>
      <c r="D851" s="722"/>
      <c r="E851" s="722"/>
      <c r="F851" s="722"/>
      <c r="G851" s="722"/>
      <c r="H851" s="722"/>
      <c r="I851" s="722"/>
      <c r="J851" s="722"/>
      <c r="K851" s="722"/>
      <c r="L851" s="722"/>
      <c r="M851" s="722"/>
      <c r="N851" s="722"/>
      <c r="O851" s="722"/>
      <c r="P851" s="722"/>
      <c r="Q851" s="722"/>
      <c r="R851" s="722"/>
      <c r="S851" s="722"/>
      <c r="T851" s="722"/>
      <c r="U851" s="722"/>
      <c r="V851" s="722"/>
      <c r="W851" s="722"/>
      <c r="X851" s="722"/>
      <c r="Y851" s="723"/>
    </row>
    <row r="852" spans="3:25" ht="18" customHeight="1" x14ac:dyDescent="0.2">
      <c r="C852" s="721"/>
      <c r="D852" s="722"/>
      <c r="E852" s="722"/>
      <c r="F852" s="722"/>
      <c r="G852" s="722"/>
      <c r="H852" s="722"/>
      <c r="I852" s="722"/>
      <c r="J852" s="722"/>
      <c r="K852" s="722"/>
      <c r="L852" s="722"/>
      <c r="M852" s="722"/>
      <c r="N852" s="722"/>
      <c r="O852" s="722"/>
      <c r="P852" s="722"/>
      <c r="Q852" s="722"/>
      <c r="R852" s="722"/>
      <c r="S852" s="722"/>
      <c r="T852" s="722"/>
      <c r="U852" s="722"/>
      <c r="V852" s="722"/>
      <c r="W852" s="722"/>
      <c r="X852" s="722"/>
      <c r="Y852" s="723"/>
    </row>
    <row r="853" spans="3:25" ht="18" customHeight="1" x14ac:dyDescent="0.2">
      <c r="C853" s="721"/>
      <c r="D853" s="722"/>
      <c r="E853" s="722"/>
      <c r="F853" s="722"/>
      <c r="G853" s="722"/>
      <c r="H853" s="722"/>
      <c r="I853" s="722"/>
      <c r="J853" s="722"/>
      <c r="K853" s="722"/>
      <c r="L853" s="722"/>
      <c r="M853" s="722"/>
      <c r="N853" s="722"/>
      <c r="O853" s="722"/>
      <c r="P853" s="722"/>
      <c r="Q853" s="722"/>
      <c r="R853" s="722"/>
      <c r="S853" s="722"/>
      <c r="T853" s="722"/>
      <c r="U853" s="722"/>
      <c r="V853" s="722"/>
      <c r="W853" s="722"/>
      <c r="X853" s="722"/>
      <c r="Y853" s="723"/>
    </row>
    <row r="854" spans="3:25" ht="18" customHeight="1" x14ac:dyDescent="0.2">
      <c r="C854" s="721"/>
      <c r="D854" s="722"/>
      <c r="E854" s="722"/>
      <c r="F854" s="722"/>
      <c r="G854" s="722"/>
      <c r="H854" s="722"/>
      <c r="I854" s="722"/>
      <c r="J854" s="722"/>
      <c r="K854" s="722"/>
      <c r="L854" s="722"/>
      <c r="M854" s="722"/>
      <c r="N854" s="722"/>
      <c r="O854" s="722"/>
      <c r="P854" s="722"/>
      <c r="Q854" s="722"/>
      <c r="R854" s="722"/>
      <c r="S854" s="722"/>
      <c r="T854" s="722"/>
      <c r="U854" s="722"/>
      <c r="V854" s="722"/>
      <c r="W854" s="722"/>
      <c r="X854" s="722"/>
      <c r="Y854" s="723"/>
    </row>
    <row r="855" spans="3:25" ht="18" customHeight="1" x14ac:dyDescent="0.2">
      <c r="C855" s="721"/>
      <c r="D855" s="722"/>
      <c r="E855" s="722"/>
      <c r="F855" s="722"/>
      <c r="G855" s="722"/>
      <c r="H855" s="722"/>
      <c r="I855" s="722"/>
      <c r="J855" s="722"/>
      <c r="K855" s="722"/>
      <c r="L855" s="722"/>
      <c r="M855" s="722"/>
      <c r="N855" s="722"/>
      <c r="O855" s="722"/>
      <c r="P855" s="722"/>
      <c r="Q855" s="722"/>
      <c r="R855" s="722"/>
      <c r="S855" s="722"/>
      <c r="T855" s="722"/>
      <c r="U855" s="722"/>
      <c r="V855" s="722"/>
      <c r="W855" s="722"/>
      <c r="X855" s="722"/>
      <c r="Y855" s="723"/>
    </row>
    <row r="856" spans="3:25" ht="18" customHeight="1" x14ac:dyDescent="0.2">
      <c r="C856" s="721"/>
      <c r="D856" s="722"/>
      <c r="E856" s="722"/>
      <c r="F856" s="722"/>
      <c r="G856" s="722"/>
      <c r="H856" s="722"/>
      <c r="I856" s="722"/>
      <c r="J856" s="722"/>
      <c r="K856" s="722"/>
      <c r="L856" s="722"/>
      <c r="M856" s="722"/>
      <c r="N856" s="722"/>
      <c r="O856" s="722"/>
      <c r="P856" s="722"/>
      <c r="Q856" s="722"/>
      <c r="R856" s="722"/>
      <c r="S856" s="722"/>
      <c r="T856" s="722"/>
      <c r="U856" s="722"/>
      <c r="V856" s="722"/>
      <c r="W856" s="722"/>
      <c r="X856" s="722"/>
      <c r="Y856" s="723"/>
    </row>
    <row r="857" spans="3:25" ht="18" customHeight="1" x14ac:dyDescent="0.2">
      <c r="C857" s="721"/>
      <c r="D857" s="722"/>
      <c r="E857" s="722"/>
      <c r="F857" s="722"/>
      <c r="G857" s="722"/>
      <c r="H857" s="722"/>
      <c r="I857" s="722"/>
      <c r="J857" s="722"/>
      <c r="K857" s="722"/>
      <c r="L857" s="722"/>
      <c r="M857" s="722"/>
      <c r="N857" s="722"/>
      <c r="O857" s="722"/>
      <c r="P857" s="722"/>
      <c r="Q857" s="722"/>
      <c r="R857" s="722"/>
      <c r="S857" s="722"/>
      <c r="T857" s="722"/>
      <c r="U857" s="722"/>
      <c r="V857" s="722"/>
      <c r="W857" s="722"/>
      <c r="X857" s="722"/>
      <c r="Y857" s="723"/>
    </row>
    <row r="858" spans="3:25" ht="18" customHeight="1" x14ac:dyDescent="0.2">
      <c r="C858" s="721"/>
      <c r="D858" s="722"/>
      <c r="E858" s="722"/>
      <c r="F858" s="722"/>
      <c r="G858" s="722"/>
      <c r="H858" s="722"/>
      <c r="I858" s="722"/>
      <c r="J858" s="722"/>
      <c r="K858" s="722"/>
      <c r="L858" s="722"/>
      <c r="M858" s="722"/>
      <c r="N858" s="722"/>
      <c r="O858" s="722"/>
      <c r="P858" s="722"/>
      <c r="Q858" s="722"/>
      <c r="R858" s="722"/>
      <c r="S858" s="722"/>
      <c r="T858" s="722"/>
      <c r="U858" s="722"/>
      <c r="V858" s="722"/>
      <c r="W858" s="722"/>
      <c r="X858" s="722"/>
      <c r="Y858" s="723"/>
    </row>
    <row r="859" spans="3:25" ht="18" customHeight="1" x14ac:dyDescent="0.2">
      <c r="C859" s="721"/>
      <c r="D859" s="722"/>
      <c r="E859" s="722"/>
      <c r="F859" s="722"/>
      <c r="G859" s="722"/>
      <c r="H859" s="722"/>
      <c r="I859" s="722"/>
      <c r="J859" s="722"/>
      <c r="K859" s="722"/>
      <c r="L859" s="722"/>
      <c r="M859" s="722"/>
      <c r="N859" s="722"/>
      <c r="O859" s="722"/>
      <c r="P859" s="722"/>
      <c r="Q859" s="722"/>
      <c r="R859" s="722"/>
      <c r="S859" s="722"/>
      <c r="T859" s="722"/>
      <c r="U859" s="722"/>
      <c r="V859" s="722"/>
      <c r="W859" s="722"/>
      <c r="X859" s="722"/>
      <c r="Y859" s="723"/>
    </row>
    <row r="860" spans="3:25" ht="18" customHeight="1" x14ac:dyDescent="0.2">
      <c r="C860" s="721"/>
      <c r="D860" s="722"/>
      <c r="E860" s="722"/>
      <c r="F860" s="722"/>
      <c r="G860" s="722"/>
      <c r="H860" s="722"/>
      <c r="I860" s="722"/>
      <c r="J860" s="722"/>
      <c r="K860" s="722"/>
      <c r="L860" s="722"/>
      <c r="M860" s="722"/>
      <c r="N860" s="722"/>
      <c r="O860" s="722"/>
      <c r="P860" s="722"/>
      <c r="Q860" s="722"/>
      <c r="R860" s="722"/>
      <c r="S860" s="722"/>
      <c r="T860" s="722"/>
      <c r="U860" s="722"/>
      <c r="V860" s="722"/>
      <c r="W860" s="722"/>
      <c r="X860" s="722"/>
      <c r="Y860" s="723"/>
    </row>
    <row r="861" spans="3:25" ht="18" customHeight="1" x14ac:dyDescent="0.2">
      <c r="C861" s="721"/>
      <c r="D861" s="722"/>
      <c r="E861" s="722"/>
      <c r="F861" s="722"/>
      <c r="G861" s="722"/>
      <c r="H861" s="722"/>
      <c r="I861" s="722"/>
      <c r="J861" s="722"/>
      <c r="K861" s="722"/>
      <c r="L861" s="722"/>
      <c r="M861" s="722"/>
      <c r="N861" s="722"/>
      <c r="O861" s="722"/>
      <c r="P861" s="722"/>
      <c r="Q861" s="722"/>
      <c r="R861" s="722"/>
      <c r="S861" s="722"/>
      <c r="T861" s="722"/>
      <c r="U861" s="722"/>
      <c r="V861" s="722"/>
      <c r="W861" s="722"/>
      <c r="X861" s="722"/>
      <c r="Y861" s="723"/>
    </row>
    <row r="862" spans="3:25" ht="18" customHeight="1" x14ac:dyDescent="0.2">
      <c r="C862" s="721"/>
      <c r="D862" s="722"/>
      <c r="E862" s="722"/>
      <c r="F862" s="722"/>
      <c r="G862" s="722"/>
      <c r="H862" s="722"/>
      <c r="I862" s="722"/>
      <c r="J862" s="722"/>
      <c r="K862" s="722"/>
      <c r="L862" s="722"/>
      <c r="M862" s="722"/>
      <c r="N862" s="722"/>
      <c r="O862" s="722"/>
      <c r="P862" s="722"/>
      <c r="Q862" s="722"/>
      <c r="R862" s="722"/>
      <c r="S862" s="722"/>
      <c r="T862" s="722"/>
      <c r="U862" s="722"/>
      <c r="V862" s="722"/>
      <c r="W862" s="722"/>
      <c r="X862" s="722"/>
      <c r="Y862" s="723"/>
    </row>
    <row r="863" spans="3:25" ht="18" customHeight="1" x14ac:dyDescent="0.2">
      <c r="C863" s="721"/>
      <c r="D863" s="722"/>
      <c r="E863" s="722"/>
      <c r="F863" s="722"/>
      <c r="G863" s="722"/>
      <c r="H863" s="722"/>
      <c r="I863" s="722"/>
      <c r="J863" s="722"/>
      <c r="K863" s="722"/>
      <c r="L863" s="722"/>
      <c r="M863" s="722"/>
      <c r="N863" s="722"/>
      <c r="O863" s="722"/>
      <c r="P863" s="722"/>
      <c r="Q863" s="722"/>
      <c r="R863" s="722"/>
      <c r="S863" s="722"/>
      <c r="T863" s="722"/>
      <c r="U863" s="722"/>
      <c r="V863" s="722"/>
      <c r="W863" s="722"/>
      <c r="X863" s="722"/>
      <c r="Y863" s="723"/>
    </row>
    <row r="864" spans="3:25" ht="18" customHeight="1" x14ac:dyDescent="0.2">
      <c r="C864" s="721"/>
      <c r="D864" s="722"/>
      <c r="E864" s="722"/>
      <c r="F864" s="722"/>
      <c r="G864" s="722"/>
      <c r="H864" s="722"/>
      <c r="I864" s="722"/>
      <c r="J864" s="722"/>
      <c r="K864" s="722"/>
      <c r="L864" s="722"/>
      <c r="M864" s="722"/>
      <c r="N864" s="722"/>
      <c r="O864" s="722"/>
      <c r="P864" s="722"/>
      <c r="Q864" s="722"/>
      <c r="R864" s="722"/>
      <c r="S864" s="722"/>
      <c r="T864" s="722"/>
      <c r="U864" s="722"/>
      <c r="V864" s="722"/>
      <c r="W864" s="722"/>
      <c r="X864" s="722"/>
      <c r="Y864" s="723"/>
    </row>
    <row r="865" spans="3:25" ht="18" customHeight="1" x14ac:dyDescent="0.2">
      <c r="C865" s="721"/>
      <c r="D865" s="722"/>
      <c r="E865" s="722"/>
      <c r="F865" s="722"/>
      <c r="G865" s="722"/>
      <c r="H865" s="722"/>
      <c r="I865" s="722"/>
      <c r="J865" s="722"/>
      <c r="K865" s="722"/>
      <c r="L865" s="722"/>
      <c r="M865" s="722"/>
      <c r="N865" s="722"/>
      <c r="O865" s="722"/>
      <c r="P865" s="722"/>
      <c r="Q865" s="722"/>
      <c r="R865" s="722"/>
      <c r="S865" s="722"/>
      <c r="T865" s="722"/>
      <c r="U865" s="722"/>
      <c r="V865" s="722"/>
      <c r="W865" s="722"/>
      <c r="X865" s="722"/>
      <c r="Y865" s="723"/>
    </row>
    <row r="866" spans="3:25" ht="18" customHeight="1" x14ac:dyDescent="0.2">
      <c r="C866" s="721"/>
      <c r="D866" s="722"/>
      <c r="E866" s="722"/>
      <c r="F866" s="722"/>
      <c r="G866" s="722"/>
      <c r="H866" s="722"/>
      <c r="I866" s="722"/>
      <c r="J866" s="722"/>
      <c r="K866" s="722"/>
      <c r="L866" s="722"/>
      <c r="M866" s="722"/>
      <c r="N866" s="722"/>
      <c r="O866" s="722"/>
      <c r="P866" s="722"/>
      <c r="Q866" s="722"/>
      <c r="R866" s="722"/>
      <c r="S866" s="722"/>
      <c r="T866" s="722"/>
      <c r="U866" s="722"/>
      <c r="V866" s="722"/>
      <c r="W866" s="722"/>
      <c r="X866" s="722"/>
      <c r="Y866" s="723"/>
    </row>
    <row r="867" spans="3:25" ht="18" customHeight="1" x14ac:dyDescent="0.2">
      <c r="C867" s="721"/>
      <c r="D867" s="722"/>
      <c r="E867" s="722"/>
      <c r="F867" s="722"/>
      <c r="G867" s="722"/>
      <c r="H867" s="722"/>
      <c r="I867" s="722"/>
      <c r="J867" s="722"/>
      <c r="K867" s="722"/>
      <c r="L867" s="722"/>
      <c r="M867" s="722"/>
      <c r="N867" s="722"/>
      <c r="O867" s="722"/>
      <c r="P867" s="722"/>
      <c r="Q867" s="722"/>
      <c r="R867" s="722"/>
      <c r="S867" s="722"/>
      <c r="T867" s="722"/>
      <c r="U867" s="722"/>
      <c r="V867" s="722"/>
      <c r="W867" s="722"/>
      <c r="X867" s="722"/>
      <c r="Y867" s="723"/>
    </row>
    <row r="868" spans="3:25" ht="18" customHeight="1" x14ac:dyDescent="0.2">
      <c r="C868" s="721"/>
      <c r="D868" s="722"/>
      <c r="E868" s="722"/>
      <c r="F868" s="722"/>
      <c r="G868" s="722"/>
      <c r="H868" s="722"/>
      <c r="I868" s="722"/>
      <c r="J868" s="722"/>
      <c r="K868" s="722"/>
      <c r="L868" s="722"/>
      <c r="M868" s="722"/>
      <c r="N868" s="722"/>
      <c r="O868" s="722"/>
      <c r="P868" s="722"/>
      <c r="Q868" s="722"/>
      <c r="R868" s="722"/>
      <c r="S868" s="722"/>
      <c r="T868" s="722"/>
      <c r="U868" s="722"/>
      <c r="V868" s="722"/>
      <c r="W868" s="722"/>
      <c r="X868" s="722"/>
      <c r="Y868" s="723"/>
    </row>
    <row r="869" spans="3:25" ht="18" customHeight="1" x14ac:dyDescent="0.2">
      <c r="C869" s="721"/>
      <c r="D869" s="722"/>
      <c r="E869" s="722"/>
      <c r="F869" s="722"/>
      <c r="G869" s="722"/>
      <c r="H869" s="722"/>
      <c r="I869" s="722"/>
      <c r="J869" s="722"/>
      <c r="K869" s="722"/>
      <c r="L869" s="722"/>
      <c r="M869" s="722"/>
      <c r="N869" s="722"/>
      <c r="O869" s="722"/>
      <c r="P869" s="722"/>
      <c r="Q869" s="722"/>
      <c r="R869" s="722"/>
      <c r="S869" s="722"/>
      <c r="T869" s="722"/>
      <c r="U869" s="722"/>
      <c r="V869" s="722"/>
      <c r="W869" s="722"/>
      <c r="X869" s="722"/>
      <c r="Y869" s="723"/>
    </row>
    <row r="870" spans="3:25" ht="18" customHeight="1" x14ac:dyDescent="0.2">
      <c r="C870" s="721"/>
      <c r="D870" s="722"/>
      <c r="E870" s="722"/>
      <c r="F870" s="722"/>
      <c r="G870" s="722"/>
      <c r="H870" s="722"/>
      <c r="I870" s="722"/>
      <c r="J870" s="722"/>
      <c r="K870" s="722"/>
      <c r="L870" s="722"/>
      <c r="M870" s="722"/>
      <c r="N870" s="722"/>
      <c r="O870" s="722"/>
      <c r="P870" s="722"/>
      <c r="Q870" s="722"/>
      <c r="R870" s="722"/>
      <c r="S870" s="722"/>
      <c r="T870" s="722"/>
      <c r="U870" s="722"/>
      <c r="V870" s="722"/>
      <c r="W870" s="722"/>
      <c r="X870" s="722"/>
      <c r="Y870" s="723"/>
    </row>
    <row r="871" spans="3:25" ht="18" customHeight="1" x14ac:dyDescent="0.2">
      <c r="C871" s="721"/>
      <c r="D871" s="722"/>
      <c r="E871" s="722"/>
      <c r="F871" s="722"/>
      <c r="G871" s="722"/>
      <c r="H871" s="722"/>
      <c r="I871" s="722"/>
      <c r="J871" s="722"/>
      <c r="K871" s="722"/>
      <c r="L871" s="722"/>
      <c r="M871" s="722"/>
      <c r="N871" s="722"/>
      <c r="O871" s="722"/>
      <c r="P871" s="722"/>
      <c r="Q871" s="722"/>
      <c r="R871" s="722"/>
      <c r="S871" s="722"/>
      <c r="T871" s="722"/>
      <c r="U871" s="722"/>
      <c r="V871" s="722"/>
      <c r="W871" s="722"/>
      <c r="X871" s="722"/>
      <c r="Y871" s="723"/>
    </row>
    <row r="872" spans="3:25" ht="18" customHeight="1" x14ac:dyDescent="0.2">
      <c r="C872" s="721"/>
      <c r="D872" s="722"/>
      <c r="E872" s="722"/>
      <c r="F872" s="722"/>
      <c r="G872" s="722"/>
      <c r="H872" s="722"/>
      <c r="I872" s="722"/>
      <c r="J872" s="722"/>
      <c r="K872" s="722"/>
      <c r="L872" s="722"/>
      <c r="M872" s="722"/>
      <c r="N872" s="722"/>
      <c r="O872" s="722"/>
      <c r="P872" s="722"/>
      <c r="Q872" s="722"/>
      <c r="R872" s="722"/>
      <c r="S872" s="722"/>
      <c r="T872" s="722"/>
      <c r="U872" s="722"/>
      <c r="V872" s="722"/>
      <c r="W872" s="722"/>
      <c r="X872" s="722"/>
      <c r="Y872" s="723"/>
    </row>
    <row r="873" spans="3:25" ht="18" customHeight="1" x14ac:dyDescent="0.2">
      <c r="C873" s="721"/>
      <c r="D873" s="722"/>
      <c r="E873" s="722"/>
      <c r="F873" s="722"/>
      <c r="G873" s="722"/>
      <c r="H873" s="722"/>
      <c r="I873" s="722"/>
      <c r="J873" s="722"/>
      <c r="K873" s="722"/>
      <c r="L873" s="722"/>
      <c r="M873" s="722"/>
      <c r="N873" s="722"/>
      <c r="O873" s="722"/>
      <c r="P873" s="722"/>
      <c r="Q873" s="722"/>
      <c r="R873" s="722"/>
      <c r="S873" s="722"/>
      <c r="T873" s="722"/>
      <c r="U873" s="722"/>
      <c r="V873" s="722"/>
      <c r="W873" s="722"/>
      <c r="X873" s="722"/>
      <c r="Y873" s="723"/>
    </row>
    <row r="874" spans="3:25" ht="18" customHeight="1" x14ac:dyDescent="0.2">
      <c r="C874" s="721"/>
      <c r="D874" s="722"/>
      <c r="E874" s="722"/>
      <c r="F874" s="722"/>
      <c r="G874" s="722"/>
      <c r="H874" s="722"/>
      <c r="I874" s="722"/>
      <c r="J874" s="722"/>
      <c r="K874" s="722"/>
      <c r="L874" s="722"/>
      <c r="M874" s="722"/>
      <c r="N874" s="722"/>
      <c r="O874" s="722"/>
      <c r="P874" s="722"/>
      <c r="Q874" s="722"/>
      <c r="R874" s="722"/>
      <c r="S874" s="722"/>
      <c r="T874" s="722"/>
      <c r="U874" s="722"/>
      <c r="V874" s="722"/>
      <c r="W874" s="722"/>
      <c r="X874" s="722"/>
      <c r="Y874" s="723"/>
    </row>
    <row r="875" spans="3:25" ht="18" customHeight="1" x14ac:dyDescent="0.2">
      <c r="C875" s="721"/>
      <c r="D875" s="722"/>
      <c r="E875" s="722"/>
      <c r="F875" s="722"/>
      <c r="G875" s="722"/>
      <c r="H875" s="722"/>
      <c r="I875" s="722"/>
      <c r="J875" s="722"/>
      <c r="K875" s="722"/>
      <c r="L875" s="722"/>
      <c r="M875" s="722"/>
      <c r="N875" s="722"/>
      <c r="O875" s="722"/>
      <c r="P875" s="722"/>
      <c r="Q875" s="722"/>
      <c r="R875" s="722"/>
      <c r="S875" s="722"/>
      <c r="T875" s="722"/>
      <c r="U875" s="722"/>
      <c r="V875" s="722"/>
      <c r="W875" s="722"/>
      <c r="X875" s="722"/>
      <c r="Y875" s="723"/>
    </row>
    <row r="876" spans="3:25" ht="18" customHeight="1" x14ac:dyDescent="0.2">
      <c r="C876" s="721"/>
      <c r="D876" s="722"/>
      <c r="E876" s="722"/>
      <c r="F876" s="722"/>
      <c r="G876" s="722"/>
      <c r="H876" s="722"/>
      <c r="I876" s="722"/>
      <c r="J876" s="722"/>
      <c r="K876" s="722"/>
      <c r="L876" s="722"/>
      <c r="M876" s="722"/>
      <c r="N876" s="722"/>
      <c r="O876" s="722"/>
      <c r="P876" s="722"/>
      <c r="Q876" s="722"/>
      <c r="R876" s="722"/>
      <c r="S876" s="722"/>
      <c r="T876" s="722"/>
      <c r="U876" s="722"/>
      <c r="V876" s="722"/>
      <c r="W876" s="722"/>
      <c r="X876" s="722"/>
      <c r="Y876" s="723"/>
    </row>
    <row r="877" spans="3:25" ht="18" customHeight="1" x14ac:dyDescent="0.2">
      <c r="C877" s="721"/>
      <c r="D877" s="722"/>
      <c r="E877" s="722"/>
      <c r="F877" s="722"/>
      <c r="G877" s="722"/>
      <c r="H877" s="722"/>
      <c r="I877" s="722"/>
      <c r="J877" s="722"/>
      <c r="K877" s="722"/>
      <c r="L877" s="722"/>
      <c r="M877" s="722"/>
      <c r="N877" s="722"/>
      <c r="O877" s="722"/>
      <c r="P877" s="722"/>
      <c r="Q877" s="722"/>
      <c r="R877" s="722"/>
      <c r="S877" s="722"/>
      <c r="T877" s="722"/>
      <c r="U877" s="722"/>
      <c r="V877" s="722"/>
      <c r="W877" s="722"/>
      <c r="X877" s="722"/>
      <c r="Y877" s="723"/>
    </row>
    <row r="878" spans="3:25" ht="18" customHeight="1" x14ac:dyDescent="0.2">
      <c r="C878" s="721"/>
      <c r="D878" s="722"/>
      <c r="E878" s="722"/>
      <c r="F878" s="722"/>
      <c r="G878" s="722"/>
      <c r="H878" s="722"/>
      <c r="I878" s="722"/>
      <c r="J878" s="722"/>
      <c r="K878" s="722"/>
      <c r="L878" s="722"/>
      <c r="M878" s="722"/>
      <c r="N878" s="722"/>
      <c r="O878" s="722"/>
      <c r="P878" s="722"/>
      <c r="Q878" s="722"/>
      <c r="R878" s="722"/>
      <c r="S878" s="722"/>
      <c r="T878" s="722"/>
      <c r="U878" s="722"/>
      <c r="V878" s="722"/>
      <c r="W878" s="722"/>
      <c r="X878" s="722"/>
      <c r="Y878" s="723"/>
    </row>
    <row r="879" spans="3:25" ht="18" customHeight="1" x14ac:dyDescent="0.2">
      <c r="C879" s="721"/>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3"/>
    </row>
    <row r="880" spans="3:25" ht="18" customHeight="1" x14ac:dyDescent="0.2">
      <c r="C880" s="721"/>
      <c r="D880" s="722"/>
      <c r="E880" s="722"/>
      <c r="F880" s="722"/>
      <c r="G880" s="722"/>
      <c r="H880" s="722"/>
      <c r="I880" s="722"/>
      <c r="J880" s="722"/>
      <c r="K880" s="722"/>
      <c r="L880" s="722"/>
      <c r="M880" s="722"/>
      <c r="N880" s="722"/>
      <c r="O880" s="722"/>
      <c r="P880" s="722"/>
      <c r="Q880" s="722"/>
      <c r="R880" s="722"/>
      <c r="S880" s="722"/>
      <c r="T880" s="722"/>
      <c r="U880" s="722"/>
      <c r="V880" s="722"/>
      <c r="W880" s="722"/>
      <c r="X880" s="722"/>
      <c r="Y880" s="723"/>
    </row>
    <row r="881" spans="3:25" ht="18" customHeight="1" x14ac:dyDescent="0.2">
      <c r="C881" s="721"/>
      <c r="D881" s="722"/>
      <c r="E881" s="722"/>
      <c r="F881" s="722"/>
      <c r="G881" s="722"/>
      <c r="H881" s="722"/>
      <c r="I881" s="722"/>
      <c r="J881" s="722"/>
      <c r="K881" s="722"/>
      <c r="L881" s="722"/>
      <c r="M881" s="722"/>
      <c r="N881" s="722"/>
      <c r="O881" s="722"/>
      <c r="P881" s="722"/>
      <c r="Q881" s="722"/>
      <c r="R881" s="722"/>
      <c r="S881" s="722"/>
      <c r="T881" s="722"/>
      <c r="U881" s="722"/>
      <c r="V881" s="722"/>
      <c r="W881" s="722"/>
      <c r="X881" s="722"/>
      <c r="Y881" s="723"/>
    </row>
    <row r="882" spans="3:25" ht="18" customHeight="1" x14ac:dyDescent="0.2">
      <c r="C882" s="721"/>
      <c r="D882" s="722"/>
      <c r="E882" s="722"/>
      <c r="F882" s="722"/>
      <c r="G882" s="722"/>
      <c r="H882" s="722"/>
      <c r="I882" s="722"/>
      <c r="J882" s="722"/>
      <c r="K882" s="722"/>
      <c r="L882" s="722"/>
      <c r="M882" s="722"/>
      <c r="N882" s="722"/>
      <c r="O882" s="722"/>
      <c r="P882" s="722"/>
      <c r="Q882" s="722"/>
      <c r="R882" s="722"/>
      <c r="S882" s="722"/>
      <c r="T882" s="722"/>
      <c r="U882" s="722"/>
      <c r="V882" s="722"/>
      <c r="W882" s="722"/>
      <c r="X882" s="722"/>
      <c r="Y882" s="723"/>
    </row>
    <row r="883" spans="3:25" ht="18" customHeight="1" x14ac:dyDescent="0.2">
      <c r="C883" s="721"/>
      <c r="D883" s="722"/>
      <c r="E883" s="722"/>
      <c r="F883" s="722"/>
      <c r="G883" s="722"/>
      <c r="H883" s="722"/>
      <c r="I883" s="722"/>
      <c r="J883" s="722"/>
      <c r="K883" s="722"/>
      <c r="L883" s="722"/>
      <c r="M883" s="722"/>
      <c r="N883" s="722"/>
      <c r="O883" s="722"/>
      <c r="P883" s="722"/>
      <c r="Q883" s="722"/>
      <c r="R883" s="722"/>
      <c r="S883" s="722"/>
      <c r="T883" s="722"/>
      <c r="U883" s="722"/>
      <c r="V883" s="722"/>
      <c r="W883" s="722"/>
      <c r="X883" s="722"/>
      <c r="Y883" s="723"/>
    </row>
    <row r="884" spans="3:25" ht="18" customHeight="1" x14ac:dyDescent="0.2">
      <c r="C884" s="721"/>
      <c r="D884" s="722"/>
      <c r="E884" s="722"/>
      <c r="F884" s="722"/>
      <c r="G884" s="722"/>
      <c r="H884" s="722"/>
      <c r="I884" s="722"/>
      <c r="J884" s="722"/>
      <c r="K884" s="722"/>
      <c r="L884" s="722"/>
      <c r="M884" s="722"/>
      <c r="N884" s="722"/>
      <c r="O884" s="722"/>
      <c r="P884" s="722"/>
      <c r="Q884" s="722"/>
      <c r="R884" s="722"/>
      <c r="S884" s="722"/>
      <c r="T884" s="722"/>
      <c r="U884" s="722"/>
      <c r="V884" s="722"/>
      <c r="W884" s="722"/>
      <c r="X884" s="722"/>
      <c r="Y884" s="723"/>
    </row>
    <row r="885" spans="3:25" ht="18" customHeight="1" x14ac:dyDescent="0.2">
      <c r="C885" s="721"/>
      <c r="D885" s="722"/>
      <c r="E885" s="722"/>
      <c r="F885" s="722"/>
      <c r="G885" s="722"/>
      <c r="H885" s="722"/>
      <c r="I885" s="722"/>
      <c r="J885" s="722"/>
      <c r="K885" s="722"/>
      <c r="L885" s="722"/>
      <c r="M885" s="722"/>
      <c r="N885" s="722"/>
      <c r="O885" s="722"/>
      <c r="P885" s="722"/>
      <c r="Q885" s="722"/>
      <c r="R885" s="722"/>
      <c r="S885" s="722"/>
      <c r="T885" s="722"/>
      <c r="U885" s="722"/>
      <c r="V885" s="722"/>
      <c r="W885" s="722"/>
      <c r="X885" s="722"/>
      <c r="Y885" s="723"/>
    </row>
    <row r="886" spans="3:25" ht="18" customHeight="1" x14ac:dyDescent="0.2">
      <c r="C886" s="721"/>
      <c r="D886" s="722"/>
      <c r="E886" s="722"/>
      <c r="F886" s="722"/>
      <c r="G886" s="722"/>
      <c r="H886" s="722"/>
      <c r="I886" s="722"/>
      <c r="J886" s="722"/>
      <c r="K886" s="722"/>
      <c r="L886" s="722"/>
      <c r="M886" s="722"/>
      <c r="N886" s="722"/>
      <c r="O886" s="722"/>
      <c r="P886" s="722"/>
      <c r="Q886" s="722"/>
      <c r="R886" s="722"/>
      <c r="S886" s="722"/>
      <c r="T886" s="722"/>
      <c r="U886" s="722"/>
      <c r="V886" s="722"/>
      <c r="W886" s="722"/>
      <c r="X886" s="722"/>
      <c r="Y886" s="723"/>
    </row>
    <row r="887" spans="3:25" ht="18" customHeight="1" x14ac:dyDescent="0.2">
      <c r="C887" s="721"/>
      <c r="D887" s="722"/>
      <c r="E887" s="722"/>
      <c r="F887" s="722"/>
      <c r="G887" s="722"/>
      <c r="H887" s="722"/>
      <c r="I887" s="722"/>
      <c r="J887" s="722"/>
      <c r="K887" s="722"/>
      <c r="L887" s="722"/>
      <c r="M887" s="722"/>
      <c r="N887" s="722"/>
      <c r="O887" s="722"/>
      <c r="P887" s="722"/>
      <c r="Q887" s="722"/>
      <c r="R887" s="722"/>
      <c r="S887" s="722"/>
      <c r="T887" s="722"/>
      <c r="U887" s="722"/>
      <c r="V887" s="722"/>
      <c r="W887" s="722"/>
      <c r="X887" s="722"/>
      <c r="Y887" s="723"/>
    </row>
    <row r="888" spans="3:25" ht="18" customHeight="1" x14ac:dyDescent="0.2">
      <c r="C888" s="721"/>
      <c r="D888" s="722"/>
      <c r="E888" s="722"/>
      <c r="F888" s="722"/>
      <c r="G888" s="722"/>
      <c r="H888" s="722"/>
      <c r="I888" s="722"/>
      <c r="J888" s="722"/>
      <c r="K888" s="722"/>
      <c r="L888" s="722"/>
      <c r="M888" s="722"/>
      <c r="N888" s="722"/>
      <c r="O888" s="722"/>
      <c r="P888" s="722"/>
      <c r="Q888" s="722"/>
      <c r="R888" s="722"/>
      <c r="S888" s="722"/>
      <c r="T888" s="722"/>
      <c r="U888" s="722"/>
      <c r="V888" s="722"/>
      <c r="W888" s="722"/>
      <c r="X888" s="722"/>
      <c r="Y888" s="723"/>
    </row>
    <row r="889" spans="3:25" ht="18" customHeight="1" x14ac:dyDescent="0.2">
      <c r="C889" s="721"/>
      <c r="D889" s="722"/>
      <c r="E889" s="722"/>
      <c r="F889" s="722"/>
      <c r="G889" s="722"/>
      <c r="H889" s="722"/>
      <c r="I889" s="722"/>
      <c r="J889" s="722"/>
      <c r="K889" s="722"/>
      <c r="L889" s="722"/>
      <c r="M889" s="722"/>
      <c r="N889" s="722"/>
      <c r="O889" s="722"/>
      <c r="P889" s="722"/>
      <c r="Q889" s="722"/>
      <c r="R889" s="722"/>
      <c r="S889" s="722"/>
      <c r="T889" s="722"/>
      <c r="U889" s="722"/>
      <c r="V889" s="722"/>
      <c r="W889" s="722"/>
      <c r="X889" s="722"/>
      <c r="Y889" s="723"/>
    </row>
    <row r="890" spans="3:25" ht="18" customHeight="1" x14ac:dyDescent="0.2">
      <c r="C890" s="721"/>
      <c r="D890" s="722"/>
      <c r="E890" s="722"/>
      <c r="F890" s="722"/>
      <c r="G890" s="722"/>
      <c r="H890" s="722"/>
      <c r="I890" s="722"/>
      <c r="J890" s="722"/>
      <c r="K890" s="722"/>
      <c r="L890" s="722"/>
      <c r="M890" s="722"/>
      <c r="N890" s="722"/>
      <c r="O890" s="722"/>
      <c r="P890" s="722"/>
      <c r="Q890" s="722"/>
      <c r="R890" s="722"/>
      <c r="S890" s="722"/>
      <c r="T890" s="722"/>
      <c r="U890" s="722"/>
      <c r="V890" s="722"/>
      <c r="W890" s="722"/>
      <c r="X890" s="722"/>
      <c r="Y890" s="723"/>
    </row>
    <row r="891" spans="3:25" ht="18" customHeight="1" x14ac:dyDescent="0.2">
      <c r="C891" s="721"/>
      <c r="D891" s="722"/>
      <c r="E891" s="722"/>
      <c r="F891" s="722"/>
      <c r="G891" s="722"/>
      <c r="H891" s="722"/>
      <c r="I891" s="722"/>
      <c r="J891" s="722"/>
      <c r="K891" s="722"/>
      <c r="L891" s="722"/>
      <c r="M891" s="722"/>
      <c r="N891" s="722"/>
      <c r="O891" s="722"/>
      <c r="P891" s="722"/>
      <c r="Q891" s="722"/>
      <c r="R891" s="722"/>
      <c r="S891" s="722"/>
      <c r="T891" s="722"/>
      <c r="U891" s="722"/>
      <c r="V891" s="722"/>
      <c r="W891" s="722"/>
      <c r="X891" s="722"/>
      <c r="Y891" s="723"/>
    </row>
    <row r="892" spans="3:25" ht="18" customHeight="1" x14ac:dyDescent="0.2">
      <c r="C892" s="721"/>
      <c r="D892" s="722"/>
      <c r="E892" s="722"/>
      <c r="F892" s="722"/>
      <c r="G892" s="722"/>
      <c r="H892" s="722"/>
      <c r="I892" s="722"/>
      <c r="J892" s="722"/>
      <c r="K892" s="722"/>
      <c r="L892" s="722"/>
      <c r="M892" s="722"/>
      <c r="N892" s="722"/>
      <c r="O892" s="722"/>
      <c r="P892" s="722"/>
      <c r="Q892" s="722"/>
      <c r="R892" s="722"/>
      <c r="S892" s="722"/>
      <c r="T892" s="722"/>
      <c r="U892" s="722"/>
      <c r="V892" s="722"/>
      <c r="W892" s="722"/>
      <c r="X892" s="722"/>
      <c r="Y892" s="723"/>
    </row>
    <row r="893" spans="3:25" ht="18" customHeight="1" x14ac:dyDescent="0.2">
      <c r="C893" s="721"/>
      <c r="D893" s="722"/>
      <c r="E893" s="722"/>
      <c r="F893" s="722"/>
      <c r="G893" s="722"/>
      <c r="H893" s="722"/>
      <c r="I893" s="722"/>
      <c r="J893" s="722"/>
      <c r="K893" s="722"/>
      <c r="L893" s="722"/>
      <c r="M893" s="722"/>
      <c r="N893" s="722"/>
      <c r="O893" s="722"/>
      <c r="P893" s="722"/>
      <c r="Q893" s="722"/>
      <c r="R893" s="722"/>
      <c r="S893" s="722"/>
      <c r="T893" s="722"/>
      <c r="U893" s="722"/>
      <c r="V893" s="722"/>
      <c r="W893" s="722"/>
      <c r="X893" s="722"/>
      <c r="Y893" s="723"/>
    </row>
    <row r="894" spans="3:25" ht="18" customHeight="1" x14ac:dyDescent="0.2">
      <c r="C894" s="721"/>
      <c r="D894" s="722"/>
      <c r="E894" s="722"/>
      <c r="F894" s="722"/>
      <c r="G894" s="722"/>
      <c r="H894" s="722"/>
      <c r="I894" s="722"/>
      <c r="J894" s="722"/>
      <c r="K894" s="722"/>
      <c r="L894" s="722"/>
      <c r="M894" s="722"/>
      <c r="N894" s="722"/>
      <c r="O894" s="722"/>
      <c r="P894" s="722"/>
      <c r="Q894" s="722"/>
      <c r="R894" s="722"/>
      <c r="S894" s="722"/>
      <c r="T894" s="722"/>
      <c r="U894" s="722"/>
      <c r="V894" s="722"/>
      <c r="W894" s="722"/>
      <c r="X894" s="722"/>
      <c r="Y894" s="723"/>
    </row>
    <row r="895" spans="3:25" ht="18" customHeight="1" x14ac:dyDescent="0.2">
      <c r="C895" s="721"/>
      <c r="D895" s="722"/>
      <c r="E895" s="722"/>
      <c r="F895" s="722"/>
      <c r="G895" s="722"/>
      <c r="H895" s="722"/>
      <c r="I895" s="722"/>
      <c r="J895" s="722"/>
      <c r="K895" s="722"/>
      <c r="L895" s="722"/>
      <c r="M895" s="722"/>
      <c r="N895" s="722"/>
      <c r="O895" s="722"/>
      <c r="P895" s="722"/>
      <c r="Q895" s="722"/>
      <c r="R895" s="722"/>
      <c r="S895" s="722"/>
      <c r="T895" s="722"/>
      <c r="U895" s="722"/>
      <c r="V895" s="722"/>
      <c r="W895" s="722"/>
      <c r="X895" s="722"/>
      <c r="Y895" s="723"/>
    </row>
    <row r="896" spans="3:25" ht="18" customHeight="1" x14ac:dyDescent="0.2">
      <c r="C896" s="721"/>
      <c r="D896" s="722"/>
      <c r="E896" s="722"/>
      <c r="F896" s="722"/>
      <c r="G896" s="722"/>
      <c r="H896" s="722"/>
      <c r="I896" s="722"/>
      <c r="J896" s="722"/>
      <c r="K896" s="722"/>
      <c r="L896" s="722"/>
      <c r="M896" s="722"/>
      <c r="N896" s="722"/>
      <c r="O896" s="722"/>
      <c r="P896" s="722"/>
      <c r="Q896" s="722"/>
      <c r="R896" s="722"/>
      <c r="S896" s="722"/>
      <c r="T896" s="722"/>
      <c r="U896" s="722"/>
      <c r="V896" s="722"/>
      <c r="W896" s="722"/>
      <c r="X896" s="722"/>
      <c r="Y896" s="723"/>
    </row>
    <row r="897" spans="3:25" ht="18" customHeight="1" x14ac:dyDescent="0.2">
      <c r="C897" s="721"/>
      <c r="D897" s="722"/>
      <c r="E897" s="722"/>
      <c r="F897" s="722"/>
      <c r="G897" s="722"/>
      <c r="H897" s="722"/>
      <c r="I897" s="722"/>
      <c r="J897" s="722"/>
      <c r="K897" s="722"/>
      <c r="L897" s="722"/>
      <c r="M897" s="722"/>
      <c r="N897" s="722"/>
      <c r="O897" s="722"/>
      <c r="P897" s="722"/>
      <c r="Q897" s="722"/>
      <c r="R897" s="722"/>
      <c r="S897" s="722"/>
      <c r="T897" s="722"/>
      <c r="U897" s="722"/>
      <c r="V897" s="722"/>
      <c r="W897" s="722"/>
      <c r="X897" s="722"/>
      <c r="Y897" s="723"/>
    </row>
    <row r="898" spans="3:25" ht="18" customHeight="1" x14ac:dyDescent="0.2">
      <c r="C898" s="721"/>
      <c r="D898" s="722"/>
      <c r="E898" s="722"/>
      <c r="F898" s="722"/>
      <c r="G898" s="722"/>
      <c r="H898" s="722"/>
      <c r="I898" s="722"/>
      <c r="J898" s="722"/>
      <c r="K898" s="722"/>
      <c r="L898" s="722"/>
      <c r="M898" s="722"/>
      <c r="N898" s="722"/>
      <c r="O898" s="722"/>
      <c r="P898" s="722"/>
      <c r="Q898" s="722"/>
      <c r="R898" s="722"/>
      <c r="S898" s="722"/>
      <c r="T898" s="722"/>
      <c r="U898" s="722"/>
      <c r="V898" s="722"/>
      <c r="W898" s="722"/>
      <c r="X898" s="722"/>
      <c r="Y898" s="723"/>
    </row>
    <row r="899" spans="3:25" ht="18" customHeight="1" x14ac:dyDescent="0.2">
      <c r="C899" s="721"/>
      <c r="D899" s="722"/>
      <c r="E899" s="722"/>
      <c r="F899" s="722"/>
      <c r="G899" s="722"/>
      <c r="H899" s="722"/>
      <c r="I899" s="722"/>
      <c r="J899" s="722"/>
      <c r="K899" s="722"/>
      <c r="L899" s="722"/>
      <c r="M899" s="722"/>
      <c r="N899" s="722"/>
      <c r="O899" s="722"/>
      <c r="P899" s="722"/>
      <c r="Q899" s="722"/>
      <c r="R899" s="722"/>
      <c r="S899" s="722"/>
      <c r="T899" s="722"/>
      <c r="U899" s="722"/>
      <c r="V899" s="722"/>
      <c r="W899" s="722"/>
      <c r="X899" s="722"/>
      <c r="Y899" s="723"/>
    </row>
    <row r="900" spans="3:25" ht="18" customHeight="1" x14ac:dyDescent="0.2">
      <c r="C900" s="724"/>
      <c r="D900" s="725"/>
      <c r="E900" s="725"/>
      <c r="F900" s="725"/>
      <c r="G900" s="725"/>
      <c r="H900" s="725"/>
      <c r="I900" s="725"/>
      <c r="J900" s="725"/>
      <c r="K900" s="725"/>
      <c r="L900" s="725"/>
      <c r="M900" s="725"/>
      <c r="N900" s="725"/>
      <c r="O900" s="725"/>
      <c r="P900" s="725"/>
      <c r="Q900" s="725"/>
      <c r="R900" s="725"/>
      <c r="S900" s="725"/>
      <c r="T900" s="725"/>
      <c r="U900" s="725"/>
      <c r="V900" s="725"/>
      <c r="W900" s="725"/>
      <c r="X900" s="725"/>
      <c r="Y900" s="726"/>
    </row>
  </sheetData>
  <mergeCells count="624">
    <mergeCell ref="C34:Y34"/>
    <mergeCell ref="C35:Y38"/>
    <mergeCell ref="C655:S655"/>
    <mergeCell ref="C744:Y744"/>
    <mergeCell ref="C198:Y200"/>
    <mergeCell ref="C203:Y204"/>
    <mergeCell ref="C205:Y207"/>
    <mergeCell ref="C210:Y210"/>
    <mergeCell ref="T213:W213"/>
    <mergeCell ref="X213:Y213"/>
    <mergeCell ref="D494:Y494"/>
    <mergeCell ref="D511:Y511"/>
    <mergeCell ref="D517:Y517"/>
    <mergeCell ref="D529:Y529"/>
    <mergeCell ref="D572:Y572"/>
    <mergeCell ref="D615:Y615"/>
    <mergeCell ref="D658:Y658"/>
    <mergeCell ref="D706:Y706"/>
    <mergeCell ref="D742:Y742"/>
    <mergeCell ref="C242:Y287"/>
    <mergeCell ref="C233:Y233"/>
    <mergeCell ref="C355:Y355"/>
    <mergeCell ref="T356:W356"/>
    <mergeCell ref="X356:Y356"/>
    <mergeCell ref="D800:Y800"/>
    <mergeCell ref="D603:Y603"/>
    <mergeCell ref="F30:H30"/>
    <mergeCell ref="I30:K30"/>
    <mergeCell ref="L30:N30"/>
    <mergeCell ref="O30:T30"/>
    <mergeCell ref="X655:Y655"/>
    <mergeCell ref="T655:W655"/>
    <mergeCell ref="C44:Y44"/>
    <mergeCell ref="C47:Y47"/>
    <mergeCell ref="C50:Y50"/>
    <mergeCell ref="C53:Y53"/>
    <mergeCell ref="C54:Y102"/>
    <mergeCell ref="G103:H103"/>
    <mergeCell ref="F32:H32"/>
    <mergeCell ref="I32:K32"/>
    <mergeCell ref="L32:N32"/>
    <mergeCell ref="X652:Y652"/>
    <mergeCell ref="T652:W652"/>
    <mergeCell ref="C638:S638"/>
    <mergeCell ref="G352:H352"/>
    <mergeCell ref="D41:Y41"/>
    <mergeCell ref="T113:W113"/>
    <mergeCell ref="O32:T32"/>
    <mergeCell ref="J197:K197"/>
    <mergeCell ref="C225:Y225"/>
    <mergeCell ref="J226:K226"/>
    <mergeCell ref="T226:W226"/>
    <mergeCell ref="C229:Y229"/>
    <mergeCell ref="T230:W230"/>
    <mergeCell ref="X230:Y230"/>
    <mergeCell ref="C216:Y216"/>
    <mergeCell ref="T217:W217"/>
    <mergeCell ref="C220:Y220"/>
    <mergeCell ref="T221:W221"/>
    <mergeCell ref="X221:Y221"/>
    <mergeCell ref="T222:W222"/>
    <mergeCell ref="X222:Y222"/>
    <mergeCell ref="G197:I197"/>
    <mergeCell ref="B211:Z212"/>
    <mergeCell ref="C143:Y144"/>
    <mergeCell ref="C145:Y190"/>
    <mergeCell ref="C193:Y193"/>
    <mergeCell ref="C194:G196"/>
    <mergeCell ref="J194:K194"/>
    <mergeCell ref="T194:W194"/>
    <mergeCell ref="J195:K195"/>
    <mergeCell ref="T195:W195"/>
    <mergeCell ref="J196:K196"/>
    <mergeCell ref="C407:Y407"/>
    <mergeCell ref="T408:W408"/>
    <mergeCell ref="X408:Y408"/>
    <mergeCell ref="C411:Y412"/>
    <mergeCell ref="J413:K413"/>
    <mergeCell ref="T413:W413"/>
    <mergeCell ref="T398:W398"/>
    <mergeCell ref="X398:Y398"/>
    <mergeCell ref="T399:W399"/>
    <mergeCell ref="X399:Y399"/>
    <mergeCell ref="C402:Y403"/>
    <mergeCell ref="J404:K404"/>
    <mergeCell ref="T404:W404"/>
    <mergeCell ref="T464:W464"/>
    <mergeCell ref="X464:Y464"/>
    <mergeCell ref="C453:Y454"/>
    <mergeCell ref="J456:K456"/>
    <mergeCell ref="T456:W456"/>
    <mergeCell ref="J457:K457"/>
    <mergeCell ref="T457:W457"/>
    <mergeCell ref="C443:Y443"/>
    <mergeCell ref="J444:K444"/>
    <mergeCell ref="T444:W444"/>
    <mergeCell ref="C447:Y448"/>
    <mergeCell ref="J449:K449"/>
    <mergeCell ref="T449:W449"/>
    <mergeCell ref="D452:Y452"/>
    <mergeCell ref="C459:Y460"/>
    <mergeCell ref="C462:E462"/>
    <mergeCell ref="F462:S462"/>
    <mergeCell ref="T462:Y462"/>
    <mergeCell ref="C463:Y463"/>
    <mergeCell ref="C464:E464"/>
    <mergeCell ref="F464:S464"/>
    <mergeCell ref="B455:AA455"/>
    <mergeCell ref="B461:AA461"/>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629:S629"/>
    <mergeCell ref="T629:W629"/>
    <mergeCell ref="X629:Y629"/>
    <mergeCell ref="C630:S630"/>
    <mergeCell ref="T630:W630"/>
    <mergeCell ref="X630:Y630"/>
    <mergeCell ref="C475:E475"/>
    <mergeCell ref="F475:S475"/>
    <mergeCell ref="T475:W475"/>
    <mergeCell ref="X475:Y475"/>
    <mergeCell ref="C476:E476"/>
    <mergeCell ref="F476:S476"/>
    <mergeCell ref="T476:W476"/>
    <mergeCell ref="X476:Y476"/>
    <mergeCell ref="C484:Y485"/>
    <mergeCell ref="C486:Y487"/>
    <mergeCell ref="C490:Y490"/>
    <mergeCell ref="T491:W491"/>
    <mergeCell ref="X491:Y491"/>
    <mergeCell ref="C479:E479"/>
    <mergeCell ref="F479:S479"/>
    <mergeCell ref="T479:W479"/>
    <mergeCell ref="X479:Y479"/>
    <mergeCell ref="C480:S480"/>
    <mergeCell ref="J669:K669"/>
    <mergeCell ref="N669:P669"/>
    <mergeCell ref="Q669:R669"/>
    <mergeCell ref="T669:W669"/>
    <mergeCell ref="X669:Y669"/>
    <mergeCell ref="J670:K670"/>
    <mergeCell ref="N670:P670"/>
    <mergeCell ref="Q670:R670"/>
    <mergeCell ref="T670:W670"/>
    <mergeCell ref="X670:Y670"/>
    <mergeCell ref="D755:AB755"/>
    <mergeCell ref="A756:AB756"/>
    <mergeCell ref="E757:F757"/>
    <mergeCell ref="Z757:AB757"/>
    <mergeCell ref="J747:J754"/>
    <mergeCell ref="K747:K754"/>
    <mergeCell ref="N747:S747"/>
    <mergeCell ref="T747:Y747"/>
    <mergeCell ref="N748:S748"/>
    <mergeCell ref="T748:Y748"/>
    <mergeCell ref="N749:S749"/>
    <mergeCell ref="T749:Y749"/>
    <mergeCell ref="N750:S750"/>
    <mergeCell ref="T750:Y753"/>
    <mergeCell ref="M745:M754"/>
    <mergeCell ref="N745:Y745"/>
    <mergeCell ref="Z745:Z754"/>
    <mergeCell ref="AA745:AA754"/>
    <mergeCell ref="AB745:AB754"/>
    <mergeCell ref="H746:K746"/>
    <mergeCell ref="N746:S746"/>
    <mergeCell ref="T746:Y746"/>
    <mergeCell ref="H747:H754"/>
    <mergeCell ref="I747:I754"/>
    <mergeCell ref="C827:Y828"/>
    <mergeCell ref="C829:Y900"/>
    <mergeCell ref="T812:W812"/>
    <mergeCell ref="X812:Y812"/>
    <mergeCell ref="C815:Y815"/>
    <mergeCell ref="T816:W816"/>
    <mergeCell ref="X816:Y816"/>
    <mergeCell ref="C819:Y820"/>
    <mergeCell ref="E779:F779"/>
    <mergeCell ref="D825:Y825"/>
    <mergeCell ref="D790:Y790"/>
    <mergeCell ref="D803:Y803"/>
    <mergeCell ref="D809:Y809"/>
    <mergeCell ref="C805:Y805"/>
    <mergeCell ref="T806:W806"/>
    <mergeCell ref="X806:Y806"/>
    <mergeCell ref="C811:Y811"/>
    <mergeCell ref="C792:Y793"/>
    <mergeCell ref="C795:Y796"/>
    <mergeCell ref="J797:K797"/>
    <mergeCell ref="T797:W797"/>
    <mergeCell ref="C821:S822"/>
    <mergeCell ref="T822:W822"/>
    <mergeCell ref="X822:Y822"/>
    <mergeCell ref="B4:Z14"/>
    <mergeCell ref="B1:Z3"/>
    <mergeCell ref="C17:Y20"/>
    <mergeCell ref="F31:H31"/>
    <mergeCell ref="I31:K31"/>
    <mergeCell ref="L31:N31"/>
    <mergeCell ref="O31:T31"/>
    <mergeCell ref="K26:L26"/>
    <mergeCell ref="F28:H28"/>
    <mergeCell ref="I28:K28"/>
    <mergeCell ref="L28:N28"/>
    <mergeCell ref="O28:T28"/>
    <mergeCell ref="F29:H29"/>
    <mergeCell ref="D23:Y23"/>
    <mergeCell ref="I29:K29"/>
    <mergeCell ref="L29:N29"/>
    <mergeCell ref="O29:T29"/>
    <mergeCell ref="C116:Y116"/>
    <mergeCell ref="G117:Y117"/>
    <mergeCell ref="C120:Y120"/>
    <mergeCell ref="J121:K121"/>
    <mergeCell ref="T121:W121"/>
    <mergeCell ref="C105:Y105"/>
    <mergeCell ref="T107:W107"/>
    <mergeCell ref="X107:Y107"/>
    <mergeCell ref="C110:Y110"/>
    <mergeCell ref="T111:W111"/>
    <mergeCell ref="T112:W112"/>
    <mergeCell ref="B106:AA106"/>
    <mergeCell ref="T132:W132"/>
    <mergeCell ref="C137:Y138"/>
    <mergeCell ref="T139:W139"/>
    <mergeCell ref="X139:Y139"/>
    <mergeCell ref="C142:Y142"/>
    <mergeCell ref="J122:K122"/>
    <mergeCell ref="T122:W122"/>
    <mergeCell ref="J123:K123"/>
    <mergeCell ref="C126:Y127"/>
    <mergeCell ref="C128:Y128"/>
    <mergeCell ref="C131:Y131"/>
    <mergeCell ref="D135:Y135"/>
    <mergeCell ref="X234:Y234"/>
    <mergeCell ref="C239:Y239"/>
    <mergeCell ref="D237:Y237"/>
    <mergeCell ref="C240:Y241"/>
    <mergeCell ref="T296:W296"/>
    <mergeCell ref="X296:Y296"/>
    <mergeCell ref="C295:Y295"/>
    <mergeCell ref="T234:W234"/>
    <mergeCell ref="G288:H288"/>
    <mergeCell ref="C291:Y291"/>
    <mergeCell ref="C302:Y302"/>
    <mergeCell ref="C303:Y304"/>
    <mergeCell ref="C305:Y351"/>
    <mergeCell ref="D300:Y300"/>
    <mergeCell ref="T292:W292"/>
    <mergeCell ref="X292:Y292"/>
    <mergeCell ref="T364:W364"/>
    <mergeCell ref="X364:Y364"/>
    <mergeCell ref="E365:S365"/>
    <mergeCell ref="T365:W365"/>
    <mergeCell ref="X365:Y365"/>
    <mergeCell ref="E364:S364"/>
    <mergeCell ref="C360:S360"/>
    <mergeCell ref="T360:Y360"/>
    <mergeCell ref="E363:S363"/>
    <mergeCell ref="T363:W363"/>
    <mergeCell ref="X363:Y363"/>
    <mergeCell ref="E361:S361"/>
    <mergeCell ref="T361:W361"/>
    <mergeCell ref="X361:Y361"/>
    <mergeCell ref="E362:S362"/>
    <mergeCell ref="T362:W362"/>
    <mergeCell ref="X362:Y362"/>
    <mergeCell ref="C359:Y359"/>
    <mergeCell ref="E366:S366"/>
    <mergeCell ref="T366:W366"/>
    <mergeCell ref="X366:Y366"/>
    <mergeCell ref="D371:S371"/>
    <mergeCell ref="T371:W371"/>
    <mergeCell ref="X371:Y371"/>
    <mergeCell ref="X369:Y369"/>
    <mergeCell ref="E370:S370"/>
    <mergeCell ref="T370:W370"/>
    <mergeCell ref="X370:Y370"/>
    <mergeCell ref="E367:S367"/>
    <mergeCell ref="T367:W367"/>
    <mergeCell ref="X367:Y367"/>
    <mergeCell ref="E368:S368"/>
    <mergeCell ref="T368:W368"/>
    <mergeCell ref="X368:Y368"/>
    <mergeCell ref="C375:Y375"/>
    <mergeCell ref="C376:G377"/>
    <mergeCell ref="J376:K376"/>
    <mergeCell ref="T376:W376"/>
    <mergeCell ref="J377:K377"/>
    <mergeCell ref="E369:S369"/>
    <mergeCell ref="T369:W369"/>
    <mergeCell ref="C390:Y392"/>
    <mergeCell ref="T393:W393"/>
    <mergeCell ref="X393:Y393"/>
    <mergeCell ref="T394:W394"/>
    <mergeCell ref="X394:Y394"/>
    <mergeCell ref="C397:Y397"/>
    <mergeCell ref="C380:Y381"/>
    <mergeCell ref="T382:W382"/>
    <mergeCell ref="X382:Y382"/>
    <mergeCell ref="C385:Y386"/>
    <mergeCell ref="T387:W387"/>
    <mergeCell ref="X387:Y387"/>
    <mergeCell ref="J429:K429"/>
    <mergeCell ref="T429:W429"/>
    <mergeCell ref="C432:Y434"/>
    <mergeCell ref="C435:Y436"/>
    <mergeCell ref="C439:Y439"/>
    <mergeCell ref="J440:K440"/>
    <mergeCell ref="T440:W440"/>
    <mergeCell ref="C416:Y418"/>
    <mergeCell ref="C419:Y420"/>
    <mergeCell ref="C423:Y423"/>
    <mergeCell ref="T424:W424"/>
    <mergeCell ref="X424:Y424"/>
    <mergeCell ref="C427:Y428"/>
    <mergeCell ref="C469:E469"/>
    <mergeCell ref="F469:S469"/>
    <mergeCell ref="T469:W469"/>
    <mergeCell ref="X469:Y469"/>
    <mergeCell ref="C470:E470"/>
    <mergeCell ref="F470:S470"/>
    <mergeCell ref="T470:W470"/>
    <mergeCell ref="X470:Y470"/>
    <mergeCell ref="C471:E471"/>
    <mergeCell ref="F471:S471"/>
    <mergeCell ref="T471:W471"/>
    <mergeCell ref="X471:Y471"/>
    <mergeCell ref="C472:E472"/>
    <mergeCell ref="F472:S472"/>
    <mergeCell ref="T472:W472"/>
    <mergeCell ref="X472:Y472"/>
    <mergeCell ref="C477:E477"/>
    <mergeCell ref="F477:S477"/>
    <mergeCell ref="T477:W477"/>
    <mergeCell ref="X477:Y477"/>
    <mergeCell ref="C478:E478"/>
    <mergeCell ref="F478:S478"/>
    <mergeCell ref="T478:W478"/>
    <mergeCell ref="X478:Y478"/>
    <mergeCell ref="C473:E473"/>
    <mergeCell ref="F473:S473"/>
    <mergeCell ref="T473:W473"/>
    <mergeCell ref="X473:Y473"/>
    <mergeCell ref="C474:E474"/>
    <mergeCell ref="F474:S474"/>
    <mergeCell ref="T474:W474"/>
    <mergeCell ref="X474:Y474"/>
    <mergeCell ref="T480:W480"/>
    <mergeCell ref="X480:Y480"/>
    <mergeCell ref="T503:W503"/>
    <mergeCell ref="X503:Y503"/>
    <mergeCell ref="T504:W504"/>
    <mergeCell ref="X504:Y504"/>
    <mergeCell ref="C507:Y507"/>
    <mergeCell ref="J508:K508"/>
    <mergeCell ref="T508:W508"/>
    <mergeCell ref="C495:Y495"/>
    <mergeCell ref="C497:Y497"/>
    <mergeCell ref="T498:W498"/>
    <mergeCell ref="X498:Y498"/>
    <mergeCell ref="C501:Y502"/>
    <mergeCell ref="J522:K522"/>
    <mergeCell ref="T522:W522"/>
    <mergeCell ref="C525:Y525"/>
    <mergeCell ref="C526:Y526"/>
    <mergeCell ref="C531:Y532"/>
    <mergeCell ref="C513:Y513"/>
    <mergeCell ref="C514:Y514"/>
    <mergeCell ref="C518:Y519"/>
    <mergeCell ref="C521:Y521"/>
    <mergeCell ref="C542:Y542"/>
    <mergeCell ref="C543:Y544"/>
    <mergeCell ref="C545:Y545"/>
    <mergeCell ref="C546:Y547"/>
    <mergeCell ref="C550:Y551"/>
    <mergeCell ref="C552:Y553"/>
    <mergeCell ref="C533:Y533"/>
    <mergeCell ref="C534:Y535"/>
    <mergeCell ref="C536:Y536"/>
    <mergeCell ref="C537:Y538"/>
    <mergeCell ref="C539:Y539"/>
    <mergeCell ref="C540:Y541"/>
    <mergeCell ref="C565:Y566"/>
    <mergeCell ref="C567:Y567"/>
    <mergeCell ref="C568:Y569"/>
    <mergeCell ref="C574:Y575"/>
    <mergeCell ref="C576:Y577"/>
    <mergeCell ref="C556:Y557"/>
    <mergeCell ref="C558:Y558"/>
    <mergeCell ref="C559:Y560"/>
    <mergeCell ref="C561:Y561"/>
    <mergeCell ref="C562:Y563"/>
    <mergeCell ref="C564:Y564"/>
    <mergeCell ref="C597:Y598"/>
    <mergeCell ref="G599:S600"/>
    <mergeCell ref="T600:W600"/>
    <mergeCell ref="X600:Y600"/>
    <mergeCell ref="J605:K605"/>
    <mergeCell ref="C580:Y581"/>
    <mergeCell ref="C582:Y583"/>
    <mergeCell ref="C586:Y587"/>
    <mergeCell ref="C588:Y589"/>
    <mergeCell ref="C592:Y593"/>
    <mergeCell ref="J594:K594"/>
    <mergeCell ref="T594:W594"/>
    <mergeCell ref="F608:H608"/>
    <mergeCell ref="I608:K608"/>
    <mergeCell ref="L608:N608"/>
    <mergeCell ref="O608:T608"/>
    <mergeCell ref="F609:H609"/>
    <mergeCell ref="I609:K609"/>
    <mergeCell ref="L609:N609"/>
    <mergeCell ref="O609:T609"/>
    <mergeCell ref="F610:H610"/>
    <mergeCell ref="I610:K610"/>
    <mergeCell ref="L610:N610"/>
    <mergeCell ref="O610:T610"/>
    <mergeCell ref="F611:H611"/>
    <mergeCell ref="I611:K611"/>
    <mergeCell ref="L611:N611"/>
    <mergeCell ref="O611:T611"/>
    <mergeCell ref="C617:Y617"/>
    <mergeCell ref="C618:S618"/>
    <mergeCell ref="C619:S620"/>
    <mergeCell ref="T619:W620"/>
    <mergeCell ref="X619:Y620"/>
    <mergeCell ref="F612:H612"/>
    <mergeCell ref="I612:K612"/>
    <mergeCell ref="L612:N612"/>
    <mergeCell ref="O612:T612"/>
    <mergeCell ref="C621:Y621"/>
    <mergeCell ref="D624:S624"/>
    <mergeCell ref="T624:W624"/>
    <mergeCell ref="X624:Y624"/>
    <mergeCell ref="C625:Y625"/>
    <mergeCell ref="D622:S622"/>
    <mergeCell ref="T622:W622"/>
    <mergeCell ref="X622:Y622"/>
    <mergeCell ref="D623:S623"/>
    <mergeCell ref="T623:W623"/>
    <mergeCell ref="X623:Y623"/>
    <mergeCell ref="D626:S626"/>
    <mergeCell ref="T626:W626"/>
    <mergeCell ref="X626:Y626"/>
    <mergeCell ref="D627:S627"/>
    <mergeCell ref="T627:W627"/>
    <mergeCell ref="X627:Y627"/>
    <mergeCell ref="D628:S628"/>
    <mergeCell ref="T628:W628"/>
    <mergeCell ref="X628:Y628"/>
    <mergeCell ref="D639:S639"/>
    <mergeCell ref="T639:W639"/>
    <mergeCell ref="X639:Y639"/>
    <mergeCell ref="D640:S640"/>
    <mergeCell ref="T640:W640"/>
    <mergeCell ref="X640:Y640"/>
    <mergeCell ref="C631:S631"/>
    <mergeCell ref="T631:W631"/>
    <mergeCell ref="X631:Y631"/>
    <mergeCell ref="C634:Y635"/>
    <mergeCell ref="C636:S636"/>
    <mergeCell ref="C637:S637"/>
    <mergeCell ref="T637:W637"/>
    <mergeCell ref="X637:Y637"/>
    <mergeCell ref="C641:S641"/>
    <mergeCell ref="T641:W641"/>
    <mergeCell ref="X641:Y641"/>
    <mergeCell ref="C644:Y645"/>
    <mergeCell ref="C646:S646"/>
    <mergeCell ref="D648:S648"/>
    <mergeCell ref="T648:W648"/>
    <mergeCell ref="C647:Y647"/>
    <mergeCell ref="X648:Y648"/>
    <mergeCell ref="D651:S651"/>
    <mergeCell ref="D649:S649"/>
    <mergeCell ref="T649:W649"/>
    <mergeCell ref="T651:W651"/>
    <mergeCell ref="X651:Y651"/>
    <mergeCell ref="C650:Y650"/>
    <mergeCell ref="X649:Y649"/>
    <mergeCell ref="T654:W654"/>
    <mergeCell ref="X654:Y654"/>
    <mergeCell ref="C653:Y653"/>
    <mergeCell ref="D652:S652"/>
    <mergeCell ref="C654:S654"/>
    <mergeCell ref="J667:L667"/>
    <mergeCell ref="T667:Y667"/>
    <mergeCell ref="J668:L668"/>
    <mergeCell ref="T668:Y668"/>
    <mergeCell ref="C660:Y660"/>
    <mergeCell ref="J661:K661"/>
    <mergeCell ref="T661:W661"/>
    <mergeCell ref="J662:K662"/>
    <mergeCell ref="T662:W662"/>
    <mergeCell ref="C665:Y666"/>
    <mergeCell ref="N667:R668"/>
    <mergeCell ref="C674:Y674"/>
    <mergeCell ref="C676:Y676"/>
    <mergeCell ref="J677:K677"/>
    <mergeCell ref="T677:W677"/>
    <mergeCell ref="C680:Y681"/>
    <mergeCell ref="J682:K682"/>
    <mergeCell ref="T682:W682"/>
    <mergeCell ref="C694:Y694"/>
    <mergeCell ref="J695:K695"/>
    <mergeCell ref="T695:W695"/>
    <mergeCell ref="C698:Y698"/>
    <mergeCell ref="T699:W699"/>
    <mergeCell ref="X699:Y699"/>
    <mergeCell ref="C685:Y685"/>
    <mergeCell ref="J686:K686"/>
    <mergeCell ref="T686:W686"/>
    <mergeCell ref="C689:Y690"/>
    <mergeCell ref="T691:W691"/>
    <mergeCell ref="X691:Y691"/>
    <mergeCell ref="J711:K711"/>
    <mergeCell ref="T711:W711"/>
    <mergeCell ref="C714:Y714"/>
    <mergeCell ref="J715:K715"/>
    <mergeCell ref="T715:W715"/>
    <mergeCell ref="J716:K716"/>
    <mergeCell ref="T716:W716"/>
    <mergeCell ref="C702:Y702"/>
    <mergeCell ref="J703:K703"/>
    <mergeCell ref="T703:W703"/>
    <mergeCell ref="C708:Y708"/>
    <mergeCell ref="C710:Y710"/>
    <mergeCell ref="C725:Y725"/>
    <mergeCell ref="T726:W726"/>
    <mergeCell ref="X726:Y726"/>
    <mergeCell ref="C729:Y730"/>
    <mergeCell ref="C731:S731"/>
    <mergeCell ref="T731:Y731"/>
    <mergeCell ref="J717:K717"/>
    <mergeCell ref="T717:W717"/>
    <mergeCell ref="J718:K718"/>
    <mergeCell ref="C721:Y721"/>
    <mergeCell ref="J722:K722"/>
    <mergeCell ref="T722:W722"/>
    <mergeCell ref="C736:S737"/>
    <mergeCell ref="T736:W737"/>
    <mergeCell ref="X736:Y737"/>
    <mergeCell ref="C738:S739"/>
    <mergeCell ref="T738:W739"/>
    <mergeCell ref="X738:Y739"/>
    <mergeCell ref="C732:S733"/>
    <mergeCell ref="T732:W733"/>
    <mergeCell ref="X732:Y733"/>
    <mergeCell ref="C734:S735"/>
    <mergeCell ref="T734:W735"/>
    <mergeCell ref="X734:Y735"/>
    <mergeCell ref="A745:A754"/>
    <mergeCell ref="B745:B754"/>
    <mergeCell ref="C745:C754"/>
    <mergeCell ref="D745:D754"/>
    <mergeCell ref="E745:F754"/>
    <mergeCell ref="G745:G754"/>
    <mergeCell ref="H745:K745"/>
    <mergeCell ref="L745:L754"/>
    <mergeCell ref="N751:S751"/>
    <mergeCell ref="N752:S752"/>
    <mergeCell ref="N753:S753"/>
    <mergeCell ref="E761:F761"/>
    <mergeCell ref="Z761:AB761"/>
    <mergeCell ref="E762:F762"/>
    <mergeCell ref="Z762:AB762"/>
    <mergeCell ref="E763:F763"/>
    <mergeCell ref="Z763:AB763"/>
    <mergeCell ref="E758:F758"/>
    <mergeCell ref="Z758:AB758"/>
    <mergeCell ref="E759:F759"/>
    <mergeCell ref="Z759:AB759"/>
    <mergeCell ref="E760:F760"/>
    <mergeCell ref="Z760:AB760"/>
    <mergeCell ref="E767:F767"/>
    <mergeCell ref="Z767:AB767"/>
    <mergeCell ref="E768:F768"/>
    <mergeCell ref="Z768:AB768"/>
    <mergeCell ref="E769:F769"/>
    <mergeCell ref="Z769:AB769"/>
    <mergeCell ref="E764:F764"/>
    <mergeCell ref="Z764:AB764"/>
    <mergeCell ref="E765:F765"/>
    <mergeCell ref="Z765:AB765"/>
    <mergeCell ref="E766:F766"/>
    <mergeCell ref="Z766:AB766"/>
    <mergeCell ref="E773:F773"/>
    <mergeCell ref="Z773:AB773"/>
    <mergeCell ref="E774:F774"/>
    <mergeCell ref="Z774:AB774"/>
    <mergeCell ref="E775:F775"/>
    <mergeCell ref="Z775:AB775"/>
    <mergeCell ref="E770:F770"/>
    <mergeCell ref="Z770:AB770"/>
    <mergeCell ref="E771:F771"/>
    <mergeCell ref="Z771:AB771"/>
    <mergeCell ref="E772:F772"/>
    <mergeCell ref="Z772:AB772"/>
    <mergeCell ref="Z779:AB779"/>
    <mergeCell ref="E780:F780"/>
    <mergeCell ref="Z780:AB780"/>
    <mergeCell ref="A782:AB783"/>
    <mergeCell ref="C787:W787"/>
    <mergeCell ref="E776:F776"/>
    <mergeCell ref="Z776:AB776"/>
    <mergeCell ref="E777:F777"/>
    <mergeCell ref="Z777:AB777"/>
    <mergeCell ref="E778:F778"/>
    <mergeCell ref="Z778:AB778"/>
  </mergeCells>
  <conditionalFormatting sqref="B198">
    <cfRule type="expression" dxfId="5"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60" fitToHeight="0" pageOrder="overThenDown" orientation="portrait" r:id="rId1"/>
  <headerFooter>
    <oddHeader>&amp;C&amp;A</oddHeader>
    <oddFooter>&amp;CPage &amp;P</oddFooter>
  </headerFooter>
  <rowBreaks count="18" manualBreakCount="18">
    <brk id="52" max="30" man="1"/>
    <brk id="104" max="27" man="1"/>
    <brk id="141" max="30" man="1"/>
    <brk id="192" max="30" man="1"/>
    <brk id="236" max="30" man="1"/>
    <brk id="299" max="30" man="1"/>
    <brk id="358" max="30" man="1"/>
    <brk id="374" max="30" man="1"/>
    <brk id="431" max="30" man="1"/>
    <brk id="493" max="30" man="1"/>
    <brk id="528" max="30" man="1"/>
    <brk id="602" max="30" man="1"/>
    <brk id="657" max="30" man="1"/>
    <brk id="705" max="30" man="1"/>
    <brk id="741" max="16383" man="1"/>
    <brk id="785" max="30" man="1"/>
    <brk id="799" max="30" man="1"/>
    <brk id="824" max="3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ABO7"/>
  <sheetViews>
    <sheetView view="pageBreakPreview" zoomScale="70" zoomScaleNormal="115" zoomScaleSheetLayoutView="70" workbookViewId="0">
      <selection activeCell="I11" sqref="I11"/>
    </sheetView>
  </sheetViews>
  <sheetFormatPr baseColWidth="10" defaultColWidth="11" defaultRowHeight="14.25" x14ac:dyDescent="0.2"/>
  <cols>
    <col min="1" max="1" width="34.75" style="29" customWidth="1"/>
    <col min="2" max="743" width="11" style="30"/>
    <col min="744" max="16384" width="11" style="29"/>
  </cols>
  <sheetData>
    <row r="1" spans="1:743" s="13" customFormat="1" ht="241.5" customHeight="1" thickBot="1" x14ac:dyDescent="0.25">
      <c r="A1" s="7"/>
      <c r="B1" s="6" t="s">
        <v>1256</v>
      </c>
      <c r="C1" s="6" t="s">
        <v>786</v>
      </c>
      <c r="D1" s="6" t="s">
        <v>787</v>
      </c>
      <c r="E1" s="6" t="s">
        <v>788</v>
      </c>
      <c r="F1" s="6" t="s">
        <v>789</v>
      </c>
      <c r="G1" s="14" t="s">
        <v>790</v>
      </c>
      <c r="H1" s="14" t="s">
        <v>791</v>
      </c>
      <c r="I1" s="14" t="s">
        <v>792</v>
      </c>
      <c r="J1" s="14" t="s">
        <v>793</v>
      </c>
      <c r="K1" s="14" t="s">
        <v>794</v>
      </c>
      <c r="L1" s="14" t="s">
        <v>795</v>
      </c>
      <c r="M1" s="14" t="s">
        <v>796</v>
      </c>
      <c r="N1" s="14" t="s">
        <v>797</v>
      </c>
      <c r="O1" s="14" t="s">
        <v>798</v>
      </c>
      <c r="P1" s="14" t="s">
        <v>799</v>
      </c>
      <c r="Q1" s="14" t="s">
        <v>800</v>
      </c>
      <c r="R1" s="14" t="s">
        <v>801</v>
      </c>
      <c r="S1" s="14" t="s">
        <v>775</v>
      </c>
      <c r="T1" s="14" t="s">
        <v>278</v>
      </c>
      <c r="U1" s="14" t="s">
        <v>279</v>
      </c>
      <c r="V1" s="14" t="s">
        <v>280</v>
      </c>
      <c r="W1" s="14" t="s">
        <v>776</v>
      </c>
      <c r="X1" s="14" t="s">
        <v>1257</v>
      </c>
      <c r="Y1" s="14" t="s">
        <v>1258</v>
      </c>
      <c r="Z1" s="14" t="s">
        <v>1259</v>
      </c>
      <c r="AA1" s="14" t="s">
        <v>1260</v>
      </c>
      <c r="AB1" s="14" t="s">
        <v>1261</v>
      </c>
      <c r="AC1" s="14" t="s">
        <v>1262</v>
      </c>
      <c r="AD1" s="14" t="s">
        <v>1263</v>
      </c>
      <c r="AE1" s="14" t="s">
        <v>1264</v>
      </c>
      <c r="AF1" s="14" t="s">
        <v>1265</v>
      </c>
      <c r="AG1" s="14" t="s">
        <v>1266</v>
      </c>
      <c r="AH1" s="14" t="s">
        <v>1267</v>
      </c>
      <c r="AI1" s="14" t="s">
        <v>1268</v>
      </c>
      <c r="AJ1" s="14" t="s">
        <v>1269</v>
      </c>
      <c r="AK1" s="14" t="s">
        <v>1270</v>
      </c>
      <c r="AL1" s="14" t="s">
        <v>778</v>
      </c>
      <c r="AM1" s="14" t="s">
        <v>779</v>
      </c>
      <c r="AN1" s="14" t="s">
        <v>1271</v>
      </c>
      <c r="AO1" s="14" t="s">
        <v>1272</v>
      </c>
      <c r="AP1" s="14" t="s">
        <v>1273</v>
      </c>
      <c r="AQ1" s="14" t="s">
        <v>1274</v>
      </c>
      <c r="AR1" s="14" t="s">
        <v>1275</v>
      </c>
      <c r="AS1" s="14" t="s">
        <v>1276</v>
      </c>
      <c r="AT1" s="14" t="s">
        <v>1277</v>
      </c>
      <c r="AU1" s="14" t="s">
        <v>1278</v>
      </c>
      <c r="AV1" s="14" t="s">
        <v>1279</v>
      </c>
      <c r="AW1" s="14" t="s">
        <v>1280</v>
      </c>
      <c r="AX1" s="14" t="s">
        <v>1281</v>
      </c>
      <c r="AY1" s="14" t="s">
        <v>1282</v>
      </c>
      <c r="AZ1" s="14" t="s">
        <v>1283</v>
      </c>
      <c r="BA1" s="14" t="s">
        <v>1284</v>
      </c>
      <c r="BB1" s="14" t="s">
        <v>1285</v>
      </c>
      <c r="BC1" s="14" t="s">
        <v>1286</v>
      </c>
      <c r="BD1" s="14" t="s">
        <v>1287</v>
      </c>
      <c r="BE1" s="14" t="s">
        <v>1288</v>
      </c>
      <c r="BF1" s="14" t="s">
        <v>1289</v>
      </c>
      <c r="BG1" s="14" t="s">
        <v>1290</v>
      </c>
      <c r="BH1" s="14" t="s">
        <v>1291</v>
      </c>
      <c r="BI1" s="14" t="s">
        <v>1292</v>
      </c>
      <c r="BJ1" s="14" t="s">
        <v>1293</v>
      </c>
      <c r="BK1" s="14" t="s">
        <v>1294</v>
      </c>
      <c r="BL1" s="14" t="s">
        <v>1295</v>
      </c>
      <c r="BM1" s="14" t="s">
        <v>1296</v>
      </c>
      <c r="BN1" s="14" t="s">
        <v>1297</v>
      </c>
      <c r="BO1" s="14" t="s">
        <v>1298</v>
      </c>
      <c r="BP1" s="14" t="s">
        <v>1299</v>
      </c>
      <c r="BQ1" s="14" t="s">
        <v>1300</v>
      </c>
      <c r="BR1" s="14" t="s">
        <v>1301</v>
      </c>
      <c r="BS1" s="14" t="s">
        <v>1302</v>
      </c>
      <c r="BT1" s="14" t="s">
        <v>1303</v>
      </c>
      <c r="BU1" s="14" t="s">
        <v>1304</v>
      </c>
      <c r="BV1" s="14" t="s">
        <v>1305</v>
      </c>
      <c r="BW1" s="14" t="s">
        <v>1306</v>
      </c>
      <c r="BX1" s="14" t="s">
        <v>1307</v>
      </c>
      <c r="BY1" s="14" t="s">
        <v>1308</v>
      </c>
      <c r="BZ1" s="14" t="s">
        <v>1309</v>
      </c>
      <c r="CA1" s="14" t="s">
        <v>1310</v>
      </c>
      <c r="CB1" s="14" t="s">
        <v>1311</v>
      </c>
      <c r="CC1" s="14" t="s">
        <v>1312</v>
      </c>
      <c r="CD1" s="14" t="s">
        <v>1313</v>
      </c>
      <c r="CE1" s="14" t="s">
        <v>1314</v>
      </c>
      <c r="CF1" s="14" t="s">
        <v>1315</v>
      </c>
      <c r="CG1" s="14" t="s">
        <v>1316</v>
      </c>
      <c r="CH1" s="14" t="s">
        <v>1317</v>
      </c>
      <c r="CI1" s="14" t="s">
        <v>1318</v>
      </c>
      <c r="CJ1" s="14" t="s">
        <v>1319</v>
      </c>
      <c r="CK1" s="14" t="s">
        <v>1320</v>
      </c>
      <c r="CL1" s="14" t="s">
        <v>1321</v>
      </c>
      <c r="CM1" s="14" t="s">
        <v>1322</v>
      </c>
      <c r="CN1" s="14" t="s">
        <v>1323</v>
      </c>
      <c r="CO1" s="14" t="s">
        <v>1324</v>
      </c>
      <c r="CP1" s="14" t="s">
        <v>1325</v>
      </c>
      <c r="CQ1" s="14" t="s">
        <v>1326</v>
      </c>
      <c r="CR1" s="14" t="s">
        <v>1327</v>
      </c>
      <c r="CS1" s="14" t="s">
        <v>1328</v>
      </c>
      <c r="CT1" s="14" t="s">
        <v>1329</v>
      </c>
      <c r="CU1" s="14" t="s">
        <v>1330</v>
      </c>
      <c r="CV1" s="14" t="s">
        <v>1331</v>
      </c>
      <c r="CW1" s="14" t="s">
        <v>1332</v>
      </c>
      <c r="CX1" s="14" t="s">
        <v>1333</v>
      </c>
      <c r="CY1" s="14" t="s">
        <v>1334</v>
      </c>
      <c r="CZ1" s="14" t="s">
        <v>1335</v>
      </c>
      <c r="DA1" s="14" t="s">
        <v>1336</v>
      </c>
      <c r="DB1" s="14" t="s">
        <v>1337</v>
      </c>
      <c r="DC1" s="14" t="s">
        <v>1338</v>
      </c>
      <c r="DD1" s="14" t="s">
        <v>1339</v>
      </c>
      <c r="DE1" s="14" t="s">
        <v>1340</v>
      </c>
      <c r="DF1" s="14" t="s">
        <v>1341</v>
      </c>
      <c r="DG1" s="14" t="s">
        <v>1342</v>
      </c>
      <c r="DH1" s="14" t="s">
        <v>1343</v>
      </c>
      <c r="DI1" s="14" t="s">
        <v>1344</v>
      </c>
      <c r="DJ1" s="14" t="s">
        <v>1345</v>
      </c>
      <c r="DK1" s="14" t="s">
        <v>1346</v>
      </c>
      <c r="DL1" s="14" t="s">
        <v>1347</v>
      </c>
      <c r="DM1" s="14" t="s">
        <v>1348</v>
      </c>
      <c r="DN1" s="14" t="s">
        <v>1515</v>
      </c>
      <c r="DO1" s="14" t="s">
        <v>1349</v>
      </c>
      <c r="DP1" s="14" t="s">
        <v>1350</v>
      </c>
      <c r="DQ1" s="14" t="s">
        <v>1351</v>
      </c>
      <c r="DR1" s="14" t="s">
        <v>1352</v>
      </c>
      <c r="DS1" s="14" t="s">
        <v>1353</v>
      </c>
      <c r="DT1" s="14" t="s">
        <v>1357</v>
      </c>
      <c r="DU1" s="14" t="s">
        <v>1356</v>
      </c>
      <c r="DV1" s="14" t="s">
        <v>1355</v>
      </c>
      <c r="DW1" s="14" t="s">
        <v>1354</v>
      </c>
      <c r="DX1" s="14" t="s">
        <v>802</v>
      </c>
      <c r="DY1" s="14" t="s">
        <v>803</v>
      </c>
      <c r="DZ1" s="14" t="s">
        <v>804</v>
      </c>
      <c r="EA1" s="14" t="s">
        <v>805</v>
      </c>
      <c r="EB1" s="14" t="s">
        <v>806</v>
      </c>
      <c r="EC1" s="14" t="s">
        <v>807</v>
      </c>
      <c r="ED1" s="14" t="s">
        <v>808</v>
      </c>
      <c r="EE1" s="14" t="s">
        <v>809</v>
      </c>
      <c r="EF1" s="14" t="s">
        <v>810</v>
      </c>
      <c r="EG1" s="14" t="s">
        <v>811</v>
      </c>
      <c r="EH1" s="14" t="s">
        <v>812</v>
      </c>
      <c r="EI1" s="14" t="s">
        <v>813</v>
      </c>
      <c r="EJ1" s="14" t="s">
        <v>814</v>
      </c>
      <c r="EK1" s="14" t="s">
        <v>815</v>
      </c>
      <c r="EL1" s="14" t="s">
        <v>816</v>
      </c>
      <c r="EM1" s="14" t="s">
        <v>817</v>
      </c>
      <c r="EN1" s="14" t="s">
        <v>818</v>
      </c>
      <c r="EO1" s="14" t="s">
        <v>1358</v>
      </c>
      <c r="EP1" s="14" t="s">
        <v>1361</v>
      </c>
      <c r="EQ1" s="14" t="s">
        <v>1362</v>
      </c>
      <c r="ER1" s="14" t="s">
        <v>1363</v>
      </c>
      <c r="ES1" s="14" t="s">
        <v>1364</v>
      </c>
      <c r="ET1" s="14" t="s">
        <v>1365</v>
      </c>
      <c r="EU1" s="14" t="s">
        <v>1366</v>
      </c>
      <c r="EV1" s="14" t="s">
        <v>1359</v>
      </c>
      <c r="EW1" s="14" t="s">
        <v>1360</v>
      </c>
      <c r="EX1" s="14" t="s">
        <v>1367</v>
      </c>
      <c r="EY1" s="14" t="s">
        <v>1372</v>
      </c>
      <c r="EZ1" s="14" t="s">
        <v>1371</v>
      </c>
      <c r="FA1" s="14" t="s">
        <v>1368</v>
      </c>
      <c r="FB1" s="14" t="s">
        <v>1369</v>
      </c>
      <c r="FC1" s="14" t="s">
        <v>1370</v>
      </c>
      <c r="FD1" s="14" t="s">
        <v>1489</v>
      </c>
      <c r="FE1" s="14" t="s">
        <v>1373</v>
      </c>
      <c r="FF1" s="14" t="s">
        <v>780</v>
      </c>
      <c r="FG1" s="14" t="s">
        <v>781</v>
      </c>
      <c r="FH1" s="14" t="s">
        <v>1374</v>
      </c>
      <c r="FI1" s="14" t="s">
        <v>1375</v>
      </c>
      <c r="FJ1" s="14" t="s">
        <v>1376</v>
      </c>
      <c r="FK1" s="14" t="s">
        <v>1377</v>
      </c>
      <c r="FL1" s="14" t="s">
        <v>1378</v>
      </c>
      <c r="FM1" s="14" t="s">
        <v>1379</v>
      </c>
      <c r="FN1" s="14" t="s">
        <v>782</v>
      </c>
      <c r="FO1" s="14" t="s">
        <v>783</v>
      </c>
      <c r="FP1" s="14" t="s">
        <v>784</v>
      </c>
      <c r="FQ1" s="14" t="s">
        <v>1380</v>
      </c>
      <c r="FR1" s="14" t="s">
        <v>1381</v>
      </c>
      <c r="FS1" s="14" t="s">
        <v>1382</v>
      </c>
      <c r="FT1" s="14" t="s">
        <v>1383</v>
      </c>
      <c r="FU1" s="14" t="s">
        <v>1384</v>
      </c>
      <c r="FV1" s="14" t="s">
        <v>1385</v>
      </c>
      <c r="FW1" s="14" t="s">
        <v>1386</v>
      </c>
      <c r="FX1" s="14" t="s">
        <v>1387</v>
      </c>
      <c r="FY1" s="14" t="s">
        <v>1388</v>
      </c>
      <c r="FZ1" s="14" t="s">
        <v>1389</v>
      </c>
      <c r="GA1" s="14" t="s">
        <v>1390</v>
      </c>
      <c r="GB1" s="14" t="s">
        <v>1391</v>
      </c>
      <c r="GC1" s="14" t="s">
        <v>1490</v>
      </c>
      <c r="GD1" s="14" t="s">
        <v>1491</v>
      </c>
      <c r="GE1" s="14" t="s">
        <v>1492</v>
      </c>
      <c r="GF1" s="14" t="s">
        <v>1493</v>
      </c>
      <c r="GG1" s="14" t="s">
        <v>1494</v>
      </c>
      <c r="GH1" s="14" t="s">
        <v>1495</v>
      </c>
      <c r="GI1" s="14" t="s">
        <v>1496</v>
      </c>
      <c r="GJ1" s="14" t="s">
        <v>1497</v>
      </c>
      <c r="GK1" s="14" t="s">
        <v>1498</v>
      </c>
      <c r="GL1" s="14" t="s">
        <v>1499</v>
      </c>
      <c r="GM1" s="14" t="s">
        <v>1500</v>
      </c>
      <c r="GN1" s="14" t="s">
        <v>1501</v>
      </c>
      <c r="GO1" s="14" t="s">
        <v>1502</v>
      </c>
      <c r="GP1" s="14" t="s">
        <v>1503</v>
      </c>
      <c r="GQ1" s="14" t="s">
        <v>1504</v>
      </c>
      <c r="GR1" s="14" t="s">
        <v>1505</v>
      </c>
      <c r="GS1" s="14" t="s">
        <v>1506</v>
      </c>
      <c r="GT1" s="14" t="s">
        <v>1507</v>
      </c>
      <c r="GU1" s="14" t="s">
        <v>1508</v>
      </c>
      <c r="GV1" s="14" t="s">
        <v>1509</v>
      </c>
      <c r="GW1" s="14" t="s">
        <v>1510</v>
      </c>
      <c r="GX1" s="14" t="s">
        <v>1511</v>
      </c>
      <c r="GY1" s="14" t="s">
        <v>1512</v>
      </c>
      <c r="GZ1" s="14" t="s">
        <v>1513</v>
      </c>
      <c r="HA1" s="14" t="s">
        <v>1514</v>
      </c>
      <c r="HB1" s="14" t="s">
        <v>819</v>
      </c>
      <c r="HC1" s="14" t="s">
        <v>820</v>
      </c>
      <c r="HD1" s="14" t="s">
        <v>821</v>
      </c>
      <c r="HE1" s="14" t="s">
        <v>822</v>
      </c>
      <c r="HF1" s="14" t="s">
        <v>823</v>
      </c>
      <c r="HG1" s="14" t="s">
        <v>824</v>
      </c>
      <c r="HH1" s="14" t="s">
        <v>825</v>
      </c>
      <c r="HI1" s="14" t="s">
        <v>826</v>
      </c>
      <c r="HJ1" s="14" t="s">
        <v>827</v>
      </c>
      <c r="HK1" s="14" t="s">
        <v>828</v>
      </c>
      <c r="HL1" s="14" t="s">
        <v>829</v>
      </c>
      <c r="HM1" s="14" t="s">
        <v>830</v>
      </c>
      <c r="HN1" s="14" t="s">
        <v>831</v>
      </c>
      <c r="HO1" s="14" t="s">
        <v>832</v>
      </c>
      <c r="HP1" s="14" t="s">
        <v>833</v>
      </c>
      <c r="HQ1" s="14" t="s">
        <v>834</v>
      </c>
      <c r="HR1" s="14" t="s">
        <v>835</v>
      </c>
      <c r="HS1" s="14" t="s">
        <v>836</v>
      </c>
      <c r="HT1" s="14" t="s">
        <v>837</v>
      </c>
      <c r="HU1" s="14" t="s">
        <v>838</v>
      </c>
      <c r="HV1" s="14" t="s">
        <v>839</v>
      </c>
      <c r="HW1" s="14" t="s">
        <v>840</v>
      </c>
      <c r="HX1" s="14" t="s">
        <v>841</v>
      </c>
      <c r="HY1" s="14" t="s">
        <v>842</v>
      </c>
      <c r="HZ1" s="14" t="s">
        <v>843</v>
      </c>
      <c r="IA1" s="14" t="s">
        <v>844</v>
      </c>
      <c r="IB1" s="14" t="s">
        <v>845</v>
      </c>
      <c r="IC1" s="14" t="s">
        <v>846</v>
      </c>
      <c r="ID1" s="14" t="s">
        <v>847</v>
      </c>
      <c r="IE1" s="14" t="s">
        <v>848</v>
      </c>
      <c r="IF1" s="14" t="s">
        <v>849</v>
      </c>
      <c r="IG1" s="14" t="s">
        <v>850</v>
      </c>
      <c r="IH1" s="14" t="s">
        <v>851</v>
      </c>
      <c r="II1" s="14" t="s">
        <v>852</v>
      </c>
      <c r="IJ1" s="14" t="s">
        <v>853</v>
      </c>
      <c r="IK1" s="14" t="s">
        <v>854</v>
      </c>
      <c r="IL1" s="14" t="s">
        <v>855</v>
      </c>
      <c r="IM1" s="14" t="s">
        <v>856</v>
      </c>
      <c r="IN1" s="14" t="s">
        <v>857</v>
      </c>
      <c r="IO1" s="14" t="s">
        <v>858</v>
      </c>
      <c r="IP1" s="14" t="s">
        <v>859</v>
      </c>
      <c r="IQ1" s="14" t="s">
        <v>860</v>
      </c>
      <c r="IR1" s="14" t="s">
        <v>861</v>
      </c>
      <c r="IS1" s="14" t="s">
        <v>862</v>
      </c>
      <c r="IT1" s="14" t="s">
        <v>863</v>
      </c>
      <c r="IU1" s="14" t="s">
        <v>864</v>
      </c>
      <c r="IV1" s="14" t="s">
        <v>865</v>
      </c>
      <c r="IW1" s="14" t="s">
        <v>866</v>
      </c>
      <c r="IX1" s="14" t="s">
        <v>867</v>
      </c>
      <c r="IY1" s="14" t="s">
        <v>868</v>
      </c>
      <c r="IZ1" s="14" t="s">
        <v>869</v>
      </c>
      <c r="JA1" s="14" t="s">
        <v>870</v>
      </c>
      <c r="JB1" s="14" t="s">
        <v>871</v>
      </c>
      <c r="JC1" s="14" t="s">
        <v>872</v>
      </c>
      <c r="JD1" s="14" t="s">
        <v>873</v>
      </c>
      <c r="JE1" s="14" t="s">
        <v>874</v>
      </c>
      <c r="JF1" s="14" t="s">
        <v>875</v>
      </c>
      <c r="JG1" s="14" t="s">
        <v>876</v>
      </c>
      <c r="JH1" s="14" t="s">
        <v>877</v>
      </c>
      <c r="JI1" s="14" t="s">
        <v>878</v>
      </c>
      <c r="JJ1" s="14" t="s">
        <v>879</v>
      </c>
      <c r="JK1" s="14" t="s">
        <v>880</v>
      </c>
      <c r="JL1" s="14" t="s">
        <v>881</v>
      </c>
      <c r="JM1" s="14" t="s">
        <v>882</v>
      </c>
      <c r="JN1" s="14" t="s">
        <v>883</v>
      </c>
      <c r="JO1" s="14" t="s">
        <v>884</v>
      </c>
      <c r="JP1" s="14" t="s">
        <v>885</v>
      </c>
      <c r="JQ1" s="14" t="s">
        <v>886</v>
      </c>
      <c r="JR1" s="14" t="s">
        <v>887</v>
      </c>
      <c r="JS1" s="14" t="s">
        <v>888</v>
      </c>
      <c r="JT1" s="14" t="s">
        <v>889</v>
      </c>
      <c r="JU1" s="14" t="s">
        <v>890</v>
      </c>
      <c r="JV1" s="14" t="s">
        <v>891</v>
      </c>
      <c r="JW1" s="14" t="s">
        <v>892</v>
      </c>
      <c r="JX1" s="14" t="s">
        <v>893</v>
      </c>
      <c r="JY1" s="14" t="s">
        <v>894</v>
      </c>
      <c r="JZ1" s="14" t="s">
        <v>895</v>
      </c>
      <c r="KA1" s="14" t="s">
        <v>896</v>
      </c>
      <c r="KB1" s="14" t="s">
        <v>897</v>
      </c>
      <c r="KC1" s="14" t="s">
        <v>898</v>
      </c>
      <c r="KD1" s="14" t="s">
        <v>899</v>
      </c>
      <c r="KE1" s="14" t="s">
        <v>900</v>
      </c>
      <c r="KF1" s="14" t="s">
        <v>901</v>
      </c>
      <c r="KG1" s="14" t="s">
        <v>902</v>
      </c>
      <c r="KH1" s="14" t="s">
        <v>903</v>
      </c>
      <c r="KI1" s="14" t="s">
        <v>904</v>
      </c>
      <c r="KJ1" s="14" t="s">
        <v>905</v>
      </c>
      <c r="KK1" s="14" t="s">
        <v>906</v>
      </c>
      <c r="KL1" s="14" t="s">
        <v>907</v>
      </c>
      <c r="KM1" s="14" t="s">
        <v>908</v>
      </c>
      <c r="KN1" s="14" t="s">
        <v>909</v>
      </c>
      <c r="KO1" s="14" t="s">
        <v>910</v>
      </c>
      <c r="KP1" s="14" t="s">
        <v>911</v>
      </c>
      <c r="KQ1" s="14" t="s">
        <v>912</v>
      </c>
      <c r="KR1" s="14" t="s">
        <v>913</v>
      </c>
      <c r="KS1" s="14" t="s">
        <v>914</v>
      </c>
      <c r="KT1" s="14" t="s">
        <v>915</v>
      </c>
      <c r="KU1" s="14" t="s">
        <v>916</v>
      </c>
      <c r="KV1" s="14" t="s">
        <v>917</v>
      </c>
      <c r="KW1" s="14" t="s">
        <v>918</v>
      </c>
      <c r="KX1" s="14" t="s">
        <v>919</v>
      </c>
      <c r="KY1" s="14" t="s">
        <v>920</v>
      </c>
      <c r="KZ1" s="14" t="s">
        <v>921</v>
      </c>
      <c r="LA1" s="14" t="s">
        <v>922</v>
      </c>
      <c r="LB1" s="14" t="s">
        <v>923</v>
      </c>
      <c r="LC1" s="14" t="s">
        <v>924</v>
      </c>
      <c r="LD1" s="14" t="s">
        <v>925</v>
      </c>
      <c r="LE1" s="14" t="s">
        <v>926</v>
      </c>
      <c r="LF1" s="14" t="s">
        <v>927</v>
      </c>
      <c r="LG1" s="14" t="s">
        <v>928</v>
      </c>
      <c r="LH1" s="14" t="s">
        <v>929</v>
      </c>
      <c r="LI1" s="14" t="s">
        <v>930</v>
      </c>
      <c r="LJ1" s="14" t="s">
        <v>931</v>
      </c>
      <c r="LK1" s="14" t="s">
        <v>932</v>
      </c>
      <c r="LL1" s="14" t="s">
        <v>933</v>
      </c>
      <c r="LM1" s="14" t="s">
        <v>934</v>
      </c>
      <c r="LN1" s="14" t="s">
        <v>935</v>
      </c>
      <c r="LO1" s="14" t="s">
        <v>936</v>
      </c>
      <c r="LP1" s="14" t="s">
        <v>937</v>
      </c>
      <c r="LQ1" s="14" t="s">
        <v>938</v>
      </c>
      <c r="LR1" s="14" t="s">
        <v>939</v>
      </c>
      <c r="LS1" s="14" t="s">
        <v>940</v>
      </c>
      <c r="LT1" s="14" t="s">
        <v>941</v>
      </c>
      <c r="LU1" s="14" t="s">
        <v>942</v>
      </c>
      <c r="LV1" s="14" t="s">
        <v>943</v>
      </c>
      <c r="LW1" s="14" t="s">
        <v>944</v>
      </c>
      <c r="LX1" s="14" t="s">
        <v>945</v>
      </c>
      <c r="LY1" s="14" t="s">
        <v>946</v>
      </c>
      <c r="LZ1" s="14" t="s">
        <v>947</v>
      </c>
      <c r="MA1" s="14" t="s">
        <v>948</v>
      </c>
      <c r="MB1" s="14" t="s">
        <v>949</v>
      </c>
      <c r="MC1" s="14" t="s">
        <v>950</v>
      </c>
      <c r="MD1" s="14" t="s">
        <v>951</v>
      </c>
      <c r="ME1" s="14" t="s">
        <v>952</v>
      </c>
      <c r="MF1" s="14" t="s">
        <v>953</v>
      </c>
      <c r="MG1" s="14" t="s">
        <v>954</v>
      </c>
      <c r="MH1" s="14" t="s">
        <v>955</v>
      </c>
      <c r="MI1" s="14" t="s">
        <v>956</v>
      </c>
      <c r="MJ1" s="14" t="s">
        <v>957</v>
      </c>
      <c r="MK1" s="14" t="s">
        <v>958</v>
      </c>
      <c r="ML1" s="14" t="s">
        <v>959</v>
      </c>
      <c r="MM1" s="14" t="s">
        <v>960</v>
      </c>
      <c r="MN1" s="14" t="s">
        <v>961</v>
      </c>
      <c r="MO1" s="14" t="s">
        <v>962</v>
      </c>
      <c r="MP1" s="14" t="s">
        <v>963</v>
      </c>
      <c r="MQ1" s="14" t="s">
        <v>964</v>
      </c>
      <c r="MR1" s="14" t="s">
        <v>965</v>
      </c>
      <c r="MS1" s="14" t="s">
        <v>966</v>
      </c>
      <c r="MT1" s="14" t="s">
        <v>967</v>
      </c>
      <c r="MU1" s="14" t="s">
        <v>968</v>
      </c>
      <c r="MV1" s="14" t="s">
        <v>969</v>
      </c>
      <c r="MW1" s="14" t="s">
        <v>970</v>
      </c>
      <c r="MX1" s="14" t="s">
        <v>971</v>
      </c>
      <c r="MY1" s="14" t="s">
        <v>972</v>
      </c>
      <c r="MZ1" s="14" t="s">
        <v>973</v>
      </c>
      <c r="NA1" s="14" t="s">
        <v>974</v>
      </c>
      <c r="NB1" s="14" t="s">
        <v>975</v>
      </c>
      <c r="NC1" s="14" t="s">
        <v>976</v>
      </c>
      <c r="ND1" s="14" t="s">
        <v>977</v>
      </c>
      <c r="NE1" s="14" t="s">
        <v>978</v>
      </c>
      <c r="NF1" s="14" t="s">
        <v>979</v>
      </c>
      <c r="NG1" s="14" t="s">
        <v>980</v>
      </c>
      <c r="NH1" s="14" t="s">
        <v>981</v>
      </c>
      <c r="NI1" s="14" t="s">
        <v>982</v>
      </c>
      <c r="NJ1" s="14" t="s">
        <v>983</v>
      </c>
      <c r="NK1" s="14" t="s">
        <v>984</v>
      </c>
      <c r="NL1" s="14" t="s">
        <v>985</v>
      </c>
      <c r="NM1" s="14" t="s">
        <v>986</v>
      </c>
      <c r="NN1" s="14" t="s">
        <v>987</v>
      </c>
      <c r="NO1" s="14" t="s">
        <v>988</v>
      </c>
      <c r="NP1" s="14" t="s">
        <v>989</v>
      </c>
      <c r="NQ1" s="14" t="s">
        <v>990</v>
      </c>
      <c r="NR1" s="14" t="s">
        <v>991</v>
      </c>
      <c r="NS1" s="14" t="s">
        <v>992</v>
      </c>
      <c r="NT1" s="14" t="s">
        <v>993</v>
      </c>
      <c r="NU1" s="14" t="s">
        <v>994</v>
      </c>
      <c r="NV1" s="14" t="s">
        <v>995</v>
      </c>
      <c r="NW1" s="14" t="s">
        <v>996</v>
      </c>
      <c r="NX1" s="14" t="s">
        <v>997</v>
      </c>
      <c r="NY1" s="14" t="s">
        <v>998</v>
      </c>
      <c r="NZ1" s="14" t="s">
        <v>999</v>
      </c>
      <c r="OA1" s="14" t="s">
        <v>1000</v>
      </c>
      <c r="OB1" s="14" t="s">
        <v>1001</v>
      </c>
      <c r="OC1" s="14" t="s">
        <v>1002</v>
      </c>
      <c r="OD1" s="14" t="s">
        <v>1003</v>
      </c>
      <c r="OE1" s="14" t="s">
        <v>1004</v>
      </c>
      <c r="OF1" s="14" t="s">
        <v>1005</v>
      </c>
      <c r="OG1" s="14" t="s">
        <v>1006</v>
      </c>
      <c r="OH1" s="14" t="s">
        <v>1007</v>
      </c>
      <c r="OI1" s="14" t="s">
        <v>1008</v>
      </c>
      <c r="OJ1" s="14" t="s">
        <v>1009</v>
      </c>
      <c r="OK1" s="14" t="s">
        <v>1010</v>
      </c>
      <c r="OL1" s="14" t="s">
        <v>1011</v>
      </c>
      <c r="OM1" s="14" t="s">
        <v>1012</v>
      </c>
      <c r="ON1" s="14" t="s">
        <v>1013</v>
      </c>
      <c r="OO1" s="14" t="s">
        <v>1014</v>
      </c>
      <c r="OP1" s="14" t="s">
        <v>1015</v>
      </c>
      <c r="OQ1" s="14" t="s">
        <v>1016</v>
      </c>
      <c r="OR1" s="14" t="s">
        <v>1017</v>
      </c>
      <c r="OS1" s="14" t="s">
        <v>1018</v>
      </c>
      <c r="OT1" s="14" t="s">
        <v>1019</v>
      </c>
      <c r="OU1" s="14" t="s">
        <v>1020</v>
      </c>
      <c r="OV1" s="14" t="s">
        <v>1021</v>
      </c>
      <c r="OW1" s="14" t="s">
        <v>1022</v>
      </c>
      <c r="OX1" s="14" t="s">
        <v>1023</v>
      </c>
      <c r="OY1" s="14" t="s">
        <v>1024</v>
      </c>
      <c r="OZ1" s="14" t="s">
        <v>1025</v>
      </c>
      <c r="PA1" s="14" t="s">
        <v>1026</v>
      </c>
      <c r="PB1" s="14" t="s">
        <v>1027</v>
      </c>
      <c r="PC1" s="14" t="s">
        <v>1028</v>
      </c>
      <c r="PD1" s="14" t="s">
        <v>1029</v>
      </c>
      <c r="PE1" s="14" t="s">
        <v>1030</v>
      </c>
      <c r="PF1" s="14" t="s">
        <v>1031</v>
      </c>
      <c r="PG1" s="14" t="s">
        <v>1032</v>
      </c>
      <c r="PH1" s="14" t="s">
        <v>1033</v>
      </c>
      <c r="PI1" s="14" t="s">
        <v>1034</v>
      </c>
      <c r="PJ1" s="14" t="s">
        <v>1035</v>
      </c>
      <c r="PK1" s="14" t="s">
        <v>1036</v>
      </c>
      <c r="PL1" s="14" t="s">
        <v>1037</v>
      </c>
      <c r="PM1" s="14" t="s">
        <v>1038</v>
      </c>
      <c r="PN1" s="14" t="s">
        <v>1039</v>
      </c>
      <c r="PO1" s="14" t="s">
        <v>1040</v>
      </c>
      <c r="PP1" s="14" t="s">
        <v>1041</v>
      </c>
      <c r="PQ1" s="14" t="s">
        <v>1042</v>
      </c>
      <c r="PR1" s="14" t="s">
        <v>1043</v>
      </c>
      <c r="PS1" s="14" t="s">
        <v>1044</v>
      </c>
      <c r="PT1" s="14" t="s">
        <v>1045</v>
      </c>
      <c r="PU1" s="14" t="s">
        <v>1046</v>
      </c>
      <c r="PV1" s="14" t="s">
        <v>1047</v>
      </c>
      <c r="PW1" s="14" t="s">
        <v>1048</v>
      </c>
      <c r="PX1" s="14" t="s">
        <v>1049</v>
      </c>
      <c r="PY1" s="14" t="s">
        <v>1050</v>
      </c>
      <c r="PZ1" s="14" t="s">
        <v>1051</v>
      </c>
      <c r="QA1" s="14" t="s">
        <v>1052</v>
      </c>
      <c r="QB1" s="14" t="s">
        <v>1053</v>
      </c>
      <c r="QC1" s="14" t="s">
        <v>1054</v>
      </c>
      <c r="QD1" s="14" t="s">
        <v>1055</v>
      </c>
      <c r="QE1" s="14" t="s">
        <v>1056</v>
      </c>
      <c r="QF1" s="14" t="s">
        <v>1057</v>
      </c>
      <c r="QG1" s="14" t="s">
        <v>1058</v>
      </c>
      <c r="QH1" s="14" t="s">
        <v>1059</v>
      </c>
      <c r="QI1" s="14" t="s">
        <v>1060</v>
      </c>
      <c r="QJ1" s="14" t="s">
        <v>1061</v>
      </c>
      <c r="QK1" s="14" t="s">
        <v>1062</v>
      </c>
      <c r="QL1" s="14" t="s">
        <v>1063</v>
      </c>
      <c r="QM1" s="14" t="s">
        <v>1064</v>
      </c>
      <c r="QN1" s="14" t="s">
        <v>1065</v>
      </c>
      <c r="QO1" s="14" t="s">
        <v>1066</v>
      </c>
      <c r="QP1" s="14" t="s">
        <v>1067</v>
      </c>
      <c r="QQ1" s="14" t="s">
        <v>1068</v>
      </c>
      <c r="QR1" s="14" t="s">
        <v>1069</v>
      </c>
      <c r="QS1" s="14" t="s">
        <v>1070</v>
      </c>
      <c r="QT1" s="14" t="s">
        <v>1071</v>
      </c>
      <c r="QU1" s="14" t="s">
        <v>1072</v>
      </c>
      <c r="QV1" s="14" t="s">
        <v>1073</v>
      </c>
      <c r="QW1" s="14" t="s">
        <v>1074</v>
      </c>
      <c r="QX1" s="14" t="s">
        <v>1075</v>
      </c>
      <c r="QY1" s="14" t="s">
        <v>1076</v>
      </c>
      <c r="QZ1" s="14" t="s">
        <v>1077</v>
      </c>
      <c r="RA1" s="14" t="s">
        <v>1078</v>
      </c>
      <c r="RB1" s="14" t="s">
        <v>1079</v>
      </c>
      <c r="RC1" s="14" t="s">
        <v>1080</v>
      </c>
      <c r="RD1" s="14" t="s">
        <v>1081</v>
      </c>
      <c r="RE1" s="14" t="s">
        <v>1082</v>
      </c>
      <c r="RF1" s="14" t="s">
        <v>1083</v>
      </c>
      <c r="RG1" s="14" t="s">
        <v>1084</v>
      </c>
      <c r="RH1" s="14" t="s">
        <v>1085</v>
      </c>
      <c r="RI1" s="14" t="s">
        <v>1086</v>
      </c>
      <c r="RJ1" s="14" t="s">
        <v>1087</v>
      </c>
      <c r="RK1" s="14" t="s">
        <v>1088</v>
      </c>
      <c r="RL1" s="14" t="s">
        <v>1089</v>
      </c>
      <c r="RM1" s="14" t="s">
        <v>1090</v>
      </c>
      <c r="RN1" s="14" t="s">
        <v>1091</v>
      </c>
      <c r="RO1" s="14" t="s">
        <v>1092</v>
      </c>
      <c r="RP1" s="14" t="s">
        <v>1093</v>
      </c>
      <c r="RQ1" s="14" t="s">
        <v>1094</v>
      </c>
      <c r="RR1" s="14" t="s">
        <v>1095</v>
      </c>
      <c r="RS1" s="14" t="s">
        <v>1096</v>
      </c>
      <c r="RT1" s="14" t="s">
        <v>1097</v>
      </c>
      <c r="RU1" s="14" t="s">
        <v>1098</v>
      </c>
      <c r="RV1" s="14" t="s">
        <v>1099</v>
      </c>
      <c r="RW1" s="14" t="s">
        <v>1100</v>
      </c>
      <c r="RX1" s="14" t="s">
        <v>1101</v>
      </c>
      <c r="RY1" s="14" t="s">
        <v>1102</v>
      </c>
      <c r="RZ1" s="14" t="s">
        <v>1103</v>
      </c>
      <c r="SA1" s="14" t="s">
        <v>1104</v>
      </c>
      <c r="SB1" s="14" t="s">
        <v>1105</v>
      </c>
      <c r="SC1" s="14" t="s">
        <v>1106</v>
      </c>
      <c r="SD1" s="14" t="s">
        <v>1107</v>
      </c>
      <c r="SE1" s="14" t="s">
        <v>1108</v>
      </c>
      <c r="SF1" s="14" t="s">
        <v>1109</v>
      </c>
      <c r="SG1" s="14" t="s">
        <v>1110</v>
      </c>
      <c r="SH1" s="14" t="s">
        <v>1111</v>
      </c>
      <c r="SI1" s="14" t="s">
        <v>1112</v>
      </c>
      <c r="SJ1" s="14" t="s">
        <v>1113</v>
      </c>
      <c r="SK1" s="14" t="s">
        <v>1114</v>
      </c>
      <c r="SL1" s="14" t="s">
        <v>1115</v>
      </c>
      <c r="SM1" s="14" t="s">
        <v>1116</v>
      </c>
      <c r="SN1" s="14" t="s">
        <v>1117</v>
      </c>
      <c r="SO1" s="14" t="s">
        <v>1118</v>
      </c>
      <c r="SP1" s="14" t="s">
        <v>1119</v>
      </c>
      <c r="SQ1" s="14" t="s">
        <v>1120</v>
      </c>
      <c r="SR1" s="14" t="s">
        <v>1121</v>
      </c>
      <c r="SS1" s="14" t="s">
        <v>1122</v>
      </c>
      <c r="ST1" s="14" t="s">
        <v>1123</v>
      </c>
      <c r="SU1" s="14" t="s">
        <v>1124</v>
      </c>
      <c r="SV1" s="14" t="s">
        <v>1125</v>
      </c>
      <c r="SW1" s="14" t="s">
        <v>1126</v>
      </c>
      <c r="SX1" s="14" t="s">
        <v>1127</v>
      </c>
      <c r="SY1" s="14" t="s">
        <v>1128</v>
      </c>
      <c r="SZ1" s="14" t="s">
        <v>1129</v>
      </c>
      <c r="TA1" s="14" t="s">
        <v>1130</v>
      </c>
      <c r="TB1" s="14" t="s">
        <v>1131</v>
      </c>
      <c r="TC1" s="14" t="s">
        <v>1132</v>
      </c>
      <c r="TD1" s="14" t="s">
        <v>1133</v>
      </c>
      <c r="TE1" s="14" t="s">
        <v>1134</v>
      </c>
      <c r="TF1" s="14" t="s">
        <v>1135</v>
      </c>
      <c r="TG1" s="14" t="s">
        <v>1136</v>
      </c>
      <c r="TH1" s="14" t="s">
        <v>1137</v>
      </c>
      <c r="TI1" s="14" t="s">
        <v>1138</v>
      </c>
      <c r="TJ1" s="14" t="s">
        <v>1139</v>
      </c>
      <c r="TK1" s="14" t="s">
        <v>1140</v>
      </c>
      <c r="TL1" s="14" t="s">
        <v>1141</v>
      </c>
      <c r="TM1" s="14" t="s">
        <v>1142</v>
      </c>
      <c r="TN1" s="14" t="s">
        <v>1143</v>
      </c>
      <c r="TO1" s="14" t="s">
        <v>1144</v>
      </c>
      <c r="TP1" s="14" t="s">
        <v>1145</v>
      </c>
      <c r="TQ1" s="14" t="s">
        <v>1146</v>
      </c>
      <c r="TR1" s="14" t="s">
        <v>1147</v>
      </c>
      <c r="TS1" s="14" t="s">
        <v>1148</v>
      </c>
      <c r="TT1" s="14" t="s">
        <v>1149</v>
      </c>
      <c r="TU1" s="14" t="s">
        <v>1150</v>
      </c>
      <c r="TV1" s="14" t="s">
        <v>1151</v>
      </c>
      <c r="TW1" s="14" t="s">
        <v>1152</v>
      </c>
      <c r="TX1" s="14" t="s">
        <v>1153</v>
      </c>
      <c r="TY1" s="14" t="s">
        <v>1154</v>
      </c>
      <c r="TZ1" s="14" t="s">
        <v>1155</v>
      </c>
      <c r="UA1" s="14" t="s">
        <v>1156</v>
      </c>
      <c r="UB1" s="14" t="s">
        <v>1157</v>
      </c>
      <c r="UC1" s="14" t="s">
        <v>1158</v>
      </c>
      <c r="UD1" s="14" t="s">
        <v>1159</v>
      </c>
      <c r="UE1" s="14" t="s">
        <v>1160</v>
      </c>
      <c r="UF1" s="14" t="s">
        <v>1161</v>
      </c>
      <c r="UG1" s="14" t="s">
        <v>1162</v>
      </c>
      <c r="UH1" s="14" t="s">
        <v>1163</v>
      </c>
      <c r="UI1" s="14" t="s">
        <v>1164</v>
      </c>
      <c r="UJ1" s="14" t="s">
        <v>1165</v>
      </c>
      <c r="UK1" s="14" t="s">
        <v>1166</v>
      </c>
      <c r="UL1" s="14" t="s">
        <v>1167</v>
      </c>
      <c r="UM1" s="14" t="s">
        <v>1168</v>
      </c>
      <c r="UN1" s="14" t="s">
        <v>1169</v>
      </c>
      <c r="UO1" s="14" t="s">
        <v>1170</v>
      </c>
      <c r="UP1" s="14" t="s">
        <v>1171</v>
      </c>
      <c r="UQ1" s="14" t="s">
        <v>1172</v>
      </c>
      <c r="UR1" s="14" t="s">
        <v>1173</v>
      </c>
      <c r="US1" s="14" t="s">
        <v>1174</v>
      </c>
      <c r="UT1" s="14" t="s">
        <v>1175</v>
      </c>
      <c r="UU1" s="14" t="s">
        <v>1176</v>
      </c>
      <c r="UV1" s="14" t="s">
        <v>1177</v>
      </c>
      <c r="UW1" s="14" t="s">
        <v>1178</v>
      </c>
      <c r="UX1" s="14" t="s">
        <v>1179</v>
      </c>
      <c r="UY1" s="14" t="s">
        <v>1180</v>
      </c>
      <c r="UZ1" s="14" t="s">
        <v>1181</v>
      </c>
      <c r="VA1" s="14" t="s">
        <v>1182</v>
      </c>
      <c r="VB1" s="14" t="s">
        <v>1183</v>
      </c>
      <c r="VC1" s="14" t="s">
        <v>1184</v>
      </c>
      <c r="VD1" s="14" t="s">
        <v>1185</v>
      </c>
      <c r="VE1" s="14" t="s">
        <v>1186</v>
      </c>
      <c r="VF1" s="14" t="s">
        <v>1187</v>
      </c>
      <c r="VG1" s="14" t="s">
        <v>1188</v>
      </c>
      <c r="VH1" s="14" t="s">
        <v>1189</v>
      </c>
      <c r="VI1" s="14" t="s">
        <v>1190</v>
      </c>
      <c r="VJ1" s="14" t="s">
        <v>1191</v>
      </c>
      <c r="VK1" s="14" t="s">
        <v>1192</v>
      </c>
      <c r="VL1" s="14" t="s">
        <v>1193</v>
      </c>
      <c r="VM1" s="14" t="s">
        <v>1194</v>
      </c>
      <c r="VN1" s="14" t="s">
        <v>1195</v>
      </c>
      <c r="VO1" s="14" t="s">
        <v>1196</v>
      </c>
      <c r="VP1" s="14" t="s">
        <v>1197</v>
      </c>
      <c r="VQ1" s="14" t="s">
        <v>1198</v>
      </c>
      <c r="VR1" s="14" t="s">
        <v>1199</v>
      </c>
      <c r="VS1" s="14" t="s">
        <v>1200</v>
      </c>
      <c r="VT1" s="14" t="s">
        <v>1201</v>
      </c>
      <c r="VU1" s="14" t="s">
        <v>1202</v>
      </c>
      <c r="VV1" s="14" t="s">
        <v>1203</v>
      </c>
      <c r="VW1" s="14" t="s">
        <v>1204</v>
      </c>
      <c r="VX1" s="14" t="s">
        <v>1205</v>
      </c>
      <c r="VY1" s="14" t="s">
        <v>1206</v>
      </c>
      <c r="VZ1" s="14" t="s">
        <v>1207</v>
      </c>
      <c r="WA1" s="14" t="s">
        <v>1208</v>
      </c>
      <c r="WB1" s="14" t="s">
        <v>1209</v>
      </c>
      <c r="WC1" s="14" t="s">
        <v>1210</v>
      </c>
      <c r="WD1" s="14" t="s">
        <v>1211</v>
      </c>
      <c r="WE1" s="14" t="s">
        <v>1212</v>
      </c>
      <c r="WF1" s="14" t="s">
        <v>1213</v>
      </c>
      <c r="WG1" s="14" t="s">
        <v>1214</v>
      </c>
      <c r="WH1" s="14" t="s">
        <v>1215</v>
      </c>
      <c r="WI1" s="14" t="s">
        <v>1216</v>
      </c>
      <c r="WJ1" s="14" t="s">
        <v>1217</v>
      </c>
      <c r="WK1" s="14" t="s">
        <v>1218</v>
      </c>
      <c r="WL1" s="14" t="s">
        <v>1219</v>
      </c>
      <c r="WM1" s="14" t="s">
        <v>1220</v>
      </c>
      <c r="WN1" s="14" t="s">
        <v>1221</v>
      </c>
      <c r="WO1" s="14" t="s">
        <v>1222</v>
      </c>
      <c r="WP1" s="14" t="s">
        <v>1223</v>
      </c>
      <c r="WQ1" s="14" t="s">
        <v>1224</v>
      </c>
      <c r="WR1" s="14" t="s">
        <v>1225</v>
      </c>
      <c r="WS1" s="14" t="s">
        <v>1226</v>
      </c>
      <c r="WT1" s="14" t="s">
        <v>1227</v>
      </c>
      <c r="WU1" s="14" t="s">
        <v>1228</v>
      </c>
      <c r="WV1" s="14" t="s">
        <v>1229</v>
      </c>
      <c r="WW1" s="14" t="s">
        <v>1230</v>
      </c>
      <c r="WX1" s="14" t="s">
        <v>1231</v>
      </c>
      <c r="WY1" s="14" t="s">
        <v>1232</v>
      </c>
      <c r="WZ1" s="14" t="s">
        <v>1233</v>
      </c>
      <c r="XA1" s="14" t="s">
        <v>1234</v>
      </c>
      <c r="XB1" s="14" t="s">
        <v>1235</v>
      </c>
      <c r="XC1" s="14" t="s">
        <v>1236</v>
      </c>
      <c r="XD1" s="14" t="s">
        <v>1237</v>
      </c>
      <c r="XE1" s="14" t="s">
        <v>1238</v>
      </c>
      <c r="XF1" s="14" t="s">
        <v>1239</v>
      </c>
      <c r="XG1" s="14" t="s">
        <v>1240</v>
      </c>
      <c r="XH1" s="14" t="s">
        <v>1241</v>
      </c>
      <c r="XI1" s="14" t="s">
        <v>1242</v>
      </c>
      <c r="XJ1" s="14" t="s">
        <v>1243</v>
      </c>
      <c r="XK1" s="14" t="s">
        <v>1244</v>
      </c>
      <c r="XL1" s="14" t="s">
        <v>1245</v>
      </c>
      <c r="XM1" s="14" t="s">
        <v>1246</v>
      </c>
      <c r="XN1" s="14" t="s">
        <v>1247</v>
      </c>
      <c r="XO1" s="14" t="s">
        <v>1248</v>
      </c>
      <c r="XP1" s="14" t="s">
        <v>1249</v>
      </c>
      <c r="XQ1" s="14" t="s">
        <v>1250</v>
      </c>
      <c r="XR1" s="14" t="s">
        <v>1251</v>
      </c>
      <c r="XS1" s="14" t="s">
        <v>1252</v>
      </c>
      <c r="XT1" s="14" t="s">
        <v>1253</v>
      </c>
      <c r="XU1" s="14" t="s">
        <v>1254</v>
      </c>
      <c r="XV1" s="14" t="s">
        <v>1255</v>
      </c>
      <c r="XW1" s="14" t="s">
        <v>1392</v>
      </c>
      <c r="XX1" s="14" t="s">
        <v>1394</v>
      </c>
      <c r="XY1" s="14" t="s">
        <v>1393</v>
      </c>
      <c r="XZ1" s="14" t="s">
        <v>785</v>
      </c>
      <c r="YA1" s="14" t="s">
        <v>1395</v>
      </c>
      <c r="YB1" s="14" t="s">
        <v>1396</v>
      </c>
      <c r="YC1" s="11" t="s">
        <v>1397</v>
      </c>
      <c r="YD1" s="11" t="s">
        <v>1398</v>
      </c>
      <c r="YE1" s="11" t="s">
        <v>1399</v>
      </c>
      <c r="YF1" s="11" t="s">
        <v>1400</v>
      </c>
      <c r="YG1" s="11" t="s">
        <v>1401</v>
      </c>
      <c r="YH1" s="11" t="s">
        <v>1402</v>
      </c>
      <c r="YI1" s="11" t="s">
        <v>1403</v>
      </c>
      <c r="YJ1" s="11" t="s">
        <v>1404</v>
      </c>
      <c r="YK1" s="11" t="s">
        <v>1405</v>
      </c>
      <c r="YL1" s="11" t="s">
        <v>1406</v>
      </c>
      <c r="YM1" s="11" t="s">
        <v>1407</v>
      </c>
      <c r="YN1" s="11" t="s">
        <v>1408</v>
      </c>
      <c r="YO1" s="11" t="s">
        <v>1409</v>
      </c>
      <c r="YP1" s="11" t="s">
        <v>1410</v>
      </c>
      <c r="YQ1" s="11" t="s">
        <v>1411</v>
      </c>
      <c r="YR1" s="11" t="s">
        <v>1412</v>
      </c>
      <c r="YS1" s="11" t="s">
        <v>1413</v>
      </c>
      <c r="YT1" s="11" t="s">
        <v>1414</v>
      </c>
      <c r="YU1" s="11" t="s">
        <v>1415</v>
      </c>
      <c r="YV1" s="11" t="s">
        <v>1416</v>
      </c>
      <c r="YW1" s="11" t="s">
        <v>1417</v>
      </c>
      <c r="YX1" s="11" t="s">
        <v>1418</v>
      </c>
      <c r="YY1" s="11" t="s">
        <v>1419</v>
      </c>
      <c r="YZ1" s="11" t="s">
        <v>1420</v>
      </c>
      <c r="ZA1" s="11" t="s">
        <v>1421</v>
      </c>
      <c r="ZB1" s="11" t="s">
        <v>1422</v>
      </c>
      <c r="ZC1" s="11" t="s">
        <v>1423</v>
      </c>
      <c r="ZD1" s="11" t="s">
        <v>1424</v>
      </c>
      <c r="ZE1" s="11" t="s">
        <v>1425</v>
      </c>
      <c r="ZF1" s="11" t="s">
        <v>1426</v>
      </c>
      <c r="ZG1" s="11" t="s">
        <v>1427</v>
      </c>
      <c r="ZH1" s="11" t="s">
        <v>1428</v>
      </c>
      <c r="ZI1" s="11" t="s">
        <v>1429</v>
      </c>
      <c r="ZJ1" s="11" t="s">
        <v>1430</v>
      </c>
      <c r="ZK1" s="11" t="s">
        <v>1431</v>
      </c>
      <c r="ZL1" s="11" t="s">
        <v>1432</v>
      </c>
      <c r="ZM1" s="11" t="s">
        <v>1433</v>
      </c>
      <c r="ZN1" s="11" t="s">
        <v>1434</v>
      </c>
      <c r="ZO1" s="11" t="s">
        <v>1435</v>
      </c>
      <c r="ZP1" s="11" t="s">
        <v>1436</v>
      </c>
      <c r="ZQ1" s="11" t="s">
        <v>1437</v>
      </c>
      <c r="ZR1" s="11" t="s">
        <v>1438</v>
      </c>
      <c r="ZS1" s="11" t="s">
        <v>1439</v>
      </c>
      <c r="ZT1" s="11" t="s">
        <v>1440</v>
      </c>
      <c r="ZU1" s="11" t="s">
        <v>1441</v>
      </c>
      <c r="ZV1" s="11" t="s">
        <v>1442</v>
      </c>
      <c r="ZW1" s="11" t="s">
        <v>1443</v>
      </c>
      <c r="ZX1" s="11" t="s">
        <v>1444</v>
      </c>
      <c r="ZY1" s="11" t="s">
        <v>1445</v>
      </c>
      <c r="ZZ1" s="11" t="s">
        <v>1446</v>
      </c>
      <c r="AAA1" s="11" t="s">
        <v>1447</v>
      </c>
      <c r="AAB1" s="11" t="s">
        <v>1448</v>
      </c>
      <c r="AAC1" s="11" t="s">
        <v>1449</v>
      </c>
      <c r="AAD1" s="11" t="s">
        <v>1450</v>
      </c>
      <c r="AAE1" s="11" t="s">
        <v>1451</v>
      </c>
      <c r="AAF1" s="11" t="s">
        <v>1452</v>
      </c>
      <c r="AAG1" s="11" t="s">
        <v>1453</v>
      </c>
      <c r="AAH1" s="11" t="s">
        <v>1454</v>
      </c>
      <c r="AAI1" s="11" t="s">
        <v>1455</v>
      </c>
      <c r="AAJ1" s="11" t="s">
        <v>1456</v>
      </c>
      <c r="AAK1" s="11" t="s">
        <v>1457</v>
      </c>
      <c r="AAL1" s="11" t="s">
        <v>1458</v>
      </c>
      <c r="AAM1" s="11" t="s">
        <v>1459</v>
      </c>
      <c r="AAN1" s="11" t="s">
        <v>1460</v>
      </c>
      <c r="AAO1" s="11" t="s">
        <v>1461</v>
      </c>
      <c r="AAP1" s="11" t="s">
        <v>1462</v>
      </c>
      <c r="AAQ1" s="11" t="s">
        <v>1463</v>
      </c>
      <c r="AAR1" s="11" t="s">
        <v>1464</v>
      </c>
      <c r="AAS1" s="11" t="s">
        <v>1465</v>
      </c>
      <c r="AAT1" s="11" t="s">
        <v>1466</v>
      </c>
      <c r="AAU1" s="11" t="s">
        <v>1467</v>
      </c>
      <c r="AAV1" s="11" t="s">
        <v>1468</v>
      </c>
      <c r="AAW1" s="11" t="s">
        <v>1469</v>
      </c>
      <c r="AAX1" s="11" t="s">
        <v>1470</v>
      </c>
      <c r="AAY1" s="11" t="s">
        <v>1471</v>
      </c>
      <c r="AAZ1" s="11" t="s">
        <v>1472</v>
      </c>
      <c r="ABA1" s="11" t="s">
        <v>1473</v>
      </c>
      <c r="ABB1" s="11" t="s">
        <v>1474</v>
      </c>
      <c r="ABC1" s="11" t="s">
        <v>1475</v>
      </c>
      <c r="ABD1" s="11" t="s">
        <v>1476</v>
      </c>
      <c r="ABE1" s="11" t="s">
        <v>1477</v>
      </c>
      <c r="ABF1" s="11" t="s">
        <v>1478</v>
      </c>
      <c r="ABG1" s="11" t="s">
        <v>1479</v>
      </c>
      <c r="ABH1" s="11" t="s">
        <v>1480</v>
      </c>
      <c r="ABI1" s="11" t="s">
        <v>1481</v>
      </c>
      <c r="ABJ1" s="11" t="s">
        <v>1482</v>
      </c>
      <c r="ABK1" s="11" t="s">
        <v>1483</v>
      </c>
      <c r="ABL1" s="11" t="s">
        <v>1484</v>
      </c>
      <c r="ABM1" s="11" t="s">
        <v>1485</v>
      </c>
      <c r="ABN1" s="11" t="s">
        <v>1486</v>
      </c>
      <c r="ABO1" s="8" t="s">
        <v>1487</v>
      </c>
    </row>
    <row r="2" spans="1:743" s="17" customFormat="1" ht="35.25" customHeight="1" x14ac:dyDescent="0.2">
      <c r="A2" s="12" t="s">
        <v>771</v>
      </c>
      <c r="B2" s="10" t="str">
        <f>IF('Eval-Avant impact'!$T$107=0,"",IF('Eval-Avant impact'!$T$107="","",'Eval-Avant impact'!K26))</f>
        <v/>
      </c>
      <c r="C2" s="9" t="str">
        <f>IF('Eval-Avant impact'!$T$107=0,"",IF('Eval-Avant impact'!$T$107="","",'Eval-Avant impact'!F29))</f>
        <v/>
      </c>
      <c r="D2" s="9" t="str">
        <f>IF('Eval-Avant impact'!$T$107=0,"",IF('Eval-Avant impact'!$T$107="","",'Eval-Avant impact'!I29))</f>
        <v/>
      </c>
      <c r="E2" s="9" t="str">
        <f>IF('Eval-Avant impact'!$T$107=0,"",IF('Eval-Avant impact'!$T$107="","",'Eval-Avant impact'!L29))</f>
        <v/>
      </c>
      <c r="F2" s="9" t="str">
        <f>IF('Eval-Avant impact'!$T$107=0,"",IF('Eval-Avant impact'!$T$107="","",'Eval-Avant impact'!O29))</f>
        <v/>
      </c>
      <c r="G2" s="3" t="str">
        <f>IF('Eval-Avant impact'!$T$107=0,"",IF('Eval-Avant impact'!$T$107="","",'Eval-Avant impact'!F30))</f>
        <v/>
      </c>
      <c r="H2" s="3" t="str">
        <f>IF('Eval-Avant impact'!$T$107=0,"",IF('Eval-Avant impact'!$T$107="","",'Eval-Avant impact'!I30))</f>
        <v/>
      </c>
      <c r="I2" s="3" t="str">
        <f>IF('Eval-Avant impact'!$T$107=0,"",IF('Eval-Avant impact'!$T$107="","",'Eval-Avant impact'!L30))</f>
        <v/>
      </c>
      <c r="J2" s="3" t="str">
        <f>IF('Eval-Avant impact'!$T$107=0,"",IF('Eval-Avant impact'!$T$107="","",'Eval-Avant impact'!O30))</f>
        <v/>
      </c>
      <c r="K2" s="3" t="str">
        <f>IF('Eval-Avant impact'!$T$107=0,"",IF('Eval-Avant impact'!$T$107="","",'Eval-Avant impact'!F31))</f>
        <v/>
      </c>
      <c r="L2" s="3" t="str">
        <f>IF('Eval-Avant impact'!$T$107=0,"",IF('Eval-Avant impact'!$T$107="","",'Eval-Avant impact'!I31))</f>
        <v/>
      </c>
      <c r="M2" s="3" t="str">
        <f>IF('Eval-Avant impact'!$T$107=0,"",IF('Eval-Avant impact'!$T$107="","",'Eval-Avant impact'!L31))</f>
        <v/>
      </c>
      <c r="N2" s="3" t="str">
        <f>IF('Eval-Avant impact'!$T$107=0,"",IF('Eval-Avant impact'!$T$107="","",'Eval-Avant impact'!O31))</f>
        <v/>
      </c>
      <c r="O2" s="3" t="str">
        <f>IF('Eval-Avant impact'!$T$107=0,"",IF('Eval-Avant impact'!$T$107="","",'Eval-Avant impact'!F32))</f>
        <v/>
      </c>
      <c r="P2" s="3" t="str">
        <f>IF('Eval-Avant impact'!$T$107=0,"",IF('Eval-Avant impact'!$T$107="","",'Eval-Avant impact'!I32))</f>
        <v/>
      </c>
      <c r="Q2" s="3" t="str">
        <f>IF('Eval-Avant impact'!$T$107=0,"",IF('Eval-Avant impact'!$T$107="","",'Eval-Avant impact'!L32))</f>
        <v/>
      </c>
      <c r="R2" s="3" t="str">
        <f>IF('Eval-Avant impact'!$T$107=0,"",IF('Eval-Avant impact'!$T$107="","",'Eval-Avant impact'!O32))</f>
        <v/>
      </c>
      <c r="S2" s="3" t="str">
        <f>IF('Eval-Avant impact'!$T$107=0,"",IF('Eval-Avant impact'!$T$107="","",'Eval-Avant impact'!C35))</f>
        <v/>
      </c>
      <c r="T2" s="3" t="str">
        <f>IF('Eval-Avant impact'!$T$107=0,"",IF('Eval-Avant impact'!$T$107="","",'Eval-Avant impact'!C44))</f>
        <v/>
      </c>
      <c r="U2" s="3" t="str">
        <f>IF('Eval-Avant impact'!$T$107=0,"",IF('Eval-Avant impact'!$T$107="","",'Eval-Avant impact'!C47))</f>
        <v/>
      </c>
      <c r="V2" s="3" t="str">
        <f>IF('Eval-Avant impact'!$T$107=0,"",IF('Eval-Avant impact'!$T$107="","",'Eval-Avant impact'!C50))</f>
        <v/>
      </c>
      <c r="W2" s="3" t="str">
        <f>IF('Eval-Avant impact'!$T$107=0,"",IF('Eval-Avant impact'!$T$107="","",'Eval-Avant impact'!T107))</f>
        <v/>
      </c>
      <c r="X2" s="5" t="str">
        <f>IF('Eval-Avant impact'!$T$107=0,"",IF('Eval-Avant impact'!$T$107="","",IF('Eval-Avant impact'!T111="X","tout un système humide",IF('Eval-Avant impact'!T112="X","délimitation administrative","autres cas"))))</f>
        <v/>
      </c>
      <c r="Y2" s="5" t="str">
        <f>IF('Eval-Avant impact'!$T$107=0,"",IF('Eval-Avant impact'!$T$107="","",'Eval-Avant impact'!G117))</f>
        <v/>
      </c>
      <c r="Z2" s="5" t="str">
        <f>IF('Eval-Avant impact'!$T$107=0,"",IF('Eval-Avant impact'!$T$107="","",IF('Eval-Avant impact'!J121="X",'Eval-Avant impact'!I121,"")))</f>
        <v/>
      </c>
      <c r="AA2" s="5" t="str">
        <f>IF('Eval-Avant impact'!$T$107=0,"",IF('Eval-Avant impact'!$T$107="","",IF('Eval-Avant impact'!J122="X",'Eval-Avant impact'!I122,"")))</f>
        <v/>
      </c>
      <c r="AB2" s="5" t="str">
        <f>IF('Eval-Avant impact'!$T$107=0,"",IF('Eval-Avant impact'!$T$107="","",IF('Eval-Avant impact'!J123="X",'Eval-Avant impact'!I123,"")))</f>
        <v/>
      </c>
      <c r="AC2" s="5" t="str">
        <f>IF('Eval-Avant impact'!$T$107=0,"",IF('Eval-Avant impact'!$T$107="","",IF('Eval-Avant impact'!T121="X",'Eval-Avant impact'!S121,"")))</f>
        <v/>
      </c>
      <c r="AD2" s="5" t="str">
        <f>IF('Eval-Avant impact'!$T$107=0,"",IF('Eval-Avant impact'!$T$107="","",IF('Eval-Avant impact'!T122="X",'Eval-Avant impact'!S122,"")))</f>
        <v/>
      </c>
      <c r="AE2" s="5" t="str">
        <f>IF('Eval-Avant impact'!$T$107=0,"",IF('Eval-Avant impact'!$T$107="","",'Eval-Avant impact'!C128))</f>
        <v/>
      </c>
      <c r="AF2" s="5" t="str">
        <f>IF('Eval-Avant impact'!$T$107=0,"",IF('Eval-Avant impact'!$T$107="","",'Eval-Avant impact'!T132))</f>
        <v/>
      </c>
      <c r="AG2" s="5" t="str">
        <f>IF('Eval-Avant impact'!$T$107=0,"",IF('Eval-Avant impact'!$T$107="","",'Eval-Avant impact'!T139))</f>
        <v/>
      </c>
      <c r="AH2" s="5" t="str">
        <f>IF('Eval-Avant impact'!$T$107=0,"",IF('Eval-Avant impact'!$T$107="","",IF('Eval-Avant impact'!J194="X","procédure 1",IF('Eval-Avant impact'!T194="X","procédure 2",IF('Eval-Avant impact'!J195="X","procédure 3",IF('Eval-Avant impact'!T195="X","procédure 4",IF('Eval-Avant impact'!J196="X","procédure 5","")))))))</f>
        <v/>
      </c>
      <c r="AI2" s="5" t="str">
        <f>IF('Eval-Avant impact'!$T$107=0,"",IF('Eval-Avant impact'!$T$107="","",'Eval-Avant impact'!C205))</f>
        <v/>
      </c>
      <c r="AJ2" s="5" t="str">
        <f>IF('Eval-Avant impact'!$T$107=0,"",IF('Eval-Avant impact'!$T$107="","",'Eval-Avant impact'!T213))</f>
        <v/>
      </c>
      <c r="AK2" s="5" t="str">
        <f>IF('Eval-Avant impact'!$T$107=0,"",IF('Eval-Avant impact'!$T$107="","",'Eval-Avant impact'!T217))</f>
        <v/>
      </c>
      <c r="AL2" s="5" t="str">
        <f>IF('Eval-Avant impact'!$T$107=0,"",IF('Eval-Avant impact'!$T$107="","",'Eval-Avant impact'!T221))</f>
        <v/>
      </c>
      <c r="AM2" s="5" t="str">
        <f>IF('Eval-Avant impact'!$T$107=0,"",IF('Eval-Avant impact'!$T$107="","",'Eval-Avant impact'!T222))</f>
        <v/>
      </c>
      <c r="AN2" s="5" t="str">
        <f>IF('Eval-Avant impact'!$T$107=0,"",IF('Eval-Avant impact'!$T$107="","",IF('Eval-Avant impact'!J226="X","oui","non")))</f>
        <v/>
      </c>
      <c r="AO2" s="5" t="str">
        <f>IF('Eval-Avant impact'!$T$107=0,"",IF('Eval-Avant impact'!$T$107="","",'Eval-Avant impact'!T230))</f>
        <v/>
      </c>
      <c r="AP2" s="5" t="str">
        <f>IF('Eval-Avant impact'!$T$107=0,"",IF('Eval-Avant impact'!$T$107="","",'Eval-Avant impact'!T234))</f>
        <v/>
      </c>
      <c r="AQ2" s="5" t="str">
        <f>IF('Eval-Avant impact'!$T$107=0,"",IF('Eval-Avant impact'!$T$107="","",'Eval-Avant impact'!T292))</f>
        <v/>
      </c>
      <c r="AR2" s="5" t="str">
        <f>IF('Eval-Avant impact'!$T$107=0,"",IF('Eval-Avant impact'!$T$107="","",'Eval-Avant impact'!T296))</f>
        <v/>
      </c>
      <c r="AS2" s="5" t="str">
        <f>IF('Eval-Avant impact'!$T$107=0,"",IF('Eval-Avant impact'!$T$107="","",'Eval-Avant impact'!T356))</f>
        <v/>
      </c>
      <c r="AT2" s="5" t="str">
        <f>IF('Eval-Avant impact'!$T$107=0,"",IF('Eval-Avant impact'!$T$107="","",'Eval-Avant impact'!T361))</f>
        <v/>
      </c>
      <c r="AU2" s="5" t="str">
        <f>IF('Eval-Avant impact'!$T$107=0,"",IF('Eval-Avant impact'!$T$107="","",'Eval-Avant impact'!T362))</f>
        <v/>
      </c>
      <c r="AV2" s="5" t="str">
        <f>IF('Eval-Avant impact'!$T$107=0,"",IF('Eval-Avant impact'!$T$107="","",'Eval-Avant impact'!T363))</f>
        <v/>
      </c>
      <c r="AW2" s="5" t="str">
        <f>IF('Eval-Avant impact'!$T$107=0,"",IF('Eval-Avant impact'!$T$107="","",'Eval-Avant impact'!T364))</f>
        <v/>
      </c>
      <c r="AX2" s="5" t="str">
        <f>IF('Eval-Avant impact'!$T$107=0,"",IF('Eval-Avant impact'!$T$107="","",'Eval-Avant impact'!T365))</f>
        <v/>
      </c>
      <c r="AY2" s="5" t="str">
        <f>IF('Eval-Avant impact'!$T$107=0,"",IF('Eval-Avant impact'!$T$107="","",'Eval-Avant impact'!T366))</f>
        <v/>
      </c>
      <c r="AZ2" s="5" t="str">
        <f>IF('Eval-Avant impact'!$T$107=0,"",IF('Eval-Avant impact'!$T$107="","",'Eval-Avant impact'!T367))</f>
        <v/>
      </c>
      <c r="BA2" s="5" t="str">
        <f>IF('Eval-Avant impact'!$T$107=0,"",IF('Eval-Avant impact'!$T$107="","",'Eval-Avant impact'!T368))</f>
        <v/>
      </c>
      <c r="BB2" s="5" t="str">
        <f>IF('Eval-Avant impact'!$T$107=0,"",IF('Eval-Avant impact'!$T$107="","",'Eval-Avant impact'!T369))</f>
        <v/>
      </c>
      <c r="BC2" s="5" t="str">
        <f>IF('Eval-Avant impact'!$T$107=0,"",IF('Eval-Avant impact'!$T$107="","",'Eval-Avant impact'!T370))</f>
        <v/>
      </c>
      <c r="BD2" s="5" t="str">
        <f>IF('Eval-Avant impact'!$T$107=0,"",IF('Eval-Avant impact'!$T$107="","",IF('Eval-Avant impact'!J376="X","procédure 1",IF('Eval-Avant impact'!T376="X","procédure 2","procédure 3"))))</f>
        <v/>
      </c>
      <c r="BE2" s="5" t="str">
        <f>IF('Eval-Avant impact'!$T$107=0,"",IF('Eval-Avant impact'!$T$107="","",IF('Eval-Avant impact'!J376="X",'Eval-Avant impact'!T382,"")))</f>
        <v/>
      </c>
      <c r="BF2" s="5" t="str">
        <f>IF('Eval-Avant impact'!$T$107=0,"",IF('Eval-Avant impact'!$T$107="","",IF('Eval-Avant impact'!T376="X",'Eval-Avant impact'!T387,"")))</f>
        <v/>
      </c>
      <c r="BG2" s="5" t="str">
        <f>IF('Eval-Avant impact'!$T$107=0,"",IF('Eval-Avant impact'!$T$107="","",IF('Eval-Avant impact'!J377="X",'Eval-Avant impact'!T393,"")))</f>
        <v/>
      </c>
      <c r="BH2" s="5" t="str">
        <f>IF('Eval-Avant impact'!$T$107=0,"",IF('Eval-Avant impact'!$T$107="","",IF('Eval-Avant impact'!J377="X",'Eval-Avant impact'!T394,"")))</f>
        <v/>
      </c>
      <c r="BI2" s="5" t="str">
        <f>IF('Eval-Avant impact'!$T$107=0,"",IF('Eval-Avant impact'!$T$107="","",'Eval-Avant impact'!T398))</f>
        <v/>
      </c>
      <c r="BJ2" s="5" t="str">
        <f>IF('Eval-Avant impact'!$T$107=0,"",IF('Eval-Avant impact'!$T$107="","",'Eval-Avant impact'!T399))</f>
        <v/>
      </c>
      <c r="BK2" s="5" t="str">
        <f>IF('Eval-Avant impact'!$T$107=0,"",IF('Eval-Avant impact'!$T$107="","",IF('Eval-Avant impact'!J404="X","oui","non")))</f>
        <v/>
      </c>
      <c r="BL2" s="5" t="str">
        <f>IF('Eval-Avant impact'!$T$107=0,"",IF('Eval-Avant impact'!$T$107="","",'Eval-Avant impact'!T408))</f>
        <v/>
      </c>
      <c r="BM2" s="5" t="str">
        <f>IF('Eval-Avant impact'!$T$107=0,"",IF('Eval-Avant impact'!$T$107="","",IF('Eval-Avant impact'!J413="X","oui","non")))</f>
        <v/>
      </c>
      <c r="BN2" s="5" t="str">
        <f>IF('Eval-Avant impact'!$T$107=0,"",IF('Eval-Avant impact'!$T$107="","",'Eval-Avant impact'!C419))</f>
        <v/>
      </c>
      <c r="BO2" s="5" t="str">
        <f>IF('Eval-Avant impact'!$T$107=0,"",IF('Eval-Avant impact'!$T$107="","",'Eval-Avant impact'!T424))</f>
        <v/>
      </c>
      <c r="BP2" s="5" t="str">
        <f>IF('Eval-Avant impact'!$T$107=0,"",IF('Eval-Avant impact'!$T$107="","",IF('Eval-Avant impact'!J429="X","oui","non")))</f>
        <v/>
      </c>
      <c r="BQ2" s="5" t="str">
        <f>IF('Eval-Avant impact'!$T$107=0,"",IF('Eval-Avant impact'!$T$107="","",'Eval-Avant impact'!C435))</f>
        <v/>
      </c>
      <c r="BR2" s="5" t="str">
        <f>IF('Eval-Avant impact'!$T$107=0,"",IF('Eval-Avant impact'!$T$107="","",IF('Eval-Avant impact'!J440="X","oui","non")))</f>
        <v/>
      </c>
      <c r="BS2" s="5" t="str">
        <f>IF('Eval-Avant impact'!$T$107=0,"",IF('Eval-Avant impact'!$T$107="","",IF('Eval-Avant impact'!J444="X","oui","non")))</f>
        <v/>
      </c>
      <c r="BT2" s="5" t="str">
        <f>IF('Eval-Avant impact'!$T$107=0,"",IF('Eval-Avant impact'!$T$107="","",IF('Eval-Avant impact'!J449="X","oui","non")))</f>
        <v/>
      </c>
      <c r="BU2" s="5" t="str">
        <f>IF('Eval-Avant impact'!$T$107=0,"",IF('Eval-Avant impact'!$T$107="","",IF('Eval-Avant impact'!J456="X",'Eval-Avant impact'!I456,IF('Eval-Avant impact'!J457="X",'Eval-Avant impact'!I457,IF('Eval-Avant impact'!T456="X",'Eval-Avant impact'!S456,'Eval-Avant impact'!S457)))))</f>
        <v/>
      </c>
      <c r="BV2" s="5" t="str">
        <f>IF('Eval-Avant impact'!$T$107=0,"",IF('Eval-Avant impact'!$T$107="","",IF('Eval-Avant impact'!$C$465&lt;&gt;"",'Eval-Avant impact'!$C$465,"")))</f>
        <v/>
      </c>
      <c r="BW2" s="5" t="str">
        <f>IF('Eval-Avant impact'!$T$107=0,"",IF('Eval-Avant impact'!$T$107="","",IF('Eval-Avant impact'!$T$465&lt;&gt;"",'Eval-Avant impact'!$T$465,"")))</f>
        <v/>
      </c>
      <c r="BX2" s="5" t="str">
        <f>IF('Eval-Avant impact'!$T$107=0,"",IF('Eval-Avant impact'!$T$107="","",IF('Eval-Avant impact'!$C$466&lt;&gt;"",'Eval-Avant impact'!$C$466,"")))</f>
        <v/>
      </c>
      <c r="BY2" s="5" t="str">
        <f>IF('Eval-Avant impact'!$T$107=0,"",IF('Eval-Avant impact'!$T$107="","",IF('Eval-Avant impact'!$T$466&lt;&gt;"",'Eval-Avant impact'!$T$466,"")))</f>
        <v/>
      </c>
      <c r="BZ2" s="5" t="str">
        <f>IF('Eval-Avant impact'!$T$107=0,"",IF('Eval-Avant impact'!$T$107="","",IF('Eval-Avant impact'!$C$467&lt;&gt;"",'Eval-Avant impact'!$C$467,"")))</f>
        <v/>
      </c>
      <c r="CA2" s="5" t="str">
        <f>IF('Eval-Avant impact'!$T$107=0,"",IF('Eval-Avant impact'!$T$107="","",IF('Eval-Avant impact'!$T$467&lt;&gt;"",'Eval-Avant impact'!$T$467,"")))</f>
        <v/>
      </c>
      <c r="CB2" s="5" t="str">
        <f>IF('Eval-Avant impact'!$T$107=0,"",IF('Eval-Avant impact'!$T$107="","",IF('Eval-Avant impact'!$C$468&lt;&gt;"",'Eval-Avant impact'!$C$468,"")))</f>
        <v/>
      </c>
      <c r="CC2" s="5" t="str">
        <f>IF('Eval-Avant impact'!$T$107=0,"",IF('Eval-Avant impact'!$T$107="","",IF('Eval-Avant impact'!$T$468&lt;&gt;"",'Eval-Avant impact'!$T$468,"")))</f>
        <v/>
      </c>
      <c r="CD2" s="5" t="str">
        <f>IF('Eval-Avant impact'!$T$107=0,"",IF('Eval-Avant impact'!$T$107="","",IF('Eval-Avant impact'!$C$469&lt;&gt;"",'Eval-Avant impact'!$C$469,"")))</f>
        <v/>
      </c>
      <c r="CE2" s="5" t="str">
        <f>IF('Eval-Avant impact'!$T$107=0,"",IF('Eval-Avant impact'!$T$107="","",IF('Eval-Avant impact'!$T$469&lt;&gt;"",'Eval-Avant impact'!$T$469,"")))</f>
        <v/>
      </c>
      <c r="CF2" s="5" t="str">
        <f>IF('Eval-Avant impact'!$T$107=0,"",IF('Eval-Avant impact'!$T$107="","",IF('Eval-Avant impact'!$C$470&lt;&gt;"",'Eval-Avant impact'!$C$470,"")))</f>
        <v/>
      </c>
      <c r="CG2" s="5" t="str">
        <f>IF('Eval-Avant impact'!$T$107=0,"",IF('Eval-Avant impact'!$T$107="","",IF('Eval-Avant impact'!$T$470&lt;&gt;"",'Eval-Avant impact'!$T$470,"")))</f>
        <v/>
      </c>
      <c r="CH2" s="5" t="str">
        <f>IF('Eval-Avant impact'!$T$107=0,"",IF('Eval-Avant impact'!$T$107="","",IF('Eval-Avant impact'!$C$471&lt;&gt;"",'Eval-Avant impact'!$C$471,"")))</f>
        <v/>
      </c>
      <c r="CI2" s="5" t="str">
        <f>IF('Eval-Avant impact'!$T$107=0,"",IF('Eval-Avant impact'!$T$107="","",IF('Eval-Avant impact'!$T$471&lt;&gt;"",'Eval-Avant impact'!$T$471,"")))</f>
        <v/>
      </c>
      <c r="CJ2" s="5" t="str">
        <f>IF('Eval-Avant impact'!$T$107=0,"",IF('Eval-Avant impact'!$T$107="","",IF('Eval-Avant impact'!$C$472&lt;&gt;"",'Eval-Avant impact'!$C$472,"")))</f>
        <v/>
      </c>
      <c r="CK2" s="5" t="str">
        <f>IF('Eval-Avant impact'!$T$107=0,"",IF('Eval-Avant impact'!$T$107="","",IF('Eval-Avant impact'!$T$472&lt;&gt;"",'Eval-Avant impact'!$T$472,"")))</f>
        <v/>
      </c>
      <c r="CL2" s="5" t="str">
        <f>IF('Eval-Avant impact'!$T$107=0,"",IF('Eval-Avant impact'!$T$107="","",IF('Eval-Avant impact'!$C$473&lt;&gt;"",'Eval-Avant impact'!$C$473,"")))</f>
        <v/>
      </c>
      <c r="CM2" s="5" t="str">
        <f>IF('Eval-Avant impact'!$T$107=0,"",IF('Eval-Avant impact'!$T$107="","",IF('Eval-Avant impact'!$T$473&lt;&gt;"",'Eval-Avant impact'!$T$473,"")))</f>
        <v/>
      </c>
      <c r="CN2" s="5" t="str">
        <f>IF('Eval-Avant impact'!$T$107=0,"",IF('Eval-Avant impact'!$T$107="","",IF('Eval-Avant impact'!$C$474&lt;&gt;"",'Eval-Avant impact'!$C$474,"")))</f>
        <v/>
      </c>
      <c r="CO2" s="5" t="str">
        <f>IF('Eval-Avant impact'!$T$107=0,"",IF('Eval-Avant impact'!$T$107="","",IF('Eval-Avant impact'!$T$474&lt;&gt;"",'Eval-Avant impact'!$T$474,"")))</f>
        <v/>
      </c>
      <c r="CP2" s="5" t="str">
        <f>IF('Eval-Avant impact'!$T$107=0,"",IF('Eval-Avant impact'!$T$107="","",IF('Eval-Avant impact'!$C$475&lt;&gt;"",'Eval-Avant impact'!$C$475,"")))</f>
        <v/>
      </c>
      <c r="CQ2" s="5" t="str">
        <f>IF('Eval-Avant impact'!$T$107=0,"",IF('Eval-Avant impact'!$T$107="","",IF('Eval-Avant impact'!$T$475&lt;&gt;"",'Eval-Avant impact'!$T$475,"")))</f>
        <v/>
      </c>
      <c r="CR2" s="5" t="str">
        <f>IF('Eval-Avant impact'!$T$107=0,"",IF('Eval-Avant impact'!$T$107="","",IF('Eval-Avant impact'!$C$476&lt;&gt;"",'Eval-Avant impact'!$C$476,"")))</f>
        <v/>
      </c>
      <c r="CS2" s="5" t="str">
        <f>IF('Eval-Avant impact'!$T$107=0,"",IF('Eval-Avant impact'!$T$107="","",IF('Eval-Avant impact'!$T$476&lt;&gt;"",'Eval-Avant impact'!$T$476,"")))</f>
        <v/>
      </c>
      <c r="CT2" s="5" t="str">
        <f>IF('Eval-Avant impact'!$T$107=0,"",IF('Eval-Avant impact'!$T$107="","",IF('Eval-Avant impact'!$C$477&lt;&gt;"",'Eval-Avant impact'!$C$477,"")))</f>
        <v/>
      </c>
      <c r="CU2" s="5" t="str">
        <f>IF('Eval-Avant impact'!$T$107=0,"",IF('Eval-Avant impact'!$T$107="","",IF('Eval-Avant impact'!$T$477&lt;&gt;"",'Eval-Avant impact'!$T$477,"")))</f>
        <v/>
      </c>
      <c r="CV2" s="5" t="str">
        <f>IF('Eval-Avant impact'!$T$107=0,"",IF('Eval-Avant impact'!$T$107="","",IF('Eval-Avant impact'!$C$478&lt;&gt;"",'Eval-Avant impact'!$C$478,"")))</f>
        <v/>
      </c>
      <c r="CW2" s="5" t="str">
        <f>IF('Eval-Avant impact'!$T$107=0,"",IF('Eval-Avant impact'!$T$107="","",IF('Eval-Avant impact'!$T$478&lt;&gt;"",'Eval-Avant impact'!$T$478,"")))</f>
        <v/>
      </c>
      <c r="CX2" s="5" t="str">
        <f>IF('Eval-Avant impact'!$T$107=0,"",IF('Eval-Avant impact'!$T$107="","",IF('Eval-Avant impact'!$C$479&lt;&gt;"",'Eval-Avant impact'!$C$479,"")))</f>
        <v/>
      </c>
      <c r="CY2" s="5" t="str">
        <f>IF('Eval-Avant impact'!$T$107=0,"",IF('Eval-Avant impact'!$T$107="","",IF('Eval-Avant impact'!$T$479&lt;&gt;"",'Eval-Avant impact'!$T$479,"")))</f>
        <v/>
      </c>
      <c r="CZ2" s="5" t="str">
        <f>IF('Eval-Avant impact'!$T$107=0,"",IF('Eval-Avant impact'!$T$107="","",'Eval-Avant impact'!C486))</f>
        <v/>
      </c>
      <c r="DA2" s="5" t="str">
        <f>IF('Eval-Avant impact'!$T$107=0,"",IF('Eval-Avant impact'!$T$107="","",'Eval-Avant impact'!T491))</f>
        <v/>
      </c>
      <c r="DB2" s="5" t="str">
        <f>IF('Eval-Avant impact'!$T$107=0,"",IF('Eval-Avant impact'!$T$107="","",IF('Eval-Avant impact'!T498&lt;&gt;"",'Eval-Avant impact'!T498,"")))</f>
        <v/>
      </c>
      <c r="DC2" s="5" t="str">
        <f>IF('Eval-Avant impact'!$T$107=0,"",IF('Eval-Avant impact'!$T$107="","",IF('Eval-Avant impact'!T503&lt;&gt;"",'Eval-Avant impact'!T503,"")))</f>
        <v/>
      </c>
      <c r="DD2" s="5" t="str">
        <f>IF('Eval-Avant impact'!$T$107=0,"",IF('Eval-Avant impact'!$T$107="","",IF('Eval-Avant impact'!T504&lt;&gt;"",'Eval-Avant impact'!T504,"")))</f>
        <v/>
      </c>
      <c r="DE2" s="5" t="str">
        <f>IF('Eval-Avant impact'!$T$107=0,"",IF('Eval-Avant impact'!$T$107="","",IF('Eval-Avant impact'!J508="X","oui","non")))</f>
        <v/>
      </c>
      <c r="DF2" s="5" t="str">
        <f>IF('Eval-Avant impact'!$T$107=0,"",IF('Eval-Avant impact'!$T$107="","",'Eval-Avant impact'!C514))</f>
        <v/>
      </c>
      <c r="DG2" s="5" t="str">
        <f>IF('Eval-Avant impact'!$T$107=0,"",IF('Eval-Avant impact'!$T$107="","",IF('Eval-Avant impact'!J522="X","oui","non")))</f>
        <v/>
      </c>
      <c r="DH2" s="5" t="str">
        <f>IF('Eval-Avant impact'!$T$107=0,"",IF('Eval-Avant impact'!$T$107="","",IF('Eval-Avant impact'!C526&lt;&gt;"",'Eval-Avant impact'!C526,"")))</f>
        <v/>
      </c>
      <c r="DI2" s="5" t="str">
        <f>IF('Eval-Avant impact'!$T$107=0,"",IF('Eval-Avant impact'!$T$107="","",IF('Eval-Avant impact'!C534&lt;&gt;"",'Eval-Avant impact'!C534,"")))</f>
        <v/>
      </c>
      <c r="DJ2" s="5" t="str">
        <f>IF('Eval-Avant impact'!$T$107=0,"",IF('Eval-Avant impact'!$T$107="","",IF('Eval-Avant impact'!C537&lt;&gt;"",'Eval-Avant impact'!C537,"")))</f>
        <v/>
      </c>
      <c r="DK2" s="5" t="str">
        <f>IF('Eval-Avant impact'!$T$107=0,"",IF('Eval-Avant impact'!$T$107="","",IF('Eval-Avant impact'!C540&lt;&gt;"",'Eval-Avant impact'!C540,"")))</f>
        <v/>
      </c>
      <c r="DL2" s="5" t="str">
        <f>IF('Eval-Avant impact'!$T$107=0,"",IF('Eval-Avant impact'!$T$107="","",IF('Eval-Avant impact'!C543&lt;&gt;"",'Eval-Avant impact'!C543,"")))</f>
        <v/>
      </c>
      <c r="DM2" s="5" t="str">
        <f>IF('Eval-Avant impact'!$T$107=0,"",IF('Eval-Avant impact'!$T$107="","",IF('Eval-Avant impact'!C546&lt;&gt;"",'Eval-Avant impact'!C546,"")))</f>
        <v/>
      </c>
      <c r="DN2" s="5" t="str">
        <f>IF('Eval-Avant impact'!$T$107=0,"",IF('Eval-Avant impact'!$T$107="","",IF('Eval-Avant impact'!C552&lt;&gt;"",'Eval-Avant impact'!C552,"")))</f>
        <v/>
      </c>
      <c r="DO2" s="5" t="str">
        <f>IF('Eval-Avant impact'!$T$107=0,"",IF('Eval-Avant impact'!$T$107="","",IF('Eval-Avant impact'!C559&lt;&gt;"",'Eval-Avant impact'!C559,"")))</f>
        <v/>
      </c>
      <c r="DP2" s="5" t="str">
        <f>IF('Eval-Avant impact'!$T$107=0,"",IF('Eval-Avant impact'!$T$107="","",IF('Eval-Avant impact'!C562&lt;&gt;"",'Eval-Avant impact'!C562,"")))</f>
        <v/>
      </c>
      <c r="DQ2" s="5" t="str">
        <f>IF('Eval-Avant impact'!$T$107=0,"",IF('Eval-Avant impact'!$T$107="","",IF('Eval-Avant impact'!C565&lt;&gt;"",'Eval-Avant impact'!C565,"")))</f>
        <v/>
      </c>
      <c r="DR2" s="5" t="str">
        <f>IF('Eval-Avant impact'!$T$107=0,"",IF('Eval-Avant impact'!$T$107="","",IF('Eval-Avant impact'!C568&lt;&gt;"",'Eval-Avant impact'!C568,"")))</f>
        <v/>
      </c>
      <c r="DS2" s="5" t="str">
        <f>IF('Eval-Avant impact'!$T$107=0,"",IF('Eval-Avant impact'!$T$107="","",IF('Eval-Avant impact'!C576&lt;&gt;"",'Eval-Avant impact'!C576,"")))</f>
        <v/>
      </c>
      <c r="DT2" s="5" t="str">
        <f>IF('Eval-Avant impact'!$T$107=0,"",IF('Eval-Avant impact'!$T$107="","",IF('Eval-Avant impact'!C582&lt;&gt;"",'Eval-Avant impact'!C582,"")))</f>
        <v/>
      </c>
      <c r="DU2" s="5" t="str">
        <f>IF('Eval-Avant impact'!$T$107=0,"",IF('Eval-Avant impact'!$T$107="","",IF('Eval-Avant impact'!C588&lt;&gt;"",'Eval-Avant impact'!C588,"")))</f>
        <v/>
      </c>
      <c r="DV2" s="5" t="str">
        <f>IF('Eval-Avant impact'!$T$107=0,"",IF('Eval-Avant impact'!$T$107="","",IF('Eval-Avant impact'!J594="X","oui","non")))</f>
        <v/>
      </c>
      <c r="DW2" s="5" t="str">
        <f>IF('Eval-Avant impact'!$T$107=0,"",IF('Eval-Avant impact'!$T$107="","",IF('Eval-Avant impact'!J594="X",'Eval-Avant impact'!T600,"")))</f>
        <v/>
      </c>
      <c r="DX2" s="4" t="str">
        <f>IF('Eval-Avant impact'!$T$107=0,"",IF('Eval-Avant impact'!$T$107="","",'Eval-Avant impact'!J605))</f>
        <v/>
      </c>
      <c r="DY2" s="5" t="str">
        <f>IF('Eval-Avant impact'!$T$107=0,"",IF('Eval-Avant impact'!$T$107="","",'Eval-Avant impact'!F609))</f>
        <v/>
      </c>
      <c r="DZ2" s="5" t="str">
        <f>IF('Eval-Avant impact'!$T$107=0,"",IF('Eval-Avant impact'!$T$107="","",'Eval-Avant impact'!I609))</f>
        <v/>
      </c>
      <c r="EA2" s="5" t="str">
        <f>IF('Eval-Avant impact'!$T$107=0,"",IF('Eval-Avant impact'!$T$107="","",'Eval-Avant impact'!L609))</f>
        <v/>
      </c>
      <c r="EB2" s="5" t="str">
        <f>IF('Eval-Avant impact'!$T$107=0,"",IF('Eval-Avant impact'!$T$107="","",'Eval-Avant impact'!O609))</f>
        <v/>
      </c>
      <c r="EC2" s="5" t="str">
        <f>IF('Eval-Avant impact'!$T$107=0,"",IF('Eval-Avant impact'!$T$107="","",'Eval-Avant impact'!F610))</f>
        <v/>
      </c>
      <c r="ED2" s="5" t="str">
        <f>IF('Eval-Avant impact'!$T$107=0,"",IF('Eval-Avant impact'!$T$107="","",'Eval-Avant impact'!I610))</f>
        <v/>
      </c>
      <c r="EE2" s="5" t="str">
        <f>IF('Eval-Avant impact'!$T$107=0,"",IF('Eval-Avant impact'!$T$107="","",'Eval-Avant impact'!L610))</f>
        <v/>
      </c>
      <c r="EF2" s="5" t="str">
        <f>IF('Eval-Avant impact'!$T$107=0,"",IF('Eval-Avant impact'!$T$107="","",'Eval-Avant impact'!O610))</f>
        <v/>
      </c>
      <c r="EG2" s="5" t="str">
        <f>IF('Eval-Avant impact'!$T$107=0,"",IF('Eval-Avant impact'!$T$107="","",'Eval-Avant impact'!F611))</f>
        <v/>
      </c>
      <c r="EH2" s="5" t="str">
        <f>IF('Eval-Avant impact'!$T$107=0,"",IF('Eval-Avant impact'!$T$107="","",'Eval-Avant impact'!I611))</f>
        <v/>
      </c>
      <c r="EI2" s="5" t="str">
        <f>IF('Eval-Avant impact'!$T$107=0,"",IF('Eval-Avant impact'!$T$107="","",'Eval-Avant impact'!L611))</f>
        <v/>
      </c>
      <c r="EJ2" s="5" t="str">
        <f>IF('Eval-Avant impact'!$T$107=0,"",IF('Eval-Avant impact'!$T$107="","",'Eval-Avant impact'!O611))</f>
        <v/>
      </c>
      <c r="EK2" s="5" t="str">
        <f>IF('Eval-Avant impact'!$T$107=0,"",IF('Eval-Avant impact'!$T$107="","",'Eval-Avant impact'!F612))</f>
        <v/>
      </c>
      <c r="EL2" s="5" t="str">
        <f>IF('Eval-Avant impact'!$T$107=0,"",IF('Eval-Avant impact'!$T$107="","",'Eval-Avant impact'!I612))</f>
        <v/>
      </c>
      <c r="EM2" s="5" t="str">
        <f>IF('Eval-Avant impact'!$T$107=0,"",IF('Eval-Avant impact'!$T$107="","",'Eval-Avant impact'!L612))</f>
        <v/>
      </c>
      <c r="EN2" s="5" t="str">
        <f>IF('Eval-Avant impact'!$T$107=0,"",IF('Eval-Avant impact'!$T$107="","",'Eval-Avant impact'!O612))</f>
        <v/>
      </c>
      <c r="EO2" s="5" t="str">
        <f>IF('Eval-Avant impact'!$T$107=0,"",IF('Eval-Avant impact'!$T$107="","",'Eval-Avant impact'!T619))</f>
        <v/>
      </c>
      <c r="EP2" s="5" t="str">
        <f>IF('Eval-Avant impact'!$T$107=0,"",IF('Eval-Avant impact'!$T$107="","",'Eval-Avant impact'!T622))</f>
        <v/>
      </c>
      <c r="EQ2" s="5" t="str">
        <f>IF('Eval-Avant impact'!$T$107=0,"",IF('Eval-Avant impact'!$T$107="","",'Eval-Avant impact'!T623))</f>
        <v/>
      </c>
      <c r="ER2" s="5" t="str">
        <f>IF('Eval-Avant impact'!$T$107=0,"",IF('Eval-Avant impact'!$T$107="","",'Eval-Avant impact'!T624))</f>
        <v/>
      </c>
      <c r="ES2" s="5" t="str">
        <f>IF('Eval-Avant impact'!$T$107=0,"",IF('Eval-Avant impact'!$T$107="","",'Eval-Avant impact'!T626))</f>
        <v/>
      </c>
      <c r="ET2" s="5" t="str">
        <f>IF('Eval-Avant impact'!$T$107=0,"",IF('Eval-Avant impact'!$T$107="","",'Eval-Avant impact'!T627))</f>
        <v/>
      </c>
      <c r="EU2" s="5" t="str">
        <f>IF('Eval-Avant impact'!$T$107=0,"",IF('Eval-Avant impact'!$T$107="","",'Eval-Avant impact'!T628))</f>
        <v/>
      </c>
      <c r="EV2" s="5" t="str">
        <f>IF('Eval-Avant impact'!$T$107=0,"",IF('Eval-Avant impact'!$T$107="","",'Eval-Avant impact'!T629))</f>
        <v/>
      </c>
      <c r="EW2" s="5" t="str">
        <f>IF('Eval-Avant impact'!$T$107=0,"",IF('Eval-Avant impact'!$T$107="","",'Eval-Avant impact'!T630))</f>
        <v/>
      </c>
      <c r="EX2" s="5" t="str">
        <f>IF('Eval-Avant impact'!$T$107=0,"",IF('Eval-Avant impact'!$T$107="","",'Eval-Avant impact'!T637))</f>
        <v/>
      </c>
      <c r="EY2" s="5" t="str">
        <f>IF('Eval-Avant impact'!$T$107=0,"",IF('Eval-Avant impact'!$T$107="","",'Eval-Avant impact'!T639))</f>
        <v/>
      </c>
      <c r="EZ2" s="5" t="str">
        <f>IF('Eval-Avant impact'!$T$107=0,"",IF('Eval-Avant impact'!$T$107="","",'Eval-Avant impact'!T640))</f>
        <v/>
      </c>
      <c r="FA2" s="5" t="str">
        <f>IF('Eval-Avant impact'!$T$107=0,"",IF('Eval-Avant impact'!$T$107="","",'Eval-Avant impact'!T648))</f>
        <v/>
      </c>
      <c r="FB2" s="5" t="str">
        <f>IF('Eval-Avant impact'!$T$107=0,"",IF('Eval-Avant impact'!$T$107="","",'Eval-Avant impact'!T649))</f>
        <v/>
      </c>
      <c r="FC2" s="5" t="str">
        <f>IF('Eval-Avant impact'!$T$107=0,"",IF('Eval-Avant impact'!$T$107="","",'Eval-Avant impact'!T651))</f>
        <v/>
      </c>
      <c r="FD2" s="5" t="str">
        <f>IF('Eval-Avant impact'!$T$107=0,"",IF('Eval-Avant impact'!$T$107="","",'Eval-Avant impact'!T652))</f>
        <v/>
      </c>
      <c r="FE2" s="5" t="str">
        <f>IF('Eval-Avant impact'!$T$107=0,"",IF('Eval-Avant impact'!$T$107="","",'Eval-Avant impact'!T654))</f>
        <v/>
      </c>
      <c r="FF2" s="5" t="str">
        <f>IF('Eval-Avant impact'!$T$107=0,"",IF('Eval-Avant impact'!$T$107="","",IF('Eval-Avant impact'!J661="X","oui","non")))</f>
        <v/>
      </c>
      <c r="FG2" s="5" t="str">
        <f>IF('Eval-Avant impact'!$T$107=0,"",IF('Eval-Avant impact'!$T$107="","",IF('Eval-Avant impact'!J662="X","oui","non")))</f>
        <v/>
      </c>
      <c r="FH2" s="5" t="str">
        <f>IF('Eval-Avant impact'!$T$107=0,"",IF('Eval-Avant impact'!$T$107="","",'Eval-Avant impact'!J669))</f>
        <v/>
      </c>
      <c r="FI2" s="5" t="str">
        <f>IF('Eval-Avant impact'!$T$107=0,"",IF('Eval-Avant impact'!$T$107="","",'Eval-Avant impact'!J670))</f>
        <v/>
      </c>
      <c r="FJ2" s="5" t="str">
        <f>IF('Eval-Avant impact'!$T$107=0,"",IF('Eval-Avant impact'!$T$107="","",'Eval-Avant impact'!N669))</f>
        <v/>
      </c>
      <c r="FK2" s="5" t="str">
        <f>IF('Eval-Avant impact'!$T$107=0,"",IF('Eval-Avant impact'!$T$107="","",'Eval-Avant impact'!N670))</f>
        <v/>
      </c>
      <c r="FL2" s="5" t="str">
        <f>IF('Eval-Avant impact'!$T$107=0,"",IF('Eval-Avant impact'!$T$107="","",'Eval-Avant impact'!T669))</f>
        <v/>
      </c>
      <c r="FM2" s="5" t="str">
        <f>IF('Eval-Avant impact'!$T$107=0,"",IF('Eval-Avant impact'!$T$107="","",'Eval-Avant impact'!T670))</f>
        <v/>
      </c>
      <c r="FN2" s="5" t="str">
        <f>IF('Eval-Avant impact'!$T$107=0,"",IF('Eval-Avant impact'!$T$107="","",IF('Eval-Avant impact'!J677="X","oui",IF('Eval-Avant impact'!T677="X","non",""))))</f>
        <v/>
      </c>
      <c r="FO2" s="5" t="str">
        <f>IF('Eval-Avant impact'!$T$107=0,"",IF('Eval-Avant impact'!$T$107="","",IF('Eval-Avant impact'!J682="X","oui",IF('Eval-Avant impact'!T682="X","non",""))))</f>
        <v/>
      </c>
      <c r="FP2" s="5" t="str">
        <f>IF('Eval-Avant impact'!$T$107=0,"",IF('Eval-Avant impact'!$T$107="","",IF('Eval-Avant impact'!J686="X","oui",IF('Eval-Avant impact'!T686="X","non",""))))</f>
        <v/>
      </c>
      <c r="FQ2" s="5" t="str">
        <f>IF('Eval-Avant impact'!$T$107=0,"",IF('Eval-Avant impact'!$T$107="","",IF('Eval-Avant impact'!T691&lt;&gt;"",'Eval-Avant impact'!T691,"")))</f>
        <v/>
      </c>
      <c r="FR2" s="5" t="str">
        <f>IF('Eval-Avant impact'!$T$107=0,"",IF('Eval-Avant impact'!$T$107="","",IF('Eval-Avant impact'!J695="X","oui",IF('Eval-Avant impact'!T695="X","non",""))))</f>
        <v/>
      </c>
      <c r="FS2" s="5" t="str">
        <f>IF('Eval-Avant impact'!$T$107=0,"",IF('Eval-Avant impact'!$T$107="","",IF('Eval-Avant impact'!T699&lt;&gt;"",'Eval-Avant impact'!T699,"")))</f>
        <v/>
      </c>
      <c r="FT2" s="5" t="str">
        <f>IF('Eval-Avant impact'!$T$107=0,"",IF('Eval-Avant impact'!$T$107="","",IF('Eval-Avant impact'!J703="X","oui",IF('Eval-Avant impact'!T703="X","non",""))))</f>
        <v/>
      </c>
      <c r="FU2" s="5" t="str">
        <f>IF('Eval-Avant impact'!$T$107=0,"",IF('Eval-Avant impact'!$T$107="","",IF('Eval-Avant impact'!J711="X","oui",IF('Eval-Avant impact'!T711="X","non",""))))</f>
        <v/>
      </c>
      <c r="FV2" s="5" t="str">
        <f>IF('Eval-Avant impact'!$T$107=0,"",IF('Eval-Avant impact'!$T$107="","",IF(COUNTA('Eval-Avant impact'!J715,'Eval-Avant impact'!J716,'Eval-Avant impact'!J717,'Eval-Avant impact'!J718,'Eval-Avant impact'!T715,'Eval-Avant impact'!T716,'Eval-Avant impact'!T717)=0,"",IF('Eval-Avant impact'!J715="X",'Eval-Avant impact'!I715,IF('Eval-Avant impact'!T715="X",'Eval-Avant impact'!S715,IF('Eval-Avant impact'!J716="X",'Eval-Avant impact'!I716,IF('Eval-Avant impact'!T716="X",'Eval-Avant impact'!S716,IF('Eval-Avant impact'!J717="X",'Eval-Avant impact'!I717,IF('Eval-Avant impact'!T717="X",'Eval-Avant impact'!S717,'Eval-Avant impact'!I718)))))))))</f>
        <v/>
      </c>
      <c r="FW2" s="5" t="str">
        <f>IF('Eval-Avant impact'!$T$107=0,"",IF('Eval-Avant impact'!$T$107="","",IF('Eval-Avant impact'!J722="X","oui",IF('Eval-Avant impact'!T722="X","non",""))))</f>
        <v/>
      </c>
      <c r="FX2" s="5" t="str">
        <f>IF('Eval-Avant impact'!$T$107=0,"",IF('Eval-Avant impact'!$T$107="","",IF('Eval-Avant impact'!T726&lt;&gt;"",'Eval-Avant impact'!T726,"")))</f>
        <v/>
      </c>
      <c r="FY2" s="5" t="str">
        <f>IF('Eval-Avant impact'!$T$107=0,"",IF('Eval-Avant impact'!$T$107="","",IF('Eval-Avant impact'!T732&lt;&gt;"",'Eval-Avant impact'!T732,"")))</f>
        <v/>
      </c>
      <c r="FZ2" s="5" t="str">
        <f>IF('Eval-Avant impact'!$T$107=0,"",IF('Eval-Avant impact'!$T$107="","",IF('Eval-Avant impact'!T734&lt;&gt;"",'Eval-Avant impact'!T734,"")))</f>
        <v/>
      </c>
      <c r="GA2" s="5" t="str">
        <f>IF('Eval-Avant impact'!$T$107=0,"",IF('Eval-Avant impact'!$T$107="","",IF('Eval-Avant impact'!T736&lt;&gt;"",'Eval-Avant impact'!T736,"")))</f>
        <v/>
      </c>
      <c r="GB2" s="5" t="str">
        <f>IF('Eval-Avant impact'!$T$107=0,"",IF('Eval-Avant impact'!$T$107="","",IF('Eval-Avant impact'!T738&lt;&gt;"",'Eval-Avant impact'!T738,"")))</f>
        <v/>
      </c>
      <c r="GC2" s="5" t="str">
        <f>IF('Eval-Avant impact'!$T$107=0,"",IF('Eval-Avant impact'!$T$107="","",IF('Eval-Avant impact'!B755&lt;&gt;"",'Eval-Avant impact'!B755,"")))</f>
        <v/>
      </c>
      <c r="GD2" s="5" t="str">
        <f>IF('Eval-Avant impact'!$T$107=0,"",IF('Eval-Avant impact'!$T$107="","",IF('Eval-Avant impact'!C755&lt;&gt;"",'Eval-Avant impact'!C755,"")))</f>
        <v/>
      </c>
      <c r="GE2" s="5" t="str">
        <f>IF('Eval-Avant impact'!$T$107=0,"",IF('Eval-Avant impact'!$T$107="","",IF('Eval-Avant impact'!A761&lt;&gt;"",'Eval-Avant impact'!A761,"")))</f>
        <v/>
      </c>
      <c r="GF2" s="5" t="str">
        <f>IF('Eval-Avant impact'!$T$107=0,"",IF('Eval-Avant impact'!$T$107="","",IF('Eval-Avant impact'!B761&lt;&gt;"",'Eval-Avant impact'!B761,"")))</f>
        <v/>
      </c>
      <c r="GG2" s="5" t="str">
        <f>IF('Eval-Avant impact'!$T$107=0,"",IF('Eval-Avant impact'!$T$107="","",IF('Eval-Avant impact'!C761&lt;&gt;"",'Eval-Avant impact'!C761,"")))</f>
        <v/>
      </c>
      <c r="GH2" s="5" t="str">
        <f>IF('Eval-Avant impact'!$T$107=0,"",IF('Eval-Avant impact'!$T$107="","",IF('Eval-Avant impact'!E761&lt;&gt;"",'Eval-Avant impact'!E761,"")))</f>
        <v/>
      </c>
      <c r="GI2" s="5" t="str">
        <f>IF('Eval-Avant impact'!$T$107=0,"",IF('Eval-Avant impact'!$T$107="","",IF('Eval-Avant impact'!G761&lt;&gt;"",'Eval-Avant impact'!G761,"")))</f>
        <v/>
      </c>
      <c r="GJ2" s="5" t="str">
        <f>IF('Eval-Avant impact'!$T$107=0,"",IF('Eval-Avant impact'!$T$107="","",IF('Eval-Avant impact'!H761&lt;&gt;"",'Eval-Avant impact'!H761,"")))</f>
        <v/>
      </c>
      <c r="GK2" s="5" t="str">
        <f>IF('Eval-Avant impact'!$T$107=0,"",IF('Eval-Avant impact'!$T$107="","",IF('Eval-Avant impact'!I761&lt;&gt;"",'Eval-Avant impact'!I761,"")))</f>
        <v/>
      </c>
      <c r="GL2" s="5" t="str">
        <f>IF('Eval-Avant impact'!$T$107=0,"",IF('Eval-Avant impact'!$T$107="","",IF('Eval-Avant impact'!J761&lt;&gt;"",'Eval-Avant impact'!J761,"")))</f>
        <v/>
      </c>
      <c r="GM2" s="5" t="str">
        <f>IF('Eval-Avant impact'!$T$107=0,"",IF('Eval-Avant impact'!$T$107="","",IF('Eval-Avant impact'!K761&lt;&gt;"",'Eval-Avant impact'!K761,"")))</f>
        <v/>
      </c>
      <c r="GN2" s="5" t="str">
        <f>IF('Eval-Avant impact'!$T$107=0,"",IF('Eval-Avant impact'!$T$107="","",IF('Eval-Avant impact'!L761&lt;&gt;"",'Eval-Avant impact'!L761,"")))</f>
        <v/>
      </c>
      <c r="GO2" s="5" t="str">
        <f>IF('Eval-Avant impact'!$T$107=0,"",IF('Eval-Avant impact'!$T$107="","",IF('Eval-Avant impact'!M761&lt;&gt;"",'Eval-Avant impact'!M761,"")))</f>
        <v/>
      </c>
      <c r="GP2" s="5" t="str">
        <f>IF('Eval-Avant impact'!$T$107=0,"",IF('Eval-Avant impact'!$T$107="","",IF('Eval-Avant impact'!N761&lt;&gt;"",'Eval-Avant impact'!N761,"")))</f>
        <v/>
      </c>
      <c r="GQ2" s="5" t="str">
        <f>IF('Eval-Avant impact'!$T$107=0,"",IF('Eval-Avant impact'!$T$107="","",IF('Eval-Avant impact'!O761&lt;&gt;"",'Eval-Avant impact'!O761,"")))</f>
        <v/>
      </c>
      <c r="GR2" s="5" t="str">
        <f>IF('Eval-Avant impact'!$T$107=0,"",IF('Eval-Avant impact'!$T$107="","",IF('Eval-Avant impact'!P761&lt;&gt;"",'Eval-Avant impact'!P761,"")))</f>
        <v/>
      </c>
      <c r="GS2" s="5" t="str">
        <f>IF('Eval-Avant impact'!$T$107=0,"",IF('Eval-Avant impact'!$T$107="","",IF('Eval-Avant impact'!Q761&lt;&gt;"",'Eval-Avant impact'!Q761,"")))</f>
        <v/>
      </c>
      <c r="GT2" s="5" t="str">
        <f>IF('Eval-Avant impact'!$T$107=0,"",IF('Eval-Avant impact'!$T$107="","",IF('Eval-Avant impact'!R761&lt;&gt;"",'Eval-Avant impact'!R761,"")))</f>
        <v/>
      </c>
      <c r="GU2" s="5" t="str">
        <f>IF('Eval-Avant impact'!$T$107=0,"",IF('Eval-Avant impact'!$T$107="","",IF('Eval-Avant impact'!S761&lt;&gt;"",'Eval-Avant impact'!S761,"")))</f>
        <v/>
      </c>
      <c r="GV2" s="5" t="str">
        <f>IF('Eval-Avant impact'!$T$107=0,"",IF('Eval-Avant impact'!$T$107="","",IF('Eval-Avant impact'!T761&lt;&gt;"",'Eval-Avant impact'!T761,"")))</f>
        <v/>
      </c>
      <c r="GW2" s="5" t="str">
        <f>IF('Eval-Avant impact'!$T$107=0,"",IF('Eval-Avant impact'!$T$107="","",IF('Eval-Avant impact'!U761&lt;&gt;"",'Eval-Avant impact'!U761,"")))</f>
        <v/>
      </c>
      <c r="GX2" s="5" t="str">
        <f>IF('Eval-Avant impact'!$T$107=0,"",IF('Eval-Avant impact'!$T$107="","",IF('Eval-Avant impact'!V761&lt;&gt;"",'Eval-Avant impact'!V761,"")))</f>
        <v/>
      </c>
      <c r="GY2" s="5" t="str">
        <f>IF('Eval-Avant impact'!$T$107=0,"",IF('Eval-Avant impact'!$T$107="","",IF('Eval-Avant impact'!W761&lt;&gt;"",'Eval-Avant impact'!W761,"")))</f>
        <v/>
      </c>
      <c r="GZ2" s="5" t="str">
        <f>IF('Eval-Avant impact'!$T$107=0,"",IF('Eval-Avant impact'!$T$107="","",IF('Eval-Avant impact'!X761&lt;&gt;"",'Eval-Avant impact'!X761,"")))</f>
        <v/>
      </c>
      <c r="HA2" s="5" t="str">
        <f>IF('Eval-Avant impact'!$T$107=0,"",IF('Eval-Avant impact'!$T$107="","",IF('Eval-Avant impact'!Y761&lt;&gt;"",'Eval-Avant impact'!Y761,"")))</f>
        <v/>
      </c>
      <c r="HB2" s="5" t="str">
        <f>IF('Eval-Avant impact'!$T$107=0,"",IF('Eval-Avant impact'!$T$107="","",IF('Eval-Avant impact'!A762&lt;&gt;"",'Eval-Avant impact'!A762,"")))</f>
        <v/>
      </c>
      <c r="HC2" s="5" t="str">
        <f>IF('Eval-Avant impact'!$T$107=0,"",IF('Eval-Avant impact'!$T$107="","",IF('Eval-Avant impact'!B762&lt;&gt;"",'Eval-Avant impact'!B762,"")))</f>
        <v/>
      </c>
      <c r="HD2" s="5" t="str">
        <f>IF('Eval-Avant impact'!$T$107=0,"",IF('Eval-Avant impact'!$T$107="","",IF('Eval-Avant impact'!C762&lt;&gt;"",'Eval-Avant impact'!C762,"")))</f>
        <v/>
      </c>
      <c r="HE2" s="5" t="str">
        <f>IF('Eval-Avant impact'!$T$107=0,"",IF('Eval-Avant impact'!$T$107="","",IF('Eval-Avant impact'!E762&lt;&gt;"",'Eval-Avant impact'!E762,"")))</f>
        <v/>
      </c>
      <c r="HF2" s="5" t="str">
        <f>IF('Eval-Avant impact'!$T$107=0,"",IF('Eval-Avant impact'!$T$107="","",IF('Eval-Avant impact'!G762&lt;&gt;"",'Eval-Avant impact'!G762,"")))</f>
        <v/>
      </c>
      <c r="HG2" s="5" t="str">
        <f>IF('Eval-Avant impact'!$T$107=0,"",IF('Eval-Avant impact'!$T$107="","",IF('Eval-Avant impact'!H762&lt;&gt;"",'Eval-Avant impact'!H762,"")))</f>
        <v/>
      </c>
      <c r="HH2" s="5" t="str">
        <f>IF('Eval-Avant impact'!$T$107=0,"",IF('Eval-Avant impact'!$T$107="","",IF('Eval-Avant impact'!I762&lt;&gt;"",'Eval-Avant impact'!I762,"")))</f>
        <v/>
      </c>
      <c r="HI2" s="5" t="str">
        <f>IF('Eval-Avant impact'!$T$107=0,"",IF('Eval-Avant impact'!$T$107="","",IF('Eval-Avant impact'!J762&lt;&gt;"",'Eval-Avant impact'!J762,"")))</f>
        <v/>
      </c>
      <c r="HJ2" s="5" t="str">
        <f>IF('Eval-Avant impact'!$T$107=0,"",IF('Eval-Avant impact'!$T$107="","",IF('Eval-Avant impact'!K762&lt;&gt;"",'Eval-Avant impact'!K762,"")))</f>
        <v/>
      </c>
      <c r="HK2" s="5" t="str">
        <f>IF('Eval-Avant impact'!$T$107=0,"",IF('Eval-Avant impact'!$T$107="","",IF('Eval-Avant impact'!L762&lt;&gt;"",'Eval-Avant impact'!L762,"")))</f>
        <v/>
      </c>
      <c r="HL2" s="5" t="str">
        <f>IF('Eval-Avant impact'!$T$107=0,"",IF('Eval-Avant impact'!$T$107="","",IF('Eval-Avant impact'!M762&lt;&gt;"",'Eval-Avant impact'!M762,"")))</f>
        <v/>
      </c>
      <c r="HM2" s="5" t="str">
        <f>IF('Eval-Avant impact'!$T$107=0,"",IF('Eval-Avant impact'!$T$107="","",IF('Eval-Avant impact'!N762&lt;&gt;"",'Eval-Avant impact'!N762,"")))</f>
        <v/>
      </c>
      <c r="HN2" s="5" t="str">
        <f>IF('Eval-Avant impact'!$T$107=0,"",IF('Eval-Avant impact'!$T$107="","",IF('Eval-Avant impact'!O762&lt;&gt;"",'Eval-Avant impact'!O762,"")))</f>
        <v/>
      </c>
      <c r="HO2" s="5" t="str">
        <f>IF('Eval-Avant impact'!$T$107=0,"",IF('Eval-Avant impact'!$T$107="","",IF('Eval-Avant impact'!P762&lt;&gt;"",'Eval-Avant impact'!P762,"")))</f>
        <v/>
      </c>
      <c r="HP2" s="5" t="str">
        <f>IF('Eval-Avant impact'!$T$107=0,"",IF('Eval-Avant impact'!$T$107="","",IF('Eval-Avant impact'!Q762&lt;&gt;"",'Eval-Avant impact'!Q762,"")))</f>
        <v/>
      </c>
      <c r="HQ2" s="5" t="str">
        <f>IF('Eval-Avant impact'!$T$107=0,"",IF('Eval-Avant impact'!$T$107="","",IF('Eval-Avant impact'!R762&lt;&gt;"",'Eval-Avant impact'!R762,"")))</f>
        <v/>
      </c>
      <c r="HR2" s="5" t="str">
        <f>IF('Eval-Avant impact'!$T$107=0,"",IF('Eval-Avant impact'!$T$107="","",IF('Eval-Avant impact'!S762&lt;&gt;"",'Eval-Avant impact'!S762,"")))</f>
        <v/>
      </c>
      <c r="HS2" s="5" t="str">
        <f>IF('Eval-Avant impact'!$T$107=0,"",IF('Eval-Avant impact'!$T$107="","",IF('Eval-Avant impact'!T762&lt;&gt;"",'Eval-Avant impact'!T762,"")))</f>
        <v/>
      </c>
      <c r="HT2" s="5" t="str">
        <f>IF('Eval-Avant impact'!$T$107=0,"",IF('Eval-Avant impact'!$T$107="","",IF('Eval-Avant impact'!U762&lt;&gt;"",'Eval-Avant impact'!U762,"")))</f>
        <v/>
      </c>
      <c r="HU2" s="5" t="str">
        <f>IF('Eval-Avant impact'!$T$107=0,"",IF('Eval-Avant impact'!$T$107="","",IF('Eval-Avant impact'!V762&lt;&gt;"",'Eval-Avant impact'!V762,"")))</f>
        <v/>
      </c>
      <c r="HV2" s="5" t="str">
        <f>IF('Eval-Avant impact'!$T$107=0,"",IF('Eval-Avant impact'!$T$107="","",IF('Eval-Avant impact'!W762&lt;&gt;"",'Eval-Avant impact'!W762,"")))</f>
        <v/>
      </c>
      <c r="HW2" s="5" t="str">
        <f>IF('Eval-Avant impact'!$T$107=0,"",IF('Eval-Avant impact'!$T$107="","",IF('Eval-Avant impact'!X762&lt;&gt;"",'Eval-Avant impact'!X762,"")))</f>
        <v/>
      </c>
      <c r="HX2" s="5" t="str">
        <f>IF('Eval-Avant impact'!$T$107=0,"",IF('Eval-Avant impact'!$T$107="","",IF('Eval-Avant impact'!Y762&lt;&gt;"",'Eval-Avant impact'!Y762,"")))</f>
        <v/>
      </c>
      <c r="HY2" s="5" t="str">
        <f>IF('Eval-Avant impact'!$T$107=0,"",IF('Eval-Avant impact'!$T$107="","",IF('Eval-Avant impact'!A763&lt;&gt;"",'Eval-Avant impact'!A763,"")))</f>
        <v/>
      </c>
      <c r="HZ2" s="5" t="str">
        <f>IF('Eval-Avant impact'!$T$107=0,"",IF('Eval-Avant impact'!$T$107="","",IF('Eval-Avant impact'!B763&lt;&gt;"",'Eval-Avant impact'!B763,"")))</f>
        <v/>
      </c>
      <c r="IA2" s="5" t="str">
        <f>IF('Eval-Avant impact'!$T$107=0,"",IF('Eval-Avant impact'!$T$107="","",IF('Eval-Avant impact'!C763&lt;&gt;"",'Eval-Avant impact'!C763,"")))</f>
        <v/>
      </c>
      <c r="IB2" s="5" t="str">
        <f>IF('Eval-Avant impact'!$T$107=0,"",IF('Eval-Avant impact'!$T$107="","",IF('Eval-Avant impact'!E763&lt;&gt;"",'Eval-Avant impact'!E763,"")))</f>
        <v/>
      </c>
      <c r="IC2" s="5" t="str">
        <f>IF('Eval-Avant impact'!$T$107=0,"",IF('Eval-Avant impact'!$T$107="","",IF('Eval-Avant impact'!G763&lt;&gt;"",'Eval-Avant impact'!G763,"")))</f>
        <v/>
      </c>
      <c r="ID2" s="5" t="str">
        <f>IF('Eval-Avant impact'!$T$107=0,"",IF('Eval-Avant impact'!$T$107="","",IF('Eval-Avant impact'!H763&lt;&gt;"",'Eval-Avant impact'!H763,"")))</f>
        <v/>
      </c>
      <c r="IE2" s="5" t="str">
        <f>IF('Eval-Avant impact'!$T$107=0,"",IF('Eval-Avant impact'!$T$107="","",IF('Eval-Avant impact'!I763&lt;&gt;"",'Eval-Avant impact'!I763,"")))</f>
        <v/>
      </c>
      <c r="IF2" s="5" t="str">
        <f>IF('Eval-Avant impact'!$T$107=0,"",IF('Eval-Avant impact'!$T$107="","",IF('Eval-Avant impact'!J763&lt;&gt;"",'Eval-Avant impact'!J763,"")))</f>
        <v/>
      </c>
      <c r="IG2" s="5" t="str">
        <f>IF('Eval-Avant impact'!$T$107=0,"",IF('Eval-Avant impact'!$T$107="","",IF('Eval-Avant impact'!K763&lt;&gt;"",'Eval-Avant impact'!K763,"")))</f>
        <v/>
      </c>
      <c r="IH2" s="5" t="str">
        <f>IF('Eval-Avant impact'!$T$107=0,"",IF('Eval-Avant impact'!$T$107="","",IF('Eval-Avant impact'!L763&lt;&gt;"",'Eval-Avant impact'!L763,"")))</f>
        <v/>
      </c>
      <c r="II2" s="5" t="str">
        <f>IF('Eval-Avant impact'!$T$107=0,"",IF('Eval-Avant impact'!$T$107="","",IF('Eval-Avant impact'!M763&lt;&gt;"",'Eval-Avant impact'!M763,"")))</f>
        <v/>
      </c>
      <c r="IJ2" s="5" t="str">
        <f>IF('Eval-Avant impact'!$T$107=0,"",IF('Eval-Avant impact'!$T$107="","",IF('Eval-Avant impact'!N763&lt;&gt;"",'Eval-Avant impact'!N763,"")))</f>
        <v/>
      </c>
      <c r="IK2" s="5" t="str">
        <f>IF('Eval-Avant impact'!$T$107=0,"",IF('Eval-Avant impact'!$T$107="","",IF('Eval-Avant impact'!O763&lt;&gt;"",'Eval-Avant impact'!O763,"")))</f>
        <v/>
      </c>
      <c r="IL2" s="5" t="str">
        <f>IF('Eval-Avant impact'!$T$107=0,"",IF('Eval-Avant impact'!$T$107="","",IF('Eval-Avant impact'!P763&lt;&gt;"",'Eval-Avant impact'!P763,"")))</f>
        <v/>
      </c>
      <c r="IM2" s="5" t="str">
        <f>IF('Eval-Avant impact'!$T$107=0,"",IF('Eval-Avant impact'!$T$107="","",IF('Eval-Avant impact'!Q763&lt;&gt;"",'Eval-Avant impact'!Q763,"")))</f>
        <v/>
      </c>
      <c r="IN2" s="5" t="str">
        <f>IF('Eval-Avant impact'!$T$107=0,"",IF('Eval-Avant impact'!$T$107="","",IF('Eval-Avant impact'!R763&lt;&gt;"",'Eval-Avant impact'!R763,"")))</f>
        <v/>
      </c>
      <c r="IO2" s="5" t="str">
        <f>IF('Eval-Avant impact'!$T$107=0,"",IF('Eval-Avant impact'!$T$107="","",IF('Eval-Avant impact'!S763&lt;&gt;"",'Eval-Avant impact'!S763,"")))</f>
        <v/>
      </c>
      <c r="IP2" s="5" t="str">
        <f>IF('Eval-Avant impact'!$T$107=0,"",IF('Eval-Avant impact'!$T$107="","",IF('Eval-Avant impact'!T763&lt;&gt;"",'Eval-Avant impact'!T763,"")))</f>
        <v/>
      </c>
      <c r="IQ2" s="5" t="str">
        <f>IF('Eval-Avant impact'!$T$107=0,"",IF('Eval-Avant impact'!$T$107="","",IF('Eval-Avant impact'!U763&lt;&gt;"",'Eval-Avant impact'!U763,"")))</f>
        <v/>
      </c>
      <c r="IR2" s="5" t="str">
        <f>IF('Eval-Avant impact'!$T$107=0,"",IF('Eval-Avant impact'!$T$107="","",IF('Eval-Avant impact'!V763&lt;&gt;"",'Eval-Avant impact'!V763,"")))</f>
        <v/>
      </c>
      <c r="IS2" s="5" t="str">
        <f>IF('Eval-Avant impact'!$T$107=0,"",IF('Eval-Avant impact'!$T$107="","",IF('Eval-Avant impact'!W763&lt;&gt;"",'Eval-Avant impact'!W763,"")))</f>
        <v/>
      </c>
      <c r="IT2" s="5" t="str">
        <f>IF('Eval-Avant impact'!$T$107=0,"",IF('Eval-Avant impact'!$T$107="","",IF('Eval-Avant impact'!X763&lt;&gt;"",'Eval-Avant impact'!X763,"")))</f>
        <v/>
      </c>
      <c r="IU2" s="5" t="str">
        <f>IF('Eval-Avant impact'!$T$107=0,"",IF('Eval-Avant impact'!$T$107="","",IF('Eval-Avant impact'!Y763&lt;&gt;"",'Eval-Avant impact'!Y763,"")))</f>
        <v/>
      </c>
      <c r="IV2" s="5" t="str">
        <f>IF('Eval-Avant impact'!$T$107=0,"",IF('Eval-Avant impact'!$T$107="","",IF('Eval-Avant impact'!A764&lt;&gt;"",'Eval-Avant impact'!A764,"")))</f>
        <v/>
      </c>
      <c r="IW2" s="5" t="str">
        <f>IF('Eval-Avant impact'!$T$107=0,"",IF('Eval-Avant impact'!$T$107="","",IF('Eval-Avant impact'!B764&lt;&gt;"",'Eval-Avant impact'!B764,"")))</f>
        <v/>
      </c>
      <c r="IX2" s="5" t="str">
        <f>IF('Eval-Avant impact'!$T$107=0,"",IF('Eval-Avant impact'!$T$107="","",IF('Eval-Avant impact'!C764&lt;&gt;"",'Eval-Avant impact'!C764,"")))</f>
        <v/>
      </c>
      <c r="IY2" s="5" t="str">
        <f>IF('Eval-Avant impact'!$T$107=0,"",IF('Eval-Avant impact'!$T$107="","",IF('Eval-Avant impact'!E764&lt;&gt;"",'Eval-Avant impact'!E764,"")))</f>
        <v/>
      </c>
      <c r="IZ2" s="5" t="str">
        <f>IF('Eval-Avant impact'!$T$107=0,"",IF('Eval-Avant impact'!$T$107="","",IF('Eval-Avant impact'!G764&lt;&gt;"",'Eval-Avant impact'!G764,"")))</f>
        <v/>
      </c>
      <c r="JA2" s="5" t="str">
        <f>IF('Eval-Avant impact'!$T$107=0,"",IF('Eval-Avant impact'!$T$107="","",IF('Eval-Avant impact'!H764&lt;&gt;"",'Eval-Avant impact'!H764,"")))</f>
        <v/>
      </c>
      <c r="JB2" s="5" t="str">
        <f>IF('Eval-Avant impact'!$T$107=0,"",IF('Eval-Avant impact'!$T$107="","",IF('Eval-Avant impact'!I764&lt;&gt;"",'Eval-Avant impact'!I764,"")))</f>
        <v/>
      </c>
      <c r="JC2" s="5" t="str">
        <f>IF('Eval-Avant impact'!$T$107=0,"",IF('Eval-Avant impact'!$T$107="","",IF('Eval-Avant impact'!J764&lt;&gt;"",'Eval-Avant impact'!J764,"")))</f>
        <v/>
      </c>
      <c r="JD2" s="5" t="str">
        <f>IF('Eval-Avant impact'!$T$107=0,"",IF('Eval-Avant impact'!$T$107="","",IF('Eval-Avant impact'!K764&lt;&gt;"",'Eval-Avant impact'!K764,"")))</f>
        <v/>
      </c>
      <c r="JE2" s="5" t="str">
        <f>IF('Eval-Avant impact'!$T$107=0,"",IF('Eval-Avant impact'!$T$107="","",IF('Eval-Avant impact'!L764&lt;&gt;"",'Eval-Avant impact'!L764,"")))</f>
        <v/>
      </c>
      <c r="JF2" s="5" t="str">
        <f>IF('Eval-Avant impact'!$T$107=0,"",IF('Eval-Avant impact'!$T$107="","",IF('Eval-Avant impact'!M764&lt;&gt;"",'Eval-Avant impact'!M764,"")))</f>
        <v/>
      </c>
      <c r="JG2" s="5" t="str">
        <f>IF('Eval-Avant impact'!$T$107=0,"",IF('Eval-Avant impact'!$T$107="","",IF('Eval-Avant impact'!N764&lt;&gt;"",'Eval-Avant impact'!N764,"")))</f>
        <v/>
      </c>
      <c r="JH2" s="5" t="str">
        <f>IF('Eval-Avant impact'!$T$107=0,"",IF('Eval-Avant impact'!$T$107="","",IF('Eval-Avant impact'!O764&lt;&gt;"",'Eval-Avant impact'!O764,"")))</f>
        <v/>
      </c>
      <c r="JI2" s="5" t="str">
        <f>IF('Eval-Avant impact'!$T$107=0,"",IF('Eval-Avant impact'!$T$107="","",IF('Eval-Avant impact'!P764&lt;&gt;"",'Eval-Avant impact'!P764,"")))</f>
        <v/>
      </c>
      <c r="JJ2" s="5" t="str">
        <f>IF('Eval-Avant impact'!$T$107=0,"",IF('Eval-Avant impact'!$T$107="","",IF('Eval-Avant impact'!Q764&lt;&gt;"",'Eval-Avant impact'!Q764,"")))</f>
        <v/>
      </c>
      <c r="JK2" s="5" t="str">
        <f>IF('Eval-Avant impact'!$T$107=0,"",IF('Eval-Avant impact'!$T$107="","",IF('Eval-Avant impact'!R764&lt;&gt;"",'Eval-Avant impact'!R764,"")))</f>
        <v/>
      </c>
      <c r="JL2" s="5" t="str">
        <f>IF('Eval-Avant impact'!$T$107=0,"",IF('Eval-Avant impact'!$T$107="","",IF('Eval-Avant impact'!S764&lt;&gt;"",'Eval-Avant impact'!S764,"")))</f>
        <v/>
      </c>
      <c r="JM2" s="5" t="str">
        <f>IF('Eval-Avant impact'!$T$107=0,"",IF('Eval-Avant impact'!$T$107="","",IF('Eval-Avant impact'!T764&lt;&gt;"",'Eval-Avant impact'!T764,"")))</f>
        <v/>
      </c>
      <c r="JN2" s="5" t="str">
        <f>IF('Eval-Avant impact'!$T$107=0,"",IF('Eval-Avant impact'!$T$107="","",IF('Eval-Avant impact'!U764&lt;&gt;"",'Eval-Avant impact'!U764,"")))</f>
        <v/>
      </c>
      <c r="JO2" s="5" t="str">
        <f>IF('Eval-Avant impact'!$T$107=0,"",IF('Eval-Avant impact'!$T$107="","",IF('Eval-Avant impact'!V764&lt;&gt;"",'Eval-Avant impact'!V764,"")))</f>
        <v/>
      </c>
      <c r="JP2" s="5" t="str">
        <f>IF('Eval-Avant impact'!$T$107=0,"",IF('Eval-Avant impact'!$T$107="","",IF('Eval-Avant impact'!W764&lt;&gt;"",'Eval-Avant impact'!W764,"")))</f>
        <v/>
      </c>
      <c r="JQ2" s="5" t="str">
        <f>IF('Eval-Avant impact'!$T$107=0,"",IF('Eval-Avant impact'!$T$107="","",IF('Eval-Avant impact'!X764&lt;&gt;"",'Eval-Avant impact'!X764,"")))</f>
        <v/>
      </c>
      <c r="JR2" s="5" t="str">
        <f>IF('Eval-Avant impact'!$T$107=0,"",IF('Eval-Avant impact'!$T$107="","",IF('Eval-Avant impact'!Y764&lt;&gt;"",'Eval-Avant impact'!Y764,"")))</f>
        <v/>
      </c>
      <c r="JS2" s="5" t="str">
        <f>IF('Eval-Avant impact'!$T$107=0,"",IF('Eval-Avant impact'!$T$107="","",IF('Eval-Avant impact'!A765&lt;&gt;"",'Eval-Avant impact'!A765,"")))</f>
        <v/>
      </c>
      <c r="JT2" s="5" t="str">
        <f>IF('Eval-Avant impact'!$T$107=0,"",IF('Eval-Avant impact'!$T$107="","",IF('Eval-Avant impact'!B765&lt;&gt;"",'Eval-Avant impact'!B765,"")))</f>
        <v/>
      </c>
      <c r="JU2" s="5" t="str">
        <f>IF('Eval-Avant impact'!$T$107=0,"",IF('Eval-Avant impact'!$T$107="","",IF('Eval-Avant impact'!C765&lt;&gt;"",'Eval-Avant impact'!C765,"")))</f>
        <v/>
      </c>
      <c r="JV2" s="5" t="str">
        <f>IF('Eval-Avant impact'!$T$107=0,"",IF('Eval-Avant impact'!$T$107="","",IF('Eval-Avant impact'!E765&lt;&gt;"",'Eval-Avant impact'!E765,"")))</f>
        <v/>
      </c>
      <c r="JW2" s="5" t="str">
        <f>IF('Eval-Avant impact'!$T$107=0,"",IF('Eval-Avant impact'!$T$107="","",IF('Eval-Avant impact'!G765&lt;&gt;"",'Eval-Avant impact'!G765,"")))</f>
        <v/>
      </c>
      <c r="JX2" s="5" t="str">
        <f>IF('Eval-Avant impact'!$T$107=0,"",IF('Eval-Avant impact'!$T$107="","",IF('Eval-Avant impact'!H765&lt;&gt;"",'Eval-Avant impact'!H765,"")))</f>
        <v/>
      </c>
      <c r="JY2" s="5" t="str">
        <f>IF('Eval-Avant impact'!$T$107=0,"",IF('Eval-Avant impact'!$T$107="","",IF('Eval-Avant impact'!I765&lt;&gt;"",'Eval-Avant impact'!I765,"")))</f>
        <v/>
      </c>
      <c r="JZ2" s="5" t="str">
        <f>IF('Eval-Avant impact'!$T$107=0,"",IF('Eval-Avant impact'!$T$107="","",IF('Eval-Avant impact'!J765&lt;&gt;"",'Eval-Avant impact'!J765,"")))</f>
        <v/>
      </c>
      <c r="KA2" s="5" t="str">
        <f>IF('Eval-Avant impact'!$T$107=0,"",IF('Eval-Avant impact'!$T$107="","",IF('Eval-Avant impact'!K765&lt;&gt;"",'Eval-Avant impact'!K765,"")))</f>
        <v/>
      </c>
      <c r="KB2" s="5" t="str">
        <f>IF('Eval-Avant impact'!$T$107=0,"",IF('Eval-Avant impact'!$T$107="","",IF('Eval-Avant impact'!L765&lt;&gt;"",'Eval-Avant impact'!L765,"")))</f>
        <v/>
      </c>
      <c r="KC2" s="5" t="str">
        <f>IF('Eval-Avant impact'!$T$107=0,"",IF('Eval-Avant impact'!$T$107="","",IF('Eval-Avant impact'!M765&lt;&gt;"",'Eval-Avant impact'!M765,"")))</f>
        <v/>
      </c>
      <c r="KD2" s="5" t="str">
        <f>IF('Eval-Avant impact'!$T$107=0,"",IF('Eval-Avant impact'!$T$107="","",IF('Eval-Avant impact'!N765&lt;&gt;"",'Eval-Avant impact'!N765,"")))</f>
        <v/>
      </c>
      <c r="KE2" s="5" t="str">
        <f>IF('Eval-Avant impact'!$T$107=0,"",IF('Eval-Avant impact'!$T$107="","",IF('Eval-Avant impact'!O765&lt;&gt;"",'Eval-Avant impact'!O765,"")))</f>
        <v/>
      </c>
      <c r="KF2" s="5" t="str">
        <f>IF('Eval-Avant impact'!$T$107=0,"",IF('Eval-Avant impact'!$T$107="","",IF('Eval-Avant impact'!P765&lt;&gt;"",'Eval-Avant impact'!P765,"")))</f>
        <v/>
      </c>
      <c r="KG2" s="5" t="str">
        <f>IF('Eval-Avant impact'!$T$107=0,"",IF('Eval-Avant impact'!$T$107="","",IF('Eval-Avant impact'!Q765&lt;&gt;"",'Eval-Avant impact'!Q765,"")))</f>
        <v/>
      </c>
      <c r="KH2" s="5" t="str">
        <f>IF('Eval-Avant impact'!$T$107=0,"",IF('Eval-Avant impact'!$T$107="","",IF('Eval-Avant impact'!R765&lt;&gt;"",'Eval-Avant impact'!R765,"")))</f>
        <v/>
      </c>
      <c r="KI2" s="5" t="str">
        <f>IF('Eval-Avant impact'!$T$107=0,"",IF('Eval-Avant impact'!$T$107="","",IF('Eval-Avant impact'!S765&lt;&gt;"",'Eval-Avant impact'!S765,"")))</f>
        <v/>
      </c>
      <c r="KJ2" s="5" t="str">
        <f>IF('Eval-Avant impact'!$T$107=0,"",IF('Eval-Avant impact'!$T$107="","",IF('Eval-Avant impact'!T765&lt;&gt;"",'Eval-Avant impact'!T765,"")))</f>
        <v/>
      </c>
      <c r="KK2" s="5" t="str">
        <f>IF('Eval-Avant impact'!$T$107=0,"",IF('Eval-Avant impact'!$T$107="","",IF('Eval-Avant impact'!U765&lt;&gt;"",'Eval-Avant impact'!U765,"")))</f>
        <v/>
      </c>
      <c r="KL2" s="5" t="str">
        <f>IF('Eval-Avant impact'!$T$107=0,"",IF('Eval-Avant impact'!$T$107="","",IF('Eval-Avant impact'!V765&lt;&gt;"",'Eval-Avant impact'!V765,"")))</f>
        <v/>
      </c>
      <c r="KM2" s="5" t="str">
        <f>IF('Eval-Avant impact'!$T$107=0,"",IF('Eval-Avant impact'!$T$107="","",IF('Eval-Avant impact'!W765&lt;&gt;"",'Eval-Avant impact'!W765,"")))</f>
        <v/>
      </c>
      <c r="KN2" s="5" t="str">
        <f>IF('Eval-Avant impact'!$T$107=0,"",IF('Eval-Avant impact'!$T$107="","",IF('Eval-Avant impact'!X765&lt;&gt;"",'Eval-Avant impact'!X765,"")))</f>
        <v/>
      </c>
      <c r="KO2" s="5" t="str">
        <f>IF('Eval-Avant impact'!$T$107=0,"",IF('Eval-Avant impact'!$T$107="","",IF('Eval-Avant impact'!Y765&lt;&gt;"",'Eval-Avant impact'!Y765,"")))</f>
        <v/>
      </c>
      <c r="KP2" s="5" t="str">
        <f>IF('Eval-Avant impact'!$T$107=0,"",IF('Eval-Avant impact'!$T$107="","",IF('Eval-Avant impact'!A766&lt;&gt;"",'Eval-Avant impact'!A766,"")))</f>
        <v/>
      </c>
      <c r="KQ2" s="5" t="str">
        <f>IF('Eval-Avant impact'!$T$107=0,"",IF('Eval-Avant impact'!$T$107="","",IF('Eval-Avant impact'!B766&lt;&gt;"",'Eval-Avant impact'!B766,"")))</f>
        <v/>
      </c>
      <c r="KR2" s="5" t="str">
        <f>IF('Eval-Avant impact'!$T$107=0,"",IF('Eval-Avant impact'!$T$107="","",IF('Eval-Avant impact'!C766&lt;&gt;"",'Eval-Avant impact'!C766,"")))</f>
        <v/>
      </c>
      <c r="KS2" s="5" t="str">
        <f>IF('Eval-Avant impact'!$T$107=0,"",IF('Eval-Avant impact'!$T$107="","",IF('Eval-Avant impact'!E766&lt;&gt;"",'Eval-Avant impact'!E766,"")))</f>
        <v/>
      </c>
      <c r="KT2" s="5" t="str">
        <f>IF('Eval-Avant impact'!$T$107=0,"",IF('Eval-Avant impact'!$T$107="","",IF('Eval-Avant impact'!G766&lt;&gt;"",'Eval-Avant impact'!G766,"")))</f>
        <v/>
      </c>
      <c r="KU2" s="5" t="str">
        <f>IF('Eval-Avant impact'!$T$107=0,"",IF('Eval-Avant impact'!$T$107="","",IF('Eval-Avant impact'!H766&lt;&gt;"",'Eval-Avant impact'!H766,"")))</f>
        <v/>
      </c>
      <c r="KV2" s="5" t="str">
        <f>IF('Eval-Avant impact'!$T$107=0,"",IF('Eval-Avant impact'!$T$107="","",IF('Eval-Avant impact'!I766&lt;&gt;"",'Eval-Avant impact'!I766,"")))</f>
        <v/>
      </c>
      <c r="KW2" s="5" t="str">
        <f>IF('Eval-Avant impact'!$T$107=0,"",IF('Eval-Avant impact'!$T$107="","",IF('Eval-Avant impact'!J766&lt;&gt;"",'Eval-Avant impact'!J766,"")))</f>
        <v/>
      </c>
      <c r="KX2" s="5" t="str">
        <f>IF('Eval-Avant impact'!$T$107=0,"",IF('Eval-Avant impact'!$T$107="","",IF('Eval-Avant impact'!K766&lt;&gt;"",'Eval-Avant impact'!K766,"")))</f>
        <v/>
      </c>
      <c r="KY2" s="5" t="str">
        <f>IF('Eval-Avant impact'!$T$107=0,"",IF('Eval-Avant impact'!$T$107="","",IF('Eval-Avant impact'!L766&lt;&gt;"",'Eval-Avant impact'!L766,"")))</f>
        <v/>
      </c>
      <c r="KZ2" s="5" t="str">
        <f>IF('Eval-Avant impact'!$T$107=0,"",IF('Eval-Avant impact'!$T$107="","",IF('Eval-Avant impact'!M766&lt;&gt;"",'Eval-Avant impact'!M766,"")))</f>
        <v/>
      </c>
      <c r="LA2" s="5" t="str">
        <f>IF('Eval-Avant impact'!$T$107=0,"",IF('Eval-Avant impact'!$T$107="","",IF('Eval-Avant impact'!N766&lt;&gt;"",'Eval-Avant impact'!N766,"")))</f>
        <v/>
      </c>
      <c r="LB2" s="5" t="str">
        <f>IF('Eval-Avant impact'!$T$107=0,"",IF('Eval-Avant impact'!$T$107="","",IF('Eval-Avant impact'!O766&lt;&gt;"",'Eval-Avant impact'!O766,"")))</f>
        <v/>
      </c>
      <c r="LC2" s="5" t="str">
        <f>IF('Eval-Avant impact'!$T$107=0,"",IF('Eval-Avant impact'!$T$107="","",IF('Eval-Avant impact'!P766&lt;&gt;"",'Eval-Avant impact'!P766,"")))</f>
        <v/>
      </c>
      <c r="LD2" s="5" t="str">
        <f>IF('Eval-Avant impact'!$T$107=0,"",IF('Eval-Avant impact'!$T$107="","",IF('Eval-Avant impact'!Q766&lt;&gt;"",'Eval-Avant impact'!Q766,"")))</f>
        <v/>
      </c>
      <c r="LE2" s="5" t="str">
        <f>IF('Eval-Avant impact'!$T$107=0,"",IF('Eval-Avant impact'!$T$107="","",IF('Eval-Avant impact'!R766&lt;&gt;"",'Eval-Avant impact'!R766,"")))</f>
        <v/>
      </c>
      <c r="LF2" s="5" t="str">
        <f>IF('Eval-Avant impact'!$T$107=0,"",IF('Eval-Avant impact'!$T$107="","",IF('Eval-Avant impact'!S766&lt;&gt;"",'Eval-Avant impact'!S766,"")))</f>
        <v/>
      </c>
      <c r="LG2" s="5" t="str">
        <f>IF('Eval-Avant impact'!$T$107=0,"",IF('Eval-Avant impact'!$T$107="","",IF('Eval-Avant impact'!T766&lt;&gt;"",'Eval-Avant impact'!T766,"")))</f>
        <v/>
      </c>
      <c r="LH2" s="5" t="str">
        <f>IF('Eval-Avant impact'!$T$107=0,"",IF('Eval-Avant impact'!$T$107="","",IF('Eval-Avant impact'!U766&lt;&gt;"",'Eval-Avant impact'!U766,"")))</f>
        <v/>
      </c>
      <c r="LI2" s="5" t="str">
        <f>IF('Eval-Avant impact'!$T$107=0,"",IF('Eval-Avant impact'!$T$107="","",IF('Eval-Avant impact'!V766&lt;&gt;"",'Eval-Avant impact'!V766,"")))</f>
        <v/>
      </c>
      <c r="LJ2" s="5" t="str">
        <f>IF('Eval-Avant impact'!$T$107=0,"",IF('Eval-Avant impact'!$T$107="","",IF('Eval-Avant impact'!W766&lt;&gt;"",'Eval-Avant impact'!W766,"")))</f>
        <v/>
      </c>
      <c r="LK2" s="5" t="str">
        <f>IF('Eval-Avant impact'!$T$107=0,"",IF('Eval-Avant impact'!$T$107="","",IF('Eval-Avant impact'!X766&lt;&gt;"",'Eval-Avant impact'!X766,"")))</f>
        <v/>
      </c>
      <c r="LL2" s="5" t="str">
        <f>IF('Eval-Avant impact'!$T$107=0,"",IF('Eval-Avant impact'!$T$107="","",IF('Eval-Avant impact'!Y766&lt;&gt;"",'Eval-Avant impact'!Y766,"")))</f>
        <v/>
      </c>
      <c r="LM2" s="5" t="str">
        <f>IF('Eval-Avant impact'!$T$107=0,"",IF('Eval-Avant impact'!$T$107="","",IF('Eval-Avant impact'!A767&lt;&gt;"",'Eval-Avant impact'!A767,"")))</f>
        <v/>
      </c>
      <c r="LN2" s="5" t="str">
        <f>IF('Eval-Avant impact'!$T$107=0,"",IF('Eval-Avant impact'!$T$107="","",IF('Eval-Avant impact'!B767&lt;&gt;"",'Eval-Avant impact'!B767,"")))</f>
        <v/>
      </c>
      <c r="LO2" s="5" t="str">
        <f>IF('Eval-Avant impact'!$T$107=0,"",IF('Eval-Avant impact'!$T$107="","",IF('Eval-Avant impact'!C767&lt;&gt;"",'Eval-Avant impact'!C767,"")))</f>
        <v/>
      </c>
      <c r="LP2" s="5" t="str">
        <f>IF('Eval-Avant impact'!$T$107=0,"",IF('Eval-Avant impact'!$T$107="","",IF('Eval-Avant impact'!E767&lt;&gt;"",'Eval-Avant impact'!E767,"")))</f>
        <v/>
      </c>
      <c r="LQ2" s="5" t="str">
        <f>IF('Eval-Avant impact'!$T$107=0,"",IF('Eval-Avant impact'!$T$107="","",IF('Eval-Avant impact'!G767&lt;&gt;"",'Eval-Avant impact'!G767,"")))</f>
        <v/>
      </c>
      <c r="LR2" s="5" t="str">
        <f>IF('Eval-Avant impact'!$T$107=0,"",IF('Eval-Avant impact'!$T$107="","",IF('Eval-Avant impact'!H767&lt;&gt;"",'Eval-Avant impact'!H767,"")))</f>
        <v/>
      </c>
      <c r="LS2" s="5" t="str">
        <f>IF('Eval-Avant impact'!$T$107=0,"",IF('Eval-Avant impact'!$T$107="","",IF('Eval-Avant impact'!I767&lt;&gt;"",'Eval-Avant impact'!I767,"")))</f>
        <v/>
      </c>
      <c r="LT2" s="5" t="str">
        <f>IF('Eval-Avant impact'!$T$107=0,"",IF('Eval-Avant impact'!$T$107="","",IF('Eval-Avant impact'!J767&lt;&gt;"",'Eval-Avant impact'!J767,"")))</f>
        <v/>
      </c>
      <c r="LU2" s="5" t="str">
        <f>IF('Eval-Avant impact'!$T$107=0,"",IF('Eval-Avant impact'!$T$107="","",IF('Eval-Avant impact'!K767&lt;&gt;"",'Eval-Avant impact'!K767,"")))</f>
        <v/>
      </c>
      <c r="LV2" s="5" t="str">
        <f>IF('Eval-Avant impact'!$T$107=0,"",IF('Eval-Avant impact'!$T$107="","",IF('Eval-Avant impact'!L767&lt;&gt;"",'Eval-Avant impact'!L767,"")))</f>
        <v/>
      </c>
      <c r="LW2" s="5" t="str">
        <f>IF('Eval-Avant impact'!$T$107=0,"",IF('Eval-Avant impact'!$T$107="","",IF('Eval-Avant impact'!M767&lt;&gt;"",'Eval-Avant impact'!M767,"")))</f>
        <v/>
      </c>
      <c r="LX2" s="5" t="str">
        <f>IF('Eval-Avant impact'!$T$107=0,"",IF('Eval-Avant impact'!$T$107="","",IF('Eval-Avant impact'!N767&lt;&gt;"",'Eval-Avant impact'!N767,"")))</f>
        <v/>
      </c>
      <c r="LY2" s="5" t="str">
        <f>IF('Eval-Avant impact'!$T$107=0,"",IF('Eval-Avant impact'!$T$107="","",IF('Eval-Avant impact'!O767&lt;&gt;"",'Eval-Avant impact'!O767,"")))</f>
        <v/>
      </c>
      <c r="LZ2" s="5" t="str">
        <f>IF('Eval-Avant impact'!$T$107=0,"",IF('Eval-Avant impact'!$T$107="","",IF('Eval-Avant impact'!P767&lt;&gt;"",'Eval-Avant impact'!P767,"")))</f>
        <v/>
      </c>
      <c r="MA2" s="5" t="str">
        <f>IF('Eval-Avant impact'!$T$107=0,"",IF('Eval-Avant impact'!$T$107="","",IF('Eval-Avant impact'!Q767&lt;&gt;"",'Eval-Avant impact'!Q767,"")))</f>
        <v/>
      </c>
      <c r="MB2" s="5" t="str">
        <f>IF('Eval-Avant impact'!$T$107=0,"",IF('Eval-Avant impact'!$T$107="","",IF('Eval-Avant impact'!R767&lt;&gt;"",'Eval-Avant impact'!R767,"")))</f>
        <v/>
      </c>
      <c r="MC2" s="5" t="str">
        <f>IF('Eval-Avant impact'!$T$107=0,"",IF('Eval-Avant impact'!$T$107="","",IF('Eval-Avant impact'!S767&lt;&gt;"",'Eval-Avant impact'!S767,"")))</f>
        <v/>
      </c>
      <c r="MD2" s="5" t="str">
        <f>IF('Eval-Avant impact'!$T$107=0,"",IF('Eval-Avant impact'!$T$107="","",IF('Eval-Avant impact'!T767&lt;&gt;"",'Eval-Avant impact'!T767,"")))</f>
        <v/>
      </c>
      <c r="ME2" s="5" t="str">
        <f>IF('Eval-Avant impact'!$T$107=0,"",IF('Eval-Avant impact'!$T$107="","",IF('Eval-Avant impact'!U767&lt;&gt;"",'Eval-Avant impact'!U767,"")))</f>
        <v/>
      </c>
      <c r="MF2" s="5" t="str">
        <f>IF('Eval-Avant impact'!$T$107=0,"",IF('Eval-Avant impact'!$T$107="","",IF('Eval-Avant impact'!V767&lt;&gt;"",'Eval-Avant impact'!V767,"")))</f>
        <v/>
      </c>
      <c r="MG2" s="5" t="str">
        <f>IF('Eval-Avant impact'!$T$107=0,"",IF('Eval-Avant impact'!$T$107="","",IF('Eval-Avant impact'!W767&lt;&gt;"",'Eval-Avant impact'!W767,"")))</f>
        <v/>
      </c>
      <c r="MH2" s="5" t="str">
        <f>IF('Eval-Avant impact'!$T$107=0,"",IF('Eval-Avant impact'!$T$107="","",IF('Eval-Avant impact'!X767&lt;&gt;"",'Eval-Avant impact'!X767,"")))</f>
        <v/>
      </c>
      <c r="MI2" s="5" t="str">
        <f>IF('Eval-Avant impact'!$T$107=0,"",IF('Eval-Avant impact'!$T$107="","",IF('Eval-Avant impact'!Y767&lt;&gt;"",'Eval-Avant impact'!Y767,"")))</f>
        <v/>
      </c>
      <c r="MJ2" s="5" t="str">
        <f>IF('Eval-Avant impact'!$T$107=0,"",IF('Eval-Avant impact'!$T$107="","",IF('Eval-Avant impact'!A768&lt;&gt;"",'Eval-Avant impact'!A768,"")))</f>
        <v/>
      </c>
      <c r="MK2" s="5" t="str">
        <f>IF('Eval-Avant impact'!$T$107=0,"",IF('Eval-Avant impact'!$T$107="","",IF('Eval-Avant impact'!B768&lt;&gt;"",'Eval-Avant impact'!B768,"")))</f>
        <v/>
      </c>
      <c r="ML2" s="5" t="str">
        <f>IF('Eval-Avant impact'!$T$107=0,"",IF('Eval-Avant impact'!$T$107="","",IF('Eval-Avant impact'!C768&lt;&gt;"",'Eval-Avant impact'!C768,"")))</f>
        <v/>
      </c>
      <c r="MM2" s="5" t="str">
        <f>IF('Eval-Avant impact'!$T$107=0,"",IF('Eval-Avant impact'!$T$107="","",IF('Eval-Avant impact'!E768&lt;&gt;"",'Eval-Avant impact'!E768,"")))</f>
        <v/>
      </c>
      <c r="MN2" s="5" t="str">
        <f>IF('Eval-Avant impact'!$T$107=0,"",IF('Eval-Avant impact'!$T$107="","",IF('Eval-Avant impact'!G768&lt;&gt;"",'Eval-Avant impact'!G768,"")))</f>
        <v/>
      </c>
      <c r="MO2" s="5" t="str">
        <f>IF('Eval-Avant impact'!$T$107=0,"",IF('Eval-Avant impact'!$T$107="","",IF('Eval-Avant impact'!H768&lt;&gt;"",'Eval-Avant impact'!H768,"")))</f>
        <v/>
      </c>
      <c r="MP2" s="5" t="str">
        <f>IF('Eval-Avant impact'!$T$107=0,"",IF('Eval-Avant impact'!$T$107="","",IF('Eval-Avant impact'!I768&lt;&gt;"",'Eval-Avant impact'!I768,"")))</f>
        <v/>
      </c>
      <c r="MQ2" s="5" t="str">
        <f>IF('Eval-Avant impact'!$T$107=0,"",IF('Eval-Avant impact'!$T$107="","",IF('Eval-Avant impact'!J768&lt;&gt;"",'Eval-Avant impact'!J768,"")))</f>
        <v/>
      </c>
      <c r="MR2" s="5" t="str">
        <f>IF('Eval-Avant impact'!$T$107=0,"",IF('Eval-Avant impact'!$T$107="","",IF('Eval-Avant impact'!K768&lt;&gt;"",'Eval-Avant impact'!K768,"")))</f>
        <v/>
      </c>
      <c r="MS2" s="5" t="str">
        <f>IF('Eval-Avant impact'!$T$107=0,"",IF('Eval-Avant impact'!$T$107="","",IF('Eval-Avant impact'!L768&lt;&gt;"",'Eval-Avant impact'!L768,"")))</f>
        <v/>
      </c>
      <c r="MT2" s="5" t="str">
        <f>IF('Eval-Avant impact'!$T$107=0,"",IF('Eval-Avant impact'!$T$107="","",IF('Eval-Avant impact'!M768&lt;&gt;"",'Eval-Avant impact'!M768,"")))</f>
        <v/>
      </c>
      <c r="MU2" s="5" t="str">
        <f>IF('Eval-Avant impact'!$T$107=0,"",IF('Eval-Avant impact'!$T$107="","",IF('Eval-Avant impact'!N768&lt;&gt;"",'Eval-Avant impact'!N768,"")))</f>
        <v/>
      </c>
      <c r="MV2" s="5" t="str">
        <f>IF('Eval-Avant impact'!$T$107=0,"",IF('Eval-Avant impact'!$T$107="","",IF('Eval-Avant impact'!O768&lt;&gt;"",'Eval-Avant impact'!O768,"")))</f>
        <v/>
      </c>
      <c r="MW2" s="5" t="str">
        <f>IF('Eval-Avant impact'!$T$107=0,"",IF('Eval-Avant impact'!$T$107="","",IF('Eval-Avant impact'!P768&lt;&gt;"",'Eval-Avant impact'!P768,"")))</f>
        <v/>
      </c>
      <c r="MX2" s="5" t="str">
        <f>IF('Eval-Avant impact'!$T$107=0,"",IF('Eval-Avant impact'!$T$107="","",IF('Eval-Avant impact'!Q768&lt;&gt;"",'Eval-Avant impact'!Q768,"")))</f>
        <v/>
      </c>
      <c r="MY2" s="5" t="str">
        <f>IF('Eval-Avant impact'!$T$107=0,"",IF('Eval-Avant impact'!$T$107="","",IF('Eval-Avant impact'!R768&lt;&gt;"",'Eval-Avant impact'!R768,"")))</f>
        <v/>
      </c>
      <c r="MZ2" s="5" t="str">
        <f>IF('Eval-Avant impact'!$T$107=0,"",IF('Eval-Avant impact'!$T$107="","",IF('Eval-Avant impact'!S768&lt;&gt;"",'Eval-Avant impact'!S768,"")))</f>
        <v/>
      </c>
      <c r="NA2" s="5" t="str">
        <f>IF('Eval-Avant impact'!$T$107=0,"",IF('Eval-Avant impact'!$T$107="","",IF('Eval-Avant impact'!T768&lt;&gt;"",'Eval-Avant impact'!T768,"")))</f>
        <v/>
      </c>
      <c r="NB2" s="5" t="str">
        <f>IF('Eval-Avant impact'!$T$107=0,"",IF('Eval-Avant impact'!$T$107="","",IF('Eval-Avant impact'!U768&lt;&gt;"",'Eval-Avant impact'!U768,"")))</f>
        <v/>
      </c>
      <c r="NC2" s="5" t="str">
        <f>IF('Eval-Avant impact'!$T$107=0,"",IF('Eval-Avant impact'!$T$107="","",IF('Eval-Avant impact'!V768&lt;&gt;"",'Eval-Avant impact'!V768,"")))</f>
        <v/>
      </c>
      <c r="ND2" s="5" t="str">
        <f>IF('Eval-Avant impact'!$T$107=0,"",IF('Eval-Avant impact'!$T$107="","",IF('Eval-Avant impact'!W768&lt;&gt;"",'Eval-Avant impact'!W768,"")))</f>
        <v/>
      </c>
      <c r="NE2" s="5" t="str">
        <f>IF('Eval-Avant impact'!$T$107=0,"",IF('Eval-Avant impact'!$T$107="","",IF('Eval-Avant impact'!X768&lt;&gt;"",'Eval-Avant impact'!X768,"")))</f>
        <v/>
      </c>
      <c r="NF2" s="5" t="str">
        <f>IF('Eval-Avant impact'!$T$107=0,"",IF('Eval-Avant impact'!$T$107="","",IF('Eval-Avant impact'!Y768&lt;&gt;"",'Eval-Avant impact'!Y768,"")))</f>
        <v/>
      </c>
      <c r="NG2" s="5" t="str">
        <f>IF('Eval-Avant impact'!$T$107=0,"",IF('Eval-Avant impact'!$T$107="","",IF('Eval-Avant impact'!A769&lt;&gt;"",'Eval-Avant impact'!A769,"")))</f>
        <v/>
      </c>
      <c r="NH2" s="5" t="str">
        <f>IF('Eval-Avant impact'!$T$107=0,"",IF('Eval-Avant impact'!$T$107="","",IF('Eval-Avant impact'!B769&lt;&gt;"",'Eval-Avant impact'!B769,"")))</f>
        <v/>
      </c>
      <c r="NI2" s="5" t="str">
        <f>IF('Eval-Avant impact'!$T$107=0,"",IF('Eval-Avant impact'!$T$107="","",IF('Eval-Avant impact'!C769&lt;&gt;"",'Eval-Avant impact'!C769,"")))</f>
        <v/>
      </c>
      <c r="NJ2" s="5" t="str">
        <f>IF('Eval-Avant impact'!$T$107=0,"",IF('Eval-Avant impact'!$T$107="","",IF('Eval-Avant impact'!E769&lt;&gt;"",'Eval-Avant impact'!E769,"")))</f>
        <v/>
      </c>
      <c r="NK2" s="5" t="str">
        <f>IF('Eval-Avant impact'!$T$107=0,"",IF('Eval-Avant impact'!$T$107="","",IF('Eval-Avant impact'!G769&lt;&gt;"",'Eval-Avant impact'!G769,"")))</f>
        <v/>
      </c>
      <c r="NL2" s="5" t="str">
        <f>IF('Eval-Avant impact'!$T$107=0,"",IF('Eval-Avant impact'!$T$107="","",IF('Eval-Avant impact'!H769&lt;&gt;"",'Eval-Avant impact'!H769,"")))</f>
        <v/>
      </c>
      <c r="NM2" s="5" t="str">
        <f>IF('Eval-Avant impact'!$T$107=0,"",IF('Eval-Avant impact'!$T$107="","",IF('Eval-Avant impact'!I769&lt;&gt;"",'Eval-Avant impact'!I769,"")))</f>
        <v/>
      </c>
      <c r="NN2" s="5" t="str">
        <f>IF('Eval-Avant impact'!$T$107=0,"",IF('Eval-Avant impact'!$T$107="","",IF('Eval-Avant impact'!J769&lt;&gt;"",'Eval-Avant impact'!J769,"")))</f>
        <v/>
      </c>
      <c r="NO2" s="5" t="str">
        <f>IF('Eval-Avant impact'!$T$107=0,"",IF('Eval-Avant impact'!$T$107="","",IF('Eval-Avant impact'!K769&lt;&gt;"",'Eval-Avant impact'!K769,"")))</f>
        <v/>
      </c>
      <c r="NP2" s="5" t="str">
        <f>IF('Eval-Avant impact'!$T$107=0,"",IF('Eval-Avant impact'!$T$107="","",IF('Eval-Avant impact'!L769&lt;&gt;"",'Eval-Avant impact'!L769,"")))</f>
        <v/>
      </c>
      <c r="NQ2" s="5" t="str">
        <f>IF('Eval-Avant impact'!$T$107=0,"",IF('Eval-Avant impact'!$T$107="","",IF('Eval-Avant impact'!M769&lt;&gt;"",'Eval-Avant impact'!M769,"")))</f>
        <v/>
      </c>
      <c r="NR2" s="5" t="str">
        <f>IF('Eval-Avant impact'!$T$107=0,"",IF('Eval-Avant impact'!$T$107="","",IF('Eval-Avant impact'!N769&lt;&gt;"",'Eval-Avant impact'!N769,"")))</f>
        <v/>
      </c>
      <c r="NS2" s="5" t="str">
        <f>IF('Eval-Avant impact'!$T$107=0,"",IF('Eval-Avant impact'!$T$107="","",IF('Eval-Avant impact'!O769&lt;&gt;"",'Eval-Avant impact'!O769,"")))</f>
        <v/>
      </c>
      <c r="NT2" s="5" t="str">
        <f>IF('Eval-Avant impact'!$T$107=0,"",IF('Eval-Avant impact'!$T$107="","",IF('Eval-Avant impact'!P769&lt;&gt;"",'Eval-Avant impact'!P769,"")))</f>
        <v/>
      </c>
      <c r="NU2" s="5" t="str">
        <f>IF('Eval-Avant impact'!$T$107=0,"",IF('Eval-Avant impact'!$T$107="","",IF('Eval-Avant impact'!Q769&lt;&gt;"",'Eval-Avant impact'!Q769,"")))</f>
        <v/>
      </c>
      <c r="NV2" s="5" t="str">
        <f>IF('Eval-Avant impact'!$T$107=0,"",IF('Eval-Avant impact'!$T$107="","",IF('Eval-Avant impact'!R769&lt;&gt;"",'Eval-Avant impact'!R769,"")))</f>
        <v/>
      </c>
      <c r="NW2" s="5" t="str">
        <f>IF('Eval-Avant impact'!$T$107=0,"",IF('Eval-Avant impact'!$T$107="","",IF('Eval-Avant impact'!S769&lt;&gt;"",'Eval-Avant impact'!S769,"")))</f>
        <v/>
      </c>
      <c r="NX2" s="5" t="str">
        <f>IF('Eval-Avant impact'!$T$107=0,"",IF('Eval-Avant impact'!$T$107="","",IF('Eval-Avant impact'!T769&lt;&gt;"",'Eval-Avant impact'!T769,"")))</f>
        <v/>
      </c>
      <c r="NY2" s="5" t="str">
        <f>IF('Eval-Avant impact'!$T$107=0,"",IF('Eval-Avant impact'!$T$107="","",IF('Eval-Avant impact'!U769&lt;&gt;"",'Eval-Avant impact'!U769,"")))</f>
        <v/>
      </c>
      <c r="NZ2" s="5" t="str">
        <f>IF('Eval-Avant impact'!$T$107=0,"",IF('Eval-Avant impact'!$T$107="","",IF('Eval-Avant impact'!V769&lt;&gt;"",'Eval-Avant impact'!V769,"")))</f>
        <v/>
      </c>
      <c r="OA2" s="5" t="str">
        <f>IF('Eval-Avant impact'!$T$107=0,"",IF('Eval-Avant impact'!$T$107="","",IF('Eval-Avant impact'!W769&lt;&gt;"",'Eval-Avant impact'!W769,"")))</f>
        <v/>
      </c>
      <c r="OB2" s="5" t="str">
        <f>IF('Eval-Avant impact'!$T$107=0,"",IF('Eval-Avant impact'!$T$107="","",IF('Eval-Avant impact'!X769&lt;&gt;"",'Eval-Avant impact'!X769,"")))</f>
        <v/>
      </c>
      <c r="OC2" s="5" t="str">
        <f>IF('Eval-Avant impact'!$T$107=0,"",IF('Eval-Avant impact'!$T$107="","",IF('Eval-Avant impact'!Y769&lt;&gt;"",'Eval-Avant impact'!Y769,"")))</f>
        <v/>
      </c>
      <c r="OD2" s="5" t="str">
        <f>IF('Eval-Avant impact'!$T$107=0,"",IF('Eval-Avant impact'!$T$107="","",IF('Eval-Avant impact'!A770&lt;&gt;"",'Eval-Avant impact'!A770,"")))</f>
        <v/>
      </c>
      <c r="OE2" s="5" t="str">
        <f>IF('Eval-Avant impact'!$T$107=0,"",IF('Eval-Avant impact'!$T$107="","",IF('Eval-Avant impact'!B770&lt;&gt;"",'Eval-Avant impact'!B770,"")))</f>
        <v/>
      </c>
      <c r="OF2" s="5" t="str">
        <f>IF('Eval-Avant impact'!$T$107=0,"",IF('Eval-Avant impact'!$T$107="","",IF('Eval-Avant impact'!C770&lt;&gt;"",'Eval-Avant impact'!C770,"")))</f>
        <v/>
      </c>
      <c r="OG2" s="5" t="str">
        <f>IF('Eval-Avant impact'!$T$107=0,"",IF('Eval-Avant impact'!$T$107="","",IF('Eval-Avant impact'!E770&lt;&gt;"",'Eval-Avant impact'!E770,"")))</f>
        <v/>
      </c>
      <c r="OH2" s="5" t="str">
        <f>IF('Eval-Avant impact'!$T$107=0,"",IF('Eval-Avant impact'!$T$107="","",IF('Eval-Avant impact'!G770&lt;&gt;"",'Eval-Avant impact'!G770,"")))</f>
        <v/>
      </c>
      <c r="OI2" s="5" t="str">
        <f>IF('Eval-Avant impact'!$T$107=0,"",IF('Eval-Avant impact'!$T$107="","",IF('Eval-Avant impact'!H770&lt;&gt;"",'Eval-Avant impact'!H770,"")))</f>
        <v/>
      </c>
      <c r="OJ2" s="5" t="str">
        <f>IF('Eval-Avant impact'!$T$107=0,"",IF('Eval-Avant impact'!$T$107="","",IF('Eval-Avant impact'!I770&lt;&gt;"",'Eval-Avant impact'!I770,"")))</f>
        <v/>
      </c>
      <c r="OK2" s="5" t="str">
        <f>IF('Eval-Avant impact'!$T$107=0,"",IF('Eval-Avant impact'!$T$107="","",IF('Eval-Avant impact'!J770&lt;&gt;"",'Eval-Avant impact'!J770,"")))</f>
        <v/>
      </c>
      <c r="OL2" s="5" t="str">
        <f>IF('Eval-Avant impact'!$T$107=0,"",IF('Eval-Avant impact'!$T$107="","",IF('Eval-Avant impact'!K770&lt;&gt;"",'Eval-Avant impact'!K770,"")))</f>
        <v/>
      </c>
      <c r="OM2" s="5" t="str">
        <f>IF('Eval-Avant impact'!$T$107=0,"",IF('Eval-Avant impact'!$T$107="","",IF('Eval-Avant impact'!L770&lt;&gt;"",'Eval-Avant impact'!L770,"")))</f>
        <v/>
      </c>
      <c r="ON2" s="5" t="str">
        <f>IF('Eval-Avant impact'!$T$107=0,"",IF('Eval-Avant impact'!$T$107="","",IF('Eval-Avant impact'!M770&lt;&gt;"",'Eval-Avant impact'!M770,"")))</f>
        <v/>
      </c>
      <c r="OO2" s="5" t="str">
        <f>IF('Eval-Avant impact'!$T$107=0,"",IF('Eval-Avant impact'!$T$107="","",IF('Eval-Avant impact'!N770&lt;&gt;"",'Eval-Avant impact'!N770,"")))</f>
        <v/>
      </c>
      <c r="OP2" s="5" t="str">
        <f>IF('Eval-Avant impact'!$T$107=0,"",IF('Eval-Avant impact'!$T$107="","",IF('Eval-Avant impact'!O770&lt;&gt;"",'Eval-Avant impact'!O770,"")))</f>
        <v/>
      </c>
      <c r="OQ2" s="5" t="str">
        <f>IF('Eval-Avant impact'!$T$107=0,"",IF('Eval-Avant impact'!$T$107="","",IF('Eval-Avant impact'!P770&lt;&gt;"",'Eval-Avant impact'!P770,"")))</f>
        <v/>
      </c>
      <c r="OR2" s="5" t="str">
        <f>IF('Eval-Avant impact'!$T$107=0,"",IF('Eval-Avant impact'!$T$107="","",IF('Eval-Avant impact'!Q770&lt;&gt;"",'Eval-Avant impact'!Q770,"")))</f>
        <v/>
      </c>
      <c r="OS2" s="5" t="str">
        <f>IF('Eval-Avant impact'!$T$107=0,"",IF('Eval-Avant impact'!$T$107="","",IF('Eval-Avant impact'!R770&lt;&gt;"",'Eval-Avant impact'!R770,"")))</f>
        <v/>
      </c>
      <c r="OT2" s="5" t="str">
        <f>IF('Eval-Avant impact'!$T$107=0,"",IF('Eval-Avant impact'!$T$107="","",IF('Eval-Avant impact'!S770&lt;&gt;"",'Eval-Avant impact'!S770,"")))</f>
        <v/>
      </c>
      <c r="OU2" s="5" t="str">
        <f>IF('Eval-Avant impact'!$T$107=0,"",IF('Eval-Avant impact'!$T$107="","",IF('Eval-Avant impact'!T770&lt;&gt;"",'Eval-Avant impact'!T770,"")))</f>
        <v/>
      </c>
      <c r="OV2" s="5" t="str">
        <f>IF('Eval-Avant impact'!$T$107=0,"",IF('Eval-Avant impact'!$T$107="","",IF('Eval-Avant impact'!U770&lt;&gt;"",'Eval-Avant impact'!U770,"")))</f>
        <v/>
      </c>
      <c r="OW2" s="5" t="str">
        <f>IF('Eval-Avant impact'!$T$107=0,"",IF('Eval-Avant impact'!$T$107="","",IF('Eval-Avant impact'!V770&lt;&gt;"",'Eval-Avant impact'!V770,"")))</f>
        <v/>
      </c>
      <c r="OX2" s="5" t="str">
        <f>IF('Eval-Avant impact'!$T$107=0,"",IF('Eval-Avant impact'!$T$107="","",IF('Eval-Avant impact'!W770&lt;&gt;"",'Eval-Avant impact'!W770,"")))</f>
        <v/>
      </c>
      <c r="OY2" s="5" t="str">
        <f>IF('Eval-Avant impact'!$T$107=0,"",IF('Eval-Avant impact'!$T$107="","",IF('Eval-Avant impact'!X770&lt;&gt;"",'Eval-Avant impact'!X770,"")))</f>
        <v/>
      </c>
      <c r="OZ2" s="5" t="str">
        <f>IF('Eval-Avant impact'!$T$107=0,"",IF('Eval-Avant impact'!$T$107="","",IF('Eval-Avant impact'!Y770&lt;&gt;"",'Eval-Avant impact'!Y770,"")))</f>
        <v/>
      </c>
      <c r="PA2" s="5" t="str">
        <f>IF('Eval-Avant impact'!$T$107=0,"",IF('Eval-Avant impact'!$T$107="","",IF('Eval-Avant impact'!A771&lt;&gt;"",'Eval-Avant impact'!A771,"")))</f>
        <v/>
      </c>
      <c r="PB2" s="5" t="str">
        <f>IF('Eval-Avant impact'!$T$107=0,"",IF('Eval-Avant impact'!$T$107="","",IF('Eval-Avant impact'!B771&lt;&gt;"",'Eval-Avant impact'!B771,"")))</f>
        <v/>
      </c>
      <c r="PC2" s="5" t="str">
        <f>IF('Eval-Avant impact'!$T$107=0,"",IF('Eval-Avant impact'!$T$107="","",IF('Eval-Avant impact'!C771&lt;&gt;"",'Eval-Avant impact'!C771,"")))</f>
        <v/>
      </c>
      <c r="PD2" s="5" t="str">
        <f>IF('Eval-Avant impact'!$T$107=0,"",IF('Eval-Avant impact'!$T$107="","",IF('Eval-Avant impact'!E771&lt;&gt;"",'Eval-Avant impact'!E771,"")))</f>
        <v/>
      </c>
      <c r="PE2" s="5" t="str">
        <f>IF('Eval-Avant impact'!$T$107=0,"",IF('Eval-Avant impact'!$T$107="","",IF('Eval-Avant impact'!G771&lt;&gt;"",'Eval-Avant impact'!G771,"")))</f>
        <v/>
      </c>
      <c r="PF2" s="5" t="str">
        <f>IF('Eval-Avant impact'!$T$107=0,"",IF('Eval-Avant impact'!$T$107="","",IF('Eval-Avant impact'!H771&lt;&gt;"",'Eval-Avant impact'!H771,"")))</f>
        <v/>
      </c>
      <c r="PG2" s="5" t="str">
        <f>IF('Eval-Avant impact'!$T$107=0,"",IF('Eval-Avant impact'!$T$107="","",IF('Eval-Avant impact'!I771&lt;&gt;"",'Eval-Avant impact'!I771,"")))</f>
        <v/>
      </c>
      <c r="PH2" s="5" t="str">
        <f>IF('Eval-Avant impact'!$T$107=0,"",IF('Eval-Avant impact'!$T$107="","",IF('Eval-Avant impact'!J771&lt;&gt;"",'Eval-Avant impact'!J771,"")))</f>
        <v/>
      </c>
      <c r="PI2" s="5" t="str">
        <f>IF('Eval-Avant impact'!$T$107=0,"",IF('Eval-Avant impact'!$T$107="","",IF('Eval-Avant impact'!K771&lt;&gt;"",'Eval-Avant impact'!K771,"")))</f>
        <v/>
      </c>
      <c r="PJ2" s="5" t="str">
        <f>IF('Eval-Avant impact'!$T$107=0,"",IF('Eval-Avant impact'!$T$107="","",IF('Eval-Avant impact'!L771&lt;&gt;"",'Eval-Avant impact'!L771,"")))</f>
        <v/>
      </c>
      <c r="PK2" s="5" t="str">
        <f>IF('Eval-Avant impact'!$T$107=0,"",IF('Eval-Avant impact'!$T$107="","",IF('Eval-Avant impact'!M771&lt;&gt;"",'Eval-Avant impact'!M771,"")))</f>
        <v/>
      </c>
      <c r="PL2" s="5" t="str">
        <f>IF('Eval-Avant impact'!$T$107=0,"",IF('Eval-Avant impact'!$T$107="","",IF('Eval-Avant impact'!N771&lt;&gt;"",'Eval-Avant impact'!N771,"")))</f>
        <v/>
      </c>
      <c r="PM2" s="5" t="str">
        <f>IF('Eval-Avant impact'!$T$107=0,"",IF('Eval-Avant impact'!$T$107="","",IF('Eval-Avant impact'!O771&lt;&gt;"",'Eval-Avant impact'!O771,"")))</f>
        <v/>
      </c>
      <c r="PN2" s="5" t="str">
        <f>IF('Eval-Avant impact'!$T$107=0,"",IF('Eval-Avant impact'!$T$107="","",IF('Eval-Avant impact'!P771&lt;&gt;"",'Eval-Avant impact'!P771,"")))</f>
        <v/>
      </c>
      <c r="PO2" s="5" t="str">
        <f>IF('Eval-Avant impact'!$T$107=0,"",IF('Eval-Avant impact'!$T$107="","",IF('Eval-Avant impact'!Q771&lt;&gt;"",'Eval-Avant impact'!Q771,"")))</f>
        <v/>
      </c>
      <c r="PP2" s="5" t="str">
        <f>IF('Eval-Avant impact'!$T$107=0,"",IF('Eval-Avant impact'!$T$107="","",IF('Eval-Avant impact'!R771&lt;&gt;"",'Eval-Avant impact'!R771,"")))</f>
        <v/>
      </c>
      <c r="PQ2" s="5" t="str">
        <f>IF('Eval-Avant impact'!$T$107=0,"",IF('Eval-Avant impact'!$T$107="","",IF('Eval-Avant impact'!S771&lt;&gt;"",'Eval-Avant impact'!S771,"")))</f>
        <v/>
      </c>
      <c r="PR2" s="5" t="str">
        <f>IF('Eval-Avant impact'!$T$107=0,"",IF('Eval-Avant impact'!$T$107="","",IF('Eval-Avant impact'!T771&lt;&gt;"",'Eval-Avant impact'!T771,"")))</f>
        <v/>
      </c>
      <c r="PS2" s="5" t="str">
        <f>IF('Eval-Avant impact'!$T$107=0,"",IF('Eval-Avant impact'!$T$107="","",IF('Eval-Avant impact'!U771&lt;&gt;"",'Eval-Avant impact'!U771,"")))</f>
        <v/>
      </c>
      <c r="PT2" s="5" t="str">
        <f>IF('Eval-Avant impact'!$T$107=0,"",IF('Eval-Avant impact'!$T$107="","",IF('Eval-Avant impact'!V771&lt;&gt;"",'Eval-Avant impact'!V771,"")))</f>
        <v/>
      </c>
      <c r="PU2" s="5" t="str">
        <f>IF('Eval-Avant impact'!$T$107=0,"",IF('Eval-Avant impact'!$T$107="","",IF('Eval-Avant impact'!W771&lt;&gt;"",'Eval-Avant impact'!W771,"")))</f>
        <v/>
      </c>
      <c r="PV2" s="5" t="str">
        <f>IF('Eval-Avant impact'!$T$107=0,"",IF('Eval-Avant impact'!$T$107="","",IF('Eval-Avant impact'!X771&lt;&gt;"",'Eval-Avant impact'!X771,"")))</f>
        <v/>
      </c>
      <c r="PW2" s="5" t="str">
        <f>IF('Eval-Avant impact'!$T$107=0,"",IF('Eval-Avant impact'!$T$107="","",IF('Eval-Avant impact'!Y771&lt;&gt;"",'Eval-Avant impact'!Y771,"")))</f>
        <v/>
      </c>
      <c r="PX2" s="5" t="str">
        <f>IF('Eval-Avant impact'!$T$107=0,"",IF('Eval-Avant impact'!$T$107="","",IF('Eval-Avant impact'!A772&lt;&gt;"",'Eval-Avant impact'!A772,"")))</f>
        <v/>
      </c>
      <c r="PY2" s="5" t="str">
        <f>IF('Eval-Avant impact'!$T$107=0,"",IF('Eval-Avant impact'!$T$107="","",IF('Eval-Avant impact'!B772&lt;&gt;"",'Eval-Avant impact'!B772,"")))</f>
        <v/>
      </c>
      <c r="PZ2" s="5" t="str">
        <f>IF('Eval-Avant impact'!$T$107=0,"",IF('Eval-Avant impact'!$T$107="","",IF('Eval-Avant impact'!C772&lt;&gt;"",'Eval-Avant impact'!C772,"")))</f>
        <v/>
      </c>
      <c r="QA2" s="5" t="str">
        <f>IF('Eval-Avant impact'!$T$107=0,"",IF('Eval-Avant impact'!$T$107="","",IF('Eval-Avant impact'!E772&lt;&gt;"",'Eval-Avant impact'!E772,"")))</f>
        <v/>
      </c>
      <c r="QB2" s="5" t="str">
        <f>IF('Eval-Avant impact'!$T$107=0,"",IF('Eval-Avant impact'!$T$107="","",IF('Eval-Avant impact'!G772&lt;&gt;"",'Eval-Avant impact'!G772,"")))</f>
        <v/>
      </c>
      <c r="QC2" s="5" t="str">
        <f>IF('Eval-Avant impact'!$T$107=0,"",IF('Eval-Avant impact'!$T$107="","",IF('Eval-Avant impact'!H772&lt;&gt;"",'Eval-Avant impact'!H772,"")))</f>
        <v/>
      </c>
      <c r="QD2" s="5" t="str">
        <f>IF('Eval-Avant impact'!$T$107=0,"",IF('Eval-Avant impact'!$T$107="","",IF('Eval-Avant impact'!I772&lt;&gt;"",'Eval-Avant impact'!I772,"")))</f>
        <v/>
      </c>
      <c r="QE2" s="5" t="str">
        <f>IF('Eval-Avant impact'!$T$107=0,"",IF('Eval-Avant impact'!$T$107="","",IF('Eval-Avant impact'!J772&lt;&gt;"",'Eval-Avant impact'!J772,"")))</f>
        <v/>
      </c>
      <c r="QF2" s="5" t="str">
        <f>IF('Eval-Avant impact'!$T$107=0,"",IF('Eval-Avant impact'!$T$107="","",IF('Eval-Avant impact'!K772&lt;&gt;"",'Eval-Avant impact'!K772,"")))</f>
        <v/>
      </c>
      <c r="QG2" s="5" t="str">
        <f>IF('Eval-Avant impact'!$T$107=0,"",IF('Eval-Avant impact'!$T$107="","",IF('Eval-Avant impact'!L772&lt;&gt;"",'Eval-Avant impact'!L772,"")))</f>
        <v/>
      </c>
      <c r="QH2" s="5" t="str">
        <f>IF('Eval-Avant impact'!$T$107=0,"",IF('Eval-Avant impact'!$T$107="","",IF('Eval-Avant impact'!M772&lt;&gt;"",'Eval-Avant impact'!M772,"")))</f>
        <v/>
      </c>
      <c r="QI2" s="5" t="str">
        <f>IF('Eval-Avant impact'!$T$107=0,"",IF('Eval-Avant impact'!$T$107="","",IF('Eval-Avant impact'!N772&lt;&gt;"",'Eval-Avant impact'!N772,"")))</f>
        <v/>
      </c>
      <c r="QJ2" s="5" t="str">
        <f>IF('Eval-Avant impact'!$T$107=0,"",IF('Eval-Avant impact'!$T$107="","",IF('Eval-Avant impact'!O772&lt;&gt;"",'Eval-Avant impact'!O772,"")))</f>
        <v/>
      </c>
      <c r="QK2" s="5" t="str">
        <f>IF('Eval-Avant impact'!$T$107=0,"",IF('Eval-Avant impact'!$T$107="","",IF('Eval-Avant impact'!P772&lt;&gt;"",'Eval-Avant impact'!P772,"")))</f>
        <v/>
      </c>
      <c r="QL2" s="5" t="str">
        <f>IF('Eval-Avant impact'!$T$107=0,"",IF('Eval-Avant impact'!$T$107="","",IF('Eval-Avant impact'!Q772&lt;&gt;"",'Eval-Avant impact'!Q772,"")))</f>
        <v/>
      </c>
      <c r="QM2" s="5" t="str">
        <f>IF('Eval-Avant impact'!$T$107=0,"",IF('Eval-Avant impact'!$T$107="","",IF('Eval-Avant impact'!R772&lt;&gt;"",'Eval-Avant impact'!R772,"")))</f>
        <v/>
      </c>
      <c r="QN2" s="5" t="str">
        <f>IF('Eval-Avant impact'!$T$107=0,"",IF('Eval-Avant impact'!$T$107="","",IF('Eval-Avant impact'!S772&lt;&gt;"",'Eval-Avant impact'!S772,"")))</f>
        <v/>
      </c>
      <c r="QO2" s="5" t="str">
        <f>IF('Eval-Avant impact'!$T$107=0,"",IF('Eval-Avant impact'!$T$107="","",IF('Eval-Avant impact'!T772&lt;&gt;"",'Eval-Avant impact'!T772,"")))</f>
        <v/>
      </c>
      <c r="QP2" s="5" t="str">
        <f>IF('Eval-Avant impact'!$T$107=0,"",IF('Eval-Avant impact'!$T$107="","",IF('Eval-Avant impact'!U772&lt;&gt;"",'Eval-Avant impact'!U772,"")))</f>
        <v/>
      </c>
      <c r="QQ2" s="5" t="str">
        <f>IF('Eval-Avant impact'!$T$107=0,"",IF('Eval-Avant impact'!$T$107="","",IF('Eval-Avant impact'!V772&lt;&gt;"",'Eval-Avant impact'!V772,"")))</f>
        <v/>
      </c>
      <c r="QR2" s="5" t="str">
        <f>IF('Eval-Avant impact'!$T$107=0,"",IF('Eval-Avant impact'!$T$107="","",IF('Eval-Avant impact'!W772&lt;&gt;"",'Eval-Avant impact'!W772,"")))</f>
        <v/>
      </c>
      <c r="QS2" s="5" t="str">
        <f>IF('Eval-Avant impact'!$T$107=0,"",IF('Eval-Avant impact'!$T$107="","",IF('Eval-Avant impact'!X772&lt;&gt;"",'Eval-Avant impact'!X772,"")))</f>
        <v/>
      </c>
      <c r="QT2" s="5" t="str">
        <f>IF('Eval-Avant impact'!$T$107=0,"",IF('Eval-Avant impact'!$T$107="","",IF('Eval-Avant impact'!Y772&lt;&gt;"",'Eval-Avant impact'!Y772,"")))</f>
        <v/>
      </c>
      <c r="QU2" s="5" t="str">
        <f>IF('Eval-Avant impact'!$T$107=0,"",IF('Eval-Avant impact'!$T$107="","",IF('Eval-Avant impact'!A773&lt;&gt;"",'Eval-Avant impact'!A773,"")))</f>
        <v/>
      </c>
      <c r="QV2" s="5" t="str">
        <f>IF('Eval-Avant impact'!$T$107=0,"",IF('Eval-Avant impact'!$T$107="","",IF('Eval-Avant impact'!B773&lt;&gt;"",'Eval-Avant impact'!B773,"")))</f>
        <v/>
      </c>
      <c r="QW2" s="5" t="str">
        <f>IF('Eval-Avant impact'!$T$107=0,"",IF('Eval-Avant impact'!$T$107="","",IF('Eval-Avant impact'!C773&lt;&gt;"",'Eval-Avant impact'!C773,"")))</f>
        <v/>
      </c>
      <c r="QX2" s="5" t="str">
        <f>IF('Eval-Avant impact'!$T$107=0,"",IF('Eval-Avant impact'!$T$107="","",IF('Eval-Avant impact'!E773&lt;&gt;"",'Eval-Avant impact'!E773,"")))</f>
        <v/>
      </c>
      <c r="QY2" s="5" t="str">
        <f>IF('Eval-Avant impact'!$T$107=0,"",IF('Eval-Avant impact'!$T$107="","",IF('Eval-Avant impact'!G773&lt;&gt;"",'Eval-Avant impact'!G773,"")))</f>
        <v/>
      </c>
      <c r="QZ2" s="5" t="str">
        <f>IF('Eval-Avant impact'!$T$107=0,"",IF('Eval-Avant impact'!$T$107="","",IF('Eval-Avant impact'!H773&lt;&gt;"",'Eval-Avant impact'!H773,"")))</f>
        <v/>
      </c>
      <c r="RA2" s="5" t="str">
        <f>IF('Eval-Avant impact'!$T$107=0,"",IF('Eval-Avant impact'!$T$107="","",IF('Eval-Avant impact'!I773&lt;&gt;"",'Eval-Avant impact'!I773,"")))</f>
        <v/>
      </c>
      <c r="RB2" s="5" t="str">
        <f>IF('Eval-Avant impact'!$T$107=0,"",IF('Eval-Avant impact'!$T$107="","",IF('Eval-Avant impact'!J773&lt;&gt;"",'Eval-Avant impact'!J773,"")))</f>
        <v/>
      </c>
      <c r="RC2" s="5" t="str">
        <f>IF('Eval-Avant impact'!$T$107=0,"",IF('Eval-Avant impact'!$T$107="","",IF('Eval-Avant impact'!K773&lt;&gt;"",'Eval-Avant impact'!K773,"")))</f>
        <v/>
      </c>
      <c r="RD2" s="5" t="str">
        <f>IF('Eval-Avant impact'!$T$107=0,"",IF('Eval-Avant impact'!$T$107="","",IF('Eval-Avant impact'!L773&lt;&gt;"",'Eval-Avant impact'!L773,"")))</f>
        <v/>
      </c>
      <c r="RE2" s="5" t="str">
        <f>IF('Eval-Avant impact'!$T$107=0,"",IF('Eval-Avant impact'!$T$107="","",IF('Eval-Avant impact'!M773&lt;&gt;"",'Eval-Avant impact'!M773,"")))</f>
        <v/>
      </c>
      <c r="RF2" s="5" t="str">
        <f>IF('Eval-Avant impact'!$T$107=0,"",IF('Eval-Avant impact'!$T$107="","",IF('Eval-Avant impact'!N773&lt;&gt;"",'Eval-Avant impact'!N773,"")))</f>
        <v/>
      </c>
      <c r="RG2" s="5" t="str">
        <f>IF('Eval-Avant impact'!$T$107=0,"",IF('Eval-Avant impact'!$T$107="","",IF('Eval-Avant impact'!O773&lt;&gt;"",'Eval-Avant impact'!O773,"")))</f>
        <v/>
      </c>
      <c r="RH2" s="5" t="str">
        <f>IF('Eval-Avant impact'!$T$107=0,"",IF('Eval-Avant impact'!$T$107="","",IF('Eval-Avant impact'!P773&lt;&gt;"",'Eval-Avant impact'!P773,"")))</f>
        <v/>
      </c>
      <c r="RI2" s="5" t="str">
        <f>IF('Eval-Avant impact'!$T$107=0,"",IF('Eval-Avant impact'!$T$107="","",IF('Eval-Avant impact'!Q773&lt;&gt;"",'Eval-Avant impact'!Q773,"")))</f>
        <v/>
      </c>
      <c r="RJ2" s="5" t="str">
        <f>IF('Eval-Avant impact'!$T$107=0,"",IF('Eval-Avant impact'!$T$107="","",IF('Eval-Avant impact'!R773&lt;&gt;"",'Eval-Avant impact'!R773,"")))</f>
        <v/>
      </c>
      <c r="RK2" s="5" t="str">
        <f>IF('Eval-Avant impact'!$T$107=0,"",IF('Eval-Avant impact'!$T$107="","",IF('Eval-Avant impact'!S773&lt;&gt;"",'Eval-Avant impact'!S773,"")))</f>
        <v/>
      </c>
      <c r="RL2" s="5" t="str">
        <f>IF('Eval-Avant impact'!$T$107=0,"",IF('Eval-Avant impact'!$T$107="","",IF('Eval-Avant impact'!T773&lt;&gt;"",'Eval-Avant impact'!T773,"")))</f>
        <v/>
      </c>
      <c r="RM2" s="5" t="str">
        <f>IF('Eval-Avant impact'!$T$107=0,"",IF('Eval-Avant impact'!$T$107="","",IF('Eval-Avant impact'!U773&lt;&gt;"",'Eval-Avant impact'!U773,"")))</f>
        <v/>
      </c>
      <c r="RN2" s="5" t="str">
        <f>IF('Eval-Avant impact'!$T$107=0,"",IF('Eval-Avant impact'!$T$107="","",IF('Eval-Avant impact'!V773&lt;&gt;"",'Eval-Avant impact'!V773,"")))</f>
        <v/>
      </c>
      <c r="RO2" s="5" t="str">
        <f>IF('Eval-Avant impact'!$T$107=0,"",IF('Eval-Avant impact'!$T$107="","",IF('Eval-Avant impact'!W773&lt;&gt;"",'Eval-Avant impact'!W773,"")))</f>
        <v/>
      </c>
      <c r="RP2" s="5" t="str">
        <f>IF('Eval-Avant impact'!$T$107=0,"",IF('Eval-Avant impact'!$T$107="","",IF('Eval-Avant impact'!X773&lt;&gt;"",'Eval-Avant impact'!X773,"")))</f>
        <v/>
      </c>
      <c r="RQ2" s="5" t="str">
        <f>IF('Eval-Avant impact'!$T$107=0,"",IF('Eval-Avant impact'!$T$107="","",IF('Eval-Avant impact'!Y773&lt;&gt;"",'Eval-Avant impact'!Y773,"")))</f>
        <v/>
      </c>
      <c r="RR2" s="5" t="str">
        <f>IF('Eval-Avant impact'!$T$107=0,"",IF('Eval-Avant impact'!$T$107="","",IF('Eval-Avant impact'!A774&lt;&gt;"",'Eval-Avant impact'!A774,"")))</f>
        <v/>
      </c>
      <c r="RS2" s="5" t="str">
        <f>IF('Eval-Avant impact'!$T$107=0,"",IF('Eval-Avant impact'!$T$107="","",IF('Eval-Avant impact'!B774&lt;&gt;"",'Eval-Avant impact'!B774,"")))</f>
        <v/>
      </c>
      <c r="RT2" s="5" t="str">
        <f>IF('Eval-Avant impact'!$T$107=0,"",IF('Eval-Avant impact'!$T$107="","",IF('Eval-Avant impact'!C774&lt;&gt;"",'Eval-Avant impact'!C774,"")))</f>
        <v/>
      </c>
      <c r="RU2" s="5" t="str">
        <f>IF('Eval-Avant impact'!$T$107=0,"",IF('Eval-Avant impact'!$T$107="","",IF('Eval-Avant impact'!E774&lt;&gt;"",'Eval-Avant impact'!E774,"")))</f>
        <v/>
      </c>
      <c r="RV2" s="5" t="str">
        <f>IF('Eval-Avant impact'!$T$107=0,"",IF('Eval-Avant impact'!$T$107="","",IF('Eval-Avant impact'!G774&lt;&gt;"",'Eval-Avant impact'!G774,"")))</f>
        <v/>
      </c>
      <c r="RW2" s="5" t="str">
        <f>IF('Eval-Avant impact'!$T$107=0,"",IF('Eval-Avant impact'!$T$107="","",IF('Eval-Avant impact'!H774&lt;&gt;"",'Eval-Avant impact'!H774,"")))</f>
        <v/>
      </c>
      <c r="RX2" s="5" t="str">
        <f>IF('Eval-Avant impact'!$T$107=0,"",IF('Eval-Avant impact'!$T$107="","",IF('Eval-Avant impact'!I774&lt;&gt;"",'Eval-Avant impact'!I774,"")))</f>
        <v/>
      </c>
      <c r="RY2" s="5" t="str">
        <f>IF('Eval-Avant impact'!$T$107=0,"",IF('Eval-Avant impact'!$T$107="","",IF('Eval-Avant impact'!J774&lt;&gt;"",'Eval-Avant impact'!J774,"")))</f>
        <v/>
      </c>
      <c r="RZ2" s="5" t="str">
        <f>IF('Eval-Avant impact'!$T$107=0,"",IF('Eval-Avant impact'!$T$107="","",IF('Eval-Avant impact'!K774&lt;&gt;"",'Eval-Avant impact'!K774,"")))</f>
        <v/>
      </c>
      <c r="SA2" s="5" t="str">
        <f>IF('Eval-Avant impact'!$T$107=0,"",IF('Eval-Avant impact'!$T$107="","",IF('Eval-Avant impact'!L774&lt;&gt;"",'Eval-Avant impact'!L774,"")))</f>
        <v/>
      </c>
      <c r="SB2" s="5" t="str">
        <f>IF('Eval-Avant impact'!$T$107=0,"",IF('Eval-Avant impact'!$T$107="","",IF('Eval-Avant impact'!M774&lt;&gt;"",'Eval-Avant impact'!M774,"")))</f>
        <v/>
      </c>
      <c r="SC2" s="5" t="str">
        <f>IF('Eval-Avant impact'!$T$107=0,"",IF('Eval-Avant impact'!$T$107="","",IF('Eval-Avant impact'!N774&lt;&gt;"",'Eval-Avant impact'!N774,"")))</f>
        <v/>
      </c>
      <c r="SD2" s="5" t="str">
        <f>IF('Eval-Avant impact'!$T$107=0,"",IF('Eval-Avant impact'!$T$107="","",IF('Eval-Avant impact'!O774&lt;&gt;"",'Eval-Avant impact'!O774,"")))</f>
        <v/>
      </c>
      <c r="SE2" s="5" t="str">
        <f>IF('Eval-Avant impact'!$T$107=0,"",IF('Eval-Avant impact'!$T$107="","",IF('Eval-Avant impact'!P774&lt;&gt;"",'Eval-Avant impact'!P774,"")))</f>
        <v/>
      </c>
      <c r="SF2" s="5" t="str">
        <f>IF('Eval-Avant impact'!$T$107=0,"",IF('Eval-Avant impact'!$T$107="","",IF('Eval-Avant impact'!Q774&lt;&gt;"",'Eval-Avant impact'!Q774,"")))</f>
        <v/>
      </c>
      <c r="SG2" s="5" t="str">
        <f>IF('Eval-Avant impact'!$T$107=0,"",IF('Eval-Avant impact'!$T$107="","",IF('Eval-Avant impact'!R774&lt;&gt;"",'Eval-Avant impact'!R774,"")))</f>
        <v/>
      </c>
      <c r="SH2" s="5" t="str">
        <f>IF('Eval-Avant impact'!$T$107=0,"",IF('Eval-Avant impact'!$T$107="","",IF('Eval-Avant impact'!S774&lt;&gt;"",'Eval-Avant impact'!S774,"")))</f>
        <v/>
      </c>
      <c r="SI2" s="5" t="str">
        <f>IF('Eval-Avant impact'!$T$107=0,"",IF('Eval-Avant impact'!$T$107="","",IF('Eval-Avant impact'!T774&lt;&gt;"",'Eval-Avant impact'!T774,"")))</f>
        <v/>
      </c>
      <c r="SJ2" s="5" t="str">
        <f>IF('Eval-Avant impact'!$T$107=0,"",IF('Eval-Avant impact'!$T$107="","",IF('Eval-Avant impact'!U774&lt;&gt;"",'Eval-Avant impact'!U774,"")))</f>
        <v/>
      </c>
      <c r="SK2" s="5" t="str">
        <f>IF('Eval-Avant impact'!$T$107=0,"",IF('Eval-Avant impact'!$T$107="","",IF('Eval-Avant impact'!V774&lt;&gt;"",'Eval-Avant impact'!V774,"")))</f>
        <v/>
      </c>
      <c r="SL2" s="5" t="str">
        <f>IF('Eval-Avant impact'!$T$107=0,"",IF('Eval-Avant impact'!$T$107="","",IF('Eval-Avant impact'!W774&lt;&gt;"",'Eval-Avant impact'!W774,"")))</f>
        <v/>
      </c>
      <c r="SM2" s="5" t="str">
        <f>IF('Eval-Avant impact'!$T$107=0,"",IF('Eval-Avant impact'!$T$107="","",IF('Eval-Avant impact'!X774&lt;&gt;"",'Eval-Avant impact'!X774,"")))</f>
        <v/>
      </c>
      <c r="SN2" s="5" t="str">
        <f>IF('Eval-Avant impact'!$T$107=0,"",IF('Eval-Avant impact'!$T$107="","",IF('Eval-Avant impact'!Y774&lt;&gt;"",'Eval-Avant impact'!Y774,"")))</f>
        <v/>
      </c>
      <c r="SO2" s="5" t="str">
        <f>IF('Eval-Avant impact'!$T$107=0,"",IF('Eval-Avant impact'!$T$107="","",IF('Eval-Avant impact'!A775&lt;&gt;"",'Eval-Avant impact'!A775,"")))</f>
        <v/>
      </c>
      <c r="SP2" s="5" t="str">
        <f>IF('Eval-Avant impact'!$T$107=0,"",IF('Eval-Avant impact'!$T$107="","",IF('Eval-Avant impact'!B775&lt;&gt;"",'Eval-Avant impact'!B775,"")))</f>
        <v/>
      </c>
      <c r="SQ2" s="5" t="str">
        <f>IF('Eval-Avant impact'!$T$107=0,"",IF('Eval-Avant impact'!$T$107="","",IF('Eval-Avant impact'!C775&lt;&gt;"",'Eval-Avant impact'!C775,"")))</f>
        <v/>
      </c>
      <c r="SR2" s="5" t="str">
        <f>IF('Eval-Avant impact'!$T$107=0,"",IF('Eval-Avant impact'!$T$107="","",IF('Eval-Avant impact'!E775&lt;&gt;"",'Eval-Avant impact'!E775,"")))</f>
        <v/>
      </c>
      <c r="SS2" s="5" t="str">
        <f>IF('Eval-Avant impact'!$T$107=0,"",IF('Eval-Avant impact'!$T$107="","",IF('Eval-Avant impact'!G775&lt;&gt;"",'Eval-Avant impact'!G775,"")))</f>
        <v/>
      </c>
      <c r="ST2" s="5" t="str">
        <f>IF('Eval-Avant impact'!$T$107=0,"",IF('Eval-Avant impact'!$T$107="","",IF('Eval-Avant impact'!H775&lt;&gt;"",'Eval-Avant impact'!H775,"")))</f>
        <v/>
      </c>
      <c r="SU2" s="5" t="str">
        <f>IF('Eval-Avant impact'!$T$107=0,"",IF('Eval-Avant impact'!$T$107="","",IF('Eval-Avant impact'!I775&lt;&gt;"",'Eval-Avant impact'!I775,"")))</f>
        <v/>
      </c>
      <c r="SV2" s="5" t="str">
        <f>IF('Eval-Avant impact'!$T$107=0,"",IF('Eval-Avant impact'!$T$107="","",IF('Eval-Avant impact'!J775&lt;&gt;"",'Eval-Avant impact'!J775,"")))</f>
        <v/>
      </c>
      <c r="SW2" s="5" t="str">
        <f>IF('Eval-Avant impact'!$T$107=0,"",IF('Eval-Avant impact'!$T$107="","",IF('Eval-Avant impact'!K775&lt;&gt;"",'Eval-Avant impact'!K775,"")))</f>
        <v/>
      </c>
      <c r="SX2" s="5" t="str">
        <f>IF('Eval-Avant impact'!$T$107=0,"",IF('Eval-Avant impact'!$T$107="","",IF('Eval-Avant impact'!L775&lt;&gt;"",'Eval-Avant impact'!L775,"")))</f>
        <v/>
      </c>
      <c r="SY2" s="5" t="str">
        <f>IF('Eval-Avant impact'!$T$107=0,"",IF('Eval-Avant impact'!$T$107="","",IF('Eval-Avant impact'!M775&lt;&gt;"",'Eval-Avant impact'!M775,"")))</f>
        <v/>
      </c>
      <c r="SZ2" s="5" t="str">
        <f>IF('Eval-Avant impact'!$T$107=0,"",IF('Eval-Avant impact'!$T$107="","",IF('Eval-Avant impact'!N775&lt;&gt;"",'Eval-Avant impact'!N775,"")))</f>
        <v/>
      </c>
      <c r="TA2" s="5" t="str">
        <f>IF('Eval-Avant impact'!$T$107=0,"",IF('Eval-Avant impact'!$T$107="","",IF('Eval-Avant impact'!O775&lt;&gt;"",'Eval-Avant impact'!O775,"")))</f>
        <v/>
      </c>
      <c r="TB2" s="5" t="str">
        <f>IF('Eval-Avant impact'!$T$107=0,"",IF('Eval-Avant impact'!$T$107="","",IF('Eval-Avant impact'!P775&lt;&gt;"",'Eval-Avant impact'!P775,"")))</f>
        <v/>
      </c>
      <c r="TC2" s="5" t="str">
        <f>IF('Eval-Avant impact'!$T$107=0,"",IF('Eval-Avant impact'!$T$107="","",IF('Eval-Avant impact'!Q775&lt;&gt;"",'Eval-Avant impact'!Q775,"")))</f>
        <v/>
      </c>
      <c r="TD2" s="5" t="str">
        <f>IF('Eval-Avant impact'!$T$107=0,"",IF('Eval-Avant impact'!$T$107="","",IF('Eval-Avant impact'!R775&lt;&gt;"",'Eval-Avant impact'!R775,"")))</f>
        <v/>
      </c>
      <c r="TE2" s="5" t="str">
        <f>IF('Eval-Avant impact'!$T$107=0,"",IF('Eval-Avant impact'!$T$107="","",IF('Eval-Avant impact'!S775&lt;&gt;"",'Eval-Avant impact'!S775,"")))</f>
        <v/>
      </c>
      <c r="TF2" s="5" t="str">
        <f>IF('Eval-Avant impact'!$T$107=0,"",IF('Eval-Avant impact'!$T$107="","",IF('Eval-Avant impact'!T775&lt;&gt;"",'Eval-Avant impact'!T775,"")))</f>
        <v/>
      </c>
      <c r="TG2" s="5" t="str">
        <f>IF('Eval-Avant impact'!$T$107=0,"",IF('Eval-Avant impact'!$T$107="","",IF('Eval-Avant impact'!U775&lt;&gt;"",'Eval-Avant impact'!U775,"")))</f>
        <v/>
      </c>
      <c r="TH2" s="5" t="str">
        <f>IF('Eval-Avant impact'!$T$107=0,"",IF('Eval-Avant impact'!$T$107="","",IF('Eval-Avant impact'!V775&lt;&gt;"",'Eval-Avant impact'!V775,"")))</f>
        <v/>
      </c>
      <c r="TI2" s="5" t="str">
        <f>IF('Eval-Avant impact'!$T$107=0,"",IF('Eval-Avant impact'!$T$107="","",IF('Eval-Avant impact'!W775&lt;&gt;"",'Eval-Avant impact'!W775,"")))</f>
        <v/>
      </c>
      <c r="TJ2" s="5" t="str">
        <f>IF('Eval-Avant impact'!$T$107=0,"",IF('Eval-Avant impact'!$T$107="","",IF('Eval-Avant impact'!X775&lt;&gt;"",'Eval-Avant impact'!X775,"")))</f>
        <v/>
      </c>
      <c r="TK2" s="5" t="str">
        <f>IF('Eval-Avant impact'!$T$107=0,"",IF('Eval-Avant impact'!$T$107="","",IF('Eval-Avant impact'!Y775&lt;&gt;"",'Eval-Avant impact'!Y775,"")))</f>
        <v/>
      </c>
      <c r="TL2" s="5" t="str">
        <f>IF('Eval-Avant impact'!$T$107=0,"",IF('Eval-Avant impact'!$T$107="","",IF('Eval-Avant impact'!A776&lt;&gt;"",'Eval-Avant impact'!A776,"")))</f>
        <v/>
      </c>
      <c r="TM2" s="5" t="str">
        <f>IF('Eval-Avant impact'!$T$107=0,"",IF('Eval-Avant impact'!$T$107="","",IF('Eval-Avant impact'!B776&lt;&gt;"",'Eval-Avant impact'!B776,"")))</f>
        <v/>
      </c>
      <c r="TN2" s="5" t="str">
        <f>IF('Eval-Avant impact'!$T$107=0,"",IF('Eval-Avant impact'!$T$107="","",IF('Eval-Avant impact'!C776&lt;&gt;"",'Eval-Avant impact'!C776,"")))</f>
        <v/>
      </c>
      <c r="TO2" s="5" t="str">
        <f>IF('Eval-Avant impact'!$T$107=0,"",IF('Eval-Avant impact'!$T$107="","",IF('Eval-Avant impact'!E776&lt;&gt;"",'Eval-Avant impact'!E776,"")))</f>
        <v/>
      </c>
      <c r="TP2" s="5" t="str">
        <f>IF('Eval-Avant impact'!$T$107=0,"",IF('Eval-Avant impact'!$T$107="","",IF('Eval-Avant impact'!G776&lt;&gt;"",'Eval-Avant impact'!G776,"")))</f>
        <v/>
      </c>
      <c r="TQ2" s="5" t="str">
        <f>IF('Eval-Avant impact'!$T$107=0,"",IF('Eval-Avant impact'!$T$107="","",IF('Eval-Avant impact'!H776&lt;&gt;"",'Eval-Avant impact'!H776,"")))</f>
        <v/>
      </c>
      <c r="TR2" s="5" t="str">
        <f>IF('Eval-Avant impact'!$T$107=0,"",IF('Eval-Avant impact'!$T$107="","",IF('Eval-Avant impact'!I776&lt;&gt;"",'Eval-Avant impact'!I776,"")))</f>
        <v/>
      </c>
      <c r="TS2" s="5" t="str">
        <f>IF('Eval-Avant impact'!$T$107=0,"",IF('Eval-Avant impact'!$T$107="","",IF('Eval-Avant impact'!J776&lt;&gt;"",'Eval-Avant impact'!J776,"")))</f>
        <v/>
      </c>
      <c r="TT2" s="5" t="str">
        <f>IF('Eval-Avant impact'!$T$107=0,"",IF('Eval-Avant impact'!$T$107="","",IF('Eval-Avant impact'!K776&lt;&gt;"",'Eval-Avant impact'!K776,"")))</f>
        <v/>
      </c>
      <c r="TU2" s="5" t="str">
        <f>IF('Eval-Avant impact'!$T$107=0,"",IF('Eval-Avant impact'!$T$107="","",IF('Eval-Avant impact'!L776&lt;&gt;"",'Eval-Avant impact'!L776,"")))</f>
        <v/>
      </c>
      <c r="TV2" s="5" t="str">
        <f>IF('Eval-Avant impact'!$T$107=0,"",IF('Eval-Avant impact'!$T$107="","",IF('Eval-Avant impact'!M776&lt;&gt;"",'Eval-Avant impact'!M776,"")))</f>
        <v/>
      </c>
      <c r="TW2" s="5" t="str">
        <f>IF('Eval-Avant impact'!$T$107=0,"",IF('Eval-Avant impact'!$T$107="","",IF('Eval-Avant impact'!N776&lt;&gt;"",'Eval-Avant impact'!N776,"")))</f>
        <v/>
      </c>
      <c r="TX2" s="5" t="str">
        <f>IF('Eval-Avant impact'!$T$107=0,"",IF('Eval-Avant impact'!$T$107="","",IF('Eval-Avant impact'!O776&lt;&gt;"",'Eval-Avant impact'!O776,"")))</f>
        <v/>
      </c>
      <c r="TY2" s="5" t="str">
        <f>IF('Eval-Avant impact'!$T$107=0,"",IF('Eval-Avant impact'!$T$107="","",IF('Eval-Avant impact'!P776&lt;&gt;"",'Eval-Avant impact'!P776,"")))</f>
        <v/>
      </c>
      <c r="TZ2" s="5" t="str">
        <f>IF('Eval-Avant impact'!$T$107=0,"",IF('Eval-Avant impact'!$T$107="","",IF('Eval-Avant impact'!Q776&lt;&gt;"",'Eval-Avant impact'!Q776,"")))</f>
        <v/>
      </c>
      <c r="UA2" s="5" t="str">
        <f>IF('Eval-Avant impact'!$T$107=0,"",IF('Eval-Avant impact'!$T$107="","",IF('Eval-Avant impact'!R776&lt;&gt;"",'Eval-Avant impact'!R776,"")))</f>
        <v/>
      </c>
      <c r="UB2" s="5" t="str">
        <f>IF('Eval-Avant impact'!$T$107=0,"",IF('Eval-Avant impact'!$T$107="","",IF('Eval-Avant impact'!S776&lt;&gt;"",'Eval-Avant impact'!S776,"")))</f>
        <v/>
      </c>
      <c r="UC2" s="5" t="str">
        <f>IF('Eval-Avant impact'!$T$107=0,"",IF('Eval-Avant impact'!$T$107="","",IF('Eval-Avant impact'!T776&lt;&gt;"",'Eval-Avant impact'!T776,"")))</f>
        <v/>
      </c>
      <c r="UD2" s="5" t="str">
        <f>IF('Eval-Avant impact'!$T$107=0,"",IF('Eval-Avant impact'!$T$107="","",IF('Eval-Avant impact'!U776&lt;&gt;"",'Eval-Avant impact'!U776,"")))</f>
        <v/>
      </c>
      <c r="UE2" s="5" t="str">
        <f>IF('Eval-Avant impact'!$T$107=0,"",IF('Eval-Avant impact'!$T$107="","",IF('Eval-Avant impact'!V776&lt;&gt;"",'Eval-Avant impact'!V776,"")))</f>
        <v/>
      </c>
      <c r="UF2" s="5" t="str">
        <f>IF('Eval-Avant impact'!$T$107=0,"",IF('Eval-Avant impact'!$T$107="","",IF('Eval-Avant impact'!W776&lt;&gt;"",'Eval-Avant impact'!W776,"")))</f>
        <v/>
      </c>
      <c r="UG2" s="5" t="str">
        <f>IF('Eval-Avant impact'!$T$107=0,"",IF('Eval-Avant impact'!$T$107="","",IF('Eval-Avant impact'!X776&lt;&gt;"",'Eval-Avant impact'!X776,"")))</f>
        <v/>
      </c>
      <c r="UH2" s="5" t="str">
        <f>IF('Eval-Avant impact'!$T$107=0,"",IF('Eval-Avant impact'!$T$107="","",IF('Eval-Avant impact'!Y776&lt;&gt;"",'Eval-Avant impact'!Y776,"")))</f>
        <v/>
      </c>
      <c r="UI2" s="5" t="str">
        <f>IF('Eval-Avant impact'!$T$107=0,"",IF('Eval-Avant impact'!$T$107="","",IF('Eval-Avant impact'!A777&lt;&gt;"",'Eval-Avant impact'!A777,"")))</f>
        <v/>
      </c>
      <c r="UJ2" s="5" t="str">
        <f>IF('Eval-Avant impact'!$T$107=0,"",IF('Eval-Avant impact'!$T$107="","",IF('Eval-Avant impact'!B777&lt;&gt;"",'Eval-Avant impact'!B777,"")))</f>
        <v/>
      </c>
      <c r="UK2" s="5" t="str">
        <f>IF('Eval-Avant impact'!$T$107=0,"",IF('Eval-Avant impact'!$T$107="","",IF('Eval-Avant impact'!C777&lt;&gt;"",'Eval-Avant impact'!C777,"")))</f>
        <v/>
      </c>
      <c r="UL2" s="5" t="str">
        <f>IF('Eval-Avant impact'!$T$107=0,"",IF('Eval-Avant impact'!$T$107="","",IF('Eval-Avant impact'!E777&lt;&gt;"",'Eval-Avant impact'!E777,"")))</f>
        <v/>
      </c>
      <c r="UM2" s="5" t="str">
        <f>IF('Eval-Avant impact'!$T$107=0,"",IF('Eval-Avant impact'!$T$107="","",IF('Eval-Avant impact'!G777&lt;&gt;"",'Eval-Avant impact'!G777,"")))</f>
        <v/>
      </c>
      <c r="UN2" s="5" t="str">
        <f>IF('Eval-Avant impact'!$T$107=0,"",IF('Eval-Avant impact'!$T$107="","",IF('Eval-Avant impact'!H777&lt;&gt;"",'Eval-Avant impact'!H777,"")))</f>
        <v/>
      </c>
      <c r="UO2" s="5" t="str">
        <f>IF('Eval-Avant impact'!$T$107=0,"",IF('Eval-Avant impact'!$T$107="","",IF('Eval-Avant impact'!I777&lt;&gt;"",'Eval-Avant impact'!I777,"")))</f>
        <v/>
      </c>
      <c r="UP2" s="5" t="str">
        <f>IF('Eval-Avant impact'!$T$107=0,"",IF('Eval-Avant impact'!$T$107="","",IF('Eval-Avant impact'!J777&lt;&gt;"",'Eval-Avant impact'!J777,"")))</f>
        <v/>
      </c>
      <c r="UQ2" s="5" t="str">
        <f>IF('Eval-Avant impact'!$T$107=0,"",IF('Eval-Avant impact'!$T$107="","",IF('Eval-Avant impact'!K777&lt;&gt;"",'Eval-Avant impact'!K777,"")))</f>
        <v/>
      </c>
      <c r="UR2" s="5" t="str">
        <f>IF('Eval-Avant impact'!$T$107=0,"",IF('Eval-Avant impact'!$T$107="","",IF('Eval-Avant impact'!L777&lt;&gt;"",'Eval-Avant impact'!L777,"")))</f>
        <v/>
      </c>
      <c r="US2" s="5" t="str">
        <f>IF('Eval-Avant impact'!$T$107=0,"",IF('Eval-Avant impact'!$T$107="","",IF('Eval-Avant impact'!M777&lt;&gt;"",'Eval-Avant impact'!M777,"")))</f>
        <v/>
      </c>
      <c r="UT2" s="5" t="str">
        <f>IF('Eval-Avant impact'!$T$107=0,"",IF('Eval-Avant impact'!$T$107="","",IF('Eval-Avant impact'!N777&lt;&gt;"",'Eval-Avant impact'!N777,"")))</f>
        <v/>
      </c>
      <c r="UU2" s="5" t="str">
        <f>IF('Eval-Avant impact'!$T$107=0,"",IF('Eval-Avant impact'!$T$107="","",IF('Eval-Avant impact'!O777&lt;&gt;"",'Eval-Avant impact'!O777,"")))</f>
        <v/>
      </c>
      <c r="UV2" s="5" t="str">
        <f>IF('Eval-Avant impact'!$T$107=0,"",IF('Eval-Avant impact'!$T$107="","",IF('Eval-Avant impact'!P777&lt;&gt;"",'Eval-Avant impact'!P777,"")))</f>
        <v/>
      </c>
      <c r="UW2" s="5" t="str">
        <f>IF('Eval-Avant impact'!$T$107=0,"",IF('Eval-Avant impact'!$T$107="","",IF('Eval-Avant impact'!Q777&lt;&gt;"",'Eval-Avant impact'!Q777,"")))</f>
        <v/>
      </c>
      <c r="UX2" s="5" t="str">
        <f>IF('Eval-Avant impact'!$T$107=0,"",IF('Eval-Avant impact'!$T$107="","",IF('Eval-Avant impact'!R777&lt;&gt;"",'Eval-Avant impact'!R777,"")))</f>
        <v/>
      </c>
      <c r="UY2" s="5" t="str">
        <f>IF('Eval-Avant impact'!$T$107=0,"",IF('Eval-Avant impact'!$T$107="","",IF('Eval-Avant impact'!S777&lt;&gt;"",'Eval-Avant impact'!S777,"")))</f>
        <v/>
      </c>
      <c r="UZ2" s="5" t="str">
        <f>IF('Eval-Avant impact'!$T$107=0,"",IF('Eval-Avant impact'!$T$107="","",IF('Eval-Avant impact'!T777&lt;&gt;"",'Eval-Avant impact'!T777,"")))</f>
        <v/>
      </c>
      <c r="VA2" s="5" t="str">
        <f>IF('Eval-Avant impact'!$T$107=0,"",IF('Eval-Avant impact'!$T$107="","",IF('Eval-Avant impact'!U777&lt;&gt;"",'Eval-Avant impact'!U777,"")))</f>
        <v/>
      </c>
      <c r="VB2" s="5" t="str">
        <f>IF('Eval-Avant impact'!$T$107=0,"",IF('Eval-Avant impact'!$T$107="","",IF('Eval-Avant impact'!V777&lt;&gt;"",'Eval-Avant impact'!V777,"")))</f>
        <v/>
      </c>
      <c r="VC2" s="5" t="str">
        <f>IF('Eval-Avant impact'!$T$107=0,"",IF('Eval-Avant impact'!$T$107="","",IF('Eval-Avant impact'!W777&lt;&gt;"",'Eval-Avant impact'!W777,"")))</f>
        <v/>
      </c>
      <c r="VD2" s="5" t="str">
        <f>IF('Eval-Avant impact'!$T$107=0,"",IF('Eval-Avant impact'!$T$107="","",IF('Eval-Avant impact'!X777&lt;&gt;"",'Eval-Avant impact'!X777,"")))</f>
        <v/>
      </c>
      <c r="VE2" s="5" t="str">
        <f>IF('Eval-Avant impact'!$T$107=0,"",IF('Eval-Avant impact'!$T$107="","",IF('Eval-Avant impact'!Y777&lt;&gt;"",'Eval-Avant impact'!Y777,"")))</f>
        <v/>
      </c>
      <c r="VF2" s="5" t="str">
        <f>IF('Eval-Avant impact'!$T$107=0,"",IF('Eval-Avant impact'!$T$107="","",IF('Eval-Avant impact'!A778&lt;&gt;"",'Eval-Avant impact'!A778,"")))</f>
        <v/>
      </c>
      <c r="VG2" s="5" t="str">
        <f>IF('Eval-Avant impact'!$T$107=0,"",IF('Eval-Avant impact'!$T$107="","",IF('Eval-Avant impact'!B778&lt;&gt;"",'Eval-Avant impact'!B778,"")))</f>
        <v/>
      </c>
      <c r="VH2" s="5" t="str">
        <f>IF('Eval-Avant impact'!$T$107=0,"",IF('Eval-Avant impact'!$T$107="","",IF('Eval-Avant impact'!C778&lt;&gt;"",'Eval-Avant impact'!C778,"")))</f>
        <v/>
      </c>
      <c r="VI2" s="5" t="str">
        <f>IF('Eval-Avant impact'!$T$107=0,"",IF('Eval-Avant impact'!$T$107="","",IF('Eval-Avant impact'!E778&lt;&gt;"",'Eval-Avant impact'!E778,"")))</f>
        <v/>
      </c>
      <c r="VJ2" s="5" t="str">
        <f>IF('Eval-Avant impact'!$T$107=0,"",IF('Eval-Avant impact'!$T$107="","",IF('Eval-Avant impact'!G778&lt;&gt;"",'Eval-Avant impact'!G778,"")))</f>
        <v/>
      </c>
      <c r="VK2" s="5" t="str">
        <f>IF('Eval-Avant impact'!$T$107=0,"",IF('Eval-Avant impact'!$T$107="","",IF('Eval-Avant impact'!H778&lt;&gt;"",'Eval-Avant impact'!H778,"")))</f>
        <v/>
      </c>
      <c r="VL2" s="5" t="str">
        <f>IF('Eval-Avant impact'!$T$107=0,"",IF('Eval-Avant impact'!$T$107="","",IF('Eval-Avant impact'!I778&lt;&gt;"",'Eval-Avant impact'!I778,"")))</f>
        <v/>
      </c>
      <c r="VM2" s="5" t="str">
        <f>IF('Eval-Avant impact'!$T$107=0,"",IF('Eval-Avant impact'!$T$107="","",IF('Eval-Avant impact'!J778&lt;&gt;"",'Eval-Avant impact'!J778,"")))</f>
        <v/>
      </c>
      <c r="VN2" s="5" t="str">
        <f>IF('Eval-Avant impact'!$T$107=0,"",IF('Eval-Avant impact'!$T$107="","",IF('Eval-Avant impact'!K778&lt;&gt;"",'Eval-Avant impact'!K778,"")))</f>
        <v/>
      </c>
      <c r="VO2" s="5" t="str">
        <f>IF('Eval-Avant impact'!$T$107=0,"",IF('Eval-Avant impact'!$T$107="","",IF('Eval-Avant impact'!L778&lt;&gt;"",'Eval-Avant impact'!L778,"")))</f>
        <v/>
      </c>
      <c r="VP2" s="5" t="str">
        <f>IF('Eval-Avant impact'!$T$107=0,"",IF('Eval-Avant impact'!$T$107="","",IF('Eval-Avant impact'!M778&lt;&gt;"",'Eval-Avant impact'!M778,"")))</f>
        <v/>
      </c>
      <c r="VQ2" s="5" t="str">
        <f>IF('Eval-Avant impact'!$T$107=0,"",IF('Eval-Avant impact'!$T$107="","",IF('Eval-Avant impact'!N778&lt;&gt;"",'Eval-Avant impact'!N778,"")))</f>
        <v/>
      </c>
      <c r="VR2" s="5" t="str">
        <f>IF('Eval-Avant impact'!$T$107=0,"",IF('Eval-Avant impact'!$T$107="","",IF('Eval-Avant impact'!O778&lt;&gt;"",'Eval-Avant impact'!O778,"")))</f>
        <v/>
      </c>
      <c r="VS2" s="5" t="str">
        <f>IF('Eval-Avant impact'!$T$107=0,"",IF('Eval-Avant impact'!$T$107="","",IF('Eval-Avant impact'!P778&lt;&gt;"",'Eval-Avant impact'!P778,"")))</f>
        <v/>
      </c>
      <c r="VT2" s="5" t="str">
        <f>IF('Eval-Avant impact'!$T$107=0,"",IF('Eval-Avant impact'!$T$107="","",IF('Eval-Avant impact'!Q778&lt;&gt;"",'Eval-Avant impact'!Q778,"")))</f>
        <v/>
      </c>
      <c r="VU2" s="5" t="str">
        <f>IF('Eval-Avant impact'!$T$107=0,"",IF('Eval-Avant impact'!$T$107="","",IF('Eval-Avant impact'!R778&lt;&gt;"",'Eval-Avant impact'!R778,"")))</f>
        <v/>
      </c>
      <c r="VV2" s="5" t="str">
        <f>IF('Eval-Avant impact'!$T$107=0,"",IF('Eval-Avant impact'!$T$107="","",IF('Eval-Avant impact'!S778&lt;&gt;"",'Eval-Avant impact'!S778,"")))</f>
        <v/>
      </c>
      <c r="VW2" s="5" t="str">
        <f>IF('Eval-Avant impact'!$T$107=0,"",IF('Eval-Avant impact'!$T$107="","",IF('Eval-Avant impact'!T778&lt;&gt;"",'Eval-Avant impact'!T778,"")))</f>
        <v/>
      </c>
      <c r="VX2" s="5" t="str">
        <f>IF('Eval-Avant impact'!$T$107=0,"",IF('Eval-Avant impact'!$T$107="","",IF('Eval-Avant impact'!U778&lt;&gt;"",'Eval-Avant impact'!U778,"")))</f>
        <v/>
      </c>
      <c r="VY2" s="5" t="str">
        <f>IF('Eval-Avant impact'!$T$107=0,"",IF('Eval-Avant impact'!$T$107="","",IF('Eval-Avant impact'!V778&lt;&gt;"",'Eval-Avant impact'!V778,"")))</f>
        <v/>
      </c>
      <c r="VZ2" s="5" t="str">
        <f>IF('Eval-Avant impact'!$T$107=0,"",IF('Eval-Avant impact'!$T$107="","",IF('Eval-Avant impact'!W778&lt;&gt;"",'Eval-Avant impact'!W778,"")))</f>
        <v/>
      </c>
      <c r="WA2" s="5" t="str">
        <f>IF('Eval-Avant impact'!$T$107=0,"",IF('Eval-Avant impact'!$T$107="","",IF('Eval-Avant impact'!X778&lt;&gt;"",'Eval-Avant impact'!X778,"")))</f>
        <v/>
      </c>
      <c r="WB2" s="5" t="str">
        <f>IF('Eval-Avant impact'!$T$107=0,"",IF('Eval-Avant impact'!$T$107="","",IF('Eval-Avant impact'!Y778&lt;&gt;"",'Eval-Avant impact'!Y778,"")))</f>
        <v/>
      </c>
      <c r="WC2" s="5" t="str">
        <f>IF('Eval-Avant impact'!$T$107=0,"",IF('Eval-Avant impact'!$T$107="","",IF('Eval-Avant impact'!A779&lt;&gt;"",'Eval-Avant impact'!A779,"")))</f>
        <v/>
      </c>
      <c r="WD2" s="5" t="str">
        <f>IF('Eval-Avant impact'!$T$107=0,"",IF('Eval-Avant impact'!$T$107="","",IF('Eval-Avant impact'!B779&lt;&gt;"",'Eval-Avant impact'!B779,"")))</f>
        <v/>
      </c>
      <c r="WE2" s="5" t="str">
        <f>IF('Eval-Avant impact'!$T$107=0,"",IF('Eval-Avant impact'!$T$107="","",IF('Eval-Avant impact'!C779&lt;&gt;"",'Eval-Avant impact'!C779,"")))</f>
        <v/>
      </c>
      <c r="WF2" s="5" t="str">
        <f>IF('Eval-Avant impact'!$T$107=0,"",IF('Eval-Avant impact'!$T$107="","",IF('Eval-Avant impact'!E779&lt;&gt;"",'Eval-Avant impact'!E779,"")))</f>
        <v/>
      </c>
      <c r="WG2" s="5" t="str">
        <f>IF('Eval-Avant impact'!$T$107=0,"",IF('Eval-Avant impact'!$T$107="","",IF('Eval-Avant impact'!G779&lt;&gt;"",'Eval-Avant impact'!G779,"")))</f>
        <v/>
      </c>
      <c r="WH2" s="5" t="str">
        <f>IF('Eval-Avant impact'!$T$107=0,"",IF('Eval-Avant impact'!$T$107="","",IF('Eval-Avant impact'!H779&lt;&gt;"",'Eval-Avant impact'!H779,"")))</f>
        <v/>
      </c>
      <c r="WI2" s="5" t="str">
        <f>IF('Eval-Avant impact'!$T$107=0,"",IF('Eval-Avant impact'!$T$107="","",IF('Eval-Avant impact'!I779&lt;&gt;"",'Eval-Avant impact'!I779,"")))</f>
        <v/>
      </c>
      <c r="WJ2" s="5" t="str">
        <f>IF('Eval-Avant impact'!$T$107=0,"",IF('Eval-Avant impact'!$T$107="","",IF('Eval-Avant impact'!J779&lt;&gt;"",'Eval-Avant impact'!J779,"")))</f>
        <v/>
      </c>
      <c r="WK2" s="5" t="str">
        <f>IF('Eval-Avant impact'!$T$107=0,"",IF('Eval-Avant impact'!$T$107="","",IF('Eval-Avant impact'!K779&lt;&gt;"",'Eval-Avant impact'!K779,"")))</f>
        <v/>
      </c>
      <c r="WL2" s="5" t="str">
        <f>IF('Eval-Avant impact'!$T$107=0,"",IF('Eval-Avant impact'!$T$107="","",IF('Eval-Avant impact'!L779&lt;&gt;"",'Eval-Avant impact'!L779,"")))</f>
        <v/>
      </c>
      <c r="WM2" s="5" t="str">
        <f>IF('Eval-Avant impact'!$T$107=0,"",IF('Eval-Avant impact'!$T$107="","",IF('Eval-Avant impact'!M779&lt;&gt;"",'Eval-Avant impact'!M779,"")))</f>
        <v/>
      </c>
      <c r="WN2" s="5" t="str">
        <f>IF('Eval-Avant impact'!$T$107=0,"",IF('Eval-Avant impact'!$T$107="","",IF('Eval-Avant impact'!N779&lt;&gt;"",'Eval-Avant impact'!N779,"")))</f>
        <v/>
      </c>
      <c r="WO2" s="5" t="str">
        <f>IF('Eval-Avant impact'!$T$107=0,"",IF('Eval-Avant impact'!$T$107="","",IF('Eval-Avant impact'!O779&lt;&gt;"",'Eval-Avant impact'!O779,"")))</f>
        <v/>
      </c>
      <c r="WP2" s="5" t="str">
        <f>IF('Eval-Avant impact'!$T$107=0,"",IF('Eval-Avant impact'!$T$107="","",IF('Eval-Avant impact'!P779&lt;&gt;"",'Eval-Avant impact'!P779,"")))</f>
        <v/>
      </c>
      <c r="WQ2" s="5" t="str">
        <f>IF('Eval-Avant impact'!$T$107=0,"",IF('Eval-Avant impact'!$T$107="","",IF('Eval-Avant impact'!Q779&lt;&gt;"",'Eval-Avant impact'!Q779,"")))</f>
        <v/>
      </c>
      <c r="WR2" s="5" t="str">
        <f>IF('Eval-Avant impact'!$T$107=0,"",IF('Eval-Avant impact'!$T$107="","",IF('Eval-Avant impact'!R779&lt;&gt;"",'Eval-Avant impact'!R779,"")))</f>
        <v/>
      </c>
      <c r="WS2" s="5" t="str">
        <f>IF('Eval-Avant impact'!$T$107=0,"",IF('Eval-Avant impact'!$T$107="","",IF('Eval-Avant impact'!S779&lt;&gt;"",'Eval-Avant impact'!S779,"")))</f>
        <v/>
      </c>
      <c r="WT2" s="5" t="str">
        <f>IF('Eval-Avant impact'!$T$107=0,"",IF('Eval-Avant impact'!$T$107="","",IF('Eval-Avant impact'!T779&lt;&gt;"",'Eval-Avant impact'!T779,"")))</f>
        <v/>
      </c>
      <c r="WU2" s="5" t="str">
        <f>IF('Eval-Avant impact'!$T$107=0,"",IF('Eval-Avant impact'!$T$107="","",IF('Eval-Avant impact'!U779&lt;&gt;"",'Eval-Avant impact'!U779,"")))</f>
        <v/>
      </c>
      <c r="WV2" s="5" t="str">
        <f>IF('Eval-Avant impact'!$T$107=0,"",IF('Eval-Avant impact'!$T$107="","",IF('Eval-Avant impact'!V779&lt;&gt;"",'Eval-Avant impact'!V779,"")))</f>
        <v/>
      </c>
      <c r="WW2" s="5" t="str">
        <f>IF('Eval-Avant impact'!$T$107=0,"",IF('Eval-Avant impact'!$T$107="","",IF('Eval-Avant impact'!W779&lt;&gt;"",'Eval-Avant impact'!W779,"")))</f>
        <v/>
      </c>
      <c r="WX2" s="5" t="str">
        <f>IF('Eval-Avant impact'!$T$107=0,"",IF('Eval-Avant impact'!$T$107="","",IF('Eval-Avant impact'!X779&lt;&gt;"",'Eval-Avant impact'!X779,"")))</f>
        <v/>
      </c>
      <c r="WY2" s="5" t="str">
        <f>IF('Eval-Avant impact'!$T$107=0,"",IF('Eval-Avant impact'!$T$107="","",IF('Eval-Avant impact'!Y779&lt;&gt;"",'Eval-Avant impact'!Y779,"")))</f>
        <v/>
      </c>
      <c r="WZ2" s="5" t="str">
        <f>IF('Eval-Avant impact'!$T$107=0,"",IF('Eval-Avant impact'!$T$107="","",IF('Eval-Avant impact'!A780&lt;&gt;"",'Eval-Avant impact'!A780,"")))</f>
        <v/>
      </c>
      <c r="XA2" s="5" t="str">
        <f>IF('Eval-Avant impact'!$T$107=0,"",IF('Eval-Avant impact'!$T$107="","",IF('Eval-Avant impact'!B780&lt;&gt;"",'Eval-Avant impact'!B780,"")))</f>
        <v/>
      </c>
      <c r="XB2" s="5" t="str">
        <f>IF('Eval-Avant impact'!$T$107=0,"",IF('Eval-Avant impact'!$T$107="","",IF('Eval-Avant impact'!C780&lt;&gt;"",'Eval-Avant impact'!C780,"")))</f>
        <v/>
      </c>
      <c r="XC2" s="5" t="str">
        <f>IF('Eval-Avant impact'!$T$107=0,"",IF('Eval-Avant impact'!$T$107="","",IF('Eval-Avant impact'!E780&lt;&gt;"",'Eval-Avant impact'!E780,"")))</f>
        <v/>
      </c>
      <c r="XD2" s="5" t="str">
        <f>IF('Eval-Avant impact'!$T$107=0,"",IF('Eval-Avant impact'!$T$107="","",IF('Eval-Avant impact'!G780&lt;&gt;"",'Eval-Avant impact'!G780,"")))</f>
        <v/>
      </c>
      <c r="XE2" s="5" t="str">
        <f>IF('Eval-Avant impact'!$T$107=0,"",IF('Eval-Avant impact'!$T$107="","",IF('Eval-Avant impact'!H780&lt;&gt;"",'Eval-Avant impact'!H780,"")))</f>
        <v/>
      </c>
      <c r="XF2" s="5" t="str">
        <f>IF('Eval-Avant impact'!$T$107=0,"",IF('Eval-Avant impact'!$T$107="","",IF('Eval-Avant impact'!I780&lt;&gt;"",'Eval-Avant impact'!I780,"")))</f>
        <v/>
      </c>
      <c r="XG2" s="5" t="str">
        <f>IF('Eval-Avant impact'!$T$107=0,"",IF('Eval-Avant impact'!$T$107="","",IF('Eval-Avant impact'!J780&lt;&gt;"",'Eval-Avant impact'!J780,"")))</f>
        <v/>
      </c>
      <c r="XH2" s="5" t="str">
        <f>IF('Eval-Avant impact'!$T$107=0,"",IF('Eval-Avant impact'!$T$107="","",IF('Eval-Avant impact'!K780&lt;&gt;"",'Eval-Avant impact'!K780,"")))</f>
        <v/>
      </c>
      <c r="XI2" s="5" t="str">
        <f>IF('Eval-Avant impact'!$T$107=0,"",IF('Eval-Avant impact'!$T$107="","",IF('Eval-Avant impact'!L780&lt;&gt;"",'Eval-Avant impact'!L780,"")))</f>
        <v/>
      </c>
      <c r="XJ2" s="5" t="str">
        <f>IF('Eval-Avant impact'!$T$107=0,"",IF('Eval-Avant impact'!$T$107="","",IF('Eval-Avant impact'!M780&lt;&gt;"",'Eval-Avant impact'!M780,"")))</f>
        <v/>
      </c>
      <c r="XK2" s="5" t="str">
        <f>IF('Eval-Avant impact'!$T$107=0,"",IF('Eval-Avant impact'!$T$107="","",IF('Eval-Avant impact'!N780&lt;&gt;"",'Eval-Avant impact'!N780,"")))</f>
        <v/>
      </c>
      <c r="XL2" s="5" t="str">
        <f>IF('Eval-Avant impact'!$T$107=0,"",IF('Eval-Avant impact'!$T$107="","",IF('Eval-Avant impact'!O780&lt;&gt;"",'Eval-Avant impact'!O780,"")))</f>
        <v/>
      </c>
      <c r="XM2" s="5" t="str">
        <f>IF('Eval-Avant impact'!$T$107=0,"",IF('Eval-Avant impact'!$T$107="","",IF('Eval-Avant impact'!P780&lt;&gt;"",'Eval-Avant impact'!P780,"")))</f>
        <v/>
      </c>
      <c r="XN2" s="5" t="str">
        <f>IF('Eval-Avant impact'!$T$107=0,"",IF('Eval-Avant impact'!$T$107="","",IF('Eval-Avant impact'!Q780&lt;&gt;"",'Eval-Avant impact'!Q780,"")))</f>
        <v/>
      </c>
      <c r="XO2" s="5" t="str">
        <f>IF('Eval-Avant impact'!$T$107=0,"",IF('Eval-Avant impact'!$T$107="","",IF('Eval-Avant impact'!R780&lt;&gt;"",'Eval-Avant impact'!R780,"")))</f>
        <v/>
      </c>
      <c r="XP2" s="5" t="str">
        <f>IF('Eval-Avant impact'!$T$107=0,"",IF('Eval-Avant impact'!$T$107="","",IF('Eval-Avant impact'!S780&lt;&gt;"",'Eval-Avant impact'!S780,"")))</f>
        <v/>
      </c>
      <c r="XQ2" s="5" t="str">
        <f>IF('Eval-Avant impact'!$T$107=0,"",IF('Eval-Avant impact'!$T$107="","",IF('Eval-Avant impact'!T780&lt;&gt;"",'Eval-Avant impact'!T780,"")))</f>
        <v/>
      </c>
      <c r="XR2" s="5" t="str">
        <f>IF('Eval-Avant impact'!$T$107=0,"",IF('Eval-Avant impact'!$T$107="","",IF('Eval-Avant impact'!U780&lt;&gt;"",'Eval-Avant impact'!U780,"")))</f>
        <v/>
      </c>
      <c r="XS2" s="5" t="str">
        <f>IF('Eval-Avant impact'!$T$107=0,"",IF('Eval-Avant impact'!$T$107="","",IF('Eval-Avant impact'!V780&lt;&gt;"",'Eval-Avant impact'!V780,"")))</f>
        <v/>
      </c>
      <c r="XT2" s="5" t="str">
        <f>IF('Eval-Avant impact'!$T$107=0,"",IF('Eval-Avant impact'!$T$107="","",IF('Eval-Avant impact'!W780&lt;&gt;"",'Eval-Avant impact'!W780,"")))</f>
        <v/>
      </c>
      <c r="XU2" s="5" t="str">
        <f>IF('Eval-Avant impact'!$T$107=0,"",IF('Eval-Avant impact'!$T$107="","",IF('Eval-Avant impact'!X780&lt;&gt;"",'Eval-Avant impact'!X780,"")))</f>
        <v/>
      </c>
      <c r="XV2" s="5" t="str">
        <f>IF('Eval-Avant impact'!$T$107=0,"",IF('Eval-Avant impact'!$T$107="","",IF('Eval-Avant impact'!Y780&lt;&gt;"",'Eval-Avant impact'!Y780,"")))</f>
        <v/>
      </c>
      <c r="XW2" s="5" t="str">
        <f>IF('Eval-Avant impact'!$T$107=0,"",IF('Eval-Avant impact'!$T$107="","",IF('Eval-Avant impact'!J797="X","oui",IF('Eval-Avant impact'!T797="X","non",""))))</f>
        <v/>
      </c>
      <c r="XX2" s="5" t="str">
        <f>IF('Eval-Avant impact'!$T$107=0,"",IF('Eval-Avant impact'!$T$107="","",IF('Eval-Avant impact'!T806&lt;&gt;"",'Eval-Avant impact'!T806,"")))</f>
        <v/>
      </c>
      <c r="XY2" s="5" t="str">
        <f>IF('Eval-Avant impact'!$T$107=0,"",IF('Eval-Avant impact'!$T$107="","",IF('Eval-Avant impact'!T812&lt;&gt;"",'Eval-Avant impact'!T812,"")))</f>
        <v/>
      </c>
      <c r="XZ2" s="5" t="str">
        <f>IF('Eval-Avant impact'!$T$107=0,"",IF('Eval-Avant impact'!$T$107="","",IF('Eval-Avant impact'!T816&lt;&gt;"",'Eval-Avant impact'!T816,"")))</f>
        <v/>
      </c>
      <c r="YA2" s="5" t="str">
        <f>IF('Eval-Avant impact'!$T$107=0,"",IF('Eval-Avant impact'!$T$107="","",IF('Eval-Avant impact'!T822&lt;&gt;"",'Eval-Avant impact'!T822,"")))</f>
        <v/>
      </c>
      <c r="YB2" s="5" t="str">
        <f>IF('Eval-Avant impact'!$T$107=0,"",IF('Eval-Avant impact'!$T$107="","",'Eval-Avant impact'!C829))</f>
        <v/>
      </c>
      <c r="YC2" s="15" t="str">
        <f>'Calcul auto.'!F41</f>
        <v/>
      </c>
      <c r="YD2" s="15" t="str">
        <f>'Calcul auto.'!G42</f>
        <v/>
      </c>
      <c r="YE2" s="15" t="str">
        <f>'Calcul auto.'!F43</f>
        <v/>
      </c>
      <c r="YF2" s="15" t="str">
        <f>'Calcul auto.'!F44</f>
        <v/>
      </c>
      <c r="YG2" s="15" t="str">
        <f>'Calcul auto.'!F45</f>
        <v/>
      </c>
      <c r="YH2" s="15" t="str">
        <f>'Calcul auto.'!F46</f>
        <v/>
      </c>
      <c r="YI2" s="15" t="str">
        <f>'Calcul auto.'!F47</f>
        <v/>
      </c>
      <c r="YJ2" s="15" t="str">
        <f>'Calcul auto.'!F48</f>
        <v/>
      </c>
      <c r="YK2" s="15" t="str">
        <f>'Calcul auto.'!L49</f>
        <v/>
      </c>
      <c r="YL2" s="15" t="str">
        <f>'Calcul auto.'!L50</f>
        <v/>
      </c>
      <c r="YM2" s="15" t="str">
        <f>'Calcul auto.'!M51</f>
        <v/>
      </c>
      <c r="YN2" s="15" t="str">
        <f>'Calcul auto.'!M52</f>
        <v/>
      </c>
      <c r="YO2" s="15" t="str">
        <f>'Calcul auto.'!M53</f>
        <v/>
      </c>
      <c r="YP2" s="15" t="str">
        <f>'Calcul auto.'!M54</f>
        <v/>
      </c>
      <c r="YQ2" s="15" t="str">
        <f>'Calcul auto.'!M55</f>
        <v/>
      </c>
      <c r="YR2" s="15" t="str">
        <f>'Calcul auto.'!F56</f>
        <v/>
      </c>
      <c r="YS2" s="15" t="str">
        <f>'Calcul auto.'!H57</f>
        <v/>
      </c>
      <c r="YT2" s="15" t="str">
        <f>'Calcul auto.'!K58</f>
        <v/>
      </c>
      <c r="YU2" s="15" t="str">
        <f>'Calcul auto.'!D59</f>
        <v/>
      </c>
      <c r="YV2" s="15" t="str">
        <f>'Calcul auto.'!D60</f>
        <v/>
      </c>
      <c r="YW2" s="15" t="str">
        <f>'Calcul auto.'!D61</f>
        <v/>
      </c>
      <c r="YX2" s="15" t="str">
        <f>'Calcul auto.'!D62</f>
        <v/>
      </c>
      <c r="YY2" s="15" t="str">
        <f>'Calcul auto.'!F63</f>
        <v/>
      </c>
      <c r="YZ2" s="15" t="str">
        <f>'Calcul auto.'!E64</f>
        <v/>
      </c>
      <c r="ZA2" s="15" t="str">
        <f>'Calcul auto.'!F65</f>
        <v/>
      </c>
      <c r="ZB2" s="15" t="str">
        <f>'Calcul auto.'!F66</f>
        <v/>
      </c>
      <c r="ZC2" s="15" t="str">
        <f>'Calcul auto.'!J67</f>
        <v/>
      </c>
      <c r="ZD2" s="15" t="str">
        <f>'Calcul auto.'!I68</f>
        <v/>
      </c>
      <c r="ZE2" s="15" t="str">
        <f>'Calcul auto.'!F69</f>
        <v/>
      </c>
      <c r="ZF2" s="15" t="str">
        <f>'Calcul auto.'!G70</f>
        <v/>
      </c>
      <c r="ZG2" s="15" t="str">
        <f>'Calcul auto.'!K71</f>
        <v/>
      </c>
      <c r="ZH2" s="15" t="str">
        <f>'Calcul auto.'!K72</f>
        <v/>
      </c>
      <c r="ZI2" s="15" t="str">
        <f>'Calcul auto.'!F73</f>
        <v/>
      </c>
      <c r="ZJ2" s="15" t="str">
        <f>'Calcul auto.'!G74</f>
        <v/>
      </c>
      <c r="ZK2" s="15" t="str">
        <f>'Calcul auto.'!G75</f>
        <v/>
      </c>
      <c r="ZL2" s="15" t="str">
        <f>'Calcul auto.'!E76</f>
        <v/>
      </c>
      <c r="ZM2" s="15" t="str">
        <f>'Calcul auto.'!E77</f>
        <v/>
      </c>
      <c r="ZN2" s="15" t="str">
        <f>'Calcul auto.'!G78</f>
        <v/>
      </c>
      <c r="ZO2" s="15" t="str">
        <f>'Calcul auto.'!L79</f>
        <v/>
      </c>
      <c r="ZP2" s="15" t="str">
        <f>'Calcul auto.'!L80</f>
        <v/>
      </c>
      <c r="ZQ2" s="15" t="str">
        <f>'Calcul auto.'!M81</f>
        <v/>
      </c>
      <c r="ZR2" s="15" t="str">
        <f>'Calcul auto.'!M82</f>
        <v/>
      </c>
      <c r="ZS2" s="15" t="str">
        <f>'Calcul auto.'!L83</f>
        <v/>
      </c>
      <c r="ZT2" s="15" t="str">
        <f>'Calcul auto.'!L84</f>
        <v/>
      </c>
      <c r="ZU2" s="15" t="str">
        <f>'Calcul auto.'!L85</f>
        <v/>
      </c>
      <c r="ZV2" s="15" t="str">
        <f>'Calcul auto.'!L86</f>
        <v/>
      </c>
      <c r="ZW2" s="15" t="str">
        <f>'Calcul auto.'!L87</f>
        <v/>
      </c>
      <c r="ZX2" s="15" t="str">
        <f>'Calcul auto.'!P41</f>
        <v/>
      </c>
      <c r="ZY2" s="15" t="str">
        <f>'Calcul auto.'!Q42</f>
        <v/>
      </c>
      <c r="ZZ2" s="15" t="str">
        <f>'Calcul auto.'!P43</f>
        <v/>
      </c>
      <c r="AAA2" s="15" t="str">
        <f>'Calcul auto.'!P44</f>
        <v/>
      </c>
      <c r="AAB2" s="15" t="str">
        <f>'Calcul auto.'!P45</f>
        <v/>
      </c>
      <c r="AAC2" s="15" t="str">
        <f>'Calcul auto.'!V49</f>
        <v/>
      </c>
      <c r="AAD2" s="15" t="str">
        <f>'Calcul auto.'!V50</f>
        <v/>
      </c>
      <c r="AAE2" s="15" t="str">
        <f>'Calcul auto.'!W51</f>
        <v/>
      </c>
      <c r="AAF2" s="15" t="str">
        <f>'Calcul auto.'!W52</f>
        <v/>
      </c>
      <c r="AAG2" s="15" t="str">
        <f>'Calcul auto.'!W53</f>
        <v/>
      </c>
      <c r="AAH2" s="15" t="str">
        <f>'Calcul auto.'!W54</f>
        <v/>
      </c>
      <c r="AAI2" s="15" t="str">
        <f>'Calcul auto.'!W55</f>
        <v/>
      </c>
      <c r="AAJ2" s="15" t="str">
        <f>'Calcul auto.'!P56</f>
        <v/>
      </c>
      <c r="AAK2" s="15" t="str">
        <f>'Calcul auto.'!R57</f>
        <v/>
      </c>
      <c r="AAL2" s="15" t="str">
        <f>'Calcul auto.'!U58</f>
        <v/>
      </c>
      <c r="AAM2" s="15" t="str">
        <f>'Calcul auto.'!N59</f>
        <v/>
      </c>
      <c r="AAN2" s="15" t="str">
        <f>'Calcul auto.'!N60</f>
        <v/>
      </c>
      <c r="AAO2" s="15" t="str">
        <f>'Calcul auto.'!N61</f>
        <v/>
      </c>
      <c r="AAP2" s="15" t="str">
        <f>'Calcul auto.'!N62</f>
        <v/>
      </c>
      <c r="AAQ2" s="15" t="str">
        <f>'Calcul auto.'!P63</f>
        <v/>
      </c>
      <c r="AAR2" s="15" t="str">
        <f>'Calcul auto.'!O64</f>
        <v/>
      </c>
      <c r="AAS2" s="15" t="str">
        <f>'Calcul auto.'!P65</f>
        <v/>
      </c>
      <c r="AAT2" s="15" t="str">
        <f>'Calcul auto.'!P66</f>
        <v/>
      </c>
      <c r="AAU2" s="15" t="str">
        <f>'Calcul auto.'!T67</f>
        <v/>
      </c>
      <c r="AAV2" s="15" t="str">
        <f>'Calcul auto.'!S68</f>
        <v/>
      </c>
      <c r="AAW2" s="15" t="str">
        <f>'Calcul auto.'!P69</f>
        <v/>
      </c>
      <c r="AAX2" s="15" t="str">
        <f>'Calcul auto.'!Q70</f>
        <v/>
      </c>
      <c r="AAY2" s="15" t="str">
        <f>'Calcul auto.'!U71</f>
        <v/>
      </c>
      <c r="AAZ2" s="15" t="str">
        <f>'Calcul auto.'!U72</f>
        <v/>
      </c>
      <c r="ABA2" s="15" t="str">
        <f>'Calcul auto.'!P73</f>
        <v/>
      </c>
      <c r="ABB2" s="15" t="str">
        <f>'Calcul auto.'!Q74</f>
        <v/>
      </c>
      <c r="ABC2" s="15" t="str">
        <f>'Calcul auto.'!Q75</f>
        <v/>
      </c>
      <c r="ABD2" s="15" t="str">
        <f>'Calcul auto.'!O76</f>
        <v/>
      </c>
      <c r="ABE2" s="15" t="str">
        <f>'Calcul auto.'!O77</f>
        <v/>
      </c>
      <c r="ABF2" s="15" t="str">
        <f>'Calcul auto.'!Q78</f>
        <v/>
      </c>
      <c r="ABG2" s="15" t="str">
        <f>'Calcul auto.'!V79</f>
        <v/>
      </c>
      <c r="ABH2" s="15" t="str">
        <f>'Calcul auto.'!V80</f>
        <v/>
      </c>
      <c r="ABI2" s="15" t="str">
        <f>'Calcul auto.'!W81</f>
        <v/>
      </c>
      <c r="ABJ2" s="15" t="str">
        <f>'Calcul auto.'!W82</f>
        <v/>
      </c>
      <c r="ABK2" s="15" t="str">
        <f>'Calcul auto.'!V83</f>
        <v/>
      </c>
      <c r="ABL2" s="15" t="str">
        <f>'Calcul auto.'!V84</f>
        <v/>
      </c>
      <c r="ABM2" s="15" t="str">
        <f>'Calcul auto.'!V85</f>
        <v/>
      </c>
      <c r="ABN2" s="15" t="str">
        <f>'Calcul auto.'!V86</f>
        <v/>
      </c>
      <c r="ABO2" s="16" t="str">
        <f>'Calcul auto.'!V87</f>
        <v/>
      </c>
    </row>
    <row r="3" spans="1:743" s="17" customFormat="1" ht="35.25" customHeight="1" x14ac:dyDescent="0.2">
      <c r="A3" s="18" t="s">
        <v>773</v>
      </c>
      <c r="B3" s="10" t="str">
        <f>IF('Eval-Avec impact envisagé'!$T$107=0,"",IF('Eval-Avec impact envisagé'!$T$107="","",'Eval-Avec impact envisagé'!K26))</f>
        <v/>
      </c>
      <c r="C3" s="9" t="str">
        <f>IF('Eval-Avec impact envisagé'!$T$107=0,"",IF('Eval-Avec impact envisagé'!$T$107="","",'Eval-Avec impact envisagé'!F29))</f>
        <v/>
      </c>
      <c r="D3" s="9" t="str">
        <f>IF('Eval-Avec impact envisagé'!$T$107=0,"",IF('Eval-Avec impact envisagé'!$T$107="","",'Eval-Avec impact envisagé'!I29))</f>
        <v/>
      </c>
      <c r="E3" s="9" t="str">
        <f>IF('Eval-Avec impact envisagé'!$T$107=0,"",IF('Eval-Avec impact envisagé'!$T$107="","",'Eval-Avec impact envisagé'!L29))</f>
        <v/>
      </c>
      <c r="F3" s="9" t="str">
        <f>IF('Eval-Avec impact envisagé'!$T$107=0,"",IF('Eval-Avec impact envisagé'!$T$107="","",'Eval-Avec impact envisagé'!O29))</f>
        <v/>
      </c>
      <c r="G3" s="3" t="str">
        <f>IF('Eval-Avec impact envisagé'!$T$107=0,"",IF('Eval-Avec impact envisagé'!$T$107="","",'Eval-Avec impact envisagé'!F30))</f>
        <v/>
      </c>
      <c r="H3" s="3" t="str">
        <f>IF('Eval-Avec impact envisagé'!$T$107=0,"",IF('Eval-Avec impact envisagé'!$T$107="","",'Eval-Avec impact envisagé'!I30))</f>
        <v/>
      </c>
      <c r="I3" s="3" t="str">
        <f>IF('Eval-Avec impact envisagé'!$T$107=0,"",IF('Eval-Avec impact envisagé'!$T$107="","",'Eval-Avec impact envisagé'!L30))</f>
        <v/>
      </c>
      <c r="J3" s="3" t="str">
        <f>IF('Eval-Avec impact envisagé'!$T$107=0,"",IF('Eval-Avec impact envisagé'!$T$107="","",'Eval-Avec impact envisagé'!O30))</f>
        <v/>
      </c>
      <c r="K3" s="3" t="str">
        <f>IF('Eval-Avec impact envisagé'!$T$107=0,"",IF('Eval-Avec impact envisagé'!$T$107="","",'Eval-Avec impact envisagé'!F31))</f>
        <v/>
      </c>
      <c r="L3" s="3" t="str">
        <f>IF('Eval-Avec impact envisagé'!$T$107=0,"",IF('Eval-Avec impact envisagé'!$T$107="","",'Eval-Avec impact envisagé'!I31))</f>
        <v/>
      </c>
      <c r="M3" s="3" t="str">
        <f>IF('Eval-Avec impact envisagé'!$T$107=0,"",IF('Eval-Avec impact envisagé'!$T$107="","",'Eval-Avec impact envisagé'!L31))</f>
        <v/>
      </c>
      <c r="N3" s="3" t="str">
        <f>IF('Eval-Avec impact envisagé'!$T$107=0,"",IF('Eval-Avec impact envisagé'!$T$107="","",'Eval-Avec impact envisagé'!O31))</f>
        <v/>
      </c>
      <c r="O3" s="3" t="str">
        <f>IF('Eval-Avec impact envisagé'!$T$107=0,"",IF('Eval-Avec impact envisagé'!$T$107="","",'Eval-Avec impact envisagé'!F32))</f>
        <v/>
      </c>
      <c r="P3" s="3" t="str">
        <f>IF('Eval-Avec impact envisagé'!$T$107=0,"",IF('Eval-Avec impact envisagé'!$T$107="","",'Eval-Avec impact envisagé'!I32))</f>
        <v/>
      </c>
      <c r="Q3" s="3" t="str">
        <f>IF('Eval-Avec impact envisagé'!$T$107=0,"",IF('Eval-Avec impact envisagé'!$T$107="","",'Eval-Avec impact envisagé'!L32))</f>
        <v/>
      </c>
      <c r="R3" s="3" t="str">
        <f>IF('Eval-Avec impact envisagé'!$T$107=0,"",IF('Eval-Avec impact envisagé'!$T$107="","",'Eval-Avec impact envisagé'!O32))</f>
        <v/>
      </c>
      <c r="S3" s="3" t="str">
        <f>IF('Eval-Avec impact envisagé'!$T$107=0,"",IF('Eval-Avec impact envisagé'!$T$107="","",'Eval-Avec impact envisagé'!C35))</f>
        <v/>
      </c>
      <c r="T3" s="3" t="str">
        <f>IF('Eval-Avec impact envisagé'!$T$107=0,"",IF('Eval-Avec impact envisagé'!$T$107="","",'Eval-Avec impact envisagé'!C44))</f>
        <v/>
      </c>
      <c r="U3" s="3" t="str">
        <f>IF('Eval-Avec impact envisagé'!$T$107=0,"",IF('Eval-Avec impact envisagé'!$T$107="","",'Eval-Avec impact envisagé'!C47))</f>
        <v/>
      </c>
      <c r="V3" s="3" t="str">
        <f>IF('Eval-Avec impact envisagé'!$T$107=0,"",IF('Eval-Avec impact envisagé'!$T$107="","",'Eval-Avec impact envisagé'!C50))</f>
        <v/>
      </c>
      <c r="W3" s="3" t="str">
        <f>IF('Eval-Avec impact envisagé'!$T$107=0,"",IF('Eval-Avec impact envisagé'!$T$107="","",'Eval-Avec impact envisagé'!T107))</f>
        <v/>
      </c>
      <c r="X3" s="3" t="str">
        <f>IF('Eval-Avec impact envisagé'!$T$107=0,"",IF('Eval-Avec impact envisagé'!$T$107="","",IF('Eval-Avec impact envisagé'!T111="X","tout un système humide",IF('Eval-Avec impact envisagé'!T112="X","délimitation administrative","autres cas"))))</f>
        <v/>
      </c>
      <c r="Y3" s="3" t="str">
        <f>IF('Eval-Avec impact envisagé'!$T$107=0,"",IF('Eval-Avec impact envisagé'!$T$107="","",'Eval-Avec impact envisagé'!G117))</f>
        <v/>
      </c>
      <c r="Z3" s="3" t="str">
        <f>IF('Eval-Avec impact envisagé'!$T$107=0,"",IF('Eval-Avec impact envisagé'!$T$107="","",IF('Eval-Avec impact envisagé'!J121="X",'Eval-Avec impact envisagé'!I121,"")))</f>
        <v/>
      </c>
      <c r="AA3" s="3" t="str">
        <f>IF('Eval-Avec impact envisagé'!$T$107=0,"",IF('Eval-Avec impact envisagé'!$T$107="","",IF('Eval-Avec impact envisagé'!J122="X",'Eval-Avec impact envisagé'!I122,"")))</f>
        <v/>
      </c>
      <c r="AB3" s="3" t="str">
        <f>IF('Eval-Avec impact envisagé'!$T$107=0,"",IF('Eval-Avec impact envisagé'!$T$107="","",IF('Eval-Avec impact envisagé'!J123="X",'Eval-Avec impact envisagé'!I123,"")))</f>
        <v/>
      </c>
      <c r="AC3" s="3" t="str">
        <f>IF('Eval-Avec impact envisagé'!$T$107=0,"",IF('Eval-Avec impact envisagé'!$T$107="","",IF('Eval-Avec impact envisagé'!T121="X",'Eval-Avec impact envisagé'!S121,"")))</f>
        <v/>
      </c>
      <c r="AD3" s="3" t="str">
        <f>IF('Eval-Avec impact envisagé'!$T$107=0,"",IF('Eval-Avec impact envisagé'!$T$107="","",IF('Eval-Avec impact envisagé'!T122="X",'Eval-Avec impact envisagé'!S122,"")))</f>
        <v/>
      </c>
      <c r="AE3" s="3" t="str">
        <f>IF('Eval-Avec impact envisagé'!$T$107=0,"",IF('Eval-Avec impact envisagé'!$T$107="","",'Eval-Avec impact envisagé'!C128))</f>
        <v/>
      </c>
      <c r="AF3" s="3" t="str">
        <f>IF('Eval-Avec impact envisagé'!$T$107=0,"",IF('Eval-Avec impact envisagé'!$T$107="","",'Eval-Avec impact envisagé'!T132))</f>
        <v/>
      </c>
      <c r="AG3" s="3" t="str">
        <f>IF('Eval-Avec impact envisagé'!$T$107=0,"",IF('Eval-Avec impact envisagé'!$T$107="","",'Eval-Avec impact envisagé'!T139))</f>
        <v/>
      </c>
      <c r="AH3" s="3" t="str">
        <f>IF('Eval-Avec impact envisagé'!$T$107=0,"",IF('Eval-Avec impact envisagé'!$T$107="","",IF('Eval-Avec impact envisagé'!J194="X","procédure 1",IF('Eval-Avec impact envisagé'!T194="X","procédure 2",IF('Eval-Avec impact envisagé'!J195="X","procédure 3",IF('Eval-Avec impact envisagé'!T195="X","procédure 4",IF('Eval-Avec impact envisagé'!J196="X","procédure 5","")))))))</f>
        <v/>
      </c>
      <c r="AI3" s="3" t="str">
        <f>IF('Eval-Avec impact envisagé'!$T$107=0,"",IF('Eval-Avec impact envisagé'!$T$107="","",'Eval-Avec impact envisagé'!C205))</f>
        <v/>
      </c>
      <c r="AJ3" s="3" t="str">
        <f>IF('Eval-Avec impact envisagé'!$T$107=0,"",IF('Eval-Avec impact envisagé'!$T$107="","",'Eval-Avec impact envisagé'!T213))</f>
        <v/>
      </c>
      <c r="AK3" s="3" t="str">
        <f>IF('Eval-Avec impact envisagé'!$T$107=0,"",IF('Eval-Avec impact envisagé'!$T$107="","",'Eval-Avec impact envisagé'!T217))</f>
        <v/>
      </c>
      <c r="AL3" s="3" t="str">
        <f>IF('Eval-Avec impact envisagé'!$T$107=0,"",IF('Eval-Avec impact envisagé'!$T$107="","",'Eval-Avec impact envisagé'!T221))</f>
        <v/>
      </c>
      <c r="AM3" s="3" t="str">
        <f>IF('Eval-Avec impact envisagé'!$T$107=0,"",IF('Eval-Avec impact envisagé'!$T$107="","",'Eval-Avec impact envisagé'!T222))</f>
        <v/>
      </c>
      <c r="AN3" s="3" t="str">
        <f>IF('Eval-Avec impact envisagé'!$T$107=0,"",IF('Eval-Avec impact envisagé'!$T$107="","",IF('Eval-Avec impact envisagé'!J226="X","oui","non")))</f>
        <v/>
      </c>
      <c r="AO3" s="3" t="str">
        <f>IF('Eval-Avec impact envisagé'!$T$107=0,"",IF('Eval-Avec impact envisagé'!$T$107="","",'Eval-Avec impact envisagé'!T230))</f>
        <v/>
      </c>
      <c r="AP3" s="3" t="str">
        <f>IF('Eval-Avec impact envisagé'!$T$107=0,"",IF('Eval-Avec impact envisagé'!$T$107="","",'Eval-Avec impact envisagé'!T234))</f>
        <v/>
      </c>
      <c r="AQ3" s="3" t="str">
        <f>IF('Eval-Avec impact envisagé'!$T$107=0,"",IF('Eval-Avec impact envisagé'!$T$107="","",'Eval-Avec impact envisagé'!T292))</f>
        <v/>
      </c>
      <c r="AR3" s="3" t="str">
        <f>IF('Eval-Avec impact envisagé'!$T$107=0,"",IF('Eval-Avec impact envisagé'!$T$107="","",'Eval-Avec impact envisagé'!T296))</f>
        <v/>
      </c>
      <c r="AS3" s="3" t="str">
        <f>IF('Eval-Avec impact envisagé'!$T$107=0,"",IF('Eval-Avec impact envisagé'!$T$107="","",'Eval-Avec impact envisagé'!T356))</f>
        <v/>
      </c>
      <c r="AT3" s="3" t="str">
        <f>IF('Eval-Avec impact envisagé'!$T$107=0,"",IF('Eval-Avec impact envisagé'!$T$107="","",'Eval-Avec impact envisagé'!T361))</f>
        <v/>
      </c>
      <c r="AU3" s="3" t="str">
        <f>IF('Eval-Avec impact envisagé'!$T$107=0,"",IF('Eval-Avec impact envisagé'!$T$107="","",'Eval-Avec impact envisagé'!T362))</f>
        <v/>
      </c>
      <c r="AV3" s="3" t="str">
        <f>IF('Eval-Avec impact envisagé'!$T$107=0,"",IF('Eval-Avec impact envisagé'!$T$107="","",'Eval-Avec impact envisagé'!T363))</f>
        <v/>
      </c>
      <c r="AW3" s="3" t="str">
        <f>IF('Eval-Avec impact envisagé'!$T$107=0,"",IF('Eval-Avec impact envisagé'!$T$107="","",'Eval-Avec impact envisagé'!T364))</f>
        <v/>
      </c>
      <c r="AX3" s="3" t="str">
        <f>IF('Eval-Avec impact envisagé'!$T$107=0,"",IF('Eval-Avec impact envisagé'!$T$107="","",'Eval-Avec impact envisagé'!T365))</f>
        <v/>
      </c>
      <c r="AY3" s="3" t="str">
        <f>IF('Eval-Avec impact envisagé'!$T$107=0,"",IF('Eval-Avec impact envisagé'!$T$107="","",'Eval-Avec impact envisagé'!T366))</f>
        <v/>
      </c>
      <c r="AZ3" s="3" t="str">
        <f>IF('Eval-Avec impact envisagé'!$T$107=0,"",IF('Eval-Avec impact envisagé'!$T$107="","",'Eval-Avec impact envisagé'!T367))</f>
        <v/>
      </c>
      <c r="BA3" s="3" t="str">
        <f>IF('Eval-Avec impact envisagé'!$T$107=0,"",IF('Eval-Avec impact envisagé'!$T$107="","",'Eval-Avec impact envisagé'!T368))</f>
        <v/>
      </c>
      <c r="BB3" s="3" t="str">
        <f>IF('Eval-Avec impact envisagé'!$T$107=0,"",IF('Eval-Avec impact envisagé'!$T$107="","",'Eval-Avec impact envisagé'!T369))</f>
        <v/>
      </c>
      <c r="BC3" s="3" t="str">
        <f>IF('Eval-Avec impact envisagé'!$T$107=0,"",IF('Eval-Avec impact envisagé'!$T$107="","",'Eval-Avec impact envisagé'!T370))</f>
        <v/>
      </c>
      <c r="BD3" s="3" t="str">
        <f>IF('Eval-Avec impact envisagé'!$T$107=0,"",IF('Eval-Avec impact envisagé'!$T$107="","",IF('Eval-Avec impact envisagé'!J376="X","procédure 1",IF('Eval-Avec impact envisagé'!T376="X","procédure 2","procédure 3"))))</f>
        <v/>
      </c>
      <c r="BE3" s="3" t="str">
        <f>IF('Eval-Avec impact envisagé'!$T$107=0,"",IF('Eval-Avec impact envisagé'!$T$107="","",IF('Eval-Avec impact envisagé'!J376="X",'Eval-Avec impact envisagé'!T382,"")))</f>
        <v/>
      </c>
      <c r="BF3" s="3" t="str">
        <f>IF('Eval-Avec impact envisagé'!$T$107=0,"",IF('Eval-Avec impact envisagé'!$T$107="","",IF('Eval-Avec impact envisagé'!T376="X",'Eval-Avec impact envisagé'!T387,"")))</f>
        <v/>
      </c>
      <c r="BG3" s="3" t="str">
        <f>IF('Eval-Avec impact envisagé'!$T$107=0,"",IF('Eval-Avec impact envisagé'!$T$107="","",IF('Eval-Avec impact envisagé'!J377="X",'Eval-Avec impact envisagé'!T393,"")))</f>
        <v/>
      </c>
      <c r="BH3" s="3" t="str">
        <f>IF('Eval-Avec impact envisagé'!$T$107=0,"",IF('Eval-Avec impact envisagé'!$T$107="","",IF('Eval-Avec impact envisagé'!J377="X",'Eval-Avec impact envisagé'!T394,"")))</f>
        <v/>
      </c>
      <c r="BI3" s="3" t="str">
        <f>IF('Eval-Avec impact envisagé'!$T$107=0,"",IF('Eval-Avec impact envisagé'!$T$107="","",'Eval-Avec impact envisagé'!T398))</f>
        <v/>
      </c>
      <c r="BJ3" s="3" t="str">
        <f>IF('Eval-Avec impact envisagé'!$T$107=0,"",IF('Eval-Avec impact envisagé'!$T$107="","",'Eval-Avec impact envisagé'!T399))</f>
        <v/>
      </c>
      <c r="BK3" s="3" t="str">
        <f>IF('Eval-Avec impact envisagé'!$T$107=0,"",IF('Eval-Avec impact envisagé'!$T$107="","",IF('Eval-Avec impact envisagé'!J404="X","oui","non")))</f>
        <v/>
      </c>
      <c r="BL3" s="3" t="str">
        <f>IF('Eval-Avec impact envisagé'!$T$107=0,"",IF('Eval-Avec impact envisagé'!$T$107="","",'Eval-Avec impact envisagé'!T408))</f>
        <v/>
      </c>
      <c r="BM3" s="3" t="str">
        <f>IF('Eval-Avec impact envisagé'!$T$107=0,"",IF('Eval-Avec impact envisagé'!$T$107="","",IF('Eval-Avec impact envisagé'!J413="X","oui","non")))</f>
        <v/>
      </c>
      <c r="BN3" s="3" t="str">
        <f>IF('Eval-Avec impact envisagé'!$T$107=0,"",IF('Eval-Avec impact envisagé'!$T$107="","",'Eval-Avec impact envisagé'!C419))</f>
        <v/>
      </c>
      <c r="BO3" s="3" t="str">
        <f>IF('Eval-Avec impact envisagé'!$T$107=0,"",IF('Eval-Avec impact envisagé'!$T$107="","",'Eval-Avec impact envisagé'!T424))</f>
        <v/>
      </c>
      <c r="BP3" s="3" t="str">
        <f>IF('Eval-Avec impact envisagé'!$T$107=0,"",IF('Eval-Avec impact envisagé'!$T$107="","",IF('Eval-Avec impact envisagé'!J429="X","oui","non")))</f>
        <v/>
      </c>
      <c r="BQ3" s="3" t="str">
        <f>IF('Eval-Avec impact envisagé'!$T$107=0,"",IF('Eval-Avec impact envisagé'!$T$107="","",'Eval-Avec impact envisagé'!C435))</f>
        <v/>
      </c>
      <c r="BR3" s="3" t="str">
        <f>IF('Eval-Avec impact envisagé'!$T$107=0,"",IF('Eval-Avec impact envisagé'!$T$107="","",IF('Eval-Avec impact envisagé'!J440="X","oui","non")))</f>
        <v/>
      </c>
      <c r="BS3" s="3" t="str">
        <f>IF('Eval-Avec impact envisagé'!$T$107=0,"",IF('Eval-Avec impact envisagé'!$T$107="","",IF('Eval-Avec impact envisagé'!J444="X","oui","non")))</f>
        <v/>
      </c>
      <c r="BT3" s="3" t="str">
        <f>IF('Eval-Avec impact envisagé'!$T$107=0,"",IF('Eval-Avec impact envisagé'!$T$107="","",IF('Eval-Avec impact envisagé'!J449="X","oui","non")))</f>
        <v/>
      </c>
      <c r="BU3" s="3" t="str">
        <f>IF('Eval-Avec impact envisagé'!$T$107=0,"",IF('Eval-Avec impact envisagé'!$T$107="","",IF('Eval-Avec impact envisagé'!J456="X",'Eval-Avec impact envisagé'!I456,IF('Eval-Avec impact envisagé'!J457="X",'Eval-Avec impact envisagé'!I457,IF('Eval-Avec impact envisagé'!T456="X",'Eval-Avec impact envisagé'!S456,'Eval-Avec impact envisagé'!S457)))))</f>
        <v/>
      </c>
      <c r="BV3" s="3" t="str">
        <f>IF('Eval-Avec impact envisagé'!$T$107=0,"",IF('Eval-Avec impact envisagé'!$T$107="","",IF('Eval-Avec impact envisagé'!$C$465&lt;&gt;"",'Eval-Avec impact envisagé'!$C$465,"")))</f>
        <v/>
      </c>
      <c r="BW3" s="3" t="str">
        <f>IF('Eval-Avec impact envisagé'!$T$107=0,"",IF('Eval-Avec impact envisagé'!$T$107="","",IF('Eval-Avec impact envisagé'!$T$465&lt;&gt;"",'Eval-Avec impact envisagé'!$T$465,"")))</f>
        <v/>
      </c>
      <c r="BX3" s="3" t="str">
        <f>IF('Eval-Avec impact envisagé'!$T$107=0,"",IF('Eval-Avec impact envisagé'!$T$107="","",IF('Eval-Avec impact envisagé'!$C$466&lt;&gt;"",'Eval-Avec impact envisagé'!$C$466,"")))</f>
        <v/>
      </c>
      <c r="BY3" s="3" t="str">
        <f>IF('Eval-Avec impact envisagé'!$T$107=0,"",IF('Eval-Avec impact envisagé'!$T$107="","",IF('Eval-Avec impact envisagé'!$T$466&lt;&gt;"",'Eval-Avec impact envisagé'!$T$466,"")))</f>
        <v/>
      </c>
      <c r="BZ3" s="3" t="str">
        <f>IF('Eval-Avec impact envisagé'!$T$107=0,"",IF('Eval-Avec impact envisagé'!$T$107="","",IF('Eval-Avec impact envisagé'!$C$467&lt;&gt;"",'Eval-Avec impact envisagé'!$C$467,"")))</f>
        <v/>
      </c>
      <c r="CA3" s="3" t="str">
        <f>IF('Eval-Avec impact envisagé'!$T$107=0,"",IF('Eval-Avec impact envisagé'!$T$107="","",IF('Eval-Avec impact envisagé'!$T$467&lt;&gt;"",'Eval-Avec impact envisagé'!$T$467,"")))</f>
        <v/>
      </c>
      <c r="CB3" s="3" t="str">
        <f>IF('Eval-Avec impact envisagé'!$T$107=0,"",IF('Eval-Avec impact envisagé'!$T$107="","",IF('Eval-Avec impact envisagé'!$C$468&lt;&gt;"",'Eval-Avec impact envisagé'!$C$468,"")))</f>
        <v/>
      </c>
      <c r="CC3" s="3" t="str">
        <f>IF('Eval-Avec impact envisagé'!$T$107=0,"",IF('Eval-Avec impact envisagé'!$T$107="","",IF('Eval-Avec impact envisagé'!$T$468&lt;&gt;"",'Eval-Avec impact envisagé'!$T$468,"")))</f>
        <v/>
      </c>
      <c r="CD3" s="3" t="str">
        <f>IF('Eval-Avec impact envisagé'!$T$107=0,"",IF('Eval-Avec impact envisagé'!$T$107="","",IF('Eval-Avec impact envisagé'!$C$469&lt;&gt;"",'Eval-Avec impact envisagé'!$C$469,"")))</f>
        <v/>
      </c>
      <c r="CE3" s="3" t="str">
        <f>IF('Eval-Avec impact envisagé'!$T$107=0,"",IF('Eval-Avec impact envisagé'!$T$107="","",IF('Eval-Avec impact envisagé'!$T$469&lt;&gt;"",'Eval-Avec impact envisagé'!$T$469,"")))</f>
        <v/>
      </c>
      <c r="CF3" s="3" t="str">
        <f>IF('Eval-Avec impact envisagé'!$T$107=0,"",IF('Eval-Avec impact envisagé'!$T$107="","",IF('Eval-Avec impact envisagé'!$C$470&lt;&gt;"",'Eval-Avec impact envisagé'!$C$470,"")))</f>
        <v/>
      </c>
      <c r="CG3" s="3" t="str">
        <f>IF('Eval-Avec impact envisagé'!$T$107=0,"",IF('Eval-Avec impact envisagé'!$T$107="","",IF('Eval-Avec impact envisagé'!$T$470&lt;&gt;"",'Eval-Avec impact envisagé'!$T$470,"")))</f>
        <v/>
      </c>
      <c r="CH3" s="3" t="str">
        <f>IF('Eval-Avec impact envisagé'!$T$107=0,"",IF('Eval-Avec impact envisagé'!$T$107="","",IF('Eval-Avec impact envisagé'!$C$471&lt;&gt;"",'Eval-Avec impact envisagé'!$C$471,"")))</f>
        <v/>
      </c>
      <c r="CI3" s="3" t="str">
        <f>IF('Eval-Avec impact envisagé'!$T$107=0,"",IF('Eval-Avec impact envisagé'!$T$107="","",IF('Eval-Avec impact envisagé'!$T$471&lt;&gt;"",'Eval-Avec impact envisagé'!$T$471,"")))</f>
        <v/>
      </c>
      <c r="CJ3" s="3" t="str">
        <f>IF('Eval-Avec impact envisagé'!$T$107=0,"",IF('Eval-Avec impact envisagé'!$T$107="","",IF('Eval-Avec impact envisagé'!$C$472&lt;&gt;"",'Eval-Avec impact envisagé'!$C$472,"")))</f>
        <v/>
      </c>
      <c r="CK3" s="3" t="str">
        <f>IF('Eval-Avec impact envisagé'!$T$107=0,"",IF('Eval-Avec impact envisagé'!$T$107="","",IF('Eval-Avec impact envisagé'!$T$472&lt;&gt;"",'Eval-Avec impact envisagé'!$T$472,"")))</f>
        <v/>
      </c>
      <c r="CL3" s="3" t="str">
        <f>IF('Eval-Avec impact envisagé'!$T$107=0,"",IF('Eval-Avec impact envisagé'!$T$107="","",IF('Eval-Avec impact envisagé'!$C$473&lt;&gt;"",'Eval-Avec impact envisagé'!$C$473,"")))</f>
        <v/>
      </c>
      <c r="CM3" s="3" t="str">
        <f>IF('Eval-Avec impact envisagé'!$T$107=0,"",IF('Eval-Avec impact envisagé'!$T$107="","",IF('Eval-Avec impact envisagé'!$T$473&lt;&gt;"",'Eval-Avec impact envisagé'!$T$473,"")))</f>
        <v/>
      </c>
      <c r="CN3" s="3" t="str">
        <f>IF('Eval-Avec impact envisagé'!$T$107=0,"",IF('Eval-Avec impact envisagé'!$T$107="","",IF('Eval-Avec impact envisagé'!$C$474&lt;&gt;"",'Eval-Avec impact envisagé'!$C$474,"")))</f>
        <v/>
      </c>
      <c r="CO3" s="3" t="str">
        <f>IF('Eval-Avec impact envisagé'!$T$107=0,"",IF('Eval-Avec impact envisagé'!$T$107="","",IF('Eval-Avec impact envisagé'!$T$474&lt;&gt;"",'Eval-Avec impact envisagé'!$T$474,"")))</f>
        <v/>
      </c>
      <c r="CP3" s="3" t="str">
        <f>IF('Eval-Avec impact envisagé'!$T$107=0,"",IF('Eval-Avec impact envisagé'!$T$107="","",IF('Eval-Avec impact envisagé'!$C$475&lt;&gt;"",'Eval-Avec impact envisagé'!$C$475,"")))</f>
        <v/>
      </c>
      <c r="CQ3" s="3" t="str">
        <f>IF('Eval-Avec impact envisagé'!$T$107=0,"",IF('Eval-Avec impact envisagé'!$T$107="","",IF('Eval-Avec impact envisagé'!$T$475&lt;&gt;"",'Eval-Avec impact envisagé'!$T$475,"")))</f>
        <v/>
      </c>
      <c r="CR3" s="3" t="str">
        <f>IF('Eval-Avec impact envisagé'!$T$107=0,"",IF('Eval-Avec impact envisagé'!$T$107="","",IF('Eval-Avec impact envisagé'!$C$476&lt;&gt;"",'Eval-Avec impact envisagé'!$C$476,"")))</f>
        <v/>
      </c>
      <c r="CS3" s="3" t="str">
        <f>IF('Eval-Avec impact envisagé'!$T$107=0,"",IF('Eval-Avec impact envisagé'!$T$107="","",IF('Eval-Avec impact envisagé'!$T$476&lt;&gt;"",'Eval-Avec impact envisagé'!$T$476,"")))</f>
        <v/>
      </c>
      <c r="CT3" s="3" t="str">
        <f>IF('Eval-Avec impact envisagé'!$T$107=0,"",IF('Eval-Avec impact envisagé'!$T$107="","",IF('Eval-Avec impact envisagé'!$C$477&lt;&gt;"",'Eval-Avec impact envisagé'!$C$477,"")))</f>
        <v/>
      </c>
      <c r="CU3" s="3" t="str">
        <f>IF('Eval-Avec impact envisagé'!$T$107=0,"",IF('Eval-Avec impact envisagé'!$T$107="","",IF('Eval-Avec impact envisagé'!$T$477&lt;&gt;"",'Eval-Avec impact envisagé'!$T$477,"")))</f>
        <v/>
      </c>
      <c r="CV3" s="3" t="str">
        <f>IF('Eval-Avec impact envisagé'!$T$107=0,"",IF('Eval-Avec impact envisagé'!$T$107="","",IF('Eval-Avec impact envisagé'!$C$478&lt;&gt;"",'Eval-Avec impact envisagé'!$C$478,"")))</f>
        <v/>
      </c>
      <c r="CW3" s="3" t="str">
        <f>IF('Eval-Avec impact envisagé'!$T$107=0,"",IF('Eval-Avec impact envisagé'!$T$107="","",IF('Eval-Avec impact envisagé'!$T$478&lt;&gt;"",'Eval-Avec impact envisagé'!$T$478,"")))</f>
        <v/>
      </c>
      <c r="CX3" s="3" t="str">
        <f>IF('Eval-Avec impact envisagé'!$T$107=0,"",IF('Eval-Avec impact envisagé'!$T$107="","",IF('Eval-Avec impact envisagé'!$C$479&lt;&gt;"",'Eval-Avec impact envisagé'!$C$479,"")))</f>
        <v/>
      </c>
      <c r="CY3" s="3" t="str">
        <f>IF('Eval-Avec impact envisagé'!$T$107=0,"",IF('Eval-Avec impact envisagé'!$T$107="","",IF('Eval-Avec impact envisagé'!$T$479&lt;&gt;"",'Eval-Avec impact envisagé'!$T$479,"")))</f>
        <v/>
      </c>
      <c r="CZ3" s="3" t="str">
        <f>IF('Eval-Avec impact envisagé'!$T$107=0,"",IF('Eval-Avec impact envisagé'!$T$107="","",'Eval-Avec impact envisagé'!C486))</f>
        <v/>
      </c>
      <c r="DA3" s="3" t="str">
        <f>IF('Eval-Avec impact envisagé'!$T$107=0,"",IF('Eval-Avec impact envisagé'!$T$107="","",'Eval-Avec impact envisagé'!T491))</f>
        <v/>
      </c>
      <c r="DB3" s="3" t="str">
        <f>IF('Eval-Avec impact envisagé'!$T$107=0,"",IF('Eval-Avec impact envisagé'!$T$107="","",IF('Eval-Avec impact envisagé'!T498&lt;&gt;"",'Eval-Avec impact envisagé'!T498,"")))</f>
        <v/>
      </c>
      <c r="DC3" s="3" t="str">
        <f>IF('Eval-Avec impact envisagé'!$T$107=0,"",IF('Eval-Avec impact envisagé'!$T$107="","",IF('Eval-Avec impact envisagé'!T503&lt;&gt;"",'Eval-Avec impact envisagé'!T503,"")))</f>
        <v/>
      </c>
      <c r="DD3" s="3" t="str">
        <f>IF('Eval-Avec impact envisagé'!$T$107=0,"",IF('Eval-Avec impact envisagé'!$T$107="","",IF('Eval-Avec impact envisagé'!T504&lt;&gt;"",'Eval-Avec impact envisagé'!T504,"")))</f>
        <v/>
      </c>
      <c r="DE3" s="3" t="str">
        <f>IF('Eval-Avec impact envisagé'!$T$107=0,"",IF('Eval-Avec impact envisagé'!$T$107="","",IF('Eval-Avec impact envisagé'!J508="X","oui","non")))</f>
        <v/>
      </c>
      <c r="DF3" s="3" t="str">
        <f>IF('Eval-Avec impact envisagé'!$T$107=0,"",IF('Eval-Avec impact envisagé'!$T$107="","",'Eval-Avec impact envisagé'!C514))</f>
        <v/>
      </c>
      <c r="DG3" s="3" t="str">
        <f>IF('Eval-Avec impact envisagé'!$T$107=0,"",IF('Eval-Avec impact envisagé'!$T$107="","",IF('Eval-Avec impact envisagé'!J522="X","oui","non")))</f>
        <v/>
      </c>
      <c r="DH3" s="3" t="str">
        <f>IF('Eval-Avec impact envisagé'!$T$107=0,"",IF('Eval-Avec impact envisagé'!$T$107="","",IF('Eval-Avec impact envisagé'!C526&lt;&gt;"",'Eval-Avec impact envisagé'!C526,"")))</f>
        <v/>
      </c>
      <c r="DI3" s="3" t="str">
        <f>IF('Eval-Avec impact envisagé'!$T$107=0,"",IF('Eval-Avec impact envisagé'!$T$107="","",IF('Eval-Avec impact envisagé'!C534&lt;&gt;"",'Eval-Avec impact envisagé'!C534,"")))</f>
        <v/>
      </c>
      <c r="DJ3" s="3" t="str">
        <f>IF('Eval-Avec impact envisagé'!$T$107=0,"",IF('Eval-Avec impact envisagé'!$T$107="","",IF('Eval-Avec impact envisagé'!C537&lt;&gt;"",'Eval-Avec impact envisagé'!C537,"")))</f>
        <v/>
      </c>
      <c r="DK3" s="3" t="str">
        <f>IF('Eval-Avec impact envisagé'!$T$107=0,"",IF('Eval-Avec impact envisagé'!$T$107="","",IF('Eval-Avec impact envisagé'!C540&lt;&gt;"",'Eval-Avec impact envisagé'!C540,"")))</f>
        <v/>
      </c>
      <c r="DL3" s="3" t="str">
        <f>IF('Eval-Avec impact envisagé'!$T$107=0,"",IF('Eval-Avec impact envisagé'!$T$107="","",IF('Eval-Avec impact envisagé'!C543&lt;&gt;"",'Eval-Avec impact envisagé'!C543,"")))</f>
        <v/>
      </c>
      <c r="DM3" s="3" t="str">
        <f>IF('Eval-Avec impact envisagé'!$T$107=0,"",IF('Eval-Avec impact envisagé'!$T$107="","",IF('Eval-Avec impact envisagé'!C546&lt;&gt;"",'Eval-Avec impact envisagé'!C546,"")))</f>
        <v/>
      </c>
      <c r="DN3" s="3" t="str">
        <f>IF('Eval-Avec impact envisagé'!$T$107=0,"",IF('Eval-Avec impact envisagé'!$T$107="","",IF('Eval-Avec impact envisagé'!C552&lt;&gt;"",'Eval-Avec impact envisagé'!C552,"")))</f>
        <v/>
      </c>
      <c r="DO3" s="3" t="str">
        <f>IF('Eval-Avec impact envisagé'!$T$107=0,"",IF('Eval-Avec impact envisagé'!$T$107="","",IF('Eval-Avec impact envisagé'!C559&lt;&gt;"",'Eval-Avec impact envisagé'!C559,"")))</f>
        <v/>
      </c>
      <c r="DP3" s="3" t="str">
        <f>IF('Eval-Avec impact envisagé'!$T$107=0,"",IF('Eval-Avec impact envisagé'!$T$107="","",IF('Eval-Avec impact envisagé'!C562&lt;&gt;"",'Eval-Avec impact envisagé'!C562,"")))</f>
        <v/>
      </c>
      <c r="DQ3" s="3" t="str">
        <f>IF('Eval-Avec impact envisagé'!$T$107=0,"",IF('Eval-Avec impact envisagé'!$T$107="","",IF('Eval-Avec impact envisagé'!C565&lt;&gt;"",'Eval-Avec impact envisagé'!C565,"")))</f>
        <v/>
      </c>
      <c r="DR3" s="3" t="str">
        <f>IF('Eval-Avec impact envisagé'!$T$107=0,"",IF('Eval-Avec impact envisagé'!$T$107="","",IF('Eval-Avec impact envisagé'!C568&lt;&gt;"",'Eval-Avec impact envisagé'!C568,"")))</f>
        <v/>
      </c>
      <c r="DS3" s="3" t="str">
        <f>IF('Eval-Avec impact envisagé'!$T$107=0,"",IF('Eval-Avec impact envisagé'!$T$107="","",IF('Eval-Avec impact envisagé'!C576&lt;&gt;"",'Eval-Avec impact envisagé'!C576,"")))</f>
        <v/>
      </c>
      <c r="DT3" s="3" t="str">
        <f>IF('Eval-Avec impact envisagé'!$T$107=0,"",IF('Eval-Avec impact envisagé'!$T$107="","",IF('Eval-Avec impact envisagé'!C582&lt;&gt;"",'Eval-Avec impact envisagé'!C582,"")))</f>
        <v/>
      </c>
      <c r="DU3" s="3" t="str">
        <f>IF('Eval-Avec impact envisagé'!$T$107=0,"",IF('Eval-Avec impact envisagé'!$T$107="","",IF('Eval-Avec impact envisagé'!C588&lt;&gt;"",'Eval-Avec impact envisagé'!C588,"")))</f>
        <v/>
      </c>
      <c r="DV3" s="3" t="str">
        <f>IF('Eval-Avec impact envisagé'!$T$107=0,"",IF('Eval-Avec impact envisagé'!$T$107="","",IF('Eval-Avec impact envisagé'!J594="X","oui","non")))</f>
        <v/>
      </c>
      <c r="DW3" s="3" t="str">
        <f>IF('Eval-Avec impact envisagé'!$T$107=0,"",IF('Eval-Avec impact envisagé'!$T$107="","",IF('Eval-Avec impact envisagé'!J594="X",'Eval-Avec impact envisagé'!T600,"")))</f>
        <v/>
      </c>
      <c r="DX3" s="19" t="str">
        <f>IF('Eval-Avec impact envisagé'!$T$107=0,"",IF('Eval-Avec impact envisagé'!$T$107="","",'Eval-Avec impact envisagé'!J605))</f>
        <v/>
      </c>
      <c r="DY3" s="3" t="str">
        <f>IF('Eval-Avec impact envisagé'!$T$107=0,"",IF('Eval-Avec impact envisagé'!$T$107="","",'Eval-Avec impact envisagé'!F609))</f>
        <v/>
      </c>
      <c r="DZ3" s="3" t="str">
        <f>IF('Eval-Avec impact envisagé'!$T$107=0,"",IF('Eval-Avec impact envisagé'!$T$107="","",'Eval-Avec impact envisagé'!I609))</f>
        <v/>
      </c>
      <c r="EA3" s="3" t="str">
        <f>IF('Eval-Avec impact envisagé'!$T$107=0,"",IF('Eval-Avec impact envisagé'!$T$107="","",'Eval-Avec impact envisagé'!L609))</f>
        <v/>
      </c>
      <c r="EB3" s="3" t="str">
        <f>IF('Eval-Avec impact envisagé'!$T$107=0,"",IF('Eval-Avec impact envisagé'!$T$107="","",'Eval-Avec impact envisagé'!O609))</f>
        <v/>
      </c>
      <c r="EC3" s="3" t="str">
        <f>IF('Eval-Avec impact envisagé'!$T$107=0,"",IF('Eval-Avec impact envisagé'!$T$107="","",'Eval-Avec impact envisagé'!F610))</f>
        <v/>
      </c>
      <c r="ED3" s="3" t="str">
        <f>IF('Eval-Avec impact envisagé'!$T$107=0,"",IF('Eval-Avec impact envisagé'!$T$107="","",'Eval-Avec impact envisagé'!I610))</f>
        <v/>
      </c>
      <c r="EE3" s="3" t="str">
        <f>IF('Eval-Avec impact envisagé'!$T$107=0,"",IF('Eval-Avec impact envisagé'!$T$107="","",'Eval-Avec impact envisagé'!L610))</f>
        <v/>
      </c>
      <c r="EF3" s="3" t="str">
        <f>IF('Eval-Avec impact envisagé'!$T$107=0,"",IF('Eval-Avec impact envisagé'!$T$107="","",'Eval-Avec impact envisagé'!O610))</f>
        <v/>
      </c>
      <c r="EG3" s="3" t="str">
        <f>IF('Eval-Avec impact envisagé'!$T$107=0,"",IF('Eval-Avec impact envisagé'!$T$107="","",'Eval-Avec impact envisagé'!F611))</f>
        <v/>
      </c>
      <c r="EH3" s="3" t="str">
        <f>IF('Eval-Avec impact envisagé'!$T$107=0,"",IF('Eval-Avec impact envisagé'!$T$107="","",'Eval-Avec impact envisagé'!I611))</f>
        <v/>
      </c>
      <c r="EI3" s="3" t="str">
        <f>IF('Eval-Avec impact envisagé'!$T$107=0,"",IF('Eval-Avec impact envisagé'!$T$107="","",'Eval-Avec impact envisagé'!L611))</f>
        <v/>
      </c>
      <c r="EJ3" s="3" t="str">
        <f>IF('Eval-Avec impact envisagé'!$T$107=0,"",IF('Eval-Avec impact envisagé'!$T$107="","",'Eval-Avec impact envisagé'!O611))</f>
        <v/>
      </c>
      <c r="EK3" s="3" t="str">
        <f>IF('Eval-Avec impact envisagé'!$T$107=0,"",IF('Eval-Avec impact envisagé'!$T$107="","",'Eval-Avec impact envisagé'!F612))</f>
        <v/>
      </c>
      <c r="EL3" s="3" t="str">
        <f>IF('Eval-Avec impact envisagé'!$T$107=0,"",IF('Eval-Avec impact envisagé'!$T$107="","",'Eval-Avec impact envisagé'!I612))</f>
        <v/>
      </c>
      <c r="EM3" s="3" t="str">
        <f>IF('Eval-Avec impact envisagé'!$T$107=0,"",IF('Eval-Avec impact envisagé'!$T$107="","",'Eval-Avec impact envisagé'!L612))</f>
        <v/>
      </c>
      <c r="EN3" s="3" t="str">
        <f>IF('Eval-Avec impact envisagé'!$T$107=0,"",IF('Eval-Avec impact envisagé'!$T$107="","",'Eval-Avec impact envisagé'!O612))</f>
        <v/>
      </c>
      <c r="EO3" s="3" t="str">
        <f>IF('Eval-Avec impact envisagé'!$T$107=0,"",IF('Eval-Avec impact envisagé'!$T$107="","",'Eval-Avec impact envisagé'!T619))</f>
        <v/>
      </c>
      <c r="EP3" s="3" t="str">
        <f>IF('Eval-Avec impact envisagé'!$T$107=0,"",IF('Eval-Avec impact envisagé'!$T$107="","",'Eval-Avec impact envisagé'!T622))</f>
        <v/>
      </c>
      <c r="EQ3" s="3" t="str">
        <f>IF('Eval-Avec impact envisagé'!$T$107=0,"",IF('Eval-Avec impact envisagé'!$T$107="","",'Eval-Avec impact envisagé'!T623))</f>
        <v/>
      </c>
      <c r="ER3" s="3" t="str">
        <f>IF('Eval-Avec impact envisagé'!$T$107=0,"",IF('Eval-Avec impact envisagé'!$T$107="","",'Eval-Avec impact envisagé'!T624))</f>
        <v/>
      </c>
      <c r="ES3" s="3" t="str">
        <f>IF('Eval-Avec impact envisagé'!$T$107=0,"",IF('Eval-Avec impact envisagé'!$T$107="","",'Eval-Avec impact envisagé'!T626))</f>
        <v/>
      </c>
      <c r="ET3" s="3" t="str">
        <f>IF('Eval-Avec impact envisagé'!$T$107=0,"",IF('Eval-Avec impact envisagé'!$T$107="","",'Eval-Avec impact envisagé'!T627))</f>
        <v/>
      </c>
      <c r="EU3" s="3" t="str">
        <f>IF('Eval-Avec impact envisagé'!$T$107=0,"",IF('Eval-Avec impact envisagé'!$T$107="","",'Eval-Avec impact envisagé'!T628))</f>
        <v/>
      </c>
      <c r="EV3" s="3" t="str">
        <f>IF('Eval-Avec impact envisagé'!$T$107=0,"",IF('Eval-Avec impact envisagé'!$T$107="","",'Eval-Avec impact envisagé'!T629))</f>
        <v/>
      </c>
      <c r="EW3" s="3" t="str">
        <f>IF('Eval-Avec impact envisagé'!$T$107=0,"",IF('Eval-Avec impact envisagé'!$T$107="","",'Eval-Avec impact envisagé'!T630))</f>
        <v/>
      </c>
      <c r="EX3" s="3" t="str">
        <f>IF('Eval-Avec impact envisagé'!$T$107=0,"",IF('Eval-Avec impact envisagé'!$T$107="","",'Eval-Avec impact envisagé'!T637))</f>
        <v/>
      </c>
      <c r="EY3" s="3" t="str">
        <f>IF('Eval-Avec impact envisagé'!$T$107=0,"",IF('Eval-Avec impact envisagé'!$T$107="","",'Eval-Avec impact envisagé'!T639))</f>
        <v/>
      </c>
      <c r="EZ3" s="3" t="str">
        <f>IF('Eval-Avec impact envisagé'!$T$107=0,"",IF('Eval-Avec impact envisagé'!$T$107="","",'Eval-Avec impact envisagé'!T640))</f>
        <v/>
      </c>
      <c r="FA3" s="3" t="str">
        <f>IF('Eval-Avec impact envisagé'!$T$107=0,"",IF('Eval-Avec impact envisagé'!$T$107="","",'Eval-Avec impact envisagé'!T648))</f>
        <v/>
      </c>
      <c r="FB3" s="3" t="str">
        <f>IF('Eval-Avec impact envisagé'!$T$107=0,"",IF('Eval-Avec impact envisagé'!$T$107="","",'Eval-Avec impact envisagé'!T649))</f>
        <v/>
      </c>
      <c r="FC3" s="3" t="str">
        <f>IF('Eval-Avec impact envisagé'!$T$107=0,"",IF('Eval-Avec impact envisagé'!$T$107="","",'Eval-Avec impact envisagé'!T651))</f>
        <v/>
      </c>
      <c r="FD3" s="3" t="str">
        <f>IF('Eval-Avec impact envisagé'!$T$107=0,"",IF('Eval-Avec impact envisagé'!$T$107="","",'Eval-Avec impact envisagé'!T652))</f>
        <v/>
      </c>
      <c r="FE3" s="3" t="str">
        <f>IF('Eval-Avec impact envisagé'!$T$107=0,"",IF('Eval-Avec impact envisagé'!$T$107="","",'Eval-Avec impact envisagé'!T654))</f>
        <v/>
      </c>
      <c r="FF3" s="3" t="str">
        <f>IF('Eval-Avec impact envisagé'!$T$107=0,"",IF('Eval-Avec impact envisagé'!$T$107="","",IF('Eval-Avec impact envisagé'!J661="X","oui","non")))</f>
        <v/>
      </c>
      <c r="FG3" s="3" t="str">
        <f>IF('Eval-Avec impact envisagé'!$T$107=0,"",IF('Eval-Avec impact envisagé'!$T$107="","",IF('Eval-Avec impact envisagé'!J662="X","oui","non")))</f>
        <v/>
      </c>
      <c r="FH3" s="3" t="str">
        <f>IF('Eval-Avec impact envisagé'!$T$107=0,"",IF('Eval-Avec impact envisagé'!$T$107="","",'Eval-Avec impact envisagé'!J669))</f>
        <v/>
      </c>
      <c r="FI3" s="3" t="str">
        <f>IF('Eval-Avec impact envisagé'!$T$107=0,"",IF('Eval-Avec impact envisagé'!$T$107="","",'Eval-Avec impact envisagé'!J670))</f>
        <v/>
      </c>
      <c r="FJ3" s="3" t="str">
        <f>IF('Eval-Avec impact envisagé'!$T$107=0,"",IF('Eval-Avec impact envisagé'!$T$107="","",'Eval-Avec impact envisagé'!N669))</f>
        <v/>
      </c>
      <c r="FK3" s="3" t="str">
        <f>IF('Eval-Avec impact envisagé'!$T$107=0,"",IF('Eval-Avec impact envisagé'!$T$107="","",'Eval-Avec impact envisagé'!N670))</f>
        <v/>
      </c>
      <c r="FL3" s="3" t="str">
        <f>IF('Eval-Avec impact envisagé'!$T$107=0,"",IF('Eval-Avec impact envisagé'!$T$107="","",'Eval-Avec impact envisagé'!T669))</f>
        <v/>
      </c>
      <c r="FM3" s="3" t="str">
        <f>IF('Eval-Avec impact envisagé'!$T$107=0,"",IF('Eval-Avec impact envisagé'!$T$107="","",'Eval-Avec impact envisagé'!T670))</f>
        <v/>
      </c>
      <c r="FN3" s="3" t="str">
        <f>IF('Eval-Avec impact envisagé'!$T$107=0,"",IF('Eval-Avec impact envisagé'!$T$107="","",IF('Eval-Avec impact envisagé'!J677="X","oui",IF('Eval-Avec impact envisagé'!T677="X","non",""))))</f>
        <v/>
      </c>
      <c r="FO3" s="3" t="str">
        <f>IF('Eval-Avec impact envisagé'!$T$107=0,"",IF('Eval-Avec impact envisagé'!$T$107="","",IF('Eval-Avec impact envisagé'!J682="X","oui",IF('Eval-Avec impact envisagé'!T682="X","non",""))))</f>
        <v/>
      </c>
      <c r="FP3" s="3" t="str">
        <f>IF('Eval-Avec impact envisagé'!$T$107=0,"",IF('Eval-Avec impact envisagé'!$T$107="","",IF('Eval-Avec impact envisagé'!J686="X","oui",IF('Eval-Avec impact envisagé'!T686="X","non",""))))</f>
        <v/>
      </c>
      <c r="FQ3" s="3" t="str">
        <f>IF('Eval-Avec impact envisagé'!$T$107=0,"",IF('Eval-Avec impact envisagé'!$T$107="","",IF('Eval-Avec impact envisagé'!T691&lt;&gt;"",'Eval-Avec impact envisagé'!T691,"")))</f>
        <v/>
      </c>
      <c r="FR3" s="3" t="str">
        <f>IF('Eval-Avec impact envisagé'!$T$107=0,"",IF('Eval-Avec impact envisagé'!$T$107="","",IF('Eval-Avec impact envisagé'!J695="X","oui",IF('Eval-Avec impact envisagé'!T695="X","non",""))))</f>
        <v/>
      </c>
      <c r="FS3" s="3" t="str">
        <f>IF('Eval-Avec impact envisagé'!$T$107=0,"",IF('Eval-Avec impact envisagé'!$T$107="","",IF('Eval-Avec impact envisagé'!T699&lt;&gt;"",'Eval-Avec impact envisagé'!T699,"")))</f>
        <v/>
      </c>
      <c r="FT3" s="3" t="str">
        <f>IF('Eval-Avec impact envisagé'!$T$107=0,"",IF('Eval-Avec impact envisagé'!$T$107="","",IF('Eval-Avec impact envisagé'!J703="X","oui",IF('Eval-Avec impact envisagé'!T703="X","non",""))))</f>
        <v/>
      </c>
      <c r="FU3" s="3" t="str">
        <f>IF('Eval-Avec impact envisagé'!$T$107=0,"",IF('Eval-Avec impact envisagé'!$T$107="","",IF('Eval-Avec impact envisagé'!J711="X","oui",IF('Eval-Avec impact envisagé'!T711="X","non",""))))</f>
        <v/>
      </c>
      <c r="FV3" s="3" t="str">
        <f>IF('Eval-Avec impact envisagé'!$T$107=0,"",IF('Eval-Avec impact envisagé'!$T$107="","",IF(COUNTA('Eval-Avec impact envisagé'!J715,'Eval-Avec impact envisagé'!J716,'Eval-Avec impact envisagé'!J717,'Eval-Avec impact envisagé'!J718,'Eval-Avec impact envisagé'!T715,'Eval-Avec impact envisagé'!T716,'Eval-Avec impact envisagé'!T717)=0,"",IF('Eval-Avec impact envisagé'!J715="X",'Eval-Avec impact envisagé'!I715,IF('Eval-Avec impact envisagé'!T715="X",'Eval-Avec impact envisagé'!S715,IF('Eval-Avec impact envisagé'!J716="X",'Eval-Avec impact envisagé'!I716,IF('Eval-Avec impact envisagé'!T716="X",'Eval-Avec impact envisagé'!S716,IF('Eval-Avec impact envisagé'!J717="X",'Eval-Avec impact envisagé'!I717,IF('Eval-Avec impact envisagé'!T717="X",'Eval-Avec impact envisagé'!S717,'Eval-Avec impact envisagé'!I718)))))))))</f>
        <v/>
      </c>
      <c r="FW3" s="3" t="str">
        <f>IF('Eval-Avec impact envisagé'!$T$107=0,"",IF('Eval-Avec impact envisagé'!$T$107="","",IF('Eval-Avec impact envisagé'!J722="X","oui",IF('Eval-Avec impact envisagé'!T722="X","non",""))))</f>
        <v/>
      </c>
      <c r="FX3" s="3" t="str">
        <f>IF('Eval-Avec impact envisagé'!$T$107=0,"",IF('Eval-Avec impact envisagé'!$T$107="","",IF('Eval-Avec impact envisagé'!T726&lt;&gt;"",'Eval-Avec impact envisagé'!T726,"")))</f>
        <v/>
      </c>
      <c r="FY3" s="3" t="str">
        <f>IF('Eval-Avec impact envisagé'!$T$107=0,"",IF('Eval-Avec impact envisagé'!$T$107="","",IF('Eval-Avec impact envisagé'!T732&lt;&gt;"",'Eval-Avec impact envisagé'!T732,"")))</f>
        <v/>
      </c>
      <c r="FZ3" s="3" t="str">
        <f>IF('Eval-Avec impact envisagé'!$T$107=0,"",IF('Eval-Avec impact envisagé'!$T$107="","",IF('Eval-Avec impact envisagé'!T734&lt;&gt;"",'Eval-Avec impact envisagé'!T734,"")))</f>
        <v/>
      </c>
      <c r="GA3" s="3" t="str">
        <f>IF('Eval-Avec impact envisagé'!$T$107=0,"",IF('Eval-Avec impact envisagé'!$T$107="","",IF('Eval-Avec impact envisagé'!T736&lt;&gt;"",'Eval-Avec impact envisagé'!T736,"")))</f>
        <v/>
      </c>
      <c r="GB3" s="3" t="str">
        <f>IF('Eval-Avec impact envisagé'!$T$107=0,"",IF('Eval-Avec impact envisagé'!$T$107="","",IF('Eval-Avec impact envisagé'!T738&lt;&gt;"",'Eval-Avec impact envisagé'!T738,"")))</f>
        <v/>
      </c>
      <c r="GC3" s="3" t="str">
        <f>IF('Eval-Avec impact envisagé'!$T$107=0,"",IF('Eval-Avec impact envisagé'!$T$107="","",IF('Eval-Avec impact envisagé'!B755&lt;&gt;"",'Eval-Avec impact envisagé'!B755,"")))</f>
        <v/>
      </c>
      <c r="GD3" s="3" t="str">
        <f>IF('Eval-Avec impact envisagé'!$T$107=0,"",IF('Eval-Avec impact envisagé'!$T$107="","",IF('Eval-Avec impact envisagé'!C755&lt;&gt;"",'Eval-Avec impact envisagé'!C755,"")))</f>
        <v/>
      </c>
      <c r="GE3" s="3" t="str">
        <f>IF('Eval-Avec impact envisagé'!$T$107=0,"",IF('Eval-Avec impact envisagé'!$T$107="","",IF('Eval-Avec impact envisagé'!A761&lt;&gt;"",'Eval-Avec impact envisagé'!A761,"")))</f>
        <v/>
      </c>
      <c r="GF3" s="3" t="str">
        <f>IF('Eval-Avec impact envisagé'!$T$107=0,"",IF('Eval-Avec impact envisagé'!$T$107="","",IF('Eval-Avec impact envisagé'!B761&lt;&gt;"",'Eval-Avec impact envisagé'!B761,"")))</f>
        <v/>
      </c>
      <c r="GG3" s="3" t="str">
        <f>IF('Eval-Avec impact envisagé'!$T$107=0,"",IF('Eval-Avec impact envisagé'!$T$107="","",IF('Eval-Avec impact envisagé'!C761&lt;&gt;"",'Eval-Avec impact envisagé'!C761,"")))</f>
        <v/>
      </c>
      <c r="GH3" s="3" t="str">
        <f>IF('Eval-Avec impact envisagé'!$T$107=0,"",IF('Eval-Avec impact envisagé'!$T$107="","",IF('Eval-Avec impact envisagé'!E761&lt;&gt;"",'Eval-Avec impact envisagé'!E761,"")))</f>
        <v/>
      </c>
      <c r="GI3" s="3" t="str">
        <f>IF('Eval-Avec impact envisagé'!$T$107=0,"",IF('Eval-Avec impact envisagé'!$T$107="","",IF('Eval-Avec impact envisagé'!G761&lt;&gt;"",'Eval-Avec impact envisagé'!G761,"")))</f>
        <v/>
      </c>
      <c r="GJ3" s="3" t="str">
        <f>IF('Eval-Avec impact envisagé'!$T$107=0,"",IF('Eval-Avec impact envisagé'!$T$107="","",IF('Eval-Avec impact envisagé'!H761&lt;&gt;"",'Eval-Avec impact envisagé'!H761,"")))</f>
        <v/>
      </c>
      <c r="GK3" s="3" t="str">
        <f>IF('Eval-Avec impact envisagé'!$T$107=0,"",IF('Eval-Avec impact envisagé'!$T$107="","",IF('Eval-Avec impact envisagé'!I761&lt;&gt;"",'Eval-Avec impact envisagé'!I761,"")))</f>
        <v/>
      </c>
      <c r="GL3" s="3" t="str">
        <f>IF('Eval-Avec impact envisagé'!$T$107=0,"",IF('Eval-Avec impact envisagé'!$T$107="","",IF('Eval-Avec impact envisagé'!J761&lt;&gt;"",'Eval-Avec impact envisagé'!J761,"")))</f>
        <v/>
      </c>
      <c r="GM3" s="3" t="str">
        <f>IF('Eval-Avec impact envisagé'!$T$107=0,"",IF('Eval-Avec impact envisagé'!$T$107="","",IF('Eval-Avec impact envisagé'!K761&lt;&gt;"",'Eval-Avec impact envisagé'!K761,"")))</f>
        <v/>
      </c>
      <c r="GN3" s="3" t="str">
        <f>IF('Eval-Avec impact envisagé'!$T$107=0,"",IF('Eval-Avec impact envisagé'!$T$107="","",IF('Eval-Avec impact envisagé'!L761&lt;&gt;"",'Eval-Avec impact envisagé'!L761,"")))</f>
        <v/>
      </c>
      <c r="GO3" s="3" t="str">
        <f>IF('Eval-Avec impact envisagé'!$T$107=0,"",IF('Eval-Avec impact envisagé'!$T$107="","",IF('Eval-Avec impact envisagé'!M761&lt;&gt;"",'Eval-Avec impact envisagé'!M761,"")))</f>
        <v/>
      </c>
      <c r="GP3" s="3" t="str">
        <f>IF('Eval-Avec impact envisagé'!$T$107=0,"",IF('Eval-Avec impact envisagé'!$T$107="","",IF('Eval-Avec impact envisagé'!N761&lt;&gt;"",'Eval-Avec impact envisagé'!N761,"")))</f>
        <v/>
      </c>
      <c r="GQ3" s="3" t="str">
        <f>IF('Eval-Avec impact envisagé'!$T$107=0,"",IF('Eval-Avec impact envisagé'!$T$107="","",IF('Eval-Avec impact envisagé'!O761&lt;&gt;"",'Eval-Avec impact envisagé'!O761,"")))</f>
        <v/>
      </c>
      <c r="GR3" s="3" t="str">
        <f>IF('Eval-Avec impact envisagé'!$T$107=0,"",IF('Eval-Avec impact envisagé'!$T$107="","",IF('Eval-Avec impact envisagé'!P761&lt;&gt;"",'Eval-Avec impact envisagé'!P761,"")))</f>
        <v/>
      </c>
      <c r="GS3" s="3" t="str">
        <f>IF('Eval-Avec impact envisagé'!$T$107=0,"",IF('Eval-Avec impact envisagé'!$T$107="","",IF('Eval-Avec impact envisagé'!Q761&lt;&gt;"",'Eval-Avec impact envisagé'!Q761,"")))</f>
        <v/>
      </c>
      <c r="GT3" s="3" t="str">
        <f>IF('Eval-Avec impact envisagé'!$T$107=0,"",IF('Eval-Avec impact envisagé'!$T$107="","",IF('Eval-Avec impact envisagé'!R761&lt;&gt;"",'Eval-Avec impact envisagé'!R761,"")))</f>
        <v/>
      </c>
      <c r="GU3" s="3" t="str">
        <f>IF('Eval-Avec impact envisagé'!$T$107=0,"",IF('Eval-Avec impact envisagé'!$T$107="","",IF('Eval-Avec impact envisagé'!S761&lt;&gt;"",'Eval-Avec impact envisagé'!S761,"")))</f>
        <v/>
      </c>
      <c r="GV3" s="3" t="str">
        <f>IF('Eval-Avec impact envisagé'!$T$107=0,"",IF('Eval-Avec impact envisagé'!$T$107="","",IF('Eval-Avec impact envisagé'!T761&lt;&gt;"",'Eval-Avec impact envisagé'!T761,"")))</f>
        <v/>
      </c>
      <c r="GW3" s="3" t="str">
        <f>IF('Eval-Avec impact envisagé'!$T$107=0,"",IF('Eval-Avec impact envisagé'!$T$107="","",IF('Eval-Avec impact envisagé'!U761&lt;&gt;"",'Eval-Avec impact envisagé'!U761,"")))</f>
        <v/>
      </c>
      <c r="GX3" s="3" t="str">
        <f>IF('Eval-Avec impact envisagé'!$T$107=0,"",IF('Eval-Avec impact envisagé'!$T$107="","",IF('Eval-Avec impact envisagé'!V761&lt;&gt;"",'Eval-Avec impact envisagé'!V761,"")))</f>
        <v/>
      </c>
      <c r="GY3" s="3" t="str">
        <f>IF('Eval-Avec impact envisagé'!$T$107=0,"",IF('Eval-Avec impact envisagé'!$T$107="","",IF('Eval-Avec impact envisagé'!W761&lt;&gt;"",'Eval-Avec impact envisagé'!W761,"")))</f>
        <v/>
      </c>
      <c r="GZ3" s="3" t="str">
        <f>IF('Eval-Avec impact envisagé'!$T$107=0,"",IF('Eval-Avec impact envisagé'!$T$107="","",IF('Eval-Avec impact envisagé'!X761&lt;&gt;"",'Eval-Avec impact envisagé'!X761,"")))</f>
        <v/>
      </c>
      <c r="HA3" s="3" t="str">
        <f>IF('Eval-Avec impact envisagé'!$T$107=0,"",IF('Eval-Avec impact envisagé'!$T$107="","",IF('Eval-Avec impact envisagé'!Y761&lt;&gt;"",'Eval-Avec impact envisagé'!Y761,"")))</f>
        <v/>
      </c>
      <c r="HB3" s="3" t="str">
        <f>IF('Eval-Avec impact envisagé'!$T$107=0,"",IF('Eval-Avec impact envisagé'!$T$107="","",IF('Eval-Avec impact envisagé'!A762&lt;&gt;"",'Eval-Avec impact envisagé'!A762,"")))</f>
        <v/>
      </c>
      <c r="HC3" s="3" t="str">
        <f>IF('Eval-Avec impact envisagé'!$T$107=0,"",IF('Eval-Avec impact envisagé'!$T$107="","",IF('Eval-Avec impact envisagé'!B762&lt;&gt;"",'Eval-Avec impact envisagé'!B762,"")))</f>
        <v/>
      </c>
      <c r="HD3" s="3" t="str">
        <f>IF('Eval-Avec impact envisagé'!$T$107=0,"",IF('Eval-Avec impact envisagé'!$T$107="","",IF('Eval-Avec impact envisagé'!C762&lt;&gt;"",'Eval-Avec impact envisagé'!C762,"")))</f>
        <v/>
      </c>
      <c r="HE3" s="3" t="str">
        <f>IF('Eval-Avec impact envisagé'!$T$107=0,"",IF('Eval-Avec impact envisagé'!$T$107="","",IF('Eval-Avec impact envisagé'!E762&lt;&gt;"",'Eval-Avec impact envisagé'!E762,"")))</f>
        <v/>
      </c>
      <c r="HF3" s="3" t="str">
        <f>IF('Eval-Avec impact envisagé'!$T$107=0,"",IF('Eval-Avec impact envisagé'!$T$107="","",IF('Eval-Avec impact envisagé'!G762&lt;&gt;"",'Eval-Avec impact envisagé'!G762,"")))</f>
        <v/>
      </c>
      <c r="HG3" s="3" t="str">
        <f>IF('Eval-Avec impact envisagé'!$T$107=0,"",IF('Eval-Avec impact envisagé'!$T$107="","",IF('Eval-Avec impact envisagé'!H762&lt;&gt;"",'Eval-Avec impact envisagé'!H762,"")))</f>
        <v/>
      </c>
      <c r="HH3" s="3" t="str">
        <f>IF('Eval-Avec impact envisagé'!$T$107=0,"",IF('Eval-Avec impact envisagé'!$T$107="","",IF('Eval-Avec impact envisagé'!I762&lt;&gt;"",'Eval-Avec impact envisagé'!I762,"")))</f>
        <v/>
      </c>
      <c r="HI3" s="3" t="str">
        <f>IF('Eval-Avec impact envisagé'!$T$107=0,"",IF('Eval-Avec impact envisagé'!$T$107="","",IF('Eval-Avec impact envisagé'!J762&lt;&gt;"",'Eval-Avec impact envisagé'!J762,"")))</f>
        <v/>
      </c>
      <c r="HJ3" s="3" t="str">
        <f>IF('Eval-Avec impact envisagé'!$T$107=0,"",IF('Eval-Avec impact envisagé'!$T$107="","",IF('Eval-Avec impact envisagé'!K762&lt;&gt;"",'Eval-Avec impact envisagé'!K762,"")))</f>
        <v/>
      </c>
      <c r="HK3" s="3" t="str">
        <f>IF('Eval-Avec impact envisagé'!$T$107=0,"",IF('Eval-Avec impact envisagé'!$T$107="","",IF('Eval-Avec impact envisagé'!L762&lt;&gt;"",'Eval-Avec impact envisagé'!L762,"")))</f>
        <v/>
      </c>
      <c r="HL3" s="3" t="str">
        <f>IF('Eval-Avec impact envisagé'!$T$107=0,"",IF('Eval-Avec impact envisagé'!$T$107="","",IF('Eval-Avec impact envisagé'!M762&lt;&gt;"",'Eval-Avec impact envisagé'!M762,"")))</f>
        <v/>
      </c>
      <c r="HM3" s="3" t="str">
        <f>IF('Eval-Avec impact envisagé'!$T$107=0,"",IF('Eval-Avec impact envisagé'!$T$107="","",IF('Eval-Avec impact envisagé'!N762&lt;&gt;"",'Eval-Avec impact envisagé'!N762,"")))</f>
        <v/>
      </c>
      <c r="HN3" s="3" t="str">
        <f>IF('Eval-Avec impact envisagé'!$T$107=0,"",IF('Eval-Avec impact envisagé'!$T$107="","",IF('Eval-Avec impact envisagé'!O762&lt;&gt;"",'Eval-Avec impact envisagé'!O762,"")))</f>
        <v/>
      </c>
      <c r="HO3" s="3" t="str">
        <f>IF('Eval-Avec impact envisagé'!$T$107=0,"",IF('Eval-Avec impact envisagé'!$T$107="","",IF('Eval-Avec impact envisagé'!P762&lt;&gt;"",'Eval-Avec impact envisagé'!P762,"")))</f>
        <v/>
      </c>
      <c r="HP3" s="3" t="str">
        <f>IF('Eval-Avec impact envisagé'!$T$107=0,"",IF('Eval-Avec impact envisagé'!$T$107="","",IF('Eval-Avec impact envisagé'!Q762&lt;&gt;"",'Eval-Avec impact envisagé'!Q762,"")))</f>
        <v/>
      </c>
      <c r="HQ3" s="3" t="str">
        <f>IF('Eval-Avec impact envisagé'!$T$107=0,"",IF('Eval-Avec impact envisagé'!$T$107="","",IF('Eval-Avec impact envisagé'!R762&lt;&gt;"",'Eval-Avec impact envisagé'!R762,"")))</f>
        <v/>
      </c>
      <c r="HR3" s="3" t="str">
        <f>IF('Eval-Avec impact envisagé'!$T$107=0,"",IF('Eval-Avec impact envisagé'!$T$107="","",IF('Eval-Avec impact envisagé'!S762&lt;&gt;"",'Eval-Avec impact envisagé'!S762,"")))</f>
        <v/>
      </c>
      <c r="HS3" s="3" t="str">
        <f>IF('Eval-Avec impact envisagé'!$T$107=0,"",IF('Eval-Avec impact envisagé'!$T$107="","",IF('Eval-Avec impact envisagé'!T762&lt;&gt;"",'Eval-Avec impact envisagé'!T762,"")))</f>
        <v/>
      </c>
      <c r="HT3" s="3" t="str">
        <f>IF('Eval-Avec impact envisagé'!$T$107=0,"",IF('Eval-Avec impact envisagé'!$T$107="","",IF('Eval-Avec impact envisagé'!U762&lt;&gt;"",'Eval-Avec impact envisagé'!U762,"")))</f>
        <v/>
      </c>
      <c r="HU3" s="3" t="str">
        <f>IF('Eval-Avec impact envisagé'!$T$107=0,"",IF('Eval-Avec impact envisagé'!$T$107="","",IF('Eval-Avec impact envisagé'!V762&lt;&gt;"",'Eval-Avec impact envisagé'!V762,"")))</f>
        <v/>
      </c>
      <c r="HV3" s="3" t="str">
        <f>IF('Eval-Avec impact envisagé'!$T$107=0,"",IF('Eval-Avec impact envisagé'!$T$107="","",IF('Eval-Avec impact envisagé'!W762&lt;&gt;"",'Eval-Avec impact envisagé'!W762,"")))</f>
        <v/>
      </c>
      <c r="HW3" s="3" t="str">
        <f>IF('Eval-Avec impact envisagé'!$T$107=0,"",IF('Eval-Avec impact envisagé'!$T$107="","",IF('Eval-Avec impact envisagé'!X762&lt;&gt;"",'Eval-Avec impact envisagé'!X762,"")))</f>
        <v/>
      </c>
      <c r="HX3" s="3" t="str">
        <f>IF('Eval-Avec impact envisagé'!$T$107=0,"",IF('Eval-Avec impact envisagé'!$T$107="","",IF('Eval-Avec impact envisagé'!Y762&lt;&gt;"",'Eval-Avec impact envisagé'!Y762,"")))</f>
        <v/>
      </c>
      <c r="HY3" s="3" t="str">
        <f>IF('Eval-Avec impact envisagé'!$T$107=0,"",IF('Eval-Avec impact envisagé'!$T$107="","",IF('Eval-Avec impact envisagé'!A763&lt;&gt;"",'Eval-Avec impact envisagé'!A763,"")))</f>
        <v/>
      </c>
      <c r="HZ3" s="3" t="str">
        <f>IF('Eval-Avec impact envisagé'!$T$107=0,"",IF('Eval-Avec impact envisagé'!$T$107="","",IF('Eval-Avec impact envisagé'!B763&lt;&gt;"",'Eval-Avec impact envisagé'!B763,"")))</f>
        <v/>
      </c>
      <c r="IA3" s="3" t="str">
        <f>IF('Eval-Avec impact envisagé'!$T$107=0,"",IF('Eval-Avec impact envisagé'!$T$107="","",IF('Eval-Avec impact envisagé'!C763&lt;&gt;"",'Eval-Avec impact envisagé'!C763,"")))</f>
        <v/>
      </c>
      <c r="IB3" s="3" t="str">
        <f>IF('Eval-Avec impact envisagé'!$T$107=0,"",IF('Eval-Avec impact envisagé'!$T$107="","",IF('Eval-Avec impact envisagé'!E763&lt;&gt;"",'Eval-Avec impact envisagé'!E763,"")))</f>
        <v/>
      </c>
      <c r="IC3" s="3" t="str">
        <f>IF('Eval-Avec impact envisagé'!$T$107=0,"",IF('Eval-Avec impact envisagé'!$T$107="","",IF('Eval-Avec impact envisagé'!G763&lt;&gt;"",'Eval-Avec impact envisagé'!G763,"")))</f>
        <v/>
      </c>
      <c r="ID3" s="3" t="str">
        <f>IF('Eval-Avec impact envisagé'!$T$107=0,"",IF('Eval-Avec impact envisagé'!$T$107="","",IF('Eval-Avec impact envisagé'!H763&lt;&gt;"",'Eval-Avec impact envisagé'!H763,"")))</f>
        <v/>
      </c>
      <c r="IE3" s="3" t="str">
        <f>IF('Eval-Avec impact envisagé'!$T$107=0,"",IF('Eval-Avec impact envisagé'!$T$107="","",IF('Eval-Avec impact envisagé'!I763&lt;&gt;"",'Eval-Avec impact envisagé'!I763,"")))</f>
        <v/>
      </c>
      <c r="IF3" s="3" t="str">
        <f>IF('Eval-Avec impact envisagé'!$T$107=0,"",IF('Eval-Avec impact envisagé'!$T$107="","",IF('Eval-Avec impact envisagé'!J763&lt;&gt;"",'Eval-Avec impact envisagé'!J763,"")))</f>
        <v/>
      </c>
      <c r="IG3" s="3" t="str">
        <f>IF('Eval-Avec impact envisagé'!$T$107=0,"",IF('Eval-Avec impact envisagé'!$T$107="","",IF('Eval-Avec impact envisagé'!K763&lt;&gt;"",'Eval-Avec impact envisagé'!K763,"")))</f>
        <v/>
      </c>
      <c r="IH3" s="3" t="str">
        <f>IF('Eval-Avec impact envisagé'!$T$107=0,"",IF('Eval-Avec impact envisagé'!$T$107="","",IF('Eval-Avec impact envisagé'!L763&lt;&gt;"",'Eval-Avec impact envisagé'!L763,"")))</f>
        <v/>
      </c>
      <c r="II3" s="3" t="str">
        <f>IF('Eval-Avec impact envisagé'!$T$107=0,"",IF('Eval-Avec impact envisagé'!$T$107="","",IF('Eval-Avec impact envisagé'!M763&lt;&gt;"",'Eval-Avec impact envisagé'!M763,"")))</f>
        <v/>
      </c>
      <c r="IJ3" s="3" t="str">
        <f>IF('Eval-Avec impact envisagé'!$T$107=0,"",IF('Eval-Avec impact envisagé'!$T$107="","",IF('Eval-Avec impact envisagé'!N763&lt;&gt;"",'Eval-Avec impact envisagé'!N763,"")))</f>
        <v/>
      </c>
      <c r="IK3" s="3" t="str">
        <f>IF('Eval-Avec impact envisagé'!$T$107=0,"",IF('Eval-Avec impact envisagé'!$T$107="","",IF('Eval-Avec impact envisagé'!O763&lt;&gt;"",'Eval-Avec impact envisagé'!O763,"")))</f>
        <v/>
      </c>
      <c r="IL3" s="3" t="str">
        <f>IF('Eval-Avec impact envisagé'!$T$107=0,"",IF('Eval-Avec impact envisagé'!$T$107="","",IF('Eval-Avec impact envisagé'!P763&lt;&gt;"",'Eval-Avec impact envisagé'!P763,"")))</f>
        <v/>
      </c>
      <c r="IM3" s="3" t="str">
        <f>IF('Eval-Avec impact envisagé'!$T$107=0,"",IF('Eval-Avec impact envisagé'!$T$107="","",IF('Eval-Avec impact envisagé'!Q763&lt;&gt;"",'Eval-Avec impact envisagé'!Q763,"")))</f>
        <v/>
      </c>
      <c r="IN3" s="3" t="str">
        <f>IF('Eval-Avec impact envisagé'!$T$107=0,"",IF('Eval-Avec impact envisagé'!$T$107="","",IF('Eval-Avec impact envisagé'!R763&lt;&gt;"",'Eval-Avec impact envisagé'!R763,"")))</f>
        <v/>
      </c>
      <c r="IO3" s="3" t="str">
        <f>IF('Eval-Avec impact envisagé'!$T$107=0,"",IF('Eval-Avec impact envisagé'!$T$107="","",IF('Eval-Avec impact envisagé'!S763&lt;&gt;"",'Eval-Avec impact envisagé'!S763,"")))</f>
        <v/>
      </c>
      <c r="IP3" s="3" t="str">
        <f>IF('Eval-Avec impact envisagé'!$T$107=0,"",IF('Eval-Avec impact envisagé'!$T$107="","",IF('Eval-Avec impact envisagé'!T763&lt;&gt;"",'Eval-Avec impact envisagé'!T763,"")))</f>
        <v/>
      </c>
      <c r="IQ3" s="3" t="str">
        <f>IF('Eval-Avec impact envisagé'!$T$107=0,"",IF('Eval-Avec impact envisagé'!$T$107="","",IF('Eval-Avec impact envisagé'!U763&lt;&gt;"",'Eval-Avec impact envisagé'!U763,"")))</f>
        <v/>
      </c>
      <c r="IR3" s="3" t="str">
        <f>IF('Eval-Avec impact envisagé'!$T$107=0,"",IF('Eval-Avec impact envisagé'!$T$107="","",IF('Eval-Avec impact envisagé'!V763&lt;&gt;"",'Eval-Avec impact envisagé'!V763,"")))</f>
        <v/>
      </c>
      <c r="IS3" s="3" t="str">
        <f>IF('Eval-Avec impact envisagé'!$T$107=0,"",IF('Eval-Avec impact envisagé'!$T$107="","",IF('Eval-Avec impact envisagé'!W763&lt;&gt;"",'Eval-Avec impact envisagé'!W763,"")))</f>
        <v/>
      </c>
      <c r="IT3" s="3" t="str">
        <f>IF('Eval-Avec impact envisagé'!$T$107=0,"",IF('Eval-Avec impact envisagé'!$T$107="","",IF('Eval-Avec impact envisagé'!X763&lt;&gt;"",'Eval-Avec impact envisagé'!X763,"")))</f>
        <v/>
      </c>
      <c r="IU3" s="3" t="str">
        <f>IF('Eval-Avec impact envisagé'!$T$107=0,"",IF('Eval-Avec impact envisagé'!$T$107="","",IF('Eval-Avec impact envisagé'!Y763&lt;&gt;"",'Eval-Avec impact envisagé'!Y763,"")))</f>
        <v/>
      </c>
      <c r="IV3" s="3" t="str">
        <f>IF('Eval-Avec impact envisagé'!$T$107=0,"",IF('Eval-Avec impact envisagé'!$T$107="","",IF('Eval-Avec impact envisagé'!A764&lt;&gt;"",'Eval-Avec impact envisagé'!A764,"")))</f>
        <v/>
      </c>
      <c r="IW3" s="3" t="str">
        <f>IF('Eval-Avec impact envisagé'!$T$107=0,"",IF('Eval-Avec impact envisagé'!$T$107="","",IF('Eval-Avec impact envisagé'!B764&lt;&gt;"",'Eval-Avec impact envisagé'!B764,"")))</f>
        <v/>
      </c>
      <c r="IX3" s="3" t="str">
        <f>IF('Eval-Avec impact envisagé'!$T$107=0,"",IF('Eval-Avec impact envisagé'!$T$107="","",IF('Eval-Avec impact envisagé'!C764&lt;&gt;"",'Eval-Avec impact envisagé'!C764,"")))</f>
        <v/>
      </c>
      <c r="IY3" s="3" t="str">
        <f>IF('Eval-Avec impact envisagé'!$T$107=0,"",IF('Eval-Avec impact envisagé'!$T$107="","",IF('Eval-Avec impact envisagé'!E764&lt;&gt;"",'Eval-Avec impact envisagé'!E764,"")))</f>
        <v/>
      </c>
      <c r="IZ3" s="3" t="str">
        <f>IF('Eval-Avec impact envisagé'!$T$107=0,"",IF('Eval-Avec impact envisagé'!$T$107="","",IF('Eval-Avec impact envisagé'!G764&lt;&gt;"",'Eval-Avec impact envisagé'!G764,"")))</f>
        <v/>
      </c>
      <c r="JA3" s="3" t="str">
        <f>IF('Eval-Avec impact envisagé'!$T$107=0,"",IF('Eval-Avec impact envisagé'!$T$107="","",IF('Eval-Avec impact envisagé'!H764&lt;&gt;"",'Eval-Avec impact envisagé'!H764,"")))</f>
        <v/>
      </c>
      <c r="JB3" s="3" t="str">
        <f>IF('Eval-Avec impact envisagé'!$T$107=0,"",IF('Eval-Avec impact envisagé'!$T$107="","",IF('Eval-Avec impact envisagé'!I764&lt;&gt;"",'Eval-Avec impact envisagé'!I764,"")))</f>
        <v/>
      </c>
      <c r="JC3" s="3" t="str">
        <f>IF('Eval-Avec impact envisagé'!$T$107=0,"",IF('Eval-Avec impact envisagé'!$T$107="","",IF('Eval-Avec impact envisagé'!J764&lt;&gt;"",'Eval-Avec impact envisagé'!J764,"")))</f>
        <v/>
      </c>
      <c r="JD3" s="3" t="str">
        <f>IF('Eval-Avec impact envisagé'!$T$107=0,"",IF('Eval-Avec impact envisagé'!$T$107="","",IF('Eval-Avec impact envisagé'!K764&lt;&gt;"",'Eval-Avec impact envisagé'!K764,"")))</f>
        <v/>
      </c>
      <c r="JE3" s="3" t="str">
        <f>IF('Eval-Avec impact envisagé'!$T$107=0,"",IF('Eval-Avec impact envisagé'!$T$107="","",IF('Eval-Avec impact envisagé'!L764&lt;&gt;"",'Eval-Avec impact envisagé'!L764,"")))</f>
        <v/>
      </c>
      <c r="JF3" s="3" t="str">
        <f>IF('Eval-Avec impact envisagé'!$T$107=0,"",IF('Eval-Avec impact envisagé'!$T$107="","",IF('Eval-Avec impact envisagé'!M764&lt;&gt;"",'Eval-Avec impact envisagé'!M764,"")))</f>
        <v/>
      </c>
      <c r="JG3" s="3" t="str">
        <f>IF('Eval-Avec impact envisagé'!$T$107=0,"",IF('Eval-Avec impact envisagé'!$T$107="","",IF('Eval-Avec impact envisagé'!N764&lt;&gt;"",'Eval-Avec impact envisagé'!N764,"")))</f>
        <v/>
      </c>
      <c r="JH3" s="3" t="str">
        <f>IF('Eval-Avec impact envisagé'!$T$107=0,"",IF('Eval-Avec impact envisagé'!$T$107="","",IF('Eval-Avec impact envisagé'!O764&lt;&gt;"",'Eval-Avec impact envisagé'!O764,"")))</f>
        <v/>
      </c>
      <c r="JI3" s="3" t="str">
        <f>IF('Eval-Avec impact envisagé'!$T$107=0,"",IF('Eval-Avec impact envisagé'!$T$107="","",IF('Eval-Avec impact envisagé'!P764&lt;&gt;"",'Eval-Avec impact envisagé'!P764,"")))</f>
        <v/>
      </c>
      <c r="JJ3" s="3" t="str">
        <f>IF('Eval-Avec impact envisagé'!$T$107=0,"",IF('Eval-Avec impact envisagé'!$T$107="","",IF('Eval-Avec impact envisagé'!Q764&lt;&gt;"",'Eval-Avec impact envisagé'!Q764,"")))</f>
        <v/>
      </c>
      <c r="JK3" s="3" t="str">
        <f>IF('Eval-Avec impact envisagé'!$T$107=0,"",IF('Eval-Avec impact envisagé'!$T$107="","",IF('Eval-Avec impact envisagé'!R764&lt;&gt;"",'Eval-Avec impact envisagé'!R764,"")))</f>
        <v/>
      </c>
      <c r="JL3" s="3" t="str">
        <f>IF('Eval-Avec impact envisagé'!$T$107=0,"",IF('Eval-Avec impact envisagé'!$T$107="","",IF('Eval-Avec impact envisagé'!S764&lt;&gt;"",'Eval-Avec impact envisagé'!S764,"")))</f>
        <v/>
      </c>
      <c r="JM3" s="3" t="str">
        <f>IF('Eval-Avec impact envisagé'!$T$107=0,"",IF('Eval-Avec impact envisagé'!$T$107="","",IF('Eval-Avec impact envisagé'!T764&lt;&gt;"",'Eval-Avec impact envisagé'!T764,"")))</f>
        <v/>
      </c>
      <c r="JN3" s="3" t="str">
        <f>IF('Eval-Avec impact envisagé'!$T$107=0,"",IF('Eval-Avec impact envisagé'!$T$107="","",IF('Eval-Avec impact envisagé'!U764&lt;&gt;"",'Eval-Avec impact envisagé'!U764,"")))</f>
        <v/>
      </c>
      <c r="JO3" s="3" t="str">
        <f>IF('Eval-Avec impact envisagé'!$T$107=0,"",IF('Eval-Avec impact envisagé'!$T$107="","",IF('Eval-Avec impact envisagé'!V764&lt;&gt;"",'Eval-Avec impact envisagé'!V764,"")))</f>
        <v/>
      </c>
      <c r="JP3" s="3" t="str">
        <f>IF('Eval-Avec impact envisagé'!$T$107=0,"",IF('Eval-Avec impact envisagé'!$T$107="","",IF('Eval-Avec impact envisagé'!W764&lt;&gt;"",'Eval-Avec impact envisagé'!W764,"")))</f>
        <v/>
      </c>
      <c r="JQ3" s="3" t="str">
        <f>IF('Eval-Avec impact envisagé'!$T$107=0,"",IF('Eval-Avec impact envisagé'!$T$107="","",IF('Eval-Avec impact envisagé'!X764&lt;&gt;"",'Eval-Avec impact envisagé'!X764,"")))</f>
        <v/>
      </c>
      <c r="JR3" s="3" t="str">
        <f>IF('Eval-Avec impact envisagé'!$T$107=0,"",IF('Eval-Avec impact envisagé'!$T$107="","",IF('Eval-Avec impact envisagé'!Y764&lt;&gt;"",'Eval-Avec impact envisagé'!Y764,"")))</f>
        <v/>
      </c>
      <c r="JS3" s="3" t="str">
        <f>IF('Eval-Avec impact envisagé'!$T$107=0,"",IF('Eval-Avec impact envisagé'!$T$107="","",IF('Eval-Avec impact envisagé'!A765&lt;&gt;"",'Eval-Avec impact envisagé'!A765,"")))</f>
        <v/>
      </c>
      <c r="JT3" s="3" t="str">
        <f>IF('Eval-Avec impact envisagé'!$T$107=0,"",IF('Eval-Avec impact envisagé'!$T$107="","",IF('Eval-Avec impact envisagé'!B765&lt;&gt;"",'Eval-Avec impact envisagé'!B765,"")))</f>
        <v/>
      </c>
      <c r="JU3" s="3" t="str">
        <f>IF('Eval-Avec impact envisagé'!$T$107=0,"",IF('Eval-Avec impact envisagé'!$T$107="","",IF('Eval-Avec impact envisagé'!C765&lt;&gt;"",'Eval-Avec impact envisagé'!C765,"")))</f>
        <v/>
      </c>
      <c r="JV3" s="3" t="str">
        <f>IF('Eval-Avec impact envisagé'!$T$107=0,"",IF('Eval-Avec impact envisagé'!$T$107="","",IF('Eval-Avec impact envisagé'!E765&lt;&gt;"",'Eval-Avec impact envisagé'!E765,"")))</f>
        <v/>
      </c>
      <c r="JW3" s="3" t="str">
        <f>IF('Eval-Avec impact envisagé'!$T$107=0,"",IF('Eval-Avec impact envisagé'!$T$107="","",IF('Eval-Avec impact envisagé'!G765&lt;&gt;"",'Eval-Avec impact envisagé'!G765,"")))</f>
        <v/>
      </c>
      <c r="JX3" s="3" t="str">
        <f>IF('Eval-Avec impact envisagé'!$T$107=0,"",IF('Eval-Avec impact envisagé'!$T$107="","",IF('Eval-Avec impact envisagé'!H765&lt;&gt;"",'Eval-Avec impact envisagé'!H765,"")))</f>
        <v/>
      </c>
      <c r="JY3" s="3" t="str">
        <f>IF('Eval-Avec impact envisagé'!$T$107=0,"",IF('Eval-Avec impact envisagé'!$T$107="","",IF('Eval-Avec impact envisagé'!I765&lt;&gt;"",'Eval-Avec impact envisagé'!I765,"")))</f>
        <v/>
      </c>
      <c r="JZ3" s="3" t="str">
        <f>IF('Eval-Avec impact envisagé'!$T$107=0,"",IF('Eval-Avec impact envisagé'!$T$107="","",IF('Eval-Avec impact envisagé'!J765&lt;&gt;"",'Eval-Avec impact envisagé'!J765,"")))</f>
        <v/>
      </c>
      <c r="KA3" s="3" t="str">
        <f>IF('Eval-Avec impact envisagé'!$T$107=0,"",IF('Eval-Avec impact envisagé'!$T$107="","",IF('Eval-Avec impact envisagé'!K765&lt;&gt;"",'Eval-Avec impact envisagé'!K765,"")))</f>
        <v/>
      </c>
      <c r="KB3" s="3" t="str">
        <f>IF('Eval-Avec impact envisagé'!$T$107=0,"",IF('Eval-Avec impact envisagé'!$T$107="","",IF('Eval-Avec impact envisagé'!L765&lt;&gt;"",'Eval-Avec impact envisagé'!L765,"")))</f>
        <v/>
      </c>
      <c r="KC3" s="3" t="str">
        <f>IF('Eval-Avec impact envisagé'!$T$107=0,"",IF('Eval-Avec impact envisagé'!$T$107="","",IF('Eval-Avec impact envisagé'!M765&lt;&gt;"",'Eval-Avec impact envisagé'!M765,"")))</f>
        <v/>
      </c>
      <c r="KD3" s="3" t="str">
        <f>IF('Eval-Avec impact envisagé'!$T$107=0,"",IF('Eval-Avec impact envisagé'!$T$107="","",IF('Eval-Avec impact envisagé'!N765&lt;&gt;"",'Eval-Avec impact envisagé'!N765,"")))</f>
        <v/>
      </c>
      <c r="KE3" s="3" t="str">
        <f>IF('Eval-Avec impact envisagé'!$T$107=0,"",IF('Eval-Avec impact envisagé'!$T$107="","",IF('Eval-Avec impact envisagé'!O765&lt;&gt;"",'Eval-Avec impact envisagé'!O765,"")))</f>
        <v/>
      </c>
      <c r="KF3" s="3" t="str">
        <f>IF('Eval-Avec impact envisagé'!$T$107=0,"",IF('Eval-Avec impact envisagé'!$T$107="","",IF('Eval-Avec impact envisagé'!P765&lt;&gt;"",'Eval-Avec impact envisagé'!P765,"")))</f>
        <v/>
      </c>
      <c r="KG3" s="3" t="str">
        <f>IF('Eval-Avec impact envisagé'!$T$107=0,"",IF('Eval-Avec impact envisagé'!$T$107="","",IF('Eval-Avec impact envisagé'!Q765&lt;&gt;"",'Eval-Avec impact envisagé'!Q765,"")))</f>
        <v/>
      </c>
      <c r="KH3" s="3" t="str">
        <f>IF('Eval-Avec impact envisagé'!$T$107=0,"",IF('Eval-Avec impact envisagé'!$T$107="","",IF('Eval-Avec impact envisagé'!R765&lt;&gt;"",'Eval-Avec impact envisagé'!R765,"")))</f>
        <v/>
      </c>
      <c r="KI3" s="3" t="str">
        <f>IF('Eval-Avec impact envisagé'!$T$107=0,"",IF('Eval-Avec impact envisagé'!$T$107="","",IF('Eval-Avec impact envisagé'!S765&lt;&gt;"",'Eval-Avec impact envisagé'!S765,"")))</f>
        <v/>
      </c>
      <c r="KJ3" s="3" t="str">
        <f>IF('Eval-Avec impact envisagé'!$T$107=0,"",IF('Eval-Avec impact envisagé'!$T$107="","",IF('Eval-Avec impact envisagé'!T765&lt;&gt;"",'Eval-Avec impact envisagé'!T765,"")))</f>
        <v/>
      </c>
      <c r="KK3" s="3" t="str">
        <f>IF('Eval-Avec impact envisagé'!$T$107=0,"",IF('Eval-Avec impact envisagé'!$T$107="","",IF('Eval-Avec impact envisagé'!U765&lt;&gt;"",'Eval-Avec impact envisagé'!U765,"")))</f>
        <v/>
      </c>
      <c r="KL3" s="3" t="str">
        <f>IF('Eval-Avec impact envisagé'!$T$107=0,"",IF('Eval-Avec impact envisagé'!$T$107="","",IF('Eval-Avec impact envisagé'!V765&lt;&gt;"",'Eval-Avec impact envisagé'!V765,"")))</f>
        <v/>
      </c>
      <c r="KM3" s="3" t="str">
        <f>IF('Eval-Avec impact envisagé'!$T$107=0,"",IF('Eval-Avec impact envisagé'!$T$107="","",IF('Eval-Avec impact envisagé'!W765&lt;&gt;"",'Eval-Avec impact envisagé'!W765,"")))</f>
        <v/>
      </c>
      <c r="KN3" s="3" t="str">
        <f>IF('Eval-Avec impact envisagé'!$T$107=0,"",IF('Eval-Avec impact envisagé'!$T$107="","",IF('Eval-Avec impact envisagé'!X765&lt;&gt;"",'Eval-Avec impact envisagé'!X765,"")))</f>
        <v/>
      </c>
      <c r="KO3" s="3" t="str">
        <f>IF('Eval-Avec impact envisagé'!$T$107=0,"",IF('Eval-Avec impact envisagé'!$T$107="","",IF('Eval-Avec impact envisagé'!Y765&lt;&gt;"",'Eval-Avec impact envisagé'!Y765,"")))</f>
        <v/>
      </c>
      <c r="KP3" s="3" t="str">
        <f>IF('Eval-Avec impact envisagé'!$T$107=0,"",IF('Eval-Avec impact envisagé'!$T$107="","",IF('Eval-Avec impact envisagé'!A766&lt;&gt;"",'Eval-Avec impact envisagé'!A766,"")))</f>
        <v/>
      </c>
      <c r="KQ3" s="3" t="str">
        <f>IF('Eval-Avec impact envisagé'!$T$107=0,"",IF('Eval-Avec impact envisagé'!$T$107="","",IF('Eval-Avec impact envisagé'!B766&lt;&gt;"",'Eval-Avec impact envisagé'!B766,"")))</f>
        <v/>
      </c>
      <c r="KR3" s="3" t="str">
        <f>IF('Eval-Avec impact envisagé'!$T$107=0,"",IF('Eval-Avec impact envisagé'!$T$107="","",IF('Eval-Avec impact envisagé'!C766&lt;&gt;"",'Eval-Avec impact envisagé'!C766,"")))</f>
        <v/>
      </c>
      <c r="KS3" s="3" t="str">
        <f>IF('Eval-Avec impact envisagé'!$T$107=0,"",IF('Eval-Avec impact envisagé'!$T$107="","",IF('Eval-Avec impact envisagé'!E766&lt;&gt;"",'Eval-Avec impact envisagé'!E766,"")))</f>
        <v/>
      </c>
      <c r="KT3" s="3" t="str">
        <f>IF('Eval-Avec impact envisagé'!$T$107=0,"",IF('Eval-Avec impact envisagé'!$T$107="","",IF('Eval-Avec impact envisagé'!G766&lt;&gt;"",'Eval-Avec impact envisagé'!G766,"")))</f>
        <v/>
      </c>
      <c r="KU3" s="3" t="str">
        <f>IF('Eval-Avec impact envisagé'!$T$107=0,"",IF('Eval-Avec impact envisagé'!$T$107="","",IF('Eval-Avec impact envisagé'!H766&lt;&gt;"",'Eval-Avec impact envisagé'!H766,"")))</f>
        <v/>
      </c>
      <c r="KV3" s="3" t="str">
        <f>IF('Eval-Avec impact envisagé'!$T$107=0,"",IF('Eval-Avec impact envisagé'!$T$107="","",IF('Eval-Avec impact envisagé'!I766&lt;&gt;"",'Eval-Avec impact envisagé'!I766,"")))</f>
        <v/>
      </c>
      <c r="KW3" s="3" t="str">
        <f>IF('Eval-Avec impact envisagé'!$T$107=0,"",IF('Eval-Avec impact envisagé'!$T$107="","",IF('Eval-Avec impact envisagé'!J766&lt;&gt;"",'Eval-Avec impact envisagé'!J766,"")))</f>
        <v/>
      </c>
      <c r="KX3" s="3" t="str">
        <f>IF('Eval-Avec impact envisagé'!$T$107=0,"",IF('Eval-Avec impact envisagé'!$T$107="","",IF('Eval-Avec impact envisagé'!K766&lt;&gt;"",'Eval-Avec impact envisagé'!K766,"")))</f>
        <v/>
      </c>
      <c r="KY3" s="3" t="str">
        <f>IF('Eval-Avec impact envisagé'!$T$107=0,"",IF('Eval-Avec impact envisagé'!$T$107="","",IF('Eval-Avec impact envisagé'!L766&lt;&gt;"",'Eval-Avec impact envisagé'!L766,"")))</f>
        <v/>
      </c>
      <c r="KZ3" s="3" t="str">
        <f>IF('Eval-Avec impact envisagé'!$T$107=0,"",IF('Eval-Avec impact envisagé'!$T$107="","",IF('Eval-Avec impact envisagé'!M766&lt;&gt;"",'Eval-Avec impact envisagé'!M766,"")))</f>
        <v/>
      </c>
      <c r="LA3" s="3" t="str">
        <f>IF('Eval-Avec impact envisagé'!$T$107=0,"",IF('Eval-Avec impact envisagé'!$T$107="","",IF('Eval-Avec impact envisagé'!N766&lt;&gt;"",'Eval-Avec impact envisagé'!N766,"")))</f>
        <v/>
      </c>
      <c r="LB3" s="3" t="str">
        <f>IF('Eval-Avec impact envisagé'!$T$107=0,"",IF('Eval-Avec impact envisagé'!$T$107="","",IF('Eval-Avec impact envisagé'!O766&lt;&gt;"",'Eval-Avec impact envisagé'!O766,"")))</f>
        <v/>
      </c>
      <c r="LC3" s="3" t="str">
        <f>IF('Eval-Avec impact envisagé'!$T$107=0,"",IF('Eval-Avec impact envisagé'!$T$107="","",IF('Eval-Avec impact envisagé'!P766&lt;&gt;"",'Eval-Avec impact envisagé'!P766,"")))</f>
        <v/>
      </c>
      <c r="LD3" s="3" t="str">
        <f>IF('Eval-Avec impact envisagé'!$T$107=0,"",IF('Eval-Avec impact envisagé'!$T$107="","",IF('Eval-Avec impact envisagé'!Q766&lt;&gt;"",'Eval-Avec impact envisagé'!Q766,"")))</f>
        <v/>
      </c>
      <c r="LE3" s="3" t="str">
        <f>IF('Eval-Avec impact envisagé'!$T$107=0,"",IF('Eval-Avec impact envisagé'!$T$107="","",IF('Eval-Avec impact envisagé'!R766&lt;&gt;"",'Eval-Avec impact envisagé'!R766,"")))</f>
        <v/>
      </c>
      <c r="LF3" s="3" t="str">
        <f>IF('Eval-Avec impact envisagé'!$T$107=0,"",IF('Eval-Avec impact envisagé'!$T$107="","",IF('Eval-Avec impact envisagé'!S766&lt;&gt;"",'Eval-Avec impact envisagé'!S766,"")))</f>
        <v/>
      </c>
      <c r="LG3" s="3" t="str">
        <f>IF('Eval-Avec impact envisagé'!$T$107=0,"",IF('Eval-Avec impact envisagé'!$T$107="","",IF('Eval-Avec impact envisagé'!T766&lt;&gt;"",'Eval-Avec impact envisagé'!T766,"")))</f>
        <v/>
      </c>
      <c r="LH3" s="3" t="str">
        <f>IF('Eval-Avec impact envisagé'!$T$107=0,"",IF('Eval-Avec impact envisagé'!$T$107="","",IF('Eval-Avec impact envisagé'!U766&lt;&gt;"",'Eval-Avec impact envisagé'!U766,"")))</f>
        <v/>
      </c>
      <c r="LI3" s="3" t="str">
        <f>IF('Eval-Avec impact envisagé'!$T$107=0,"",IF('Eval-Avec impact envisagé'!$T$107="","",IF('Eval-Avec impact envisagé'!V766&lt;&gt;"",'Eval-Avec impact envisagé'!V766,"")))</f>
        <v/>
      </c>
      <c r="LJ3" s="3" t="str">
        <f>IF('Eval-Avec impact envisagé'!$T$107=0,"",IF('Eval-Avec impact envisagé'!$T$107="","",IF('Eval-Avec impact envisagé'!W766&lt;&gt;"",'Eval-Avec impact envisagé'!W766,"")))</f>
        <v/>
      </c>
      <c r="LK3" s="3" t="str">
        <f>IF('Eval-Avec impact envisagé'!$T$107=0,"",IF('Eval-Avec impact envisagé'!$T$107="","",IF('Eval-Avec impact envisagé'!X766&lt;&gt;"",'Eval-Avec impact envisagé'!X766,"")))</f>
        <v/>
      </c>
      <c r="LL3" s="3" t="str">
        <f>IF('Eval-Avec impact envisagé'!$T$107=0,"",IF('Eval-Avec impact envisagé'!$T$107="","",IF('Eval-Avec impact envisagé'!Y766&lt;&gt;"",'Eval-Avec impact envisagé'!Y766,"")))</f>
        <v/>
      </c>
      <c r="LM3" s="3" t="str">
        <f>IF('Eval-Avec impact envisagé'!$T$107=0,"",IF('Eval-Avec impact envisagé'!$T$107="","",IF('Eval-Avec impact envisagé'!A767&lt;&gt;"",'Eval-Avec impact envisagé'!A767,"")))</f>
        <v/>
      </c>
      <c r="LN3" s="3" t="str">
        <f>IF('Eval-Avec impact envisagé'!$T$107=0,"",IF('Eval-Avec impact envisagé'!$T$107="","",IF('Eval-Avec impact envisagé'!B767&lt;&gt;"",'Eval-Avec impact envisagé'!B767,"")))</f>
        <v/>
      </c>
      <c r="LO3" s="3" t="str">
        <f>IF('Eval-Avec impact envisagé'!$T$107=0,"",IF('Eval-Avec impact envisagé'!$T$107="","",IF('Eval-Avec impact envisagé'!C767&lt;&gt;"",'Eval-Avec impact envisagé'!C767,"")))</f>
        <v/>
      </c>
      <c r="LP3" s="3" t="str">
        <f>IF('Eval-Avec impact envisagé'!$T$107=0,"",IF('Eval-Avec impact envisagé'!$T$107="","",IF('Eval-Avec impact envisagé'!E767&lt;&gt;"",'Eval-Avec impact envisagé'!E767,"")))</f>
        <v/>
      </c>
      <c r="LQ3" s="3" t="str">
        <f>IF('Eval-Avec impact envisagé'!$T$107=0,"",IF('Eval-Avec impact envisagé'!$T$107="","",IF('Eval-Avec impact envisagé'!G767&lt;&gt;"",'Eval-Avec impact envisagé'!G767,"")))</f>
        <v/>
      </c>
      <c r="LR3" s="3" t="str">
        <f>IF('Eval-Avec impact envisagé'!$T$107=0,"",IF('Eval-Avec impact envisagé'!$T$107="","",IF('Eval-Avec impact envisagé'!H767&lt;&gt;"",'Eval-Avec impact envisagé'!H767,"")))</f>
        <v/>
      </c>
      <c r="LS3" s="3" t="str">
        <f>IF('Eval-Avec impact envisagé'!$T$107=0,"",IF('Eval-Avec impact envisagé'!$T$107="","",IF('Eval-Avec impact envisagé'!I767&lt;&gt;"",'Eval-Avec impact envisagé'!I767,"")))</f>
        <v/>
      </c>
      <c r="LT3" s="3" t="str">
        <f>IF('Eval-Avec impact envisagé'!$T$107=0,"",IF('Eval-Avec impact envisagé'!$T$107="","",IF('Eval-Avec impact envisagé'!J767&lt;&gt;"",'Eval-Avec impact envisagé'!J767,"")))</f>
        <v/>
      </c>
      <c r="LU3" s="3" t="str">
        <f>IF('Eval-Avec impact envisagé'!$T$107=0,"",IF('Eval-Avec impact envisagé'!$T$107="","",IF('Eval-Avec impact envisagé'!K767&lt;&gt;"",'Eval-Avec impact envisagé'!K767,"")))</f>
        <v/>
      </c>
      <c r="LV3" s="3" t="str">
        <f>IF('Eval-Avec impact envisagé'!$T$107=0,"",IF('Eval-Avec impact envisagé'!$T$107="","",IF('Eval-Avec impact envisagé'!L767&lt;&gt;"",'Eval-Avec impact envisagé'!L767,"")))</f>
        <v/>
      </c>
      <c r="LW3" s="3" t="str">
        <f>IF('Eval-Avec impact envisagé'!$T$107=0,"",IF('Eval-Avec impact envisagé'!$T$107="","",IF('Eval-Avec impact envisagé'!M767&lt;&gt;"",'Eval-Avec impact envisagé'!M767,"")))</f>
        <v/>
      </c>
      <c r="LX3" s="3" t="str">
        <f>IF('Eval-Avec impact envisagé'!$T$107=0,"",IF('Eval-Avec impact envisagé'!$T$107="","",IF('Eval-Avec impact envisagé'!N767&lt;&gt;"",'Eval-Avec impact envisagé'!N767,"")))</f>
        <v/>
      </c>
      <c r="LY3" s="3" t="str">
        <f>IF('Eval-Avec impact envisagé'!$T$107=0,"",IF('Eval-Avec impact envisagé'!$T$107="","",IF('Eval-Avec impact envisagé'!O767&lt;&gt;"",'Eval-Avec impact envisagé'!O767,"")))</f>
        <v/>
      </c>
      <c r="LZ3" s="3" t="str">
        <f>IF('Eval-Avec impact envisagé'!$T$107=0,"",IF('Eval-Avec impact envisagé'!$T$107="","",IF('Eval-Avec impact envisagé'!P767&lt;&gt;"",'Eval-Avec impact envisagé'!P767,"")))</f>
        <v/>
      </c>
      <c r="MA3" s="3" t="str">
        <f>IF('Eval-Avec impact envisagé'!$T$107=0,"",IF('Eval-Avec impact envisagé'!$T$107="","",IF('Eval-Avec impact envisagé'!Q767&lt;&gt;"",'Eval-Avec impact envisagé'!Q767,"")))</f>
        <v/>
      </c>
      <c r="MB3" s="3" t="str">
        <f>IF('Eval-Avec impact envisagé'!$T$107=0,"",IF('Eval-Avec impact envisagé'!$T$107="","",IF('Eval-Avec impact envisagé'!R767&lt;&gt;"",'Eval-Avec impact envisagé'!R767,"")))</f>
        <v/>
      </c>
      <c r="MC3" s="3" t="str">
        <f>IF('Eval-Avec impact envisagé'!$T$107=0,"",IF('Eval-Avec impact envisagé'!$T$107="","",IF('Eval-Avec impact envisagé'!S767&lt;&gt;"",'Eval-Avec impact envisagé'!S767,"")))</f>
        <v/>
      </c>
      <c r="MD3" s="3" t="str">
        <f>IF('Eval-Avec impact envisagé'!$T$107=0,"",IF('Eval-Avec impact envisagé'!$T$107="","",IF('Eval-Avec impact envisagé'!T767&lt;&gt;"",'Eval-Avec impact envisagé'!T767,"")))</f>
        <v/>
      </c>
      <c r="ME3" s="3" t="str">
        <f>IF('Eval-Avec impact envisagé'!$T$107=0,"",IF('Eval-Avec impact envisagé'!$T$107="","",IF('Eval-Avec impact envisagé'!U767&lt;&gt;"",'Eval-Avec impact envisagé'!U767,"")))</f>
        <v/>
      </c>
      <c r="MF3" s="3" t="str">
        <f>IF('Eval-Avec impact envisagé'!$T$107=0,"",IF('Eval-Avec impact envisagé'!$T$107="","",IF('Eval-Avec impact envisagé'!V767&lt;&gt;"",'Eval-Avec impact envisagé'!V767,"")))</f>
        <v/>
      </c>
      <c r="MG3" s="3" t="str">
        <f>IF('Eval-Avec impact envisagé'!$T$107=0,"",IF('Eval-Avec impact envisagé'!$T$107="","",IF('Eval-Avec impact envisagé'!W767&lt;&gt;"",'Eval-Avec impact envisagé'!W767,"")))</f>
        <v/>
      </c>
      <c r="MH3" s="3" t="str">
        <f>IF('Eval-Avec impact envisagé'!$T$107=0,"",IF('Eval-Avec impact envisagé'!$T$107="","",IF('Eval-Avec impact envisagé'!X767&lt;&gt;"",'Eval-Avec impact envisagé'!X767,"")))</f>
        <v/>
      </c>
      <c r="MI3" s="3" t="str">
        <f>IF('Eval-Avec impact envisagé'!$T$107=0,"",IF('Eval-Avec impact envisagé'!$T$107="","",IF('Eval-Avec impact envisagé'!Y767&lt;&gt;"",'Eval-Avec impact envisagé'!Y767,"")))</f>
        <v/>
      </c>
      <c r="MJ3" s="3" t="str">
        <f>IF('Eval-Avec impact envisagé'!$T$107=0,"",IF('Eval-Avec impact envisagé'!$T$107="","",IF('Eval-Avec impact envisagé'!A768&lt;&gt;"",'Eval-Avec impact envisagé'!A768,"")))</f>
        <v/>
      </c>
      <c r="MK3" s="3" t="str">
        <f>IF('Eval-Avec impact envisagé'!$T$107=0,"",IF('Eval-Avec impact envisagé'!$T$107="","",IF('Eval-Avec impact envisagé'!B768&lt;&gt;"",'Eval-Avec impact envisagé'!B768,"")))</f>
        <v/>
      </c>
      <c r="ML3" s="3" t="str">
        <f>IF('Eval-Avec impact envisagé'!$T$107=0,"",IF('Eval-Avec impact envisagé'!$T$107="","",IF('Eval-Avec impact envisagé'!C768&lt;&gt;"",'Eval-Avec impact envisagé'!C768,"")))</f>
        <v/>
      </c>
      <c r="MM3" s="3" t="str">
        <f>IF('Eval-Avec impact envisagé'!$T$107=0,"",IF('Eval-Avec impact envisagé'!$T$107="","",IF('Eval-Avec impact envisagé'!E768&lt;&gt;"",'Eval-Avec impact envisagé'!E768,"")))</f>
        <v/>
      </c>
      <c r="MN3" s="3" t="str">
        <f>IF('Eval-Avec impact envisagé'!$T$107=0,"",IF('Eval-Avec impact envisagé'!$T$107="","",IF('Eval-Avec impact envisagé'!G768&lt;&gt;"",'Eval-Avec impact envisagé'!G768,"")))</f>
        <v/>
      </c>
      <c r="MO3" s="3" t="str">
        <f>IF('Eval-Avec impact envisagé'!$T$107=0,"",IF('Eval-Avec impact envisagé'!$T$107="","",IF('Eval-Avec impact envisagé'!H768&lt;&gt;"",'Eval-Avec impact envisagé'!H768,"")))</f>
        <v/>
      </c>
      <c r="MP3" s="3" t="str">
        <f>IF('Eval-Avec impact envisagé'!$T$107=0,"",IF('Eval-Avec impact envisagé'!$T$107="","",IF('Eval-Avec impact envisagé'!I768&lt;&gt;"",'Eval-Avec impact envisagé'!I768,"")))</f>
        <v/>
      </c>
      <c r="MQ3" s="3" t="str">
        <f>IF('Eval-Avec impact envisagé'!$T$107=0,"",IF('Eval-Avec impact envisagé'!$T$107="","",IF('Eval-Avec impact envisagé'!J768&lt;&gt;"",'Eval-Avec impact envisagé'!J768,"")))</f>
        <v/>
      </c>
      <c r="MR3" s="3" t="str">
        <f>IF('Eval-Avec impact envisagé'!$T$107=0,"",IF('Eval-Avec impact envisagé'!$T$107="","",IF('Eval-Avec impact envisagé'!K768&lt;&gt;"",'Eval-Avec impact envisagé'!K768,"")))</f>
        <v/>
      </c>
      <c r="MS3" s="3" t="str">
        <f>IF('Eval-Avec impact envisagé'!$T$107=0,"",IF('Eval-Avec impact envisagé'!$T$107="","",IF('Eval-Avec impact envisagé'!L768&lt;&gt;"",'Eval-Avec impact envisagé'!L768,"")))</f>
        <v/>
      </c>
      <c r="MT3" s="3" t="str">
        <f>IF('Eval-Avec impact envisagé'!$T$107=0,"",IF('Eval-Avec impact envisagé'!$T$107="","",IF('Eval-Avec impact envisagé'!M768&lt;&gt;"",'Eval-Avec impact envisagé'!M768,"")))</f>
        <v/>
      </c>
      <c r="MU3" s="3" t="str">
        <f>IF('Eval-Avec impact envisagé'!$T$107=0,"",IF('Eval-Avec impact envisagé'!$T$107="","",IF('Eval-Avec impact envisagé'!N768&lt;&gt;"",'Eval-Avec impact envisagé'!N768,"")))</f>
        <v/>
      </c>
      <c r="MV3" s="3" t="str">
        <f>IF('Eval-Avec impact envisagé'!$T$107=0,"",IF('Eval-Avec impact envisagé'!$T$107="","",IF('Eval-Avec impact envisagé'!O768&lt;&gt;"",'Eval-Avec impact envisagé'!O768,"")))</f>
        <v/>
      </c>
      <c r="MW3" s="3" t="str">
        <f>IF('Eval-Avec impact envisagé'!$T$107=0,"",IF('Eval-Avec impact envisagé'!$T$107="","",IF('Eval-Avec impact envisagé'!P768&lt;&gt;"",'Eval-Avec impact envisagé'!P768,"")))</f>
        <v/>
      </c>
      <c r="MX3" s="3" t="str">
        <f>IF('Eval-Avec impact envisagé'!$T$107=0,"",IF('Eval-Avec impact envisagé'!$T$107="","",IF('Eval-Avec impact envisagé'!Q768&lt;&gt;"",'Eval-Avec impact envisagé'!Q768,"")))</f>
        <v/>
      </c>
      <c r="MY3" s="3" t="str">
        <f>IF('Eval-Avec impact envisagé'!$T$107=0,"",IF('Eval-Avec impact envisagé'!$T$107="","",IF('Eval-Avec impact envisagé'!R768&lt;&gt;"",'Eval-Avec impact envisagé'!R768,"")))</f>
        <v/>
      </c>
      <c r="MZ3" s="3" t="str">
        <f>IF('Eval-Avec impact envisagé'!$T$107=0,"",IF('Eval-Avec impact envisagé'!$T$107="","",IF('Eval-Avec impact envisagé'!S768&lt;&gt;"",'Eval-Avec impact envisagé'!S768,"")))</f>
        <v/>
      </c>
      <c r="NA3" s="3" t="str">
        <f>IF('Eval-Avec impact envisagé'!$T$107=0,"",IF('Eval-Avec impact envisagé'!$T$107="","",IF('Eval-Avec impact envisagé'!T768&lt;&gt;"",'Eval-Avec impact envisagé'!T768,"")))</f>
        <v/>
      </c>
      <c r="NB3" s="3" t="str">
        <f>IF('Eval-Avec impact envisagé'!$T$107=0,"",IF('Eval-Avec impact envisagé'!$T$107="","",IF('Eval-Avec impact envisagé'!U768&lt;&gt;"",'Eval-Avec impact envisagé'!U768,"")))</f>
        <v/>
      </c>
      <c r="NC3" s="3" t="str">
        <f>IF('Eval-Avec impact envisagé'!$T$107=0,"",IF('Eval-Avec impact envisagé'!$T$107="","",IF('Eval-Avec impact envisagé'!V768&lt;&gt;"",'Eval-Avec impact envisagé'!V768,"")))</f>
        <v/>
      </c>
      <c r="ND3" s="3" t="str">
        <f>IF('Eval-Avec impact envisagé'!$T$107=0,"",IF('Eval-Avec impact envisagé'!$T$107="","",IF('Eval-Avec impact envisagé'!W768&lt;&gt;"",'Eval-Avec impact envisagé'!W768,"")))</f>
        <v/>
      </c>
      <c r="NE3" s="3" t="str">
        <f>IF('Eval-Avec impact envisagé'!$T$107=0,"",IF('Eval-Avec impact envisagé'!$T$107="","",IF('Eval-Avec impact envisagé'!X768&lt;&gt;"",'Eval-Avec impact envisagé'!X768,"")))</f>
        <v/>
      </c>
      <c r="NF3" s="3" t="str">
        <f>IF('Eval-Avec impact envisagé'!$T$107=0,"",IF('Eval-Avec impact envisagé'!$T$107="","",IF('Eval-Avec impact envisagé'!Y768&lt;&gt;"",'Eval-Avec impact envisagé'!Y768,"")))</f>
        <v/>
      </c>
      <c r="NG3" s="3" t="str">
        <f>IF('Eval-Avec impact envisagé'!$T$107=0,"",IF('Eval-Avec impact envisagé'!$T$107="","",IF('Eval-Avec impact envisagé'!A769&lt;&gt;"",'Eval-Avec impact envisagé'!A769,"")))</f>
        <v/>
      </c>
      <c r="NH3" s="3" t="str">
        <f>IF('Eval-Avec impact envisagé'!$T$107=0,"",IF('Eval-Avec impact envisagé'!$T$107="","",IF('Eval-Avec impact envisagé'!B769&lt;&gt;"",'Eval-Avec impact envisagé'!B769,"")))</f>
        <v/>
      </c>
      <c r="NI3" s="3" t="str">
        <f>IF('Eval-Avec impact envisagé'!$T$107=0,"",IF('Eval-Avec impact envisagé'!$T$107="","",IF('Eval-Avec impact envisagé'!C769&lt;&gt;"",'Eval-Avec impact envisagé'!C769,"")))</f>
        <v/>
      </c>
      <c r="NJ3" s="3" t="str">
        <f>IF('Eval-Avec impact envisagé'!$T$107=0,"",IF('Eval-Avec impact envisagé'!$T$107="","",IF('Eval-Avec impact envisagé'!E769&lt;&gt;"",'Eval-Avec impact envisagé'!E769,"")))</f>
        <v/>
      </c>
      <c r="NK3" s="3" t="str">
        <f>IF('Eval-Avec impact envisagé'!$T$107=0,"",IF('Eval-Avec impact envisagé'!$T$107="","",IF('Eval-Avec impact envisagé'!G769&lt;&gt;"",'Eval-Avec impact envisagé'!G769,"")))</f>
        <v/>
      </c>
      <c r="NL3" s="3" t="str">
        <f>IF('Eval-Avec impact envisagé'!$T$107=0,"",IF('Eval-Avec impact envisagé'!$T$107="","",IF('Eval-Avec impact envisagé'!H769&lt;&gt;"",'Eval-Avec impact envisagé'!H769,"")))</f>
        <v/>
      </c>
      <c r="NM3" s="3" t="str">
        <f>IF('Eval-Avec impact envisagé'!$T$107=0,"",IF('Eval-Avec impact envisagé'!$T$107="","",IF('Eval-Avec impact envisagé'!I769&lt;&gt;"",'Eval-Avec impact envisagé'!I769,"")))</f>
        <v/>
      </c>
      <c r="NN3" s="3" t="str">
        <f>IF('Eval-Avec impact envisagé'!$T$107=0,"",IF('Eval-Avec impact envisagé'!$T$107="","",IF('Eval-Avec impact envisagé'!J769&lt;&gt;"",'Eval-Avec impact envisagé'!J769,"")))</f>
        <v/>
      </c>
      <c r="NO3" s="3" t="str">
        <f>IF('Eval-Avec impact envisagé'!$T$107=0,"",IF('Eval-Avec impact envisagé'!$T$107="","",IF('Eval-Avec impact envisagé'!K769&lt;&gt;"",'Eval-Avec impact envisagé'!K769,"")))</f>
        <v/>
      </c>
      <c r="NP3" s="3" t="str">
        <f>IF('Eval-Avec impact envisagé'!$T$107=0,"",IF('Eval-Avec impact envisagé'!$T$107="","",IF('Eval-Avec impact envisagé'!L769&lt;&gt;"",'Eval-Avec impact envisagé'!L769,"")))</f>
        <v/>
      </c>
      <c r="NQ3" s="3" t="str">
        <f>IF('Eval-Avec impact envisagé'!$T$107=0,"",IF('Eval-Avec impact envisagé'!$T$107="","",IF('Eval-Avec impact envisagé'!M769&lt;&gt;"",'Eval-Avec impact envisagé'!M769,"")))</f>
        <v/>
      </c>
      <c r="NR3" s="3" t="str">
        <f>IF('Eval-Avec impact envisagé'!$T$107=0,"",IF('Eval-Avec impact envisagé'!$T$107="","",IF('Eval-Avec impact envisagé'!N769&lt;&gt;"",'Eval-Avec impact envisagé'!N769,"")))</f>
        <v/>
      </c>
      <c r="NS3" s="3" t="str">
        <f>IF('Eval-Avec impact envisagé'!$T$107=0,"",IF('Eval-Avec impact envisagé'!$T$107="","",IF('Eval-Avec impact envisagé'!O769&lt;&gt;"",'Eval-Avec impact envisagé'!O769,"")))</f>
        <v/>
      </c>
      <c r="NT3" s="3" t="str">
        <f>IF('Eval-Avec impact envisagé'!$T$107=0,"",IF('Eval-Avec impact envisagé'!$T$107="","",IF('Eval-Avec impact envisagé'!P769&lt;&gt;"",'Eval-Avec impact envisagé'!P769,"")))</f>
        <v/>
      </c>
      <c r="NU3" s="3" t="str">
        <f>IF('Eval-Avec impact envisagé'!$T$107=0,"",IF('Eval-Avec impact envisagé'!$T$107="","",IF('Eval-Avec impact envisagé'!Q769&lt;&gt;"",'Eval-Avec impact envisagé'!Q769,"")))</f>
        <v/>
      </c>
      <c r="NV3" s="3" t="str">
        <f>IF('Eval-Avec impact envisagé'!$T$107=0,"",IF('Eval-Avec impact envisagé'!$T$107="","",IF('Eval-Avec impact envisagé'!R769&lt;&gt;"",'Eval-Avec impact envisagé'!R769,"")))</f>
        <v/>
      </c>
      <c r="NW3" s="3" t="str">
        <f>IF('Eval-Avec impact envisagé'!$T$107=0,"",IF('Eval-Avec impact envisagé'!$T$107="","",IF('Eval-Avec impact envisagé'!S769&lt;&gt;"",'Eval-Avec impact envisagé'!S769,"")))</f>
        <v/>
      </c>
      <c r="NX3" s="3" t="str">
        <f>IF('Eval-Avec impact envisagé'!$T$107=0,"",IF('Eval-Avec impact envisagé'!$T$107="","",IF('Eval-Avec impact envisagé'!T769&lt;&gt;"",'Eval-Avec impact envisagé'!T769,"")))</f>
        <v/>
      </c>
      <c r="NY3" s="3" t="str">
        <f>IF('Eval-Avec impact envisagé'!$T$107=0,"",IF('Eval-Avec impact envisagé'!$T$107="","",IF('Eval-Avec impact envisagé'!U769&lt;&gt;"",'Eval-Avec impact envisagé'!U769,"")))</f>
        <v/>
      </c>
      <c r="NZ3" s="3" t="str">
        <f>IF('Eval-Avec impact envisagé'!$T$107=0,"",IF('Eval-Avec impact envisagé'!$T$107="","",IF('Eval-Avec impact envisagé'!V769&lt;&gt;"",'Eval-Avec impact envisagé'!V769,"")))</f>
        <v/>
      </c>
      <c r="OA3" s="3" t="str">
        <f>IF('Eval-Avec impact envisagé'!$T$107=0,"",IF('Eval-Avec impact envisagé'!$T$107="","",IF('Eval-Avec impact envisagé'!W769&lt;&gt;"",'Eval-Avec impact envisagé'!W769,"")))</f>
        <v/>
      </c>
      <c r="OB3" s="3" t="str">
        <f>IF('Eval-Avec impact envisagé'!$T$107=0,"",IF('Eval-Avec impact envisagé'!$T$107="","",IF('Eval-Avec impact envisagé'!X769&lt;&gt;"",'Eval-Avec impact envisagé'!X769,"")))</f>
        <v/>
      </c>
      <c r="OC3" s="3" t="str">
        <f>IF('Eval-Avec impact envisagé'!$T$107=0,"",IF('Eval-Avec impact envisagé'!$T$107="","",IF('Eval-Avec impact envisagé'!Y769&lt;&gt;"",'Eval-Avec impact envisagé'!Y769,"")))</f>
        <v/>
      </c>
      <c r="OD3" s="3" t="str">
        <f>IF('Eval-Avec impact envisagé'!$T$107=0,"",IF('Eval-Avec impact envisagé'!$T$107="","",IF('Eval-Avec impact envisagé'!A770&lt;&gt;"",'Eval-Avec impact envisagé'!A770,"")))</f>
        <v/>
      </c>
      <c r="OE3" s="3" t="str">
        <f>IF('Eval-Avec impact envisagé'!$T$107=0,"",IF('Eval-Avec impact envisagé'!$T$107="","",IF('Eval-Avec impact envisagé'!B770&lt;&gt;"",'Eval-Avec impact envisagé'!B770,"")))</f>
        <v/>
      </c>
      <c r="OF3" s="3" t="str">
        <f>IF('Eval-Avec impact envisagé'!$T$107=0,"",IF('Eval-Avec impact envisagé'!$T$107="","",IF('Eval-Avec impact envisagé'!C770&lt;&gt;"",'Eval-Avec impact envisagé'!C770,"")))</f>
        <v/>
      </c>
      <c r="OG3" s="3" t="str">
        <f>IF('Eval-Avec impact envisagé'!$T$107=0,"",IF('Eval-Avec impact envisagé'!$T$107="","",IF('Eval-Avec impact envisagé'!E770&lt;&gt;"",'Eval-Avec impact envisagé'!E770,"")))</f>
        <v/>
      </c>
      <c r="OH3" s="3" t="str">
        <f>IF('Eval-Avec impact envisagé'!$T$107=0,"",IF('Eval-Avec impact envisagé'!$T$107="","",IF('Eval-Avec impact envisagé'!G770&lt;&gt;"",'Eval-Avec impact envisagé'!G770,"")))</f>
        <v/>
      </c>
      <c r="OI3" s="3" t="str">
        <f>IF('Eval-Avec impact envisagé'!$T$107=0,"",IF('Eval-Avec impact envisagé'!$T$107="","",IF('Eval-Avec impact envisagé'!H770&lt;&gt;"",'Eval-Avec impact envisagé'!H770,"")))</f>
        <v/>
      </c>
      <c r="OJ3" s="3" t="str">
        <f>IF('Eval-Avec impact envisagé'!$T$107=0,"",IF('Eval-Avec impact envisagé'!$T$107="","",IF('Eval-Avec impact envisagé'!I770&lt;&gt;"",'Eval-Avec impact envisagé'!I770,"")))</f>
        <v/>
      </c>
      <c r="OK3" s="3" t="str">
        <f>IF('Eval-Avec impact envisagé'!$T$107=0,"",IF('Eval-Avec impact envisagé'!$T$107="","",IF('Eval-Avec impact envisagé'!J770&lt;&gt;"",'Eval-Avec impact envisagé'!J770,"")))</f>
        <v/>
      </c>
      <c r="OL3" s="3" t="str">
        <f>IF('Eval-Avec impact envisagé'!$T$107=0,"",IF('Eval-Avec impact envisagé'!$T$107="","",IF('Eval-Avec impact envisagé'!K770&lt;&gt;"",'Eval-Avec impact envisagé'!K770,"")))</f>
        <v/>
      </c>
      <c r="OM3" s="3" t="str">
        <f>IF('Eval-Avec impact envisagé'!$T$107=0,"",IF('Eval-Avec impact envisagé'!$T$107="","",IF('Eval-Avec impact envisagé'!L770&lt;&gt;"",'Eval-Avec impact envisagé'!L770,"")))</f>
        <v/>
      </c>
      <c r="ON3" s="3" t="str">
        <f>IF('Eval-Avec impact envisagé'!$T$107=0,"",IF('Eval-Avec impact envisagé'!$T$107="","",IF('Eval-Avec impact envisagé'!M770&lt;&gt;"",'Eval-Avec impact envisagé'!M770,"")))</f>
        <v/>
      </c>
      <c r="OO3" s="3" t="str">
        <f>IF('Eval-Avec impact envisagé'!$T$107=0,"",IF('Eval-Avec impact envisagé'!$T$107="","",IF('Eval-Avec impact envisagé'!N770&lt;&gt;"",'Eval-Avec impact envisagé'!N770,"")))</f>
        <v/>
      </c>
      <c r="OP3" s="3" t="str">
        <f>IF('Eval-Avec impact envisagé'!$T$107=0,"",IF('Eval-Avec impact envisagé'!$T$107="","",IF('Eval-Avec impact envisagé'!O770&lt;&gt;"",'Eval-Avec impact envisagé'!O770,"")))</f>
        <v/>
      </c>
      <c r="OQ3" s="3" t="str">
        <f>IF('Eval-Avec impact envisagé'!$T$107=0,"",IF('Eval-Avec impact envisagé'!$T$107="","",IF('Eval-Avec impact envisagé'!P770&lt;&gt;"",'Eval-Avec impact envisagé'!P770,"")))</f>
        <v/>
      </c>
      <c r="OR3" s="3" t="str">
        <f>IF('Eval-Avec impact envisagé'!$T$107=0,"",IF('Eval-Avec impact envisagé'!$T$107="","",IF('Eval-Avec impact envisagé'!Q770&lt;&gt;"",'Eval-Avec impact envisagé'!Q770,"")))</f>
        <v/>
      </c>
      <c r="OS3" s="3" t="str">
        <f>IF('Eval-Avec impact envisagé'!$T$107=0,"",IF('Eval-Avec impact envisagé'!$T$107="","",IF('Eval-Avec impact envisagé'!R770&lt;&gt;"",'Eval-Avec impact envisagé'!R770,"")))</f>
        <v/>
      </c>
      <c r="OT3" s="3" t="str">
        <f>IF('Eval-Avec impact envisagé'!$T$107=0,"",IF('Eval-Avec impact envisagé'!$T$107="","",IF('Eval-Avec impact envisagé'!S770&lt;&gt;"",'Eval-Avec impact envisagé'!S770,"")))</f>
        <v/>
      </c>
      <c r="OU3" s="3" t="str">
        <f>IF('Eval-Avec impact envisagé'!$T$107=0,"",IF('Eval-Avec impact envisagé'!$T$107="","",IF('Eval-Avec impact envisagé'!T770&lt;&gt;"",'Eval-Avec impact envisagé'!T770,"")))</f>
        <v/>
      </c>
      <c r="OV3" s="3" t="str">
        <f>IF('Eval-Avec impact envisagé'!$T$107=0,"",IF('Eval-Avec impact envisagé'!$T$107="","",IF('Eval-Avec impact envisagé'!U770&lt;&gt;"",'Eval-Avec impact envisagé'!U770,"")))</f>
        <v/>
      </c>
      <c r="OW3" s="3" t="str">
        <f>IF('Eval-Avec impact envisagé'!$T$107=0,"",IF('Eval-Avec impact envisagé'!$T$107="","",IF('Eval-Avec impact envisagé'!V770&lt;&gt;"",'Eval-Avec impact envisagé'!V770,"")))</f>
        <v/>
      </c>
      <c r="OX3" s="3" t="str">
        <f>IF('Eval-Avec impact envisagé'!$T$107=0,"",IF('Eval-Avec impact envisagé'!$T$107="","",IF('Eval-Avec impact envisagé'!W770&lt;&gt;"",'Eval-Avec impact envisagé'!W770,"")))</f>
        <v/>
      </c>
      <c r="OY3" s="3" t="str">
        <f>IF('Eval-Avec impact envisagé'!$T$107=0,"",IF('Eval-Avec impact envisagé'!$T$107="","",IF('Eval-Avec impact envisagé'!X770&lt;&gt;"",'Eval-Avec impact envisagé'!X770,"")))</f>
        <v/>
      </c>
      <c r="OZ3" s="3" t="str">
        <f>IF('Eval-Avec impact envisagé'!$T$107=0,"",IF('Eval-Avec impact envisagé'!$T$107="","",IF('Eval-Avec impact envisagé'!Y770&lt;&gt;"",'Eval-Avec impact envisagé'!Y770,"")))</f>
        <v/>
      </c>
      <c r="PA3" s="3" t="str">
        <f>IF('Eval-Avec impact envisagé'!$T$107=0,"",IF('Eval-Avec impact envisagé'!$T$107="","",IF('Eval-Avec impact envisagé'!A771&lt;&gt;"",'Eval-Avec impact envisagé'!A771,"")))</f>
        <v/>
      </c>
      <c r="PB3" s="3" t="str">
        <f>IF('Eval-Avec impact envisagé'!$T$107=0,"",IF('Eval-Avec impact envisagé'!$T$107="","",IF('Eval-Avec impact envisagé'!B771&lt;&gt;"",'Eval-Avec impact envisagé'!B771,"")))</f>
        <v/>
      </c>
      <c r="PC3" s="3" t="str">
        <f>IF('Eval-Avec impact envisagé'!$T$107=0,"",IF('Eval-Avec impact envisagé'!$T$107="","",IF('Eval-Avec impact envisagé'!C771&lt;&gt;"",'Eval-Avec impact envisagé'!C771,"")))</f>
        <v/>
      </c>
      <c r="PD3" s="3" t="str">
        <f>IF('Eval-Avec impact envisagé'!$T$107=0,"",IF('Eval-Avec impact envisagé'!$T$107="","",IF('Eval-Avec impact envisagé'!E771&lt;&gt;"",'Eval-Avec impact envisagé'!E771,"")))</f>
        <v/>
      </c>
      <c r="PE3" s="3" t="str">
        <f>IF('Eval-Avec impact envisagé'!$T$107=0,"",IF('Eval-Avec impact envisagé'!$T$107="","",IF('Eval-Avec impact envisagé'!G771&lt;&gt;"",'Eval-Avec impact envisagé'!G771,"")))</f>
        <v/>
      </c>
      <c r="PF3" s="3" t="str">
        <f>IF('Eval-Avec impact envisagé'!$T$107=0,"",IF('Eval-Avec impact envisagé'!$T$107="","",IF('Eval-Avec impact envisagé'!H771&lt;&gt;"",'Eval-Avec impact envisagé'!H771,"")))</f>
        <v/>
      </c>
      <c r="PG3" s="3" t="str">
        <f>IF('Eval-Avec impact envisagé'!$T$107=0,"",IF('Eval-Avec impact envisagé'!$T$107="","",IF('Eval-Avec impact envisagé'!I771&lt;&gt;"",'Eval-Avec impact envisagé'!I771,"")))</f>
        <v/>
      </c>
      <c r="PH3" s="3" t="str">
        <f>IF('Eval-Avec impact envisagé'!$T$107=0,"",IF('Eval-Avec impact envisagé'!$T$107="","",IF('Eval-Avec impact envisagé'!J771&lt;&gt;"",'Eval-Avec impact envisagé'!J771,"")))</f>
        <v/>
      </c>
      <c r="PI3" s="3" t="str">
        <f>IF('Eval-Avec impact envisagé'!$T$107=0,"",IF('Eval-Avec impact envisagé'!$T$107="","",IF('Eval-Avec impact envisagé'!K771&lt;&gt;"",'Eval-Avec impact envisagé'!K771,"")))</f>
        <v/>
      </c>
      <c r="PJ3" s="3" t="str">
        <f>IF('Eval-Avec impact envisagé'!$T$107=0,"",IF('Eval-Avec impact envisagé'!$T$107="","",IF('Eval-Avec impact envisagé'!L771&lt;&gt;"",'Eval-Avec impact envisagé'!L771,"")))</f>
        <v/>
      </c>
      <c r="PK3" s="3" t="str">
        <f>IF('Eval-Avec impact envisagé'!$T$107=0,"",IF('Eval-Avec impact envisagé'!$T$107="","",IF('Eval-Avec impact envisagé'!M771&lt;&gt;"",'Eval-Avec impact envisagé'!M771,"")))</f>
        <v/>
      </c>
      <c r="PL3" s="3" t="str">
        <f>IF('Eval-Avec impact envisagé'!$T$107=0,"",IF('Eval-Avec impact envisagé'!$T$107="","",IF('Eval-Avec impact envisagé'!N771&lt;&gt;"",'Eval-Avec impact envisagé'!N771,"")))</f>
        <v/>
      </c>
      <c r="PM3" s="3" t="str">
        <f>IF('Eval-Avec impact envisagé'!$T$107=0,"",IF('Eval-Avec impact envisagé'!$T$107="","",IF('Eval-Avec impact envisagé'!O771&lt;&gt;"",'Eval-Avec impact envisagé'!O771,"")))</f>
        <v/>
      </c>
      <c r="PN3" s="3" t="str">
        <f>IF('Eval-Avec impact envisagé'!$T$107=0,"",IF('Eval-Avec impact envisagé'!$T$107="","",IF('Eval-Avec impact envisagé'!P771&lt;&gt;"",'Eval-Avec impact envisagé'!P771,"")))</f>
        <v/>
      </c>
      <c r="PO3" s="3" t="str">
        <f>IF('Eval-Avec impact envisagé'!$T$107=0,"",IF('Eval-Avec impact envisagé'!$T$107="","",IF('Eval-Avec impact envisagé'!Q771&lt;&gt;"",'Eval-Avec impact envisagé'!Q771,"")))</f>
        <v/>
      </c>
      <c r="PP3" s="3" t="str">
        <f>IF('Eval-Avec impact envisagé'!$T$107=0,"",IF('Eval-Avec impact envisagé'!$T$107="","",IF('Eval-Avec impact envisagé'!R771&lt;&gt;"",'Eval-Avec impact envisagé'!R771,"")))</f>
        <v/>
      </c>
      <c r="PQ3" s="3" t="str">
        <f>IF('Eval-Avec impact envisagé'!$T$107=0,"",IF('Eval-Avec impact envisagé'!$T$107="","",IF('Eval-Avec impact envisagé'!S771&lt;&gt;"",'Eval-Avec impact envisagé'!S771,"")))</f>
        <v/>
      </c>
      <c r="PR3" s="3" t="str">
        <f>IF('Eval-Avec impact envisagé'!$T$107=0,"",IF('Eval-Avec impact envisagé'!$T$107="","",IF('Eval-Avec impact envisagé'!T771&lt;&gt;"",'Eval-Avec impact envisagé'!T771,"")))</f>
        <v/>
      </c>
      <c r="PS3" s="3" t="str">
        <f>IF('Eval-Avec impact envisagé'!$T$107=0,"",IF('Eval-Avec impact envisagé'!$T$107="","",IF('Eval-Avec impact envisagé'!U771&lt;&gt;"",'Eval-Avec impact envisagé'!U771,"")))</f>
        <v/>
      </c>
      <c r="PT3" s="3" t="str">
        <f>IF('Eval-Avec impact envisagé'!$T$107=0,"",IF('Eval-Avec impact envisagé'!$T$107="","",IF('Eval-Avec impact envisagé'!V771&lt;&gt;"",'Eval-Avec impact envisagé'!V771,"")))</f>
        <v/>
      </c>
      <c r="PU3" s="3" t="str">
        <f>IF('Eval-Avec impact envisagé'!$T$107=0,"",IF('Eval-Avec impact envisagé'!$T$107="","",IF('Eval-Avec impact envisagé'!W771&lt;&gt;"",'Eval-Avec impact envisagé'!W771,"")))</f>
        <v/>
      </c>
      <c r="PV3" s="3" t="str">
        <f>IF('Eval-Avec impact envisagé'!$T$107=0,"",IF('Eval-Avec impact envisagé'!$T$107="","",IF('Eval-Avec impact envisagé'!X771&lt;&gt;"",'Eval-Avec impact envisagé'!X771,"")))</f>
        <v/>
      </c>
      <c r="PW3" s="3" t="str">
        <f>IF('Eval-Avec impact envisagé'!$T$107=0,"",IF('Eval-Avec impact envisagé'!$T$107="","",IF('Eval-Avec impact envisagé'!Y771&lt;&gt;"",'Eval-Avec impact envisagé'!Y771,"")))</f>
        <v/>
      </c>
      <c r="PX3" s="3" t="str">
        <f>IF('Eval-Avec impact envisagé'!$T$107=0,"",IF('Eval-Avec impact envisagé'!$T$107="","",IF('Eval-Avec impact envisagé'!A772&lt;&gt;"",'Eval-Avec impact envisagé'!A772,"")))</f>
        <v/>
      </c>
      <c r="PY3" s="3" t="str">
        <f>IF('Eval-Avec impact envisagé'!$T$107=0,"",IF('Eval-Avec impact envisagé'!$T$107="","",IF('Eval-Avec impact envisagé'!B772&lt;&gt;"",'Eval-Avec impact envisagé'!B772,"")))</f>
        <v/>
      </c>
      <c r="PZ3" s="3" t="str">
        <f>IF('Eval-Avec impact envisagé'!$T$107=0,"",IF('Eval-Avec impact envisagé'!$T$107="","",IF('Eval-Avec impact envisagé'!C772&lt;&gt;"",'Eval-Avec impact envisagé'!C772,"")))</f>
        <v/>
      </c>
      <c r="QA3" s="3" t="str">
        <f>IF('Eval-Avec impact envisagé'!$T$107=0,"",IF('Eval-Avec impact envisagé'!$T$107="","",IF('Eval-Avec impact envisagé'!E772&lt;&gt;"",'Eval-Avec impact envisagé'!E772,"")))</f>
        <v/>
      </c>
      <c r="QB3" s="3" t="str">
        <f>IF('Eval-Avec impact envisagé'!$T$107=0,"",IF('Eval-Avec impact envisagé'!$T$107="","",IF('Eval-Avec impact envisagé'!G772&lt;&gt;"",'Eval-Avec impact envisagé'!G772,"")))</f>
        <v/>
      </c>
      <c r="QC3" s="3" t="str">
        <f>IF('Eval-Avec impact envisagé'!$T$107=0,"",IF('Eval-Avec impact envisagé'!$T$107="","",IF('Eval-Avec impact envisagé'!H772&lt;&gt;"",'Eval-Avec impact envisagé'!H772,"")))</f>
        <v/>
      </c>
      <c r="QD3" s="3" t="str">
        <f>IF('Eval-Avec impact envisagé'!$T$107=0,"",IF('Eval-Avec impact envisagé'!$T$107="","",IF('Eval-Avec impact envisagé'!I772&lt;&gt;"",'Eval-Avec impact envisagé'!I772,"")))</f>
        <v/>
      </c>
      <c r="QE3" s="3" t="str">
        <f>IF('Eval-Avec impact envisagé'!$T$107=0,"",IF('Eval-Avec impact envisagé'!$T$107="","",IF('Eval-Avec impact envisagé'!J772&lt;&gt;"",'Eval-Avec impact envisagé'!J772,"")))</f>
        <v/>
      </c>
      <c r="QF3" s="3" t="str">
        <f>IF('Eval-Avec impact envisagé'!$T$107=0,"",IF('Eval-Avec impact envisagé'!$T$107="","",IF('Eval-Avec impact envisagé'!K772&lt;&gt;"",'Eval-Avec impact envisagé'!K772,"")))</f>
        <v/>
      </c>
      <c r="QG3" s="3" t="str">
        <f>IF('Eval-Avec impact envisagé'!$T$107=0,"",IF('Eval-Avec impact envisagé'!$T$107="","",IF('Eval-Avec impact envisagé'!L772&lt;&gt;"",'Eval-Avec impact envisagé'!L772,"")))</f>
        <v/>
      </c>
      <c r="QH3" s="3" t="str">
        <f>IF('Eval-Avec impact envisagé'!$T$107=0,"",IF('Eval-Avec impact envisagé'!$T$107="","",IF('Eval-Avec impact envisagé'!M772&lt;&gt;"",'Eval-Avec impact envisagé'!M772,"")))</f>
        <v/>
      </c>
      <c r="QI3" s="3" t="str">
        <f>IF('Eval-Avec impact envisagé'!$T$107=0,"",IF('Eval-Avec impact envisagé'!$T$107="","",IF('Eval-Avec impact envisagé'!N772&lt;&gt;"",'Eval-Avec impact envisagé'!N772,"")))</f>
        <v/>
      </c>
      <c r="QJ3" s="3" t="str">
        <f>IF('Eval-Avec impact envisagé'!$T$107=0,"",IF('Eval-Avec impact envisagé'!$T$107="","",IF('Eval-Avec impact envisagé'!O772&lt;&gt;"",'Eval-Avec impact envisagé'!O772,"")))</f>
        <v/>
      </c>
      <c r="QK3" s="3" t="str">
        <f>IF('Eval-Avec impact envisagé'!$T$107=0,"",IF('Eval-Avec impact envisagé'!$T$107="","",IF('Eval-Avec impact envisagé'!P772&lt;&gt;"",'Eval-Avec impact envisagé'!P772,"")))</f>
        <v/>
      </c>
      <c r="QL3" s="3" t="str">
        <f>IF('Eval-Avec impact envisagé'!$T$107=0,"",IF('Eval-Avec impact envisagé'!$T$107="","",IF('Eval-Avec impact envisagé'!Q772&lt;&gt;"",'Eval-Avec impact envisagé'!Q772,"")))</f>
        <v/>
      </c>
      <c r="QM3" s="3" t="str">
        <f>IF('Eval-Avec impact envisagé'!$T$107=0,"",IF('Eval-Avec impact envisagé'!$T$107="","",IF('Eval-Avec impact envisagé'!R772&lt;&gt;"",'Eval-Avec impact envisagé'!R772,"")))</f>
        <v/>
      </c>
      <c r="QN3" s="3" t="str">
        <f>IF('Eval-Avec impact envisagé'!$T$107=0,"",IF('Eval-Avec impact envisagé'!$T$107="","",IF('Eval-Avec impact envisagé'!S772&lt;&gt;"",'Eval-Avec impact envisagé'!S772,"")))</f>
        <v/>
      </c>
      <c r="QO3" s="3" t="str">
        <f>IF('Eval-Avec impact envisagé'!$T$107=0,"",IF('Eval-Avec impact envisagé'!$T$107="","",IF('Eval-Avec impact envisagé'!T772&lt;&gt;"",'Eval-Avec impact envisagé'!T772,"")))</f>
        <v/>
      </c>
      <c r="QP3" s="3" t="str">
        <f>IF('Eval-Avec impact envisagé'!$T$107=0,"",IF('Eval-Avec impact envisagé'!$T$107="","",IF('Eval-Avec impact envisagé'!U772&lt;&gt;"",'Eval-Avec impact envisagé'!U772,"")))</f>
        <v/>
      </c>
      <c r="QQ3" s="3" t="str">
        <f>IF('Eval-Avec impact envisagé'!$T$107=0,"",IF('Eval-Avec impact envisagé'!$T$107="","",IF('Eval-Avec impact envisagé'!V772&lt;&gt;"",'Eval-Avec impact envisagé'!V772,"")))</f>
        <v/>
      </c>
      <c r="QR3" s="3" t="str">
        <f>IF('Eval-Avec impact envisagé'!$T$107=0,"",IF('Eval-Avec impact envisagé'!$T$107="","",IF('Eval-Avec impact envisagé'!W772&lt;&gt;"",'Eval-Avec impact envisagé'!W772,"")))</f>
        <v/>
      </c>
      <c r="QS3" s="3" t="str">
        <f>IF('Eval-Avec impact envisagé'!$T$107=0,"",IF('Eval-Avec impact envisagé'!$T$107="","",IF('Eval-Avec impact envisagé'!X772&lt;&gt;"",'Eval-Avec impact envisagé'!X772,"")))</f>
        <v/>
      </c>
      <c r="QT3" s="3" t="str">
        <f>IF('Eval-Avec impact envisagé'!$T$107=0,"",IF('Eval-Avec impact envisagé'!$T$107="","",IF('Eval-Avec impact envisagé'!Y772&lt;&gt;"",'Eval-Avec impact envisagé'!Y772,"")))</f>
        <v/>
      </c>
      <c r="QU3" s="3" t="str">
        <f>IF('Eval-Avec impact envisagé'!$T$107=0,"",IF('Eval-Avec impact envisagé'!$T$107="","",IF('Eval-Avec impact envisagé'!A773&lt;&gt;"",'Eval-Avec impact envisagé'!A773,"")))</f>
        <v/>
      </c>
      <c r="QV3" s="3" t="str">
        <f>IF('Eval-Avec impact envisagé'!$T$107=0,"",IF('Eval-Avec impact envisagé'!$T$107="","",IF('Eval-Avec impact envisagé'!B773&lt;&gt;"",'Eval-Avec impact envisagé'!B773,"")))</f>
        <v/>
      </c>
      <c r="QW3" s="3" t="str">
        <f>IF('Eval-Avec impact envisagé'!$T$107=0,"",IF('Eval-Avec impact envisagé'!$T$107="","",IF('Eval-Avec impact envisagé'!C773&lt;&gt;"",'Eval-Avec impact envisagé'!C773,"")))</f>
        <v/>
      </c>
      <c r="QX3" s="3" t="str">
        <f>IF('Eval-Avec impact envisagé'!$T$107=0,"",IF('Eval-Avec impact envisagé'!$T$107="","",IF('Eval-Avec impact envisagé'!E773&lt;&gt;"",'Eval-Avec impact envisagé'!E773,"")))</f>
        <v/>
      </c>
      <c r="QY3" s="3" t="str">
        <f>IF('Eval-Avec impact envisagé'!$T$107=0,"",IF('Eval-Avec impact envisagé'!$T$107="","",IF('Eval-Avec impact envisagé'!G773&lt;&gt;"",'Eval-Avec impact envisagé'!G773,"")))</f>
        <v/>
      </c>
      <c r="QZ3" s="3" t="str">
        <f>IF('Eval-Avec impact envisagé'!$T$107=0,"",IF('Eval-Avec impact envisagé'!$T$107="","",IF('Eval-Avec impact envisagé'!H773&lt;&gt;"",'Eval-Avec impact envisagé'!H773,"")))</f>
        <v/>
      </c>
      <c r="RA3" s="3" t="str">
        <f>IF('Eval-Avec impact envisagé'!$T$107=0,"",IF('Eval-Avec impact envisagé'!$T$107="","",IF('Eval-Avec impact envisagé'!I773&lt;&gt;"",'Eval-Avec impact envisagé'!I773,"")))</f>
        <v/>
      </c>
      <c r="RB3" s="3" t="str">
        <f>IF('Eval-Avec impact envisagé'!$T$107=0,"",IF('Eval-Avec impact envisagé'!$T$107="","",IF('Eval-Avec impact envisagé'!J773&lt;&gt;"",'Eval-Avec impact envisagé'!J773,"")))</f>
        <v/>
      </c>
      <c r="RC3" s="3" t="str">
        <f>IF('Eval-Avec impact envisagé'!$T$107=0,"",IF('Eval-Avec impact envisagé'!$T$107="","",IF('Eval-Avec impact envisagé'!K773&lt;&gt;"",'Eval-Avec impact envisagé'!K773,"")))</f>
        <v/>
      </c>
      <c r="RD3" s="3" t="str">
        <f>IF('Eval-Avec impact envisagé'!$T$107=0,"",IF('Eval-Avec impact envisagé'!$T$107="","",IF('Eval-Avec impact envisagé'!L773&lt;&gt;"",'Eval-Avec impact envisagé'!L773,"")))</f>
        <v/>
      </c>
      <c r="RE3" s="3" t="str">
        <f>IF('Eval-Avec impact envisagé'!$T$107=0,"",IF('Eval-Avec impact envisagé'!$T$107="","",IF('Eval-Avec impact envisagé'!M773&lt;&gt;"",'Eval-Avec impact envisagé'!M773,"")))</f>
        <v/>
      </c>
      <c r="RF3" s="3" t="str">
        <f>IF('Eval-Avec impact envisagé'!$T$107=0,"",IF('Eval-Avec impact envisagé'!$T$107="","",IF('Eval-Avec impact envisagé'!N773&lt;&gt;"",'Eval-Avec impact envisagé'!N773,"")))</f>
        <v/>
      </c>
      <c r="RG3" s="3" t="str">
        <f>IF('Eval-Avec impact envisagé'!$T$107=0,"",IF('Eval-Avec impact envisagé'!$T$107="","",IF('Eval-Avec impact envisagé'!O773&lt;&gt;"",'Eval-Avec impact envisagé'!O773,"")))</f>
        <v/>
      </c>
      <c r="RH3" s="3" t="str">
        <f>IF('Eval-Avec impact envisagé'!$T$107=0,"",IF('Eval-Avec impact envisagé'!$T$107="","",IF('Eval-Avec impact envisagé'!P773&lt;&gt;"",'Eval-Avec impact envisagé'!P773,"")))</f>
        <v/>
      </c>
      <c r="RI3" s="3" t="str">
        <f>IF('Eval-Avec impact envisagé'!$T$107=0,"",IF('Eval-Avec impact envisagé'!$T$107="","",IF('Eval-Avec impact envisagé'!Q773&lt;&gt;"",'Eval-Avec impact envisagé'!Q773,"")))</f>
        <v/>
      </c>
      <c r="RJ3" s="3" t="str">
        <f>IF('Eval-Avec impact envisagé'!$T$107=0,"",IF('Eval-Avec impact envisagé'!$T$107="","",IF('Eval-Avec impact envisagé'!R773&lt;&gt;"",'Eval-Avec impact envisagé'!R773,"")))</f>
        <v/>
      </c>
      <c r="RK3" s="3" t="str">
        <f>IF('Eval-Avec impact envisagé'!$T$107=0,"",IF('Eval-Avec impact envisagé'!$T$107="","",IF('Eval-Avec impact envisagé'!S773&lt;&gt;"",'Eval-Avec impact envisagé'!S773,"")))</f>
        <v/>
      </c>
      <c r="RL3" s="3" t="str">
        <f>IF('Eval-Avec impact envisagé'!$T$107=0,"",IF('Eval-Avec impact envisagé'!$T$107="","",IF('Eval-Avec impact envisagé'!T773&lt;&gt;"",'Eval-Avec impact envisagé'!T773,"")))</f>
        <v/>
      </c>
      <c r="RM3" s="3" t="str">
        <f>IF('Eval-Avec impact envisagé'!$T$107=0,"",IF('Eval-Avec impact envisagé'!$T$107="","",IF('Eval-Avec impact envisagé'!U773&lt;&gt;"",'Eval-Avec impact envisagé'!U773,"")))</f>
        <v/>
      </c>
      <c r="RN3" s="3" t="str">
        <f>IF('Eval-Avec impact envisagé'!$T$107=0,"",IF('Eval-Avec impact envisagé'!$T$107="","",IF('Eval-Avec impact envisagé'!V773&lt;&gt;"",'Eval-Avec impact envisagé'!V773,"")))</f>
        <v/>
      </c>
      <c r="RO3" s="3" t="str">
        <f>IF('Eval-Avec impact envisagé'!$T$107=0,"",IF('Eval-Avec impact envisagé'!$T$107="","",IF('Eval-Avec impact envisagé'!W773&lt;&gt;"",'Eval-Avec impact envisagé'!W773,"")))</f>
        <v/>
      </c>
      <c r="RP3" s="3" t="str">
        <f>IF('Eval-Avec impact envisagé'!$T$107=0,"",IF('Eval-Avec impact envisagé'!$T$107="","",IF('Eval-Avec impact envisagé'!X773&lt;&gt;"",'Eval-Avec impact envisagé'!X773,"")))</f>
        <v/>
      </c>
      <c r="RQ3" s="3" t="str">
        <f>IF('Eval-Avec impact envisagé'!$T$107=0,"",IF('Eval-Avec impact envisagé'!$T$107="","",IF('Eval-Avec impact envisagé'!Y773&lt;&gt;"",'Eval-Avec impact envisagé'!Y773,"")))</f>
        <v/>
      </c>
      <c r="RR3" s="3" t="str">
        <f>IF('Eval-Avec impact envisagé'!$T$107=0,"",IF('Eval-Avec impact envisagé'!$T$107="","",IF('Eval-Avec impact envisagé'!A774&lt;&gt;"",'Eval-Avec impact envisagé'!A774,"")))</f>
        <v/>
      </c>
      <c r="RS3" s="3" t="str">
        <f>IF('Eval-Avec impact envisagé'!$T$107=0,"",IF('Eval-Avec impact envisagé'!$T$107="","",IF('Eval-Avec impact envisagé'!B774&lt;&gt;"",'Eval-Avec impact envisagé'!B774,"")))</f>
        <v/>
      </c>
      <c r="RT3" s="3" t="str">
        <f>IF('Eval-Avec impact envisagé'!$T$107=0,"",IF('Eval-Avec impact envisagé'!$T$107="","",IF('Eval-Avec impact envisagé'!C774&lt;&gt;"",'Eval-Avec impact envisagé'!C774,"")))</f>
        <v/>
      </c>
      <c r="RU3" s="3" t="str">
        <f>IF('Eval-Avec impact envisagé'!$T$107=0,"",IF('Eval-Avec impact envisagé'!$T$107="","",IF('Eval-Avec impact envisagé'!E774&lt;&gt;"",'Eval-Avec impact envisagé'!E774,"")))</f>
        <v/>
      </c>
      <c r="RV3" s="3" t="str">
        <f>IF('Eval-Avec impact envisagé'!$T$107=0,"",IF('Eval-Avec impact envisagé'!$T$107="","",IF('Eval-Avec impact envisagé'!G774&lt;&gt;"",'Eval-Avec impact envisagé'!G774,"")))</f>
        <v/>
      </c>
      <c r="RW3" s="3" t="str">
        <f>IF('Eval-Avec impact envisagé'!$T$107=0,"",IF('Eval-Avec impact envisagé'!$T$107="","",IF('Eval-Avec impact envisagé'!H774&lt;&gt;"",'Eval-Avec impact envisagé'!H774,"")))</f>
        <v/>
      </c>
      <c r="RX3" s="3" t="str">
        <f>IF('Eval-Avec impact envisagé'!$T$107=0,"",IF('Eval-Avec impact envisagé'!$T$107="","",IF('Eval-Avec impact envisagé'!I774&lt;&gt;"",'Eval-Avec impact envisagé'!I774,"")))</f>
        <v/>
      </c>
      <c r="RY3" s="3" t="str">
        <f>IF('Eval-Avec impact envisagé'!$T$107=0,"",IF('Eval-Avec impact envisagé'!$T$107="","",IF('Eval-Avec impact envisagé'!J774&lt;&gt;"",'Eval-Avec impact envisagé'!J774,"")))</f>
        <v/>
      </c>
      <c r="RZ3" s="3" t="str">
        <f>IF('Eval-Avec impact envisagé'!$T$107=0,"",IF('Eval-Avec impact envisagé'!$T$107="","",IF('Eval-Avec impact envisagé'!K774&lt;&gt;"",'Eval-Avec impact envisagé'!K774,"")))</f>
        <v/>
      </c>
      <c r="SA3" s="3" t="str">
        <f>IF('Eval-Avec impact envisagé'!$T$107=0,"",IF('Eval-Avec impact envisagé'!$T$107="","",IF('Eval-Avec impact envisagé'!L774&lt;&gt;"",'Eval-Avec impact envisagé'!L774,"")))</f>
        <v/>
      </c>
      <c r="SB3" s="3" t="str">
        <f>IF('Eval-Avec impact envisagé'!$T$107=0,"",IF('Eval-Avec impact envisagé'!$T$107="","",IF('Eval-Avec impact envisagé'!M774&lt;&gt;"",'Eval-Avec impact envisagé'!M774,"")))</f>
        <v/>
      </c>
      <c r="SC3" s="3" t="str">
        <f>IF('Eval-Avec impact envisagé'!$T$107=0,"",IF('Eval-Avec impact envisagé'!$T$107="","",IF('Eval-Avec impact envisagé'!N774&lt;&gt;"",'Eval-Avec impact envisagé'!N774,"")))</f>
        <v/>
      </c>
      <c r="SD3" s="3" t="str">
        <f>IF('Eval-Avec impact envisagé'!$T$107=0,"",IF('Eval-Avec impact envisagé'!$T$107="","",IF('Eval-Avec impact envisagé'!O774&lt;&gt;"",'Eval-Avec impact envisagé'!O774,"")))</f>
        <v/>
      </c>
      <c r="SE3" s="3" t="str">
        <f>IF('Eval-Avec impact envisagé'!$T$107=0,"",IF('Eval-Avec impact envisagé'!$T$107="","",IF('Eval-Avec impact envisagé'!P774&lt;&gt;"",'Eval-Avec impact envisagé'!P774,"")))</f>
        <v/>
      </c>
      <c r="SF3" s="3" t="str">
        <f>IF('Eval-Avec impact envisagé'!$T$107=0,"",IF('Eval-Avec impact envisagé'!$T$107="","",IF('Eval-Avec impact envisagé'!Q774&lt;&gt;"",'Eval-Avec impact envisagé'!Q774,"")))</f>
        <v/>
      </c>
      <c r="SG3" s="3" t="str">
        <f>IF('Eval-Avec impact envisagé'!$T$107=0,"",IF('Eval-Avec impact envisagé'!$T$107="","",IF('Eval-Avec impact envisagé'!R774&lt;&gt;"",'Eval-Avec impact envisagé'!R774,"")))</f>
        <v/>
      </c>
      <c r="SH3" s="3" t="str">
        <f>IF('Eval-Avec impact envisagé'!$T$107=0,"",IF('Eval-Avec impact envisagé'!$T$107="","",IF('Eval-Avec impact envisagé'!S774&lt;&gt;"",'Eval-Avec impact envisagé'!S774,"")))</f>
        <v/>
      </c>
      <c r="SI3" s="3" t="str">
        <f>IF('Eval-Avec impact envisagé'!$T$107=0,"",IF('Eval-Avec impact envisagé'!$T$107="","",IF('Eval-Avec impact envisagé'!T774&lt;&gt;"",'Eval-Avec impact envisagé'!T774,"")))</f>
        <v/>
      </c>
      <c r="SJ3" s="3" t="str">
        <f>IF('Eval-Avec impact envisagé'!$T$107=0,"",IF('Eval-Avec impact envisagé'!$T$107="","",IF('Eval-Avec impact envisagé'!U774&lt;&gt;"",'Eval-Avec impact envisagé'!U774,"")))</f>
        <v/>
      </c>
      <c r="SK3" s="3" t="str">
        <f>IF('Eval-Avec impact envisagé'!$T$107=0,"",IF('Eval-Avec impact envisagé'!$T$107="","",IF('Eval-Avec impact envisagé'!V774&lt;&gt;"",'Eval-Avec impact envisagé'!V774,"")))</f>
        <v/>
      </c>
      <c r="SL3" s="3" t="str">
        <f>IF('Eval-Avec impact envisagé'!$T$107=0,"",IF('Eval-Avec impact envisagé'!$T$107="","",IF('Eval-Avec impact envisagé'!W774&lt;&gt;"",'Eval-Avec impact envisagé'!W774,"")))</f>
        <v/>
      </c>
      <c r="SM3" s="3" t="str">
        <f>IF('Eval-Avec impact envisagé'!$T$107=0,"",IF('Eval-Avec impact envisagé'!$T$107="","",IF('Eval-Avec impact envisagé'!X774&lt;&gt;"",'Eval-Avec impact envisagé'!X774,"")))</f>
        <v/>
      </c>
      <c r="SN3" s="3" t="str">
        <f>IF('Eval-Avec impact envisagé'!$T$107=0,"",IF('Eval-Avec impact envisagé'!$T$107="","",IF('Eval-Avec impact envisagé'!Y774&lt;&gt;"",'Eval-Avec impact envisagé'!Y774,"")))</f>
        <v/>
      </c>
      <c r="SO3" s="3" t="str">
        <f>IF('Eval-Avec impact envisagé'!$T$107=0,"",IF('Eval-Avec impact envisagé'!$T$107="","",IF('Eval-Avec impact envisagé'!A775&lt;&gt;"",'Eval-Avec impact envisagé'!A775,"")))</f>
        <v/>
      </c>
      <c r="SP3" s="3" t="str">
        <f>IF('Eval-Avec impact envisagé'!$T$107=0,"",IF('Eval-Avec impact envisagé'!$T$107="","",IF('Eval-Avec impact envisagé'!B775&lt;&gt;"",'Eval-Avec impact envisagé'!B775,"")))</f>
        <v/>
      </c>
      <c r="SQ3" s="3" t="str">
        <f>IF('Eval-Avec impact envisagé'!$T$107=0,"",IF('Eval-Avec impact envisagé'!$T$107="","",IF('Eval-Avec impact envisagé'!C775&lt;&gt;"",'Eval-Avec impact envisagé'!C775,"")))</f>
        <v/>
      </c>
      <c r="SR3" s="3" t="str">
        <f>IF('Eval-Avec impact envisagé'!$T$107=0,"",IF('Eval-Avec impact envisagé'!$T$107="","",IF('Eval-Avec impact envisagé'!E775&lt;&gt;"",'Eval-Avec impact envisagé'!E775,"")))</f>
        <v/>
      </c>
      <c r="SS3" s="3" t="str">
        <f>IF('Eval-Avec impact envisagé'!$T$107=0,"",IF('Eval-Avec impact envisagé'!$T$107="","",IF('Eval-Avec impact envisagé'!G775&lt;&gt;"",'Eval-Avec impact envisagé'!G775,"")))</f>
        <v/>
      </c>
      <c r="ST3" s="3" t="str">
        <f>IF('Eval-Avec impact envisagé'!$T$107=0,"",IF('Eval-Avec impact envisagé'!$T$107="","",IF('Eval-Avec impact envisagé'!H775&lt;&gt;"",'Eval-Avec impact envisagé'!H775,"")))</f>
        <v/>
      </c>
      <c r="SU3" s="3" t="str">
        <f>IF('Eval-Avec impact envisagé'!$T$107=0,"",IF('Eval-Avec impact envisagé'!$T$107="","",IF('Eval-Avec impact envisagé'!I775&lt;&gt;"",'Eval-Avec impact envisagé'!I775,"")))</f>
        <v/>
      </c>
      <c r="SV3" s="3" t="str">
        <f>IF('Eval-Avec impact envisagé'!$T$107=0,"",IF('Eval-Avec impact envisagé'!$T$107="","",IF('Eval-Avec impact envisagé'!J775&lt;&gt;"",'Eval-Avec impact envisagé'!J775,"")))</f>
        <v/>
      </c>
      <c r="SW3" s="3" t="str">
        <f>IF('Eval-Avec impact envisagé'!$T$107=0,"",IF('Eval-Avec impact envisagé'!$T$107="","",IF('Eval-Avec impact envisagé'!K775&lt;&gt;"",'Eval-Avec impact envisagé'!K775,"")))</f>
        <v/>
      </c>
      <c r="SX3" s="3" t="str">
        <f>IF('Eval-Avec impact envisagé'!$T$107=0,"",IF('Eval-Avec impact envisagé'!$T$107="","",IF('Eval-Avec impact envisagé'!L775&lt;&gt;"",'Eval-Avec impact envisagé'!L775,"")))</f>
        <v/>
      </c>
      <c r="SY3" s="3" t="str">
        <f>IF('Eval-Avec impact envisagé'!$T$107=0,"",IF('Eval-Avec impact envisagé'!$T$107="","",IF('Eval-Avec impact envisagé'!M775&lt;&gt;"",'Eval-Avec impact envisagé'!M775,"")))</f>
        <v/>
      </c>
      <c r="SZ3" s="3" t="str">
        <f>IF('Eval-Avec impact envisagé'!$T$107=0,"",IF('Eval-Avec impact envisagé'!$T$107="","",IF('Eval-Avec impact envisagé'!N775&lt;&gt;"",'Eval-Avec impact envisagé'!N775,"")))</f>
        <v/>
      </c>
      <c r="TA3" s="3" t="str">
        <f>IF('Eval-Avec impact envisagé'!$T$107=0,"",IF('Eval-Avec impact envisagé'!$T$107="","",IF('Eval-Avec impact envisagé'!O775&lt;&gt;"",'Eval-Avec impact envisagé'!O775,"")))</f>
        <v/>
      </c>
      <c r="TB3" s="3" t="str">
        <f>IF('Eval-Avec impact envisagé'!$T$107=0,"",IF('Eval-Avec impact envisagé'!$T$107="","",IF('Eval-Avec impact envisagé'!P775&lt;&gt;"",'Eval-Avec impact envisagé'!P775,"")))</f>
        <v/>
      </c>
      <c r="TC3" s="3" t="str">
        <f>IF('Eval-Avec impact envisagé'!$T$107=0,"",IF('Eval-Avec impact envisagé'!$T$107="","",IF('Eval-Avec impact envisagé'!Q775&lt;&gt;"",'Eval-Avec impact envisagé'!Q775,"")))</f>
        <v/>
      </c>
      <c r="TD3" s="3" t="str">
        <f>IF('Eval-Avec impact envisagé'!$T$107=0,"",IF('Eval-Avec impact envisagé'!$T$107="","",IF('Eval-Avec impact envisagé'!R775&lt;&gt;"",'Eval-Avec impact envisagé'!R775,"")))</f>
        <v/>
      </c>
      <c r="TE3" s="3" t="str">
        <f>IF('Eval-Avec impact envisagé'!$T$107=0,"",IF('Eval-Avec impact envisagé'!$T$107="","",IF('Eval-Avec impact envisagé'!S775&lt;&gt;"",'Eval-Avec impact envisagé'!S775,"")))</f>
        <v/>
      </c>
      <c r="TF3" s="3" t="str">
        <f>IF('Eval-Avec impact envisagé'!$T$107=0,"",IF('Eval-Avec impact envisagé'!$T$107="","",IF('Eval-Avec impact envisagé'!T775&lt;&gt;"",'Eval-Avec impact envisagé'!T775,"")))</f>
        <v/>
      </c>
      <c r="TG3" s="3" t="str">
        <f>IF('Eval-Avec impact envisagé'!$T$107=0,"",IF('Eval-Avec impact envisagé'!$T$107="","",IF('Eval-Avec impact envisagé'!U775&lt;&gt;"",'Eval-Avec impact envisagé'!U775,"")))</f>
        <v/>
      </c>
      <c r="TH3" s="3" t="str">
        <f>IF('Eval-Avec impact envisagé'!$T$107=0,"",IF('Eval-Avec impact envisagé'!$T$107="","",IF('Eval-Avec impact envisagé'!V775&lt;&gt;"",'Eval-Avec impact envisagé'!V775,"")))</f>
        <v/>
      </c>
      <c r="TI3" s="3" t="str">
        <f>IF('Eval-Avec impact envisagé'!$T$107=0,"",IF('Eval-Avec impact envisagé'!$T$107="","",IF('Eval-Avec impact envisagé'!W775&lt;&gt;"",'Eval-Avec impact envisagé'!W775,"")))</f>
        <v/>
      </c>
      <c r="TJ3" s="3" t="str">
        <f>IF('Eval-Avec impact envisagé'!$T$107=0,"",IF('Eval-Avec impact envisagé'!$T$107="","",IF('Eval-Avec impact envisagé'!X775&lt;&gt;"",'Eval-Avec impact envisagé'!X775,"")))</f>
        <v/>
      </c>
      <c r="TK3" s="3" t="str">
        <f>IF('Eval-Avec impact envisagé'!$T$107=0,"",IF('Eval-Avec impact envisagé'!$T$107="","",IF('Eval-Avec impact envisagé'!Y775&lt;&gt;"",'Eval-Avec impact envisagé'!Y775,"")))</f>
        <v/>
      </c>
      <c r="TL3" s="3" t="str">
        <f>IF('Eval-Avec impact envisagé'!$T$107=0,"",IF('Eval-Avec impact envisagé'!$T$107="","",IF('Eval-Avec impact envisagé'!A776&lt;&gt;"",'Eval-Avec impact envisagé'!A776,"")))</f>
        <v/>
      </c>
      <c r="TM3" s="3" t="str">
        <f>IF('Eval-Avec impact envisagé'!$T$107=0,"",IF('Eval-Avec impact envisagé'!$T$107="","",IF('Eval-Avec impact envisagé'!B776&lt;&gt;"",'Eval-Avec impact envisagé'!B776,"")))</f>
        <v/>
      </c>
      <c r="TN3" s="3" t="str">
        <f>IF('Eval-Avec impact envisagé'!$T$107=0,"",IF('Eval-Avec impact envisagé'!$T$107="","",IF('Eval-Avec impact envisagé'!C776&lt;&gt;"",'Eval-Avec impact envisagé'!C776,"")))</f>
        <v/>
      </c>
      <c r="TO3" s="3" t="str">
        <f>IF('Eval-Avec impact envisagé'!$T$107=0,"",IF('Eval-Avec impact envisagé'!$T$107="","",IF('Eval-Avec impact envisagé'!E776&lt;&gt;"",'Eval-Avec impact envisagé'!E776,"")))</f>
        <v/>
      </c>
      <c r="TP3" s="3" t="str">
        <f>IF('Eval-Avec impact envisagé'!$T$107=0,"",IF('Eval-Avec impact envisagé'!$T$107="","",IF('Eval-Avec impact envisagé'!G776&lt;&gt;"",'Eval-Avec impact envisagé'!G776,"")))</f>
        <v/>
      </c>
      <c r="TQ3" s="3" t="str">
        <f>IF('Eval-Avec impact envisagé'!$T$107=0,"",IF('Eval-Avec impact envisagé'!$T$107="","",IF('Eval-Avec impact envisagé'!H776&lt;&gt;"",'Eval-Avec impact envisagé'!H776,"")))</f>
        <v/>
      </c>
      <c r="TR3" s="3" t="str">
        <f>IF('Eval-Avec impact envisagé'!$T$107=0,"",IF('Eval-Avec impact envisagé'!$T$107="","",IF('Eval-Avec impact envisagé'!I776&lt;&gt;"",'Eval-Avec impact envisagé'!I776,"")))</f>
        <v/>
      </c>
      <c r="TS3" s="3" t="str">
        <f>IF('Eval-Avec impact envisagé'!$T$107=0,"",IF('Eval-Avec impact envisagé'!$T$107="","",IF('Eval-Avec impact envisagé'!J776&lt;&gt;"",'Eval-Avec impact envisagé'!J776,"")))</f>
        <v/>
      </c>
      <c r="TT3" s="3" t="str">
        <f>IF('Eval-Avec impact envisagé'!$T$107=0,"",IF('Eval-Avec impact envisagé'!$T$107="","",IF('Eval-Avec impact envisagé'!K776&lt;&gt;"",'Eval-Avec impact envisagé'!K776,"")))</f>
        <v/>
      </c>
      <c r="TU3" s="3" t="str">
        <f>IF('Eval-Avec impact envisagé'!$T$107=0,"",IF('Eval-Avec impact envisagé'!$T$107="","",IF('Eval-Avec impact envisagé'!L776&lt;&gt;"",'Eval-Avec impact envisagé'!L776,"")))</f>
        <v/>
      </c>
      <c r="TV3" s="3" t="str">
        <f>IF('Eval-Avec impact envisagé'!$T$107=0,"",IF('Eval-Avec impact envisagé'!$T$107="","",IF('Eval-Avec impact envisagé'!M776&lt;&gt;"",'Eval-Avec impact envisagé'!M776,"")))</f>
        <v/>
      </c>
      <c r="TW3" s="3" t="str">
        <f>IF('Eval-Avec impact envisagé'!$T$107=0,"",IF('Eval-Avec impact envisagé'!$T$107="","",IF('Eval-Avec impact envisagé'!N776&lt;&gt;"",'Eval-Avec impact envisagé'!N776,"")))</f>
        <v/>
      </c>
      <c r="TX3" s="3" t="str">
        <f>IF('Eval-Avec impact envisagé'!$T$107=0,"",IF('Eval-Avec impact envisagé'!$T$107="","",IF('Eval-Avec impact envisagé'!O776&lt;&gt;"",'Eval-Avec impact envisagé'!O776,"")))</f>
        <v/>
      </c>
      <c r="TY3" s="3" t="str">
        <f>IF('Eval-Avec impact envisagé'!$T$107=0,"",IF('Eval-Avec impact envisagé'!$T$107="","",IF('Eval-Avec impact envisagé'!P776&lt;&gt;"",'Eval-Avec impact envisagé'!P776,"")))</f>
        <v/>
      </c>
      <c r="TZ3" s="3" t="str">
        <f>IF('Eval-Avec impact envisagé'!$T$107=0,"",IF('Eval-Avec impact envisagé'!$T$107="","",IF('Eval-Avec impact envisagé'!Q776&lt;&gt;"",'Eval-Avec impact envisagé'!Q776,"")))</f>
        <v/>
      </c>
      <c r="UA3" s="3" t="str">
        <f>IF('Eval-Avec impact envisagé'!$T$107=0,"",IF('Eval-Avec impact envisagé'!$T$107="","",IF('Eval-Avec impact envisagé'!R776&lt;&gt;"",'Eval-Avec impact envisagé'!R776,"")))</f>
        <v/>
      </c>
      <c r="UB3" s="3" t="str">
        <f>IF('Eval-Avec impact envisagé'!$T$107=0,"",IF('Eval-Avec impact envisagé'!$T$107="","",IF('Eval-Avec impact envisagé'!S776&lt;&gt;"",'Eval-Avec impact envisagé'!S776,"")))</f>
        <v/>
      </c>
      <c r="UC3" s="3" t="str">
        <f>IF('Eval-Avec impact envisagé'!$T$107=0,"",IF('Eval-Avec impact envisagé'!$T$107="","",IF('Eval-Avec impact envisagé'!T776&lt;&gt;"",'Eval-Avec impact envisagé'!T776,"")))</f>
        <v/>
      </c>
      <c r="UD3" s="3" t="str">
        <f>IF('Eval-Avec impact envisagé'!$T$107=0,"",IF('Eval-Avec impact envisagé'!$T$107="","",IF('Eval-Avec impact envisagé'!U776&lt;&gt;"",'Eval-Avec impact envisagé'!U776,"")))</f>
        <v/>
      </c>
      <c r="UE3" s="3" t="str">
        <f>IF('Eval-Avec impact envisagé'!$T$107=0,"",IF('Eval-Avec impact envisagé'!$T$107="","",IF('Eval-Avec impact envisagé'!V776&lt;&gt;"",'Eval-Avec impact envisagé'!V776,"")))</f>
        <v/>
      </c>
      <c r="UF3" s="3" t="str">
        <f>IF('Eval-Avec impact envisagé'!$T$107=0,"",IF('Eval-Avec impact envisagé'!$T$107="","",IF('Eval-Avec impact envisagé'!W776&lt;&gt;"",'Eval-Avec impact envisagé'!W776,"")))</f>
        <v/>
      </c>
      <c r="UG3" s="3" t="str">
        <f>IF('Eval-Avec impact envisagé'!$T$107=0,"",IF('Eval-Avec impact envisagé'!$T$107="","",IF('Eval-Avec impact envisagé'!X776&lt;&gt;"",'Eval-Avec impact envisagé'!X776,"")))</f>
        <v/>
      </c>
      <c r="UH3" s="3" t="str">
        <f>IF('Eval-Avec impact envisagé'!$T$107=0,"",IF('Eval-Avec impact envisagé'!$T$107="","",IF('Eval-Avec impact envisagé'!Y776&lt;&gt;"",'Eval-Avec impact envisagé'!Y776,"")))</f>
        <v/>
      </c>
      <c r="UI3" s="3" t="str">
        <f>IF('Eval-Avec impact envisagé'!$T$107=0,"",IF('Eval-Avec impact envisagé'!$T$107="","",IF('Eval-Avec impact envisagé'!A777&lt;&gt;"",'Eval-Avec impact envisagé'!A777,"")))</f>
        <v/>
      </c>
      <c r="UJ3" s="3" t="str">
        <f>IF('Eval-Avec impact envisagé'!$T$107=0,"",IF('Eval-Avec impact envisagé'!$T$107="","",IF('Eval-Avec impact envisagé'!B777&lt;&gt;"",'Eval-Avec impact envisagé'!B777,"")))</f>
        <v/>
      </c>
      <c r="UK3" s="3" t="str">
        <f>IF('Eval-Avec impact envisagé'!$T$107=0,"",IF('Eval-Avec impact envisagé'!$T$107="","",IF('Eval-Avec impact envisagé'!C777&lt;&gt;"",'Eval-Avec impact envisagé'!C777,"")))</f>
        <v/>
      </c>
      <c r="UL3" s="3" t="str">
        <f>IF('Eval-Avec impact envisagé'!$T$107=0,"",IF('Eval-Avec impact envisagé'!$T$107="","",IF('Eval-Avec impact envisagé'!E777&lt;&gt;"",'Eval-Avec impact envisagé'!E777,"")))</f>
        <v/>
      </c>
      <c r="UM3" s="3" t="str">
        <f>IF('Eval-Avec impact envisagé'!$T$107=0,"",IF('Eval-Avec impact envisagé'!$T$107="","",IF('Eval-Avec impact envisagé'!G777&lt;&gt;"",'Eval-Avec impact envisagé'!G777,"")))</f>
        <v/>
      </c>
      <c r="UN3" s="3" t="str">
        <f>IF('Eval-Avec impact envisagé'!$T$107=0,"",IF('Eval-Avec impact envisagé'!$T$107="","",IF('Eval-Avec impact envisagé'!H777&lt;&gt;"",'Eval-Avec impact envisagé'!H777,"")))</f>
        <v/>
      </c>
      <c r="UO3" s="3" t="str">
        <f>IF('Eval-Avec impact envisagé'!$T$107=0,"",IF('Eval-Avec impact envisagé'!$T$107="","",IF('Eval-Avec impact envisagé'!I777&lt;&gt;"",'Eval-Avec impact envisagé'!I777,"")))</f>
        <v/>
      </c>
      <c r="UP3" s="3" t="str">
        <f>IF('Eval-Avec impact envisagé'!$T$107=0,"",IF('Eval-Avec impact envisagé'!$T$107="","",IF('Eval-Avec impact envisagé'!J777&lt;&gt;"",'Eval-Avec impact envisagé'!J777,"")))</f>
        <v/>
      </c>
      <c r="UQ3" s="3" t="str">
        <f>IF('Eval-Avec impact envisagé'!$T$107=0,"",IF('Eval-Avec impact envisagé'!$T$107="","",IF('Eval-Avec impact envisagé'!K777&lt;&gt;"",'Eval-Avec impact envisagé'!K777,"")))</f>
        <v/>
      </c>
      <c r="UR3" s="3" t="str">
        <f>IF('Eval-Avec impact envisagé'!$T$107=0,"",IF('Eval-Avec impact envisagé'!$T$107="","",IF('Eval-Avec impact envisagé'!L777&lt;&gt;"",'Eval-Avec impact envisagé'!L777,"")))</f>
        <v/>
      </c>
      <c r="US3" s="3" t="str">
        <f>IF('Eval-Avec impact envisagé'!$T$107=0,"",IF('Eval-Avec impact envisagé'!$T$107="","",IF('Eval-Avec impact envisagé'!M777&lt;&gt;"",'Eval-Avec impact envisagé'!M777,"")))</f>
        <v/>
      </c>
      <c r="UT3" s="3" t="str">
        <f>IF('Eval-Avec impact envisagé'!$T$107=0,"",IF('Eval-Avec impact envisagé'!$T$107="","",IF('Eval-Avec impact envisagé'!N777&lt;&gt;"",'Eval-Avec impact envisagé'!N777,"")))</f>
        <v/>
      </c>
      <c r="UU3" s="3" t="str">
        <f>IF('Eval-Avec impact envisagé'!$T$107=0,"",IF('Eval-Avec impact envisagé'!$T$107="","",IF('Eval-Avec impact envisagé'!O777&lt;&gt;"",'Eval-Avec impact envisagé'!O777,"")))</f>
        <v/>
      </c>
      <c r="UV3" s="3" t="str">
        <f>IF('Eval-Avec impact envisagé'!$T$107=0,"",IF('Eval-Avec impact envisagé'!$T$107="","",IF('Eval-Avec impact envisagé'!P777&lt;&gt;"",'Eval-Avec impact envisagé'!P777,"")))</f>
        <v/>
      </c>
      <c r="UW3" s="3" t="str">
        <f>IF('Eval-Avec impact envisagé'!$T$107=0,"",IF('Eval-Avec impact envisagé'!$T$107="","",IF('Eval-Avec impact envisagé'!Q777&lt;&gt;"",'Eval-Avec impact envisagé'!Q777,"")))</f>
        <v/>
      </c>
      <c r="UX3" s="3" t="str">
        <f>IF('Eval-Avec impact envisagé'!$T$107=0,"",IF('Eval-Avec impact envisagé'!$T$107="","",IF('Eval-Avec impact envisagé'!R777&lt;&gt;"",'Eval-Avec impact envisagé'!R777,"")))</f>
        <v/>
      </c>
      <c r="UY3" s="3" t="str">
        <f>IF('Eval-Avec impact envisagé'!$T$107=0,"",IF('Eval-Avec impact envisagé'!$T$107="","",IF('Eval-Avec impact envisagé'!S777&lt;&gt;"",'Eval-Avec impact envisagé'!S777,"")))</f>
        <v/>
      </c>
      <c r="UZ3" s="3" t="str">
        <f>IF('Eval-Avec impact envisagé'!$T$107=0,"",IF('Eval-Avec impact envisagé'!$T$107="","",IF('Eval-Avec impact envisagé'!T777&lt;&gt;"",'Eval-Avec impact envisagé'!T777,"")))</f>
        <v/>
      </c>
      <c r="VA3" s="3" t="str">
        <f>IF('Eval-Avec impact envisagé'!$T$107=0,"",IF('Eval-Avec impact envisagé'!$T$107="","",IF('Eval-Avec impact envisagé'!U777&lt;&gt;"",'Eval-Avec impact envisagé'!U777,"")))</f>
        <v/>
      </c>
      <c r="VB3" s="3" t="str">
        <f>IF('Eval-Avec impact envisagé'!$T$107=0,"",IF('Eval-Avec impact envisagé'!$T$107="","",IF('Eval-Avec impact envisagé'!V777&lt;&gt;"",'Eval-Avec impact envisagé'!V777,"")))</f>
        <v/>
      </c>
      <c r="VC3" s="3" t="str">
        <f>IF('Eval-Avec impact envisagé'!$T$107=0,"",IF('Eval-Avec impact envisagé'!$T$107="","",IF('Eval-Avec impact envisagé'!W777&lt;&gt;"",'Eval-Avec impact envisagé'!W777,"")))</f>
        <v/>
      </c>
      <c r="VD3" s="3" t="str">
        <f>IF('Eval-Avec impact envisagé'!$T$107=0,"",IF('Eval-Avec impact envisagé'!$T$107="","",IF('Eval-Avec impact envisagé'!X777&lt;&gt;"",'Eval-Avec impact envisagé'!X777,"")))</f>
        <v/>
      </c>
      <c r="VE3" s="3" t="str">
        <f>IF('Eval-Avec impact envisagé'!$T$107=0,"",IF('Eval-Avec impact envisagé'!$T$107="","",IF('Eval-Avec impact envisagé'!Y777&lt;&gt;"",'Eval-Avec impact envisagé'!Y777,"")))</f>
        <v/>
      </c>
      <c r="VF3" s="3" t="str">
        <f>IF('Eval-Avec impact envisagé'!$T$107=0,"",IF('Eval-Avec impact envisagé'!$T$107="","",IF('Eval-Avec impact envisagé'!A778&lt;&gt;"",'Eval-Avec impact envisagé'!A778,"")))</f>
        <v/>
      </c>
      <c r="VG3" s="3" t="str">
        <f>IF('Eval-Avec impact envisagé'!$T$107=0,"",IF('Eval-Avec impact envisagé'!$T$107="","",IF('Eval-Avec impact envisagé'!B778&lt;&gt;"",'Eval-Avec impact envisagé'!B778,"")))</f>
        <v/>
      </c>
      <c r="VH3" s="3" t="str">
        <f>IF('Eval-Avec impact envisagé'!$T$107=0,"",IF('Eval-Avec impact envisagé'!$T$107="","",IF('Eval-Avec impact envisagé'!C778&lt;&gt;"",'Eval-Avec impact envisagé'!C778,"")))</f>
        <v/>
      </c>
      <c r="VI3" s="3" t="str">
        <f>IF('Eval-Avec impact envisagé'!$T$107=0,"",IF('Eval-Avec impact envisagé'!$T$107="","",IF('Eval-Avec impact envisagé'!E778&lt;&gt;"",'Eval-Avec impact envisagé'!E778,"")))</f>
        <v/>
      </c>
      <c r="VJ3" s="3" t="str">
        <f>IF('Eval-Avec impact envisagé'!$T$107=0,"",IF('Eval-Avec impact envisagé'!$T$107="","",IF('Eval-Avec impact envisagé'!G778&lt;&gt;"",'Eval-Avec impact envisagé'!G778,"")))</f>
        <v/>
      </c>
      <c r="VK3" s="3" t="str">
        <f>IF('Eval-Avec impact envisagé'!$T$107=0,"",IF('Eval-Avec impact envisagé'!$T$107="","",IF('Eval-Avec impact envisagé'!H778&lt;&gt;"",'Eval-Avec impact envisagé'!H778,"")))</f>
        <v/>
      </c>
      <c r="VL3" s="3" t="str">
        <f>IF('Eval-Avec impact envisagé'!$T$107=0,"",IF('Eval-Avec impact envisagé'!$T$107="","",IF('Eval-Avec impact envisagé'!I778&lt;&gt;"",'Eval-Avec impact envisagé'!I778,"")))</f>
        <v/>
      </c>
      <c r="VM3" s="3" t="str">
        <f>IF('Eval-Avec impact envisagé'!$T$107=0,"",IF('Eval-Avec impact envisagé'!$T$107="","",IF('Eval-Avec impact envisagé'!J778&lt;&gt;"",'Eval-Avec impact envisagé'!J778,"")))</f>
        <v/>
      </c>
      <c r="VN3" s="3" t="str">
        <f>IF('Eval-Avec impact envisagé'!$T$107=0,"",IF('Eval-Avec impact envisagé'!$T$107="","",IF('Eval-Avec impact envisagé'!K778&lt;&gt;"",'Eval-Avec impact envisagé'!K778,"")))</f>
        <v/>
      </c>
      <c r="VO3" s="3" t="str">
        <f>IF('Eval-Avec impact envisagé'!$T$107=0,"",IF('Eval-Avec impact envisagé'!$T$107="","",IF('Eval-Avec impact envisagé'!L778&lt;&gt;"",'Eval-Avec impact envisagé'!L778,"")))</f>
        <v/>
      </c>
      <c r="VP3" s="3" t="str">
        <f>IF('Eval-Avec impact envisagé'!$T$107=0,"",IF('Eval-Avec impact envisagé'!$T$107="","",IF('Eval-Avec impact envisagé'!M778&lt;&gt;"",'Eval-Avec impact envisagé'!M778,"")))</f>
        <v/>
      </c>
      <c r="VQ3" s="3" t="str">
        <f>IF('Eval-Avec impact envisagé'!$T$107=0,"",IF('Eval-Avec impact envisagé'!$T$107="","",IF('Eval-Avec impact envisagé'!N778&lt;&gt;"",'Eval-Avec impact envisagé'!N778,"")))</f>
        <v/>
      </c>
      <c r="VR3" s="3" t="str">
        <f>IF('Eval-Avec impact envisagé'!$T$107=0,"",IF('Eval-Avec impact envisagé'!$T$107="","",IF('Eval-Avec impact envisagé'!O778&lt;&gt;"",'Eval-Avec impact envisagé'!O778,"")))</f>
        <v/>
      </c>
      <c r="VS3" s="3" t="str">
        <f>IF('Eval-Avec impact envisagé'!$T$107=0,"",IF('Eval-Avec impact envisagé'!$T$107="","",IF('Eval-Avec impact envisagé'!P778&lt;&gt;"",'Eval-Avec impact envisagé'!P778,"")))</f>
        <v/>
      </c>
      <c r="VT3" s="3" t="str">
        <f>IF('Eval-Avec impact envisagé'!$T$107=0,"",IF('Eval-Avec impact envisagé'!$T$107="","",IF('Eval-Avec impact envisagé'!Q778&lt;&gt;"",'Eval-Avec impact envisagé'!Q778,"")))</f>
        <v/>
      </c>
      <c r="VU3" s="3" t="str">
        <f>IF('Eval-Avec impact envisagé'!$T$107=0,"",IF('Eval-Avec impact envisagé'!$T$107="","",IF('Eval-Avec impact envisagé'!R778&lt;&gt;"",'Eval-Avec impact envisagé'!R778,"")))</f>
        <v/>
      </c>
      <c r="VV3" s="3" t="str">
        <f>IF('Eval-Avec impact envisagé'!$T$107=0,"",IF('Eval-Avec impact envisagé'!$T$107="","",IF('Eval-Avec impact envisagé'!S778&lt;&gt;"",'Eval-Avec impact envisagé'!S778,"")))</f>
        <v/>
      </c>
      <c r="VW3" s="3" t="str">
        <f>IF('Eval-Avec impact envisagé'!$T$107=0,"",IF('Eval-Avec impact envisagé'!$T$107="","",IF('Eval-Avec impact envisagé'!T778&lt;&gt;"",'Eval-Avec impact envisagé'!T778,"")))</f>
        <v/>
      </c>
      <c r="VX3" s="3" t="str">
        <f>IF('Eval-Avec impact envisagé'!$T$107=0,"",IF('Eval-Avec impact envisagé'!$T$107="","",IF('Eval-Avec impact envisagé'!U778&lt;&gt;"",'Eval-Avec impact envisagé'!U778,"")))</f>
        <v/>
      </c>
      <c r="VY3" s="3" t="str">
        <f>IF('Eval-Avec impact envisagé'!$T$107=0,"",IF('Eval-Avec impact envisagé'!$T$107="","",IF('Eval-Avec impact envisagé'!V778&lt;&gt;"",'Eval-Avec impact envisagé'!V778,"")))</f>
        <v/>
      </c>
      <c r="VZ3" s="3" t="str">
        <f>IF('Eval-Avec impact envisagé'!$T$107=0,"",IF('Eval-Avec impact envisagé'!$T$107="","",IF('Eval-Avec impact envisagé'!W778&lt;&gt;"",'Eval-Avec impact envisagé'!W778,"")))</f>
        <v/>
      </c>
      <c r="WA3" s="3" t="str">
        <f>IF('Eval-Avec impact envisagé'!$T$107=0,"",IF('Eval-Avec impact envisagé'!$T$107="","",IF('Eval-Avec impact envisagé'!X778&lt;&gt;"",'Eval-Avec impact envisagé'!X778,"")))</f>
        <v/>
      </c>
      <c r="WB3" s="3" t="str">
        <f>IF('Eval-Avec impact envisagé'!$T$107=0,"",IF('Eval-Avec impact envisagé'!$T$107="","",IF('Eval-Avec impact envisagé'!Y778&lt;&gt;"",'Eval-Avec impact envisagé'!Y778,"")))</f>
        <v/>
      </c>
      <c r="WC3" s="3" t="str">
        <f>IF('Eval-Avec impact envisagé'!$T$107=0,"",IF('Eval-Avec impact envisagé'!$T$107="","",IF('Eval-Avec impact envisagé'!A779&lt;&gt;"",'Eval-Avec impact envisagé'!A779,"")))</f>
        <v/>
      </c>
      <c r="WD3" s="3" t="str">
        <f>IF('Eval-Avec impact envisagé'!$T$107=0,"",IF('Eval-Avec impact envisagé'!$T$107="","",IF('Eval-Avec impact envisagé'!B779&lt;&gt;"",'Eval-Avec impact envisagé'!B779,"")))</f>
        <v/>
      </c>
      <c r="WE3" s="3" t="str">
        <f>IF('Eval-Avec impact envisagé'!$T$107=0,"",IF('Eval-Avec impact envisagé'!$T$107="","",IF('Eval-Avec impact envisagé'!C779&lt;&gt;"",'Eval-Avec impact envisagé'!C779,"")))</f>
        <v/>
      </c>
      <c r="WF3" s="3" t="str">
        <f>IF('Eval-Avec impact envisagé'!$T$107=0,"",IF('Eval-Avec impact envisagé'!$T$107="","",IF('Eval-Avec impact envisagé'!E779&lt;&gt;"",'Eval-Avec impact envisagé'!E779,"")))</f>
        <v/>
      </c>
      <c r="WG3" s="3" t="str">
        <f>IF('Eval-Avec impact envisagé'!$T$107=0,"",IF('Eval-Avec impact envisagé'!$T$107="","",IF('Eval-Avec impact envisagé'!G779&lt;&gt;"",'Eval-Avec impact envisagé'!G779,"")))</f>
        <v/>
      </c>
      <c r="WH3" s="3" t="str">
        <f>IF('Eval-Avec impact envisagé'!$T$107=0,"",IF('Eval-Avec impact envisagé'!$T$107="","",IF('Eval-Avec impact envisagé'!H779&lt;&gt;"",'Eval-Avec impact envisagé'!H779,"")))</f>
        <v/>
      </c>
      <c r="WI3" s="3" t="str">
        <f>IF('Eval-Avec impact envisagé'!$T$107=0,"",IF('Eval-Avec impact envisagé'!$T$107="","",IF('Eval-Avec impact envisagé'!I779&lt;&gt;"",'Eval-Avec impact envisagé'!I779,"")))</f>
        <v/>
      </c>
      <c r="WJ3" s="3" t="str">
        <f>IF('Eval-Avec impact envisagé'!$T$107=0,"",IF('Eval-Avec impact envisagé'!$T$107="","",IF('Eval-Avec impact envisagé'!J779&lt;&gt;"",'Eval-Avec impact envisagé'!J779,"")))</f>
        <v/>
      </c>
      <c r="WK3" s="3" t="str">
        <f>IF('Eval-Avec impact envisagé'!$T$107=0,"",IF('Eval-Avec impact envisagé'!$T$107="","",IF('Eval-Avec impact envisagé'!K779&lt;&gt;"",'Eval-Avec impact envisagé'!K779,"")))</f>
        <v/>
      </c>
      <c r="WL3" s="3" t="str">
        <f>IF('Eval-Avec impact envisagé'!$T$107=0,"",IF('Eval-Avec impact envisagé'!$T$107="","",IF('Eval-Avec impact envisagé'!L779&lt;&gt;"",'Eval-Avec impact envisagé'!L779,"")))</f>
        <v/>
      </c>
      <c r="WM3" s="3" t="str">
        <f>IF('Eval-Avec impact envisagé'!$T$107=0,"",IF('Eval-Avec impact envisagé'!$T$107="","",IF('Eval-Avec impact envisagé'!M779&lt;&gt;"",'Eval-Avec impact envisagé'!M779,"")))</f>
        <v/>
      </c>
      <c r="WN3" s="3" t="str">
        <f>IF('Eval-Avec impact envisagé'!$T$107=0,"",IF('Eval-Avec impact envisagé'!$T$107="","",IF('Eval-Avec impact envisagé'!N779&lt;&gt;"",'Eval-Avec impact envisagé'!N779,"")))</f>
        <v/>
      </c>
      <c r="WO3" s="3" t="str">
        <f>IF('Eval-Avec impact envisagé'!$T$107=0,"",IF('Eval-Avec impact envisagé'!$T$107="","",IF('Eval-Avec impact envisagé'!O779&lt;&gt;"",'Eval-Avec impact envisagé'!O779,"")))</f>
        <v/>
      </c>
      <c r="WP3" s="3" t="str">
        <f>IF('Eval-Avec impact envisagé'!$T$107=0,"",IF('Eval-Avec impact envisagé'!$T$107="","",IF('Eval-Avec impact envisagé'!P779&lt;&gt;"",'Eval-Avec impact envisagé'!P779,"")))</f>
        <v/>
      </c>
      <c r="WQ3" s="3" t="str">
        <f>IF('Eval-Avec impact envisagé'!$T$107=0,"",IF('Eval-Avec impact envisagé'!$T$107="","",IF('Eval-Avec impact envisagé'!Q779&lt;&gt;"",'Eval-Avec impact envisagé'!Q779,"")))</f>
        <v/>
      </c>
      <c r="WR3" s="3" t="str">
        <f>IF('Eval-Avec impact envisagé'!$T$107=0,"",IF('Eval-Avec impact envisagé'!$T$107="","",IF('Eval-Avec impact envisagé'!R779&lt;&gt;"",'Eval-Avec impact envisagé'!R779,"")))</f>
        <v/>
      </c>
      <c r="WS3" s="3" t="str">
        <f>IF('Eval-Avec impact envisagé'!$T$107=0,"",IF('Eval-Avec impact envisagé'!$T$107="","",IF('Eval-Avec impact envisagé'!S779&lt;&gt;"",'Eval-Avec impact envisagé'!S779,"")))</f>
        <v/>
      </c>
      <c r="WT3" s="3" t="str">
        <f>IF('Eval-Avec impact envisagé'!$T$107=0,"",IF('Eval-Avec impact envisagé'!$T$107="","",IF('Eval-Avec impact envisagé'!T779&lt;&gt;"",'Eval-Avec impact envisagé'!T779,"")))</f>
        <v/>
      </c>
      <c r="WU3" s="3" t="str">
        <f>IF('Eval-Avec impact envisagé'!$T$107=0,"",IF('Eval-Avec impact envisagé'!$T$107="","",IF('Eval-Avec impact envisagé'!U779&lt;&gt;"",'Eval-Avec impact envisagé'!U779,"")))</f>
        <v/>
      </c>
      <c r="WV3" s="3" t="str">
        <f>IF('Eval-Avec impact envisagé'!$T$107=0,"",IF('Eval-Avec impact envisagé'!$T$107="","",IF('Eval-Avec impact envisagé'!V779&lt;&gt;"",'Eval-Avec impact envisagé'!V779,"")))</f>
        <v/>
      </c>
      <c r="WW3" s="3" t="str">
        <f>IF('Eval-Avec impact envisagé'!$T$107=0,"",IF('Eval-Avec impact envisagé'!$T$107="","",IF('Eval-Avec impact envisagé'!W779&lt;&gt;"",'Eval-Avec impact envisagé'!W779,"")))</f>
        <v/>
      </c>
      <c r="WX3" s="3" t="str">
        <f>IF('Eval-Avec impact envisagé'!$T$107=0,"",IF('Eval-Avec impact envisagé'!$T$107="","",IF('Eval-Avec impact envisagé'!X779&lt;&gt;"",'Eval-Avec impact envisagé'!X779,"")))</f>
        <v/>
      </c>
      <c r="WY3" s="3" t="str">
        <f>IF('Eval-Avec impact envisagé'!$T$107=0,"",IF('Eval-Avec impact envisagé'!$T$107="","",IF('Eval-Avec impact envisagé'!Y779&lt;&gt;"",'Eval-Avec impact envisagé'!Y779,"")))</f>
        <v/>
      </c>
      <c r="WZ3" s="3" t="str">
        <f>IF('Eval-Avec impact envisagé'!$T$107=0,"",IF('Eval-Avec impact envisagé'!$T$107="","",IF('Eval-Avec impact envisagé'!A780&lt;&gt;"",'Eval-Avec impact envisagé'!A780,"")))</f>
        <v/>
      </c>
      <c r="XA3" s="3" t="str">
        <f>IF('Eval-Avec impact envisagé'!$T$107=0,"",IF('Eval-Avec impact envisagé'!$T$107="","",IF('Eval-Avec impact envisagé'!B780&lt;&gt;"",'Eval-Avec impact envisagé'!B780,"")))</f>
        <v/>
      </c>
      <c r="XB3" s="3" t="str">
        <f>IF('Eval-Avec impact envisagé'!$T$107=0,"",IF('Eval-Avec impact envisagé'!$T$107="","",IF('Eval-Avec impact envisagé'!C780&lt;&gt;"",'Eval-Avec impact envisagé'!C780,"")))</f>
        <v/>
      </c>
      <c r="XC3" s="3" t="str">
        <f>IF('Eval-Avec impact envisagé'!$T$107=0,"",IF('Eval-Avec impact envisagé'!$T$107="","",IF('Eval-Avec impact envisagé'!E780&lt;&gt;"",'Eval-Avec impact envisagé'!E780,"")))</f>
        <v/>
      </c>
      <c r="XD3" s="3" t="str">
        <f>IF('Eval-Avec impact envisagé'!$T$107=0,"",IF('Eval-Avec impact envisagé'!$T$107="","",IF('Eval-Avec impact envisagé'!G780&lt;&gt;"",'Eval-Avec impact envisagé'!G780,"")))</f>
        <v/>
      </c>
      <c r="XE3" s="3" t="str">
        <f>IF('Eval-Avec impact envisagé'!$T$107=0,"",IF('Eval-Avec impact envisagé'!$T$107="","",IF('Eval-Avec impact envisagé'!H780&lt;&gt;"",'Eval-Avec impact envisagé'!H780,"")))</f>
        <v/>
      </c>
      <c r="XF3" s="3" t="str">
        <f>IF('Eval-Avec impact envisagé'!$T$107=0,"",IF('Eval-Avec impact envisagé'!$T$107="","",IF('Eval-Avec impact envisagé'!I780&lt;&gt;"",'Eval-Avec impact envisagé'!I780,"")))</f>
        <v/>
      </c>
      <c r="XG3" s="3" t="str">
        <f>IF('Eval-Avec impact envisagé'!$T$107=0,"",IF('Eval-Avec impact envisagé'!$T$107="","",IF('Eval-Avec impact envisagé'!J780&lt;&gt;"",'Eval-Avec impact envisagé'!J780,"")))</f>
        <v/>
      </c>
      <c r="XH3" s="3" t="str">
        <f>IF('Eval-Avec impact envisagé'!$T$107=0,"",IF('Eval-Avec impact envisagé'!$T$107="","",IF('Eval-Avec impact envisagé'!K780&lt;&gt;"",'Eval-Avec impact envisagé'!K780,"")))</f>
        <v/>
      </c>
      <c r="XI3" s="3" t="str">
        <f>IF('Eval-Avec impact envisagé'!$T$107=0,"",IF('Eval-Avec impact envisagé'!$T$107="","",IF('Eval-Avec impact envisagé'!L780&lt;&gt;"",'Eval-Avec impact envisagé'!L780,"")))</f>
        <v/>
      </c>
      <c r="XJ3" s="3" t="str">
        <f>IF('Eval-Avec impact envisagé'!$T$107=0,"",IF('Eval-Avec impact envisagé'!$T$107="","",IF('Eval-Avec impact envisagé'!M780&lt;&gt;"",'Eval-Avec impact envisagé'!M780,"")))</f>
        <v/>
      </c>
      <c r="XK3" s="3" t="str">
        <f>IF('Eval-Avec impact envisagé'!$T$107=0,"",IF('Eval-Avec impact envisagé'!$T$107="","",IF('Eval-Avec impact envisagé'!N780&lt;&gt;"",'Eval-Avec impact envisagé'!N780,"")))</f>
        <v/>
      </c>
      <c r="XL3" s="3" t="str">
        <f>IF('Eval-Avec impact envisagé'!$T$107=0,"",IF('Eval-Avec impact envisagé'!$T$107="","",IF('Eval-Avec impact envisagé'!O780&lt;&gt;"",'Eval-Avec impact envisagé'!O780,"")))</f>
        <v/>
      </c>
      <c r="XM3" s="3" t="str">
        <f>IF('Eval-Avec impact envisagé'!$T$107=0,"",IF('Eval-Avec impact envisagé'!$T$107="","",IF('Eval-Avec impact envisagé'!P780&lt;&gt;"",'Eval-Avec impact envisagé'!P780,"")))</f>
        <v/>
      </c>
      <c r="XN3" s="3" t="str">
        <f>IF('Eval-Avec impact envisagé'!$T$107=0,"",IF('Eval-Avec impact envisagé'!$T$107="","",IF('Eval-Avec impact envisagé'!Q780&lt;&gt;"",'Eval-Avec impact envisagé'!Q780,"")))</f>
        <v/>
      </c>
      <c r="XO3" s="3" t="str">
        <f>IF('Eval-Avec impact envisagé'!$T$107=0,"",IF('Eval-Avec impact envisagé'!$T$107="","",IF('Eval-Avec impact envisagé'!R780&lt;&gt;"",'Eval-Avec impact envisagé'!R780,"")))</f>
        <v/>
      </c>
      <c r="XP3" s="3" t="str">
        <f>IF('Eval-Avec impact envisagé'!$T$107=0,"",IF('Eval-Avec impact envisagé'!$T$107="","",IF('Eval-Avec impact envisagé'!S780&lt;&gt;"",'Eval-Avec impact envisagé'!S780,"")))</f>
        <v/>
      </c>
      <c r="XQ3" s="3" t="str">
        <f>IF('Eval-Avec impact envisagé'!$T$107=0,"",IF('Eval-Avec impact envisagé'!$T$107="","",IF('Eval-Avec impact envisagé'!T780&lt;&gt;"",'Eval-Avec impact envisagé'!T780,"")))</f>
        <v/>
      </c>
      <c r="XR3" s="3" t="str">
        <f>IF('Eval-Avec impact envisagé'!$T$107=0,"",IF('Eval-Avec impact envisagé'!$T$107="","",IF('Eval-Avec impact envisagé'!U780&lt;&gt;"",'Eval-Avec impact envisagé'!U780,"")))</f>
        <v/>
      </c>
      <c r="XS3" s="3" t="str">
        <f>IF('Eval-Avec impact envisagé'!$T$107=0,"",IF('Eval-Avec impact envisagé'!$T$107="","",IF('Eval-Avec impact envisagé'!V780&lt;&gt;"",'Eval-Avec impact envisagé'!V780,"")))</f>
        <v/>
      </c>
      <c r="XT3" s="3" t="str">
        <f>IF('Eval-Avec impact envisagé'!$T$107=0,"",IF('Eval-Avec impact envisagé'!$T$107="","",IF('Eval-Avec impact envisagé'!W780&lt;&gt;"",'Eval-Avec impact envisagé'!W780,"")))</f>
        <v/>
      </c>
      <c r="XU3" s="3" t="str">
        <f>IF('Eval-Avec impact envisagé'!$T$107=0,"",IF('Eval-Avec impact envisagé'!$T$107="","",IF('Eval-Avec impact envisagé'!X780&lt;&gt;"",'Eval-Avec impact envisagé'!X780,"")))</f>
        <v/>
      </c>
      <c r="XV3" s="3" t="str">
        <f>IF('Eval-Avec impact envisagé'!$T$107=0,"",IF('Eval-Avec impact envisagé'!$T$107="","",IF('Eval-Avec impact envisagé'!Y780&lt;&gt;"",'Eval-Avec impact envisagé'!Y780,"")))</f>
        <v/>
      </c>
      <c r="XW3" s="3" t="str">
        <f>IF('Eval-Avec impact envisagé'!$T$107=0,"",IF('Eval-Avec impact envisagé'!$T$107="","",IF('Eval-Avec impact envisagé'!J797="X","oui",IF('Eval-Avec impact envisagé'!T797="X","non",""))))</f>
        <v/>
      </c>
      <c r="XX3" s="3" t="str">
        <f>IF('Eval-Avec impact envisagé'!$T$107=0,"",IF('Eval-Avec impact envisagé'!$T$107="","",IF('Eval-Avec impact envisagé'!T806&lt;&gt;"",'Eval-Avec impact envisagé'!T806,"")))</f>
        <v/>
      </c>
      <c r="XY3" s="3" t="str">
        <f>IF('Eval-Avec impact envisagé'!$T$107=0,"",IF('Eval-Avec impact envisagé'!$T$107="","",IF('Eval-Avec impact envisagé'!T812&lt;&gt;"",'Eval-Avec impact envisagé'!T812,"")))</f>
        <v/>
      </c>
      <c r="XZ3" s="3" t="str">
        <f>IF('Eval-Avec impact envisagé'!$T$107=0,"",IF('Eval-Avec impact envisagé'!$T$107="","",IF('Eval-Avec impact envisagé'!T816&lt;&gt;"",'Eval-Avec impact envisagé'!T816,"")))</f>
        <v/>
      </c>
      <c r="YA3" s="3" t="str">
        <f>IF('Eval-Avec impact envisagé'!$T$107=0,"",IF('Eval-Avec impact envisagé'!$T$107="","",IF('Eval-Avec impact envisagé'!T822&lt;&gt;"",'Eval-Avec impact envisagé'!T822,"")))</f>
        <v/>
      </c>
      <c r="YB3" s="3" t="str">
        <f>IF('Eval-Avec impact envisagé'!$T$107=0,"",IF('Eval-Avec impact envisagé'!$T$107="","",'Eval-Avec impact envisagé'!C829))</f>
        <v/>
      </c>
      <c r="YC3" s="20" t="str">
        <f>'Calcul auto.'!AL41</f>
        <v/>
      </c>
      <c r="YD3" s="20" t="str">
        <f>'Calcul auto.'!AM42</f>
        <v/>
      </c>
      <c r="YE3" s="20" t="str">
        <f>'Calcul auto.'!AL43</f>
        <v/>
      </c>
      <c r="YF3" s="20" t="str">
        <f>'Calcul auto.'!AL44</f>
        <v/>
      </c>
      <c r="YG3" s="20" t="str">
        <f>'Calcul auto.'!AL45</f>
        <v/>
      </c>
      <c r="YH3" s="20" t="str">
        <f>'Calcul auto.'!AL46</f>
        <v/>
      </c>
      <c r="YI3" s="20" t="str">
        <f>'Calcul auto.'!AL47</f>
        <v/>
      </c>
      <c r="YJ3" s="20" t="str">
        <f>'Calcul auto.'!AL48</f>
        <v/>
      </c>
      <c r="YK3" s="20" t="str">
        <f>'Calcul auto.'!AR49</f>
        <v/>
      </c>
      <c r="YL3" s="20" t="str">
        <f>'Calcul auto.'!AR50</f>
        <v/>
      </c>
      <c r="YM3" s="20" t="str">
        <f>'Calcul auto.'!AS51</f>
        <v/>
      </c>
      <c r="YN3" s="20" t="str">
        <f>'Calcul auto.'!AS52</f>
        <v/>
      </c>
      <c r="YO3" s="20" t="str">
        <f>'Calcul auto.'!AS53</f>
        <v/>
      </c>
      <c r="YP3" s="20" t="str">
        <f>'Calcul auto.'!AS54</f>
        <v/>
      </c>
      <c r="YQ3" s="20" t="str">
        <f>'Calcul auto.'!AS55</f>
        <v/>
      </c>
      <c r="YR3" s="20" t="str">
        <f>'Calcul auto.'!AL56</f>
        <v/>
      </c>
      <c r="YS3" s="20" t="str">
        <f>'Calcul auto.'!AN57</f>
        <v/>
      </c>
      <c r="YT3" s="20" t="str">
        <f>'Calcul auto.'!AQ58</f>
        <v/>
      </c>
      <c r="YU3" s="20" t="str">
        <f>'Calcul auto.'!AJ59</f>
        <v/>
      </c>
      <c r="YV3" s="20" t="str">
        <f>'Calcul auto.'!AJ60</f>
        <v/>
      </c>
      <c r="YW3" s="20" t="str">
        <f>'Calcul auto.'!AJ61</f>
        <v/>
      </c>
      <c r="YX3" s="20" t="str">
        <f>'Calcul auto.'!AJ62</f>
        <v/>
      </c>
      <c r="YY3" s="20" t="str">
        <f>'Calcul auto.'!AL63</f>
        <v/>
      </c>
      <c r="YZ3" s="20" t="str">
        <f>'Calcul auto.'!AK64</f>
        <v/>
      </c>
      <c r="ZA3" s="20" t="str">
        <f>'Calcul auto.'!AL65</f>
        <v/>
      </c>
      <c r="ZB3" s="20" t="str">
        <f>'Calcul auto.'!AL66</f>
        <v/>
      </c>
      <c r="ZC3" s="20" t="str">
        <f>'Calcul auto.'!AP67</f>
        <v/>
      </c>
      <c r="ZD3" s="20" t="str">
        <f>'Calcul auto.'!AO68</f>
        <v/>
      </c>
      <c r="ZE3" s="20" t="str">
        <f>'Calcul auto.'!AL69</f>
        <v/>
      </c>
      <c r="ZF3" s="20" t="str">
        <f>'Calcul auto.'!AM70</f>
        <v/>
      </c>
      <c r="ZG3" s="20" t="str">
        <f>'Calcul auto.'!AQ71</f>
        <v/>
      </c>
      <c r="ZH3" s="20" t="str">
        <f>'Calcul auto.'!AQ72</f>
        <v/>
      </c>
      <c r="ZI3" s="20" t="str">
        <f>'Calcul auto.'!AL73</f>
        <v/>
      </c>
      <c r="ZJ3" s="20" t="str">
        <f>'Calcul auto.'!AM74</f>
        <v/>
      </c>
      <c r="ZK3" s="20" t="str">
        <f>'Calcul auto.'!AM75</f>
        <v/>
      </c>
      <c r="ZL3" s="20" t="str">
        <f>'Calcul auto.'!AK76</f>
        <v/>
      </c>
      <c r="ZM3" s="20" t="str">
        <f>'Calcul auto.'!AK77</f>
        <v/>
      </c>
      <c r="ZN3" s="20" t="str">
        <f>'Calcul auto.'!AM78</f>
        <v/>
      </c>
      <c r="ZO3" s="20" t="str">
        <f>'Calcul auto.'!AR79</f>
        <v/>
      </c>
      <c r="ZP3" s="20" t="str">
        <f>'Calcul auto.'!AR80</f>
        <v/>
      </c>
      <c r="ZQ3" s="20" t="str">
        <f>'Calcul auto.'!AS81</f>
        <v/>
      </c>
      <c r="ZR3" s="20" t="str">
        <f>'Calcul auto.'!AS82</f>
        <v/>
      </c>
      <c r="ZS3" s="20" t="str">
        <f>'Calcul auto.'!AR83</f>
        <v/>
      </c>
      <c r="ZT3" s="20" t="str">
        <f>'Calcul auto.'!AR84</f>
        <v/>
      </c>
      <c r="ZU3" s="20" t="str">
        <f>'Calcul auto.'!AR85</f>
        <v/>
      </c>
      <c r="ZV3" s="20" t="str">
        <f>'Calcul auto.'!AR86</f>
        <v/>
      </c>
      <c r="ZW3" s="20" t="str">
        <f>'Calcul auto.'!AR87</f>
        <v/>
      </c>
      <c r="ZX3" s="20" t="str">
        <f>'Calcul auto.'!AV41</f>
        <v/>
      </c>
      <c r="ZY3" s="20" t="str">
        <f>'Calcul auto.'!AW42</f>
        <v/>
      </c>
      <c r="ZZ3" s="20" t="str">
        <f>'Calcul auto.'!AV43</f>
        <v/>
      </c>
      <c r="AAA3" s="20" t="str">
        <f>'Calcul auto.'!AV44</f>
        <v/>
      </c>
      <c r="AAB3" s="20" t="str">
        <f>'Calcul auto.'!AV45</f>
        <v/>
      </c>
      <c r="AAC3" s="20" t="str">
        <f>'Calcul auto.'!BB49</f>
        <v/>
      </c>
      <c r="AAD3" s="20" t="str">
        <f>'Calcul auto.'!BB50</f>
        <v/>
      </c>
      <c r="AAE3" s="20" t="str">
        <f>'Calcul auto.'!BC51</f>
        <v/>
      </c>
      <c r="AAF3" s="20" t="str">
        <f>'Calcul auto.'!BC52</f>
        <v/>
      </c>
      <c r="AAG3" s="20" t="str">
        <f>'Calcul auto.'!BC53</f>
        <v/>
      </c>
      <c r="AAH3" s="20" t="str">
        <f>'Calcul auto.'!BC54</f>
        <v/>
      </c>
      <c r="AAI3" s="20" t="str">
        <f>'Calcul auto.'!BC55</f>
        <v/>
      </c>
      <c r="AAJ3" s="20" t="str">
        <f>'Calcul auto.'!AV56</f>
        <v/>
      </c>
      <c r="AAK3" s="20" t="str">
        <f>'Calcul auto.'!AX57</f>
        <v/>
      </c>
      <c r="AAL3" s="20" t="str">
        <f>'Calcul auto.'!BA58</f>
        <v/>
      </c>
      <c r="AAM3" s="20" t="str">
        <f>'Calcul auto.'!AT59</f>
        <v/>
      </c>
      <c r="AAN3" s="20" t="str">
        <f>'Calcul auto.'!AT60</f>
        <v/>
      </c>
      <c r="AAO3" s="20" t="str">
        <f>'Calcul auto.'!AT61</f>
        <v/>
      </c>
      <c r="AAP3" s="20" t="str">
        <f>'Calcul auto.'!AT62</f>
        <v/>
      </c>
      <c r="AAQ3" s="20" t="str">
        <f>'Calcul auto.'!AV63</f>
        <v/>
      </c>
      <c r="AAR3" s="20" t="str">
        <f>'Calcul auto.'!AU64</f>
        <v/>
      </c>
      <c r="AAS3" s="20" t="str">
        <f>'Calcul auto.'!AV65</f>
        <v/>
      </c>
      <c r="AAT3" s="20" t="str">
        <f>'Calcul auto.'!AV66</f>
        <v/>
      </c>
      <c r="AAU3" s="20" t="str">
        <f>'Calcul auto.'!AZ67</f>
        <v/>
      </c>
      <c r="AAV3" s="20" t="str">
        <f>'Calcul auto.'!AY68</f>
        <v/>
      </c>
      <c r="AAW3" s="20" t="str">
        <f>'Calcul auto.'!AV69</f>
        <v/>
      </c>
      <c r="AAX3" s="20" t="str">
        <f>'Calcul auto.'!AW70</f>
        <v/>
      </c>
      <c r="AAY3" s="20" t="str">
        <f>'Calcul auto.'!BA71</f>
        <v/>
      </c>
      <c r="AAZ3" s="20" t="str">
        <f>'Calcul auto.'!BA72</f>
        <v/>
      </c>
      <c r="ABA3" s="20" t="str">
        <f>'Calcul auto.'!AV73</f>
        <v/>
      </c>
      <c r="ABB3" s="20" t="str">
        <f>'Calcul auto.'!AW74</f>
        <v/>
      </c>
      <c r="ABC3" s="20" t="str">
        <f>'Calcul auto.'!AW75</f>
        <v/>
      </c>
      <c r="ABD3" s="20" t="str">
        <f>'Calcul auto.'!AU76</f>
        <v/>
      </c>
      <c r="ABE3" s="20" t="str">
        <f>'Calcul auto.'!AU77</f>
        <v/>
      </c>
      <c r="ABF3" s="20" t="str">
        <f>'Calcul auto.'!AW78</f>
        <v/>
      </c>
      <c r="ABG3" s="20" t="str">
        <f>'Calcul auto.'!BB79</f>
        <v/>
      </c>
      <c r="ABH3" s="20" t="str">
        <f>'Calcul auto.'!BB80</f>
        <v/>
      </c>
      <c r="ABI3" s="20" t="str">
        <f>'Calcul auto.'!BC81</f>
        <v/>
      </c>
      <c r="ABJ3" s="20" t="str">
        <f>'Calcul auto.'!BC82</f>
        <v/>
      </c>
      <c r="ABK3" s="20" t="str">
        <f>'Calcul auto.'!BB83</f>
        <v/>
      </c>
      <c r="ABL3" s="20" t="str">
        <f>'Calcul auto.'!BB84</f>
        <v/>
      </c>
      <c r="ABM3" s="20" t="str">
        <f>'Calcul auto.'!BB85</f>
        <v/>
      </c>
      <c r="ABN3" s="20" t="str">
        <f>'Calcul auto.'!BB86</f>
        <v/>
      </c>
      <c r="ABO3" s="21" t="str">
        <f>'Calcul auto.'!BB87</f>
        <v/>
      </c>
    </row>
    <row r="4" spans="1:743" s="17" customFormat="1" ht="35.25" customHeight="1" thickBot="1" x14ac:dyDescent="0.25">
      <c r="A4" s="22" t="s">
        <v>769</v>
      </c>
      <c r="B4" s="23" t="str">
        <f>IF('Eval-Après impact'!$T$107=0,"",IF('Eval-Après impact'!$T$107="","",'Eval-Après impact'!K26))</f>
        <v/>
      </c>
      <c r="C4" s="24" t="str">
        <f>IF('Eval-Après impact'!$T$107=0,"",IF('Eval-Après impact'!$T$107="","",'Eval-Après impact'!F29))</f>
        <v/>
      </c>
      <c r="D4" s="24" t="str">
        <f>IF('Eval-Après impact'!$T$107=0,"",IF('Eval-Après impact'!$T$107="","",'Eval-Après impact'!I29))</f>
        <v/>
      </c>
      <c r="E4" s="24" t="str">
        <f>IF('Eval-Après impact'!$T$107=0,"",IF('Eval-Après impact'!$T$107="","",'Eval-Après impact'!L29))</f>
        <v/>
      </c>
      <c r="F4" s="24" t="str">
        <f>IF('Eval-Après impact'!$T$107=0,"",IF('Eval-Après impact'!$T$107="","",'Eval-Après impact'!O29))</f>
        <v/>
      </c>
      <c r="G4" s="25" t="str">
        <f>IF('Eval-Après impact'!$T$107=0,"",IF('Eval-Après impact'!$T$107="","",'Eval-Après impact'!F30))</f>
        <v/>
      </c>
      <c r="H4" s="25" t="str">
        <f>IF('Eval-Après impact'!$T$107=0,"",IF('Eval-Après impact'!$T$107="","",'Eval-Après impact'!I30))</f>
        <v/>
      </c>
      <c r="I4" s="25" t="str">
        <f>IF('Eval-Après impact'!$T$107=0,"",IF('Eval-Après impact'!$T$107="","",'Eval-Après impact'!L30))</f>
        <v/>
      </c>
      <c r="J4" s="25" t="str">
        <f>IF('Eval-Après impact'!$T$107=0,"",IF('Eval-Après impact'!$T$107="","",'Eval-Après impact'!O30))</f>
        <v/>
      </c>
      <c r="K4" s="25" t="str">
        <f>IF('Eval-Après impact'!$T$107=0,"",IF('Eval-Après impact'!$T$107="","",'Eval-Après impact'!F31))</f>
        <v/>
      </c>
      <c r="L4" s="25" t="str">
        <f>IF('Eval-Après impact'!$T$107=0,"",IF('Eval-Après impact'!$T$107="","",'Eval-Après impact'!I31))</f>
        <v/>
      </c>
      <c r="M4" s="25" t="str">
        <f>IF('Eval-Après impact'!$T$107=0,"",IF('Eval-Après impact'!$T$107="","",'Eval-Après impact'!L31))</f>
        <v/>
      </c>
      <c r="N4" s="25" t="str">
        <f>IF('Eval-Après impact'!$T$107=0,"",IF('Eval-Après impact'!$T$107="","",'Eval-Après impact'!O31))</f>
        <v/>
      </c>
      <c r="O4" s="25" t="str">
        <f>IF('Eval-Après impact'!$T$107=0,"",IF('Eval-Après impact'!$T$107="","",'Eval-Après impact'!F32))</f>
        <v/>
      </c>
      <c r="P4" s="25" t="str">
        <f>IF('Eval-Après impact'!$T$107=0,"",IF('Eval-Après impact'!$T$107="","",'Eval-Après impact'!I32))</f>
        <v/>
      </c>
      <c r="Q4" s="25" t="str">
        <f>IF('Eval-Après impact'!$T$107=0,"",IF('Eval-Après impact'!$T$107="","",'Eval-Après impact'!L32))</f>
        <v/>
      </c>
      <c r="R4" s="25" t="str">
        <f>IF('Eval-Après impact'!$T$107=0,"",IF('Eval-Après impact'!$T$107="","",'Eval-Après impact'!O32))</f>
        <v/>
      </c>
      <c r="S4" s="25" t="str">
        <f>IF('Eval-Après impact'!$T$107=0,"",IF('Eval-Après impact'!$T$107="","",'Eval-Après impact'!C35))</f>
        <v/>
      </c>
      <c r="T4" s="25" t="str">
        <f>IF('Eval-Après impact'!$T$107=0,"",IF('Eval-Après impact'!$T$107="","",'Eval-Après impact'!C44))</f>
        <v/>
      </c>
      <c r="U4" s="25" t="str">
        <f>IF('Eval-Après impact'!$T$107=0,"",IF('Eval-Après impact'!$T$107="","",'Eval-Après impact'!C47))</f>
        <v/>
      </c>
      <c r="V4" s="25" t="str">
        <f>IF('Eval-Après impact'!$T$107=0,"",IF('Eval-Après impact'!$T$107="","",'Eval-Après impact'!C50))</f>
        <v/>
      </c>
      <c r="W4" s="25" t="str">
        <f>IF('Eval-Après impact'!$T$107=0,"",IF('Eval-Après impact'!$T$107="","",'Eval-Après impact'!T107))</f>
        <v/>
      </c>
      <c r="X4" s="25" t="str">
        <f>IF('Eval-Après impact'!$T$107=0,"",IF('Eval-Après impact'!$T$107="","",IF('Eval-Après impact'!T111="X","tout un système humide",IF('Eval-Après impact'!T112="X","délimitation administrative","autres cas"))))</f>
        <v/>
      </c>
      <c r="Y4" s="25" t="str">
        <f>IF('Eval-Après impact'!$T$107=0,"",IF('Eval-Après impact'!$T$107="","",'Eval-Après impact'!G117))</f>
        <v/>
      </c>
      <c r="Z4" s="25" t="str">
        <f>IF('Eval-Après impact'!$T$107=0,"",IF('Eval-Après impact'!$T$107="","",IF('Eval-Après impact'!J121="X",'Eval-Après impact'!I121,"")))</f>
        <v/>
      </c>
      <c r="AA4" s="25" t="str">
        <f>IF('Eval-Après impact'!$T$107=0,"",IF('Eval-Après impact'!$T$107="","",IF('Eval-Après impact'!J122="X",'Eval-Après impact'!I122,"")))</f>
        <v/>
      </c>
      <c r="AB4" s="25" t="str">
        <f>IF('Eval-Après impact'!$T$107=0,"",IF('Eval-Après impact'!$T$107="","",IF('Eval-Après impact'!J123="X",'Eval-Après impact'!I123,"")))</f>
        <v/>
      </c>
      <c r="AC4" s="25" t="str">
        <f>IF('Eval-Après impact'!$T$107=0,"",IF('Eval-Après impact'!$T$107="","",IF('Eval-Après impact'!T121="X",'Eval-Après impact'!S121,"")))</f>
        <v/>
      </c>
      <c r="AD4" s="25" t="str">
        <f>IF('Eval-Après impact'!$T$107=0,"",IF('Eval-Après impact'!$T$107="","",IF('Eval-Après impact'!T122="X",'Eval-Après impact'!S122,"")))</f>
        <v/>
      </c>
      <c r="AE4" s="25" t="str">
        <f>IF('Eval-Après impact'!$T$107=0,"",IF('Eval-Après impact'!$T$107="","",'Eval-Après impact'!C128))</f>
        <v/>
      </c>
      <c r="AF4" s="25" t="str">
        <f>IF('Eval-Après impact'!$T$107=0,"",IF('Eval-Après impact'!$T$107="","",'Eval-Après impact'!T132))</f>
        <v/>
      </c>
      <c r="AG4" s="25" t="str">
        <f>IF('Eval-Après impact'!$T$107=0,"",IF('Eval-Après impact'!$T$107="","",'Eval-Après impact'!T139))</f>
        <v/>
      </c>
      <c r="AH4" s="25" t="str">
        <f>IF('Eval-Après impact'!$T$107=0,"",IF('Eval-Après impact'!$T$107="","",IF('Eval-Après impact'!J194="X","procédure 1",IF('Eval-Après impact'!T194="X","procédure 2",IF('Eval-Après impact'!J195="X","procédure 3",IF('Eval-Après impact'!T195="X","procédure 4",IF('Eval-Après impact'!J196="X","procédure 5","")))))))</f>
        <v/>
      </c>
      <c r="AI4" s="25" t="str">
        <f>IF('Eval-Après impact'!$T$107=0,"",IF('Eval-Après impact'!$T$107="","",'Eval-Après impact'!C205))</f>
        <v/>
      </c>
      <c r="AJ4" s="25" t="str">
        <f>IF('Eval-Après impact'!$T$107=0,"",IF('Eval-Après impact'!$T$107="","",'Eval-Après impact'!T213))</f>
        <v/>
      </c>
      <c r="AK4" s="25" t="str">
        <f>IF('Eval-Après impact'!$T$107=0,"",IF('Eval-Après impact'!$T$107="","",'Eval-Après impact'!T217))</f>
        <v/>
      </c>
      <c r="AL4" s="25" t="str">
        <f>IF('Eval-Après impact'!$T$107=0,"",IF('Eval-Après impact'!$T$107="","",'Eval-Après impact'!T221))</f>
        <v/>
      </c>
      <c r="AM4" s="25" t="str">
        <f>IF('Eval-Après impact'!$T$107=0,"",IF('Eval-Après impact'!$T$107="","",'Eval-Après impact'!T222))</f>
        <v/>
      </c>
      <c r="AN4" s="25" t="str">
        <f>IF('Eval-Après impact'!$T$107=0,"",IF('Eval-Après impact'!$T$107="","",IF('Eval-Après impact'!J226="X","oui","non")))</f>
        <v/>
      </c>
      <c r="AO4" s="25" t="str">
        <f>IF('Eval-Après impact'!$T$107=0,"",IF('Eval-Après impact'!$T$107="","",'Eval-Après impact'!T230))</f>
        <v/>
      </c>
      <c r="AP4" s="25" t="str">
        <f>IF('Eval-Après impact'!$T$107=0,"",IF('Eval-Après impact'!$T$107="","",'Eval-Après impact'!T234))</f>
        <v/>
      </c>
      <c r="AQ4" s="25" t="str">
        <f>IF('Eval-Après impact'!$T$107=0,"",IF('Eval-Après impact'!$T$107="","",'Eval-Après impact'!T292))</f>
        <v/>
      </c>
      <c r="AR4" s="25" t="str">
        <f>IF('Eval-Après impact'!$T$107=0,"",IF('Eval-Après impact'!$T$107="","",'Eval-Après impact'!T296))</f>
        <v/>
      </c>
      <c r="AS4" s="25" t="str">
        <f>IF('Eval-Après impact'!$T$107=0,"",IF('Eval-Après impact'!$T$107="","",'Eval-Après impact'!T356))</f>
        <v/>
      </c>
      <c r="AT4" s="25" t="str">
        <f>IF('Eval-Après impact'!$T$107=0,"",IF('Eval-Après impact'!$T$107="","",'Eval-Après impact'!T361))</f>
        <v/>
      </c>
      <c r="AU4" s="25" t="str">
        <f>IF('Eval-Après impact'!$T$107=0,"",IF('Eval-Après impact'!$T$107="","",'Eval-Après impact'!T362))</f>
        <v/>
      </c>
      <c r="AV4" s="25" t="str">
        <f>IF('Eval-Après impact'!$T$107=0,"",IF('Eval-Après impact'!$T$107="","",'Eval-Après impact'!T363))</f>
        <v/>
      </c>
      <c r="AW4" s="25" t="str">
        <f>IF('Eval-Après impact'!$T$107=0,"",IF('Eval-Après impact'!$T$107="","",'Eval-Après impact'!T364))</f>
        <v/>
      </c>
      <c r="AX4" s="25" t="str">
        <f>IF('Eval-Après impact'!$T$107=0,"",IF('Eval-Après impact'!$T$107="","",'Eval-Après impact'!T365))</f>
        <v/>
      </c>
      <c r="AY4" s="25" t="str">
        <f>IF('Eval-Après impact'!$T$107=0,"",IF('Eval-Après impact'!$T$107="","",'Eval-Après impact'!T366))</f>
        <v/>
      </c>
      <c r="AZ4" s="25" t="str">
        <f>IF('Eval-Après impact'!$T$107=0,"",IF('Eval-Après impact'!$T$107="","",'Eval-Après impact'!T367))</f>
        <v/>
      </c>
      <c r="BA4" s="25" t="str">
        <f>IF('Eval-Après impact'!$T$107=0,"",IF('Eval-Après impact'!$T$107="","",'Eval-Après impact'!T368))</f>
        <v/>
      </c>
      <c r="BB4" s="25" t="str">
        <f>IF('Eval-Après impact'!$T$107=0,"",IF('Eval-Après impact'!$T$107="","",'Eval-Après impact'!T369))</f>
        <v/>
      </c>
      <c r="BC4" s="25" t="str">
        <f>IF('Eval-Après impact'!$T$107=0,"",IF('Eval-Après impact'!$T$107="","",'Eval-Après impact'!T370))</f>
        <v/>
      </c>
      <c r="BD4" s="25" t="str">
        <f>IF('Eval-Après impact'!$T$107=0,"",IF('Eval-Après impact'!$T$107="","",IF('Eval-Après impact'!J376="X","procédure 1",IF('Eval-Après impact'!T376="X","procédure 2","procédure 3"))))</f>
        <v/>
      </c>
      <c r="BE4" s="25" t="str">
        <f>IF('Eval-Après impact'!$T$107=0,"",IF('Eval-Après impact'!$T$107="","",IF('Eval-Après impact'!J376="X",'Eval-Après impact'!T382,"")))</f>
        <v/>
      </c>
      <c r="BF4" s="25" t="str">
        <f>IF('Eval-Après impact'!$T$107=0,"",IF('Eval-Après impact'!$T$107="","",IF('Eval-Après impact'!T376="X",'Eval-Après impact'!T387,"")))</f>
        <v/>
      </c>
      <c r="BG4" s="25" t="str">
        <f>IF('Eval-Après impact'!$T$107=0,"",IF('Eval-Après impact'!$T$107="","",IF('Eval-Après impact'!J377="X",'Eval-Après impact'!T393,"")))</f>
        <v/>
      </c>
      <c r="BH4" s="25" t="str">
        <f>IF('Eval-Après impact'!$T$107=0,"",IF('Eval-Après impact'!$T$107="","",IF('Eval-Après impact'!J377="X",'Eval-Après impact'!T394,"")))</f>
        <v/>
      </c>
      <c r="BI4" s="25" t="str">
        <f>IF('Eval-Après impact'!$T$107=0,"",IF('Eval-Après impact'!$T$107="","",'Eval-Après impact'!T398))</f>
        <v/>
      </c>
      <c r="BJ4" s="25" t="str">
        <f>IF('Eval-Après impact'!$T$107=0,"",IF('Eval-Après impact'!$T$107="","",'Eval-Après impact'!T399))</f>
        <v/>
      </c>
      <c r="BK4" s="25" t="str">
        <f>IF('Eval-Après impact'!$T$107=0,"",IF('Eval-Après impact'!$T$107="","",IF('Eval-Après impact'!J404="X","oui","non")))</f>
        <v/>
      </c>
      <c r="BL4" s="25" t="str">
        <f>IF('Eval-Après impact'!$T$107=0,"",IF('Eval-Après impact'!$T$107="","",'Eval-Après impact'!T408))</f>
        <v/>
      </c>
      <c r="BM4" s="25" t="str">
        <f>IF('Eval-Après impact'!$T$107=0,"",IF('Eval-Après impact'!$T$107="","",IF('Eval-Après impact'!J413="X","oui","non")))</f>
        <v/>
      </c>
      <c r="BN4" s="25" t="str">
        <f>IF('Eval-Après impact'!$T$107=0,"",IF('Eval-Après impact'!$T$107="","",'Eval-Après impact'!C419))</f>
        <v/>
      </c>
      <c r="BO4" s="25" t="str">
        <f>IF('Eval-Après impact'!$T$107=0,"",IF('Eval-Après impact'!$T$107="","",'Eval-Après impact'!T424))</f>
        <v/>
      </c>
      <c r="BP4" s="25" t="str">
        <f>IF('Eval-Après impact'!$T$107=0,"",IF('Eval-Après impact'!$T$107="","",IF('Eval-Après impact'!J429="X","oui","non")))</f>
        <v/>
      </c>
      <c r="BQ4" s="25" t="str">
        <f>IF('Eval-Après impact'!$T$107=0,"",IF('Eval-Après impact'!$T$107="","",'Eval-Après impact'!C435))</f>
        <v/>
      </c>
      <c r="BR4" s="25" t="str">
        <f>IF('Eval-Après impact'!$T$107=0,"",IF('Eval-Après impact'!$T$107="","",IF('Eval-Après impact'!J440="X","oui","non")))</f>
        <v/>
      </c>
      <c r="BS4" s="25" t="str">
        <f>IF('Eval-Après impact'!$T$107=0,"",IF('Eval-Après impact'!$T$107="","",IF('Eval-Après impact'!J444="X","oui","non")))</f>
        <v/>
      </c>
      <c r="BT4" s="25" t="str">
        <f>IF('Eval-Après impact'!$T$107=0,"",IF('Eval-Après impact'!$T$107="","",IF('Eval-Après impact'!J449="X","oui","non")))</f>
        <v/>
      </c>
      <c r="BU4" s="25" t="str">
        <f>IF('Eval-Après impact'!$T$107=0,"",IF('Eval-Après impact'!$T$107="","",IF('Eval-Après impact'!J456="X",'Eval-Après impact'!I456,IF('Eval-Après impact'!J457="X",'Eval-Après impact'!I457,IF('Eval-Après impact'!T456="X",'Eval-Après impact'!S456,'Eval-Après impact'!S457)))))</f>
        <v/>
      </c>
      <c r="BV4" s="25" t="str">
        <f>IF('Eval-Après impact'!$T$107=0,"",IF('Eval-Après impact'!$T$107="","",IF('Eval-Après impact'!$C$465&lt;&gt;"",'Eval-Après impact'!$C$465,"")))</f>
        <v/>
      </c>
      <c r="BW4" s="25" t="str">
        <f>IF('Eval-Après impact'!$T$107=0,"",IF('Eval-Après impact'!$T$107="","",IF('Eval-Après impact'!$T$465&lt;&gt;"",'Eval-Après impact'!$T$465,"")))</f>
        <v/>
      </c>
      <c r="BX4" s="25" t="str">
        <f>IF('Eval-Après impact'!$T$107=0,"",IF('Eval-Après impact'!$T$107="","",IF('Eval-Après impact'!$C$466&lt;&gt;"",'Eval-Après impact'!$C$466,"")))</f>
        <v/>
      </c>
      <c r="BY4" s="25" t="str">
        <f>IF('Eval-Après impact'!$T$107=0,"",IF('Eval-Après impact'!$T$107="","",IF('Eval-Après impact'!$T$466&lt;&gt;"",'Eval-Après impact'!$T$466,"")))</f>
        <v/>
      </c>
      <c r="BZ4" s="25" t="str">
        <f>IF('Eval-Après impact'!$T$107=0,"",IF('Eval-Après impact'!$T$107="","",IF('Eval-Après impact'!$C$467&lt;&gt;"",'Eval-Après impact'!$C$467,"")))</f>
        <v/>
      </c>
      <c r="CA4" s="25" t="str">
        <f>IF('Eval-Après impact'!$T$107=0,"",IF('Eval-Après impact'!$T$107="","",IF('Eval-Après impact'!$T$467&lt;&gt;"",'Eval-Après impact'!$T$467,"")))</f>
        <v/>
      </c>
      <c r="CB4" s="25" t="str">
        <f>IF('Eval-Après impact'!$T$107=0,"",IF('Eval-Après impact'!$T$107="","",IF('Eval-Après impact'!$C$468&lt;&gt;"",'Eval-Après impact'!$C$468,"")))</f>
        <v/>
      </c>
      <c r="CC4" s="25" t="str">
        <f>IF('Eval-Après impact'!$T$107=0,"",IF('Eval-Après impact'!$T$107="","",IF('Eval-Après impact'!$T$468&lt;&gt;"",'Eval-Après impact'!$T$468,"")))</f>
        <v/>
      </c>
      <c r="CD4" s="25" t="str">
        <f>IF('Eval-Après impact'!$T$107=0,"",IF('Eval-Après impact'!$T$107="","",IF('Eval-Après impact'!$C$469&lt;&gt;"",'Eval-Après impact'!$C$469,"")))</f>
        <v/>
      </c>
      <c r="CE4" s="25" t="str">
        <f>IF('Eval-Après impact'!$T$107=0,"",IF('Eval-Après impact'!$T$107="","",IF('Eval-Après impact'!$T$469&lt;&gt;"",'Eval-Après impact'!$T$469,"")))</f>
        <v/>
      </c>
      <c r="CF4" s="25" t="str">
        <f>IF('Eval-Après impact'!$T$107=0,"",IF('Eval-Après impact'!$T$107="","",IF('Eval-Après impact'!$C$470&lt;&gt;"",'Eval-Après impact'!$C$470,"")))</f>
        <v/>
      </c>
      <c r="CG4" s="25" t="str">
        <f>IF('Eval-Après impact'!$T$107=0,"",IF('Eval-Après impact'!$T$107="","",IF('Eval-Après impact'!$T$470&lt;&gt;"",'Eval-Après impact'!$T$470,"")))</f>
        <v/>
      </c>
      <c r="CH4" s="25" t="str">
        <f>IF('Eval-Après impact'!$T$107=0,"",IF('Eval-Après impact'!$T$107="","",IF('Eval-Après impact'!$C$471&lt;&gt;"",'Eval-Après impact'!$C$471,"")))</f>
        <v/>
      </c>
      <c r="CI4" s="25" t="str">
        <f>IF('Eval-Après impact'!$T$107=0,"",IF('Eval-Après impact'!$T$107="","",IF('Eval-Après impact'!$T$471&lt;&gt;"",'Eval-Après impact'!$T$471,"")))</f>
        <v/>
      </c>
      <c r="CJ4" s="25" t="str">
        <f>IF('Eval-Après impact'!$T$107=0,"",IF('Eval-Après impact'!$T$107="","",IF('Eval-Après impact'!$C$472&lt;&gt;"",'Eval-Après impact'!$C$472,"")))</f>
        <v/>
      </c>
      <c r="CK4" s="25" t="str">
        <f>IF('Eval-Après impact'!$T$107=0,"",IF('Eval-Après impact'!$T$107="","",IF('Eval-Après impact'!$T$472&lt;&gt;"",'Eval-Après impact'!$T$472,"")))</f>
        <v/>
      </c>
      <c r="CL4" s="25" t="str">
        <f>IF('Eval-Après impact'!$T$107=0,"",IF('Eval-Après impact'!$T$107="","",IF('Eval-Après impact'!$C$473&lt;&gt;"",'Eval-Après impact'!$C$473,"")))</f>
        <v/>
      </c>
      <c r="CM4" s="25" t="str">
        <f>IF('Eval-Après impact'!$T$107=0,"",IF('Eval-Après impact'!$T$107="","",IF('Eval-Après impact'!$T$473&lt;&gt;"",'Eval-Après impact'!$T$473,"")))</f>
        <v/>
      </c>
      <c r="CN4" s="25" t="str">
        <f>IF('Eval-Après impact'!$T$107=0,"",IF('Eval-Après impact'!$T$107="","",IF('Eval-Après impact'!$C$474&lt;&gt;"",'Eval-Après impact'!$C$474,"")))</f>
        <v/>
      </c>
      <c r="CO4" s="25" t="str">
        <f>IF('Eval-Après impact'!$T$107=0,"",IF('Eval-Après impact'!$T$107="","",IF('Eval-Après impact'!$T$474&lt;&gt;"",'Eval-Après impact'!$T$474,"")))</f>
        <v/>
      </c>
      <c r="CP4" s="25" t="str">
        <f>IF('Eval-Après impact'!$T$107=0,"",IF('Eval-Après impact'!$T$107="","",IF('Eval-Après impact'!$C$475&lt;&gt;"",'Eval-Après impact'!$C$475,"")))</f>
        <v/>
      </c>
      <c r="CQ4" s="25" t="str">
        <f>IF('Eval-Après impact'!$T$107=0,"",IF('Eval-Après impact'!$T$107="","",IF('Eval-Après impact'!$T$475&lt;&gt;"",'Eval-Après impact'!$T$475,"")))</f>
        <v/>
      </c>
      <c r="CR4" s="25" t="str">
        <f>IF('Eval-Après impact'!$T$107=0,"",IF('Eval-Après impact'!$T$107="","",IF('Eval-Après impact'!$C$476&lt;&gt;"",'Eval-Après impact'!$C$476,"")))</f>
        <v/>
      </c>
      <c r="CS4" s="25" t="str">
        <f>IF('Eval-Après impact'!$T$107=0,"",IF('Eval-Après impact'!$T$107="","",IF('Eval-Après impact'!$T$476&lt;&gt;"",'Eval-Après impact'!$T$476,"")))</f>
        <v/>
      </c>
      <c r="CT4" s="25" t="str">
        <f>IF('Eval-Après impact'!$T$107=0,"",IF('Eval-Après impact'!$T$107="","",IF('Eval-Après impact'!$C$477&lt;&gt;"",'Eval-Après impact'!$C$477,"")))</f>
        <v/>
      </c>
      <c r="CU4" s="25" t="str">
        <f>IF('Eval-Après impact'!$T$107=0,"",IF('Eval-Après impact'!$T$107="","",IF('Eval-Après impact'!$T$477&lt;&gt;"",'Eval-Après impact'!$T$477,"")))</f>
        <v/>
      </c>
      <c r="CV4" s="25" t="str">
        <f>IF('Eval-Après impact'!$T$107=0,"",IF('Eval-Après impact'!$T$107="","",IF('Eval-Après impact'!$C$478&lt;&gt;"",'Eval-Après impact'!$C$478,"")))</f>
        <v/>
      </c>
      <c r="CW4" s="25" t="str">
        <f>IF('Eval-Après impact'!$T$107=0,"",IF('Eval-Après impact'!$T$107="","",IF('Eval-Après impact'!$T$478&lt;&gt;"",'Eval-Après impact'!$T$478,"")))</f>
        <v/>
      </c>
      <c r="CX4" s="25" t="str">
        <f>IF('Eval-Après impact'!$T$107=0,"",IF('Eval-Après impact'!$T$107="","",IF('Eval-Après impact'!$C$479&lt;&gt;"",'Eval-Après impact'!$C$479,"")))</f>
        <v/>
      </c>
      <c r="CY4" s="25" t="str">
        <f>IF('Eval-Après impact'!$T$107=0,"",IF('Eval-Après impact'!$T$107="","",IF('Eval-Après impact'!$T$479&lt;&gt;"",'Eval-Après impact'!$T$479,"")))</f>
        <v/>
      </c>
      <c r="CZ4" s="25" t="str">
        <f>IF('Eval-Après impact'!$T$107=0,"",IF('Eval-Après impact'!$T$107="","",'Eval-Après impact'!C486))</f>
        <v/>
      </c>
      <c r="DA4" s="25" t="str">
        <f>IF('Eval-Après impact'!$T$107=0,"",IF('Eval-Après impact'!$T$107="","",'Eval-Après impact'!T491))</f>
        <v/>
      </c>
      <c r="DB4" s="25" t="str">
        <f>IF('Eval-Après impact'!$T$107=0,"",IF('Eval-Après impact'!$T$107="","",IF('Eval-Après impact'!T498&lt;&gt;"",'Eval-Après impact'!T498,"")))</f>
        <v/>
      </c>
      <c r="DC4" s="25" t="str">
        <f>IF('Eval-Après impact'!$T$107=0,"",IF('Eval-Après impact'!$T$107="","",IF('Eval-Après impact'!T503&lt;&gt;"",'Eval-Après impact'!T503,"")))</f>
        <v/>
      </c>
      <c r="DD4" s="25" t="str">
        <f>IF('Eval-Après impact'!$T$107=0,"",IF('Eval-Après impact'!$T$107="","",IF('Eval-Après impact'!T504&lt;&gt;"",'Eval-Après impact'!T504,"")))</f>
        <v/>
      </c>
      <c r="DE4" s="25" t="str">
        <f>IF('Eval-Après impact'!$T$107=0,"",IF('Eval-Après impact'!$T$107="","",IF('Eval-Après impact'!J508="X","oui","non")))</f>
        <v/>
      </c>
      <c r="DF4" s="25" t="str">
        <f>IF('Eval-Après impact'!$T$107=0,"",IF('Eval-Après impact'!$T$107="","",'Eval-Après impact'!C514))</f>
        <v/>
      </c>
      <c r="DG4" s="25" t="str">
        <f>IF('Eval-Après impact'!$T$107=0,"",IF('Eval-Après impact'!$T$107="","",IF('Eval-Après impact'!J522="X","oui","non")))</f>
        <v/>
      </c>
      <c r="DH4" s="25" t="str">
        <f>IF('Eval-Après impact'!$T$107=0,"",IF('Eval-Après impact'!$T$107="","",IF('Eval-Après impact'!C526&lt;&gt;"",'Eval-Après impact'!C526,"")))</f>
        <v/>
      </c>
      <c r="DI4" s="25" t="str">
        <f>IF('Eval-Après impact'!$T$107=0,"",IF('Eval-Après impact'!$T$107="","",IF('Eval-Après impact'!C534&lt;&gt;"",'Eval-Après impact'!C534,"")))</f>
        <v/>
      </c>
      <c r="DJ4" s="25" t="str">
        <f>IF('Eval-Après impact'!$T$107=0,"",IF('Eval-Après impact'!$T$107="","",IF('Eval-Après impact'!C537&lt;&gt;"",'Eval-Après impact'!C537,"")))</f>
        <v/>
      </c>
      <c r="DK4" s="25" t="str">
        <f>IF('Eval-Après impact'!$T$107=0,"",IF('Eval-Après impact'!$T$107="","",IF('Eval-Après impact'!C540&lt;&gt;"",'Eval-Après impact'!C540,"")))</f>
        <v/>
      </c>
      <c r="DL4" s="25" t="str">
        <f>IF('Eval-Après impact'!$T$107=0,"",IF('Eval-Après impact'!$T$107="","",IF('Eval-Après impact'!C543&lt;&gt;"",'Eval-Après impact'!C543,"")))</f>
        <v/>
      </c>
      <c r="DM4" s="25" t="str">
        <f>IF('Eval-Après impact'!$T$107=0,"",IF('Eval-Après impact'!$T$107="","",IF('Eval-Après impact'!C546&lt;&gt;"",'Eval-Après impact'!C546,"")))</f>
        <v/>
      </c>
      <c r="DN4" s="25" t="str">
        <f>IF('Eval-Après impact'!$T$107=0,"",IF('Eval-Après impact'!$T$107="","",IF('Eval-Après impact'!C552&lt;&gt;"",'Eval-Après impact'!C552,"")))</f>
        <v/>
      </c>
      <c r="DO4" s="25" t="str">
        <f>IF('Eval-Après impact'!$T$107=0,"",IF('Eval-Après impact'!$T$107="","",IF('Eval-Après impact'!C559&lt;&gt;"",'Eval-Après impact'!C559,"")))</f>
        <v/>
      </c>
      <c r="DP4" s="25" t="str">
        <f>IF('Eval-Après impact'!$T$107=0,"",IF('Eval-Après impact'!$T$107="","",IF('Eval-Après impact'!C562&lt;&gt;"",'Eval-Après impact'!C562,"")))</f>
        <v/>
      </c>
      <c r="DQ4" s="25" t="str">
        <f>IF('Eval-Après impact'!$T$107=0,"",IF('Eval-Après impact'!$T$107="","",IF('Eval-Après impact'!C565&lt;&gt;"",'Eval-Après impact'!C565,"")))</f>
        <v/>
      </c>
      <c r="DR4" s="25" t="str">
        <f>IF('Eval-Après impact'!$T$107=0,"",IF('Eval-Après impact'!$T$107="","",IF('Eval-Après impact'!C568&lt;&gt;"",'Eval-Après impact'!C568,"")))</f>
        <v/>
      </c>
      <c r="DS4" s="25" t="str">
        <f>IF('Eval-Après impact'!$T$107=0,"",IF('Eval-Après impact'!$T$107="","",IF('Eval-Après impact'!C576&lt;&gt;"",'Eval-Après impact'!C576,"")))</f>
        <v/>
      </c>
      <c r="DT4" s="25" t="str">
        <f>IF('Eval-Après impact'!$T$107=0,"",IF('Eval-Après impact'!$T$107="","",IF('Eval-Après impact'!C582&lt;&gt;"",'Eval-Après impact'!C582,"")))</f>
        <v/>
      </c>
      <c r="DU4" s="25" t="str">
        <f>IF('Eval-Après impact'!$T$107=0,"",IF('Eval-Après impact'!$T$107="","",IF('Eval-Après impact'!C588&lt;&gt;"",'Eval-Après impact'!C588,"")))</f>
        <v/>
      </c>
      <c r="DV4" s="25" t="str">
        <f>IF('Eval-Après impact'!$T$107=0,"",IF('Eval-Après impact'!$T$107="","",IF('Eval-Après impact'!J594="X","oui","non")))</f>
        <v/>
      </c>
      <c r="DW4" s="25" t="str">
        <f>IF('Eval-Après impact'!$T$107=0,"",IF('Eval-Après impact'!$T$107="","",IF('Eval-Après impact'!J594="X",'Eval-Après impact'!T600,"")))</f>
        <v/>
      </c>
      <c r="DX4" s="26" t="str">
        <f>IF('Eval-Après impact'!$T$107=0,"",IF('Eval-Après impact'!$T$107="","",'Eval-Après impact'!J605))</f>
        <v/>
      </c>
      <c r="DY4" s="25" t="str">
        <f>IF('Eval-Après impact'!$T$107=0,"",IF('Eval-Après impact'!$T$107="","",'Eval-Après impact'!F609))</f>
        <v/>
      </c>
      <c r="DZ4" s="25" t="str">
        <f>IF('Eval-Après impact'!$T$107=0,"",IF('Eval-Après impact'!$T$107="","",'Eval-Après impact'!I609))</f>
        <v/>
      </c>
      <c r="EA4" s="25" t="str">
        <f>IF('Eval-Après impact'!$T$107=0,"",IF('Eval-Après impact'!$T$107="","",'Eval-Après impact'!L609))</f>
        <v/>
      </c>
      <c r="EB4" s="25" t="str">
        <f>IF('Eval-Après impact'!$T$107=0,"",IF('Eval-Après impact'!$T$107="","",'Eval-Après impact'!O609))</f>
        <v/>
      </c>
      <c r="EC4" s="25" t="str">
        <f>IF('Eval-Après impact'!$T$107=0,"",IF('Eval-Après impact'!$T$107="","",'Eval-Après impact'!F610))</f>
        <v/>
      </c>
      <c r="ED4" s="25" t="str">
        <f>IF('Eval-Après impact'!$T$107=0,"",IF('Eval-Après impact'!$T$107="","",'Eval-Après impact'!I610))</f>
        <v/>
      </c>
      <c r="EE4" s="25" t="str">
        <f>IF('Eval-Après impact'!$T$107=0,"",IF('Eval-Après impact'!$T$107="","",'Eval-Après impact'!L610))</f>
        <v/>
      </c>
      <c r="EF4" s="25" t="str">
        <f>IF('Eval-Après impact'!$T$107=0,"",IF('Eval-Après impact'!$T$107="","",'Eval-Après impact'!O610))</f>
        <v/>
      </c>
      <c r="EG4" s="25" t="str">
        <f>IF('Eval-Après impact'!$T$107=0,"",IF('Eval-Après impact'!$T$107="","",'Eval-Après impact'!F611))</f>
        <v/>
      </c>
      <c r="EH4" s="25" t="str">
        <f>IF('Eval-Après impact'!$T$107=0,"",IF('Eval-Après impact'!$T$107="","",'Eval-Après impact'!I611))</f>
        <v/>
      </c>
      <c r="EI4" s="25" t="str">
        <f>IF('Eval-Après impact'!$T$107=0,"",IF('Eval-Après impact'!$T$107="","",'Eval-Après impact'!L611))</f>
        <v/>
      </c>
      <c r="EJ4" s="25" t="str">
        <f>IF('Eval-Après impact'!$T$107=0,"",IF('Eval-Après impact'!$T$107="","",'Eval-Après impact'!O611))</f>
        <v/>
      </c>
      <c r="EK4" s="25" t="str">
        <f>IF('Eval-Après impact'!$T$107=0,"",IF('Eval-Après impact'!$T$107="","",'Eval-Après impact'!F612))</f>
        <v/>
      </c>
      <c r="EL4" s="25" t="str">
        <f>IF('Eval-Après impact'!$T$107=0,"",IF('Eval-Après impact'!$T$107="","",'Eval-Après impact'!I612))</f>
        <v/>
      </c>
      <c r="EM4" s="25" t="str">
        <f>IF('Eval-Après impact'!$T$107=0,"",IF('Eval-Après impact'!$T$107="","",'Eval-Après impact'!L612))</f>
        <v/>
      </c>
      <c r="EN4" s="25" t="str">
        <f>IF('Eval-Après impact'!$T$107=0,"",IF('Eval-Après impact'!$T$107="","",'Eval-Après impact'!O612))</f>
        <v/>
      </c>
      <c r="EO4" s="25" t="str">
        <f>IF('Eval-Après impact'!$T$107=0,"",IF('Eval-Après impact'!$T$107="","",'Eval-Après impact'!T619))</f>
        <v/>
      </c>
      <c r="EP4" s="25" t="str">
        <f>IF('Eval-Après impact'!$T$107=0,"",IF('Eval-Après impact'!$T$107="","",'Eval-Après impact'!T622))</f>
        <v/>
      </c>
      <c r="EQ4" s="25" t="str">
        <f>IF('Eval-Après impact'!$T$107=0,"",IF('Eval-Après impact'!$T$107="","",'Eval-Après impact'!T623))</f>
        <v/>
      </c>
      <c r="ER4" s="25" t="str">
        <f>IF('Eval-Après impact'!$T$107=0,"",IF('Eval-Après impact'!$T$107="","",'Eval-Après impact'!T624))</f>
        <v/>
      </c>
      <c r="ES4" s="25" t="str">
        <f>IF('Eval-Après impact'!$T$107=0,"",IF('Eval-Après impact'!$T$107="","",'Eval-Après impact'!T626))</f>
        <v/>
      </c>
      <c r="ET4" s="25" t="str">
        <f>IF('Eval-Après impact'!$T$107=0,"",IF('Eval-Après impact'!$T$107="","",'Eval-Après impact'!T627))</f>
        <v/>
      </c>
      <c r="EU4" s="25" t="str">
        <f>IF('Eval-Après impact'!$T$107=0,"",IF('Eval-Après impact'!$T$107="","",'Eval-Après impact'!T628))</f>
        <v/>
      </c>
      <c r="EV4" s="25" t="str">
        <f>IF('Eval-Après impact'!$T$107=0,"",IF('Eval-Après impact'!$T$107="","",'Eval-Après impact'!T629))</f>
        <v/>
      </c>
      <c r="EW4" s="25" t="str">
        <f>IF('Eval-Après impact'!$T$107=0,"",IF('Eval-Après impact'!$T$107="","",'Eval-Après impact'!T630))</f>
        <v/>
      </c>
      <c r="EX4" s="25" t="str">
        <f>IF('Eval-Après impact'!$T$107=0,"",IF('Eval-Après impact'!$T$107="","",'Eval-Après impact'!T637))</f>
        <v/>
      </c>
      <c r="EY4" s="25" t="str">
        <f>IF('Eval-Après impact'!$T$107=0,"",IF('Eval-Après impact'!$T$107="","",'Eval-Après impact'!T639))</f>
        <v/>
      </c>
      <c r="EZ4" s="25" t="str">
        <f>IF('Eval-Après impact'!$T$107=0,"",IF('Eval-Après impact'!$T$107="","",'Eval-Après impact'!T640))</f>
        <v/>
      </c>
      <c r="FA4" s="25" t="str">
        <f>IF('Eval-Après impact'!$T$107=0,"",IF('Eval-Après impact'!$T$107="","",'Eval-Après impact'!T648))</f>
        <v/>
      </c>
      <c r="FB4" s="25" t="str">
        <f>IF('Eval-Après impact'!$T$107=0,"",IF('Eval-Après impact'!$T$107="","",'Eval-Après impact'!T649))</f>
        <v/>
      </c>
      <c r="FC4" s="25" t="str">
        <f>IF('Eval-Après impact'!$T$107=0,"",IF('Eval-Après impact'!$T$107="","",'Eval-Après impact'!T651))</f>
        <v/>
      </c>
      <c r="FD4" s="25" t="str">
        <f>IF('Eval-Après impact'!$T$107=0,"",IF('Eval-Après impact'!$T$107="","",'Eval-Après impact'!T652))</f>
        <v/>
      </c>
      <c r="FE4" s="25" t="str">
        <f>IF('Eval-Après impact'!$T$107=0,"",IF('Eval-Après impact'!$T$107="","",'Eval-Après impact'!T654))</f>
        <v/>
      </c>
      <c r="FF4" s="25" t="str">
        <f>IF('Eval-Après impact'!$T$107=0,"",IF('Eval-Après impact'!$T$107="","",IF('Eval-Après impact'!J661="X","oui","non")))</f>
        <v/>
      </c>
      <c r="FG4" s="25" t="str">
        <f>IF('Eval-Après impact'!$T$107=0,"",IF('Eval-Après impact'!$T$107="","",IF('Eval-Après impact'!J662="X","oui","non")))</f>
        <v/>
      </c>
      <c r="FH4" s="25" t="str">
        <f>IF('Eval-Après impact'!$T$107=0,"",IF('Eval-Après impact'!$T$107="","",'Eval-Après impact'!J669))</f>
        <v/>
      </c>
      <c r="FI4" s="25" t="str">
        <f>IF('Eval-Après impact'!$T$107=0,"",IF('Eval-Après impact'!$T$107="","",'Eval-Après impact'!J670))</f>
        <v/>
      </c>
      <c r="FJ4" s="25" t="str">
        <f>IF('Eval-Après impact'!$T$107=0,"",IF('Eval-Après impact'!$T$107="","",'Eval-Après impact'!N669))</f>
        <v/>
      </c>
      <c r="FK4" s="25" t="str">
        <f>IF('Eval-Après impact'!$T$107=0,"",IF('Eval-Après impact'!$T$107="","",'Eval-Après impact'!N670))</f>
        <v/>
      </c>
      <c r="FL4" s="25" t="str">
        <f>IF('Eval-Après impact'!$T$107=0,"",IF('Eval-Après impact'!$T$107="","",'Eval-Après impact'!T669))</f>
        <v/>
      </c>
      <c r="FM4" s="25" t="str">
        <f>IF('Eval-Après impact'!$T$107=0,"",IF('Eval-Après impact'!$T$107="","",'Eval-Après impact'!T670))</f>
        <v/>
      </c>
      <c r="FN4" s="25" t="str">
        <f>IF('Eval-Après impact'!$T$107=0,"",IF('Eval-Après impact'!$T$107="","",IF('Eval-Après impact'!J677="X","oui",IF('Eval-Après impact'!T677="X","non",""))))</f>
        <v/>
      </c>
      <c r="FO4" s="25" t="str">
        <f>IF('Eval-Après impact'!$T$107=0,"",IF('Eval-Après impact'!$T$107="","",IF('Eval-Après impact'!J682="X","oui",IF('Eval-Après impact'!T682="X","non",""))))</f>
        <v/>
      </c>
      <c r="FP4" s="25" t="str">
        <f>IF('Eval-Après impact'!$T$107=0,"",IF('Eval-Après impact'!$T$107="","",IF('Eval-Après impact'!J686="X","oui",IF('Eval-Après impact'!T686="X","non",""))))</f>
        <v/>
      </c>
      <c r="FQ4" s="25" t="str">
        <f>IF('Eval-Après impact'!$T$107=0,"",IF('Eval-Après impact'!$T$107="","",IF('Eval-Après impact'!T691&lt;&gt;"",'Eval-Après impact'!T691,"")))</f>
        <v/>
      </c>
      <c r="FR4" s="25" t="str">
        <f>IF('Eval-Après impact'!$T$107=0,"",IF('Eval-Après impact'!$T$107="","",IF('Eval-Après impact'!J695="X","oui",IF('Eval-Après impact'!T695="X","non",""))))</f>
        <v/>
      </c>
      <c r="FS4" s="25" t="str">
        <f>IF('Eval-Après impact'!$T$107=0,"",IF('Eval-Après impact'!$T$107="","",IF('Eval-Après impact'!T699&lt;&gt;"",'Eval-Après impact'!T699,"")))</f>
        <v/>
      </c>
      <c r="FT4" s="25" t="str">
        <f>IF('Eval-Après impact'!$T$107=0,"",IF('Eval-Après impact'!$T$107="","",IF('Eval-Après impact'!J703="X","oui",IF('Eval-Après impact'!T703="X","non",""))))</f>
        <v/>
      </c>
      <c r="FU4" s="25" t="str">
        <f>IF('Eval-Après impact'!$T$107=0,"",IF('Eval-Après impact'!$T$107="","",IF('Eval-Après impact'!J711="X","oui",IF('Eval-Après impact'!T711="X","non",""))))</f>
        <v/>
      </c>
      <c r="FV4" s="25" t="str">
        <f>IF('Eval-Après impact'!$T$107=0,"",IF('Eval-Après impact'!$T$107="","",IF(COUNTA('Eval-Après impact'!J715,'Eval-Après impact'!J716,'Eval-Après impact'!J717,'Eval-Après impact'!J718,'Eval-Après impact'!T715,'Eval-Après impact'!T716,'Eval-Après impact'!T717)=0,"",IF('Eval-Après impact'!J715="X",'Eval-Après impact'!I715,IF('Eval-Après impact'!T715="X",'Eval-Après impact'!S715,IF('Eval-Après impact'!J716="X",'Eval-Après impact'!I716,IF('Eval-Après impact'!T716="X",'Eval-Après impact'!S716,IF('Eval-Après impact'!J717="X",'Eval-Après impact'!I717,IF('Eval-Après impact'!T717="X",'Eval-Après impact'!S717,'Eval-Après impact'!I718)))))))))</f>
        <v/>
      </c>
      <c r="FW4" s="25" t="str">
        <f>IF('Eval-Après impact'!$T$107=0,"",IF('Eval-Après impact'!$T$107="","",IF('Eval-Après impact'!J722="X","oui",IF('Eval-Après impact'!T722="X","non",""))))</f>
        <v/>
      </c>
      <c r="FX4" s="25" t="str">
        <f>IF('Eval-Après impact'!$T$107=0,"",IF('Eval-Après impact'!$T$107="","",IF('Eval-Après impact'!T726&lt;&gt;"",'Eval-Après impact'!T726,"")))</f>
        <v/>
      </c>
      <c r="FY4" s="25" t="str">
        <f>IF('Eval-Après impact'!$T$107=0,"",IF('Eval-Après impact'!$T$107="","",IF('Eval-Après impact'!T732&lt;&gt;"",'Eval-Après impact'!T732,"")))</f>
        <v/>
      </c>
      <c r="FZ4" s="25" t="str">
        <f>IF('Eval-Après impact'!$T$107=0,"",IF('Eval-Après impact'!$T$107="","",IF('Eval-Après impact'!T734&lt;&gt;"",'Eval-Après impact'!T734,"")))</f>
        <v/>
      </c>
      <c r="GA4" s="25" t="str">
        <f>IF('Eval-Après impact'!$T$107=0,"",IF('Eval-Après impact'!$T$107="","",IF('Eval-Après impact'!T736&lt;&gt;"",'Eval-Après impact'!T736,"")))</f>
        <v/>
      </c>
      <c r="GB4" s="25" t="str">
        <f>IF('Eval-Après impact'!$T$107=0,"",IF('Eval-Après impact'!$T$107="","",IF('Eval-Après impact'!T738&lt;&gt;"",'Eval-Après impact'!T738,"")))</f>
        <v/>
      </c>
      <c r="GC4" s="25" t="str">
        <f>IF('Eval-Après impact'!$T$107=0,"",IF('Eval-Après impact'!$T$107="","",IF('Eval-Après impact'!B755&lt;&gt;"",'Eval-Après impact'!B755,"")))</f>
        <v/>
      </c>
      <c r="GD4" s="25" t="str">
        <f>IF('Eval-Après impact'!$T$107=0,"",IF('Eval-Après impact'!$T$107="","",IF('Eval-Après impact'!C755&lt;&gt;"",'Eval-Après impact'!C755,"")))</f>
        <v/>
      </c>
      <c r="GE4" s="25" t="str">
        <f>IF('Eval-Après impact'!$T$107=0,"",IF('Eval-Après impact'!$T$107="","",IF('Eval-Après impact'!A761&lt;&gt;"",'Eval-Après impact'!A761,"")))</f>
        <v/>
      </c>
      <c r="GF4" s="25" t="str">
        <f>IF('Eval-Après impact'!$T$107=0,"",IF('Eval-Après impact'!$T$107="","",IF('Eval-Après impact'!B761&lt;&gt;"",'Eval-Après impact'!B761,"")))</f>
        <v/>
      </c>
      <c r="GG4" s="25" t="str">
        <f>IF('Eval-Après impact'!$T$107=0,"",IF('Eval-Après impact'!$T$107="","",IF('Eval-Après impact'!C761&lt;&gt;"",'Eval-Après impact'!C761,"")))</f>
        <v/>
      </c>
      <c r="GH4" s="25" t="str">
        <f>IF('Eval-Après impact'!$T$107=0,"",IF('Eval-Après impact'!$T$107="","",IF('Eval-Après impact'!E761&lt;&gt;"",'Eval-Après impact'!E761,"")))</f>
        <v/>
      </c>
      <c r="GI4" s="25" t="str">
        <f>IF('Eval-Après impact'!$T$107=0,"",IF('Eval-Après impact'!$T$107="","",IF('Eval-Après impact'!G761&lt;&gt;"",'Eval-Après impact'!G761,"")))</f>
        <v/>
      </c>
      <c r="GJ4" s="25" t="str">
        <f>IF('Eval-Après impact'!$T$107=0,"",IF('Eval-Après impact'!$T$107="","",IF('Eval-Après impact'!H761&lt;&gt;"",'Eval-Après impact'!H761,"")))</f>
        <v/>
      </c>
      <c r="GK4" s="25" t="str">
        <f>IF('Eval-Après impact'!$T$107=0,"",IF('Eval-Après impact'!$T$107="","",IF('Eval-Après impact'!I761&lt;&gt;"",'Eval-Après impact'!I761,"")))</f>
        <v/>
      </c>
      <c r="GL4" s="25" t="str">
        <f>IF('Eval-Après impact'!$T$107=0,"",IF('Eval-Après impact'!$T$107="","",IF('Eval-Après impact'!J761&lt;&gt;"",'Eval-Après impact'!J761,"")))</f>
        <v/>
      </c>
      <c r="GM4" s="25" t="str">
        <f>IF('Eval-Après impact'!$T$107=0,"",IF('Eval-Après impact'!$T$107="","",IF('Eval-Après impact'!K761&lt;&gt;"",'Eval-Après impact'!K761,"")))</f>
        <v/>
      </c>
      <c r="GN4" s="25" t="str">
        <f>IF('Eval-Après impact'!$T$107=0,"",IF('Eval-Après impact'!$T$107="","",IF('Eval-Après impact'!L761&lt;&gt;"",'Eval-Après impact'!L761,"")))</f>
        <v/>
      </c>
      <c r="GO4" s="25" t="str">
        <f>IF('Eval-Après impact'!$T$107=0,"",IF('Eval-Après impact'!$T$107="","",IF('Eval-Après impact'!M761&lt;&gt;"",'Eval-Après impact'!M761,"")))</f>
        <v/>
      </c>
      <c r="GP4" s="25" t="str">
        <f>IF('Eval-Après impact'!$T$107=0,"",IF('Eval-Après impact'!$T$107="","",IF('Eval-Après impact'!N761&lt;&gt;"",'Eval-Après impact'!N761,"")))</f>
        <v/>
      </c>
      <c r="GQ4" s="25" t="str">
        <f>IF('Eval-Après impact'!$T$107=0,"",IF('Eval-Après impact'!$T$107="","",IF('Eval-Après impact'!O761&lt;&gt;"",'Eval-Après impact'!O761,"")))</f>
        <v/>
      </c>
      <c r="GR4" s="25" t="str">
        <f>IF('Eval-Après impact'!$T$107=0,"",IF('Eval-Après impact'!$T$107="","",IF('Eval-Après impact'!P761&lt;&gt;"",'Eval-Après impact'!P761,"")))</f>
        <v/>
      </c>
      <c r="GS4" s="25" t="str">
        <f>IF('Eval-Après impact'!$T$107=0,"",IF('Eval-Après impact'!$T$107="","",IF('Eval-Après impact'!Q761&lt;&gt;"",'Eval-Après impact'!Q761,"")))</f>
        <v/>
      </c>
      <c r="GT4" s="25" t="str">
        <f>IF('Eval-Après impact'!$T$107=0,"",IF('Eval-Après impact'!$T$107="","",IF('Eval-Après impact'!R761&lt;&gt;"",'Eval-Après impact'!R761,"")))</f>
        <v/>
      </c>
      <c r="GU4" s="25" t="str">
        <f>IF('Eval-Après impact'!$T$107=0,"",IF('Eval-Après impact'!$T$107="","",IF('Eval-Après impact'!S761&lt;&gt;"",'Eval-Après impact'!S761,"")))</f>
        <v/>
      </c>
      <c r="GV4" s="25" t="str">
        <f>IF('Eval-Après impact'!$T$107=0,"",IF('Eval-Après impact'!$T$107="","",IF('Eval-Après impact'!T761&lt;&gt;"",'Eval-Après impact'!T761,"")))</f>
        <v/>
      </c>
      <c r="GW4" s="25" t="str">
        <f>IF('Eval-Après impact'!$T$107=0,"",IF('Eval-Après impact'!$T$107="","",IF('Eval-Après impact'!U761&lt;&gt;"",'Eval-Après impact'!U761,"")))</f>
        <v/>
      </c>
      <c r="GX4" s="25" t="str">
        <f>IF('Eval-Après impact'!$T$107=0,"",IF('Eval-Après impact'!$T$107="","",IF('Eval-Après impact'!V761&lt;&gt;"",'Eval-Après impact'!V761,"")))</f>
        <v/>
      </c>
      <c r="GY4" s="25" t="str">
        <f>IF('Eval-Après impact'!$T$107=0,"",IF('Eval-Après impact'!$T$107="","",IF('Eval-Après impact'!W761&lt;&gt;"",'Eval-Après impact'!W761,"")))</f>
        <v/>
      </c>
      <c r="GZ4" s="25" t="str">
        <f>IF('Eval-Après impact'!$T$107=0,"",IF('Eval-Après impact'!$T$107="","",IF('Eval-Après impact'!X761&lt;&gt;"",'Eval-Après impact'!X761,"")))</f>
        <v/>
      </c>
      <c r="HA4" s="25" t="str">
        <f>IF('Eval-Après impact'!$T$107=0,"",IF('Eval-Après impact'!$T$107="","",IF('Eval-Après impact'!Y761&lt;&gt;"",'Eval-Après impact'!Y761,"")))</f>
        <v/>
      </c>
      <c r="HB4" s="25" t="str">
        <f>IF('Eval-Après impact'!$T$107=0,"",IF('Eval-Après impact'!$T$107="","",IF('Eval-Après impact'!A762&lt;&gt;"",'Eval-Après impact'!A762,"")))</f>
        <v/>
      </c>
      <c r="HC4" s="25" t="str">
        <f>IF('Eval-Après impact'!$T$107=0,"",IF('Eval-Après impact'!$T$107="","",IF('Eval-Après impact'!B762&lt;&gt;"",'Eval-Après impact'!B762,"")))</f>
        <v/>
      </c>
      <c r="HD4" s="25" t="str">
        <f>IF('Eval-Après impact'!$T$107=0,"",IF('Eval-Après impact'!$T$107="","",IF('Eval-Après impact'!C762&lt;&gt;"",'Eval-Après impact'!C762,"")))</f>
        <v/>
      </c>
      <c r="HE4" s="25" t="str">
        <f>IF('Eval-Après impact'!$T$107=0,"",IF('Eval-Après impact'!$T$107="","",IF('Eval-Après impact'!E762&lt;&gt;"",'Eval-Après impact'!E762,"")))</f>
        <v/>
      </c>
      <c r="HF4" s="25" t="str">
        <f>IF('Eval-Après impact'!$T$107=0,"",IF('Eval-Après impact'!$T$107="","",IF('Eval-Après impact'!G762&lt;&gt;"",'Eval-Après impact'!G762,"")))</f>
        <v/>
      </c>
      <c r="HG4" s="25" t="str">
        <f>IF('Eval-Après impact'!$T$107=0,"",IF('Eval-Après impact'!$T$107="","",IF('Eval-Après impact'!H762&lt;&gt;"",'Eval-Après impact'!H762,"")))</f>
        <v/>
      </c>
      <c r="HH4" s="25" t="str">
        <f>IF('Eval-Après impact'!$T$107=0,"",IF('Eval-Après impact'!$T$107="","",IF('Eval-Après impact'!I762&lt;&gt;"",'Eval-Après impact'!I762,"")))</f>
        <v/>
      </c>
      <c r="HI4" s="25" t="str">
        <f>IF('Eval-Après impact'!$T$107=0,"",IF('Eval-Après impact'!$T$107="","",IF('Eval-Après impact'!J762&lt;&gt;"",'Eval-Après impact'!J762,"")))</f>
        <v/>
      </c>
      <c r="HJ4" s="25" t="str">
        <f>IF('Eval-Après impact'!$T$107=0,"",IF('Eval-Après impact'!$T$107="","",IF('Eval-Après impact'!K762&lt;&gt;"",'Eval-Après impact'!K762,"")))</f>
        <v/>
      </c>
      <c r="HK4" s="25" t="str">
        <f>IF('Eval-Après impact'!$T$107=0,"",IF('Eval-Après impact'!$T$107="","",IF('Eval-Après impact'!L762&lt;&gt;"",'Eval-Après impact'!L762,"")))</f>
        <v/>
      </c>
      <c r="HL4" s="25" t="str">
        <f>IF('Eval-Après impact'!$T$107=0,"",IF('Eval-Après impact'!$T$107="","",IF('Eval-Après impact'!M762&lt;&gt;"",'Eval-Après impact'!M762,"")))</f>
        <v/>
      </c>
      <c r="HM4" s="25" t="str">
        <f>IF('Eval-Après impact'!$T$107=0,"",IF('Eval-Après impact'!$T$107="","",IF('Eval-Après impact'!N762&lt;&gt;"",'Eval-Après impact'!N762,"")))</f>
        <v/>
      </c>
      <c r="HN4" s="25" t="str">
        <f>IF('Eval-Après impact'!$T$107=0,"",IF('Eval-Après impact'!$T$107="","",IF('Eval-Après impact'!O762&lt;&gt;"",'Eval-Après impact'!O762,"")))</f>
        <v/>
      </c>
      <c r="HO4" s="25" t="str">
        <f>IF('Eval-Après impact'!$T$107=0,"",IF('Eval-Après impact'!$T$107="","",IF('Eval-Après impact'!P762&lt;&gt;"",'Eval-Après impact'!P762,"")))</f>
        <v/>
      </c>
      <c r="HP4" s="25" t="str">
        <f>IF('Eval-Après impact'!$T$107=0,"",IF('Eval-Après impact'!$T$107="","",IF('Eval-Après impact'!Q762&lt;&gt;"",'Eval-Après impact'!Q762,"")))</f>
        <v/>
      </c>
      <c r="HQ4" s="25" t="str">
        <f>IF('Eval-Après impact'!$T$107=0,"",IF('Eval-Après impact'!$T$107="","",IF('Eval-Après impact'!R762&lt;&gt;"",'Eval-Après impact'!R762,"")))</f>
        <v/>
      </c>
      <c r="HR4" s="25" t="str">
        <f>IF('Eval-Après impact'!$T$107=0,"",IF('Eval-Après impact'!$T$107="","",IF('Eval-Après impact'!S762&lt;&gt;"",'Eval-Après impact'!S762,"")))</f>
        <v/>
      </c>
      <c r="HS4" s="25" t="str">
        <f>IF('Eval-Après impact'!$T$107=0,"",IF('Eval-Après impact'!$T$107="","",IF('Eval-Après impact'!T762&lt;&gt;"",'Eval-Après impact'!T762,"")))</f>
        <v/>
      </c>
      <c r="HT4" s="25" t="str">
        <f>IF('Eval-Après impact'!$T$107=0,"",IF('Eval-Après impact'!$T$107="","",IF('Eval-Après impact'!U762&lt;&gt;"",'Eval-Après impact'!U762,"")))</f>
        <v/>
      </c>
      <c r="HU4" s="25" t="str">
        <f>IF('Eval-Après impact'!$T$107=0,"",IF('Eval-Après impact'!$T$107="","",IF('Eval-Après impact'!V762&lt;&gt;"",'Eval-Après impact'!V762,"")))</f>
        <v/>
      </c>
      <c r="HV4" s="25" t="str">
        <f>IF('Eval-Après impact'!$T$107=0,"",IF('Eval-Après impact'!$T$107="","",IF('Eval-Après impact'!W762&lt;&gt;"",'Eval-Après impact'!W762,"")))</f>
        <v/>
      </c>
      <c r="HW4" s="25" t="str">
        <f>IF('Eval-Après impact'!$T$107=0,"",IF('Eval-Après impact'!$T$107="","",IF('Eval-Après impact'!X762&lt;&gt;"",'Eval-Après impact'!X762,"")))</f>
        <v/>
      </c>
      <c r="HX4" s="25" t="str">
        <f>IF('Eval-Après impact'!$T$107=0,"",IF('Eval-Après impact'!$T$107="","",IF('Eval-Après impact'!Y762&lt;&gt;"",'Eval-Après impact'!Y762,"")))</f>
        <v/>
      </c>
      <c r="HY4" s="25" t="str">
        <f>IF('Eval-Après impact'!$T$107=0,"",IF('Eval-Après impact'!$T$107="","",IF('Eval-Après impact'!A763&lt;&gt;"",'Eval-Après impact'!A763,"")))</f>
        <v/>
      </c>
      <c r="HZ4" s="25" t="str">
        <f>IF('Eval-Après impact'!$T$107=0,"",IF('Eval-Après impact'!$T$107="","",IF('Eval-Après impact'!B763&lt;&gt;"",'Eval-Après impact'!B763,"")))</f>
        <v/>
      </c>
      <c r="IA4" s="25" t="str">
        <f>IF('Eval-Après impact'!$T$107=0,"",IF('Eval-Après impact'!$T$107="","",IF('Eval-Après impact'!C763&lt;&gt;"",'Eval-Après impact'!C763,"")))</f>
        <v/>
      </c>
      <c r="IB4" s="25" t="str">
        <f>IF('Eval-Après impact'!$T$107=0,"",IF('Eval-Après impact'!$T$107="","",IF('Eval-Après impact'!E763&lt;&gt;"",'Eval-Après impact'!E763,"")))</f>
        <v/>
      </c>
      <c r="IC4" s="25" t="str">
        <f>IF('Eval-Après impact'!$T$107=0,"",IF('Eval-Après impact'!$T$107="","",IF('Eval-Après impact'!G763&lt;&gt;"",'Eval-Après impact'!G763,"")))</f>
        <v/>
      </c>
      <c r="ID4" s="25" t="str">
        <f>IF('Eval-Après impact'!$T$107=0,"",IF('Eval-Après impact'!$T$107="","",IF('Eval-Après impact'!H763&lt;&gt;"",'Eval-Après impact'!H763,"")))</f>
        <v/>
      </c>
      <c r="IE4" s="25" t="str">
        <f>IF('Eval-Après impact'!$T$107=0,"",IF('Eval-Après impact'!$T$107="","",IF('Eval-Après impact'!I763&lt;&gt;"",'Eval-Après impact'!I763,"")))</f>
        <v/>
      </c>
      <c r="IF4" s="25" t="str">
        <f>IF('Eval-Après impact'!$T$107=0,"",IF('Eval-Après impact'!$T$107="","",IF('Eval-Après impact'!J763&lt;&gt;"",'Eval-Après impact'!J763,"")))</f>
        <v/>
      </c>
      <c r="IG4" s="25" t="str">
        <f>IF('Eval-Après impact'!$T$107=0,"",IF('Eval-Après impact'!$T$107="","",IF('Eval-Après impact'!K763&lt;&gt;"",'Eval-Après impact'!K763,"")))</f>
        <v/>
      </c>
      <c r="IH4" s="25" t="str">
        <f>IF('Eval-Après impact'!$T$107=0,"",IF('Eval-Après impact'!$T$107="","",IF('Eval-Après impact'!L763&lt;&gt;"",'Eval-Après impact'!L763,"")))</f>
        <v/>
      </c>
      <c r="II4" s="25" t="str">
        <f>IF('Eval-Après impact'!$T$107=0,"",IF('Eval-Après impact'!$T$107="","",IF('Eval-Après impact'!M763&lt;&gt;"",'Eval-Après impact'!M763,"")))</f>
        <v/>
      </c>
      <c r="IJ4" s="25" t="str">
        <f>IF('Eval-Après impact'!$T$107=0,"",IF('Eval-Après impact'!$T$107="","",IF('Eval-Après impact'!N763&lt;&gt;"",'Eval-Après impact'!N763,"")))</f>
        <v/>
      </c>
      <c r="IK4" s="25" t="str">
        <f>IF('Eval-Après impact'!$T$107=0,"",IF('Eval-Après impact'!$T$107="","",IF('Eval-Après impact'!O763&lt;&gt;"",'Eval-Après impact'!O763,"")))</f>
        <v/>
      </c>
      <c r="IL4" s="25" t="str">
        <f>IF('Eval-Après impact'!$T$107=0,"",IF('Eval-Après impact'!$T$107="","",IF('Eval-Après impact'!P763&lt;&gt;"",'Eval-Après impact'!P763,"")))</f>
        <v/>
      </c>
      <c r="IM4" s="25" t="str">
        <f>IF('Eval-Après impact'!$T$107=0,"",IF('Eval-Après impact'!$T$107="","",IF('Eval-Après impact'!Q763&lt;&gt;"",'Eval-Après impact'!Q763,"")))</f>
        <v/>
      </c>
      <c r="IN4" s="25" t="str">
        <f>IF('Eval-Après impact'!$T$107=0,"",IF('Eval-Après impact'!$T$107="","",IF('Eval-Après impact'!R763&lt;&gt;"",'Eval-Après impact'!R763,"")))</f>
        <v/>
      </c>
      <c r="IO4" s="25" t="str">
        <f>IF('Eval-Après impact'!$T$107=0,"",IF('Eval-Après impact'!$T$107="","",IF('Eval-Après impact'!S763&lt;&gt;"",'Eval-Après impact'!S763,"")))</f>
        <v/>
      </c>
      <c r="IP4" s="25" t="str">
        <f>IF('Eval-Après impact'!$T$107=0,"",IF('Eval-Après impact'!$T$107="","",IF('Eval-Après impact'!T763&lt;&gt;"",'Eval-Après impact'!T763,"")))</f>
        <v/>
      </c>
      <c r="IQ4" s="25" t="str">
        <f>IF('Eval-Après impact'!$T$107=0,"",IF('Eval-Après impact'!$T$107="","",IF('Eval-Après impact'!U763&lt;&gt;"",'Eval-Après impact'!U763,"")))</f>
        <v/>
      </c>
      <c r="IR4" s="25" t="str">
        <f>IF('Eval-Après impact'!$T$107=0,"",IF('Eval-Après impact'!$T$107="","",IF('Eval-Après impact'!V763&lt;&gt;"",'Eval-Après impact'!V763,"")))</f>
        <v/>
      </c>
      <c r="IS4" s="25" t="str">
        <f>IF('Eval-Après impact'!$T$107=0,"",IF('Eval-Après impact'!$T$107="","",IF('Eval-Après impact'!W763&lt;&gt;"",'Eval-Après impact'!W763,"")))</f>
        <v/>
      </c>
      <c r="IT4" s="25" t="str">
        <f>IF('Eval-Après impact'!$T$107=0,"",IF('Eval-Après impact'!$T$107="","",IF('Eval-Après impact'!X763&lt;&gt;"",'Eval-Après impact'!X763,"")))</f>
        <v/>
      </c>
      <c r="IU4" s="25" t="str">
        <f>IF('Eval-Après impact'!$T$107=0,"",IF('Eval-Après impact'!$T$107="","",IF('Eval-Après impact'!Y763&lt;&gt;"",'Eval-Après impact'!Y763,"")))</f>
        <v/>
      </c>
      <c r="IV4" s="25" t="str">
        <f>IF('Eval-Après impact'!$T$107=0,"",IF('Eval-Après impact'!$T$107="","",IF('Eval-Après impact'!A764&lt;&gt;"",'Eval-Après impact'!A764,"")))</f>
        <v/>
      </c>
      <c r="IW4" s="25" t="str">
        <f>IF('Eval-Après impact'!$T$107=0,"",IF('Eval-Après impact'!$T$107="","",IF('Eval-Après impact'!B764&lt;&gt;"",'Eval-Après impact'!B764,"")))</f>
        <v/>
      </c>
      <c r="IX4" s="25" t="str">
        <f>IF('Eval-Après impact'!$T$107=0,"",IF('Eval-Après impact'!$T$107="","",IF('Eval-Après impact'!C764&lt;&gt;"",'Eval-Après impact'!C764,"")))</f>
        <v/>
      </c>
      <c r="IY4" s="25" t="str">
        <f>IF('Eval-Après impact'!$T$107=0,"",IF('Eval-Après impact'!$T$107="","",IF('Eval-Après impact'!E764&lt;&gt;"",'Eval-Après impact'!E764,"")))</f>
        <v/>
      </c>
      <c r="IZ4" s="25" t="str">
        <f>IF('Eval-Après impact'!$T$107=0,"",IF('Eval-Après impact'!$T$107="","",IF('Eval-Après impact'!G764&lt;&gt;"",'Eval-Après impact'!G764,"")))</f>
        <v/>
      </c>
      <c r="JA4" s="25" t="str">
        <f>IF('Eval-Après impact'!$T$107=0,"",IF('Eval-Après impact'!$T$107="","",IF('Eval-Après impact'!H764&lt;&gt;"",'Eval-Après impact'!H764,"")))</f>
        <v/>
      </c>
      <c r="JB4" s="25" t="str">
        <f>IF('Eval-Après impact'!$T$107=0,"",IF('Eval-Après impact'!$T$107="","",IF('Eval-Après impact'!I764&lt;&gt;"",'Eval-Après impact'!I764,"")))</f>
        <v/>
      </c>
      <c r="JC4" s="25" t="str">
        <f>IF('Eval-Après impact'!$T$107=0,"",IF('Eval-Après impact'!$T$107="","",IF('Eval-Après impact'!J764&lt;&gt;"",'Eval-Après impact'!J764,"")))</f>
        <v/>
      </c>
      <c r="JD4" s="25" t="str">
        <f>IF('Eval-Après impact'!$T$107=0,"",IF('Eval-Après impact'!$T$107="","",IF('Eval-Après impact'!K764&lt;&gt;"",'Eval-Après impact'!K764,"")))</f>
        <v/>
      </c>
      <c r="JE4" s="25" t="str">
        <f>IF('Eval-Après impact'!$T$107=0,"",IF('Eval-Après impact'!$T$107="","",IF('Eval-Après impact'!L764&lt;&gt;"",'Eval-Après impact'!L764,"")))</f>
        <v/>
      </c>
      <c r="JF4" s="25" t="str">
        <f>IF('Eval-Après impact'!$T$107=0,"",IF('Eval-Après impact'!$T$107="","",IF('Eval-Après impact'!M764&lt;&gt;"",'Eval-Après impact'!M764,"")))</f>
        <v/>
      </c>
      <c r="JG4" s="25" t="str">
        <f>IF('Eval-Après impact'!$T$107=0,"",IF('Eval-Après impact'!$T$107="","",IF('Eval-Après impact'!N764&lt;&gt;"",'Eval-Après impact'!N764,"")))</f>
        <v/>
      </c>
      <c r="JH4" s="25" t="str">
        <f>IF('Eval-Après impact'!$T$107=0,"",IF('Eval-Après impact'!$T$107="","",IF('Eval-Après impact'!O764&lt;&gt;"",'Eval-Après impact'!O764,"")))</f>
        <v/>
      </c>
      <c r="JI4" s="25" t="str">
        <f>IF('Eval-Après impact'!$T$107=0,"",IF('Eval-Après impact'!$T$107="","",IF('Eval-Après impact'!P764&lt;&gt;"",'Eval-Après impact'!P764,"")))</f>
        <v/>
      </c>
      <c r="JJ4" s="25" t="str">
        <f>IF('Eval-Après impact'!$T$107=0,"",IF('Eval-Après impact'!$T$107="","",IF('Eval-Après impact'!Q764&lt;&gt;"",'Eval-Après impact'!Q764,"")))</f>
        <v/>
      </c>
      <c r="JK4" s="25" t="str">
        <f>IF('Eval-Après impact'!$T$107=0,"",IF('Eval-Après impact'!$T$107="","",IF('Eval-Après impact'!R764&lt;&gt;"",'Eval-Après impact'!R764,"")))</f>
        <v/>
      </c>
      <c r="JL4" s="25" t="str">
        <f>IF('Eval-Après impact'!$T$107=0,"",IF('Eval-Après impact'!$T$107="","",IF('Eval-Après impact'!S764&lt;&gt;"",'Eval-Après impact'!S764,"")))</f>
        <v/>
      </c>
      <c r="JM4" s="25" t="str">
        <f>IF('Eval-Après impact'!$T$107=0,"",IF('Eval-Après impact'!$T$107="","",IF('Eval-Après impact'!T764&lt;&gt;"",'Eval-Après impact'!T764,"")))</f>
        <v/>
      </c>
      <c r="JN4" s="25" t="str">
        <f>IF('Eval-Après impact'!$T$107=0,"",IF('Eval-Après impact'!$T$107="","",IF('Eval-Après impact'!U764&lt;&gt;"",'Eval-Après impact'!U764,"")))</f>
        <v/>
      </c>
      <c r="JO4" s="25" t="str">
        <f>IF('Eval-Après impact'!$T$107=0,"",IF('Eval-Après impact'!$T$107="","",IF('Eval-Après impact'!V764&lt;&gt;"",'Eval-Après impact'!V764,"")))</f>
        <v/>
      </c>
      <c r="JP4" s="25" t="str">
        <f>IF('Eval-Après impact'!$T$107=0,"",IF('Eval-Après impact'!$T$107="","",IF('Eval-Après impact'!W764&lt;&gt;"",'Eval-Après impact'!W764,"")))</f>
        <v/>
      </c>
      <c r="JQ4" s="25" t="str">
        <f>IF('Eval-Après impact'!$T$107=0,"",IF('Eval-Après impact'!$T$107="","",IF('Eval-Après impact'!X764&lt;&gt;"",'Eval-Après impact'!X764,"")))</f>
        <v/>
      </c>
      <c r="JR4" s="25" t="str">
        <f>IF('Eval-Après impact'!$T$107=0,"",IF('Eval-Après impact'!$T$107="","",IF('Eval-Après impact'!Y764&lt;&gt;"",'Eval-Après impact'!Y764,"")))</f>
        <v/>
      </c>
      <c r="JS4" s="25" t="str">
        <f>IF('Eval-Après impact'!$T$107=0,"",IF('Eval-Après impact'!$T$107="","",IF('Eval-Après impact'!A765&lt;&gt;"",'Eval-Après impact'!A765,"")))</f>
        <v/>
      </c>
      <c r="JT4" s="25" t="str">
        <f>IF('Eval-Après impact'!$T$107=0,"",IF('Eval-Après impact'!$T$107="","",IF('Eval-Après impact'!B765&lt;&gt;"",'Eval-Après impact'!B765,"")))</f>
        <v/>
      </c>
      <c r="JU4" s="25" t="str">
        <f>IF('Eval-Après impact'!$T$107=0,"",IF('Eval-Après impact'!$T$107="","",IF('Eval-Après impact'!C765&lt;&gt;"",'Eval-Après impact'!C765,"")))</f>
        <v/>
      </c>
      <c r="JV4" s="25" t="str">
        <f>IF('Eval-Après impact'!$T$107=0,"",IF('Eval-Après impact'!$T$107="","",IF('Eval-Après impact'!E765&lt;&gt;"",'Eval-Après impact'!E765,"")))</f>
        <v/>
      </c>
      <c r="JW4" s="25" t="str">
        <f>IF('Eval-Après impact'!$T$107=0,"",IF('Eval-Après impact'!$T$107="","",IF('Eval-Après impact'!G765&lt;&gt;"",'Eval-Après impact'!G765,"")))</f>
        <v/>
      </c>
      <c r="JX4" s="25" t="str">
        <f>IF('Eval-Après impact'!$T$107=0,"",IF('Eval-Après impact'!$T$107="","",IF('Eval-Après impact'!H765&lt;&gt;"",'Eval-Après impact'!H765,"")))</f>
        <v/>
      </c>
      <c r="JY4" s="25" t="str">
        <f>IF('Eval-Après impact'!$T$107=0,"",IF('Eval-Après impact'!$T$107="","",IF('Eval-Après impact'!I765&lt;&gt;"",'Eval-Après impact'!I765,"")))</f>
        <v/>
      </c>
      <c r="JZ4" s="25" t="str">
        <f>IF('Eval-Après impact'!$T$107=0,"",IF('Eval-Après impact'!$T$107="","",IF('Eval-Après impact'!J765&lt;&gt;"",'Eval-Après impact'!J765,"")))</f>
        <v/>
      </c>
      <c r="KA4" s="25" t="str">
        <f>IF('Eval-Après impact'!$T$107=0,"",IF('Eval-Après impact'!$T$107="","",IF('Eval-Après impact'!K765&lt;&gt;"",'Eval-Après impact'!K765,"")))</f>
        <v/>
      </c>
      <c r="KB4" s="25" t="str">
        <f>IF('Eval-Après impact'!$T$107=0,"",IF('Eval-Après impact'!$T$107="","",IF('Eval-Après impact'!L765&lt;&gt;"",'Eval-Après impact'!L765,"")))</f>
        <v/>
      </c>
      <c r="KC4" s="25" t="str">
        <f>IF('Eval-Après impact'!$T$107=0,"",IF('Eval-Après impact'!$T$107="","",IF('Eval-Après impact'!M765&lt;&gt;"",'Eval-Après impact'!M765,"")))</f>
        <v/>
      </c>
      <c r="KD4" s="25" t="str">
        <f>IF('Eval-Après impact'!$T$107=0,"",IF('Eval-Après impact'!$T$107="","",IF('Eval-Après impact'!N765&lt;&gt;"",'Eval-Après impact'!N765,"")))</f>
        <v/>
      </c>
      <c r="KE4" s="25" t="str">
        <f>IF('Eval-Après impact'!$T$107=0,"",IF('Eval-Après impact'!$T$107="","",IF('Eval-Après impact'!O765&lt;&gt;"",'Eval-Après impact'!O765,"")))</f>
        <v/>
      </c>
      <c r="KF4" s="25" t="str">
        <f>IF('Eval-Après impact'!$T$107=0,"",IF('Eval-Après impact'!$T$107="","",IF('Eval-Après impact'!P765&lt;&gt;"",'Eval-Après impact'!P765,"")))</f>
        <v/>
      </c>
      <c r="KG4" s="25" t="str">
        <f>IF('Eval-Après impact'!$T$107=0,"",IF('Eval-Après impact'!$T$107="","",IF('Eval-Après impact'!Q765&lt;&gt;"",'Eval-Après impact'!Q765,"")))</f>
        <v/>
      </c>
      <c r="KH4" s="25" t="str">
        <f>IF('Eval-Après impact'!$T$107=0,"",IF('Eval-Après impact'!$T$107="","",IF('Eval-Après impact'!R765&lt;&gt;"",'Eval-Après impact'!R765,"")))</f>
        <v/>
      </c>
      <c r="KI4" s="25" t="str">
        <f>IF('Eval-Après impact'!$T$107=0,"",IF('Eval-Après impact'!$T$107="","",IF('Eval-Après impact'!S765&lt;&gt;"",'Eval-Après impact'!S765,"")))</f>
        <v/>
      </c>
      <c r="KJ4" s="25" t="str">
        <f>IF('Eval-Après impact'!$T$107=0,"",IF('Eval-Après impact'!$T$107="","",IF('Eval-Après impact'!T765&lt;&gt;"",'Eval-Après impact'!T765,"")))</f>
        <v/>
      </c>
      <c r="KK4" s="25" t="str">
        <f>IF('Eval-Après impact'!$T$107=0,"",IF('Eval-Après impact'!$T$107="","",IF('Eval-Après impact'!U765&lt;&gt;"",'Eval-Après impact'!U765,"")))</f>
        <v/>
      </c>
      <c r="KL4" s="25" t="str">
        <f>IF('Eval-Après impact'!$T$107=0,"",IF('Eval-Après impact'!$T$107="","",IF('Eval-Après impact'!V765&lt;&gt;"",'Eval-Après impact'!V765,"")))</f>
        <v/>
      </c>
      <c r="KM4" s="25" t="str">
        <f>IF('Eval-Après impact'!$T$107=0,"",IF('Eval-Après impact'!$T$107="","",IF('Eval-Après impact'!W765&lt;&gt;"",'Eval-Après impact'!W765,"")))</f>
        <v/>
      </c>
      <c r="KN4" s="25" t="str">
        <f>IF('Eval-Après impact'!$T$107=0,"",IF('Eval-Après impact'!$T$107="","",IF('Eval-Après impact'!X765&lt;&gt;"",'Eval-Après impact'!X765,"")))</f>
        <v/>
      </c>
      <c r="KO4" s="25" t="str">
        <f>IF('Eval-Après impact'!$T$107=0,"",IF('Eval-Après impact'!$T$107="","",IF('Eval-Après impact'!Y765&lt;&gt;"",'Eval-Après impact'!Y765,"")))</f>
        <v/>
      </c>
      <c r="KP4" s="25" t="str">
        <f>IF('Eval-Après impact'!$T$107=0,"",IF('Eval-Après impact'!$T$107="","",IF('Eval-Après impact'!A766&lt;&gt;"",'Eval-Après impact'!A766,"")))</f>
        <v/>
      </c>
      <c r="KQ4" s="25" t="str">
        <f>IF('Eval-Après impact'!$T$107=0,"",IF('Eval-Après impact'!$T$107="","",IF('Eval-Après impact'!B766&lt;&gt;"",'Eval-Après impact'!B766,"")))</f>
        <v/>
      </c>
      <c r="KR4" s="25" t="str">
        <f>IF('Eval-Après impact'!$T$107=0,"",IF('Eval-Après impact'!$T$107="","",IF('Eval-Après impact'!C766&lt;&gt;"",'Eval-Après impact'!C766,"")))</f>
        <v/>
      </c>
      <c r="KS4" s="25" t="str">
        <f>IF('Eval-Après impact'!$T$107=0,"",IF('Eval-Après impact'!$T$107="","",IF('Eval-Après impact'!E766&lt;&gt;"",'Eval-Après impact'!E766,"")))</f>
        <v/>
      </c>
      <c r="KT4" s="25" t="str">
        <f>IF('Eval-Après impact'!$T$107=0,"",IF('Eval-Après impact'!$T$107="","",IF('Eval-Après impact'!G766&lt;&gt;"",'Eval-Après impact'!G766,"")))</f>
        <v/>
      </c>
      <c r="KU4" s="25" t="str">
        <f>IF('Eval-Après impact'!$T$107=0,"",IF('Eval-Après impact'!$T$107="","",IF('Eval-Après impact'!H766&lt;&gt;"",'Eval-Après impact'!H766,"")))</f>
        <v/>
      </c>
      <c r="KV4" s="25" t="str">
        <f>IF('Eval-Après impact'!$T$107=0,"",IF('Eval-Après impact'!$T$107="","",IF('Eval-Après impact'!I766&lt;&gt;"",'Eval-Après impact'!I766,"")))</f>
        <v/>
      </c>
      <c r="KW4" s="25" t="str">
        <f>IF('Eval-Après impact'!$T$107=0,"",IF('Eval-Après impact'!$T$107="","",IF('Eval-Après impact'!J766&lt;&gt;"",'Eval-Après impact'!J766,"")))</f>
        <v/>
      </c>
      <c r="KX4" s="25" t="str">
        <f>IF('Eval-Après impact'!$T$107=0,"",IF('Eval-Après impact'!$T$107="","",IF('Eval-Après impact'!K766&lt;&gt;"",'Eval-Après impact'!K766,"")))</f>
        <v/>
      </c>
      <c r="KY4" s="25" t="str">
        <f>IF('Eval-Après impact'!$T$107=0,"",IF('Eval-Après impact'!$T$107="","",IF('Eval-Après impact'!L766&lt;&gt;"",'Eval-Après impact'!L766,"")))</f>
        <v/>
      </c>
      <c r="KZ4" s="25" t="str">
        <f>IF('Eval-Après impact'!$T$107=0,"",IF('Eval-Après impact'!$T$107="","",IF('Eval-Après impact'!M766&lt;&gt;"",'Eval-Après impact'!M766,"")))</f>
        <v/>
      </c>
      <c r="LA4" s="25" t="str">
        <f>IF('Eval-Après impact'!$T$107=0,"",IF('Eval-Après impact'!$T$107="","",IF('Eval-Après impact'!N766&lt;&gt;"",'Eval-Après impact'!N766,"")))</f>
        <v/>
      </c>
      <c r="LB4" s="25" t="str">
        <f>IF('Eval-Après impact'!$T$107=0,"",IF('Eval-Après impact'!$T$107="","",IF('Eval-Après impact'!O766&lt;&gt;"",'Eval-Après impact'!O766,"")))</f>
        <v/>
      </c>
      <c r="LC4" s="25" t="str">
        <f>IF('Eval-Après impact'!$T$107=0,"",IF('Eval-Après impact'!$T$107="","",IF('Eval-Après impact'!P766&lt;&gt;"",'Eval-Après impact'!P766,"")))</f>
        <v/>
      </c>
      <c r="LD4" s="25" t="str">
        <f>IF('Eval-Après impact'!$T$107=0,"",IF('Eval-Après impact'!$T$107="","",IF('Eval-Après impact'!Q766&lt;&gt;"",'Eval-Après impact'!Q766,"")))</f>
        <v/>
      </c>
      <c r="LE4" s="25" t="str">
        <f>IF('Eval-Après impact'!$T$107=0,"",IF('Eval-Après impact'!$T$107="","",IF('Eval-Après impact'!R766&lt;&gt;"",'Eval-Après impact'!R766,"")))</f>
        <v/>
      </c>
      <c r="LF4" s="25" t="str">
        <f>IF('Eval-Après impact'!$T$107=0,"",IF('Eval-Après impact'!$T$107="","",IF('Eval-Après impact'!S766&lt;&gt;"",'Eval-Après impact'!S766,"")))</f>
        <v/>
      </c>
      <c r="LG4" s="25" t="str">
        <f>IF('Eval-Après impact'!$T$107=0,"",IF('Eval-Après impact'!$T$107="","",IF('Eval-Après impact'!T766&lt;&gt;"",'Eval-Après impact'!T766,"")))</f>
        <v/>
      </c>
      <c r="LH4" s="25" t="str">
        <f>IF('Eval-Après impact'!$T$107=0,"",IF('Eval-Après impact'!$T$107="","",IF('Eval-Après impact'!U766&lt;&gt;"",'Eval-Après impact'!U766,"")))</f>
        <v/>
      </c>
      <c r="LI4" s="25" t="str">
        <f>IF('Eval-Après impact'!$T$107=0,"",IF('Eval-Après impact'!$T$107="","",IF('Eval-Après impact'!V766&lt;&gt;"",'Eval-Après impact'!V766,"")))</f>
        <v/>
      </c>
      <c r="LJ4" s="25" t="str">
        <f>IF('Eval-Après impact'!$T$107=0,"",IF('Eval-Après impact'!$T$107="","",IF('Eval-Après impact'!W766&lt;&gt;"",'Eval-Après impact'!W766,"")))</f>
        <v/>
      </c>
      <c r="LK4" s="25" t="str">
        <f>IF('Eval-Après impact'!$T$107=0,"",IF('Eval-Après impact'!$T$107="","",IF('Eval-Après impact'!X766&lt;&gt;"",'Eval-Après impact'!X766,"")))</f>
        <v/>
      </c>
      <c r="LL4" s="25" t="str">
        <f>IF('Eval-Après impact'!$T$107=0,"",IF('Eval-Après impact'!$T$107="","",IF('Eval-Après impact'!Y766&lt;&gt;"",'Eval-Après impact'!Y766,"")))</f>
        <v/>
      </c>
      <c r="LM4" s="25" t="str">
        <f>IF('Eval-Après impact'!$T$107=0,"",IF('Eval-Après impact'!$T$107="","",IF('Eval-Après impact'!A767&lt;&gt;"",'Eval-Après impact'!A767,"")))</f>
        <v/>
      </c>
      <c r="LN4" s="25" t="str">
        <f>IF('Eval-Après impact'!$T$107=0,"",IF('Eval-Après impact'!$T$107="","",IF('Eval-Après impact'!B767&lt;&gt;"",'Eval-Après impact'!B767,"")))</f>
        <v/>
      </c>
      <c r="LO4" s="25" t="str">
        <f>IF('Eval-Après impact'!$T$107=0,"",IF('Eval-Après impact'!$T$107="","",IF('Eval-Après impact'!C767&lt;&gt;"",'Eval-Après impact'!C767,"")))</f>
        <v/>
      </c>
      <c r="LP4" s="25" t="str">
        <f>IF('Eval-Après impact'!$T$107=0,"",IF('Eval-Après impact'!$T$107="","",IF('Eval-Après impact'!E767&lt;&gt;"",'Eval-Après impact'!E767,"")))</f>
        <v/>
      </c>
      <c r="LQ4" s="25" t="str">
        <f>IF('Eval-Après impact'!$T$107=0,"",IF('Eval-Après impact'!$T$107="","",IF('Eval-Après impact'!G767&lt;&gt;"",'Eval-Après impact'!G767,"")))</f>
        <v/>
      </c>
      <c r="LR4" s="25" t="str">
        <f>IF('Eval-Après impact'!$T$107=0,"",IF('Eval-Après impact'!$T$107="","",IF('Eval-Après impact'!H767&lt;&gt;"",'Eval-Après impact'!H767,"")))</f>
        <v/>
      </c>
      <c r="LS4" s="25" t="str">
        <f>IF('Eval-Après impact'!$T$107=0,"",IF('Eval-Après impact'!$T$107="","",IF('Eval-Après impact'!I767&lt;&gt;"",'Eval-Après impact'!I767,"")))</f>
        <v/>
      </c>
      <c r="LT4" s="25" t="str">
        <f>IF('Eval-Après impact'!$T$107=0,"",IF('Eval-Après impact'!$T$107="","",IF('Eval-Après impact'!J767&lt;&gt;"",'Eval-Après impact'!J767,"")))</f>
        <v/>
      </c>
      <c r="LU4" s="25" t="str">
        <f>IF('Eval-Après impact'!$T$107=0,"",IF('Eval-Après impact'!$T$107="","",IF('Eval-Après impact'!K767&lt;&gt;"",'Eval-Après impact'!K767,"")))</f>
        <v/>
      </c>
      <c r="LV4" s="25" t="str">
        <f>IF('Eval-Après impact'!$T$107=0,"",IF('Eval-Après impact'!$T$107="","",IF('Eval-Après impact'!L767&lt;&gt;"",'Eval-Après impact'!L767,"")))</f>
        <v/>
      </c>
      <c r="LW4" s="25" t="str">
        <f>IF('Eval-Après impact'!$T$107=0,"",IF('Eval-Après impact'!$T$107="","",IF('Eval-Après impact'!M767&lt;&gt;"",'Eval-Après impact'!M767,"")))</f>
        <v/>
      </c>
      <c r="LX4" s="25" t="str">
        <f>IF('Eval-Après impact'!$T$107=0,"",IF('Eval-Après impact'!$T$107="","",IF('Eval-Après impact'!N767&lt;&gt;"",'Eval-Après impact'!N767,"")))</f>
        <v/>
      </c>
      <c r="LY4" s="25" t="str">
        <f>IF('Eval-Après impact'!$T$107=0,"",IF('Eval-Après impact'!$T$107="","",IF('Eval-Après impact'!O767&lt;&gt;"",'Eval-Après impact'!O767,"")))</f>
        <v/>
      </c>
      <c r="LZ4" s="25" t="str">
        <f>IF('Eval-Après impact'!$T$107=0,"",IF('Eval-Après impact'!$T$107="","",IF('Eval-Après impact'!P767&lt;&gt;"",'Eval-Après impact'!P767,"")))</f>
        <v/>
      </c>
      <c r="MA4" s="25" t="str">
        <f>IF('Eval-Après impact'!$T$107=0,"",IF('Eval-Après impact'!$T$107="","",IF('Eval-Après impact'!Q767&lt;&gt;"",'Eval-Après impact'!Q767,"")))</f>
        <v/>
      </c>
      <c r="MB4" s="25" t="str">
        <f>IF('Eval-Après impact'!$T$107=0,"",IF('Eval-Après impact'!$T$107="","",IF('Eval-Après impact'!R767&lt;&gt;"",'Eval-Après impact'!R767,"")))</f>
        <v/>
      </c>
      <c r="MC4" s="25" t="str">
        <f>IF('Eval-Après impact'!$T$107=0,"",IF('Eval-Après impact'!$T$107="","",IF('Eval-Après impact'!S767&lt;&gt;"",'Eval-Après impact'!S767,"")))</f>
        <v/>
      </c>
      <c r="MD4" s="25" t="str">
        <f>IF('Eval-Après impact'!$T$107=0,"",IF('Eval-Après impact'!$T$107="","",IF('Eval-Après impact'!T767&lt;&gt;"",'Eval-Après impact'!T767,"")))</f>
        <v/>
      </c>
      <c r="ME4" s="25" t="str">
        <f>IF('Eval-Après impact'!$T$107=0,"",IF('Eval-Après impact'!$T$107="","",IF('Eval-Après impact'!U767&lt;&gt;"",'Eval-Après impact'!U767,"")))</f>
        <v/>
      </c>
      <c r="MF4" s="25" t="str">
        <f>IF('Eval-Après impact'!$T$107=0,"",IF('Eval-Après impact'!$T$107="","",IF('Eval-Après impact'!V767&lt;&gt;"",'Eval-Après impact'!V767,"")))</f>
        <v/>
      </c>
      <c r="MG4" s="25" t="str">
        <f>IF('Eval-Après impact'!$T$107=0,"",IF('Eval-Après impact'!$T$107="","",IF('Eval-Après impact'!W767&lt;&gt;"",'Eval-Après impact'!W767,"")))</f>
        <v/>
      </c>
      <c r="MH4" s="25" t="str">
        <f>IF('Eval-Après impact'!$T$107=0,"",IF('Eval-Après impact'!$T$107="","",IF('Eval-Après impact'!X767&lt;&gt;"",'Eval-Après impact'!X767,"")))</f>
        <v/>
      </c>
      <c r="MI4" s="25" t="str">
        <f>IF('Eval-Après impact'!$T$107=0,"",IF('Eval-Après impact'!$T$107="","",IF('Eval-Après impact'!Y767&lt;&gt;"",'Eval-Après impact'!Y767,"")))</f>
        <v/>
      </c>
      <c r="MJ4" s="25" t="str">
        <f>IF('Eval-Après impact'!$T$107=0,"",IF('Eval-Après impact'!$T$107="","",IF('Eval-Après impact'!A768&lt;&gt;"",'Eval-Après impact'!A768,"")))</f>
        <v/>
      </c>
      <c r="MK4" s="25" t="str">
        <f>IF('Eval-Après impact'!$T$107=0,"",IF('Eval-Après impact'!$T$107="","",IF('Eval-Après impact'!B768&lt;&gt;"",'Eval-Après impact'!B768,"")))</f>
        <v/>
      </c>
      <c r="ML4" s="25" t="str">
        <f>IF('Eval-Après impact'!$T$107=0,"",IF('Eval-Après impact'!$T$107="","",IF('Eval-Après impact'!C768&lt;&gt;"",'Eval-Après impact'!C768,"")))</f>
        <v/>
      </c>
      <c r="MM4" s="25" t="str">
        <f>IF('Eval-Après impact'!$T$107=0,"",IF('Eval-Après impact'!$T$107="","",IF('Eval-Après impact'!E768&lt;&gt;"",'Eval-Après impact'!E768,"")))</f>
        <v/>
      </c>
      <c r="MN4" s="25" t="str">
        <f>IF('Eval-Après impact'!$T$107=0,"",IF('Eval-Après impact'!$T$107="","",IF('Eval-Après impact'!G768&lt;&gt;"",'Eval-Après impact'!G768,"")))</f>
        <v/>
      </c>
      <c r="MO4" s="25" t="str">
        <f>IF('Eval-Après impact'!$T$107=0,"",IF('Eval-Après impact'!$T$107="","",IF('Eval-Après impact'!H768&lt;&gt;"",'Eval-Après impact'!H768,"")))</f>
        <v/>
      </c>
      <c r="MP4" s="25" t="str">
        <f>IF('Eval-Après impact'!$T$107=0,"",IF('Eval-Après impact'!$T$107="","",IF('Eval-Après impact'!I768&lt;&gt;"",'Eval-Après impact'!I768,"")))</f>
        <v/>
      </c>
      <c r="MQ4" s="25" t="str">
        <f>IF('Eval-Après impact'!$T$107=0,"",IF('Eval-Après impact'!$T$107="","",IF('Eval-Après impact'!J768&lt;&gt;"",'Eval-Après impact'!J768,"")))</f>
        <v/>
      </c>
      <c r="MR4" s="25" t="str">
        <f>IF('Eval-Après impact'!$T$107=0,"",IF('Eval-Après impact'!$T$107="","",IF('Eval-Après impact'!K768&lt;&gt;"",'Eval-Après impact'!K768,"")))</f>
        <v/>
      </c>
      <c r="MS4" s="25" t="str">
        <f>IF('Eval-Après impact'!$T$107=0,"",IF('Eval-Après impact'!$T$107="","",IF('Eval-Après impact'!L768&lt;&gt;"",'Eval-Après impact'!L768,"")))</f>
        <v/>
      </c>
      <c r="MT4" s="25" t="str">
        <f>IF('Eval-Après impact'!$T$107=0,"",IF('Eval-Après impact'!$T$107="","",IF('Eval-Après impact'!M768&lt;&gt;"",'Eval-Après impact'!M768,"")))</f>
        <v/>
      </c>
      <c r="MU4" s="25" t="str">
        <f>IF('Eval-Après impact'!$T$107=0,"",IF('Eval-Après impact'!$T$107="","",IF('Eval-Après impact'!N768&lt;&gt;"",'Eval-Après impact'!N768,"")))</f>
        <v/>
      </c>
      <c r="MV4" s="25" t="str">
        <f>IF('Eval-Après impact'!$T$107=0,"",IF('Eval-Après impact'!$T$107="","",IF('Eval-Après impact'!O768&lt;&gt;"",'Eval-Après impact'!O768,"")))</f>
        <v/>
      </c>
      <c r="MW4" s="25" t="str">
        <f>IF('Eval-Après impact'!$T$107=0,"",IF('Eval-Après impact'!$T$107="","",IF('Eval-Après impact'!P768&lt;&gt;"",'Eval-Après impact'!P768,"")))</f>
        <v/>
      </c>
      <c r="MX4" s="25" t="str">
        <f>IF('Eval-Après impact'!$T$107=0,"",IF('Eval-Après impact'!$T$107="","",IF('Eval-Après impact'!Q768&lt;&gt;"",'Eval-Après impact'!Q768,"")))</f>
        <v/>
      </c>
      <c r="MY4" s="25" t="str">
        <f>IF('Eval-Après impact'!$T$107=0,"",IF('Eval-Après impact'!$T$107="","",IF('Eval-Après impact'!R768&lt;&gt;"",'Eval-Après impact'!R768,"")))</f>
        <v/>
      </c>
      <c r="MZ4" s="25" t="str">
        <f>IF('Eval-Après impact'!$T$107=0,"",IF('Eval-Après impact'!$T$107="","",IF('Eval-Après impact'!S768&lt;&gt;"",'Eval-Après impact'!S768,"")))</f>
        <v/>
      </c>
      <c r="NA4" s="25" t="str">
        <f>IF('Eval-Après impact'!$T$107=0,"",IF('Eval-Après impact'!$T$107="","",IF('Eval-Après impact'!T768&lt;&gt;"",'Eval-Après impact'!T768,"")))</f>
        <v/>
      </c>
      <c r="NB4" s="25" t="str">
        <f>IF('Eval-Après impact'!$T$107=0,"",IF('Eval-Après impact'!$T$107="","",IF('Eval-Après impact'!U768&lt;&gt;"",'Eval-Après impact'!U768,"")))</f>
        <v/>
      </c>
      <c r="NC4" s="25" t="str">
        <f>IF('Eval-Après impact'!$T$107=0,"",IF('Eval-Après impact'!$T$107="","",IF('Eval-Après impact'!V768&lt;&gt;"",'Eval-Après impact'!V768,"")))</f>
        <v/>
      </c>
      <c r="ND4" s="25" t="str">
        <f>IF('Eval-Après impact'!$T$107=0,"",IF('Eval-Après impact'!$T$107="","",IF('Eval-Après impact'!W768&lt;&gt;"",'Eval-Après impact'!W768,"")))</f>
        <v/>
      </c>
      <c r="NE4" s="25" t="str">
        <f>IF('Eval-Après impact'!$T$107=0,"",IF('Eval-Après impact'!$T$107="","",IF('Eval-Après impact'!X768&lt;&gt;"",'Eval-Après impact'!X768,"")))</f>
        <v/>
      </c>
      <c r="NF4" s="25" t="str">
        <f>IF('Eval-Après impact'!$T$107=0,"",IF('Eval-Après impact'!$T$107="","",IF('Eval-Après impact'!Y768&lt;&gt;"",'Eval-Après impact'!Y768,"")))</f>
        <v/>
      </c>
      <c r="NG4" s="25" t="str">
        <f>IF('Eval-Après impact'!$T$107=0,"",IF('Eval-Après impact'!$T$107="","",IF('Eval-Après impact'!A769&lt;&gt;"",'Eval-Après impact'!A769,"")))</f>
        <v/>
      </c>
      <c r="NH4" s="25" t="str">
        <f>IF('Eval-Après impact'!$T$107=0,"",IF('Eval-Après impact'!$T$107="","",IF('Eval-Après impact'!B769&lt;&gt;"",'Eval-Après impact'!B769,"")))</f>
        <v/>
      </c>
      <c r="NI4" s="25" t="str">
        <f>IF('Eval-Après impact'!$T$107=0,"",IF('Eval-Après impact'!$T$107="","",IF('Eval-Après impact'!C769&lt;&gt;"",'Eval-Après impact'!C769,"")))</f>
        <v/>
      </c>
      <c r="NJ4" s="25" t="str">
        <f>IF('Eval-Après impact'!$T$107=0,"",IF('Eval-Après impact'!$T$107="","",IF('Eval-Après impact'!E769&lt;&gt;"",'Eval-Après impact'!E769,"")))</f>
        <v/>
      </c>
      <c r="NK4" s="25" t="str">
        <f>IF('Eval-Après impact'!$T$107=0,"",IF('Eval-Après impact'!$T$107="","",IF('Eval-Après impact'!G769&lt;&gt;"",'Eval-Après impact'!G769,"")))</f>
        <v/>
      </c>
      <c r="NL4" s="25" t="str">
        <f>IF('Eval-Après impact'!$T$107=0,"",IF('Eval-Après impact'!$T$107="","",IF('Eval-Après impact'!H769&lt;&gt;"",'Eval-Après impact'!H769,"")))</f>
        <v/>
      </c>
      <c r="NM4" s="25" t="str">
        <f>IF('Eval-Après impact'!$T$107=0,"",IF('Eval-Après impact'!$T$107="","",IF('Eval-Après impact'!I769&lt;&gt;"",'Eval-Après impact'!I769,"")))</f>
        <v/>
      </c>
      <c r="NN4" s="25" t="str">
        <f>IF('Eval-Après impact'!$T$107=0,"",IF('Eval-Après impact'!$T$107="","",IF('Eval-Après impact'!J769&lt;&gt;"",'Eval-Après impact'!J769,"")))</f>
        <v/>
      </c>
      <c r="NO4" s="25" t="str">
        <f>IF('Eval-Après impact'!$T$107=0,"",IF('Eval-Après impact'!$T$107="","",IF('Eval-Après impact'!K769&lt;&gt;"",'Eval-Après impact'!K769,"")))</f>
        <v/>
      </c>
      <c r="NP4" s="25" t="str">
        <f>IF('Eval-Après impact'!$T$107=0,"",IF('Eval-Après impact'!$T$107="","",IF('Eval-Après impact'!L769&lt;&gt;"",'Eval-Après impact'!L769,"")))</f>
        <v/>
      </c>
      <c r="NQ4" s="25" t="str">
        <f>IF('Eval-Après impact'!$T$107=0,"",IF('Eval-Après impact'!$T$107="","",IF('Eval-Après impact'!M769&lt;&gt;"",'Eval-Après impact'!M769,"")))</f>
        <v/>
      </c>
      <c r="NR4" s="25" t="str">
        <f>IF('Eval-Après impact'!$T$107=0,"",IF('Eval-Après impact'!$T$107="","",IF('Eval-Après impact'!N769&lt;&gt;"",'Eval-Après impact'!N769,"")))</f>
        <v/>
      </c>
      <c r="NS4" s="25" t="str">
        <f>IF('Eval-Après impact'!$T$107=0,"",IF('Eval-Après impact'!$T$107="","",IF('Eval-Après impact'!O769&lt;&gt;"",'Eval-Après impact'!O769,"")))</f>
        <v/>
      </c>
      <c r="NT4" s="25" t="str">
        <f>IF('Eval-Après impact'!$T$107=0,"",IF('Eval-Après impact'!$T$107="","",IF('Eval-Après impact'!P769&lt;&gt;"",'Eval-Après impact'!P769,"")))</f>
        <v/>
      </c>
      <c r="NU4" s="25" t="str">
        <f>IF('Eval-Après impact'!$T$107=0,"",IF('Eval-Après impact'!$T$107="","",IF('Eval-Après impact'!Q769&lt;&gt;"",'Eval-Après impact'!Q769,"")))</f>
        <v/>
      </c>
      <c r="NV4" s="25" t="str">
        <f>IF('Eval-Après impact'!$T$107=0,"",IF('Eval-Après impact'!$T$107="","",IF('Eval-Après impact'!R769&lt;&gt;"",'Eval-Après impact'!R769,"")))</f>
        <v/>
      </c>
      <c r="NW4" s="25" t="str">
        <f>IF('Eval-Après impact'!$T$107=0,"",IF('Eval-Après impact'!$T$107="","",IF('Eval-Après impact'!S769&lt;&gt;"",'Eval-Après impact'!S769,"")))</f>
        <v/>
      </c>
      <c r="NX4" s="25" t="str">
        <f>IF('Eval-Après impact'!$T$107=0,"",IF('Eval-Après impact'!$T$107="","",IF('Eval-Après impact'!T769&lt;&gt;"",'Eval-Après impact'!T769,"")))</f>
        <v/>
      </c>
      <c r="NY4" s="25" t="str">
        <f>IF('Eval-Après impact'!$T$107=0,"",IF('Eval-Après impact'!$T$107="","",IF('Eval-Après impact'!U769&lt;&gt;"",'Eval-Après impact'!U769,"")))</f>
        <v/>
      </c>
      <c r="NZ4" s="25" t="str">
        <f>IF('Eval-Après impact'!$T$107=0,"",IF('Eval-Après impact'!$T$107="","",IF('Eval-Après impact'!V769&lt;&gt;"",'Eval-Après impact'!V769,"")))</f>
        <v/>
      </c>
      <c r="OA4" s="25" t="str">
        <f>IF('Eval-Après impact'!$T$107=0,"",IF('Eval-Après impact'!$T$107="","",IF('Eval-Après impact'!W769&lt;&gt;"",'Eval-Après impact'!W769,"")))</f>
        <v/>
      </c>
      <c r="OB4" s="25" t="str">
        <f>IF('Eval-Après impact'!$T$107=0,"",IF('Eval-Après impact'!$T$107="","",IF('Eval-Après impact'!X769&lt;&gt;"",'Eval-Après impact'!X769,"")))</f>
        <v/>
      </c>
      <c r="OC4" s="25" t="str">
        <f>IF('Eval-Après impact'!$T$107=0,"",IF('Eval-Après impact'!$T$107="","",IF('Eval-Après impact'!Y769&lt;&gt;"",'Eval-Après impact'!Y769,"")))</f>
        <v/>
      </c>
      <c r="OD4" s="25" t="str">
        <f>IF('Eval-Après impact'!$T$107=0,"",IF('Eval-Après impact'!$T$107="","",IF('Eval-Après impact'!A770&lt;&gt;"",'Eval-Après impact'!A770,"")))</f>
        <v/>
      </c>
      <c r="OE4" s="25" t="str">
        <f>IF('Eval-Après impact'!$T$107=0,"",IF('Eval-Après impact'!$T$107="","",IF('Eval-Après impact'!B770&lt;&gt;"",'Eval-Après impact'!B770,"")))</f>
        <v/>
      </c>
      <c r="OF4" s="25" t="str">
        <f>IF('Eval-Après impact'!$T$107=0,"",IF('Eval-Après impact'!$T$107="","",IF('Eval-Après impact'!C770&lt;&gt;"",'Eval-Après impact'!C770,"")))</f>
        <v/>
      </c>
      <c r="OG4" s="25" t="str">
        <f>IF('Eval-Après impact'!$T$107=0,"",IF('Eval-Après impact'!$T$107="","",IF('Eval-Après impact'!E770&lt;&gt;"",'Eval-Après impact'!E770,"")))</f>
        <v/>
      </c>
      <c r="OH4" s="25" t="str">
        <f>IF('Eval-Après impact'!$T$107=0,"",IF('Eval-Après impact'!$T$107="","",IF('Eval-Après impact'!G770&lt;&gt;"",'Eval-Après impact'!G770,"")))</f>
        <v/>
      </c>
      <c r="OI4" s="25" t="str">
        <f>IF('Eval-Après impact'!$T$107=0,"",IF('Eval-Après impact'!$T$107="","",IF('Eval-Après impact'!H770&lt;&gt;"",'Eval-Après impact'!H770,"")))</f>
        <v/>
      </c>
      <c r="OJ4" s="25" t="str">
        <f>IF('Eval-Après impact'!$T$107=0,"",IF('Eval-Après impact'!$T$107="","",IF('Eval-Après impact'!I770&lt;&gt;"",'Eval-Après impact'!I770,"")))</f>
        <v/>
      </c>
      <c r="OK4" s="25" t="str">
        <f>IF('Eval-Après impact'!$T$107=0,"",IF('Eval-Après impact'!$T$107="","",IF('Eval-Après impact'!J770&lt;&gt;"",'Eval-Après impact'!J770,"")))</f>
        <v/>
      </c>
      <c r="OL4" s="25" t="str">
        <f>IF('Eval-Après impact'!$T$107=0,"",IF('Eval-Après impact'!$T$107="","",IF('Eval-Après impact'!K770&lt;&gt;"",'Eval-Après impact'!K770,"")))</f>
        <v/>
      </c>
      <c r="OM4" s="25" t="str">
        <f>IF('Eval-Après impact'!$T$107=0,"",IF('Eval-Après impact'!$T$107="","",IF('Eval-Après impact'!L770&lt;&gt;"",'Eval-Après impact'!L770,"")))</f>
        <v/>
      </c>
      <c r="ON4" s="25" t="str">
        <f>IF('Eval-Après impact'!$T$107=0,"",IF('Eval-Après impact'!$T$107="","",IF('Eval-Après impact'!M770&lt;&gt;"",'Eval-Après impact'!M770,"")))</f>
        <v/>
      </c>
      <c r="OO4" s="25" t="str">
        <f>IF('Eval-Après impact'!$T$107=0,"",IF('Eval-Après impact'!$T$107="","",IF('Eval-Après impact'!N770&lt;&gt;"",'Eval-Après impact'!N770,"")))</f>
        <v/>
      </c>
      <c r="OP4" s="25" t="str">
        <f>IF('Eval-Après impact'!$T$107=0,"",IF('Eval-Après impact'!$T$107="","",IF('Eval-Après impact'!O770&lt;&gt;"",'Eval-Après impact'!O770,"")))</f>
        <v/>
      </c>
      <c r="OQ4" s="25" t="str">
        <f>IF('Eval-Après impact'!$T$107=0,"",IF('Eval-Après impact'!$T$107="","",IF('Eval-Après impact'!P770&lt;&gt;"",'Eval-Après impact'!P770,"")))</f>
        <v/>
      </c>
      <c r="OR4" s="25" t="str">
        <f>IF('Eval-Après impact'!$T$107=0,"",IF('Eval-Après impact'!$T$107="","",IF('Eval-Après impact'!Q770&lt;&gt;"",'Eval-Après impact'!Q770,"")))</f>
        <v/>
      </c>
      <c r="OS4" s="25" t="str">
        <f>IF('Eval-Après impact'!$T$107=0,"",IF('Eval-Après impact'!$T$107="","",IF('Eval-Après impact'!R770&lt;&gt;"",'Eval-Après impact'!R770,"")))</f>
        <v/>
      </c>
      <c r="OT4" s="25" t="str">
        <f>IF('Eval-Après impact'!$T$107=0,"",IF('Eval-Après impact'!$T$107="","",IF('Eval-Après impact'!S770&lt;&gt;"",'Eval-Après impact'!S770,"")))</f>
        <v/>
      </c>
      <c r="OU4" s="25" t="str">
        <f>IF('Eval-Après impact'!$T$107=0,"",IF('Eval-Après impact'!$T$107="","",IF('Eval-Après impact'!T770&lt;&gt;"",'Eval-Après impact'!T770,"")))</f>
        <v/>
      </c>
      <c r="OV4" s="25" t="str">
        <f>IF('Eval-Après impact'!$T$107=0,"",IF('Eval-Après impact'!$T$107="","",IF('Eval-Après impact'!U770&lt;&gt;"",'Eval-Après impact'!U770,"")))</f>
        <v/>
      </c>
      <c r="OW4" s="25" t="str">
        <f>IF('Eval-Après impact'!$T$107=0,"",IF('Eval-Après impact'!$T$107="","",IF('Eval-Après impact'!V770&lt;&gt;"",'Eval-Après impact'!V770,"")))</f>
        <v/>
      </c>
      <c r="OX4" s="25" t="str">
        <f>IF('Eval-Après impact'!$T$107=0,"",IF('Eval-Après impact'!$T$107="","",IF('Eval-Après impact'!W770&lt;&gt;"",'Eval-Après impact'!W770,"")))</f>
        <v/>
      </c>
      <c r="OY4" s="25" t="str">
        <f>IF('Eval-Après impact'!$T$107=0,"",IF('Eval-Après impact'!$T$107="","",IF('Eval-Après impact'!X770&lt;&gt;"",'Eval-Après impact'!X770,"")))</f>
        <v/>
      </c>
      <c r="OZ4" s="25" t="str">
        <f>IF('Eval-Après impact'!$T$107=0,"",IF('Eval-Après impact'!$T$107="","",IF('Eval-Après impact'!Y770&lt;&gt;"",'Eval-Après impact'!Y770,"")))</f>
        <v/>
      </c>
      <c r="PA4" s="25" t="str">
        <f>IF('Eval-Après impact'!$T$107=0,"",IF('Eval-Après impact'!$T$107="","",IF('Eval-Après impact'!A771&lt;&gt;"",'Eval-Après impact'!A771,"")))</f>
        <v/>
      </c>
      <c r="PB4" s="25" t="str">
        <f>IF('Eval-Après impact'!$T$107=0,"",IF('Eval-Après impact'!$T$107="","",IF('Eval-Après impact'!B771&lt;&gt;"",'Eval-Après impact'!B771,"")))</f>
        <v/>
      </c>
      <c r="PC4" s="25" t="str">
        <f>IF('Eval-Après impact'!$T$107=0,"",IF('Eval-Après impact'!$T$107="","",IF('Eval-Après impact'!C771&lt;&gt;"",'Eval-Après impact'!C771,"")))</f>
        <v/>
      </c>
      <c r="PD4" s="25" t="str">
        <f>IF('Eval-Après impact'!$T$107=0,"",IF('Eval-Après impact'!$T$107="","",IF('Eval-Après impact'!E771&lt;&gt;"",'Eval-Après impact'!E771,"")))</f>
        <v/>
      </c>
      <c r="PE4" s="25" t="str">
        <f>IF('Eval-Après impact'!$T$107=0,"",IF('Eval-Après impact'!$T$107="","",IF('Eval-Après impact'!G771&lt;&gt;"",'Eval-Après impact'!G771,"")))</f>
        <v/>
      </c>
      <c r="PF4" s="25" t="str">
        <f>IF('Eval-Après impact'!$T$107=0,"",IF('Eval-Après impact'!$T$107="","",IF('Eval-Après impact'!H771&lt;&gt;"",'Eval-Après impact'!H771,"")))</f>
        <v/>
      </c>
      <c r="PG4" s="25" t="str">
        <f>IF('Eval-Après impact'!$T$107=0,"",IF('Eval-Après impact'!$T$107="","",IF('Eval-Après impact'!I771&lt;&gt;"",'Eval-Après impact'!I771,"")))</f>
        <v/>
      </c>
      <c r="PH4" s="25" t="str">
        <f>IF('Eval-Après impact'!$T$107=0,"",IF('Eval-Après impact'!$T$107="","",IF('Eval-Après impact'!J771&lt;&gt;"",'Eval-Après impact'!J771,"")))</f>
        <v/>
      </c>
      <c r="PI4" s="25" t="str">
        <f>IF('Eval-Après impact'!$T$107=0,"",IF('Eval-Après impact'!$T$107="","",IF('Eval-Après impact'!K771&lt;&gt;"",'Eval-Après impact'!K771,"")))</f>
        <v/>
      </c>
      <c r="PJ4" s="25" t="str">
        <f>IF('Eval-Après impact'!$T$107=0,"",IF('Eval-Après impact'!$T$107="","",IF('Eval-Après impact'!L771&lt;&gt;"",'Eval-Après impact'!L771,"")))</f>
        <v/>
      </c>
      <c r="PK4" s="25" t="str">
        <f>IF('Eval-Après impact'!$T$107=0,"",IF('Eval-Après impact'!$T$107="","",IF('Eval-Après impact'!M771&lt;&gt;"",'Eval-Après impact'!M771,"")))</f>
        <v/>
      </c>
      <c r="PL4" s="25" t="str">
        <f>IF('Eval-Après impact'!$T$107=0,"",IF('Eval-Après impact'!$T$107="","",IF('Eval-Après impact'!N771&lt;&gt;"",'Eval-Après impact'!N771,"")))</f>
        <v/>
      </c>
      <c r="PM4" s="25" t="str">
        <f>IF('Eval-Après impact'!$T$107=0,"",IF('Eval-Après impact'!$T$107="","",IF('Eval-Après impact'!O771&lt;&gt;"",'Eval-Après impact'!O771,"")))</f>
        <v/>
      </c>
      <c r="PN4" s="25" t="str">
        <f>IF('Eval-Après impact'!$T$107=0,"",IF('Eval-Après impact'!$T$107="","",IF('Eval-Après impact'!P771&lt;&gt;"",'Eval-Après impact'!P771,"")))</f>
        <v/>
      </c>
      <c r="PO4" s="25" t="str">
        <f>IF('Eval-Après impact'!$T$107=0,"",IF('Eval-Après impact'!$T$107="","",IF('Eval-Après impact'!Q771&lt;&gt;"",'Eval-Après impact'!Q771,"")))</f>
        <v/>
      </c>
      <c r="PP4" s="25" t="str">
        <f>IF('Eval-Après impact'!$T$107=0,"",IF('Eval-Après impact'!$T$107="","",IF('Eval-Après impact'!R771&lt;&gt;"",'Eval-Après impact'!R771,"")))</f>
        <v/>
      </c>
      <c r="PQ4" s="25" t="str">
        <f>IF('Eval-Après impact'!$T$107=0,"",IF('Eval-Après impact'!$T$107="","",IF('Eval-Après impact'!S771&lt;&gt;"",'Eval-Après impact'!S771,"")))</f>
        <v/>
      </c>
      <c r="PR4" s="25" t="str">
        <f>IF('Eval-Après impact'!$T$107=0,"",IF('Eval-Après impact'!$T$107="","",IF('Eval-Après impact'!T771&lt;&gt;"",'Eval-Après impact'!T771,"")))</f>
        <v/>
      </c>
      <c r="PS4" s="25" t="str">
        <f>IF('Eval-Après impact'!$T$107=0,"",IF('Eval-Après impact'!$T$107="","",IF('Eval-Après impact'!U771&lt;&gt;"",'Eval-Après impact'!U771,"")))</f>
        <v/>
      </c>
      <c r="PT4" s="25" t="str">
        <f>IF('Eval-Après impact'!$T$107=0,"",IF('Eval-Après impact'!$T$107="","",IF('Eval-Après impact'!V771&lt;&gt;"",'Eval-Après impact'!V771,"")))</f>
        <v/>
      </c>
      <c r="PU4" s="25" t="str">
        <f>IF('Eval-Après impact'!$T$107=0,"",IF('Eval-Après impact'!$T$107="","",IF('Eval-Après impact'!W771&lt;&gt;"",'Eval-Après impact'!W771,"")))</f>
        <v/>
      </c>
      <c r="PV4" s="25" t="str">
        <f>IF('Eval-Après impact'!$T$107=0,"",IF('Eval-Après impact'!$T$107="","",IF('Eval-Après impact'!X771&lt;&gt;"",'Eval-Après impact'!X771,"")))</f>
        <v/>
      </c>
      <c r="PW4" s="25" t="str">
        <f>IF('Eval-Après impact'!$T$107=0,"",IF('Eval-Après impact'!$T$107="","",IF('Eval-Après impact'!Y771&lt;&gt;"",'Eval-Après impact'!Y771,"")))</f>
        <v/>
      </c>
      <c r="PX4" s="25" t="str">
        <f>IF('Eval-Après impact'!$T$107=0,"",IF('Eval-Après impact'!$T$107="","",IF('Eval-Après impact'!A772&lt;&gt;"",'Eval-Après impact'!A772,"")))</f>
        <v/>
      </c>
      <c r="PY4" s="25" t="str">
        <f>IF('Eval-Après impact'!$T$107=0,"",IF('Eval-Après impact'!$T$107="","",IF('Eval-Après impact'!B772&lt;&gt;"",'Eval-Après impact'!B772,"")))</f>
        <v/>
      </c>
      <c r="PZ4" s="25" t="str">
        <f>IF('Eval-Après impact'!$T$107=0,"",IF('Eval-Après impact'!$T$107="","",IF('Eval-Après impact'!C772&lt;&gt;"",'Eval-Après impact'!C772,"")))</f>
        <v/>
      </c>
      <c r="QA4" s="25" t="str">
        <f>IF('Eval-Après impact'!$T$107=0,"",IF('Eval-Après impact'!$T$107="","",IF('Eval-Après impact'!E772&lt;&gt;"",'Eval-Après impact'!E772,"")))</f>
        <v/>
      </c>
      <c r="QB4" s="25" t="str">
        <f>IF('Eval-Après impact'!$T$107=0,"",IF('Eval-Après impact'!$T$107="","",IF('Eval-Après impact'!G772&lt;&gt;"",'Eval-Après impact'!G772,"")))</f>
        <v/>
      </c>
      <c r="QC4" s="25" t="str">
        <f>IF('Eval-Après impact'!$T$107=0,"",IF('Eval-Après impact'!$T$107="","",IF('Eval-Après impact'!H772&lt;&gt;"",'Eval-Après impact'!H772,"")))</f>
        <v/>
      </c>
      <c r="QD4" s="25" t="str">
        <f>IF('Eval-Après impact'!$T$107=0,"",IF('Eval-Après impact'!$T$107="","",IF('Eval-Après impact'!I772&lt;&gt;"",'Eval-Après impact'!I772,"")))</f>
        <v/>
      </c>
      <c r="QE4" s="25" t="str">
        <f>IF('Eval-Après impact'!$T$107=0,"",IF('Eval-Après impact'!$T$107="","",IF('Eval-Après impact'!J772&lt;&gt;"",'Eval-Après impact'!J772,"")))</f>
        <v/>
      </c>
      <c r="QF4" s="25" t="str">
        <f>IF('Eval-Après impact'!$T$107=0,"",IF('Eval-Après impact'!$T$107="","",IF('Eval-Après impact'!K772&lt;&gt;"",'Eval-Après impact'!K772,"")))</f>
        <v/>
      </c>
      <c r="QG4" s="25" t="str">
        <f>IF('Eval-Après impact'!$T$107=0,"",IF('Eval-Après impact'!$T$107="","",IF('Eval-Après impact'!L772&lt;&gt;"",'Eval-Après impact'!L772,"")))</f>
        <v/>
      </c>
      <c r="QH4" s="25" t="str">
        <f>IF('Eval-Après impact'!$T$107=0,"",IF('Eval-Après impact'!$T$107="","",IF('Eval-Après impact'!M772&lt;&gt;"",'Eval-Après impact'!M772,"")))</f>
        <v/>
      </c>
      <c r="QI4" s="25" t="str">
        <f>IF('Eval-Après impact'!$T$107=0,"",IF('Eval-Après impact'!$T$107="","",IF('Eval-Après impact'!N772&lt;&gt;"",'Eval-Après impact'!N772,"")))</f>
        <v/>
      </c>
      <c r="QJ4" s="25" t="str">
        <f>IF('Eval-Après impact'!$T$107=0,"",IF('Eval-Après impact'!$T$107="","",IF('Eval-Après impact'!O772&lt;&gt;"",'Eval-Après impact'!O772,"")))</f>
        <v/>
      </c>
      <c r="QK4" s="25" t="str">
        <f>IF('Eval-Après impact'!$T$107=0,"",IF('Eval-Après impact'!$T$107="","",IF('Eval-Après impact'!P772&lt;&gt;"",'Eval-Après impact'!P772,"")))</f>
        <v/>
      </c>
      <c r="QL4" s="25" t="str">
        <f>IF('Eval-Après impact'!$T$107=0,"",IF('Eval-Après impact'!$T$107="","",IF('Eval-Après impact'!Q772&lt;&gt;"",'Eval-Après impact'!Q772,"")))</f>
        <v/>
      </c>
      <c r="QM4" s="25" t="str">
        <f>IF('Eval-Après impact'!$T$107=0,"",IF('Eval-Après impact'!$T$107="","",IF('Eval-Après impact'!R772&lt;&gt;"",'Eval-Après impact'!R772,"")))</f>
        <v/>
      </c>
      <c r="QN4" s="25" t="str">
        <f>IF('Eval-Après impact'!$T$107=0,"",IF('Eval-Après impact'!$T$107="","",IF('Eval-Après impact'!S772&lt;&gt;"",'Eval-Après impact'!S772,"")))</f>
        <v/>
      </c>
      <c r="QO4" s="25" t="str">
        <f>IF('Eval-Après impact'!$T$107=0,"",IF('Eval-Après impact'!$T$107="","",IF('Eval-Après impact'!T772&lt;&gt;"",'Eval-Après impact'!T772,"")))</f>
        <v/>
      </c>
      <c r="QP4" s="25" t="str">
        <f>IF('Eval-Après impact'!$T$107=0,"",IF('Eval-Après impact'!$T$107="","",IF('Eval-Après impact'!U772&lt;&gt;"",'Eval-Après impact'!U772,"")))</f>
        <v/>
      </c>
      <c r="QQ4" s="25" t="str">
        <f>IF('Eval-Après impact'!$T$107=0,"",IF('Eval-Après impact'!$T$107="","",IF('Eval-Après impact'!V772&lt;&gt;"",'Eval-Après impact'!V772,"")))</f>
        <v/>
      </c>
      <c r="QR4" s="25" t="str">
        <f>IF('Eval-Après impact'!$T$107=0,"",IF('Eval-Après impact'!$T$107="","",IF('Eval-Après impact'!W772&lt;&gt;"",'Eval-Après impact'!W772,"")))</f>
        <v/>
      </c>
      <c r="QS4" s="25" t="str">
        <f>IF('Eval-Après impact'!$T$107=0,"",IF('Eval-Après impact'!$T$107="","",IF('Eval-Après impact'!X772&lt;&gt;"",'Eval-Après impact'!X772,"")))</f>
        <v/>
      </c>
      <c r="QT4" s="25" t="str">
        <f>IF('Eval-Après impact'!$T$107=0,"",IF('Eval-Après impact'!$T$107="","",IF('Eval-Après impact'!Y772&lt;&gt;"",'Eval-Après impact'!Y772,"")))</f>
        <v/>
      </c>
      <c r="QU4" s="25" t="str">
        <f>IF('Eval-Après impact'!$T$107=0,"",IF('Eval-Après impact'!$T$107="","",IF('Eval-Après impact'!A773&lt;&gt;"",'Eval-Après impact'!A773,"")))</f>
        <v/>
      </c>
      <c r="QV4" s="25" t="str">
        <f>IF('Eval-Après impact'!$T$107=0,"",IF('Eval-Après impact'!$T$107="","",IF('Eval-Après impact'!B773&lt;&gt;"",'Eval-Après impact'!B773,"")))</f>
        <v/>
      </c>
      <c r="QW4" s="25" t="str">
        <f>IF('Eval-Après impact'!$T$107=0,"",IF('Eval-Après impact'!$T$107="","",IF('Eval-Après impact'!C773&lt;&gt;"",'Eval-Après impact'!C773,"")))</f>
        <v/>
      </c>
      <c r="QX4" s="25" t="str">
        <f>IF('Eval-Après impact'!$T$107=0,"",IF('Eval-Après impact'!$T$107="","",IF('Eval-Après impact'!E773&lt;&gt;"",'Eval-Après impact'!E773,"")))</f>
        <v/>
      </c>
      <c r="QY4" s="25" t="str">
        <f>IF('Eval-Après impact'!$T$107=0,"",IF('Eval-Après impact'!$T$107="","",IF('Eval-Après impact'!G773&lt;&gt;"",'Eval-Après impact'!G773,"")))</f>
        <v/>
      </c>
      <c r="QZ4" s="25" t="str">
        <f>IF('Eval-Après impact'!$T$107=0,"",IF('Eval-Après impact'!$T$107="","",IF('Eval-Après impact'!H773&lt;&gt;"",'Eval-Après impact'!H773,"")))</f>
        <v/>
      </c>
      <c r="RA4" s="25" t="str">
        <f>IF('Eval-Après impact'!$T$107=0,"",IF('Eval-Après impact'!$T$107="","",IF('Eval-Après impact'!I773&lt;&gt;"",'Eval-Après impact'!I773,"")))</f>
        <v/>
      </c>
      <c r="RB4" s="25" t="str">
        <f>IF('Eval-Après impact'!$T$107=0,"",IF('Eval-Après impact'!$T$107="","",IF('Eval-Après impact'!J773&lt;&gt;"",'Eval-Après impact'!J773,"")))</f>
        <v/>
      </c>
      <c r="RC4" s="25" t="str">
        <f>IF('Eval-Après impact'!$T$107=0,"",IF('Eval-Après impact'!$T$107="","",IF('Eval-Après impact'!K773&lt;&gt;"",'Eval-Après impact'!K773,"")))</f>
        <v/>
      </c>
      <c r="RD4" s="25" t="str">
        <f>IF('Eval-Après impact'!$T$107=0,"",IF('Eval-Après impact'!$T$107="","",IF('Eval-Après impact'!L773&lt;&gt;"",'Eval-Après impact'!L773,"")))</f>
        <v/>
      </c>
      <c r="RE4" s="25" t="str">
        <f>IF('Eval-Après impact'!$T$107=0,"",IF('Eval-Après impact'!$T$107="","",IF('Eval-Après impact'!M773&lt;&gt;"",'Eval-Après impact'!M773,"")))</f>
        <v/>
      </c>
      <c r="RF4" s="25" t="str">
        <f>IF('Eval-Après impact'!$T$107=0,"",IF('Eval-Après impact'!$T$107="","",IF('Eval-Après impact'!N773&lt;&gt;"",'Eval-Après impact'!N773,"")))</f>
        <v/>
      </c>
      <c r="RG4" s="25" t="str">
        <f>IF('Eval-Après impact'!$T$107=0,"",IF('Eval-Après impact'!$T$107="","",IF('Eval-Après impact'!O773&lt;&gt;"",'Eval-Après impact'!O773,"")))</f>
        <v/>
      </c>
      <c r="RH4" s="25" t="str">
        <f>IF('Eval-Après impact'!$T$107=0,"",IF('Eval-Après impact'!$T$107="","",IF('Eval-Après impact'!P773&lt;&gt;"",'Eval-Après impact'!P773,"")))</f>
        <v/>
      </c>
      <c r="RI4" s="25" t="str">
        <f>IF('Eval-Après impact'!$T$107=0,"",IF('Eval-Après impact'!$T$107="","",IF('Eval-Après impact'!Q773&lt;&gt;"",'Eval-Après impact'!Q773,"")))</f>
        <v/>
      </c>
      <c r="RJ4" s="25" t="str">
        <f>IF('Eval-Après impact'!$T$107=0,"",IF('Eval-Après impact'!$T$107="","",IF('Eval-Après impact'!R773&lt;&gt;"",'Eval-Après impact'!R773,"")))</f>
        <v/>
      </c>
      <c r="RK4" s="25" t="str">
        <f>IF('Eval-Après impact'!$T$107=0,"",IF('Eval-Après impact'!$T$107="","",IF('Eval-Après impact'!S773&lt;&gt;"",'Eval-Après impact'!S773,"")))</f>
        <v/>
      </c>
      <c r="RL4" s="25" t="str">
        <f>IF('Eval-Après impact'!$T$107=0,"",IF('Eval-Après impact'!$T$107="","",IF('Eval-Après impact'!T773&lt;&gt;"",'Eval-Après impact'!T773,"")))</f>
        <v/>
      </c>
      <c r="RM4" s="25" t="str">
        <f>IF('Eval-Après impact'!$T$107=0,"",IF('Eval-Après impact'!$T$107="","",IF('Eval-Après impact'!U773&lt;&gt;"",'Eval-Après impact'!U773,"")))</f>
        <v/>
      </c>
      <c r="RN4" s="25" t="str">
        <f>IF('Eval-Après impact'!$T$107=0,"",IF('Eval-Après impact'!$T$107="","",IF('Eval-Après impact'!V773&lt;&gt;"",'Eval-Après impact'!V773,"")))</f>
        <v/>
      </c>
      <c r="RO4" s="25" t="str">
        <f>IF('Eval-Après impact'!$T$107=0,"",IF('Eval-Après impact'!$T$107="","",IF('Eval-Après impact'!W773&lt;&gt;"",'Eval-Après impact'!W773,"")))</f>
        <v/>
      </c>
      <c r="RP4" s="25" t="str">
        <f>IF('Eval-Après impact'!$T$107=0,"",IF('Eval-Après impact'!$T$107="","",IF('Eval-Après impact'!X773&lt;&gt;"",'Eval-Après impact'!X773,"")))</f>
        <v/>
      </c>
      <c r="RQ4" s="25" t="str">
        <f>IF('Eval-Après impact'!$T$107=0,"",IF('Eval-Après impact'!$T$107="","",IF('Eval-Après impact'!Y773&lt;&gt;"",'Eval-Après impact'!Y773,"")))</f>
        <v/>
      </c>
      <c r="RR4" s="25" t="str">
        <f>IF('Eval-Après impact'!$T$107=0,"",IF('Eval-Après impact'!$T$107="","",IF('Eval-Après impact'!A774&lt;&gt;"",'Eval-Après impact'!A774,"")))</f>
        <v/>
      </c>
      <c r="RS4" s="25" t="str">
        <f>IF('Eval-Après impact'!$T$107=0,"",IF('Eval-Après impact'!$T$107="","",IF('Eval-Après impact'!B774&lt;&gt;"",'Eval-Après impact'!B774,"")))</f>
        <v/>
      </c>
      <c r="RT4" s="25" t="str">
        <f>IF('Eval-Après impact'!$T$107=0,"",IF('Eval-Après impact'!$T$107="","",IF('Eval-Après impact'!C774&lt;&gt;"",'Eval-Après impact'!C774,"")))</f>
        <v/>
      </c>
      <c r="RU4" s="25" t="str">
        <f>IF('Eval-Après impact'!$T$107=0,"",IF('Eval-Après impact'!$T$107="","",IF('Eval-Après impact'!E774&lt;&gt;"",'Eval-Après impact'!E774,"")))</f>
        <v/>
      </c>
      <c r="RV4" s="25" t="str">
        <f>IF('Eval-Après impact'!$T$107=0,"",IF('Eval-Après impact'!$T$107="","",IF('Eval-Après impact'!G774&lt;&gt;"",'Eval-Après impact'!G774,"")))</f>
        <v/>
      </c>
      <c r="RW4" s="25" t="str">
        <f>IF('Eval-Après impact'!$T$107=0,"",IF('Eval-Après impact'!$T$107="","",IF('Eval-Après impact'!H774&lt;&gt;"",'Eval-Après impact'!H774,"")))</f>
        <v/>
      </c>
      <c r="RX4" s="25" t="str">
        <f>IF('Eval-Après impact'!$T$107=0,"",IF('Eval-Après impact'!$T$107="","",IF('Eval-Après impact'!I774&lt;&gt;"",'Eval-Après impact'!I774,"")))</f>
        <v/>
      </c>
      <c r="RY4" s="25" t="str">
        <f>IF('Eval-Après impact'!$T$107=0,"",IF('Eval-Après impact'!$T$107="","",IF('Eval-Après impact'!J774&lt;&gt;"",'Eval-Après impact'!J774,"")))</f>
        <v/>
      </c>
      <c r="RZ4" s="25" t="str">
        <f>IF('Eval-Après impact'!$T$107=0,"",IF('Eval-Après impact'!$T$107="","",IF('Eval-Après impact'!K774&lt;&gt;"",'Eval-Après impact'!K774,"")))</f>
        <v/>
      </c>
      <c r="SA4" s="25" t="str">
        <f>IF('Eval-Après impact'!$T$107=0,"",IF('Eval-Après impact'!$T$107="","",IF('Eval-Après impact'!L774&lt;&gt;"",'Eval-Après impact'!L774,"")))</f>
        <v/>
      </c>
      <c r="SB4" s="25" t="str">
        <f>IF('Eval-Après impact'!$T$107=0,"",IF('Eval-Après impact'!$T$107="","",IF('Eval-Après impact'!M774&lt;&gt;"",'Eval-Après impact'!M774,"")))</f>
        <v/>
      </c>
      <c r="SC4" s="25" t="str">
        <f>IF('Eval-Après impact'!$T$107=0,"",IF('Eval-Après impact'!$T$107="","",IF('Eval-Après impact'!N774&lt;&gt;"",'Eval-Après impact'!N774,"")))</f>
        <v/>
      </c>
      <c r="SD4" s="25" t="str">
        <f>IF('Eval-Après impact'!$T$107=0,"",IF('Eval-Après impact'!$T$107="","",IF('Eval-Après impact'!O774&lt;&gt;"",'Eval-Après impact'!O774,"")))</f>
        <v/>
      </c>
      <c r="SE4" s="25" t="str">
        <f>IF('Eval-Après impact'!$T$107=0,"",IF('Eval-Après impact'!$T$107="","",IF('Eval-Après impact'!P774&lt;&gt;"",'Eval-Après impact'!P774,"")))</f>
        <v/>
      </c>
      <c r="SF4" s="25" t="str">
        <f>IF('Eval-Après impact'!$T$107=0,"",IF('Eval-Après impact'!$T$107="","",IF('Eval-Après impact'!Q774&lt;&gt;"",'Eval-Après impact'!Q774,"")))</f>
        <v/>
      </c>
      <c r="SG4" s="25" t="str">
        <f>IF('Eval-Après impact'!$T$107=0,"",IF('Eval-Après impact'!$T$107="","",IF('Eval-Après impact'!R774&lt;&gt;"",'Eval-Après impact'!R774,"")))</f>
        <v/>
      </c>
      <c r="SH4" s="25" t="str">
        <f>IF('Eval-Après impact'!$T$107=0,"",IF('Eval-Après impact'!$T$107="","",IF('Eval-Après impact'!S774&lt;&gt;"",'Eval-Après impact'!S774,"")))</f>
        <v/>
      </c>
      <c r="SI4" s="25" t="str">
        <f>IF('Eval-Après impact'!$T$107=0,"",IF('Eval-Après impact'!$T$107="","",IF('Eval-Après impact'!T774&lt;&gt;"",'Eval-Après impact'!T774,"")))</f>
        <v/>
      </c>
      <c r="SJ4" s="25" t="str">
        <f>IF('Eval-Après impact'!$T$107=0,"",IF('Eval-Après impact'!$T$107="","",IF('Eval-Après impact'!U774&lt;&gt;"",'Eval-Après impact'!U774,"")))</f>
        <v/>
      </c>
      <c r="SK4" s="25" t="str">
        <f>IF('Eval-Après impact'!$T$107=0,"",IF('Eval-Après impact'!$T$107="","",IF('Eval-Après impact'!V774&lt;&gt;"",'Eval-Après impact'!V774,"")))</f>
        <v/>
      </c>
      <c r="SL4" s="25" t="str">
        <f>IF('Eval-Après impact'!$T$107=0,"",IF('Eval-Après impact'!$T$107="","",IF('Eval-Après impact'!W774&lt;&gt;"",'Eval-Après impact'!W774,"")))</f>
        <v/>
      </c>
      <c r="SM4" s="25" t="str">
        <f>IF('Eval-Après impact'!$T$107=0,"",IF('Eval-Après impact'!$T$107="","",IF('Eval-Après impact'!X774&lt;&gt;"",'Eval-Après impact'!X774,"")))</f>
        <v/>
      </c>
      <c r="SN4" s="25" t="str">
        <f>IF('Eval-Après impact'!$T$107=0,"",IF('Eval-Après impact'!$T$107="","",IF('Eval-Après impact'!Y774&lt;&gt;"",'Eval-Après impact'!Y774,"")))</f>
        <v/>
      </c>
      <c r="SO4" s="25" t="str">
        <f>IF('Eval-Après impact'!$T$107=0,"",IF('Eval-Après impact'!$T$107="","",IF('Eval-Après impact'!A775&lt;&gt;"",'Eval-Après impact'!A775,"")))</f>
        <v/>
      </c>
      <c r="SP4" s="25" t="str">
        <f>IF('Eval-Après impact'!$T$107=0,"",IF('Eval-Après impact'!$T$107="","",IF('Eval-Après impact'!B775&lt;&gt;"",'Eval-Après impact'!B775,"")))</f>
        <v/>
      </c>
      <c r="SQ4" s="25" t="str">
        <f>IF('Eval-Après impact'!$T$107=0,"",IF('Eval-Après impact'!$T$107="","",IF('Eval-Après impact'!C775&lt;&gt;"",'Eval-Après impact'!C775,"")))</f>
        <v/>
      </c>
      <c r="SR4" s="25" t="str">
        <f>IF('Eval-Après impact'!$T$107=0,"",IF('Eval-Après impact'!$T$107="","",IF('Eval-Après impact'!E775&lt;&gt;"",'Eval-Après impact'!E775,"")))</f>
        <v/>
      </c>
      <c r="SS4" s="25" t="str">
        <f>IF('Eval-Après impact'!$T$107=0,"",IF('Eval-Après impact'!$T$107="","",IF('Eval-Après impact'!G775&lt;&gt;"",'Eval-Après impact'!G775,"")))</f>
        <v/>
      </c>
      <c r="ST4" s="25" t="str">
        <f>IF('Eval-Après impact'!$T$107=0,"",IF('Eval-Après impact'!$T$107="","",IF('Eval-Après impact'!H775&lt;&gt;"",'Eval-Après impact'!H775,"")))</f>
        <v/>
      </c>
      <c r="SU4" s="25" t="str">
        <f>IF('Eval-Après impact'!$T$107=0,"",IF('Eval-Après impact'!$T$107="","",IF('Eval-Après impact'!I775&lt;&gt;"",'Eval-Après impact'!I775,"")))</f>
        <v/>
      </c>
      <c r="SV4" s="25" t="str">
        <f>IF('Eval-Après impact'!$T$107=0,"",IF('Eval-Après impact'!$T$107="","",IF('Eval-Après impact'!J775&lt;&gt;"",'Eval-Après impact'!J775,"")))</f>
        <v/>
      </c>
      <c r="SW4" s="25" t="str">
        <f>IF('Eval-Après impact'!$T$107=0,"",IF('Eval-Après impact'!$T$107="","",IF('Eval-Après impact'!K775&lt;&gt;"",'Eval-Après impact'!K775,"")))</f>
        <v/>
      </c>
      <c r="SX4" s="25" t="str">
        <f>IF('Eval-Après impact'!$T$107=0,"",IF('Eval-Après impact'!$T$107="","",IF('Eval-Après impact'!L775&lt;&gt;"",'Eval-Après impact'!L775,"")))</f>
        <v/>
      </c>
      <c r="SY4" s="25" t="str">
        <f>IF('Eval-Après impact'!$T$107=0,"",IF('Eval-Après impact'!$T$107="","",IF('Eval-Après impact'!M775&lt;&gt;"",'Eval-Après impact'!M775,"")))</f>
        <v/>
      </c>
      <c r="SZ4" s="25" t="str">
        <f>IF('Eval-Après impact'!$T$107=0,"",IF('Eval-Après impact'!$T$107="","",IF('Eval-Après impact'!N775&lt;&gt;"",'Eval-Après impact'!N775,"")))</f>
        <v/>
      </c>
      <c r="TA4" s="25" t="str">
        <f>IF('Eval-Après impact'!$T$107=0,"",IF('Eval-Après impact'!$T$107="","",IF('Eval-Après impact'!O775&lt;&gt;"",'Eval-Après impact'!O775,"")))</f>
        <v/>
      </c>
      <c r="TB4" s="25" t="str">
        <f>IF('Eval-Après impact'!$T$107=0,"",IF('Eval-Après impact'!$T$107="","",IF('Eval-Après impact'!P775&lt;&gt;"",'Eval-Après impact'!P775,"")))</f>
        <v/>
      </c>
      <c r="TC4" s="25" t="str">
        <f>IF('Eval-Après impact'!$T$107=0,"",IF('Eval-Après impact'!$T$107="","",IF('Eval-Après impact'!Q775&lt;&gt;"",'Eval-Après impact'!Q775,"")))</f>
        <v/>
      </c>
      <c r="TD4" s="25" t="str">
        <f>IF('Eval-Après impact'!$T$107=0,"",IF('Eval-Après impact'!$T$107="","",IF('Eval-Après impact'!R775&lt;&gt;"",'Eval-Après impact'!R775,"")))</f>
        <v/>
      </c>
      <c r="TE4" s="25" t="str">
        <f>IF('Eval-Après impact'!$T$107=0,"",IF('Eval-Après impact'!$T$107="","",IF('Eval-Après impact'!S775&lt;&gt;"",'Eval-Après impact'!S775,"")))</f>
        <v/>
      </c>
      <c r="TF4" s="25" t="str">
        <f>IF('Eval-Après impact'!$T$107=0,"",IF('Eval-Après impact'!$T$107="","",IF('Eval-Après impact'!T775&lt;&gt;"",'Eval-Après impact'!T775,"")))</f>
        <v/>
      </c>
      <c r="TG4" s="25" t="str">
        <f>IF('Eval-Après impact'!$T$107=0,"",IF('Eval-Après impact'!$T$107="","",IF('Eval-Après impact'!U775&lt;&gt;"",'Eval-Après impact'!U775,"")))</f>
        <v/>
      </c>
      <c r="TH4" s="25" t="str">
        <f>IF('Eval-Après impact'!$T$107=0,"",IF('Eval-Après impact'!$T$107="","",IF('Eval-Après impact'!V775&lt;&gt;"",'Eval-Après impact'!V775,"")))</f>
        <v/>
      </c>
      <c r="TI4" s="25" t="str">
        <f>IF('Eval-Après impact'!$T$107=0,"",IF('Eval-Après impact'!$T$107="","",IF('Eval-Après impact'!W775&lt;&gt;"",'Eval-Après impact'!W775,"")))</f>
        <v/>
      </c>
      <c r="TJ4" s="25" t="str">
        <f>IF('Eval-Après impact'!$T$107=0,"",IF('Eval-Après impact'!$T$107="","",IF('Eval-Après impact'!X775&lt;&gt;"",'Eval-Après impact'!X775,"")))</f>
        <v/>
      </c>
      <c r="TK4" s="25" t="str">
        <f>IF('Eval-Après impact'!$T$107=0,"",IF('Eval-Après impact'!$T$107="","",IF('Eval-Après impact'!Y775&lt;&gt;"",'Eval-Après impact'!Y775,"")))</f>
        <v/>
      </c>
      <c r="TL4" s="25" t="str">
        <f>IF('Eval-Après impact'!$T$107=0,"",IF('Eval-Après impact'!$T$107="","",IF('Eval-Après impact'!A776&lt;&gt;"",'Eval-Après impact'!A776,"")))</f>
        <v/>
      </c>
      <c r="TM4" s="25" t="str">
        <f>IF('Eval-Après impact'!$T$107=0,"",IF('Eval-Après impact'!$T$107="","",IF('Eval-Après impact'!B776&lt;&gt;"",'Eval-Après impact'!B776,"")))</f>
        <v/>
      </c>
      <c r="TN4" s="25" t="str">
        <f>IF('Eval-Après impact'!$T$107=0,"",IF('Eval-Après impact'!$T$107="","",IF('Eval-Après impact'!C776&lt;&gt;"",'Eval-Après impact'!C776,"")))</f>
        <v/>
      </c>
      <c r="TO4" s="25" t="str">
        <f>IF('Eval-Après impact'!$T$107=0,"",IF('Eval-Après impact'!$T$107="","",IF('Eval-Après impact'!E776&lt;&gt;"",'Eval-Après impact'!E776,"")))</f>
        <v/>
      </c>
      <c r="TP4" s="25" t="str">
        <f>IF('Eval-Après impact'!$T$107=0,"",IF('Eval-Après impact'!$T$107="","",IF('Eval-Après impact'!G776&lt;&gt;"",'Eval-Après impact'!G776,"")))</f>
        <v/>
      </c>
      <c r="TQ4" s="25" t="str">
        <f>IF('Eval-Après impact'!$T$107=0,"",IF('Eval-Après impact'!$T$107="","",IF('Eval-Après impact'!H776&lt;&gt;"",'Eval-Après impact'!H776,"")))</f>
        <v/>
      </c>
      <c r="TR4" s="25" t="str">
        <f>IF('Eval-Après impact'!$T$107=0,"",IF('Eval-Après impact'!$T$107="","",IF('Eval-Après impact'!I776&lt;&gt;"",'Eval-Après impact'!I776,"")))</f>
        <v/>
      </c>
      <c r="TS4" s="25" t="str">
        <f>IF('Eval-Après impact'!$T$107=0,"",IF('Eval-Après impact'!$T$107="","",IF('Eval-Après impact'!J776&lt;&gt;"",'Eval-Après impact'!J776,"")))</f>
        <v/>
      </c>
      <c r="TT4" s="25" t="str">
        <f>IF('Eval-Après impact'!$T$107=0,"",IF('Eval-Après impact'!$T$107="","",IF('Eval-Après impact'!K776&lt;&gt;"",'Eval-Après impact'!K776,"")))</f>
        <v/>
      </c>
      <c r="TU4" s="25" t="str">
        <f>IF('Eval-Après impact'!$T$107=0,"",IF('Eval-Après impact'!$T$107="","",IF('Eval-Après impact'!L776&lt;&gt;"",'Eval-Après impact'!L776,"")))</f>
        <v/>
      </c>
      <c r="TV4" s="25" t="str">
        <f>IF('Eval-Après impact'!$T$107=0,"",IF('Eval-Après impact'!$T$107="","",IF('Eval-Après impact'!M776&lt;&gt;"",'Eval-Après impact'!M776,"")))</f>
        <v/>
      </c>
      <c r="TW4" s="25" t="str">
        <f>IF('Eval-Après impact'!$T$107=0,"",IF('Eval-Après impact'!$T$107="","",IF('Eval-Après impact'!N776&lt;&gt;"",'Eval-Après impact'!N776,"")))</f>
        <v/>
      </c>
      <c r="TX4" s="25" t="str">
        <f>IF('Eval-Après impact'!$T$107=0,"",IF('Eval-Après impact'!$T$107="","",IF('Eval-Après impact'!O776&lt;&gt;"",'Eval-Après impact'!O776,"")))</f>
        <v/>
      </c>
      <c r="TY4" s="25" t="str">
        <f>IF('Eval-Après impact'!$T$107=0,"",IF('Eval-Après impact'!$T$107="","",IF('Eval-Après impact'!P776&lt;&gt;"",'Eval-Après impact'!P776,"")))</f>
        <v/>
      </c>
      <c r="TZ4" s="25" t="str">
        <f>IF('Eval-Après impact'!$T$107=0,"",IF('Eval-Après impact'!$T$107="","",IF('Eval-Après impact'!Q776&lt;&gt;"",'Eval-Après impact'!Q776,"")))</f>
        <v/>
      </c>
      <c r="UA4" s="25" t="str">
        <f>IF('Eval-Après impact'!$T$107=0,"",IF('Eval-Après impact'!$T$107="","",IF('Eval-Après impact'!R776&lt;&gt;"",'Eval-Après impact'!R776,"")))</f>
        <v/>
      </c>
      <c r="UB4" s="25" t="str">
        <f>IF('Eval-Après impact'!$T$107=0,"",IF('Eval-Après impact'!$T$107="","",IF('Eval-Après impact'!S776&lt;&gt;"",'Eval-Après impact'!S776,"")))</f>
        <v/>
      </c>
      <c r="UC4" s="25" t="str">
        <f>IF('Eval-Après impact'!$T$107=0,"",IF('Eval-Après impact'!$T$107="","",IF('Eval-Après impact'!T776&lt;&gt;"",'Eval-Après impact'!T776,"")))</f>
        <v/>
      </c>
      <c r="UD4" s="25" t="str">
        <f>IF('Eval-Après impact'!$T$107=0,"",IF('Eval-Après impact'!$T$107="","",IF('Eval-Après impact'!U776&lt;&gt;"",'Eval-Après impact'!U776,"")))</f>
        <v/>
      </c>
      <c r="UE4" s="25" t="str">
        <f>IF('Eval-Après impact'!$T$107=0,"",IF('Eval-Après impact'!$T$107="","",IF('Eval-Après impact'!V776&lt;&gt;"",'Eval-Après impact'!V776,"")))</f>
        <v/>
      </c>
      <c r="UF4" s="25" t="str">
        <f>IF('Eval-Après impact'!$T$107=0,"",IF('Eval-Après impact'!$T$107="","",IF('Eval-Après impact'!W776&lt;&gt;"",'Eval-Après impact'!W776,"")))</f>
        <v/>
      </c>
      <c r="UG4" s="25" t="str">
        <f>IF('Eval-Après impact'!$T$107=0,"",IF('Eval-Après impact'!$T$107="","",IF('Eval-Après impact'!X776&lt;&gt;"",'Eval-Après impact'!X776,"")))</f>
        <v/>
      </c>
      <c r="UH4" s="25" t="str">
        <f>IF('Eval-Après impact'!$T$107=0,"",IF('Eval-Après impact'!$T$107="","",IF('Eval-Après impact'!Y776&lt;&gt;"",'Eval-Après impact'!Y776,"")))</f>
        <v/>
      </c>
      <c r="UI4" s="25" t="str">
        <f>IF('Eval-Après impact'!$T$107=0,"",IF('Eval-Après impact'!$T$107="","",IF('Eval-Après impact'!A777&lt;&gt;"",'Eval-Après impact'!A777,"")))</f>
        <v/>
      </c>
      <c r="UJ4" s="25" t="str">
        <f>IF('Eval-Après impact'!$T$107=0,"",IF('Eval-Après impact'!$T$107="","",IF('Eval-Après impact'!B777&lt;&gt;"",'Eval-Après impact'!B777,"")))</f>
        <v/>
      </c>
      <c r="UK4" s="25" t="str">
        <f>IF('Eval-Après impact'!$T$107=0,"",IF('Eval-Après impact'!$T$107="","",IF('Eval-Après impact'!C777&lt;&gt;"",'Eval-Après impact'!C777,"")))</f>
        <v/>
      </c>
      <c r="UL4" s="25" t="str">
        <f>IF('Eval-Après impact'!$T$107=0,"",IF('Eval-Après impact'!$T$107="","",IF('Eval-Après impact'!E777&lt;&gt;"",'Eval-Après impact'!E777,"")))</f>
        <v/>
      </c>
      <c r="UM4" s="25" t="str">
        <f>IF('Eval-Après impact'!$T$107=0,"",IF('Eval-Après impact'!$T$107="","",IF('Eval-Après impact'!G777&lt;&gt;"",'Eval-Après impact'!G777,"")))</f>
        <v/>
      </c>
      <c r="UN4" s="25" t="str">
        <f>IF('Eval-Après impact'!$T$107=0,"",IF('Eval-Après impact'!$T$107="","",IF('Eval-Après impact'!H777&lt;&gt;"",'Eval-Après impact'!H777,"")))</f>
        <v/>
      </c>
      <c r="UO4" s="25" t="str">
        <f>IF('Eval-Après impact'!$T$107=0,"",IF('Eval-Après impact'!$T$107="","",IF('Eval-Après impact'!I777&lt;&gt;"",'Eval-Après impact'!I777,"")))</f>
        <v/>
      </c>
      <c r="UP4" s="25" t="str">
        <f>IF('Eval-Après impact'!$T$107=0,"",IF('Eval-Après impact'!$T$107="","",IF('Eval-Après impact'!J777&lt;&gt;"",'Eval-Après impact'!J777,"")))</f>
        <v/>
      </c>
      <c r="UQ4" s="25" t="str">
        <f>IF('Eval-Après impact'!$T$107=0,"",IF('Eval-Après impact'!$T$107="","",IF('Eval-Après impact'!K777&lt;&gt;"",'Eval-Après impact'!K777,"")))</f>
        <v/>
      </c>
      <c r="UR4" s="25" t="str">
        <f>IF('Eval-Après impact'!$T$107=0,"",IF('Eval-Après impact'!$T$107="","",IF('Eval-Après impact'!L777&lt;&gt;"",'Eval-Après impact'!L777,"")))</f>
        <v/>
      </c>
      <c r="US4" s="25" t="str">
        <f>IF('Eval-Après impact'!$T$107=0,"",IF('Eval-Après impact'!$T$107="","",IF('Eval-Après impact'!M777&lt;&gt;"",'Eval-Après impact'!M777,"")))</f>
        <v/>
      </c>
      <c r="UT4" s="25" t="str">
        <f>IF('Eval-Après impact'!$T$107=0,"",IF('Eval-Après impact'!$T$107="","",IF('Eval-Après impact'!N777&lt;&gt;"",'Eval-Après impact'!N777,"")))</f>
        <v/>
      </c>
      <c r="UU4" s="25" t="str">
        <f>IF('Eval-Après impact'!$T$107=0,"",IF('Eval-Après impact'!$T$107="","",IF('Eval-Après impact'!O777&lt;&gt;"",'Eval-Après impact'!O777,"")))</f>
        <v/>
      </c>
      <c r="UV4" s="25" t="str">
        <f>IF('Eval-Après impact'!$T$107=0,"",IF('Eval-Après impact'!$T$107="","",IF('Eval-Après impact'!P777&lt;&gt;"",'Eval-Après impact'!P777,"")))</f>
        <v/>
      </c>
      <c r="UW4" s="25" t="str">
        <f>IF('Eval-Après impact'!$T$107=0,"",IF('Eval-Après impact'!$T$107="","",IF('Eval-Après impact'!Q777&lt;&gt;"",'Eval-Après impact'!Q777,"")))</f>
        <v/>
      </c>
      <c r="UX4" s="25" t="str">
        <f>IF('Eval-Après impact'!$T$107=0,"",IF('Eval-Après impact'!$T$107="","",IF('Eval-Après impact'!R777&lt;&gt;"",'Eval-Après impact'!R777,"")))</f>
        <v/>
      </c>
      <c r="UY4" s="25" t="str">
        <f>IF('Eval-Après impact'!$T$107=0,"",IF('Eval-Après impact'!$T$107="","",IF('Eval-Après impact'!S777&lt;&gt;"",'Eval-Après impact'!S777,"")))</f>
        <v/>
      </c>
      <c r="UZ4" s="25" t="str">
        <f>IF('Eval-Après impact'!$T$107=0,"",IF('Eval-Après impact'!$T$107="","",IF('Eval-Après impact'!T777&lt;&gt;"",'Eval-Après impact'!T777,"")))</f>
        <v/>
      </c>
      <c r="VA4" s="25" t="str">
        <f>IF('Eval-Après impact'!$T$107=0,"",IF('Eval-Après impact'!$T$107="","",IF('Eval-Après impact'!U777&lt;&gt;"",'Eval-Après impact'!U777,"")))</f>
        <v/>
      </c>
      <c r="VB4" s="25" t="str">
        <f>IF('Eval-Après impact'!$T$107=0,"",IF('Eval-Après impact'!$T$107="","",IF('Eval-Après impact'!V777&lt;&gt;"",'Eval-Après impact'!V777,"")))</f>
        <v/>
      </c>
      <c r="VC4" s="25" t="str">
        <f>IF('Eval-Après impact'!$T$107=0,"",IF('Eval-Après impact'!$T$107="","",IF('Eval-Après impact'!W777&lt;&gt;"",'Eval-Après impact'!W777,"")))</f>
        <v/>
      </c>
      <c r="VD4" s="25" t="str">
        <f>IF('Eval-Après impact'!$T$107=0,"",IF('Eval-Après impact'!$T$107="","",IF('Eval-Après impact'!X777&lt;&gt;"",'Eval-Après impact'!X777,"")))</f>
        <v/>
      </c>
      <c r="VE4" s="25" t="str">
        <f>IF('Eval-Après impact'!$T$107=0,"",IF('Eval-Après impact'!$T$107="","",IF('Eval-Après impact'!Y777&lt;&gt;"",'Eval-Après impact'!Y777,"")))</f>
        <v/>
      </c>
      <c r="VF4" s="25" t="str">
        <f>IF('Eval-Après impact'!$T$107=0,"",IF('Eval-Après impact'!$T$107="","",IF('Eval-Après impact'!A778&lt;&gt;"",'Eval-Après impact'!A778,"")))</f>
        <v/>
      </c>
      <c r="VG4" s="25" t="str">
        <f>IF('Eval-Après impact'!$T$107=0,"",IF('Eval-Après impact'!$T$107="","",IF('Eval-Après impact'!B778&lt;&gt;"",'Eval-Après impact'!B778,"")))</f>
        <v/>
      </c>
      <c r="VH4" s="25" t="str">
        <f>IF('Eval-Après impact'!$T$107=0,"",IF('Eval-Après impact'!$T$107="","",IF('Eval-Après impact'!C778&lt;&gt;"",'Eval-Après impact'!C778,"")))</f>
        <v/>
      </c>
      <c r="VI4" s="25" t="str">
        <f>IF('Eval-Après impact'!$T$107=0,"",IF('Eval-Après impact'!$T$107="","",IF('Eval-Après impact'!E778&lt;&gt;"",'Eval-Après impact'!E778,"")))</f>
        <v/>
      </c>
      <c r="VJ4" s="25" t="str">
        <f>IF('Eval-Après impact'!$T$107=0,"",IF('Eval-Après impact'!$T$107="","",IF('Eval-Après impact'!G778&lt;&gt;"",'Eval-Après impact'!G778,"")))</f>
        <v/>
      </c>
      <c r="VK4" s="25" t="str">
        <f>IF('Eval-Après impact'!$T$107=0,"",IF('Eval-Après impact'!$T$107="","",IF('Eval-Après impact'!H778&lt;&gt;"",'Eval-Après impact'!H778,"")))</f>
        <v/>
      </c>
      <c r="VL4" s="25" t="str">
        <f>IF('Eval-Après impact'!$T$107=0,"",IF('Eval-Après impact'!$T$107="","",IF('Eval-Après impact'!I778&lt;&gt;"",'Eval-Après impact'!I778,"")))</f>
        <v/>
      </c>
      <c r="VM4" s="25" t="str">
        <f>IF('Eval-Après impact'!$T$107=0,"",IF('Eval-Après impact'!$T$107="","",IF('Eval-Après impact'!J778&lt;&gt;"",'Eval-Après impact'!J778,"")))</f>
        <v/>
      </c>
      <c r="VN4" s="25" t="str">
        <f>IF('Eval-Après impact'!$T$107=0,"",IF('Eval-Après impact'!$T$107="","",IF('Eval-Après impact'!K778&lt;&gt;"",'Eval-Après impact'!K778,"")))</f>
        <v/>
      </c>
      <c r="VO4" s="25" t="str">
        <f>IF('Eval-Après impact'!$T$107=0,"",IF('Eval-Après impact'!$T$107="","",IF('Eval-Après impact'!L778&lt;&gt;"",'Eval-Après impact'!L778,"")))</f>
        <v/>
      </c>
      <c r="VP4" s="25" t="str">
        <f>IF('Eval-Après impact'!$T$107=0,"",IF('Eval-Après impact'!$T$107="","",IF('Eval-Après impact'!M778&lt;&gt;"",'Eval-Après impact'!M778,"")))</f>
        <v/>
      </c>
      <c r="VQ4" s="25" t="str">
        <f>IF('Eval-Après impact'!$T$107=0,"",IF('Eval-Après impact'!$T$107="","",IF('Eval-Après impact'!N778&lt;&gt;"",'Eval-Après impact'!N778,"")))</f>
        <v/>
      </c>
      <c r="VR4" s="25" t="str">
        <f>IF('Eval-Après impact'!$T$107=0,"",IF('Eval-Après impact'!$T$107="","",IF('Eval-Après impact'!O778&lt;&gt;"",'Eval-Après impact'!O778,"")))</f>
        <v/>
      </c>
      <c r="VS4" s="25" t="str">
        <f>IF('Eval-Après impact'!$T$107=0,"",IF('Eval-Après impact'!$T$107="","",IF('Eval-Après impact'!P778&lt;&gt;"",'Eval-Après impact'!P778,"")))</f>
        <v/>
      </c>
      <c r="VT4" s="25" t="str">
        <f>IF('Eval-Après impact'!$T$107=0,"",IF('Eval-Après impact'!$T$107="","",IF('Eval-Après impact'!Q778&lt;&gt;"",'Eval-Après impact'!Q778,"")))</f>
        <v/>
      </c>
      <c r="VU4" s="25" t="str">
        <f>IF('Eval-Après impact'!$T$107=0,"",IF('Eval-Après impact'!$T$107="","",IF('Eval-Après impact'!R778&lt;&gt;"",'Eval-Après impact'!R778,"")))</f>
        <v/>
      </c>
      <c r="VV4" s="25" t="str">
        <f>IF('Eval-Après impact'!$T$107=0,"",IF('Eval-Après impact'!$T$107="","",IF('Eval-Après impact'!S778&lt;&gt;"",'Eval-Après impact'!S778,"")))</f>
        <v/>
      </c>
      <c r="VW4" s="25" t="str">
        <f>IF('Eval-Après impact'!$T$107=0,"",IF('Eval-Après impact'!$T$107="","",IF('Eval-Après impact'!T778&lt;&gt;"",'Eval-Après impact'!T778,"")))</f>
        <v/>
      </c>
      <c r="VX4" s="25" t="str">
        <f>IF('Eval-Après impact'!$T$107=0,"",IF('Eval-Après impact'!$T$107="","",IF('Eval-Après impact'!U778&lt;&gt;"",'Eval-Après impact'!U778,"")))</f>
        <v/>
      </c>
      <c r="VY4" s="25" t="str">
        <f>IF('Eval-Après impact'!$T$107=0,"",IF('Eval-Après impact'!$T$107="","",IF('Eval-Après impact'!V778&lt;&gt;"",'Eval-Après impact'!V778,"")))</f>
        <v/>
      </c>
      <c r="VZ4" s="25" t="str">
        <f>IF('Eval-Après impact'!$T$107=0,"",IF('Eval-Après impact'!$T$107="","",IF('Eval-Après impact'!W778&lt;&gt;"",'Eval-Après impact'!W778,"")))</f>
        <v/>
      </c>
      <c r="WA4" s="25" t="str">
        <f>IF('Eval-Après impact'!$T$107=0,"",IF('Eval-Après impact'!$T$107="","",IF('Eval-Après impact'!X778&lt;&gt;"",'Eval-Après impact'!X778,"")))</f>
        <v/>
      </c>
      <c r="WB4" s="25" t="str">
        <f>IF('Eval-Après impact'!$T$107=0,"",IF('Eval-Après impact'!$T$107="","",IF('Eval-Après impact'!Y778&lt;&gt;"",'Eval-Après impact'!Y778,"")))</f>
        <v/>
      </c>
      <c r="WC4" s="25" t="str">
        <f>IF('Eval-Après impact'!$T$107=0,"",IF('Eval-Après impact'!$T$107="","",IF('Eval-Après impact'!A779&lt;&gt;"",'Eval-Après impact'!A779,"")))</f>
        <v/>
      </c>
      <c r="WD4" s="25" t="str">
        <f>IF('Eval-Après impact'!$T$107=0,"",IF('Eval-Après impact'!$T$107="","",IF('Eval-Après impact'!B779&lt;&gt;"",'Eval-Après impact'!B779,"")))</f>
        <v/>
      </c>
      <c r="WE4" s="25" t="str">
        <f>IF('Eval-Après impact'!$T$107=0,"",IF('Eval-Après impact'!$T$107="","",IF('Eval-Après impact'!C779&lt;&gt;"",'Eval-Après impact'!C779,"")))</f>
        <v/>
      </c>
      <c r="WF4" s="25" t="str">
        <f>IF('Eval-Après impact'!$T$107=0,"",IF('Eval-Après impact'!$T$107="","",IF('Eval-Après impact'!E779&lt;&gt;"",'Eval-Après impact'!E779,"")))</f>
        <v/>
      </c>
      <c r="WG4" s="25" t="str">
        <f>IF('Eval-Après impact'!$T$107=0,"",IF('Eval-Après impact'!$T$107="","",IF('Eval-Après impact'!G779&lt;&gt;"",'Eval-Après impact'!G779,"")))</f>
        <v/>
      </c>
      <c r="WH4" s="25" t="str">
        <f>IF('Eval-Après impact'!$T$107=0,"",IF('Eval-Après impact'!$T$107="","",IF('Eval-Après impact'!H779&lt;&gt;"",'Eval-Après impact'!H779,"")))</f>
        <v/>
      </c>
      <c r="WI4" s="25" t="str">
        <f>IF('Eval-Après impact'!$T$107=0,"",IF('Eval-Après impact'!$T$107="","",IF('Eval-Après impact'!I779&lt;&gt;"",'Eval-Après impact'!I779,"")))</f>
        <v/>
      </c>
      <c r="WJ4" s="25" t="str">
        <f>IF('Eval-Après impact'!$T$107=0,"",IF('Eval-Après impact'!$T$107="","",IF('Eval-Après impact'!J779&lt;&gt;"",'Eval-Après impact'!J779,"")))</f>
        <v/>
      </c>
      <c r="WK4" s="25" t="str">
        <f>IF('Eval-Après impact'!$T$107=0,"",IF('Eval-Après impact'!$T$107="","",IF('Eval-Après impact'!K779&lt;&gt;"",'Eval-Après impact'!K779,"")))</f>
        <v/>
      </c>
      <c r="WL4" s="25" t="str">
        <f>IF('Eval-Après impact'!$T$107=0,"",IF('Eval-Après impact'!$T$107="","",IF('Eval-Après impact'!L779&lt;&gt;"",'Eval-Après impact'!L779,"")))</f>
        <v/>
      </c>
      <c r="WM4" s="25" t="str">
        <f>IF('Eval-Après impact'!$T$107=0,"",IF('Eval-Après impact'!$T$107="","",IF('Eval-Après impact'!M779&lt;&gt;"",'Eval-Après impact'!M779,"")))</f>
        <v/>
      </c>
      <c r="WN4" s="25" t="str">
        <f>IF('Eval-Après impact'!$T$107=0,"",IF('Eval-Après impact'!$T$107="","",IF('Eval-Après impact'!N779&lt;&gt;"",'Eval-Après impact'!N779,"")))</f>
        <v/>
      </c>
      <c r="WO4" s="25" t="str">
        <f>IF('Eval-Après impact'!$T$107=0,"",IF('Eval-Après impact'!$T$107="","",IF('Eval-Après impact'!O779&lt;&gt;"",'Eval-Après impact'!O779,"")))</f>
        <v/>
      </c>
      <c r="WP4" s="25" t="str">
        <f>IF('Eval-Après impact'!$T$107=0,"",IF('Eval-Après impact'!$T$107="","",IF('Eval-Après impact'!P779&lt;&gt;"",'Eval-Après impact'!P779,"")))</f>
        <v/>
      </c>
      <c r="WQ4" s="25" t="str">
        <f>IF('Eval-Après impact'!$T$107=0,"",IF('Eval-Après impact'!$T$107="","",IF('Eval-Après impact'!Q779&lt;&gt;"",'Eval-Après impact'!Q779,"")))</f>
        <v/>
      </c>
      <c r="WR4" s="25" t="str">
        <f>IF('Eval-Après impact'!$T$107=0,"",IF('Eval-Après impact'!$T$107="","",IF('Eval-Après impact'!R779&lt;&gt;"",'Eval-Après impact'!R779,"")))</f>
        <v/>
      </c>
      <c r="WS4" s="25" t="str">
        <f>IF('Eval-Après impact'!$T$107=0,"",IF('Eval-Après impact'!$T$107="","",IF('Eval-Après impact'!S779&lt;&gt;"",'Eval-Après impact'!S779,"")))</f>
        <v/>
      </c>
      <c r="WT4" s="25" t="str">
        <f>IF('Eval-Après impact'!$T$107=0,"",IF('Eval-Après impact'!$T$107="","",IF('Eval-Après impact'!T779&lt;&gt;"",'Eval-Après impact'!T779,"")))</f>
        <v/>
      </c>
      <c r="WU4" s="25" t="str">
        <f>IF('Eval-Après impact'!$T$107=0,"",IF('Eval-Après impact'!$T$107="","",IF('Eval-Après impact'!U779&lt;&gt;"",'Eval-Après impact'!U779,"")))</f>
        <v/>
      </c>
      <c r="WV4" s="25" t="str">
        <f>IF('Eval-Après impact'!$T$107=0,"",IF('Eval-Après impact'!$T$107="","",IF('Eval-Après impact'!V779&lt;&gt;"",'Eval-Après impact'!V779,"")))</f>
        <v/>
      </c>
      <c r="WW4" s="25" t="str">
        <f>IF('Eval-Après impact'!$T$107=0,"",IF('Eval-Après impact'!$T$107="","",IF('Eval-Après impact'!W779&lt;&gt;"",'Eval-Après impact'!W779,"")))</f>
        <v/>
      </c>
      <c r="WX4" s="25" t="str">
        <f>IF('Eval-Après impact'!$T$107=0,"",IF('Eval-Après impact'!$T$107="","",IF('Eval-Après impact'!X779&lt;&gt;"",'Eval-Après impact'!X779,"")))</f>
        <v/>
      </c>
      <c r="WY4" s="25" t="str">
        <f>IF('Eval-Après impact'!$T$107=0,"",IF('Eval-Après impact'!$T$107="","",IF('Eval-Après impact'!Y779&lt;&gt;"",'Eval-Après impact'!Y779,"")))</f>
        <v/>
      </c>
      <c r="WZ4" s="25" t="str">
        <f>IF('Eval-Après impact'!$T$107=0,"",IF('Eval-Après impact'!$T$107="","",IF('Eval-Après impact'!A780&lt;&gt;"",'Eval-Après impact'!A780,"")))</f>
        <v/>
      </c>
      <c r="XA4" s="25" t="str">
        <f>IF('Eval-Après impact'!$T$107=0,"",IF('Eval-Après impact'!$T$107="","",IF('Eval-Après impact'!B780&lt;&gt;"",'Eval-Après impact'!B780,"")))</f>
        <v/>
      </c>
      <c r="XB4" s="25" t="str">
        <f>IF('Eval-Après impact'!$T$107=0,"",IF('Eval-Après impact'!$T$107="","",IF('Eval-Après impact'!C780&lt;&gt;"",'Eval-Après impact'!C780,"")))</f>
        <v/>
      </c>
      <c r="XC4" s="25" t="str">
        <f>IF('Eval-Après impact'!$T$107=0,"",IF('Eval-Après impact'!$T$107="","",IF('Eval-Après impact'!E780&lt;&gt;"",'Eval-Après impact'!E780,"")))</f>
        <v/>
      </c>
      <c r="XD4" s="25" t="str">
        <f>IF('Eval-Après impact'!$T$107=0,"",IF('Eval-Après impact'!$T$107="","",IF('Eval-Après impact'!G780&lt;&gt;"",'Eval-Après impact'!G780,"")))</f>
        <v/>
      </c>
      <c r="XE4" s="25" t="str">
        <f>IF('Eval-Après impact'!$T$107=0,"",IF('Eval-Après impact'!$T$107="","",IF('Eval-Après impact'!H780&lt;&gt;"",'Eval-Après impact'!H780,"")))</f>
        <v/>
      </c>
      <c r="XF4" s="25" t="str">
        <f>IF('Eval-Après impact'!$T$107=0,"",IF('Eval-Après impact'!$T$107="","",IF('Eval-Après impact'!I780&lt;&gt;"",'Eval-Après impact'!I780,"")))</f>
        <v/>
      </c>
      <c r="XG4" s="25" t="str">
        <f>IF('Eval-Après impact'!$T$107=0,"",IF('Eval-Après impact'!$T$107="","",IF('Eval-Après impact'!J780&lt;&gt;"",'Eval-Après impact'!J780,"")))</f>
        <v/>
      </c>
      <c r="XH4" s="25" t="str">
        <f>IF('Eval-Après impact'!$T$107=0,"",IF('Eval-Après impact'!$T$107="","",IF('Eval-Après impact'!K780&lt;&gt;"",'Eval-Après impact'!K780,"")))</f>
        <v/>
      </c>
      <c r="XI4" s="25" t="str">
        <f>IF('Eval-Après impact'!$T$107=0,"",IF('Eval-Après impact'!$T$107="","",IF('Eval-Après impact'!L780&lt;&gt;"",'Eval-Après impact'!L780,"")))</f>
        <v/>
      </c>
      <c r="XJ4" s="25" t="str">
        <f>IF('Eval-Après impact'!$T$107=0,"",IF('Eval-Après impact'!$T$107="","",IF('Eval-Après impact'!M780&lt;&gt;"",'Eval-Après impact'!M780,"")))</f>
        <v/>
      </c>
      <c r="XK4" s="25" t="str">
        <f>IF('Eval-Après impact'!$T$107=0,"",IF('Eval-Après impact'!$T$107="","",IF('Eval-Après impact'!N780&lt;&gt;"",'Eval-Après impact'!N780,"")))</f>
        <v/>
      </c>
      <c r="XL4" s="25" t="str">
        <f>IF('Eval-Après impact'!$T$107=0,"",IF('Eval-Après impact'!$T$107="","",IF('Eval-Après impact'!O780&lt;&gt;"",'Eval-Après impact'!O780,"")))</f>
        <v/>
      </c>
      <c r="XM4" s="25" t="str">
        <f>IF('Eval-Après impact'!$T$107=0,"",IF('Eval-Après impact'!$T$107="","",IF('Eval-Après impact'!P780&lt;&gt;"",'Eval-Après impact'!P780,"")))</f>
        <v/>
      </c>
      <c r="XN4" s="25" t="str">
        <f>IF('Eval-Après impact'!$T$107=0,"",IF('Eval-Après impact'!$T$107="","",IF('Eval-Après impact'!Q780&lt;&gt;"",'Eval-Après impact'!Q780,"")))</f>
        <v/>
      </c>
      <c r="XO4" s="25" t="str">
        <f>IF('Eval-Après impact'!$T$107=0,"",IF('Eval-Après impact'!$T$107="","",IF('Eval-Après impact'!R780&lt;&gt;"",'Eval-Après impact'!R780,"")))</f>
        <v/>
      </c>
      <c r="XP4" s="25" t="str">
        <f>IF('Eval-Après impact'!$T$107=0,"",IF('Eval-Après impact'!$T$107="","",IF('Eval-Après impact'!S780&lt;&gt;"",'Eval-Après impact'!S780,"")))</f>
        <v/>
      </c>
      <c r="XQ4" s="25" t="str">
        <f>IF('Eval-Après impact'!$T$107=0,"",IF('Eval-Après impact'!$T$107="","",IF('Eval-Après impact'!T780&lt;&gt;"",'Eval-Après impact'!T780,"")))</f>
        <v/>
      </c>
      <c r="XR4" s="25" t="str">
        <f>IF('Eval-Après impact'!$T$107=0,"",IF('Eval-Après impact'!$T$107="","",IF('Eval-Après impact'!U780&lt;&gt;"",'Eval-Après impact'!U780,"")))</f>
        <v/>
      </c>
      <c r="XS4" s="25" t="str">
        <f>IF('Eval-Après impact'!$T$107=0,"",IF('Eval-Après impact'!$T$107="","",IF('Eval-Après impact'!V780&lt;&gt;"",'Eval-Après impact'!V780,"")))</f>
        <v/>
      </c>
      <c r="XT4" s="25" t="str">
        <f>IF('Eval-Après impact'!$T$107=0,"",IF('Eval-Après impact'!$T$107="","",IF('Eval-Après impact'!W780&lt;&gt;"",'Eval-Après impact'!W780,"")))</f>
        <v/>
      </c>
      <c r="XU4" s="25" t="str">
        <f>IF('Eval-Après impact'!$T$107=0,"",IF('Eval-Après impact'!$T$107="","",IF('Eval-Après impact'!X780&lt;&gt;"",'Eval-Après impact'!X780,"")))</f>
        <v/>
      </c>
      <c r="XV4" s="25" t="str">
        <f>IF('Eval-Après impact'!$T$107=0,"",IF('Eval-Après impact'!$T$107="","",IF('Eval-Après impact'!Y780&lt;&gt;"",'Eval-Après impact'!Y780,"")))</f>
        <v/>
      </c>
      <c r="XW4" s="25" t="str">
        <f>IF('Eval-Après impact'!$T$107=0,"",IF('Eval-Après impact'!$T$107="","",IF('Eval-Après impact'!J797="X","oui",IF('Eval-Après impact'!T797="X","non",""))))</f>
        <v/>
      </c>
      <c r="XX4" s="25" t="str">
        <f>IF('Eval-Après impact'!$T$107=0,"",IF('Eval-Après impact'!$T$107="","",IF('Eval-Après impact'!T806&lt;&gt;"",'Eval-Après impact'!T806,"")))</f>
        <v/>
      </c>
      <c r="XY4" s="25" t="str">
        <f>IF('Eval-Après impact'!$T$107=0,"",IF('Eval-Après impact'!$T$107="","",IF('Eval-Après impact'!T812&lt;&gt;"",'Eval-Après impact'!T812,"")))</f>
        <v/>
      </c>
      <c r="XZ4" s="25" t="str">
        <f>IF('Eval-Après impact'!$T$107=0,"",IF('Eval-Après impact'!$T$107="","",IF('Eval-Après impact'!T816&lt;&gt;"",'Eval-Après impact'!T816,"")))</f>
        <v/>
      </c>
      <c r="YA4" s="25" t="str">
        <f>IF('Eval-Après impact'!$T$107=0,"",IF('Eval-Après impact'!$T$107="","",IF('Eval-Après impact'!T822&lt;&gt;"",'Eval-Après impact'!T822,"")))</f>
        <v/>
      </c>
      <c r="YB4" s="25" t="str">
        <f>IF('Eval-Après impact'!$T$107=0,"",IF('Eval-Après impact'!$T$107="","",'Eval-Après impact'!C829))</f>
        <v/>
      </c>
      <c r="YC4" s="27" t="str">
        <f>'Calcul auto.'!BR41</f>
        <v/>
      </c>
      <c r="YD4" s="27" t="str">
        <f>'Calcul auto.'!BS42</f>
        <v/>
      </c>
      <c r="YE4" s="27" t="str">
        <f>'Calcul auto.'!BR43</f>
        <v/>
      </c>
      <c r="YF4" s="27" t="str">
        <f>'Calcul auto.'!BR44</f>
        <v/>
      </c>
      <c r="YG4" s="27" t="str">
        <f>'Calcul auto.'!BR45</f>
        <v/>
      </c>
      <c r="YH4" s="27" t="str">
        <f>'Calcul auto.'!BR46</f>
        <v/>
      </c>
      <c r="YI4" s="27" t="str">
        <f>'Calcul auto.'!BR47</f>
        <v/>
      </c>
      <c r="YJ4" s="27" t="str">
        <f>'Calcul auto.'!BR48</f>
        <v/>
      </c>
      <c r="YK4" s="27" t="str">
        <f>'Calcul auto.'!BX49</f>
        <v/>
      </c>
      <c r="YL4" s="27" t="str">
        <f>'Calcul auto.'!BX50</f>
        <v/>
      </c>
      <c r="YM4" s="27" t="str">
        <f>'Calcul auto.'!BY51</f>
        <v/>
      </c>
      <c r="YN4" s="27" t="str">
        <f>'Calcul auto.'!BY52</f>
        <v/>
      </c>
      <c r="YO4" s="27" t="str">
        <f>'Calcul auto.'!BY53</f>
        <v/>
      </c>
      <c r="YP4" s="27" t="str">
        <f>'Calcul auto.'!BY54</f>
        <v/>
      </c>
      <c r="YQ4" s="27" t="str">
        <f>'Calcul auto.'!BY55</f>
        <v/>
      </c>
      <c r="YR4" s="27" t="str">
        <f>'Calcul auto.'!BR56</f>
        <v/>
      </c>
      <c r="YS4" s="27" t="str">
        <f>'Calcul auto.'!BT57</f>
        <v/>
      </c>
      <c r="YT4" s="27" t="str">
        <f>'Calcul auto.'!BW58</f>
        <v/>
      </c>
      <c r="YU4" s="27" t="str">
        <f>'Calcul auto.'!BP59</f>
        <v/>
      </c>
      <c r="YV4" s="27" t="str">
        <f>'Calcul auto.'!BP60</f>
        <v/>
      </c>
      <c r="YW4" s="27" t="str">
        <f>'Calcul auto.'!BP61</f>
        <v/>
      </c>
      <c r="YX4" s="27" t="str">
        <f>'Calcul auto.'!BP62</f>
        <v/>
      </c>
      <c r="YY4" s="27" t="str">
        <f>'Calcul auto.'!BR63</f>
        <v/>
      </c>
      <c r="YZ4" s="27" t="str">
        <f>'Calcul auto.'!BQ64</f>
        <v/>
      </c>
      <c r="ZA4" s="27" t="str">
        <f>'Calcul auto.'!BR65</f>
        <v/>
      </c>
      <c r="ZB4" s="27" t="str">
        <f>'Calcul auto.'!BR66</f>
        <v/>
      </c>
      <c r="ZC4" s="27" t="str">
        <f>'Calcul auto.'!BV67</f>
        <v/>
      </c>
      <c r="ZD4" s="27" t="str">
        <f>'Calcul auto.'!BU68</f>
        <v/>
      </c>
      <c r="ZE4" s="27" t="str">
        <f>'Calcul auto.'!BR69</f>
        <v/>
      </c>
      <c r="ZF4" s="27" t="str">
        <f>'Calcul auto.'!BS70</f>
        <v/>
      </c>
      <c r="ZG4" s="27" t="str">
        <f>'Calcul auto.'!BW71</f>
        <v/>
      </c>
      <c r="ZH4" s="27" t="str">
        <f>'Calcul auto.'!BW72</f>
        <v/>
      </c>
      <c r="ZI4" s="27" t="str">
        <f>'Calcul auto.'!BR73</f>
        <v/>
      </c>
      <c r="ZJ4" s="27" t="str">
        <f>'Calcul auto.'!BS74</f>
        <v/>
      </c>
      <c r="ZK4" s="27" t="str">
        <f>'Calcul auto.'!BS75</f>
        <v/>
      </c>
      <c r="ZL4" s="27" t="str">
        <f>'Calcul auto.'!BQ76</f>
        <v/>
      </c>
      <c r="ZM4" s="27" t="str">
        <f>'Calcul auto.'!BQ77</f>
        <v/>
      </c>
      <c r="ZN4" s="27" t="str">
        <f>'Calcul auto.'!BS78</f>
        <v/>
      </c>
      <c r="ZO4" s="27" t="str">
        <f>'Calcul auto.'!BX79</f>
        <v/>
      </c>
      <c r="ZP4" s="27" t="str">
        <f>'Calcul auto.'!BX80</f>
        <v/>
      </c>
      <c r="ZQ4" s="27" t="str">
        <f>'Calcul auto.'!BY81</f>
        <v/>
      </c>
      <c r="ZR4" s="27" t="str">
        <f>'Calcul auto.'!BY82</f>
        <v/>
      </c>
      <c r="ZS4" s="27" t="str">
        <f>'Calcul auto.'!BX83</f>
        <v/>
      </c>
      <c r="ZT4" s="27" t="str">
        <f>'Calcul auto.'!BX84</f>
        <v/>
      </c>
      <c r="ZU4" s="27" t="str">
        <f>'Calcul auto.'!BX85</f>
        <v/>
      </c>
      <c r="ZV4" s="27" t="str">
        <f>'Calcul auto.'!BX86</f>
        <v/>
      </c>
      <c r="ZW4" s="27" t="str">
        <f>'Calcul auto.'!BX87</f>
        <v/>
      </c>
      <c r="ZX4" s="27" t="str">
        <f>'Calcul auto.'!CB41</f>
        <v/>
      </c>
      <c r="ZY4" s="27" t="str">
        <f>'Calcul auto.'!CC42</f>
        <v/>
      </c>
      <c r="ZZ4" s="27" t="str">
        <f>'Calcul auto.'!CB43</f>
        <v/>
      </c>
      <c r="AAA4" s="27" t="str">
        <f>'Calcul auto.'!CB44</f>
        <v/>
      </c>
      <c r="AAB4" s="27" t="str">
        <f>'Calcul auto.'!CB45</f>
        <v/>
      </c>
      <c r="AAC4" s="27" t="str">
        <f>'Calcul auto.'!CH49</f>
        <v/>
      </c>
      <c r="AAD4" s="27" t="str">
        <f>'Calcul auto.'!CH50</f>
        <v/>
      </c>
      <c r="AAE4" s="27" t="str">
        <f>'Calcul auto.'!CI51</f>
        <v/>
      </c>
      <c r="AAF4" s="27" t="str">
        <f>'Calcul auto.'!CI52</f>
        <v/>
      </c>
      <c r="AAG4" s="27" t="str">
        <f>'Calcul auto.'!CI53</f>
        <v/>
      </c>
      <c r="AAH4" s="27" t="str">
        <f>'Calcul auto.'!CI54</f>
        <v/>
      </c>
      <c r="AAI4" s="27" t="str">
        <f>'Calcul auto.'!CI55</f>
        <v/>
      </c>
      <c r="AAJ4" s="27" t="str">
        <f>'Calcul auto.'!CB56</f>
        <v/>
      </c>
      <c r="AAK4" s="27" t="str">
        <f>'Calcul auto.'!CD57</f>
        <v/>
      </c>
      <c r="AAL4" s="27" t="str">
        <f>'Calcul auto.'!CG58</f>
        <v/>
      </c>
      <c r="AAM4" s="27" t="str">
        <f>'Calcul auto.'!BZ59</f>
        <v/>
      </c>
      <c r="AAN4" s="27" t="str">
        <f>'Calcul auto.'!BZ60</f>
        <v/>
      </c>
      <c r="AAO4" s="27" t="str">
        <f>'Calcul auto.'!BZ61</f>
        <v/>
      </c>
      <c r="AAP4" s="27" t="str">
        <f>'Calcul auto.'!BZ62</f>
        <v/>
      </c>
      <c r="AAQ4" s="27" t="str">
        <f>'Calcul auto.'!CB63</f>
        <v/>
      </c>
      <c r="AAR4" s="27" t="str">
        <f>'Calcul auto.'!CA64</f>
        <v/>
      </c>
      <c r="AAS4" s="27" t="str">
        <f>'Calcul auto.'!CB65</f>
        <v/>
      </c>
      <c r="AAT4" s="27" t="str">
        <f>'Calcul auto.'!CB66</f>
        <v/>
      </c>
      <c r="AAU4" s="27" t="str">
        <f>'Calcul auto.'!CF67</f>
        <v/>
      </c>
      <c r="AAV4" s="27" t="str">
        <f>'Calcul auto.'!CE68</f>
        <v/>
      </c>
      <c r="AAW4" s="27" t="str">
        <f>'Calcul auto.'!CB69</f>
        <v/>
      </c>
      <c r="AAX4" s="27" t="str">
        <f>'Calcul auto.'!CC70</f>
        <v/>
      </c>
      <c r="AAY4" s="27" t="str">
        <f>'Calcul auto.'!CG71</f>
        <v/>
      </c>
      <c r="AAZ4" s="27" t="str">
        <f>'Calcul auto.'!CG72</f>
        <v/>
      </c>
      <c r="ABA4" s="27" t="str">
        <f>'Calcul auto.'!CB73</f>
        <v/>
      </c>
      <c r="ABB4" s="27" t="str">
        <f>'Calcul auto.'!CC74</f>
        <v/>
      </c>
      <c r="ABC4" s="27" t="str">
        <f>'Calcul auto.'!CC75</f>
        <v/>
      </c>
      <c r="ABD4" s="27" t="str">
        <f>'Calcul auto.'!CA76</f>
        <v/>
      </c>
      <c r="ABE4" s="27" t="str">
        <f>'Calcul auto.'!CA77</f>
        <v/>
      </c>
      <c r="ABF4" s="27" t="str">
        <f>'Calcul auto.'!CC78</f>
        <v/>
      </c>
      <c r="ABG4" s="27" t="str">
        <f>'Calcul auto.'!CH79</f>
        <v/>
      </c>
      <c r="ABH4" s="27" t="str">
        <f>'Calcul auto.'!CH80</f>
        <v/>
      </c>
      <c r="ABI4" s="27" t="str">
        <f>'Calcul auto.'!CI81</f>
        <v/>
      </c>
      <c r="ABJ4" s="27" t="str">
        <f>'Calcul auto.'!CI82</f>
        <v/>
      </c>
      <c r="ABK4" s="27" t="str">
        <f>'Calcul auto.'!CH83</f>
        <v/>
      </c>
      <c r="ABL4" s="27" t="str">
        <f>'Calcul auto.'!CH84</f>
        <v/>
      </c>
      <c r="ABM4" s="27" t="str">
        <f>'Calcul auto.'!CH85</f>
        <v/>
      </c>
      <c r="ABN4" s="27" t="str">
        <f>'Calcul auto.'!CH86</f>
        <v/>
      </c>
      <c r="ABO4" s="28" t="str">
        <f>'Calcul auto.'!CH87</f>
        <v/>
      </c>
    </row>
    <row r="5" spans="1:743" s="17" customFormat="1" ht="35.25" customHeight="1" x14ac:dyDescent="0.2">
      <c r="A5" s="12" t="s">
        <v>772</v>
      </c>
      <c r="B5" s="10" t="str">
        <f>IF('Eval-Avant action écologique'!$T$107=0,"",IF('Eval-Avant action écologique'!$T$107="","",'Eval-Avant action écologique'!K26))</f>
        <v/>
      </c>
      <c r="C5" s="9" t="str">
        <f>IF('Eval-Avant action écologique'!$T$107=0,"",IF('Eval-Avant action écologique'!$T$107="","",'Eval-Avant action écologique'!F29))</f>
        <v/>
      </c>
      <c r="D5" s="9" t="str">
        <f>IF('Eval-Avant action écologique'!$T$107=0,"",IF('Eval-Avant action écologique'!$T$107="","",'Eval-Avant action écologique'!I29))</f>
        <v/>
      </c>
      <c r="E5" s="9" t="str">
        <f>IF('Eval-Avant action écologique'!$T$107=0,"",IF('Eval-Avant action écologique'!$T$107="","",'Eval-Avant action écologique'!L29))</f>
        <v/>
      </c>
      <c r="F5" s="9" t="str">
        <f>IF('Eval-Avant action écologique'!$T$107=0,"",IF('Eval-Avant action écologique'!$T$107="","",'Eval-Avant action écologique'!O29))</f>
        <v/>
      </c>
      <c r="G5" s="3" t="str">
        <f>IF('Eval-Avant action écologique'!$T$107=0,"",IF('Eval-Avant action écologique'!$T$107="","",'Eval-Avant action écologique'!F30))</f>
        <v/>
      </c>
      <c r="H5" s="3" t="str">
        <f>IF('Eval-Avant action écologique'!$T$107=0,"",IF('Eval-Avant action écologique'!$T$107="","",'Eval-Avant action écologique'!I30))</f>
        <v/>
      </c>
      <c r="I5" s="3" t="str">
        <f>IF('Eval-Avant action écologique'!$T$107=0,"",IF('Eval-Avant action écologique'!$T$107="","",'Eval-Avant action écologique'!L30))</f>
        <v/>
      </c>
      <c r="J5" s="3" t="str">
        <f>IF('Eval-Avant action écologique'!$T$107=0,"",IF('Eval-Avant action écologique'!$T$107="","",'Eval-Avant action écologique'!O30))</f>
        <v/>
      </c>
      <c r="K5" s="3" t="str">
        <f>IF('Eval-Avant action écologique'!$T$107=0,"",IF('Eval-Avant action écologique'!$T$107="","",'Eval-Avant action écologique'!F31))</f>
        <v/>
      </c>
      <c r="L5" s="3" t="str">
        <f>IF('Eval-Avant action écologique'!$T$107=0,"",IF('Eval-Avant action écologique'!$T$107="","",'Eval-Avant action écologique'!I31))</f>
        <v/>
      </c>
      <c r="M5" s="3" t="str">
        <f>IF('Eval-Avant action écologique'!$T$107=0,"",IF('Eval-Avant action écologique'!$T$107="","",'Eval-Avant action écologique'!L31))</f>
        <v/>
      </c>
      <c r="N5" s="3" t="str">
        <f>IF('Eval-Avant action écologique'!$T$107=0,"",IF('Eval-Avant action écologique'!$T$107="","",'Eval-Avant action écologique'!O31))</f>
        <v/>
      </c>
      <c r="O5" s="3" t="str">
        <f>IF('Eval-Avant action écologique'!$T$107=0,"",IF('Eval-Avant action écologique'!$T$107="","",'Eval-Avant action écologique'!F32))</f>
        <v/>
      </c>
      <c r="P5" s="3" t="str">
        <f>IF('Eval-Avant action écologique'!$T$107=0,"",IF('Eval-Avant action écologique'!$T$107="","",'Eval-Avant action écologique'!I32))</f>
        <v/>
      </c>
      <c r="Q5" s="3" t="str">
        <f>IF('Eval-Avant action écologique'!$T$107=0,"",IF('Eval-Avant action écologique'!$T$107="","",'Eval-Avant action écologique'!L32))</f>
        <v/>
      </c>
      <c r="R5" s="3" t="str">
        <f>IF('Eval-Avant action écologique'!$T$107=0,"",IF('Eval-Avant action écologique'!$T$107="","",'Eval-Avant action écologique'!O32))</f>
        <v/>
      </c>
      <c r="S5" s="3" t="str">
        <f>IF('Eval-Avant action écologique'!$T$107=0,"",IF('Eval-Avant action écologique'!$T$107="","",'Eval-Avant action écologique'!C35))</f>
        <v/>
      </c>
      <c r="T5" s="3" t="str">
        <f>IF('Eval-Avant action écologique'!$T$107=0,"",IF('Eval-Avant action écologique'!$T$107="","",'Eval-Avant action écologique'!C44))</f>
        <v/>
      </c>
      <c r="U5" s="3" t="str">
        <f>IF('Eval-Avant action écologique'!$T$107=0,"",IF('Eval-Avant action écologique'!$T$107="","",'Eval-Avant action écologique'!C47))</f>
        <v/>
      </c>
      <c r="V5" s="3" t="str">
        <f>IF('Eval-Avant action écologique'!$T$107=0,"",IF('Eval-Avant action écologique'!$T$107="","",'Eval-Avant action écologique'!C50))</f>
        <v/>
      </c>
      <c r="W5" s="3" t="str">
        <f>IF('Eval-Avant action écologique'!$T$107=0,"",IF('Eval-Avant action écologique'!$T$107="","",'Eval-Avant action écologique'!T107))</f>
        <v/>
      </c>
      <c r="X5" s="5" t="str">
        <f>IF('Eval-Avant action écologique'!$T$107=0,"",IF('Eval-Avant action écologique'!$T$107="","",IF('Eval-Avant action écologique'!T111="X","tout un système humide",IF('Eval-Avant action écologique'!T112="X","délimitation administrative","autres cas"))))</f>
        <v/>
      </c>
      <c r="Y5" s="5" t="str">
        <f>IF('Eval-Avant action écologique'!$T$107=0,"",IF('Eval-Avant action écologique'!$T$107="","",'Eval-Avant action écologique'!G117))</f>
        <v/>
      </c>
      <c r="Z5" s="5" t="str">
        <f>IF('Eval-Avant action écologique'!$T$107=0,"",IF('Eval-Avant action écologique'!$T$107="","",IF('Eval-Avant action écologique'!J121="X",'Eval-Avant action écologique'!I121,"")))</f>
        <v/>
      </c>
      <c r="AA5" s="5" t="str">
        <f>IF('Eval-Avant action écologique'!$T$107=0,"",IF('Eval-Avant action écologique'!$T$107="","",IF('Eval-Avant action écologique'!J122="X",'Eval-Avant action écologique'!I122,"")))</f>
        <v/>
      </c>
      <c r="AB5" s="5" t="str">
        <f>IF('Eval-Avant action écologique'!$T$107=0,"",IF('Eval-Avant action écologique'!$T$107="","",IF('Eval-Avant action écologique'!J123="X",'Eval-Avant action écologique'!I123,"")))</f>
        <v/>
      </c>
      <c r="AC5" s="5" t="str">
        <f>IF('Eval-Avant action écologique'!$T$107=0,"",IF('Eval-Avant action écologique'!$T$107="","",IF('Eval-Avant action écologique'!T121="X",'Eval-Avant action écologique'!S121,"")))</f>
        <v/>
      </c>
      <c r="AD5" s="5" t="str">
        <f>IF('Eval-Avant action écologique'!$T$107=0,"",IF('Eval-Avant action écologique'!$T$107="","",IF('Eval-Avant action écologique'!T122="X",'Eval-Avant action écologique'!S122,"")))</f>
        <v/>
      </c>
      <c r="AE5" s="5" t="str">
        <f>IF('Eval-Avant action écologique'!$T$107=0,"",IF('Eval-Avant action écologique'!$T$107="","",'Eval-Avant action écologique'!C128))</f>
        <v/>
      </c>
      <c r="AF5" s="5" t="str">
        <f>IF('Eval-Avant action écologique'!$T$107=0,"",IF('Eval-Avant action écologique'!$T$107="","",'Eval-Avant action écologique'!T132))</f>
        <v/>
      </c>
      <c r="AG5" s="5" t="str">
        <f>IF('Eval-Avant action écologique'!$T$107=0,"",IF('Eval-Avant action écologique'!$T$107="","",'Eval-Avant action écologique'!T139))</f>
        <v/>
      </c>
      <c r="AH5" s="5" t="str">
        <f>IF('Eval-Avant action écologique'!$T$107=0,"",IF('Eval-Avant action écologique'!$T$107="","",IF('Eval-Avant action écologique'!J194="X","procédure 1",IF('Eval-Avant action écologique'!T194="X","procédure 2",IF('Eval-Avant action écologique'!J195="X","procédure 3",IF('Eval-Avant action écologique'!T195="X","procédure 4",IF('Eval-Avant action écologique'!J196="X","procédure 5","")))))))</f>
        <v/>
      </c>
      <c r="AI5" s="5" t="str">
        <f>IF('Eval-Avant action écologique'!$T$107=0,"",IF('Eval-Avant action écologique'!$T$107="","",'Eval-Avant action écologique'!C205))</f>
        <v/>
      </c>
      <c r="AJ5" s="5" t="str">
        <f>IF('Eval-Avant action écologique'!$T$107=0,"",IF('Eval-Avant action écologique'!$T$107="","",'Eval-Avant action écologique'!T213))</f>
        <v/>
      </c>
      <c r="AK5" s="5" t="str">
        <f>IF('Eval-Avant action écologique'!$T$107=0,"",IF('Eval-Avant action écologique'!$T$107="","",'Eval-Avant action écologique'!T217))</f>
        <v/>
      </c>
      <c r="AL5" s="5" t="str">
        <f>IF('Eval-Avant action écologique'!$T$107=0,"",IF('Eval-Avant action écologique'!$T$107="","",'Eval-Avant action écologique'!T221))</f>
        <v/>
      </c>
      <c r="AM5" s="5" t="str">
        <f>IF('Eval-Avant action écologique'!$T$107=0,"",IF('Eval-Avant action écologique'!$T$107="","",'Eval-Avant action écologique'!T222))</f>
        <v/>
      </c>
      <c r="AN5" s="5" t="str">
        <f>IF('Eval-Avant action écologique'!$T$107=0,"",IF('Eval-Avant action écologique'!$T$107="","",IF('Eval-Avant action écologique'!J226="X","oui","non")))</f>
        <v/>
      </c>
      <c r="AO5" s="5" t="str">
        <f>IF('Eval-Avant action écologique'!$T$107=0,"",IF('Eval-Avant action écologique'!$T$107="","",'Eval-Avant action écologique'!T230))</f>
        <v/>
      </c>
      <c r="AP5" s="5" t="str">
        <f>IF('Eval-Avant action écologique'!$T$107=0,"",IF('Eval-Avant action écologique'!$T$107="","",'Eval-Avant action écologique'!T234))</f>
        <v/>
      </c>
      <c r="AQ5" s="5" t="str">
        <f>IF('Eval-Avant action écologique'!$T$107=0,"",IF('Eval-Avant action écologique'!$T$107="","",'Eval-Avant action écologique'!T292))</f>
        <v/>
      </c>
      <c r="AR5" s="5" t="str">
        <f>IF('Eval-Avant action écologique'!$T$107=0,"",IF('Eval-Avant action écologique'!$T$107="","",'Eval-Avant action écologique'!T296))</f>
        <v/>
      </c>
      <c r="AS5" s="5" t="str">
        <f>IF('Eval-Avant action écologique'!$T$107=0,"",IF('Eval-Avant action écologique'!$T$107="","",'Eval-Avant action écologique'!T356))</f>
        <v/>
      </c>
      <c r="AT5" s="5" t="str">
        <f>IF('Eval-Avant action écologique'!$T$107=0,"",IF('Eval-Avant action écologique'!$T$107="","",'Eval-Avant action écologique'!T361))</f>
        <v/>
      </c>
      <c r="AU5" s="5" t="str">
        <f>IF('Eval-Avant action écologique'!$T$107=0,"",IF('Eval-Avant action écologique'!$T$107="","",'Eval-Avant action écologique'!T362))</f>
        <v/>
      </c>
      <c r="AV5" s="5" t="str">
        <f>IF('Eval-Avant action écologique'!$T$107=0,"",IF('Eval-Avant action écologique'!$T$107="","",'Eval-Avant action écologique'!T363))</f>
        <v/>
      </c>
      <c r="AW5" s="5" t="str">
        <f>IF('Eval-Avant action écologique'!$T$107=0,"",IF('Eval-Avant action écologique'!$T$107="","",'Eval-Avant action écologique'!T364))</f>
        <v/>
      </c>
      <c r="AX5" s="5" t="str">
        <f>IF('Eval-Avant action écologique'!$T$107=0,"",IF('Eval-Avant action écologique'!$T$107="","",'Eval-Avant action écologique'!T365))</f>
        <v/>
      </c>
      <c r="AY5" s="5" t="str">
        <f>IF('Eval-Avant action écologique'!$T$107=0,"",IF('Eval-Avant action écologique'!$T$107="","",'Eval-Avant action écologique'!T366))</f>
        <v/>
      </c>
      <c r="AZ5" s="5" t="str">
        <f>IF('Eval-Avant action écologique'!$T$107=0,"",IF('Eval-Avant action écologique'!$T$107="","",'Eval-Avant action écologique'!T367))</f>
        <v/>
      </c>
      <c r="BA5" s="5" t="str">
        <f>IF('Eval-Avant action écologique'!$T$107=0,"",IF('Eval-Avant action écologique'!$T$107="","",'Eval-Avant action écologique'!T368))</f>
        <v/>
      </c>
      <c r="BB5" s="5" t="str">
        <f>IF('Eval-Avant action écologique'!$T$107=0,"",IF('Eval-Avant action écologique'!$T$107="","",'Eval-Avant action écologique'!T369))</f>
        <v/>
      </c>
      <c r="BC5" s="5" t="str">
        <f>IF('Eval-Avant action écologique'!$T$107=0,"",IF('Eval-Avant action écologique'!$T$107="","",'Eval-Avant action écologique'!T370))</f>
        <v/>
      </c>
      <c r="BD5" s="5" t="str">
        <f>IF('Eval-Avant action écologique'!$T$107=0,"",IF('Eval-Avant action écologique'!$T$107="","",IF('Eval-Avant action écologique'!J376="X","procédure 1",IF('Eval-Avant action écologique'!T376="X","procédure 2","procédure 3"))))</f>
        <v/>
      </c>
      <c r="BE5" s="5" t="str">
        <f>IF('Eval-Avant action écologique'!$T$107=0,"",IF('Eval-Avant action écologique'!$T$107="","",IF('Eval-Avant action écologique'!J376="X",'Eval-Avant action écologique'!T382,"")))</f>
        <v/>
      </c>
      <c r="BF5" s="5" t="str">
        <f>IF('Eval-Avant action écologique'!$T$107=0,"",IF('Eval-Avant action écologique'!$T$107="","",IF('Eval-Avant action écologique'!T376="X",'Eval-Avant action écologique'!T387,"")))</f>
        <v/>
      </c>
      <c r="BG5" s="5" t="str">
        <f>IF('Eval-Avant action écologique'!$T$107=0,"",IF('Eval-Avant action écologique'!$T$107="","",IF('Eval-Avant action écologique'!J377="X",'Eval-Avant action écologique'!T393,"")))</f>
        <v/>
      </c>
      <c r="BH5" s="5" t="str">
        <f>IF('Eval-Avant action écologique'!$T$107=0,"",IF('Eval-Avant action écologique'!$T$107="","",IF('Eval-Avant action écologique'!J377="X",'Eval-Avant action écologique'!T394,"")))</f>
        <v/>
      </c>
      <c r="BI5" s="5" t="str">
        <f>IF('Eval-Avant action écologique'!$T$107=0,"",IF('Eval-Avant action écologique'!$T$107="","",'Eval-Avant action écologique'!T398))</f>
        <v/>
      </c>
      <c r="BJ5" s="5" t="str">
        <f>IF('Eval-Avant action écologique'!$T$107=0,"",IF('Eval-Avant action écologique'!$T$107="","",'Eval-Avant action écologique'!T399))</f>
        <v/>
      </c>
      <c r="BK5" s="5" t="str">
        <f>IF('Eval-Avant action écologique'!$T$107=0,"",IF('Eval-Avant action écologique'!$T$107="","",IF('Eval-Avant action écologique'!J404="X","oui","non")))</f>
        <v/>
      </c>
      <c r="BL5" s="5" t="str">
        <f>IF('Eval-Avant action écologique'!$T$107=0,"",IF('Eval-Avant action écologique'!$T$107="","",'Eval-Avant action écologique'!T408))</f>
        <v/>
      </c>
      <c r="BM5" s="5" t="str">
        <f>IF('Eval-Avant action écologique'!$T$107=0,"",IF('Eval-Avant action écologique'!$T$107="","",IF('Eval-Avant action écologique'!J413="X","oui","non")))</f>
        <v/>
      </c>
      <c r="BN5" s="5" t="str">
        <f>IF('Eval-Avant action écologique'!$T$107=0,"",IF('Eval-Avant action écologique'!$T$107="","",'Eval-Avant action écologique'!C419))</f>
        <v/>
      </c>
      <c r="BO5" s="5" t="str">
        <f>IF('Eval-Avant action écologique'!$T$107=0,"",IF('Eval-Avant action écologique'!$T$107="","",'Eval-Avant action écologique'!T424))</f>
        <v/>
      </c>
      <c r="BP5" s="5" t="str">
        <f>IF('Eval-Avant action écologique'!$T$107=0,"",IF('Eval-Avant action écologique'!$T$107="","",IF('Eval-Avant action écologique'!J429="X","oui","non")))</f>
        <v/>
      </c>
      <c r="BQ5" s="5" t="str">
        <f>IF('Eval-Avant action écologique'!$T$107=0,"",IF('Eval-Avant action écologique'!$T$107="","",'Eval-Avant action écologique'!C435))</f>
        <v/>
      </c>
      <c r="BR5" s="5" t="str">
        <f>IF('Eval-Avant action écologique'!$T$107=0,"",IF('Eval-Avant action écologique'!$T$107="","",IF('Eval-Avant action écologique'!J440="X","oui","non")))</f>
        <v/>
      </c>
      <c r="BS5" s="5" t="str">
        <f>IF('Eval-Avant action écologique'!$T$107=0,"",IF('Eval-Avant action écologique'!$T$107="","",IF('Eval-Avant action écologique'!J444="X","oui","non")))</f>
        <v/>
      </c>
      <c r="BT5" s="5" t="str">
        <f>IF('Eval-Avant action écologique'!$T$107=0,"",IF('Eval-Avant action écologique'!$T$107="","",IF('Eval-Avant action écologique'!J449="X","oui","non")))</f>
        <v/>
      </c>
      <c r="BU5" s="5" t="str">
        <f>IF('Eval-Avant action écologique'!$T$107=0,"",IF('Eval-Avant action écologique'!$T$107="","",IF('Eval-Avant action écologique'!J456="X",'Eval-Avant action écologique'!I456,IF('Eval-Avant action écologique'!J457="X",'Eval-Avant action écologique'!I457,IF('Eval-Avant action écologique'!T456="X",'Eval-Avant action écologique'!S456,'Eval-Avant action écologique'!S457)))))</f>
        <v/>
      </c>
      <c r="BV5" s="5" t="str">
        <f>IF('Eval-Avant action écologique'!$T$107=0,"",IF('Eval-Avant action écologique'!$T$107="","",IF('Eval-Avant action écologique'!$C$465&lt;&gt;"",'Eval-Avant action écologique'!$C$465,"")))</f>
        <v/>
      </c>
      <c r="BW5" s="5" t="str">
        <f>IF('Eval-Avant action écologique'!$T$107=0,"",IF('Eval-Avant action écologique'!$T$107="","",IF('Eval-Avant action écologique'!$T$465&lt;&gt;"",'Eval-Avant action écologique'!$T$465,"")))</f>
        <v/>
      </c>
      <c r="BX5" s="5" t="str">
        <f>IF('Eval-Avant action écologique'!$T$107=0,"",IF('Eval-Avant action écologique'!$T$107="","",IF('Eval-Avant action écologique'!$C$466&lt;&gt;"",'Eval-Avant action écologique'!$C$466,"")))</f>
        <v/>
      </c>
      <c r="BY5" s="5" t="str">
        <f>IF('Eval-Avant action écologique'!$T$107=0,"",IF('Eval-Avant action écologique'!$T$107="","",IF('Eval-Avant action écologique'!$T$466&lt;&gt;"",'Eval-Avant action écologique'!$T$466,"")))</f>
        <v/>
      </c>
      <c r="BZ5" s="5" t="str">
        <f>IF('Eval-Avant action écologique'!$T$107=0,"",IF('Eval-Avant action écologique'!$T$107="","",IF('Eval-Avant action écologique'!$C$467&lt;&gt;"",'Eval-Avant action écologique'!$C$467,"")))</f>
        <v/>
      </c>
      <c r="CA5" s="5" t="str">
        <f>IF('Eval-Avant action écologique'!$T$107=0,"",IF('Eval-Avant action écologique'!$T$107="","",IF('Eval-Avant action écologique'!$T$467&lt;&gt;"",'Eval-Avant action écologique'!$T$467,"")))</f>
        <v/>
      </c>
      <c r="CB5" s="5" t="str">
        <f>IF('Eval-Avant action écologique'!$T$107=0,"",IF('Eval-Avant action écologique'!$T$107="","",IF('Eval-Avant action écologique'!$C$468&lt;&gt;"",'Eval-Avant action écologique'!$C$468,"")))</f>
        <v/>
      </c>
      <c r="CC5" s="5" t="str">
        <f>IF('Eval-Avant action écologique'!$T$107=0,"",IF('Eval-Avant action écologique'!$T$107="","",IF('Eval-Avant action écologique'!$T$468&lt;&gt;"",'Eval-Avant action écologique'!$T$468,"")))</f>
        <v/>
      </c>
      <c r="CD5" s="5" t="str">
        <f>IF('Eval-Avant action écologique'!$T$107=0,"",IF('Eval-Avant action écologique'!$T$107="","",IF('Eval-Avant action écologique'!$C$469&lt;&gt;"",'Eval-Avant action écologique'!$C$469,"")))</f>
        <v/>
      </c>
      <c r="CE5" s="5" t="str">
        <f>IF('Eval-Avant action écologique'!$T$107=0,"",IF('Eval-Avant action écologique'!$T$107="","",IF('Eval-Avant action écologique'!$T$469&lt;&gt;"",'Eval-Avant action écologique'!$T$469,"")))</f>
        <v/>
      </c>
      <c r="CF5" s="5" t="str">
        <f>IF('Eval-Avant action écologique'!$T$107=0,"",IF('Eval-Avant action écologique'!$T$107="","",IF('Eval-Avant action écologique'!$C$470&lt;&gt;"",'Eval-Avant action écologique'!$C$470,"")))</f>
        <v/>
      </c>
      <c r="CG5" s="5" t="str">
        <f>IF('Eval-Avant action écologique'!$T$107=0,"",IF('Eval-Avant action écologique'!$T$107="","",IF('Eval-Avant action écologique'!$T$470&lt;&gt;"",'Eval-Avant action écologique'!$T$470,"")))</f>
        <v/>
      </c>
      <c r="CH5" s="5" t="str">
        <f>IF('Eval-Avant action écologique'!$T$107=0,"",IF('Eval-Avant action écologique'!$T$107="","",IF('Eval-Avant action écologique'!$C$471&lt;&gt;"",'Eval-Avant action écologique'!$C$471,"")))</f>
        <v/>
      </c>
      <c r="CI5" s="5" t="str">
        <f>IF('Eval-Avant action écologique'!$T$107=0,"",IF('Eval-Avant action écologique'!$T$107="","",IF('Eval-Avant action écologique'!$T$471&lt;&gt;"",'Eval-Avant action écologique'!$T$471,"")))</f>
        <v/>
      </c>
      <c r="CJ5" s="5" t="str">
        <f>IF('Eval-Avant action écologique'!$T$107=0,"",IF('Eval-Avant action écologique'!$T$107="","",IF('Eval-Avant action écologique'!$C$472&lt;&gt;"",'Eval-Avant action écologique'!$C$472,"")))</f>
        <v/>
      </c>
      <c r="CK5" s="5" t="str">
        <f>IF('Eval-Avant action écologique'!$T$107=0,"",IF('Eval-Avant action écologique'!$T$107="","",IF('Eval-Avant action écologique'!$T$472&lt;&gt;"",'Eval-Avant action écologique'!$T$472,"")))</f>
        <v/>
      </c>
      <c r="CL5" s="5" t="str">
        <f>IF('Eval-Avant action écologique'!$T$107=0,"",IF('Eval-Avant action écologique'!$T$107="","",IF('Eval-Avant action écologique'!$C$473&lt;&gt;"",'Eval-Avant action écologique'!$C$473,"")))</f>
        <v/>
      </c>
      <c r="CM5" s="5" t="str">
        <f>IF('Eval-Avant action écologique'!$T$107=0,"",IF('Eval-Avant action écologique'!$T$107="","",IF('Eval-Avant action écologique'!$T$473&lt;&gt;"",'Eval-Avant action écologique'!$T$473,"")))</f>
        <v/>
      </c>
      <c r="CN5" s="5" t="str">
        <f>IF('Eval-Avant action écologique'!$T$107=0,"",IF('Eval-Avant action écologique'!$T$107="","",IF('Eval-Avant action écologique'!$C$474&lt;&gt;"",'Eval-Avant action écologique'!$C$474,"")))</f>
        <v/>
      </c>
      <c r="CO5" s="5" t="str">
        <f>IF('Eval-Avant action écologique'!$T$107=0,"",IF('Eval-Avant action écologique'!$T$107="","",IF('Eval-Avant action écologique'!$T$474&lt;&gt;"",'Eval-Avant action écologique'!$T$474,"")))</f>
        <v/>
      </c>
      <c r="CP5" s="5" t="str">
        <f>IF('Eval-Avant action écologique'!$T$107=0,"",IF('Eval-Avant action écologique'!$T$107="","",IF('Eval-Avant action écologique'!$C$475&lt;&gt;"",'Eval-Avant action écologique'!$C$475,"")))</f>
        <v/>
      </c>
      <c r="CQ5" s="5" t="str">
        <f>IF('Eval-Avant action écologique'!$T$107=0,"",IF('Eval-Avant action écologique'!$T$107="","",IF('Eval-Avant action écologique'!$T$475&lt;&gt;"",'Eval-Avant action écologique'!$T$475,"")))</f>
        <v/>
      </c>
      <c r="CR5" s="5" t="str">
        <f>IF('Eval-Avant action écologique'!$T$107=0,"",IF('Eval-Avant action écologique'!$T$107="","",IF('Eval-Avant action écologique'!$C$476&lt;&gt;"",'Eval-Avant action écologique'!$C$476,"")))</f>
        <v/>
      </c>
      <c r="CS5" s="5" t="str">
        <f>IF('Eval-Avant action écologique'!$T$107=0,"",IF('Eval-Avant action écologique'!$T$107="","",IF('Eval-Avant action écologique'!$T$476&lt;&gt;"",'Eval-Avant action écologique'!$T$476,"")))</f>
        <v/>
      </c>
      <c r="CT5" s="5" t="str">
        <f>IF('Eval-Avant action écologique'!$T$107=0,"",IF('Eval-Avant action écologique'!$T$107="","",IF('Eval-Avant action écologique'!$C$477&lt;&gt;"",'Eval-Avant action écologique'!$C$477,"")))</f>
        <v/>
      </c>
      <c r="CU5" s="5" t="str">
        <f>IF('Eval-Avant action écologique'!$T$107=0,"",IF('Eval-Avant action écologique'!$T$107="","",IF('Eval-Avant action écologique'!$T$477&lt;&gt;"",'Eval-Avant action écologique'!$T$477,"")))</f>
        <v/>
      </c>
      <c r="CV5" s="5" t="str">
        <f>IF('Eval-Avant action écologique'!$T$107=0,"",IF('Eval-Avant action écologique'!$T$107="","",IF('Eval-Avant action écologique'!$C$478&lt;&gt;"",'Eval-Avant action écologique'!$C$478,"")))</f>
        <v/>
      </c>
      <c r="CW5" s="5" t="str">
        <f>IF('Eval-Avant action écologique'!$T$107=0,"",IF('Eval-Avant action écologique'!$T$107="","",IF('Eval-Avant action écologique'!$T$478&lt;&gt;"",'Eval-Avant action écologique'!$T$478,"")))</f>
        <v/>
      </c>
      <c r="CX5" s="5" t="str">
        <f>IF('Eval-Avant action écologique'!$T$107=0,"",IF('Eval-Avant action écologique'!$T$107="","",IF('Eval-Avant action écologique'!$C$479&lt;&gt;"",'Eval-Avant action écologique'!$C$479,"")))</f>
        <v/>
      </c>
      <c r="CY5" s="5" t="str">
        <f>IF('Eval-Avant action écologique'!$T$107=0,"",IF('Eval-Avant action écologique'!$T$107="","",IF('Eval-Avant action écologique'!$T$479&lt;&gt;"",'Eval-Avant action écologique'!$T$479,"")))</f>
        <v/>
      </c>
      <c r="CZ5" s="5" t="str">
        <f>IF('Eval-Avant action écologique'!$T$107=0,"",IF('Eval-Avant action écologique'!$T$107="","",'Eval-Avant action écologique'!C486))</f>
        <v/>
      </c>
      <c r="DA5" s="5" t="str">
        <f>IF('Eval-Avant action écologique'!$T$107=0,"",IF('Eval-Avant action écologique'!$T$107="","",'Eval-Avant action écologique'!T491))</f>
        <v/>
      </c>
      <c r="DB5" s="5" t="str">
        <f>IF('Eval-Avant action écologique'!$T$107=0,"",IF('Eval-Avant action écologique'!$T$107="","",IF('Eval-Avant action écologique'!T498&lt;&gt;"",'Eval-Avant action écologique'!T498,"")))</f>
        <v/>
      </c>
      <c r="DC5" s="5" t="str">
        <f>IF('Eval-Avant action écologique'!$T$107=0,"",IF('Eval-Avant action écologique'!$T$107="","",IF('Eval-Avant action écologique'!T503&lt;&gt;"",'Eval-Avant action écologique'!T503,"")))</f>
        <v/>
      </c>
      <c r="DD5" s="5" t="str">
        <f>IF('Eval-Avant action écologique'!$T$107=0,"",IF('Eval-Avant action écologique'!$T$107="","",IF('Eval-Avant action écologique'!T504&lt;&gt;"",'Eval-Avant action écologique'!T504,"")))</f>
        <v/>
      </c>
      <c r="DE5" s="5" t="str">
        <f>IF('Eval-Avant action écologique'!$T$107=0,"",IF('Eval-Avant action écologique'!$T$107="","",IF('Eval-Avant action écologique'!J508="X","oui","non")))</f>
        <v/>
      </c>
      <c r="DF5" s="5" t="str">
        <f>IF('Eval-Avant action écologique'!$T$107=0,"",IF('Eval-Avant action écologique'!$T$107="","",'Eval-Avant action écologique'!C514))</f>
        <v/>
      </c>
      <c r="DG5" s="5" t="str">
        <f>IF('Eval-Avant action écologique'!$T$107=0,"",IF('Eval-Avant action écologique'!$T$107="","",IF('Eval-Avant action écologique'!J522="X","oui","non")))</f>
        <v/>
      </c>
      <c r="DH5" s="5" t="str">
        <f>IF('Eval-Avant action écologique'!$T$107=0,"",IF('Eval-Avant action écologique'!$T$107="","",IF('Eval-Avant action écologique'!C526&lt;&gt;"",'Eval-Avant action écologique'!C526,"")))</f>
        <v/>
      </c>
      <c r="DI5" s="5" t="str">
        <f>IF('Eval-Avant action écologique'!$T$107=0,"",IF('Eval-Avant action écologique'!$T$107="","",IF('Eval-Avant action écologique'!C534&lt;&gt;"",'Eval-Avant action écologique'!C534,"")))</f>
        <v/>
      </c>
      <c r="DJ5" s="5" t="str">
        <f>IF('Eval-Avant action écologique'!$T$107=0,"",IF('Eval-Avant action écologique'!$T$107="","",IF('Eval-Avant action écologique'!C537&lt;&gt;"",'Eval-Avant action écologique'!C537,"")))</f>
        <v/>
      </c>
      <c r="DK5" s="5" t="str">
        <f>IF('Eval-Avant action écologique'!$T$107=0,"",IF('Eval-Avant action écologique'!$T$107="","",IF('Eval-Avant action écologique'!C540&lt;&gt;"",'Eval-Avant action écologique'!C540,"")))</f>
        <v/>
      </c>
      <c r="DL5" s="5" t="str">
        <f>IF('Eval-Avant action écologique'!$T$107=0,"",IF('Eval-Avant action écologique'!$T$107="","",IF('Eval-Avant action écologique'!C543&lt;&gt;"",'Eval-Avant action écologique'!C543,"")))</f>
        <v/>
      </c>
      <c r="DM5" s="5" t="str">
        <f>IF('Eval-Avant action écologique'!$T$107=0,"",IF('Eval-Avant action écologique'!$T$107="","",IF('Eval-Avant action écologique'!C546&lt;&gt;"",'Eval-Avant action écologique'!C546,"")))</f>
        <v/>
      </c>
      <c r="DN5" s="5" t="str">
        <f>IF('Eval-Avant action écologique'!$T$107=0,"",IF('Eval-Avant action écologique'!$T$107="","",IF('Eval-Avant action écologique'!C552&lt;&gt;"",'Eval-Avant action écologique'!C552,"")))</f>
        <v/>
      </c>
      <c r="DO5" s="5" t="str">
        <f>IF('Eval-Avant action écologique'!$T$107=0,"",IF('Eval-Avant action écologique'!$T$107="","",IF('Eval-Avant action écologique'!C559&lt;&gt;"",'Eval-Avant action écologique'!C559,"")))</f>
        <v/>
      </c>
      <c r="DP5" s="5" t="str">
        <f>IF('Eval-Avant action écologique'!$T$107=0,"",IF('Eval-Avant action écologique'!$T$107="","",IF('Eval-Avant action écologique'!C562&lt;&gt;"",'Eval-Avant action écologique'!C562,"")))</f>
        <v/>
      </c>
      <c r="DQ5" s="5" t="str">
        <f>IF('Eval-Avant action écologique'!$T$107=0,"",IF('Eval-Avant action écologique'!$T$107="","",IF('Eval-Avant action écologique'!C565&lt;&gt;"",'Eval-Avant action écologique'!C565,"")))</f>
        <v/>
      </c>
      <c r="DR5" s="5" t="str">
        <f>IF('Eval-Avant action écologique'!$T$107=0,"",IF('Eval-Avant action écologique'!$T$107="","",IF('Eval-Avant action écologique'!C568&lt;&gt;"",'Eval-Avant action écologique'!C568,"")))</f>
        <v/>
      </c>
      <c r="DS5" s="5" t="str">
        <f>IF('Eval-Avant action écologique'!$T$107=0,"",IF('Eval-Avant action écologique'!$T$107="","",IF('Eval-Avant action écologique'!C576&lt;&gt;"",'Eval-Avant action écologique'!C576,"")))</f>
        <v/>
      </c>
      <c r="DT5" s="5" t="str">
        <f>IF('Eval-Avant action écologique'!$T$107=0,"",IF('Eval-Avant action écologique'!$T$107="","",IF('Eval-Avant action écologique'!C582&lt;&gt;"",'Eval-Avant action écologique'!C582,"")))</f>
        <v/>
      </c>
      <c r="DU5" s="5" t="str">
        <f>IF('Eval-Avant action écologique'!$T$107=0,"",IF('Eval-Avant action écologique'!$T$107="","",IF('Eval-Avant action écologique'!C588&lt;&gt;"",'Eval-Avant action écologique'!C588,"")))</f>
        <v/>
      </c>
      <c r="DV5" s="5" t="str">
        <f>IF('Eval-Avant action écologique'!$T$107=0,"",IF('Eval-Avant action écologique'!$T$107="","",IF('Eval-Avant action écologique'!J594="X","oui","non")))</f>
        <v/>
      </c>
      <c r="DW5" s="5" t="str">
        <f>IF('Eval-Avant action écologique'!$T$107=0,"",IF('Eval-Avant action écologique'!$T$107="","",IF('Eval-Avant action écologique'!J594="X",'Eval-Avant action écologique'!T600,"")))</f>
        <v/>
      </c>
      <c r="DX5" s="4" t="str">
        <f>IF('Eval-Avant action écologique'!$T$107=0,"",IF('Eval-Avant action écologique'!$T$107="","",'Eval-Avant action écologique'!J605))</f>
        <v/>
      </c>
      <c r="DY5" s="5" t="str">
        <f>IF('Eval-Avant action écologique'!$T$107=0,"",IF('Eval-Avant action écologique'!$T$107="","",'Eval-Avant action écologique'!F609))</f>
        <v/>
      </c>
      <c r="DZ5" s="5" t="str">
        <f>IF('Eval-Avant action écologique'!$T$107=0,"",IF('Eval-Avant action écologique'!$T$107="","",'Eval-Avant action écologique'!I609))</f>
        <v/>
      </c>
      <c r="EA5" s="5" t="str">
        <f>IF('Eval-Avant action écologique'!$T$107=0,"",IF('Eval-Avant action écologique'!$T$107="","",'Eval-Avant action écologique'!L609))</f>
        <v/>
      </c>
      <c r="EB5" s="5" t="str">
        <f>IF('Eval-Avant action écologique'!$T$107=0,"",IF('Eval-Avant action écologique'!$T$107="","",'Eval-Avant action écologique'!O609))</f>
        <v/>
      </c>
      <c r="EC5" s="5" t="str">
        <f>IF('Eval-Avant action écologique'!$T$107=0,"",IF('Eval-Avant action écologique'!$T$107="","",'Eval-Avant action écologique'!F610))</f>
        <v/>
      </c>
      <c r="ED5" s="5" t="str">
        <f>IF('Eval-Avant action écologique'!$T$107=0,"",IF('Eval-Avant action écologique'!$T$107="","",'Eval-Avant action écologique'!I610))</f>
        <v/>
      </c>
      <c r="EE5" s="5" t="str">
        <f>IF('Eval-Avant action écologique'!$T$107=0,"",IF('Eval-Avant action écologique'!$T$107="","",'Eval-Avant action écologique'!L610))</f>
        <v/>
      </c>
      <c r="EF5" s="5" t="str">
        <f>IF('Eval-Avant action écologique'!$T$107=0,"",IF('Eval-Avant action écologique'!$T$107="","",'Eval-Avant action écologique'!O610))</f>
        <v/>
      </c>
      <c r="EG5" s="5" t="str">
        <f>IF('Eval-Avant action écologique'!$T$107=0,"",IF('Eval-Avant action écologique'!$T$107="","",'Eval-Avant action écologique'!F611))</f>
        <v/>
      </c>
      <c r="EH5" s="5" t="str">
        <f>IF('Eval-Avant action écologique'!$T$107=0,"",IF('Eval-Avant action écologique'!$T$107="","",'Eval-Avant action écologique'!I611))</f>
        <v/>
      </c>
      <c r="EI5" s="5" t="str">
        <f>IF('Eval-Avant action écologique'!$T$107=0,"",IF('Eval-Avant action écologique'!$T$107="","",'Eval-Avant action écologique'!L611))</f>
        <v/>
      </c>
      <c r="EJ5" s="5" t="str">
        <f>IF('Eval-Avant action écologique'!$T$107=0,"",IF('Eval-Avant action écologique'!$T$107="","",'Eval-Avant action écologique'!O611))</f>
        <v/>
      </c>
      <c r="EK5" s="5" t="str">
        <f>IF('Eval-Avant action écologique'!$T$107=0,"",IF('Eval-Avant action écologique'!$T$107="","",'Eval-Avant action écologique'!F612))</f>
        <v/>
      </c>
      <c r="EL5" s="5" t="str">
        <f>IF('Eval-Avant action écologique'!$T$107=0,"",IF('Eval-Avant action écologique'!$T$107="","",'Eval-Avant action écologique'!I612))</f>
        <v/>
      </c>
      <c r="EM5" s="5" t="str">
        <f>IF('Eval-Avant action écologique'!$T$107=0,"",IF('Eval-Avant action écologique'!$T$107="","",'Eval-Avant action écologique'!L612))</f>
        <v/>
      </c>
      <c r="EN5" s="5" t="str">
        <f>IF('Eval-Avant action écologique'!$T$107=0,"",IF('Eval-Avant action écologique'!$T$107="","",'Eval-Avant action écologique'!O612))</f>
        <v/>
      </c>
      <c r="EO5" s="5" t="str">
        <f>IF('Eval-Avant action écologique'!$T$107=0,"",IF('Eval-Avant action écologique'!$T$107="","",'Eval-Avant action écologique'!T619))</f>
        <v/>
      </c>
      <c r="EP5" s="5" t="str">
        <f>IF('Eval-Avant action écologique'!$T$107=0,"",IF('Eval-Avant action écologique'!$T$107="","",'Eval-Avant action écologique'!T622))</f>
        <v/>
      </c>
      <c r="EQ5" s="5" t="str">
        <f>IF('Eval-Avant action écologique'!$T$107=0,"",IF('Eval-Avant action écologique'!$T$107="","",'Eval-Avant action écologique'!T623))</f>
        <v/>
      </c>
      <c r="ER5" s="5" t="str">
        <f>IF('Eval-Avant action écologique'!$T$107=0,"",IF('Eval-Avant action écologique'!$T$107="","",'Eval-Avant action écologique'!T624))</f>
        <v/>
      </c>
      <c r="ES5" s="5" t="str">
        <f>IF('Eval-Avant action écologique'!$T$107=0,"",IF('Eval-Avant action écologique'!$T$107="","",'Eval-Avant action écologique'!T626))</f>
        <v/>
      </c>
      <c r="ET5" s="5" t="str">
        <f>IF('Eval-Avant action écologique'!$T$107=0,"",IF('Eval-Avant action écologique'!$T$107="","",'Eval-Avant action écologique'!T627))</f>
        <v/>
      </c>
      <c r="EU5" s="5" t="str">
        <f>IF('Eval-Avant action écologique'!$T$107=0,"",IF('Eval-Avant action écologique'!$T$107="","",'Eval-Avant action écologique'!T628))</f>
        <v/>
      </c>
      <c r="EV5" s="5" t="str">
        <f>IF('Eval-Avant action écologique'!$T$107=0,"",IF('Eval-Avant action écologique'!$T$107="","",'Eval-Avant action écologique'!T629))</f>
        <v/>
      </c>
      <c r="EW5" s="5" t="str">
        <f>IF('Eval-Avant action écologique'!$T$107=0,"",IF('Eval-Avant action écologique'!$T$107="","",'Eval-Avant action écologique'!T630))</f>
        <v/>
      </c>
      <c r="EX5" s="5" t="str">
        <f>IF('Eval-Avant action écologique'!$T$107=0,"",IF('Eval-Avant action écologique'!$T$107="","",'Eval-Avant action écologique'!T637))</f>
        <v/>
      </c>
      <c r="EY5" s="5" t="str">
        <f>IF('Eval-Avant action écologique'!$T$107=0,"",IF('Eval-Avant action écologique'!$T$107="","",'Eval-Avant action écologique'!T639))</f>
        <v/>
      </c>
      <c r="EZ5" s="5" t="str">
        <f>IF('Eval-Avant action écologique'!$T$107=0,"",IF('Eval-Avant action écologique'!$T$107="","",'Eval-Avant action écologique'!T640))</f>
        <v/>
      </c>
      <c r="FA5" s="5" t="str">
        <f>IF('Eval-Avant action écologique'!$T$107=0,"",IF('Eval-Avant action écologique'!$T$107="","",'Eval-Avant action écologique'!T648))</f>
        <v/>
      </c>
      <c r="FB5" s="5" t="str">
        <f>IF('Eval-Avant action écologique'!$T$107=0,"",IF('Eval-Avant action écologique'!$T$107="","",'Eval-Avant action écologique'!T649))</f>
        <v/>
      </c>
      <c r="FC5" s="5" t="str">
        <f>IF('Eval-Avant action écologique'!$T$107=0,"",IF('Eval-Avant action écologique'!$T$107="","",'Eval-Avant action écologique'!T651))</f>
        <v/>
      </c>
      <c r="FD5" s="5" t="str">
        <f>IF('Eval-Avant action écologique'!$T$107=0,"",IF('Eval-Avant action écologique'!$T$107="","",'Eval-Avant action écologique'!T652))</f>
        <v/>
      </c>
      <c r="FE5" s="5" t="str">
        <f>IF('Eval-Avant action écologique'!$T$107=0,"",IF('Eval-Avant action écologique'!$T$107="","",'Eval-Avant action écologique'!T654))</f>
        <v/>
      </c>
      <c r="FF5" s="5" t="str">
        <f>IF('Eval-Avant action écologique'!$T$107=0,"",IF('Eval-Avant action écologique'!$T$107="","",IF('Eval-Avant action écologique'!J661="X","oui","non")))</f>
        <v/>
      </c>
      <c r="FG5" s="5" t="str">
        <f>IF('Eval-Avant action écologique'!$T$107=0,"",IF('Eval-Avant action écologique'!$T$107="","",IF('Eval-Avant action écologique'!J662="X","oui","non")))</f>
        <v/>
      </c>
      <c r="FH5" s="5" t="str">
        <f>IF('Eval-Avant action écologique'!$T$107=0,"",IF('Eval-Avant action écologique'!$T$107="","",'Eval-Avant action écologique'!J669))</f>
        <v/>
      </c>
      <c r="FI5" s="5" t="str">
        <f>IF('Eval-Avant action écologique'!$T$107=0,"",IF('Eval-Avant action écologique'!$T$107="","",'Eval-Avant action écologique'!J670))</f>
        <v/>
      </c>
      <c r="FJ5" s="5" t="str">
        <f>IF('Eval-Avant action écologique'!$T$107=0,"",IF('Eval-Avant action écologique'!$T$107="","",'Eval-Avant action écologique'!N669))</f>
        <v/>
      </c>
      <c r="FK5" s="5" t="str">
        <f>IF('Eval-Avant action écologique'!$T$107=0,"",IF('Eval-Avant action écologique'!$T$107="","",'Eval-Avant action écologique'!N670))</f>
        <v/>
      </c>
      <c r="FL5" s="5" t="str">
        <f>IF('Eval-Avant action écologique'!$T$107=0,"",IF('Eval-Avant action écologique'!$T$107="","",'Eval-Avant action écologique'!T669))</f>
        <v/>
      </c>
      <c r="FM5" s="5" t="str">
        <f>IF('Eval-Avant action écologique'!$T$107=0,"",IF('Eval-Avant action écologique'!$T$107="","",'Eval-Avant action écologique'!T670))</f>
        <v/>
      </c>
      <c r="FN5" s="5" t="str">
        <f>IF('Eval-Avant action écologique'!$T$107=0,"",IF('Eval-Avant action écologique'!$T$107="","",IF('Eval-Avant action écologique'!J677="X","oui",IF('Eval-Avant action écologique'!T677="X","non",""))))</f>
        <v/>
      </c>
      <c r="FO5" s="5" t="str">
        <f>IF('Eval-Avant action écologique'!$T$107=0,"",IF('Eval-Avant action écologique'!$T$107="","",IF('Eval-Avant action écologique'!J682="X","oui",IF('Eval-Avant action écologique'!T682="X","non",""))))</f>
        <v/>
      </c>
      <c r="FP5" s="5" t="str">
        <f>IF('Eval-Avant action écologique'!$T$107=0,"",IF('Eval-Avant action écologique'!$T$107="","",IF('Eval-Avant action écologique'!J686="X","oui",IF('Eval-Avant action écologique'!T686="X","non",""))))</f>
        <v/>
      </c>
      <c r="FQ5" s="5" t="str">
        <f>IF('Eval-Avant action écologique'!$T$107=0,"",IF('Eval-Avant action écologique'!$T$107="","",IF('Eval-Avant action écologique'!T691&lt;&gt;"",'Eval-Avant action écologique'!T691,"")))</f>
        <v/>
      </c>
      <c r="FR5" s="5" t="str">
        <f>IF('Eval-Avant action écologique'!$T$107=0,"",IF('Eval-Avant action écologique'!$T$107="","",IF('Eval-Avant action écologique'!J695="X","oui",IF('Eval-Avant action écologique'!T695="X","non",""))))</f>
        <v/>
      </c>
      <c r="FS5" s="5" t="str">
        <f>IF('Eval-Avant action écologique'!$T$107=0,"",IF('Eval-Avant action écologique'!$T$107="","",IF('Eval-Avant action écologique'!T699&lt;&gt;"",'Eval-Avant action écologique'!T699,"")))</f>
        <v/>
      </c>
      <c r="FT5" s="5" t="str">
        <f>IF('Eval-Avant action écologique'!$T$107=0,"",IF('Eval-Avant action écologique'!$T$107="","",IF('Eval-Avant action écologique'!J703="X","oui",IF('Eval-Avant action écologique'!T703="X","non",""))))</f>
        <v/>
      </c>
      <c r="FU5" s="5" t="str">
        <f>IF('Eval-Avant action écologique'!$T$107=0,"",IF('Eval-Avant action écologique'!$T$107="","",IF('Eval-Avant action écologique'!J711="X","oui",IF('Eval-Avant action écologique'!T711="X","non",""))))</f>
        <v/>
      </c>
      <c r="FV5" s="5" t="str">
        <f>IF('Eval-Avant action écologique'!$T$107=0,"",IF('Eval-Avant action écologique'!$T$107="","",IF(COUNTA('Eval-Avant action écologique'!J715,'Eval-Avant action écologique'!J716,'Eval-Avant action écologique'!J717,'Eval-Avant action écologique'!J718,'Eval-Avant action écologique'!T715,'Eval-Avant action écologique'!T716,'Eval-Avant action écologique'!T717)=0,"",IF('Eval-Avant action écologique'!J715="X",'Eval-Avant action écologique'!I715,IF('Eval-Avant action écologique'!T715="X",'Eval-Avant action écologique'!S715,IF('Eval-Avant action écologique'!J716="X",'Eval-Avant action écologique'!I716,IF('Eval-Avant action écologique'!T716="X",'Eval-Avant action écologique'!S716,IF('Eval-Avant action écologique'!J717="X",'Eval-Avant action écologique'!I717,IF('Eval-Avant action écologique'!T717="X",'Eval-Avant action écologique'!S717,'Eval-Avant action écologique'!I718)))))))))</f>
        <v/>
      </c>
      <c r="FW5" s="5" t="str">
        <f>IF('Eval-Avant action écologique'!$T$107=0,"",IF('Eval-Avant action écologique'!$T$107="","",IF('Eval-Avant action écologique'!J722="X","oui",IF('Eval-Avant action écologique'!T722="X","non",""))))</f>
        <v/>
      </c>
      <c r="FX5" s="5" t="str">
        <f>IF('Eval-Avant action écologique'!$T$107=0,"",IF('Eval-Avant action écologique'!$T$107="","",IF('Eval-Avant action écologique'!T726&lt;&gt;"",'Eval-Avant action écologique'!T726,"")))</f>
        <v/>
      </c>
      <c r="FY5" s="5" t="str">
        <f>IF('Eval-Avant action écologique'!$T$107=0,"",IF('Eval-Avant action écologique'!$T$107="","",IF('Eval-Avant action écologique'!T732&lt;&gt;"",'Eval-Avant action écologique'!T732,"")))</f>
        <v/>
      </c>
      <c r="FZ5" s="5" t="str">
        <f>IF('Eval-Avant action écologique'!$T$107=0,"",IF('Eval-Avant action écologique'!$T$107="","",IF('Eval-Avant action écologique'!T734&lt;&gt;"",'Eval-Avant action écologique'!T734,"")))</f>
        <v/>
      </c>
      <c r="GA5" s="5" t="str">
        <f>IF('Eval-Avant action écologique'!$T$107=0,"",IF('Eval-Avant action écologique'!$T$107="","",IF('Eval-Avant action écologique'!T736&lt;&gt;"",'Eval-Avant action écologique'!T736,"")))</f>
        <v/>
      </c>
      <c r="GB5" s="5" t="str">
        <f>IF('Eval-Avant action écologique'!$T$107=0,"",IF('Eval-Avant action écologique'!$T$107="","",IF('Eval-Avant action écologique'!T738&lt;&gt;"",'Eval-Avant action écologique'!T738,"")))</f>
        <v/>
      </c>
      <c r="GC5" s="5" t="str">
        <f>IF('Eval-Avant action écologique'!$T$107=0,"",IF('Eval-Avant action écologique'!$T$107="","",IF('Eval-Avant action écologique'!B755&lt;&gt;"",'Eval-Avant action écologique'!B755,"")))</f>
        <v/>
      </c>
      <c r="GD5" s="5" t="str">
        <f>IF('Eval-Avant action écologique'!$T$107=0,"",IF('Eval-Avant action écologique'!$T$107="","",IF('Eval-Avant action écologique'!C755&lt;&gt;"",'Eval-Avant action écologique'!C755,"")))</f>
        <v/>
      </c>
      <c r="GE5" s="5" t="str">
        <f>IF('Eval-Avant action écologique'!$T$107=0,"",IF('Eval-Avant action écologique'!$T$107="","",IF('Eval-Avant action écologique'!A761&lt;&gt;"",'Eval-Avant action écologique'!A761,"")))</f>
        <v/>
      </c>
      <c r="GF5" s="5" t="str">
        <f>IF('Eval-Avant action écologique'!$T$107=0,"",IF('Eval-Avant action écologique'!$T$107="","",IF('Eval-Avant action écologique'!B761&lt;&gt;"",'Eval-Avant action écologique'!B761,"")))</f>
        <v/>
      </c>
      <c r="GG5" s="5" t="str">
        <f>IF('Eval-Avant action écologique'!$T$107=0,"",IF('Eval-Avant action écologique'!$T$107="","",IF('Eval-Avant action écologique'!C761&lt;&gt;"",'Eval-Avant action écologique'!C761,"")))</f>
        <v/>
      </c>
      <c r="GH5" s="5" t="str">
        <f>IF('Eval-Avant action écologique'!$T$107=0,"",IF('Eval-Avant action écologique'!$T$107="","",IF('Eval-Avant action écologique'!E761&lt;&gt;"",'Eval-Avant action écologique'!E761,"")))</f>
        <v/>
      </c>
      <c r="GI5" s="5" t="str">
        <f>IF('Eval-Avant action écologique'!$T$107=0,"",IF('Eval-Avant action écologique'!$T$107="","",IF('Eval-Avant action écologique'!G761&lt;&gt;"",'Eval-Avant action écologique'!G761,"")))</f>
        <v/>
      </c>
      <c r="GJ5" s="5" t="str">
        <f>IF('Eval-Avant action écologique'!$T$107=0,"",IF('Eval-Avant action écologique'!$T$107="","",IF('Eval-Avant action écologique'!H761&lt;&gt;"",'Eval-Avant action écologique'!H761,"")))</f>
        <v/>
      </c>
      <c r="GK5" s="5" t="str">
        <f>IF('Eval-Avant action écologique'!$T$107=0,"",IF('Eval-Avant action écologique'!$T$107="","",IF('Eval-Avant action écologique'!I761&lt;&gt;"",'Eval-Avant action écologique'!I761,"")))</f>
        <v/>
      </c>
      <c r="GL5" s="5" t="str">
        <f>IF('Eval-Avant action écologique'!$T$107=0,"",IF('Eval-Avant action écologique'!$T$107="","",IF('Eval-Avant action écologique'!J761&lt;&gt;"",'Eval-Avant action écologique'!J761,"")))</f>
        <v/>
      </c>
      <c r="GM5" s="5" t="str">
        <f>IF('Eval-Avant action écologique'!$T$107=0,"",IF('Eval-Avant action écologique'!$T$107="","",IF('Eval-Avant action écologique'!K761&lt;&gt;"",'Eval-Avant action écologique'!K761,"")))</f>
        <v/>
      </c>
      <c r="GN5" s="5" t="str">
        <f>IF('Eval-Avant action écologique'!$T$107=0,"",IF('Eval-Avant action écologique'!$T$107="","",IF('Eval-Avant action écologique'!L761&lt;&gt;"",'Eval-Avant action écologique'!L761,"")))</f>
        <v/>
      </c>
      <c r="GO5" s="5" t="str">
        <f>IF('Eval-Avant action écologique'!$T$107=0,"",IF('Eval-Avant action écologique'!$T$107="","",IF('Eval-Avant action écologique'!M761&lt;&gt;"",'Eval-Avant action écologique'!M761,"")))</f>
        <v/>
      </c>
      <c r="GP5" s="5" t="str">
        <f>IF('Eval-Avant action écologique'!$T$107=0,"",IF('Eval-Avant action écologique'!$T$107="","",IF('Eval-Avant action écologique'!N761&lt;&gt;"",'Eval-Avant action écologique'!N761,"")))</f>
        <v/>
      </c>
      <c r="GQ5" s="5" t="str">
        <f>IF('Eval-Avant action écologique'!$T$107=0,"",IF('Eval-Avant action écologique'!$T$107="","",IF('Eval-Avant action écologique'!O761&lt;&gt;"",'Eval-Avant action écologique'!O761,"")))</f>
        <v/>
      </c>
      <c r="GR5" s="5" t="str">
        <f>IF('Eval-Avant action écologique'!$T$107=0,"",IF('Eval-Avant action écologique'!$T$107="","",IF('Eval-Avant action écologique'!P761&lt;&gt;"",'Eval-Avant action écologique'!P761,"")))</f>
        <v/>
      </c>
      <c r="GS5" s="5" t="str">
        <f>IF('Eval-Avant action écologique'!$T$107=0,"",IF('Eval-Avant action écologique'!$T$107="","",IF('Eval-Avant action écologique'!Q761&lt;&gt;"",'Eval-Avant action écologique'!Q761,"")))</f>
        <v/>
      </c>
      <c r="GT5" s="5" t="str">
        <f>IF('Eval-Avant action écologique'!$T$107=0,"",IF('Eval-Avant action écologique'!$T$107="","",IF('Eval-Avant action écologique'!R761&lt;&gt;"",'Eval-Avant action écologique'!R761,"")))</f>
        <v/>
      </c>
      <c r="GU5" s="5" t="str">
        <f>IF('Eval-Avant action écologique'!$T$107=0,"",IF('Eval-Avant action écologique'!$T$107="","",IF('Eval-Avant action écologique'!S761&lt;&gt;"",'Eval-Avant action écologique'!S761,"")))</f>
        <v/>
      </c>
      <c r="GV5" s="5" t="str">
        <f>IF('Eval-Avant action écologique'!$T$107=0,"",IF('Eval-Avant action écologique'!$T$107="","",IF('Eval-Avant action écologique'!T761&lt;&gt;"",'Eval-Avant action écologique'!T761,"")))</f>
        <v/>
      </c>
      <c r="GW5" s="5" t="str">
        <f>IF('Eval-Avant action écologique'!$T$107=0,"",IF('Eval-Avant action écologique'!$T$107="","",IF('Eval-Avant action écologique'!U761&lt;&gt;"",'Eval-Avant action écologique'!U761,"")))</f>
        <v/>
      </c>
      <c r="GX5" s="5" t="str">
        <f>IF('Eval-Avant action écologique'!$T$107=0,"",IF('Eval-Avant action écologique'!$T$107="","",IF('Eval-Avant action écologique'!V761&lt;&gt;"",'Eval-Avant action écologique'!V761,"")))</f>
        <v/>
      </c>
      <c r="GY5" s="5" t="str">
        <f>IF('Eval-Avant action écologique'!$T$107=0,"",IF('Eval-Avant action écologique'!$T$107="","",IF('Eval-Avant action écologique'!W761&lt;&gt;"",'Eval-Avant action écologique'!W761,"")))</f>
        <v/>
      </c>
      <c r="GZ5" s="5" t="str">
        <f>IF('Eval-Avant action écologique'!$T$107=0,"",IF('Eval-Avant action écologique'!$T$107="","",IF('Eval-Avant action écologique'!X761&lt;&gt;"",'Eval-Avant action écologique'!X761,"")))</f>
        <v/>
      </c>
      <c r="HA5" s="5" t="str">
        <f>IF('Eval-Avant action écologique'!$T$107=0,"",IF('Eval-Avant action écologique'!$T$107="","",IF('Eval-Avant action écologique'!Y761&lt;&gt;"",'Eval-Avant action écologique'!Y761,"")))</f>
        <v/>
      </c>
      <c r="HB5" s="5" t="str">
        <f>IF('Eval-Avant action écologique'!$T$107=0,"",IF('Eval-Avant action écologique'!$T$107="","",IF('Eval-Avant action écologique'!A762&lt;&gt;"",'Eval-Avant action écologique'!A762,"")))</f>
        <v/>
      </c>
      <c r="HC5" s="5" t="str">
        <f>IF('Eval-Avant action écologique'!$T$107=0,"",IF('Eval-Avant action écologique'!$T$107="","",IF('Eval-Avant action écologique'!B762&lt;&gt;"",'Eval-Avant action écologique'!B762,"")))</f>
        <v/>
      </c>
      <c r="HD5" s="5" t="str">
        <f>IF('Eval-Avant action écologique'!$T$107=0,"",IF('Eval-Avant action écologique'!$T$107="","",IF('Eval-Avant action écologique'!C762&lt;&gt;"",'Eval-Avant action écologique'!C762,"")))</f>
        <v/>
      </c>
      <c r="HE5" s="5" t="str">
        <f>IF('Eval-Avant action écologique'!$T$107=0,"",IF('Eval-Avant action écologique'!$T$107="","",IF('Eval-Avant action écologique'!E762&lt;&gt;"",'Eval-Avant action écologique'!E762,"")))</f>
        <v/>
      </c>
      <c r="HF5" s="5" t="str">
        <f>IF('Eval-Avant action écologique'!$T$107=0,"",IF('Eval-Avant action écologique'!$T$107="","",IF('Eval-Avant action écologique'!G762&lt;&gt;"",'Eval-Avant action écologique'!G762,"")))</f>
        <v/>
      </c>
      <c r="HG5" s="5" t="str">
        <f>IF('Eval-Avant action écologique'!$T$107=0,"",IF('Eval-Avant action écologique'!$T$107="","",IF('Eval-Avant action écologique'!H762&lt;&gt;"",'Eval-Avant action écologique'!H762,"")))</f>
        <v/>
      </c>
      <c r="HH5" s="5" t="str">
        <f>IF('Eval-Avant action écologique'!$T$107=0,"",IF('Eval-Avant action écologique'!$T$107="","",IF('Eval-Avant action écologique'!I762&lt;&gt;"",'Eval-Avant action écologique'!I762,"")))</f>
        <v/>
      </c>
      <c r="HI5" s="5" t="str">
        <f>IF('Eval-Avant action écologique'!$T$107=0,"",IF('Eval-Avant action écologique'!$T$107="","",IF('Eval-Avant action écologique'!J762&lt;&gt;"",'Eval-Avant action écologique'!J762,"")))</f>
        <v/>
      </c>
      <c r="HJ5" s="5" t="str">
        <f>IF('Eval-Avant action écologique'!$T$107=0,"",IF('Eval-Avant action écologique'!$T$107="","",IF('Eval-Avant action écologique'!K762&lt;&gt;"",'Eval-Avant action écologique'!K762,"")))</f>
        <v/>
      </c>
      <c r="HK5" s="5" t="str">
        <f>IF('Eval-Avant action écologique'!$T$107=0,"",IF('Eval-Avant action écologique'!$T$107="","",IF('Eval-Avant action écologique'!L762&lt;&gt;"",'Eval-Avant action écologique'!L762,"")))</f>
        <v/>
      </c>
      <c r="HL5" s="5" t="str">
        <f>IF('Eval-Avant action écologique'!$T$107=0,"",IF('Eval-Avant action écologique'!$T$107="","",IF('Eval-Avant action écologique'!M762&lt;&gt;"",'Eval-Avant action écologique'!M762,"")))</f>
        <v/>
      </c>
      <c r="HM5" s="5" t="str">
        <f>IF('Eval-Avant action écologique'!$T$107=0,"",IF('Eval-Avant action écologique'!$T$107="","",IF('Eval-Avant action écologique'!N762&lt;&gt;"",'Eval-Avant action écologique'!N762,"")))</f>
        <v/>
      </c>
      <c r="HN5" s="5" t="str">
        <f>IF('Eval-Avant action écologique'!$T$107=0,"",IF('Eval-Avant action écologique'!$T$107="","",IF('Eval-Avant action écologique'!O762&lt;&gt;"",'Eval-Avant action écologique'!O762,"")))</f>
        <v/>
      </c>
      <c r="HO5" s="5" t="str">
        <f>IF('Eval-Avant action écologique'!$T$107=0,"",IF('Eval-Avant action écologique'!$T$107="","",IF('Eval-Avant action écologique'!P762&lt;&gt;"",'Eval-Avant action écologique'!P762,"")))</f>
        <v/>
      </c>
      <c r="HP5" s="5" t="str">
        <f>IF('Eval-Avant action écologique'!$T$107=0,"",IF('Eval-Avant action écologique'!$T$107="","",IF('Eval-Avant action écologique'!Q762&lt;&gt;"",'Eval-Avant action écologique'!Q762,"")))</f>
        <v/>
      </c>
      <c r="HQ5" s="5" t="str">
        <f>IF('Eval-Avant action écologique'!$T$107=0,"",IF('Eval-Avant action écologique'!$T$107="","",IF('Eval-Avant action écologique'!R762&lt;&gt;"",'Eval-Avant action écologique'!R762,"")))</f>
        <v/>
      </c>
      <c r="HR5" s="5" t="str">
        <f>IF('Eval-Avant action écologique'!$T$107=0,"",IF('Eval-Avant action écologique'!$T$107="","",IF('Eval-Avant action écologique'!S762&lt;&gt;"",'Eval-Avant action écologique'!S762,"")))</f>
        <v/>
      </c>
      <c r="HS5" s="5" t="str">
        <f>IF('Eval-Avant action écologique'!$T$107=0,"",IF('Eval-Avant action écologique'!$T$107="","",IF('Eval-Avant action écologique'!T762&lt;&gt;"",'Eval-Avant action écologique'!T762,"")))</f>
        <v/>
      </c>
      <c r="HT5" s="5" t="str">
        <f>IF('Eval-Avant action écologique'!$T$107=0,"",IF('Eval-Avant action écologique'!$T$107="","",IF('Eval-Avant action écologique'!U762&lt;&gt;"",'Eval-Avant action écologique'!U762,"")))</f>
        <v/>
      </c>
      <c r="HU5" s="5" t="str">
        <f>IF('Eval-Avant action écologique'!$T$107=0,"",IF('Eval-Avant action écologique'!$T$107="","",IF('Eval-Avant action écologique'!V762&lt;&gt;"",'Eval-Avant action écologique'!V762,"")))</f>
        <v/>
      </c>
      <c r="HV5" s="5" t="str">
        <f>IF('Eval-Avant action écologique'!$T$107=0,"",IF('Eval-Avant action écologique'!$T$107="","",IF('Eval-Avant action écologique'!W762&lt;&gt;"",'Eval-Avant action écologique'!W762,"")))</f>
        <v/>
      </c>
      <c r="HW5" s="5" t="str">
        <f>IF('Eval-Avant action écologique'!$T$107=0,"",IF('Eval-Avant action écologique'!$T$107="","",IF('Eval-Avant action écologique'!X762&lt;&gt;"",'Eval-Avant action écologique'!X762,"")))</f>
        <v/>
      </c>
      <c r="HX5" s="5" t="str">
        <f>IF('Eval-Avant action écologique'!$T$107=0,"",IF('Eval-Avant action écologique'!$T$107="","",IF('Eval-Avant action écologique'!Y762&lt;&gt;"",'Eval-Avant action écologique'!Y762,"")))</f>
        <v/>
      </c>
      <c r="HY5" s="5" t="str">
        <f>IF('Eval-Avant action écologique'!$T$107=0,"",IF('Eval-Avant action écologique'!$T$107="","",IF('Eval-Avant action écologique'!A763&lt;&gt;"",'Eval-Avant action écologique'!A763,"")))</f>
        <v/>
      </c>
      <c r="HZ5" s="5" t="str">
        <f>IF('Eval-Avant action écologique'!$T$107=0,"",IF('Eval-Avant action écologique'!$T$107="","",IF('Eval-Avant action écologique'!B763&lt;&gt;"",'Eval-Avant action écologique'!B763,"")))</f>
        <v/>
      </c>
      <c r="IA5" s="5" t="str">
        <f>IF('Eval-Avant action écologique'!$T$107=0,"",IF('Eval-Avant action écologique'!$T$107="","",IF('Eval-Avant action écologique'!C763&lt;&gt;"",'Eval-Avant action écologique'!C763,"")))</f>
        <v/>
      </c>
      <c r="IB5" s="5" t="str">
        <f>IF('Eval-Avant action écologique'!$T$107=0,"",IF('Eval-Avant action écologique'!$T$107="","",IF('Eval-Avant action écologique'!E763&lt;&gt;"",'Eval-Avant action écologique'!E763,"")))</f>
        <v/>
      </c>
      <c r="IC5" s="5" t="str">
        <f>IF('Eval-Avant action écologique'!$T$107=0,"",IF('Eval-Avant action écologique'!$T$107="","",IF('Eval-Avant action écologique'!G763&lt;&gt;"",'Eval-Avant action écologique'!G763,"")))</f>
        <v/>
      </c>
      <c r="ID5" s="5" t="str">
        <f>IF('Eval-Avant action écologique'!$T$107=0,"",IF('Eval-Avant action écologique'!$T$107="","",IF('Eval-Avant action écologique'!H763&lt;&gt;"",'Eval-Avant action écologique'!H763,"")))</f>
        <v/>
      </c>
      <c r="IE5" s="5" t="str">
        <f>IF('Eval-Avant action écologique'!$T$107=0,"",IF('Eval-Avant action écologique'!$T$107="","",IF('Eval-Avant action écologique'!I763&lt;&gt;"",'Eval-Avant action écologique'!I763,"")))</f>
        <v/>
      </c>
      <c r="IF5" s="5" t="str">
        <f>IF('Eval-Avant action écologique'!$T$107=0,"",IF('Eval-Avant action écologique'!$T$107="","",IF('Eval-Avant action écologique'!J763&lt;&gt;"",'Eval-Avant action écologique'!J763,"")))</f>
        <v/>
      </c>
      <c r="IG5" s="5" t="str">
        <f>IF('Eval-Avant action écologique'!$T$107=0,"",IF('Eval-Avant action écologique'!$T$107="","",IF('Eval-Avant action écologique'!K763&lt;&gt;"",'Eval-Avant action écologique'!K763,"")))</f>
        <v/>
      </c>
      <c r="IH5" s="5" t="str">
        <f>IF('Eval-Avant action écologique'!$T$107=0,"",IF('Eval-Avant action écologique'!$T$107="","",IF('Eval-Avant action écologique'!L763&lt;&gt;"",'Eval-Avant action écologique'!L763,"")))</f>
        <v/>
      </c>
      <c r="II5" s="5" t="str">
        <f>IF('Eval-Avant action écologique'!$T$107=0,"",IF('Eval-Avant action écologique'!$T$107="","",IF('Eval-Avant action écologique'!M763&lt;&gt;"",'Eval-Avant action écologique'!M763,"")))</f>
        <v/>
      </c>
      <c r="IJ5" s="5" t="str">
        <f>IF('Eval-Avant action écologique'!$T$107=0,"",IF('Eval-Avant action écologique'!$T$107="","",IF('Eval-Avant action écologique'!N763&lt;&gt;"",'Eval-Avant action écologique'!N763,"")))</f>
        <v/>
      </c>
      <c r="IK5" s="5" t="str">
        <f>IF('Eval-Avant action écologique'!$T$107=0,"",IF('Eval-Avant action écologique'!$T$107="","",IF('Eval-Avant action écologique'!O763&lt;&gt;"",'Eval-Avant action écologique'!O763,"")))</f>
        <v/>
      </c>
      <c r="IL5" s="5" t="str">
        <f>IF('Eval-Avant action écologique'!$T$107=0,"",IF('Eval-Avant action écologique'!$T$107="","",IF('Eval-Avant action écologique'!P763&lt;&gt;"",'Eval-Avant action écologique'!P763,"")))</f>
        <v/>
      </c>
      <c r="IM5" s="5" t="str">
        <f>IF('Eval-Avant action écologique'!$T$107=0,"",IF('Eval-Avant action écologique'!$T$107="","",IF('Eval-Avant action écologique'!Q763&lt;&gt;"",'Eval-Avant action écologique'!Q763,"")))</f>
        <v/>
      </c>
      <c r="IN5" s="5" t="str">
        <f>IF('Eval-Avant action écologique'!$T$107=0,"",IF('Eval-Avant action écologique'!$T$107="","",IF('Eval-Avant action écologique'!R763&lt;&gt;"",'Eval-Avant action écologique'!R763,"")))</f>
        <v/>
      </c>
      <c r="IO5" s="5" t="str">
        <f>IF('Eval-Avant action écologique'!$T$107=0,"",IF('Eval-Avant action écologique'!$T$107="","",IF('Eval-Avant action écologique'!S763&lt;&gt;"",'Eval-Avant action écologique'!S763,"")))</f>
        <v/>
      </c>
      <c r="IP5" s="5" t="str">
        <f>IF('Eval-Avant action écologique'!$T$107=0,"",IF('Eval-Avant action écologique'!$T$107="","",IF('Eval-Avant action écologique'!T763&lt;&gt;"",'Eval-Avant action écologique'!T763,"")))</f>
        <v/>
      </c>
      <c r="IQ5" s="5" t="str">
        <f>IF('Eval-Avant action écologique'!$T$107=0,"",IF('Eval-Avant action écologique'!$T$107="","",IF('Eval-Avant action écologique'!U763&lt;&gt;"",'Eval-Avant action écologique'!U763,"")))</f>
        <v/>
      </c>
      <c r="IR5" s="5" t="str">
        <f>IF('Eval-Avant action écologique'!$T$107=0,"",IF('Eval-Avant action écologique'!$T$107="","",IF('Eval-Avant action écologique'!V763&lt;&gt;"",'Eval-Avant action écologique'!V763,"")))</f>
        <v/>
      </c>
      <c r="IS5" s="5" t="str">
        <f>IF('Eval-Avant action écologique'!$T$107=0,"",IF('Eval-Avant action écologique'!$T$107="","",IF('Eval-Avant action écologique'!W763&lt;&gt;"",'Eval-Avant action écologique'!W763,"")))</f>
        <v/>
      </c>
      <c r="IT5" s="5" t="str">
        <f>IF('Eval-Avant action écologique'!$T$107=0,"",IF('Eval-Avant action écologique'!$T$107="","",IF('Eval-Avant action écologique'!X763&lt;&gt;"",'Eval-Avant action écologique'!X763,"")))</f>
        <v/>
      </c>
      <c r="IU5" s="5" t="str">
        <f>IF('Eval-Avant action écologique'!$T$107=0,"",IF('Eval-Avant action écologique'!$T$107="","",IF('Eval-Avant action écologique'!Y763&lt;&gt;"",'Eval-Avant action écologique'!Y763,"")))</f>
        <v/>
      </c>
      <c r="IV5" s="5" t="str">
        <f>IF('Eval-Avant action écologique'!$T$107=0,"",IF('Eval-Avant action écologique'!$T$107="","",IF('Eval-Avant action écologique'!A764&lt;&gt;"",'Eval-Avant action écologique'!A764,"")))</f>
        <v/>
      </c>
      <c r="IW5" s="5" t="str">
        <f>IF('Eval-Avant action écologique'!$T$107=0,"",IF('Eval-Avant action écologique'!$T$107="","",IF('Eval-Avant action écologique'!B764&lt;&gt;"",'Eval-Avant action écologique'!B764,"")))</f>
        <v/>
      </c>
      <c r="IX5" s="5" t="str">
        <f>IF('Eval-Avant action écologique'!$T$107=0,"",IF('Eval-Avant action écologique'!$T$107="","",IF('Eval-Avant action écologique'!C764&lt;&gt;"",'Eval-Avant action écologique'!C764,"")))</f>
        <v/>
      </c>
      <c r="IY5" s="5" t="str">
        <f>IF('Eval-Avant action écologique'!$T$107=0,"",IF('Eval-Avant action écologique'!$T$107="","",IF('Eval-Avant action écologique'!E764&lt;&gt;"",'Eval-Avant action écologique'!E764,"")))</f>
        <v/>
      </c>
      <c r="IZ5" s="5" t="str">
        <f>IF('Eval-Avant action écologique'!$T$107=0,"",IF('Eval-Avant action écologique'!$T$107="","",IF('Eval-Avant action écologique'!G764&lt;&gt;"",'Eval-Avant action écologique'!G764,"")))</f>
        <v/>
      </c>
      <c r="JA5" s="5" t="str">
        <f>IF('Eval-Avant action écologique'!$T$107=0,"",IF('Eval-Avant action écologique'!$T$107="","",IF('Eval-Avant action écologique'!H764&lt;&gt;"",'Eval-Avant action écologique'!H764,"")))</f>
        <v/>
      </c>
      <c r="JB5" s="5" t="str">
        <f>IF('Eval-Avant action écologique'!$T$107=0,"",IF('Eval-Avant action écologique'!$T$107="","",IF('Eval-Avant action écologique'!I764&lt;&gt;"",'Eval-Avant action écologique'!I764,"")))</f>
        <v/>
      </c>
      <c r="JC5" s="5" t="str">
        <f>IF('Eval-Avant action écologique'!$T$107=0,"",IF('Eval-Avant action écologique'!$T$107="","",IF('Eval-Avant action écologique'!J764&lt;&gt;"",'Eval-Avant action écologique'!J764,"")))</f>
        <v/>
      </c>
      <c r="JD5" s="5" t="str">
        <f>IF('Eval-Avant action écologique'!$T$107=0,"",IF('Eval-Avant action écologique'!$T$107="","",IF('Eval-Avant action écologique'!K764&lt;&gt;"",'Eval-Avant action écologique'!K764,"")))</f>
        <v/>
      </c>
      <c r="JE5" s="5" t="str">
        <f>IF('Eval-Avant action écologique'!$T$107=0,"",IF('Eval-Avant action écologique'!$T$107="","",IF('Eval-Avant action écologique'!L764&lt;&gt;"",'Eval-Avant action écologique'!L764,"")))</f>
        <v/>
      </c>
      <c r="JF5" s="5" t="str">
        <f>IF('Eval-Avant action écologique'!$T$107=0,"",IF('Eval-Avant action écologique'!$T$107="","",IF('Eval-Avant action écologique'!M764&lt;&gt;"",'Eval-Avant action écologique'!M764,"")))</f>
        <v/>
      </c>
      <c r="JG5" s="5" t="str">
        <f>IF('Eval-Avant action écologique'!$T$107=0,"",IF('Eval-Avant action écologique'!$T$107="","",IF('Eval-Avant action écologique'!N764&lt;&gt;"",'Eval-Avant action écologique'!N764,"")))</f>
        <v/>
      </c>
      <c r="JH5" s="5" t="str">
        <f>IF('Eval-Avant action écologique'!$T$107=0,"",IF('Eval-Avant action écologique'!$T$107="","",IF('Eval-Avant action écologique'!O764&lt;&gt;"",'Eval-Avant action écologique'!O764,"")))</f>
        <v/>
      </c>
      <c r="JI5" s="5" t="str">
        <f>IF('Eval-Avant action écologique'!$T$107=0,"",IF('Eval-Avant action écologique'!$T$107="","",IF('Eval-Avant action écologique'!P764&lt;&gt;"",'Eval-Avant action écologique'!P764,"")))</f>
        <v/>
      </c>
      <c r="JJ5" s="5" t="str">
        <f>IF('Eval-Avant action écologique'!$T$107=0,"",IF('Eval-Avant action écologique'!$T$107="","",IF('Eval-Avant action écologique'!Q764&lt;&gt;"",'Eval-Avant action écologique'!Q764,"")))</f>
        <v/>
      </c>
      <c r="JK5" s="5" t="str">
        <f>IF('Eval-Avant action écologique'!$T$107=0,"",IF('Eval-Avant action écologique'!$T$107="","",IF('Eval-Avant action écologique'!R764&lt;&gt;"",'Eval-Avant action écologique'!R764,"")))</f>
        <v/>
      </c>
      <c r="JL5" s="5" t="str">
        <f>IF('Eval-Avant action écologique'!$T$107=0,"",IF('Eval-Avant action écologique'!$T$107="","",IF('Eval-Avant action écologique'!S764&lt;&gt;"",'Eval-Avant action écologique'!S764,"")))</f>
        <v/>
      </c>
      <c r="JM5" s="5" t="str">
        <f>IF('Eval-Avant action écologique'!$T$107=0,"",IF('Eval-Avant action écologique'!$T$107="","",IF('Eval-Avant action écologique'!T764&lt;&gt;"",'Eval-Avant action écologique'!T764,"")))</f>
        <v/>
      </c>
      <c r="JN5" s="5" t="str">
        <f>IF('Eval-Avant action écologique'!$T$107=0,"",IF('Eval-Avant action écologique'!$T$107="","",IF('Eval-Avant action écologique'!U764&lt;&gt;"",'Eval-Avant action écologique'!U764,"")))</f>
        <v/>
      </c>
      <c r="JO5" s="5" t="str">
        <f>IF('Eval-Avant action écologique'!$T$107=0,"",IF('Eval-Avant action écologique'!$T$107="","",IF('Eval-Avant action écologique'!V764&lt;&gt;"",'Eval-Avant action écologique'!V764,"")))</f>
        <v/>
      </c>
      <c r="JP5" s="5" t="str">
        <f>IF('Eval-Avant action écologique'!$T$107=0,"",IF('Eval-Avant action écologique'!$T$107="","",IF('Eval-Avant action écologique'!W764&lt;&gt;"",'Eval-Avant action écologique'!W764,"")))</f>
        <v/>
      </c>
      <c r="JQ5" s="5" t="str">
        <f>IF('Eval-Avant action écologique'!$T$107=0,"",IF('Eval-Avant action écologique'!$T$107="","",IF('Eval-Avant action écologique'!X764&lt;&gt;"",'Eval-Avant action écologique'!X764,"")))</f>
        <v/>
      </c>
      <c r="JR5" s="5" t="str">
        <f>IF('Eval-Avant action écologique'!$T$107=0,"",IF('Eval-Avant action écologique'!$T$107="","",IF('Eval-Avant action écologique'!Y764&lt;&gt;"",'Eval-Avant action écologique'!Y764,"")))</f>
        <v/>
      </c>
      <c r="JS5" s="5" t="str">
        <f>IF('Eval-Avant action écologique'!$T$107=0,"",IF('Eval-Avant action écologique'!$T$107="","",IF('Eval-Avant action écologique'!A765&lt;&gt;"",'Eval-Avant action écologique'!A765,"")))</f>
        <v/>
      </c>
      <c r="JT5" s="5" t="str">
        <f>IF('Eval-Avant action écologique'!$T$107=0,"",IF('Eval-Avant action écologique'!$T$107="","",IF('Eval-Avant action écologique'!B765&lt;&gt;"",'Eval-Avant action écologique'!B765,"")))</f>
        <v/>
      </c>
      <c r="JU5" s="5" t="str">
        <f>IF('Eval-Avant action écologique'!$T$107=0,"",IF('Eval-Avant action écologique'!$T$107="","",IF('Eval-Avant action écologique'!C765&lt;&gt;"",'Eval-Avant action écologique'!C765,"")))</f>
        <v/>
      </c>
      <c r="JV5" s="5" t="str">
        <f>IF('Eval-Avant action écologique'!$T$107=0,"",IF('Eval-Avant action écologique'!$T$107="","",IF('Eval-Avant action écologique'!E765&lt;&gt;"",'Eval-Avant action écologique'!E765,"")))</f>
        <v/>
      </c>
      <c r="JW5" s="5" t="str">
        <f>IF('Eval-Avant action écologique'!$T$107=0,"",IF('Eval-Avant action écologique'!$T$107="","",IF('Eval-Avant action écologique'!G765&lt;&gt;"",'Eval-Avant action écologique'!G765,"")))</f>
        <v/>
      </c>
      <c r="JX5" s="5" t="str">
        <f>IF('Eval-Avant action écologique'!$T$107=0,"",IF('Eval-Avant action écologique'!$T$107="","",IF('Eval-Avant action écologique'!H765&lt;&gt;"",'Eval-Avant action écologique'!H765,"")))</f>
        <v/>
      </c>
      <c r="JY5" s="5" t="str">
        <f>IF('Eval-Avant action écologique'!$T$107=0,"",IF('Eval-Avant action écologique'!$T$107="","",IF('Eval-Avant action écologique'!I765&lt;&gt;"",'Eval-Avant action écologique'!I765,"")))</f>
        <v/>
      </c>
      <c r="JZ5" s="5" t="str">
        <f>IF('Eval-Avant action écologique'!$T$107=0,"",IF('Eval-Avant action écologique'!$T$107="","",IF('Eval-Avant action écologique'!J765&lt;&gt;"",'Eval-Avant action écologique'!J765,"")))</f>
        <v/>
      </c>
      <c r="KA5" s="5" t="str">
        <f>IF('Eval-Avant action écologique'!$T$107=0,"",IF('Eval-Avant action écologique'!$T$107="","",IF('Eval-Avant action écologique'!K765&lt;&gt;"",'Eval-Avant action écologique'!K765,"")))</f>
        <v/>
      </c>
      <c r="KB5" s="5" t="str">
        <f>IF('Eval-Avant action écologique'!$T$107=0,"",IF('Eval-Avant action écologique'!$T$107="","",IF('Eval-Avant action écologique'!L765&lt;&gt;"",'Eval-Avant action écologique'!L765,"")))</f>
        <v/>
      </c>
      <c r="KC5" s="5" t="str">
        <f>IF('Eval-Avant action écologique'!$T$107=0,"",IF('Eval-Avant action écologique'!$T$107="","",IF('Eval-Avant action écologique'!M765&lt;&gt;"",'Eval-Avant action écologique'!M765,"")))</f>
        <v/>
      </c>
      <c r="KD5" s="5" t="str">
        <f>IF('Eval-Avant action écologique'!$T$107=0,"",IF('Eval-Avant action écologique'!$T$107="","",IF('Eval-Avant action écologique'!N765&lt;&gt;"",'Eval-Avant action écologique'!N765,"")))</f>
        <v/>
      </c>
      <c r="KE5" s="5" t="str">
        <f>IF('Eval-Avant action écologique'!$T$107=0,"",IF('Eval-Avant action écologique'!$T$107="","",IF('Eval-Avant action écologique'!O765&lt;&gt;"",'Eval-Avant action écologique'!O765,"")))</f>
        <v/>
      </c>
      <c r="KF5" s="5" t="str">
        <f>IF('Eval-Avant action écologique'!$T$107=0,"",IF('Eval-Avant action écologique'!$T$107="","",IF('Eval-Avant action écologique'!P765&lt;&gt;"",'Eval-Avant action écologique'!P765,"")))</f>
        <v/>
      </c>
      <c r="KG5" s="5" t="str">
        <f>IF('Eval-Avant action écologique'!$T$107=0,"",IF('Eval-Avant action écologique'!$T$107="","",IF('Eval-Avant action écologique'!Q765&lt;&gt;"",'Eval-Avant action écologique'!Q765,"")))</f>
        <v/>
      </c>
      <c r="KH5" s="5" t="str">
        <f>IF('Eval-Avant action écologique'!$T$107=0,"",IF('Eval-Avant action écologique'!$T$107="","",IF('Eval-Avant action écologique'!R765&lt;&gt;"",'Eval-Avant action écologique'!R765,"")))</f>
        <v/>
      </c>
      <c r="KI5" s="5" t="str">
        <f>IF('Eval-Avant action écologique'!$T$107=0,"",IF('Eval-Avant action écologique'!$T$107="","",IF('Eval-Avant action écologique'!S765&lt;&gt;"",'Eval-Avant action écologique'!S765,"")))</f>
        <v/>
      </c>
      <c r="KJ5" s="5" t="str">
        <f>IF('Eval-Avant action écologique'!$T$107=0,"",IF('Eval-Avant action écologique'!$T$107="","",IF('Eval-Avant action écologique'!T765&lt;&gt;"",'Eval-Avant action écologique'!T765,"")))</f>
        <v/>
      </c>
      <c r="KK5" s="5" t="str">
        <f>IF('Eval-Avant action écologique'!$T$107=0,"",IF('Eval-Avant action écologique'!$T$107="","",IF('Eval-Avant action écologique'!U765&lt;&gt;"",'Eval-Avant action écologique'!U765,"")))</f>
        <v/>
      </c>
      <c r="KL5" s="5" t="str">
        <f>IF('Eval-Avant action écologique'!$T$107=0,"",IF('Eval-Avant action écologique'!$T$107="","",IF('Eval-Avant action écologique'!V765&lt;&gt;"",'Eval-Avant action écologique'!V765,"")))</f>
        <v/>
      </c>
      <c r="KM5" s="5" t="str">
        <f>IF('Eval-Avant action écologique'!$T$107=0,"",IF('Eval-Avant action écologique'!$T$107="","",IF('Eval-Avant action écologique'!W765&lt;&gt;"",'Eval-Avant action écologique'!W765,"")))</f>
        <v/>
      </c>
      <c r="KN5" s="5" t="str">
        <f>IF('Eval-Avant action écologique'!$T$107=0,"",IF('Eval-Avant action écologique'!$T$107="","",IF('Eval-Avant action écologique'!X765&lt;&gt;"",'Eval-Avant action écologique'!X765,"")))</f>
        <v/>
      </c>
      <c r="KO5" s="5" t="str">
        <f>IF('Eval-Avant action écologique'!$T$107=0,"",IF('Eval-Avant action écologique'!$T$107="","",IF('Eval-Avant action écologique'!Y765&lt;&gt;"",'Eval-Avant action écologique'!Y765,"")))</f>
        <v/>
      </c>
      <c r="KP5" s="5" t="str">
        <f>IF('Eval-Avant action écologique'!$T$107=0,"",IF('Eval-Avant action écologique'!$T$107="","",IF('Eval-Avant action écologique'!A766&lt;&gt;"",'Eval-Avant action écologique'!A766,"")))</f>
        <v/>
      </c>
      <c r="KQ5" s="5" t="str">
        <f>IF('Eval-Avant action écologique'!$T$107=0,"",IF('Eval-Avant action écologique'!$T$107="","",IF('Eval-Avant action écologique'!B766&lt;&gt;"",'Eval-Avant action écologique'!B766,"")))</f>
        <v/>
      </c>
      <c r="KR5" s="5" t="str">
        <f>IF('Eval-Avant action écologique'!$T$107=0,"",IF('Eval-Avant action écologique'!$T$107="","",IF('Eval-Avant action écologique'!C766&lt;&gt;"",'Eval-Avant action écologique'!C766,"")))</f>
        <v/>
      </c>
      <c r="KS5" s="5" t="str">
        <f>IF('Eval-Avant action écologique'!$T$107=0,"",IF('Eval-Avant action écologique'!$T$107="","",IF('Eval-Avant action écologique'!E766&lt;&gt;"",'Eval-Avant action écologique'!E766,"")))</f>
        <v/>
      </c>
      <c r="KT5" s="5" t="str">
        <f>IF('Eval-Avant action écologique'!$T$107=0,"",IF('Eval-Avant action écologique'!$T$107="","",IF('Eval-Avant action écologique'!G766&lt;&gt;"",'Eval-Avant action écologique'!G766,"")))</f>
        <v/>
      </c>
      <c r="KU5" s="5" t="str">
        <f>IF('Eval-Avant action écologique'!$T$107=0,"",IF('Eval-Avant action écologique'!$T$107="","",IF('Eval-Avant action écologique'!H766&lt;&gt;"",'Eval-Avant action écologique'!H766,"")))</f>
        <v/>
      </c>
      <c r="KV5" s="5" t="str">
        <f>IF('Eval-Avant action écologique'!$T$107=0,"",IF('Eval-Avant action écologique'!$T$107="","",IF('Eval-Avant action écologique'!I766&lt;&gt;"",'Eval-Avant action écologique'!I766,"")))</f>
        <v/>
      </c>
      <c r="KW5" s="5" t="str">
        <f>IF('Eval-Avant action écologique'!$T$107=0,"",IF('Eval-Avant action écologique'!$T$107="","",IF('Eval-Avant action écologique'!J766&lt;&gt;"",'Eval-Avant action écologique'!J766,"")))</f>
        <v/>
      </c>
      <c r="KX5" s="5" t="str">
        <f>IF('Eval-Avant action écologique'!$T$107=0,"",IF('Eval-Avant action écologique'!$T$107="","",IF('Eval-Avant action écologique'!K766&lt;&gt;"",'Eval-Avant action écologique'!K766,"")))</f>
        <v/>
      </c>
      <c r="KY5" s="5" t="str">
        <f>IF('Eval-Avant action écologique'!$T$107=0,"",IF('Eval-Avant action écologique'!$T$107="","",IF('Eval-Avant action écologique'!L766&lt;&gt;"",'Eval-Avant action écologique'!L766,"")))</f>
        <v/>
      </c>
      <c r="KZ5" s="5" t="str">
        <f>IF('Eval-Avant action écologique'!$T$107=0,"",IF('Eval-Avant action écologique'!$T$107="","",IF('Eval-Avant action écologique'!M766&lt;&gt;"",'Eval-Avant action écologique'!M766,"")))</f>
        <v/>
      </c>
      <c r="LA5" s="5" t="str">
        <f>IF('Eval-Avant action écologique'!$T$107=0,"",IF('Eval-Avant action écologique'!$T$107="","",IF('Eval-Avant action écologique'!N766&lt;&gt;"",'Eval-Avant action écologique'!N766,"")))</f>
        <v/>
      </c>
      <c r="LB5" s="5" t="str">
        <f>IF('Eval-Avant action écologique'!$T$107=0,"",IF('Eval-Avant action écologique'!$T$107="","",IF('Eval-Avant action écologique'!O766&lt;&gt;"",'Eval-Avant action écologique'!O766,"")))</f>
        <v/>
      </c>
      <c r="LC5" s="5" t="str">
        <f>IF('Eval-Avant action écologique'!$T$107=0,"",IF('Eval-Avant action écologique'!$T$107="","",IF('Eval-Avant action écologique'!P766&lt;&gt;"",'Eval-Avant action écologique'!P766,"")))</f>
        <v/>
      </c>
      <c r="LD5" s="5" t="str">
        <f>IF('Eval-Avant action écologique'!$T$107=0,"",IF('Eval-Avant action écologique'!$T$107="","",IF('Eval-Avant action écologique'!Q766&lt;&gt;"",'Eval-Avant action écologique'!Q766,"")))</f>
        <v/>
      </c>
      <c r="LE5" s="5" t="str">
        <f>IF('Eval-Avant action écologique'!$T$107=0,"",IF('Eval-Avant action écologique'!$T$107="","",IF('Eval-Avant action écologique'!R766&lt;&gt;"",'Eval-Avant action écologique'!R766,"")))</f>
        <v/>
      </c>
      <c r="LF5" s="5" t="str">
        <f>IF('Eval-Avant action écologique'!$T$107=0,"",IF('Eval-Avant action écologique'!$T$107="","",IF('Eval-Avant action écologique'!S766&lt;&gt;"",'Eval-Avant action écologique'!S766,"")))</f>
        <v/>
      </c>
      <c r="LG5" s="5" t="str">
        <f>IF('Eval-Avant action écologique'!$T$107=0,"",IF('Eval-Avant action écologique'!$T$107="","",IF('Eval-Avant action écologique'!T766&lt;&gt;"",'Eval-Avant action écologique'!T766,"")))</f>
        <v/>
      </c>
      <c r="LH5" s="5" t="str">
        <f>IF('Eval-Avant action écologique'!$T$107=0,"",IF('Eval-Avant action écologique'!$T$107="","",IF('Eval-Avant action écologique'!U766&lt;&gt;"",'Eval-Avant action écologique'!U766,"")))</f>
        <v/>
      </c>
      <c r="LI5" s="5" t="str">
        <f>IF('Eval-Avant action écologique'!$T$107=0,"",IF('Eval-Avant action écologique'!$T$107="","",IF('Eval-Avant action écologique'!V766&lt;&gt;"",'Eval-Avant action écologique'!V766,"")))</f>
        <v/>
      </c>
      <c r="LJ5" s="5" t="str">
        <f>IF('Eval-Avant action écologique'!$T$107=0,"",IF('Eval-Avant action écologique'!$T$107="","",IF('Eval-Avant action écologique'!W766&lt;&gt;"",'Eval-Avant action écologique'!W766,"")))</f>
        <v/>
      </c>
      <c r="LK5" s="5" t="str">
        <f>IF('Eval-Avant action écologique'!$T$107=0,"",IF('Eval-Avant action écologique'!$T$107="","",IF('Eval-Avant action écologique'!X766&lt;&gt;"",'Eval-Avant action écologique'!X766,"")))</f>
        <v/>
      </c>
      <c r="LL5" s="5" t="str">
        <f>IF('Eval-Avant action écologique'!$T$107=0,"",IF('Eval-Avant action écologique'!$T$107="","",IF('Eval-Avant action écologique'!Y766&lt;&gt;"",'Eval-Avant action écologique'!Y766,"")))</f>
        <v/>
      </c>
      <c r="LM5" s="5" t="str">
        <f>IF('Eval-Avant action écologique'!$T$107=0,"",IF('Eval-Avant action écologique'!$T$107="","",IF('Eval-Avant action écologique'!A767&lt;&gt;"",'Eval-Avant action écologique'!A767,"")))</f>
        <v/>
      </c>
      <c r="LN5" s="5" t="str">
        <f>IF('Eval-Avant action écologique'!$T$107=0,"",IF('Eval-Avant action écologique'!$T$107="","",IF('Eval-Avant action écologique'!B767&lt;&gt;"",'Eval-Avant action écologique'!B767,"")))</f>
        <v/>
      </c>
      <c r="LO5" s="5" t="str">
        <f>IF('Eval-Avant action écologique'!$T$107=0,"",IF('Eval-Avant action écologique'!$T$107="","",IF('Eval-Avant action écologique'!C767&lt;&gt;"",'Eval-Avant action écologique'!C767,"")))</f>
        <v/>
      </c>
      <c r="LP5" s="5" t="str">
        <f>IF('Eval-Avant action écologique'!$T$107=0,"",IF('Eval-Avant action écologique'!$T$107="","",IF('Eval-Avant action écologique'!E767&lt;&gt;"",'Eval-Avant action écologique'!E767,"")))</f>
        <v/>
      </c>
      <c r="LQ5" s="5" t="str">
        <f>IF('Eval-Avant action écologique'!$T$107=0,"",IF('Eval-Avant action écologique'!$T$107="","",IF('Eval-Avant action écologique'!G767&lt;&gt;"",'Eval-Avant action écologique'!G767,"")))</f>
        <v/>
      </c>
      <c r="LR5" s="5" t="str">
        <f>IF('Eval-Avant action écologique'!$T$107=0,"",IF('Eval-Avant action écologique'!$T$107="","",IF('Eval-Avant action écologique'!H767&lt;&gt;"",'Eval-Avant action écologique'!H767,"")))</f>
        <v/>
      </c>
      <c r="LS5" s="5" t="str">
        <f>IF('Eval-Avant action écologique'!$T$107=0,"",IF('Eval-Avant action écologique'!$T$107="","",IF('Eval-Avant action écologique'!I767&lt;&gt;"",'Eval-Avant action écologique'!I767,"")))</f>
        <v/>
      </c>
      <c r="LT5" s="5" t="str">
        <f>IF('Eval-Avant action écologique'!$T$107=0,"",IF('Eval-Avant action écologique'!$T$107="","",IF('Eval-Avant action écologique'!J767&lt;&gt;"",'Eval-Avant action écologique'!J767,"")))</f>
        <v/>
      </c>
      <c r="LU5" s="5" t="str">
        <f>IF('Eval-Avant action écologique'!$T$107=0,"",IF('Eval-Avant action écologique'!$T$107="","",IF('Eval-Avant action écologique'!K767&lt;&gt;"",'Eval-Avant action écologique'!K767,"")))</f>
        <v/>
      </c>
      <c r="LV5" s="5" t="str">
        <f>IF('Eval-Avant action écologique'!$T$107=0,"",IF('Eval-Avant action écologique'!$T$107="","",IF('Eval-Avant action écologique'!L767&lt;&gt;"",'Eval-Avant action écologique'!L767,"")))</f>
        <v/>
      </c>
      <c r="LW5" s="5" t="str">
        <f>IF('Eval-Avant action écologique'!$T$107=0,"",IF('Eval-Avant action écologique'!$T$107="","",IF('Eval-Avant action écologique'!M767&lt;&gt;"",'Eval-Avant action écologique'!M767,"")))</f>
        <v/>
      </c>
      <c r="LX5" s="5" t="str">
        <f>IF('Eval-Avant action écologique'!$T$107=0,"",IF('Eval-Avant action écologique'!$T$107="","",IF('Eval-Avant action écologique'!N767&lt;&gt;"",'Eval-Avant action écologique'!N767,"")))</f>
        <v/>
      </c>
      <c r="LY5" s="5" t="str">
        <f>IF('Eval-Avant action écologique'!$T$107=0,"",IF('Eval-Avant action écologique'!$T$107="","",IF('Eval-Avant action écologique'!O767&lt;&gt;"",'Eval-Avant action écologique'!O767,"")))</f>
        <v/>
      </c>
      <c r="LZ5" s="5" t="str">
        <f>IF('Eval-Avant action écologique'!$T$107=0,"",IF('Eval-Avant action écologique'!$T$107="","",IF('Eval-Avant action écologique'!P767&lt;&gt;"",'Eval-Avant action écologique'!P767,"")))</f>
        <v/>
      </c>
      <c r="MA5" s="5" t="str">
        <f>IF('Eval-Avant action écologique'!$T$107=0,"",IF('Eval-Avant action écologique'!$T$107="","",IF('Eval-Avant action écologique'!Q767&lt;&gt;"",'Eval-Avant action écologique'!Q767,"")))</f>
        <v/>
      </c>
      <c r="MB5" s="5" t="str">
        <f>IF('Eval-Avant action écologique'!$T$107=0,"",IF('Eval-Avant action écologique'!$T$107="","",IF('Eval-Avant action écologique'!R767&lt;&gt;"",'Eval-Avant action écologique'!R767,"")))</f>
        <v/>
      </c>
      <c r="MC5" s="5" t="str">
        <f>IF('Eval-Avant action écologique'!$T$107=0,"",IF('Eval-Avant action écologique'!$T$107="","",IF('Eval-Avant action écologique'!S767&lt;&gt;"",'Eval-Avant action écologique'!S767,"")))</f>
        <v/>
      </c>
      <c r="MD5" s="5" t="str">
        <f>IF('Eval-Avant action écologique'!$T$107=0,"",IF('Eval-Avant action écologique'!$T$107="","",IF('Eval-Avant action écologique'!T767&lt;&gt;"",'Eval-Avant action écologique'!T767,"")))</f>
        <v/>
      </c>
      <c r="ME5" s="5" t="str">
        <f>IF('Eval-Avant action écologique'!$T$107=0,"",IF('Eval-Avant action écologique'!$T$107="","",IF('Eval-Avant action écologique'!U767&lt;&gt;"",'Eval-Avant action écologique'!U767,"")))</f>
        <v/>
      </c>
      <c r="MF5" s="5" t="str">
        <f>IF('Eval-Avant action écologique'!$T$107=0,"",IF('Eval-Avant action écologique'!$T$107="","",IF('Eval-Avant action écologique'!V767&lt;&gt;"",'Eval-Avant action écologique'!V767,"")))</f>
        <v/>
      </c>
      <c r="MG5" s="5" t="str">
        <f>IF('Eval-Avant action écologique'!$T$107=0,"",IF('Eval-Avant action écologique'!$T$107="","",IF('Eval-Avant action écologique'!W767&lt;&gt;"",'Eval-Avant action écologique'!W767,"")))</f>
        <v/>
      </c>
      <c r="MH5" s="5" t="str">
        <f>IF('Eval-Avant action écologique'!$T$107=0,"",IF('Eval-Avant action écologique'!$T$107="","",IF('Eval-Avant action écologique'!X767&lt;&gt;"",'Eval-Avant action écologique'!X767,"")))</f>
        <v/>
      </c>
      <c r="MI5" s="5" t="str">
        <f>IF('Eval-Avant action écologique'!$T$107=0,"",IF('Eval-Avant action écologique'!$T$107="","",IF('Eval-Avant action écologique'!Y767&lt;&gt;"",'Eval-Avant action écologique'!Y767,"")))</f>
        <v/>
      </c>
      <c r="MJ5" s="5" t="str">
        <f>IF('Eval-Avant action écologique'!$T$107=0,"",IF('Eval-Avant action écologique'!$T$107="","",IF('Eval-Avant action écologique'!A768&lt;&gt;"",'Eval-Avant action écologique'!A768,"")))</f>
        <v/>
      </c>
      <c r="MK5" s="5" t="str">
        <f>IF('Eval-Avant action écologique'!$T$107=0,"",IF('Eval-Avant action écologique'!$T$107="","",IF('Eval-Avant action écologique'!B768&lt;&gt;"",'Eval-Avant action écologique'!B768,"")))</f>
        <v/>
      </c>
      <c r="ML5" s="5" t="str">
        <f>IF('Eval-Avant action écologique'!$T$107=0,"",IF('Eval-Avant action écologique'!$T$107="","",IF('Eval-Avant action écologique'!C768&lt;&gt;"",'Eval-Avant action écologique'!C768,"")))</f>
        <v/>
      </c>
      <c r="MM5" s="5" t="str">
        <f>IF('Eval-Avant action écologique'!$T$107=0,"",IF('Eval-Avant action écologique'!$T$107="","",IF('Eval-Avant action écologique'!E768&lt;&gt;"",'Eval-Avant action écologique'!E768,"")))</f>
        <v/>
      </c>
      <c r="MN5" s="5" t="str">
        <f>IF('Eval-Avant action écologique'!$T$107=0,"",IF('Eval-Avant action écologique'!$T$107="","",IF('Eval-Avant action écologique'!G768&lt;&gt;"",'Eval-Avant action écologique'!G768,"")))</f>
        <v/>
      </c>
      <c r="MO5" s="5" t="str">
        <f>IF('Eval-Avant action écologique'!$T$107=0,"",IF('Eval-Avant action écologique'!$T$107="","",IF('Eval-Avant action écologique'!H768&lt;&gt;"",'Eval-Avant action écologique'!H768,"")))</f>
        <v/>
      </c>
      <c r="MP5" s="5" t="str">
        <f>IF('Eval-Avant action écologique'!$T$107=0,"",IF('Eval-Avant action écologique'!$T$107="","",IF('Eval-Avant action écologique'!I768&lt;&gt;"",'Eval-Avant action écologique'!I768,"")))</f>
        <v/>
      </c>
      <c r="MQ5" s="5" t="str">
        <f>IF('Eval-Avant action écologique'!$T$107=0,"",IF('Eval-Avant action écologique'!$T$107="","",IF('Eval-Avant action écologique'!J768&lt;&gt;"",'Eval-Avant action écologique'!J768,"")))</f>
        <v/>
      </c>
      <c r="MR5" s="5" t="str">
        <f>IF('Eval-Avant action écologique'!$T$107=0,"",IF('Eval-Avant action écologique'!$T$107="","",IF('Eval-Avant action écologique'!K768&lt;&gt;"",'Eval-Avant action écologique'!K768,"")))</f>
        <v/>
      </c>
      <c r="MS5" s="5" t="str">
        <f>IF('Eval-Avant action écologique'!$T$107=0,"",IF('Eval-Avant action écologique'!$T$107="","",IF('Eval-Avant action écologique'!L768&lt;&gt;"",'Eval-Avant action écologique'!L768,"")))</f>
        <v/>
      </c>
      <c r="MT5" s="5" t="str">
        <f>IF('Eval-Avant action écologique'!$T$107=0,"",IF('Eval-Avant action écologique'!$T$107="","",IF('Eval-Avant action écologique'!M768&lt;&gt;"",'Eval-Avant action écologique'!M768,"")))</f>
        <v/>
      </c>
      <c r="MU5" s="5" t="str">
        <f>IF('Eval-Avant action écologique'!$T$107=0,"",IF('Eval-Avant action écologique'!$T$107="","",IF('Eval-Avant action écologique'!N768&lt;&gt;"",'Eval-Avant action écologique'!N768,"")))</f>
        <v/>
      </c>
      <c r="MV5" s="5" t="str">
        <f>IF('Eval-Avant action écologique'!$T$107=0,"",IF('Eval-Avant action écologique'!$T$107="","",IF('Eval-Avant action écologique'!O768&lt;&gt;"",'Eval-Avant action écologique'!O768,"")))</f>
        <v/>
      </c>
      <c r="MW5" s="5" t="str">
        <f>IF('Eval-Avant action écologique'!$T$107=0,"",IF('Eval-Avant action écologique'!$T$107="","",IF('Eval-Avant action écologique'!P768&lt;&gt;"",'Eval-Avant action écologique'!P768,"")))</f>
        <v/>
      </c>
      <c r="MX5" s="5" t="str">
        <f>IF('Eval-Avant action écologique'!$T$107=0,"",IF('Eval-Avant action écologique'!$T$107="","",IF('Eval-Avant action écologique'!Q768&lt;&gt;"",'Eval-Avant action écologique'!Q768,"")))</f>
        <v/>
      </c>
      <c r="MY5" s="5" t="str">
        <f>IF('Eval-Avant action écologique'!$T$107=0,"",IF('Eval-Avant action écologique'!$T$107="","",IF('Eval-Avant action écologique'!R768&lt;&gt;"",'Eval-Avant action écologique'!R768,"")))</f>
        <v/>
      </c>
      <c r="MZ5" s="5" t="str">
        <f>IF('Eval-Avant action écologique'!$T$107=0,"",IF('Eval-Avant action écologique'!$T$107="","",IF('Eval-Avant action écologique'!S768&lt;&gt;"",'Eval-Avant action écologique'!S768,"")))</f>
        <v/>
      </c>
      <c r="NA5" s="5" t="str">
        <f>IF('Eval-Avant action écologique'!$T$107=0,"",IF('Eval-Avant action écologique'!$T$107="","",IF('Eval-Avant action écologique'!T768&lt;&gt;"",'Eval-Avant action écologique'!T768,"")))</f>
        <v/>
      </c>
      <c r="NB5" s="5" t="str">
        <f>IF('Eval-Avant action écologique'!$T$107=0,"",IF('Eval-Avant action écologique'!$T$107="","",IF('Eval-Avant action écologique'!U768&lt;&gt;"",'Eval-Avant action écologique'!U768,"")))</f>
        <v/>
      </c>
      <c r="NC5" s="5" t="str">
        <f>IF('Eval-Avant action écologique'!$T$107=0,"",IF('Eval-Avant action écologique'!$T$107="","",IF('Eval-Avant action écologique'!V768&lt;&gt;"",'Eval-Avant action écologique'!V768,"")))</f>
        <v/>
      </c>
      <c r="ND5" s="5" t="str">
        <f>IF('Eval-Avant action écologique'!$T$107=0,"",IF('Eval-Avant action écologique'!$T$107="","",IF('Eval-Avant action écologique'!W768&lt;&gt;"",'Eval-Avant action écologique'!W768,"")))</f>
        <v/>
      </c>
      <c r="NE5" s="5" t="str">
        <f>IF('Eval-Avant action écologique'!$T$107=0,"",IF('Eval-Avant action écologique'!$T$107="","",IF('Eval-Avant action écologique'!X768&lt;&gt;"",'Eval-Avant action écologique'!X768,"")))</f>
        <v/>
      </c>
      <c r="NF5" s="5" t="str">
        <f>IF('Eval-Avant action écologique'!$T$107=0,"",IF('Eval-Avant action écologique'!$T$107="","",IF('Eval-Avant action écologique'!Y768&lt;&gt;"",'Eval-Avant action écologique'!Y768,"")))</f>
        <v/>
      </c>
      <c r="NG5" s="5" t="str">
        <f>IF('Eval-Avant action écologique'!$T$107=0,"",IF('Eval-Avant action écologique'!$T$107="","",IF('Eval-Avant action écologique'!A769&lt;&gt;"",'Eval-Avant action écologique'!A769,"")))</f>
        <v/>
      </c>
      <c r="NH5" s="5" t="str">
        <f>IF('Eval-Avant action écologique'!$T$107=0,"",IF('Eval-Avant action écologique'!$T$107="","",IF('Eval-Avant action écologique'!B769&lt;&gt;"",'Eval-Avant action écologique'!B769,"")))</f>
        <v/>
      </c>
      <c r="NI5" s="5" t="str">
        <f>IF('Eval-Avant action écologique'!$T$107=0,"",IF('Eval-Avant action écologique'!$T$107="","",IF('Eval-Avant action écologique'!C769&lt;&gt;"",'Eval-Avant action écologique'!C769,"")))</f>
        <v/>
      </c>
      <c r="NJ5" s="5" t="str">
        <f>IF('Eval-Avant action écologique'!$T$107=0,"",IF('Eval-Avant action écologique'!$T$107="","",IF('Eval-Avant action écologique'!E769&lt;&gt;"",'Eval-Avant action écologique'!E769,"")))</f>
        <v/>
      </c>
      <c r="NK5" s="5" t="str">
        <f>IF('Eval-Avant action écologique'!$T$107=0,"",IF('Eval-Avant action écologique'!$T$107="","",IF('Eval-Avant action écologique'!G769&lt;&gt;"",'Eval-Avant action écologique'!G769,"")))</f>
        <v/>
      </c>
      <c r="NL5" s="5" t="str">
        <f>IF('Eval-Avant action écologique'!$T$107=0,"",IF('Eval-Avant action écologique'!$T$107="","",IF('Eval-Avant action écologique'!H769&lt;&gt;"",'Eval-Avant action écologique'!H769,"")))</f>
        <v/>
      </c>
      <c r="NM5" s="5" t="str">
        <f>IF('Eval-Avant action écologique'!$T$107=0,"",IF('Eval-Avant action écologique'!$T$107="","",IF('Eval-Avant action écologique'!I769&lt;&gt;"",'Eval-Avant action écologique'!I769,"")))</f>
        <v/>
      </c>
      <c r="NN5" s="5" t="str">
        <f>IF('Eval-Avant action écologique'!$T$107=0,"",IF('Eval-Avant action écologique'!$T$107="","",IF('Eval-Avant action écologique'!J769&lt;&gt;"",'Eval-Avant action écologique'!J769,"")))</f>
        <v/>
      </c>
      <c r="NO5" s="5" t="str">
        <f>IF('Eval-Avant action écologique'!$T$107=0,"",IF('Eval-Avant action écologique'!$T$107="","",IF('Eval-Avant action écologique'!K769&lt;&gt;"",'Eval-Avant action écologique'!K769,"")))</f>
        <v/>
      </c>
      <c r="NP5" s="5" t="str">
        <f>IF('Eval-Avant action écologique'!$T$107=0,"",IF('Eval-Avant action écologique'!$T$107="","",IF('Eval-Avant action écologique'!L769&lt;&gt;"",'Eval-Avant action écologique'!L769,"")))</f>
        <v/>
      </c>
      <c r="NQ5" s="5" t="str">
        <f>IF('Eval-Avant action écologique'!$T$107=0,"",IF('Eval-Avant action écologique'!$T$107="","",IF('Eval-Avant action écologique'!M769&lt;&gt;"",'Eval-Avant action écologique'!M769,"")))</f>
        <v/>
      </c>
      <c r="NR5" s="5" t="str">
        <f>IF('Eval-Avant action écologique'!$T$107=0,"",IF('Eval-Avant action écologique'!$T$107="","",IF('Eval-Avant action écologique'!N769&lt;&gt;"",'Eval-Avant action écologique'!N769,"")))</f>
        <v/>
      </c>
      <c r="NS5" s="5" t="str">
        <f>IF('Eval-Avant action écologique'!$T$107=0,"",IF('Eval-Avant action écologique'!$T$107="","",IF('Eval-Avant action écologique'!O769&lt;&gt;"",'Eval-Avant action écologique'!O769,"")))</f>
        <v/>
      </c>
      <c r="NT5" s="5" t="str">
        <f>IF('Eval-Avant action écologique'!$T$107=0,"",IF('Eval-Avant action écologique'!$T$107="","",IF('Eval-Avant action écologique'!P769&lt;&gt;"",'Eval-Avant action écologique'!P769,"")))</f>
        <v/>
      </c>
      <c r="NU5" s="5" t="str">
        <f>IF('Eval-Avant action écologique'!$T$107=0,"",IF('Eval-Avant action écologique'!$T$107="","",IF('Eval-Avant action écologique'!Q769&lt;&gt;"",'Eval-Avant action écologique'!Q769,"")))</f>
        <v/>
      </c>
      <c r="NV5" s="5" t="str">
        <f>IF('Eval-Avant action écologique'!$T$107=0,"",IF('Eval-Avant action écologique'!$T$107="","",IF('Eval-Avant action écologique'!R769&lt;&gt;"",'Eval-Avant action écologique'!R769,"")))</f>
        <v/>
      </c>
      <c r="NW5" s="5" t="str">
        <f>IF('Eval-Avant action écologique'!$T$107=0,"",IF('Eval-Avant action écologique'!$T$107="","",IF('Eval-Avant action écologique'!S769&lt;&gt;"",'Eval-Avant action écologique'!S769,"")))</f>
        <v/>
      </c>
      <c r="NX5" s="5" t="str">
        <f>IF('Eval-Avant action écologique'!$T$107=0,"",IF('Eval-Avant action écologique'!$T$107="","",IF('Eval-Avant action écologique'!T769&lt;&gt;"",'Eval-Avant action écologique'!T769,"")))</f>
        <v/>
      </c>
      <c r="NY5" s="5" t="str">
        <f>IF('Eval-Avant action écologique'!$T$107=0,"",IF('Eval-Avant action écologique'!$T$107="","",IF('Eval-Avant action écologique'!U769&lt;&gt;"",'Eval-Avant action écologique'!U769,"")))</f>
        <v/>
      </c>
      <c r="NZ5" s="5" t="str">
        <f>IF('Eval-Avant action écologique'!$T$107=0,"",IF('Eval-Avant action écologique'!$T$107="","",IF('Eval-Avant action écologique'!V769&lt;&gt;"",'Eval-Avant action écologique'!V769,"")))</f>
        <v/>
      </c>
      <c r="OA5" s="5" t="str">
        <f>IF('Eval-Avant action écologique'!$T$107=0,"",IF('Eval-Avant action écologique'!$T$107="","",IF('Eval-Avant action écologique'!W769&lt;&gt;"",'Eval-Avant action écologique'!W769,"")))</f>
        <v/>
      </c>
      <c r="OB5" s="5" t="str">
        <f>IF('Eval-Avant action écologique'!$T$107=0,"",IF('Eval-Avant action écologique'!$T$107="","",IF('Eval-Avant action écologique'!X769&lt;&gt;"",'Eval-Avant action écologique'!X769,"")))</f>
        <v/>
      </c>
      <c r="OC5" s="5" t="str">
        <f>IF('Eval-Avant action écologique'!$T$107=0,"",IF('Eval-Avant action écologique'!$T$107="","",IF('Eval-Avant action écologique'!Y769&lt;&gt;"",'Eval-Avant action écologique'!Y769,"")))</f>
        <v/>
      </c>
      <c r="OD5" s="5" t="str">
        <f>IF('Eval-Avant action écologique'!$T$107=0,"",IF('Eval-Avant action écologique'!$T$107="","",IF('Eval-Avant action écologique'!A770&lt;&gt;"",'Eval-Avant action écologique'!A770,"")))</f>
        <v/>
      </c>
      <c r="OE5" s="5" t="str">
        <f>IF('Eval-Avant action écologique'!$T$107=0,"",IF('Eval-Avant action écologique'!$T$107="","",IF('Eval-Avant action écologique'!B770&lt;&gt;"",'Eval-Avant action écologique'!B770,"")))</f>
        <v/>
      </c>
      <c r="OF5" s="5" t="str">
        <f>IF('Eval-Avant action écologique'!$T$107=0,"",IF('Eval-Avant action écologique'!$T$107="","",IF('Eval-Avant action écologique'!C770&lt;&gt;"",'Eval-Avant action écologique'!C770,"")))</f>
        <v/>
      </c>
      <c r="OG5" s="5" t="str">
        <f>IF('Eval-Avant action écologique'!$T$107=0,"",IF('Eval-Avant action écologique'!$T$107="","",IF('Eval-Avant action écologique'!E770&lt;&gt;"",'Eval-Avant action écologique'!E770,"")))</f>
        <v/>
      </c>
      <c r="OH5" s="5" t="str">
        <f>IF('Eval-Avant action écologique'!$T$107=0,"",IF('Eval-Avant action écologique'!$T$107="","",IF('Eval-Avant action écologique'!G770&lt;&gt;"",'Eval-Avant action écologique'!G770,"")))</f>
        <v/>
      </c>
      <c r="OI5" s="5" t="str">
        <f>IF('Eval-Avant action écologique'!$T$107=0,"",IF('Eval-Avant action écologique'!$T$107="","",IF('Eval-Avant action écologique'!H770&lt;&gt;"",'Eval-Avant action écologique'!H770,"")))</f>
        <v/>
      </c>
      <c r="OJ5" s="5" t="str">
        <f>IF('Eval-Avant action écologique'!$T$107=0,"",IF('Eval-Avant action écologique'!$T$107="","",IF('Eval-Avant action écologique'!I770&lt;&gt;"",'Eval-Avant action écologique'!I770,"")))</f>
        <v/>
      </c>
      <c r="OK5" s="5" t="str">
        <f>IF('Eval-Avant action écologique'!$T$107=0,"",IF('Eval-Avant action écologique'!$T$107="","",IF('Eval-Avant action écologique'!J770&lt;&gt;"",'Eval-Avant action écologique'!J770,"")))</f>
        <v/>
      </c>
      <c r="OL5" s="5" t="str">
        <f>IF('Eval-Avant action écologique'!$T$107=0,"",IF('Eval-Avant action écologique'!$T$107="","",IF('Eval-Avant action écologique'!K770&lt;&gt;"",'Eval-Avant action écologique'!K770,"")))</f>
        <v/>
      </c>
      <c r="OM5" s="5" t="str">
        <f>IF('Eval-Avant action écologique'!$T$107=0,"",IF('Eval-Avant action écologique'!$T$107="","",IF('Eval-Avant action écologique'!L770&lt;&gt;"",'Eval-Avant action écologique'!L770,"")))</f>
        <v/>
      </c>
      <c r="ON5" s="5" t="str">
        <f>IF('Eval-Avant action écologique'!$T$107=0,"",IF('Eval-Avant action écologique'!$T$107="","",IF('Eval-Avant action écologique'!M770&lt;&gt;"",'Eval-Avant action écologique'!M770,"")))</f>
        <v/>
      </c>
      <c r="OO5" s="5" t="str">
        <f>IF('Eval-Avant action écologique'!$T$107=0,"",IF('Eval-Avant action écologique'!$T$107="","",IF('Eval-Avant action écologique'!N770&lt;&gt;"",'Eval-Avant action écologique'!N770,"")))</f>
        <v/>
      </c>
      <c r="OP5" s="5" t="str">
        <f>IF('Eval-Avant action écologique'!$T$107=0,"",IF('Eval-Avant action écologique'!$T$107="","",IF('Eval-Avant action écologique'!O770&lt;&gt;"",'Eval-Avant action écologique'!O770,"")))</f>
        <v/>
      </c>
      <c r="OQ5" s="5" t="str">
        <f>IF('Eval-Avant action écologique'!$T$107=0,"",IF('Eval-Avant action écologique'!$T$107="","",IF('Eval-Avant action écologique'!P770&lt;&gt;"",'Eval-Avant action écologique'!P770,"")))</f>
        <v/>
      </c>
      <c r="OR5" s="5" t="str">
        <f>IF('Eval-Avant action écologique'!$T$107=0,"",IF('Eval-Avant action écologique'!$T$107="","",IF('Eval-Avant action écologique'!Q770&lt;&gt;"",'Eval-Avant action écologique'!Q770,"")))</f>
        <v/>
      </c>
      <c r="OS5" s="5" t="str">
        <f>IF('Eval-Avant action écologique'!$T$107=0,"",IF('Eval-Avant action écologique'!$T$107="","",IF('Eval-Avant action écologique'!R770&lt;&gt;"",'Eval-Avant action écologique'!R770,"")))</f>
        <v/>
      </c>
      <c r="OT5" s="5" t="str">
        <f>IF('Eval-Avant action écologique'!$T$107=0,"",IF('Eval-Avant action écologique'!$T$107="","",IF('Eval-Avant action écologique'!S770&lt;&gt;"",'Eval-Avant action écologique'!S770,"")))</f>
        <v/>
      </c>
      <c r="OU5" s="5" t="str">
        <f>IF('Eval-Avant action écologique'!$T$107=0,"",IF('Eval-Avant action écologique'!$T$107="","",IF('Eval-Avant action écologique'!T770&lt;&gt;"",'Eval-Avant action écologique'!T770,"")))</f>
        <v/>
      </c>
      <c r="OV5" s="5" t="str">
        <f>IF('Eval-Avant action écologique'!$T$107=0,"",IF('Eval-Avant action écologique'!$T$107="","",IF('Eval-Avant action écologique'!U770&lt;&gt;"",'Eval-Avant action écologique'!U770,"")))</f>
        <v/>
      </c>
      <c r="OW5" s="5" t="str">
        <f>IF('Eval-Avant action écologique'!$T$107=0,"",IF('Eval-Avant action écologique'!$T$107="","",IF('Eval-Avant action écologique'!V770&lt;&gt;"",'Eval-Avant action écologique'!V770,"")))</f>
        <v/>
      </c>
      <c r="OX5" s="5" t="str">
        <f>IF('Eval-Avant action écologique'!$T$107=0,"",IF('Eval-Avant action écologique'!$T$107="","",IF('Eval-Avant action écologique'!W770&lt;&gt;"",'Eval-Avant action écologique'!W770,"")))</f>
        <v/>
      </c>
      <c r="OY5" s="5" t="str">
        <f>IF('Eval-Avant action écologique'!$T$107=0,"",IF('Eval-Avant action écologique'!$T$107="","",IF('Eval-Avant action écologique'!X770&lt;&gt;"",'Eval-Avant action écologique'!X770,"")))</f>
        <v/>
      </c>
      <c r="OZ5" s="5" t="str">
        <f>IF('Eval-Avant action écologique'!$T$107=0,"",IF('Eval-Avant action écologique'!$T$107="","",IF('Eval-Avant action écologique'!Y770&lt;&gt;"",'Eval-Avant action écologique'!Y770,"")))</f>
        <v/>
      </c>
      <c r="PA5" s="5" t="str">
        <f>IF('Eval-Avant action écologique'!$T$107=0,"",IF('Eval-Avant action écologique'!$T$107="","",IF('Eval-Avant action écologique'!A771&lt;&gt;"",'Eval-Avant action écologique'!A771,"")))</f>
        <v/>
      </c>
      <c r="PB5" s="5" t="str">
        <f>IF('Eval-Avant action écologique'!$T$107=0,"",IF('Eval-Avant action écologique'!$T$107="","",IF('Eval-Avant action écologique'!B771&lt;&gt;"",'Eval-Avant action écologique'!B771,"")))</f>
        <v/>
      </c>
      <c r="PC5" s="5" t="str">
        <f>IF('Eval-Avant action écologique'!$T$107=0,"",IF('Eval-Avant action écologique'!$T$107="","",IF('Eval-Avant action écologique'!C771&lt;&gt;"",'Eval-Avant action écologique'!C771,"")))</f>
        <v/>
      </c>
      <c r="PD5" s="5" t="str">
        <f>IF('Eval-Avant action écologique'!$T$107=0,"",IF('Eval-Avant action écologique'!$T$107="","",IF('Eval-Avant action écologique'!E771&lt;&gt;"",'Eval-Avant action écologique'!E771,"")))</f>
        <v/>
      </c>
      <c r="PE5" s="5" t="str">
        <f>IF('Eval-Avant action écologique'!$T$107=0,"",IF('Eval-Avant action écologique'!$T$107="","",IF('Eval-Avant action écologique'!G771&lt;&gt;"",'Eval-Avant action écologique'!G771,"")))</f>
        <v/>
      </c>
      <c r="PF5" s="5" t="str">
        <f>IF('Eval-Avant action écologique'!$T$107=0,"",IF('Eval-Avant action écologique'!$T$107="","",IF('Eval-Avant action écologique'!H771&lt;&gt;"",'Eval-Avant action écologique'!H771,"")))</f>
        <v/>
      </c>
      <c r="PG5" s="5" t="str">
        <f>IF('Eval-Avant action écologique'!$T$107=0,"",IF('Eval-Avant action écologique'!$T$107="","",IF('Eval-Avant action écologique'!I771&lt;&gt;"",'Eval-Avant action écologique'!I771,"")))</f>
        <v/>
      </c>
      <c r="PH5" s="5" t="str">
        <f>IF('Eval-Avant action écologique'!$T$107=0,"",IF('Eval-Avant action écologique'!$T$107="","",IF('Eval-Avant action écologique'!J771&lt;&gt;"",'Eval-Avant action écologique'!J771,"")))</f>
        <v/>
      </c>
      <c r="PI5" s="5" t="str">
        <f>IF('Eval-Avant action écologique'!$T$107=0,"",IF('Eval-Avant action écologique'!$T$107="","",IF('Eval-Avant action écologique'!K771&lt;&gt;"",'Eval-Avant action écologique'!K771,"")))</f>
        <v/>
      </c>
      <c r="PJ5" s="5" t="str">
        <f>IF('Eval-Avant action écologique'!$T$107=0,"",IF('Eval-Avant action écologique'!$T$107="","",IF('Eval-Avant action écologique'!L771&lt;&gt;"",'Eval-Avant action écologique'!L771,"")))</f>
        <v/>
      </c>
      <c r="PK5" s="5" t="str">
        <f>IF('Eval-Avant action écologique'!$T$107=0,"",IF('Eval-Avant action écologique'!$T$107="","",IF('Eval-Avant action écologique'!M771&lt;&gt;"",'Eval-Avant action écologique'!M771,"")))</f>
        <v/>
      </c>
      <c r="PL5" s="5" t="str">
        <f>IF('Eval-Avant action écologique'!$T$107=0,"",IF('Eval-Avant action écologique'!$T$107="","",IF('Eval-Avant action écologique'!N771&lt;&gt;"",'Eval-Avant action écologique'!N771,"")))</f>
        <v/>
      </c>
      <c r="PM5" s="5" t="str">
        <f>IF('Eval-Avant action écologique'!$T$107=0,"",IF('Eval-Avant action écologique'!$T$107="","",IF('Eval-Avant action écologique'!O771&lt;&gt;"",'Eval-Avant action écologique'!O771,"")))</f>
        <v/>
      </c>
      <c r="PN5" s="5" t="str">
        <f>IF('Eval-Avant action écologique'!$T$107=0,"",IF('Eval-Avant action écologique'!$T$107="","",IF('Eval-Avant action écologique'!P771&lt;&gt;"",'Eval-Avant action écologique'!P771,"")))</f>
        <v/>
      </c>
      <c r="PO5" s="5" t="str">
        <f>IF('Eval-Avant action écologique'!$T$107=0,"",IF('Eval-Avant action écologique'!$T$107="","",IF('Eval-Avant action écologique'!Q771&lt;&gt;"",'Eval-Avant action écologique'!Q771,"")))</f>
        <v/>
      </c>
      <c r="PP5" s="5" t="str">
        <f>IF('Eval-Avant action écologique'!$T$107=0,"",IF('Eval-Avant action écologique'!$T$107="","",IF('Eval-Avant action écologique'!R771&lt;&gt;"",'Eval-Avant action écologique'!R771,"")))</f>
        <v/>
      </c>
      <c r="PQ5" s="5" t="str">
        <f>IF('Eval-Avant action écologique'!$T$107=0,"",IF('Eval-Avant action écologique'!$T$107="","",IF('Eval-Avant action écologique'!S771&lt;&gt;"",'Eval-Avant action écologique'!S771,"")))</f>
        <v/>
      </c>
      <c r="PR5" s="5" t="str">
        <f>IF('Eval-Avant action écologique'!$T$107=0,"",IF('Eval-Avant action écologique'!$T$107="","",IF('Eval-Avant action écologique'!T771&lt;&gt;"",'Eval-Avant action écologique'!T771,"")))</f>
        <v/>
      </c>
      <c r="PS5" s="5" t="str">
        <f>IF('Eval-Avant action écologique'!$T$107=0,"",IF('Eval-Avant action écologique'!$T$107="","",IF('Eval-Avant action écologique'!U771&lt;&gt;"",'Eval-Avant action écologique'!U771,"")))</f>
        <v/>
      </c>
      <c r="PT5" s="5" t="str">
        <f>IF('Eval-Avant action écologique'!$T$107=0,"",IF('Eval-Avant action écologique'!$T$107="","",IF('Eval-Avant action écologique'!V771&lt;&gt;"",'Eval-Avant action écologique'!V771,"")))</f>
        <v/>
      </c>
      <c r="PU5" s="5" t="str">
        <f>IF('Eval-Avant action écologique'!$T$107=0,"",IF('Eval-Avant action écologique'!$T$107="","",IF('Eval-Avant action écologique'!W771&lt;&gt;"",'Eval-Avant action écologique'!W771,"")))</f>
        <v/>
      </c>
      <c r="PV5" s="5" t="str">
        <f>IF('Eval-Avant action écologique'!$T$107=0,"",IF('Eval-Avant action écologique'!$T$107="","",IF('Eval-Avant action écologique'!X771&lt;&gt;"",'Eval-Avant action écologique'!X771,"")))</f>
        <v/>
      </c>
      <c r="PW5" s="5" t="str">
        <f>IF('Eval-Avant action écologique'!$T$107=0,"",IF('Eval-Avant action écologique'!$T$107="","",IF('Eval-Avant action écologique'!Y771&lt;&gt;"",'Eval-Avant action écologique'!Y771,"")))</f>
        <v/>
      </c>
      <c r="PX5" s="5" t="str">
        <f>IF('Eval-Avant action écologique'!$T$107=0,"",IF('Eval-Avant action écologique'!$T$107="","",IF('Eval-Avant action écologique'!A772&lt;&gt;"",'Eval-Avant action écologique'!A772,"")))</f>
        <v/>
      </c>
      <c r="PY5" s="5" t="str">
        <f>IF('Eval-Avant action écologique'!$T$107=0,"",IF('Eval-Avant action écologique'!$T$107="","",IF('Eval-Avant action écologique'!B772&lt;&gt;"",'Eval-Avant action écologique'!B772,"")))</f>
        <v/>
      </c>
      <c r="PZ5" s="5" t="str">
        <f>IF('Eval-Avant action écologique'!$T$107=0,"",IF('Eval-Avant action écologique'!$T$107="","",IF('Eval-Avant action écologique'!C772&lt;&gt;"",'Eval-Avant action écologique'!C772,"")))</f>
        <v/>
      </c>
      <c r="QA5" s="5" t="str">
        <f>IF('Eval-Avant action écologique'!$T$107=0,"",IF('Eval-Avant action écologique'!$T$107="","",IF('Eval-Avant action écologique'!E772&lt;&gt;"",'Eval-Avant action écologique'!E772,"")))</f>
        <v/>
      </c>
      <c r="QB5" s="5" t="str">
        <f>IF('Eval-Avant action écologique'!$T$107=0,"",IF('Eval-Avant action écologique'!$T$107="","",IF('Eval-Avant action écologique'!G772&lt;&gt;"",'Eval-Avant action écologique'!G772,"")))</f>
        <v/>
      </c>
      <c r="QC5" s="5" t="str">
        <f>IF('Eval-Avant action écologique'!$T$107=0,"",IF('Eval-Avant action écologique'!$T$107="","",IF('Eval-Avant action écologique'!H772&lt;&gt;"",'Eval-Avant action écologique'!H772,"")))</f>
        <v/>
      </c>
      <c r="QD5" s="5" t="str">
        <f>IF('Eval-Avant action écologique'!$T$107=0,"",IF('Eval-Avant action écologique'!$T$107="","",IF('Eval-Avant action écologique'!I772&lt;&gt;"",'Eval-Avant action écologique'!I772,"")))</f>
        <v/>
      </c>
      <c r="QE5" s="5" t="str">
        <f>IF('Eval-Avant action écologique'!$T$107=0,"",IF('Eval-Avant action écologique'!$T$107="","",IF('Eval-Avant action écologique'!J772&lt;&gt;"",'Eval-Avant action écologique'!J772,"")))</f>
        <v/>
      </c>
      <c r="QF5" s="5" t="str">
        <f>IF('Eval-Avant action écologique'!$T$107=0,"",IF('Eval-Avant action écologique'!$T$107="","",IF('Eval-Avant action écologique'!K772&lt;&gt;"",'Eval-Avant action écologique'!K772,"")))</f>
        <v/>
      </c>
      <c r="QG5" s="5" t="str">
        <f>IF('Eval-Avant action écologique'!$T$107=0,"",IF('Eval-Avant action écologique'!$T$107="","",IF('Eval-Avant action écologique'!L772&lt;&gt;"",'Eval-Avant action écologique'!L772,"")))</f>
        <v/>
      </c>
      <c r="QH5" s="5" t="str">
        <f>IF('Eval-Avant action écologique'!$T$107=0,"",IF('Eval-Avant action écologique'!$T$107="","",IF('Eval-Avant action écologique'!M772&lt;&gt;"",'Eval-Avant action écologique'!M772,"")))</f>
        <v/>
      </c>
      <c r="QI5" s="5" t="str">
        <f>IF('Eval-Avant action écologique'!$T$107=0,"",IF('Eval-Avant action écologique'!$T$107="","",IF('Eval-Avant action écologique'!N772&lt;&gt;"",'Eval-Avant action écologique'!N772,"")))</f>
        <v/>
      </c>
      <c r="QJ5" s="5" t="str">
        <f>IF('Eval-Avant action écologique'!$T$107=0,"",IF('Eval-Avant action écologique'!$T$107="","",IF('Eval-Avant action écologique'!O772&lt;&gt;"",'Eval-Avant action écologique'!O772,"")))</f>
        <v/>
      </c>
      <c r="QK5" s="5" t="str">
        <f>IF('Eval-Avant action écologique'!$T$107=0,"",IF('Eval-Avant action écologique'!$T$107="","",IF('Eval-Avant action écologique'!P772&lt;&gt;"",'Eval-Avant action écologique'!P772,"")))</f>
        <v/>
      </c>
      <c r="QL5" s="5" t="str">
        <f>IF('Eval-Avant action écologique'!$T$107=0,"",IF('Eval-Avant action écologique'!$T$107="","",IF('Eval-Avant action écologique'!Q772&lt;&gt;"",'Eval-Avant action écologique'!Q772,"")))</f>
        <v/>
      </c>
      <c r="QM5" s="5" t="str">
        <f>IF('Eval-Avant action écologique'!$T$107=0,"",IF('Eval-Avant action écologique'!$T$107="","",IF('Eval-Avant action écologique'!R772&lt;&gt;"",'Eval-Avant action écologique'!R772,"")))</f>
        <v/>
      </c>
      <c r="QN5" s="5" t="str">
        <f>IF('Eval-Avant action écologique'!$T$107=0,"",IF('Eval-Avant action écologique'!$T$107="","",IF('Eval-Avant action écologique'!S772&lt;&gt;"",'Eval-Avant action écologique'!S772,"")))</f>
        <v/>
      </c>
      <c r="QO5" s="5" t="str">
        <f>IF('Eval-Avant action écologique'!$T$107=0,"",IF('Eval-Avant action écologique'!$T$107="","",IF('Eval-Avant action écologique'!T772&lt;&gt;"",'Eval-Avant action écologique'!T772,"")))</f>
        <v/>
      </c>
      <c r="QP5" s="5" t="str">
        <f>IF('Eval-Avant action écologique'!$T$107=0,"",IF('Eval-Avant action écologique'!$T$107="","",IF('Eval-Avant action écologique'!U772&lt;&gt;"",'Eval-Avant action écologique'!U772,"")))</f>
        <v/>
      </c>
      <c r="QQ5" s="5" t="str">
        <f>IF('Eval-Avant action écologique'!$T$107=0,"",IF('Eval-Avant action écologique'!$T$107="","",IF('Eval-Avant action écologique'!V772&lt;&gt;"",'Eval-Avant action écologique'!V772,"")))</f>
        <v/>
      </c>
      <c r="QR5" s="5" t="str">
        <f>IF('Eval-Avant action écologique'!$T$107=0,"",IF('Eval-Avant action écologique'!$T$107="","",IF('Eval-Avant action écologique'!W772&lt;&gt;"",'Eval-Avant action écologique'!W772,"")))</f>
        <v/>
      </c>
      <c r="QS5" s="5" t="str">
        <f>IF('Eval-Avant action écologique'!$T$107=0,"",IF('Eval-Avant action écologique'!$T$107="","",IF('Eval-Avant action écologique'!X772&lt;&gt;"",'Eval-Avant action écologique'!X772,"")))</f>
        <v/>
      </c>
      <c r="QT5" s="5" t="str">
        <f>IF('Eval-Avant action écologique'!$T$107=0,"",IF('Eval-Avant action écologique'!$T$107="","",IF('Eval-Avant action écologique'!Y772&lt;&gt;"",'Eval-Avant action écologique'!Y772,"")))</f>
        <v/>
      </c>
      <c r="QU5" s="5" t="str">
        <f>IF('Eval-Avant action écologique'!$T$107=0,"",IF('Eval-Avant action écologique'!$T$107="","",IF('Eval-Avant action écologique'!A773&lt;&gt;"",'Eval-Avant action écologique'!A773,"")))</f>
        <v/>
      </c>
      <c r="QV5" s="5" t="str">
        <f>IF('Eval-Avant action écologique'!$T$107=0,"",IF('Eval-Avant action écologique'!$T$107="","",IF('Eval-Avant action écologique'!B773&lt;&gt;"",'Eval-Avant action écologique'!B773,"")))</f>
        <v/>
      </c>
      <c r="QW5" s="5" t="str">
        <f>IF('Eval-Avant action écologique'!$T$107=0,"",IF('Eval-Avant action écologique'!$T$107="","",IF('Eval-Avant action écologique'!C773&lt;&gt;"",'Eval-Avant action écologique'!C773,"")))</f>
        <v/>
      </c>
      <c r="QX5" s="5" t="str">
        <f>IF('Eval-Avant action écologique'!$T$107=0,"",IF('Eval-Avant action écologique'!$T$107="","",IF('Eval-Avant action écologique'!E773&lt;&gt;"",'Eval-Avant action écologique'!E773,"")))</f>
        <v/>
      </c>
      <c r="QY5" s="5" t="str">
        <f>IF('Eval-Avant action écologique'!$T$107=0,"",IF('Eval-Avant action écologique'!$T$107="","",IF('Eval-Avant action écologique'!G773&lt;&gt;"",'Eval-Avant action écologique'!G773,"")))</f>
        <v/>
      </c>
      <c r="QZ5" s="5" t="str">
        <f>IF('Eval-Avant action écologique'!$T$107=0,"",IF('Eval-Avant action écologique'!$T$107="","",IF('Eval-Avant action écologique'!H773&lt;&gt;"",'Eval-Avant action écologique'!H773,"")))</f>
        <v/>
      </c>
      <c r="RA5" s="5" t="str">
        <f>IF('Eval-Avant action écologique'!$T$107=0,"",IF('Eval-Avant action écologique'!$T$107="","",IF('Eval-Avant action écologique'!I773&lt;&gt;"",'Eval-Avant action écologique'!I773,"")))</f>
        <v/>
      </c>
      <c r="RB5" s="5" t="str">
        <f>IF('Eval-Avant action écologique'!$T$107=0,"",IF('Eval-Avant action écologique'!$T$107="","",IF('Eval-Avant action écologique'!J773&lt;&gt;"",'Eval-Avant action écologique'!J773,"")))</f>
        <v/>
      </c>
      <c r="RC5" s="5" t="str">
        <f>IF('Eval-Avant action écologique'!$T$107=0,"",IF('Eval-Avant action écologique'!$T$107="","",IF('Eval-Avant action écologique'!K773&lt;&gt;"",'Eval-Avant action écologique'!K773,"")))</f>
        <v/>
      </c>
      <c r="RD5" s="5" t="str">
        <f>IF('Eval-Avant action écologique'!$T$107=0,"",IF('Eval-Avant action écologique'!$T$107="","",IF('Eval-Avant action écologique'!L773&lt;&gt;"",'Eval-Avant action écologique'!L773,"")))</f>
        <v/>
      </c>
      <c r="RE5" s="5" t="str">
        <f>IF('Eval-Avant action écologique'!$T$107=0,"",IF('Eval-Avant action écologique'!$T$107="","",IF('Eval-Avant action écologique'!M773&lt;&gt;"",'Eval-Avant action écologique'!M773,"")))</f>
        <v/>
      </c>
      <c r="RF5" s="5" t="str">
        <f>IF('Eval-Avant action écologique'!$T$107=0,"",IF('Eval-Avant action écologique'!$T$107="","",IF('Eval-Avant action écologique'!N773&lt;&gt;"",'Eval-Avant action écologique'!N773,"")))</f>
        <v/>
      </c>
      <c r="RG5" s="5" t="str">
        <f>IF('Eval-Avant action écologique'!$T$107=0,"",IF('Eval-Avant action écologique'!$T$107="","",IF('Eval-Avant action écologique'!O773&lt;&gt;"",'Eval-Avant action écologique'!O773,"")))</f>
        <v/>
      </c>
      <c r="RH5" s="5" t="str">
        <f>IF('Eval-Avant action écologique'!$T$107=0,"",IF('Eval-Avant action écologique'!$T$107="","",IF('Eval-Avant action écologique'!P773&lt;&gt;"",'Eval-Avant action écologique'!P773,"")))</f>
        <v/>
      </c>
      <c r="RI5" s="5" t="str">
        <f>IF('Eval-Avant action écologique'!$T$107=0,"",IF('Eval-Avant action écologique'!$T$107="","",IF('Eval-Avant action écologique'!Q773&lt;&gt;"",'Eval-Avant action écologique'!Q773,"")))</f>
        <v/>
      </c>
      <c r="RJ5" s="5" t="str">
        <f>IF('Eval-Avant action écologique'!$T$107=0,"",IF('Eval-Avant action écologique'!$T$107="","",IF('Eval-Avant action écologique'!R773&lt;&gt;"",'Eval-Avant action écologique'!R773,"")))</f>
        <v/>
      </c>
      <c r="RK5" s="5" t="str">
        <f>IF('Eval-Avant action écologique'!$T$107=0,"",IF('Eval-Avant action écologique'!$T$107="","",IF('Eval-Avant action écologique'!S773&lt;&gt;"",'Eval-Avant action écologique'!S773,"")))</f>
        <v/>
      </c>
      <c r="RL5" s="5" t="str">
        <f>IF('Eval-Avant action écologique'!$T$107=0,"",IF('Eval-Avant action écologique'!$T$107="","",IF('Eval-Avant action écologique'!T773&lt;&gt;"",'Eval-Avant action écologique'!T773,"")))</f>
        <v/>
      </c>
      <c r="RM5" s="5" t="str">
        <f>IF('Eval-Avant action écologique'!$T$107=0,"",IF('Eval-Avant action écologique'!$T$107="","",IF('Eval-Avant action écologique'!U773&lt;&gt;"",'Eval-Avant action écologique'!U773,"")))</f>
        <v/>
      </c>
      <c r="RN5" s="5" t="str">
        <f>IF('Eval-Avant action écologique'!$T$107=0,"",IF('Eval-Avant action écologique'!$T$107="","",IF('Eval-Avant action écologique'!V773&lt;&gt;"",'Eval-Avant action écologique'!V773,"")))</f>
        <v/>
      </c>
      <c r="RO5" s="5" t="str">
        <f>IF('Eval-Avant action écologique'!$T$107=0,"",IF('Eval-Avant action écologique'!$T$107="","",IF('Eval-Avant action écologique'!W773&lt;&gt;"",'Eval-Avant action écologique'!W773,"")))</f>
        <v/>
      </c>
      <c r="RP5" s="5" t="str">
        <f>IF('Eval-Avant action écologique'!$T$107=0,"",IF('Eval-Avant action écologique'!$T$107="","",IF('Eval-Avant action écologique'!X773&lt;&gt;"",'Eval-Avant action écologique'!X773,"")))</f>
        <v/>
      </c>
      <c r="RQ5" s="5" t="str">
        <f>IF('Eval-Avant action écologique'!$T$107=0,"",IF('Eval-Avant action écologique'!$T$107="","",IF('Eval-Avant action écologique'!Y773&lt;&gt;"",'Eval-Avant action écologique'!Y773,"")))</f>
        <v/>
      </c>
      <c r="RR5" s="5" t="str">
        <f>IF('Eval-Avant action écologique'!$T$107=0,"",IF('Eval-Avant action écologique'!$T$107="","",IF('Eval-Avant action écologique'!A774&lt;&gt;"",'Eval-Avant action écologique'!A774,"")))</f>
        <v/>
      </c>
      <c r="RS5" s="5" t="str">
        <f>IF('Eval-Avant action écologique'!$T$107=0,"",IF('Eval-Avant action écologique'!$T$107="","",IF('Eval-Avant action écologique'!B774&lt;&gt;"",'Eval-Avant action écologique'!B774,"")))</f>
        <v/>
      </c>
      <c r="RT5" s="5" t="str">
        <f>IF('Eval-Avant action écologique'!$T$107=0,"",IF('Eval-Avant action écologique'!$T$107="","",IF('Eval-Avant action écologique'!C774&lt;&gt;"",'Eval-Avant action écologique'!C774,"")))</f>
        <v/>
      </c>
      <c r="RU5" s="5" t="str">
        <f>IF('Eval-Avant action écologique'!$T$107=0,"",IF('Eval-Avant action écologique'!$T$107="","",IF('Eval-Avant action écologique'!E774&lt;&gt;"",'Eval-Avant action écologique'!E774,"")))</f>
        <v/>
      </c>
      <c r="RV5" s="5" t="str">
        <f>IF('Eval-Avant action écologique'!$T$107=0,"",IF('Eval-Avant action écologique'!$T$107="","",IF('Eval-Avant action écologique'!G774&lt;&gt;"",'Eval-Avant action écologique'!G774,"")))</f>
        <v/>
      </c>
      <c r="RW5" s="5" t="str">
        <f>IF('Eval-Avant action écologique'!$T$107=0,"",IF('Eval-Avant action écologique'!$T$107="","",IF('Eval-Avant action écologique'!H774&lt;&gt;"",'Eval-Avant action écologique'!H774,"")))</f>
        <v/>
      </c>
      <c r="RX5" s="5" t="str">
        <f>IF('Eval-Avant action écologique'!$T$107=0,"",IF('Eval-Avant action écologique'!$T$107="","",IF('Eval-Avant action écologique'!I774&lt;&gt;"",'Eval-Avant action écologique'!I774,"")))</f>
        <v/>
      </c>
      <c r="RY5" s="5" t="str">
        <f>IF('Eval-Avant action écologique'!$T$107=0,"",IF('Eval-Avant action écologique'!$T$107="","",IF('Eval-Avant action écologique'!J774&lt;&gt;"",'Eval-Avant action écologique'!J774,"")))</f>
        <v/>
      </c>
      <c r="RZ5" s="5" t="str">
        <f>IF('Eval-Avant action écologique'!$T$107=0,"",IF('Eval-Avant action écologique'!$T$107="","",IF('Eval-Avant action écologique'!K774&lt;&gt;"",'Eval-Avant action écologique'!K774,"")))</f>
        <v/>
      </c>
      <c r="SA5" s="5" t="str">
        <f>IF('Eval-Avant action écologique'!$T$107=0,"",IF('Eval-Avant action écologique'!$T$107="","",IF('Eval-Avant action écologique'!L774&lt;&gt;"",'Eval-Avant action écologique'!L774,"")))</f>
        <v/>
      </c>
      <c r="SB5" s="5" t="str">
        <f>IF('Eval-Avant action écologique'!$T$107=0,"",IF('Eval-Avant action écologique'!$T$107="","",IF('Eval-Avant action écologique'!M774&lt;&gt;"",'Eval-Avant action écologique'!M774,"")))</f>
        <v/>
      </c>
      <c r="SC5" s="5" t="str">
        <f>IF('Eval-Avant action écologique'!$T$107=0,"",IF('Eval-Avant action écologique'!$T$107="","",IF('Eval-Avant action écologique'!N774&lt;&gt;"",'Eval-Avant action écologique'!N774,"")))</f>
        <v/>
      </c>
      <c r="SD5" s="5" t="str">
        <f>IF('Eval-Avant action écologique'!$T$107=0,"",IF('Eval-Avant action écologique'!$T$107="","",IF('Eval-Avant action écologique'!O774&lt;&gt;"",'Eval-Avant action écologique'!O774,"")))</f>
        <v/>
      </c>
      <c r="SE5" s="5" t="str">
        <f>IF('Eval-Avant action écologique'!$T$107=0,"",IF('Eval-Avant action écologique'!$T$107="","",IF('Eval-Avant action écologique'!P774&lt;&gt;"",'Eval-Avant action écologique'!P774,"")))</f>
        <v/>
      </c>
      <c r="SF5" s="5" t="str">
        <f>IF('Eval-Avant action écologique'!$T$107=0,"",IF('Eval-Avant action écologique'!$T$107="","",IF('Eval-Avant action écologique'!Q774&lt;&gt;"",'Eval-Avant action écologique'!Q774,"")))</f>
        <v/>
      </c>
      <c r="SG5" s="5" t="str">
        <f>IF('Eval-Avant action écologique'!$T$107=0,"",IF('Eval-Avant action écologique'!$T$107="","",IF('Eval-Avant action écologique'!R774&lt;&gt;"",'Eval-Avant action écologique'!R774,"")))</f>
        <v/>
      </c>
      <c r="SH5" s="5" t="str">
        <f>IF('Eval-Avant action écologique'!$T$107=0,"",IF('Eval-Avant action écologique'!$T$107="","",IF('Eval-Avant action écologique'!S774&lt;&gt;"",'Eval-Avant action écologique'!S774,"")))</f>
        <v/>
      </c>
      <c r="SI5" s="5" t="str">
        <f>IF('Eval-Avant action écologique'!$T$107=0,"",IF('Eval-Avant action écologique'!$T$107="","",IF('Eval-Avant action écologique'!T774&lt;&gt;"",'Eval-Avant action écologique'!T774,"")))</f>
        <v/>
      </c>
      <c r="SJ5" s="5" t="str">
        <f>IF('Eval-Avant action écologique'!$T$107=0,"",IF('Eval-Avant action écologique'!$T$107="","",IF('Eval-Avant action écologique'!U774&lt;&gt;"",'Eval-Avant action écologique'!U774,"")))</f>
        <v/>
      </c>
      <c r="SK5" s="5" t="str">
        <f>IF('Eval-Avant action écologique'!$T$107=0,"",IF('Eval-Avant action écologique'!$T$107="","",IF('Eval-Avant action écologique'!V774&lt;&gt;"",'Eval-Avant action écologique'!V774,"")))</f>
        <v/>
      </c>
      <c r="SL5" s="5" t="str">
        <f>IF('Eval-Avant action écologique'!$T$107=0,"",IF('Eval-Avant action écologique'!$T$107="","",IF('Eval-Avant action écologique'!W774&lt;&gt;"",'Eval-Avant action écologique'!W774,"")))</f>
        <v/>
      </c>
      <c r="SM5" s="5" t="str">
        <f>IF('Eval-Avant action écologique'!$T$107=0,"",IF('Eval-Avant action écologique'!$T$107="","",IF('Eval-Avant action écologique'!X774&lt;&gt;"",'Eval-Avant action écologique'!X774,"")))</f>
        <v/>
      </c>
      <c r="SN5" s="5" t="str">
        <f>IF('Eval-Avant action écologique'!$T$107=0,"",IF('Eval-Avant action écologique'!$T$107="","",IF('Eval-Avant action écologique'!Y774&lt;&gt;"",'Eval-Avant action écologique'!Y774,"")))</f>
        <v/>
      </c>
      <c r="SO5" s="5" t="str">
        <f>IF('Eval-Avant action écologique'!$T$107=0,"",IF('Eval-Avant action écologique'!$T$107="","",IF('Eval-Avant action écologique'!A775&lt;&gt;"",'Eval-Avant action écologique'!A775,"")))</f>
        <v/>
      </c>
      <c r="SP5" s="5" t="str">
        <f>IF('Eval-Avant action écologique'!$T$107=0,"",IF('Eval-Avant action écologique'!$T$107="","",IF('Eval-Avant action écologique'!B775&lt;&gt;"",'Eval-Avant action écologique'!B775,"")))</f>
        <v/>
      </c>
      <c r="SQ5" s="5" t="str">
        <f>IF('Eval-Avant action écologique'!$T$107=0,"",IF('Eval-Avant action écologique'!$T$107="","",IF('Eval-Avant action écologique'!C775&lt;&gt;"",'Eval-Avant action écologique'!C775,"")))</f>
        <v/>
      </c>
      <c r="SR5" s="5" t="str">
        <f>IF('Eval-Avant action écologique'!$T$107=0,"",IF('Eval-Avant action écologique'!$T$107="","",IF('Eval-Avant action écologique'!E775&lt;&gt;"",'Eval-Avant action écologique'!E775,"")))</f>
        <v/>
      </c>
      <c r="SS5" s="5" t="str">
        <f>IF('Eval-Avant action écologique'!$T$107=0,"",IF('Eval-Avant action écologique'!$T$107="","",IF('Eval-Avant action écologique'!G775&lt;&gt;"",'Eval-Avant action écologique'!G775,"")))</f>
        <v/>
      </c>
      <c r="ST5" s="5" t="str">
        <f>IF('Eval-Avant action écologique'!$T$107=0,"",IF('Eval-Avant action écologique'!$T$107="","",IF('Eval-Avant action écologique'!H775&lt;&gt;"",'Eval-Avant action écologique'!H775,"")))</f>
        <v/>
      </c>
      <c r="SU5" s="5" t="str">
        <f>IF('Eval-Avant action écologique'!$T$107=0,"",IF('Eval-Avant action écologique'!$T$107="","",IF('Eval-Avant action écologique'!I775&lt;&gt;"",'Eval-Avant action écologique'!I775,"")))</f>
        <v/>
      </c>
      <c r="SV5" s="5" t="str">
        <f>IF('Eval-Avant action écologique'!$T$107=0,"",IF('Eval-Avant action écologique'!$T$107="","",IF('Eval-Avant action écologique'!J775&lt;&gt;"",'Eval-Avant action écologique'!J775,"")))</f>
        <v/>
      </c>
      <c r="SW5" s="5" t="str">
        <f>IF('Eval-Avant action écologique'!$T$107=0,"",IF('Eval-Avant action écologique'!$T$107="","",IF('Eval-Avant action écologique'!K775&lt;&gt;"",'Eval-Avant action écologique'!K775,"")))</f>
        <v/>
      </c>
      <c r="SX5" s="5" t="str">
        <f>IF('Eval-Avant action écologique'!$T$107=0,"",IF('Eval-Avant action écologique'!$T$107="","",IF('Eval-Avant action écologique'!L775&lt;&gt;"",'Eval-Avant action écologique'!L775,"")))</f>
        <v/>
      </c>
      <c r="SY5" s="5" t="str">
        <f>IF('Eval-Avant action écologique'!$T$107=0,"",IF('Eval-Avant action écologique'!$T$107="","",IF('Eval-Avant action écologique'!M775&lt;&gt;"",'Eval-Avant action écologique'!M775,"")))</f>
        <v/>
      </c>
      <c r="SZ5" s="5" t="str">
        <f>IF('Eval-Avant action écologique'!$T$107=0,"",IF('Eval-Avant action écologique'!$T$107="","",IF('Eval-Avant action écologique'!N775&lt;&gt;"",'Eval-Avant action écologique'!N775,"")))</f>
        <v/>
      </c>
      <c r="TA5" s="5" t="str">
        <f>IF('Eval-Avant action écologique'!$T$107=0,"",IF('Eval-Avant action écologique'!$T$107="","",IF('Eval-Avant action écologique'!O775&lt;&gt;"",'Eval-Avant action écologique'!O775,"")))</f>
        <v/>
      </c>
      <c r="TB5" s="5" t="str">
        <f>IF('Eval-Avant action écologique'!$T$107=0,"",IF('Eval-Avant action écologique'!$T$107="","",IF('Eval-Avant action écologique'!P775&lt;&gt;"",'Eval-Avant action écologique'!P775,"")))</f>
        <v/>
      </c>
      <c r="TC5" s="5" t="str">
        <f>IF('Eval-Avant action écologique'!$T$107=0,"",IF('Eval-Avant action écologique'!$T$107="","",IF('Eval-Avant action écologique'!Q775&lt;&gt;"",'Eval-Avant action écologique'!Q775,"")))</f>
        <v/>
      </c>
      <c r="TD5" s="5" t="str">
        <f>IF('Eval-Avant action écologique'!$T$107=0,"",IF('Eval-Avant action écologique'!$T$107="","",IF('Eval-Avant action écologique'!R775&lt;&gt;"",'Eval-Avant action écologique'!R775,"")))</f>
        <v/>
      </c>
      <c r="TE5" s="5" t="str">
        <f>IF('Eval-Avant action écologique'!$T$107=0,"",IF('Eval-Avant action écologique'!$T$107="","",IF('Eval-Avant action écologique'!S775&lt;&gt;"",'Eval-Avant action écologique'!S775,"")))</f>
        <v/>
      </c>
      <c r="TF5" s="5" t="str">
        <f>IF('Eval-Avant action écologique'!$T$107=0,"",IF('Eval-Avant action écologique'!$T$107="","",IF('Eval-Avant action écologique'!T775&lt;&gt;"",'Eval-Avant action écologique'!T775,"")))</f>
        <v/>
      </c>
      <c r="TG5" s="5" t="str">
        <f>IF('Eval-Avant action écologique'!$T$107=0,"",IF('Eval-Avant action écologique'!$T$107="","",IF('Eval-Avant action écologique'!U775&lt;&gt;"",'Eval-Avant action écologique'!U775,"")))</f>
        <v/>
      </c>
      <c r="TH5" s="5" t="str">
        <f>IF('Eval-Avant action écologique'!$T$107=0,"",IF('Eval-Avant action écologique'!$T$107="","",IF('Eval-Avant action écologique'!V775&lt;&gt;"",'Eval-Avant action écologique'!V775,"")))</f>
        <v/>
      </c>
      <c r="TI5" s="5" t="str">
        <f>IF('Eval-Avant action écologique'!$T$107=0,"",IF('Eval-Avant action écologique'!$T$107="","",IF('Eval-Avant action écologique'!W775&lt;&gt;"",'Eval-Avant action écologique'!W775,"")))</f>
        <v/>
      </c>
      <c r="TJ5" s="5" t="str">
        <f>IF('Eval-Avant action écologique'!$T$107=0,"",IF('Eval-Avant action écologique'!$T$107="","",IF('Eval-Avant action écologique'!X775&lt;&gt;"",'Eval-Avant action écologique'!X775,"")))</f>
        <v/>
      </c>
      <c r="TK5" s="5" t="str">
        <f>IF('Eval-Avant action écologique'!$T$107=0,"",IF('Eval-Avant action écologique'!$T$107="","",IF('Eval-Avant action écologique'!Y775&lt;&gt;"",'Eval-Avant action écologique'!Y775,"")))</f>
        <v/>
      </c>
      <c r="TL5" s="5" t="str">
        <f>IF('Eval-Avant action écologique'!$T$107=0,"",IF('Eval-Avant action écologique'!$T$107="","",IF('Eval-Avant action écologique'!A776&lt;&gt;"",'Eval-Avant action écologique'!A776,"")))</f>
        <v/>
      </c>
      <c r="TM5" s="5" t="str">
        <f>IF('Eval-Avant action écologique'!$T$107=0,"",IF('Eval-Avant action écologique'!$T$107="","",IF('Eval-Avant action écologique'!B776&lt;&gt;"",'Eval-Avant action écologique'!B776,"")))</f>
        <v/>
      </c>
      <c r="TN5" s="5" t="str">
        <f>IF('Eval-Avant action écologique'!$T$107=0,"",IF('Eval-Avant action écologique'!$T$107="","",IF('Eval-Avant action écologique'!C776&lt;&gt;"",'Eval-Avant action écologique'!C776,"")))</f>
        <v/>
      </c>
      <c r="TO5" s="5" t="str">
        <f>IF('Eval-Avant action écologique'!$T$107=0,"",IF('Eval-Avant action écologique'!$T$107="","",IF('Eval-Avant action écologique'!E776&lt;&gt;"",'Eval-Avant action écologique'!E776,"")))</f>
        <v/>
      </c>
      <c r="TP5" s="5" t="str">
        <f>IF('Eval-Avant action écologique'!$T$107=0,"",IF('Eval-Avant action écologique'!$T$107="","",IF('Eval-Avant action écologique'!G776&lt;&gt;"",'Eval-Avant action écologique'!G776,"")))</f>
        <v/>
      </c>
      <c r="TQ5" s="5" t="str">
        <f>IF('Eval-Avant action écologique'!$T$107=0,"",IF('Eval-Avant action écologique'!$T$107="","",IF('Eval-Avant action écologique'!H776&lt;&gt;"",'Eval-Avant action écologique'!H776,"")))</f>
        <v/>
      </c>
      <c r="TR5" s="5" t="str">
        <f>IF('Eval-Avant action écologique'!$T$107=0,"",IF('Eval-Avant action écologique'!$T$107="","",IF('Eval-Avant action écologique'!I776&lt;&gt;"",'Eval-Avant action écologique'!I776,"")))</f>
        <v/>
      </c>
      <c r="TS5" s="5" t="str">
        <f>IF('Eval-Avant action écologique'!$T$107=0,"",IF('Eval-Avant action écologique'!$T$107="","",IF('Eval-Avant action écologique'!J776&lt;&gt;"",'Eval-Avant action écologique'!J776,"")))</f>
        <v/>
      </c>
      <c r="TT5" s="5" t="str">
        <f>IF('Eval-Avant action écologique'!$T$107=0,"",IF('Eval-Avant action écologique'!$T$107="","",IF('Eval-Avant action écologique'!K776&lt;&gt;"",'Eval-Avant action écologique'!K776,"")))</f>
        <v/>
      </c>
      <c r="TU5" s="5" t="str">
        <f>IF('Eval-Avant action écologique'!$T$107=0,"",IF('Eval-Avant action écologique'!$T$107="","",IF('Eval-Avant action écologique'!L776&lt;&gt;"",'Eval-Avant action écologique'!L776,"")))</f>
        <v/>
      </c>
      <c r="TV5" s="5" t="str">
        <f>IF('Eval-Avant action écologique'!$T$107=0,"",IF('Eval-Avant action écologique'!$T$107="","",IF('Eval-Avant action écologique'!M776&lt;&gt;"",'Eval-Avant action écologique'!M776,"")))</f>
        <v/>
      </c>
      <c r="TW5" s="5" t="str">
        <f>IF('Eval-Avant action écologique'!$T$107=0,"",IF('Eval-Avant action écologique'!$T$107="","",IF('Eval-Avant action écologique'!N776&lt;&gt;"",'Eval-Avant action écologique'!N776,"")))</f>
        <v/>
      </c>
      <c r="TX5" s="5" t="str">
        <f>IF('Eval-Avant action écologique'!$T$107=0,"",IF('Eval-Avant action écologique'!$T$107="","",IF('Eval-Avant action écologique'!O776&lt;&gt;"",'Eval-Avant action écologique'!O776,"")))</f>
        <v/>
      </c>
      <c r="TY5" s="5" t="str">
        <f>IF('Eval-Avant action écologique'!$T$107=0,"",IF('Eval-Avant action écologique'!$T$107="","",IF('Eval-Avant action écologique'!P776&lt;&gt;"",'Eval-Avant action écologique'!P776,"")))</f>
        <v/>
      </c>
      <c r="TZ5" s="5" t="str">
        <f>IF('Eval-Avant action écologique'!$T$107=0,"",IF('Eval-Avant action écologique'!$T$107="","",IF('Eval-Avant action écologique'!Q776&lt;&gt;"",'Eval-Avant action écologique'!Q776,"")))</f>
        <v/>
      </c>
      <c r="UA5" s="5" t="str">
        <f>IF('Eval-Avant action écologique'!$T$107=0,"",IF('Eval-Avant action écologique'!$T$107="","",IF('Eval-Avant action écologique'!R776&lt;&gt;"",'Eval-Avant action écologique'!R776,"")))</f>
        <v/>
      </c>
      <c r="UB5" s="5" t="str">
        <f>IF('Eval-Avant action écologique'!$T$107=0,"",IF('Eval-Avant action écologique'!$T$107="","",IF('Eval-Avant action écologique'!S776&lt;&gt;"",'Eval-Avant action écologique'!S776,"")))</f>
        <v/>
      </c>
      <c r="UC5" s="5" t="str">
        <f>IF('Eval-Avant action écologique'!$T$107=0,"",IF('Eval-Avant action écologique'!$T$107="","",IF('Eval-Avant action écologique'!T776&lt;&gt;"",'Eval-Avant action écologique'!T776,"")))</f>
        <v/>
      </c>
      <c r="UD5" s="5" t="str">
        <f>IF('Eval-Avant action écologique'!$T$107=0,"",IF('Eval-Avant action écologique'!$T$107="","",IF('Eval-Avant action écologique'!U776&lt;&gt;"",'Eval-Avant action écologique'!U776,"")))</f>
        <v/>
      </c>
      <c r="UE5" s="5" t="str">
        <f>IF('Eval-Avant action écologique'!$T$107=0,"",IF('Eval-Avant action écologique'!$T$107="","",IF('Eval-Avant action écologique'!V776&lt;&gt;"",'Eval-Avant action écologique'!V776,"")))</f>
        <v/>
      </c>
      <c r="UF5" s="5" t="str">
        <f>IF('Eval-Avant action écologique'!$T$107=0,"",IF('Eval-Avant action écologique'!$T$107="","",IF('Eval-Avant action écologique'!W776&lt;&gt;"",'Eval-Avant action écologique'!W776,"")))</f>
        <v/>
      </c>
      <c r="UG5" s="5" t="str">
        <f>IF('Eval-Avant action écologique'!$T$107=0,"",IF('Eval-Avant action écologique'!$T$107="","",IF('Eval-Avant action écologique'!X776&lt;&gt;"",'Eval-Avant action écologique'!X776,"")))</f>
        <v/>
      </c>
      <c r="UH5" s="5" t="str">
        <f>IF('Eval-Avant action écologique'!$T$107=0,"",IF('Eval-Avant action écologique'!$T$107="","",IF('Eval-Avant action écologique'!Y776&lt;&gt;"",'Eval-Avant action écologique'!Y776,"")))</f>
        <v/>
      </c>
      <c r="UI5" s="5" t="str">
        <f>IF('Eval-Avant action écologique'!$T$107=0,"",IF('Eval-Avant action écologique'!$T$107="","",IF('Eval-Avant action écologique'!A777&lt;&gt;"",'Eval-Avant action écologique'!A777,"")))</f>
        <v/>
      </c>
      <c r="UJ5" s="5" t="str">
        <f>IF('Eval-Avant action écologique'!$T$107=0,"",IF('Eval-Avant action écologique'!$T$107="","",IF('Eval-Avant action écologique'!B777&lt;&gt;"",'Eval-Avant action écologique'!B777,"")))</f>
        <v/>
      </c>
      <c r="UK5" s="5" t="str">
        <f>IF('Eval-Avant action écologique'!$T$107=0,"",IF('Eval-Avant action écologique'!$T$107="","",IF('Eval-Avant action écologique'!C777&lt;&gt;"",'Eval-Avant action écologique'!C777,"")))</f>
        <v/>
      </c>
      <c r="UL5" s="5" t="str">
        <f>IF('Eval-Avant action écologique'!$T$107=0,"",IF('Eval-Avant action écologique'!$T$107="","",IF('Eval-Avant action écologique'!E777&lt;&gt;"",'Eval-Avant action écologique'!E777,"")))</f>
        <v/>
      </c>
      <c r="UM5" s="5" t="str">
        <f>IF('Eval-Avant action écologique'!$T$107=0,"",IF('Eval-Avant action écologique'!$T$107="","",IF('Eval-Avant action écologique'!G777&lt;&gt;"",'Eval-Avant action écologique'!G777,"")))</f>
        <v/>
      </c>
      <c r="UN5" s="5" t="str">
        <f>IF('Eval-Avant action écologique'!$T$107=0,"",IF('Eval-Avant action écologique'!$T$107="","",IF('Eval-Avant action écologique'!H777&lt;&gt;"",'Eval-Avant action écologique'!H777,"")))</f>
        <v/>
      </c>
      <c r="UO5" s="5" t="str">
        <f>IF('Eval-Avant action écologique'!$T$107=0,"",IF('Eval-Avant action écologique'!$T$107="","",IF('Eval-Avant action écologique'!I777&lt;&gt;"",'Eval-Avant action écologique'!I777,"")))</f>
        <v/>
      </c>
      <c r="UP5" s="5" t="str">
        <f>IF('Eval-Avant action écologique'!$T$107=0,"",IF('Eval-Avant action écologique'!$T$107="","",IF('Eval-Avant action écologique'!J777&lt;&gt;"",'Eval-Avant action écologique'!J777,"")))</f>
        <v/>
      </c>
      <c r="UQ5" s="5" t="str">
        <f>IF('Eval-Avant action écologique'!$T$107=0,"",IF('Eval-Avant action écologique'!$T$107="","",IF('Eval-Avant action écologique'!K777&lt;&gt;"",'Eval-Avant action écologique'!K777,"")))</f>
        <v/>
      </c>
      <c r="UR5" s="5" t="str">
        <f>IF('Eval-Avant action écologique'!$T$107=0,"",IF('Eval-Avant action écologique'!$T$107="","",IF('Eval-Avant action écologique'!L777&lt;&gt;"",'Eval-Avant action écologique'!L777,"")))</f>
        <v/>
      </c>
      <c r="US5" s="5" t="str">
        <f>IF('Eval-Avant action écologique'!$T$107=0,"",IF('Eval-Avant action écologique'!$T$107="","",IF('Eval-Avant action écologique'!M777&lt;&gt;"",'Eval-Avant action écologique'!M777,"")))</f>
        <v/>
      </c>
      <c r="UT5" s="5" t="str">
        <f>IF('Eval-Avant action écologique'!$T$107=0,"",IF('Eval-Avant action écologique'!$T$107="","",IF('Eval-Avant action écologique'!N777&lt;&gt;"",'Eval-Avant action écologique'!N777,"")))</f>
        <v/>
      </c>
      <c r="UU5" s="5" t="str">
        <f>IF('Eval-Avant action écologique'!$T$107=0,"",IF('Eval-Avant action écologique'!$T$107="","",IF('Eval-Avant action écologique'!O777&lt;&gt;"",'Eval-Avant action écologique'!O777,"")))</f>
        <v/>
      </c>
      <c r="UV5" s="5" t="str">
        <f>IF('Eval-Avant action écologique'!$T$107=0,"",IF('Eval-Avant action écologique'!$T$107="","",IF('Eval-Avant action écologique'!P777&lt;&gt;"",'Eval-Avant action écologique'!P777,"")))</f>
        <v/>
      </c>
      <c r="UW5" s="5" t="str">
        <f>IF('Eval-Avant action écologique'!$T$107=0,"",IF('Eval-Avant action écologique'!$T$107="","",IF('Eval-Avant action écologique'!Q777&lt;&gt;"",'Eval-Avant action écologique'!Q777,"")))</f>
        <v/>
      </c>
      <c r="UX5" s="5" t="str">
        <f>IF('Eval-Avant action écologique'!$T$107=0,"",IF('Eval-Avant action écologique'!$T$107="","",IF('Eval-Avant action écologique'!R777&lt;&gt;"",'Eval-Avant action écologique'!R777,"")))</f>
        <v/>
      </c>
      <c r="UY5" s="5" t="str">
        <f>IF('Eval-Avant action écologique'!$T$107=0,"",IF('Eval-Avant action écologique'!$T$107="","",IF('Eval-Avant action écologique'!S777&lt;&gt;"",'Eval-Avant action écologique'!S777,"")))</f>
        <v/>
      </c>
      <c r="UZ5" s="5" t="str">
        <f>IF('Eval-Avant action écologique'!$T$107=0,"",IF('Eval-Avant action écologique'!$T$107="","",IF('Eval-Avant action écologique'!T777&lt;&gt;"",'Eval-Avant action écologique'!T777,"")))</f>
        <v/>
      </c>
      <c r="VA5" s="5" t="str">
        <f>IF('Eval-Avant action écologique'!$T$107=0,"",IF('Eval-Avant action écologique'!$T$107="","",IF('Eval-Avant action écologique'!U777&lt;&gt;"",'Eval-Avant action écologique'!U777,"")))</f>
        <v/>
      </c>
      <c r="VB5" s="5" t="str">
        <f>IF('Eval-Avant action écologique'!$T$107=0,"",IF('Eval-Avant action écologique'!$T$107="","",IF('Eval-Avant action écologique'!V777&lt;&gt;"",'Eval-Avant action écologique'!V777,"")))</f>
        <v/>
      </c>
      <c r="VC5" s="5" t="str">
        <f>IF('Eval-Avant action écologique'!$T$107=0,"",IF('Eval-Avant action écologique'!$T$107="","",IF('Eval-Avant action écologique'!W777&lt;&gt;"",'Eval-Avant action écologique'!W777,"")))</f>
        <v/>
      </c>
      <c r="VD5" s="5" t="str">
        <f>IF('Eval-Avant action écologique'!$T$107=0,"",IF('Eval-Avant action écologique'!$T$107="","",IF('Eval-Avant action écologique'!X777&lt;&gt;"",'Eval-Avant action écologique'!X777,"")))</f>
        <v/>
      </c>
      <c r="VE5" s="5" t="str">
        <f>IF('Eval-Avant action écologique'!$T$107=0,"",IF('Eval-Avant action écologique'!$T$107="","",IF('Eval-Avant action écologique'!Y777&lt;&gt;"",'Eval-Avant action écologique'!Y777,"")))</f>
        <v/>
      </c>
      <c r="VF5" s="5" t="str">
        <f>IF('Eval-Avant action écologique'!$T$107=0,"",IF('Eval-Avant action écologique'!$T$107="","",IF('Eval-Avant action écologique'!A778&lt;&gt;"",'Eval-Avant action écologique'!A778,"")))</f>
        <v/>
      </c>
      <c r="VG5" s="5" t="str">
        <f>IF('Eval-Avant action écologique'!$T$107=0,"",IF('Eval-Avant action écologique'!$T$107="","",IF('Eval-Avant action écologique'!B778&lt;&gt;"",'Eval-Avant action écologique'!B778,"")))</f>
        <v/>
      </c>
      <c r="VH5" s="5" t="str">
        <f>IF('Eval-Avant action écologique'!$T$107=0,"",IF('Eval-Avant action écologique'!$T$107="","",IF('Eval-Avant action écologique'!C778&lt;&gt;"",'Eval-Avant action écologique'!C778,"")))</f>
        <v/>
      </c>
      <c r="VI5" s="5" t="str">
        <f>IF('Eval-Avant action écologique'!$T$107=0,"",IF('Eval-Avant action écologique'!$T$107="","",IF('Eval-Avant action écologique'!E778&lt;&gt;"",'Eval-Avant action écologique'!E778,"")))</f>
        <v/>
      </c>
      <c r="VJ5" s="5" t="str">
        <f>IF('Eval-Avant action écologique'!$T$107=0,"",IF('Eval-Avant action écologique'!$T$107="","",IF('Eval-Avant action écologique'!G778&lt;&gt;"",'Eval-Avant action écologique'!G778,"")))</f>
        <v/>
      </c>
      <c r="VK5" s="5" t="str">
        <f>IF('Eval-Avant action écologique'!$T$107=0,"",IF('Eval-Avant action écologique'!$T$107="","",IF('Eval-Avant action écologique'!H778&lt;&gt;"",'Eval-Avant action écologique'!H778,"")))</f>
        <v/>
      </c>
      <c r="VL5" s="5" t="str">
        <f>IF('Eval-Avant action écologique'!$T$107=0,"",IF('Eval-Avant action écologique'!$T$107="","",IF('Eval-Avant action écologique'!I778&lt;&gt;"",'Eval-Avant action écologique'!I778,"")))</f>
        <v/>
      </c>
      <c r="VM5" s="5" t="str">
        <f>IF('Eval-Avant action écologique'!$T$107=0,"",IF('Eval-Avant action écologique'!$T$107="","",IF('Eval-Avant action écologique'!J778&lt;&gt;"",'Eval-Avant action écologique'!J778,"")))</f>
        <v/>
      </c>
      <c r="VN5" s="5" t="str">
        <f>IF('Eval-Avant action écologique'!$T$107=0,"",IF('Eval-Avant action écologique'!$T$107="","",IF('Eval-Avant action écologique'!K778&lt;&gt;"",'Eval-Avant action écologique'!K778,"")))</f>
        <v/>
      </c>
      <c r="VO5" s="5" t="str">
        <f>IF('Eval-Avant action écologique'!$T$107=0,"",IF('Eval-Avant action écologique'!$T$107="","",IF('Eval-Avant action écologique'!L778&lt;&gt;"",'Eval-Avant action écologique'!L778,"")))</f>
        <v/>
      </c>
      <c r="VP5" s="5" t="str">
        <f>IF('Eval-Avant action écologique'!$T$107=0,"",IF('Eval-Avant action écologique'!$T$107="","",IF('Eval-Avant action écologique'!M778&lt;&gt;"",'Eval-Avant action écologique'!M778,"")))</f>
        <v/>
      </c>
      <c r="VQ5" s="5" t="str">
        <f>IF('Eval-Avant action écologique'!$T$107=0,"",IF('Eval-Avant action écologique'!$T$107="","",IF('Eval-Avant action écologique'!N778&lt;&gt;"",'Eval-Avant action écologique'!N778,"")))</f>
        <v/>
      </c>
      <c r="VR5" s="5" t="str">
        <f>IF('Eval-Avant action écologique'!$T$107=0,"",IF('Eval-Avant action écologique'!$T$107="","",IF('Eval-Avant action écologique'!O778&lt;&gt;"",'Eval-Avant action écologique'!O778,"")))</f>
        <v/>
      </c>
      <c r="VS5" s="5" t="str">
        <f>IF('Eval-Avant action écologique'!$T$107=0,"",IF('Eval-Avant action écologique'!$T$107="","",IF('Eval-Avant action écologique'!P778&lt;&gt;"",'Eval-Avant action écologique'!P778,"")))</f>
        <v/>
      </c>
      <c r="VT5" s="5" t="str">
        <f>IF('Eval-Avant action écologique'!$T$107=0,"",IF('Eval-Avant action écologique'!$T$107="","",IF('Eval-Avant action écologique'!Q778&lt;&gt;"",'Eval-Avant action écologique'!Q778,"")))</f>
        <v/>
      </c>
      <c r="VU5" s="5" t="str">
        <f>IF('Eval-Avant action écologique'!$T$107=0,"",IF('Eval-Avant action écologique'!$T$107="","",IF('Eval-Avant action écologique'!R778&lt;&gt;"",'Eval-Avant action écologique'!R778,"")))</f>
        <v/>
      </c>
      <c r="VV5" s="5" t="str">
        <f>IF('Eval-Avant action écologique'!$T$107=0,"",IF('Eval-Avant action écologique'!$T$107="","",IF('Eval-Avant action écologique'!S778&lt;&gt;"",'Eval-Avant action écologique'!S778,"")))</f>
        <v/>
      </c>
      <c r="VW5" s="5" t="str">
        <f>IF('Eval-Avant action écologique'!$T$107=0,"",IF('Eval-Avant action écologique'!$T$107="","",IF('Eval-Avant action écologique'!T778&lt;&gt;"",'Eval-Avant action écologique'!T778,"")))</f>
        <v/>
      </c>
      <c r="VX5" s="5" t="str">
        <f>IF('Eval-Avant action écologique'!$T$107=0,"",IF('Eval-Avant action écologique'!$T$107="","",IF('Eval-Avant action écologique'!U778&lt;&gt;"",'Eval-Avant action écologique'!U778,"")))</f>
        <v/>
      </c>
      <c r="VY5" s="5" t="str">
        <f>IF('Eval-Avant action écologique'!$T$107=0,"",IF('Eval-Avant action écologique'!$T$107="","",IF('Eval-Avant action écologique'!V778&lt;&gt;"",'Eval-Avant action écologique'!V778,"")))</f>
        <v/>
      </c>
      <c r="VZ5" s="5" t="str">
        <f>IF('Eval-Avant action écologique'!$T$107=0,"",IF('Eval-Avant action écologique'!$T$107="","",IF('Eval-Avant action écologique'!W778&lt;&gt;"",'Eval-Avant action écologique'!W778,"")))</f>
        <v/>
      </c>
      <c r="WA5" s="5" t="str">
        <f>IF('Eval-Avant action écologique'!$T$107=0,"",IF('Eval-Avant action écologique'!$T$107="","",IF('Eval-Avant action écologique'!X778&lt;&gt;"",'Eval-Avant action écologique'!X778,"")))</f>
        <v/>
      </c>
      <c r="WB5" s="5" t="str">
        <f>IF('Eval-Avant action écologique'!$T$107=0,"",IF('Eval-Avant action écologique'!$T$107="","",IF('Eval-Avant action écologique'!Y778&lt;&gt;"",'Eval-Avant action écologique'!Y778,"")))</f>
        <v/>
      </c>
      <c r="WC5" s="5" t="str">
        <f>IF('Eval-Avant action écologique'!$T$107=0,"",IF('Eval-Avant action écologique'!$T$107="","",IF('Eval-Avant action écologique'!A779&lt;&gt;"",'Eval-Avant action écologique'!A779,"")))</f>
        <v/>
      </c>
      <c r="WD5" s="5" t="str">
        <f>IF('Eval-Avant action écologique'!$T$107=0,"",IF('Eval-Avant action écologique'!$T$107="","",IF('Eval-Avant action écologique'!B779&lt;&gt;"",'Eval-Avant action écologique'!B779,"")))</f>
        <v/>
      </c>
      <c r="WE5" s="5" t="str">
        <f>IF('Eval-Avant action écologique'!$T$107=0,"",IF('Eval-Avant action écologique'!$T$107="","",IF('Eval-Avant action écologique'!C779&lt;&gt;"",'Eval-Avant action écologique'!C779,"")))</f>
        <v/>
      </c>
      <c r="WF5" s="5" t="str">
        <f>IF('Eval-Avant action écologique'!$T$107=0,"",IF('Eval-Avant action écologique'!$T$107="","",IF('Eval-Avant action écologique'!E779&lt;&gt;"",'Eval-Avant action écologique'!E779,"")))</f>
        <v/>
      </c>
      <c r="WG5" s="5" t="str">
        <f>IF('Eval-Avant action écologique'!$T$107=0,"",IF('Eval-Avant action écologique'!$T$107="","",IF('Eval-Avant action écologique'!G779&lt;&gt;"",'Eval-Avant action écologique'!G779,"")))</f>
        <v/>
      </c>
      <c r="WH5" s="5" t="str">
        <f>IF('Eval-Avant action écologique'!$T$107=0,"",IF('Eval-Avant action écologique'!$T$107="","",IF('Eval-Avant action écologique'!H779&lt;&gt;"",'Eval-Avant action écologique'!H779,"")))</f>
        <v/>
      </c>
      <c r="WI5" s="5" t="str">
        <f>IF('Eval-Avant action écologique'!$T$107=0,"",IF('Eval-Avant action écologique'!$T$107="","",IF('Eval-Avant action écologique'!I779&lt;&gt;"",'Eval-Avant action écologique'!I779,"")))</f>
        <v/>
      </c>
      <c r="WJ5" s="5" t="str">
        <f>IF('Eval-Avant action écologique'!$T$107=0,"",IF('Eval-Avant action écologique'!$T$107="","",IF('Eval-Avant action écologique'!J779&lt;&gt;"",'Eval-Avant action écologique'!J779,"")))</f>
        <v/>
      </c>
      <c r="WK5" s="5" t="str">
        <f>IF('Eval-Avant action écologique'!$T$107=0,"",IF('Eval-Avant action écologique'!$T$107="","",IF('Eval-Avant action écologique'!K779&lt;&gt;"",'Eval-Avant action écologique'!K779,"")))</f>
        <v/>
      </c>
      <c r="WL5" s="5" t="str">
        <f>IF('Eval-Avant action écologique'!$T$107=0,"",IF('Eval-Avant action écologique'!$T$107="","",IF('Eval-Avant action écologique'!L779&lt;&gt;"",'Eval-Avant action écologique'!L779,"")))</f>
        <v/>
      </c>
      <c r="WM5" s="5" t="str">
        <f>IF('Eval-Avant action écologique'!$T$107=0,"",IF('Eval-Avant action écologique'!$T$107="","",IF('Eval-Avant action écologique'!M779&lt;&gt;"",'Eval-Avant action écologique'!M779,"")))</f>
        <v/>
      </c>
      <c r="WN5" s="5" t="str">
        <f>IF('Eval-Avant action écologique'!$T$107=0,"",IF('Eval-Avant action écologique'!$T$107="","",IF('Eval-Avant action écologique'!N779&lt;&gt;"",'Eval-Avant action écologique'!N779,"")))</f>
        <v/>
      </c>
      <c r="WO5" s="5" t="str">
        <f>IF('Eval-Avant action écologique'!$T$107=0,"",IF('Eval-Avant action écologique'!$T$107="","",IF('Eval-Avant action écologique'!O779&lt;&gt;"",'Eval-Avant action écologique'!O779,"")))</f>
        <v/>
      </c>
      <c r="WP5" s="5" t="str">
        <f>IF('Eval-Avant action écologique'!$T$107=0,"",IF('Eval-Avant action écologique'!$T$107="","",IF('Eval-Avant action écologique'!P779&lt;&gt;"",'Eval-Avant action écologique'!P779,"")))</f>
        <v/>
      </c>
      <c r="WQ5" s="5" t="str">
        <f>IF('Eval-Avant action écologique'!$T$107=0,"",IF('Eval-Avant action écologique'!$T$107="","",IF('Eval-Avant action écologique'!Q779&lt;&gt;"",'Eval-Avant action écologique'!Q779,"")))</f>
        <v/>
      </c>
      <c r="WR5" s="5" t="str">
        <f>IF('Eval-Avant action écologique'!$T$107=0,"",IF('Eval-Avant action écologique'!$T$107="","",IF('Eval-Avant action écologique'!R779&lt;&gt;"",'Eval-Avant action écologique'!R779,"")))</f>
        <v/>
      </c>
      <c r="WS5" s="5" t="str">
        <f>IF('Eval-Avant action écologique'!$T$107=0,"",IF('Eval-Avant action écologique'!$T$107="","",IF('Eval-Avant action écologique'!S779&lt;&gt;"",'Eval-Avant action écologique'!S779,"")))</f>
        <v/>
      </c>
      <c r="WT5" s="5" t="str">
        <f>IF('Eval-Avant action écologique'!$T$107=0,"",IF('Eval-Avant action écologique'!$T$107="","",IF('Eval-Avant action écologique'!T779&lt;&gt;"",'Eval-Avant action écologique'!T779,"")))</f>
        <v/>
      </c>
      <c r="WU5" s="5" t="str">
        <f>IF('Eval-Avant action écologique'!$T$107=0,"",IF('Eval-Avant action écologique'!$T$107="","",IF('Eval-Avant action écologique'!U779&lt;&gt;"",'Eval-Avant action écologique'!U779,"")))</f>
        <v/>
      </c>
      <c r="WV5" s="5" t="str">
        <f>IF('Eval-Avant action écologique'!$T$107=0,"",IF('Eval-Avant action écologique'!$T$107="","",IF('Eval-Avant action écologique'!V779&lt;&gt;"",'Eval-Avant action écologique'!V779,"")))</f>
        <v/>
      </c>
      <c r="WW5" s="5" t="str">
        <f>IF('Eval-Avant action écologique'!$T$107=0,"",IF('Eval-Avant action écologique'!$T$107="","",IF('Eval-Avant action écologique'!W779&lt;&gt;"",'Eval-Avant action écologique'!W779,"")))</f>
        <v/>
      </c>
      <c r="WX5" s="5" t="str">
        <f>IF('Eval-Avant action écologique'!$T$107=0,"",IF('Eval-Avant action écologique'!$T$107="","",IF('Eval-Avant action écologique'!X779&lt;&gt;"",'Eval-Avant action écologique'!X779,"")))</f>
        <v/>
      </c>
      <c r="WY5" s="5" t="str">
        <f>IF('Eval-Avant action écologique'!$T$107=0,"",IF('Eval-Avant action écologique'!$T$107="","",IF('Eval-Avant action écologique'!Y779&lt;&gt;"",'Eval-Avant action écologique'!Y779,"")))</f>
        <v/>
      </c>
      <c r="WZ5" s="5" t="str">
        <f>IF('Eval-Avant action écologique'!$T$107=0,"",IF('Eval-Avant action écologique'!$T$107="","",IF('Eval-Avant action écologique'!A780&lt;&gt;"",'Eval-Avant action écologique'!A780,"")))</f>
        <v/>
      </c>
      <c r="XA5" s="5" t="str">
        <f>IF('Eval-Avant action écologique'!$T$107=0,"",IF('Eval-Avant action écologique'!$T$107="","",IF('Eval-Avant action écologique'!B780&lt;&gt;"",'Eval-Avant action écologique'!B780,"")))</f>
        <v/>
      </c>
      <c r="XB5" s="5" t="str">
        <f>IF('Eval-Avant action écologique'!$T$107=0,"",IF('Eval-Avant action écologique'!$T$107="","",IF('Eval-Avant action écologique'!C780&lt;&gt;"",'Eval-Avant action écologique'!C780,"")))</f>
        <v/>
      </c>
      <c r="XC5" s="5" t="str">
        <f>IF('Eval-Avant action écologique'!$T$107=0,"",IF('Eval-Avant action écologique'!$T$107="","",IF('Eval-Avant action écologique'!E780&lt;&gt;"",'Eval-Avant action écologique'!E780,"")))</f>
        <v/>
      </c>
      <c r="XD5" s="5" t="str">
        <f>IF('Eval-Avant action écologique'!$T$107=0,"",IF('Eval-Avant action écologique'!$T$107="","",IF('Eval-Avant action écologique'!G780&lt;&gt;"",'Eval-Avant action écologique'!G780,"")))</f>
        <v/>
      </c>
      <c r="XE5" s="5" t="str">
        <f>IF('Eval-Avant action écologique'!$T$107=0,"",IF('Eval-Avant action écologique'!$T$107="","",IF('Eval-Avant action écologique'!H780&lt;&gt;"",'Eval-Avant action écologique'!H780,"")))</f>
        <v/>
      </c>
      <c r="XF5" s="5" t="str">
        <f>IF('Eval-Avant action écologique'!$T$107=0,"",IF('Eval-Avant action écologique'!$T$107="","",IF('Eval-Avant action écologique'!I780&lt;&gt;"",'Eval-Avant action écologique'!I780,"")))</f>
        <v/>
      </c>
      <c r="XG5" s="5" t="str">
        <f>IF('Eval-Avant action écologique'!$T$107=0,"",IF('Eval-Avant action écologique'!$T$107="","",IF('Eval-Avant action écologique'!J780&lt;&gt;"",'Eval-Avant action écologique'!J780,"")))</f>
        <v/>
      </c>
      <c r="XH5" s="5" t="str">
        <f>IF('Eval-Avant action écologique'!$T$107=0,"",IF('Eval-Avant action écologique'!$T$107="","",IF('Eval-Avant action écologique'!K780&lt;&gt;"",'Eval-Avant action écologique'!K780,"")))</f>
        <v/>
      </c>
      <c r="XI5" s="5" t="str">
        <f>IF('Eval-Avant action écologique'!$T$107=0,"",IF('Eval-Avant action écologique'!$T$107="","",IF('Eval-Avant action écologique'!L780&lt;&gt;"",'Eval-Avant action écologique'!L780,"")))</f>
        <v/>
      </c>
      <c r="XJ5" s="5" t="str">
        <f>IF('Eval-Avant action écologique'!$T$107=0,"",IF('Eval-Avant action écologique'!$T$107="","",IF('Eval-Avant action écologique'!M780&lt;&gt;"",'Eval-Avant action écologique'!M780,"")))</f>
        <v/>
      </c>
      <c r="XK5" s="5" t="str">
        <f>IF('Eval-Avant action écologique'!$T$107=0,"",IF('Eval-Avant action écologique'!$T$107="","",IF('Eval-Avant action écologique'!N780&lt;&gt;"",'Eval-Avant action écologique'!N780,"")))</f>
        <v/>
      </c>
      <c r="XL5" s="5" t="str">
        <f>IF('Eval-Avant action écologique'!$T$107=0,"",IF('Eval-Avant action écologique'!$T$107="","",IF('Eval-Avant action écologique'!O780&lt;&gt;"",'Eval-Avant action écologique'!O780,"")))</f>
        <v/>
      </c>
      <c r="XM5" s="5" t="str">
        <f>IF('Eval-Avant action écologique'!$T$107=0,"",IF('Eval-Avant action écologique'!$T$107="","",IF('Eval-Avant action écologique'!P780&lt;&gt;"",'Eval-Avant action écologique'!P780,"")))</f>
        <v/>
      </c>
      <c r="XN5" s="5" t="str">
        <f>IF('Eval-Avant action écologique'!$T$107=0,"",IF('Eval-Avant action écologique'!$T$107="","",IF('Eval-Avant action écologique'!Q780&lt;&gt;"",'Eval-Avant action écologique'!Q780,"")))</f>
        <v/>
      </c>
      <c r="XO5" s="5" t="str">
        <f>IF('Eval-Avant action écologique'!$T$107=0,"",IF('Eval-Avant action écologique'!$T$107="","",IF('Eval-Avant action écologique'!R780&lt;&gt;"",'Eval-Avant action écologique'!R780,"")))</f>
        <v/>
      </c>
      <c r="XP5" s="5" t="str">
        <f>IF('Eval-Avant action écologique'!$T$107=0,"",IF('Eval-Avant action écologique'!$T$107="","",IF('Eval-Avant action écologique'!S780&lt;&gt;"",'Eval-Avant action écologique'!S780,"")))</f>
        <v/>
      </c>
      <c r="XQ5" s="5" t="str">
        <f>IF('Eval-Avant action écologique'!$T$107=0,"",IF('Eval-Avant action écologique'!$T$107="","",IF('Eval-Avant action écologique'!T780&lt;&gt;"",'Eval-Avant action écologique'!T780,"")))</f>
        <v/>
      </c>
      <c r="XR5" s="5" t="str">
        <f>IF('Eval-Avant action écologique'!$T$107=0,"",IF('Eval-Avant action écologique'!$T$107="","",IF('Eval-Avant action écologique'!U780&lt;&gt;"",'Eval-Avant action écologique'!U780,"")))</f>
        <v/>
      </c>
      <c r="XS5" s="5" t="str">
        <f>IF('Eval-Avant action écologique'!$T$107=0,"",IF('Eval-Avant action écologique'!$T$107="","",IF('Eval-Avant action écologique'!V780&lt;&gt;"",'Eval-Avant action écologique'!V780,"")))</f>
        <v/>
      </c>
      <c r="XT5" s="5" t="str">
        <f>IF('Eval-Avant action écologique'!$T$107=0,"",IF('Eval-Avant action écologique'!$T$107="","",IF('Eval-Avant action écologique'!W780&lt;&gt;"",'Eval-Avant action écologique'!W780,"")))</f>
        <v/>
      </c>
      <c r="XU5" s="5" t="str">
        <f>IF('Eval-Avant action écologique'!$T$107=0,"",IF('Eval-Avant action écologique'!$T$107="","",IF('Eval-Avant action écologique'!X780&lt;&gt;"",'Eval-Avant action écologique'!X780,"")))</f>
        <v/>
      </c>
      <c r="XV5" s="5" t="str">
        <f>IF('Eval-Avant action écologique'!$T$107=0,"",IF('Eval-Avant action écologique'!$T$107="","",IF('Eval-Avant action écologique'!Y780&lt;&gt;"",'Eval-Avant action écologique'!Y780,"")))</f>
        <v/>
      </c>
      <c r="XW5" s="5" t="str">
        <f>IF('Eval-Avant action écologique'!$T$107=0,"",IF('Eval-Avant action écologique'!$T$107="","",IF('Eval-Avant action écologique'!J797="X","oui",IF('Eval-Avant action écologique'!T797="X","non",""))))</f>
        <v/>
      </c>
      <c r="XX5" s="5" t="str">
        <f>IF('Eval-Avant action écologique'!$T$107=0,"",IF('Eval-Avant action écologique'!$T$107="","",IF('Eval-Avant action écologique'!T806&lt;&gt;"",'Eval-Avant action écologique'!T806,"")))</f>
        <v/>
      </c>
      <c r="XY5" s="5" t="str">
        <f>IF('Eval-Avant action écologique'!$T$107=0,"",IF('Eval-Avant action écologique'!$T$107="","",IF('Eval-Avant action écologique'!T812&lt;&gt;"",'Eval-Avant action écologique'!T812,"")))</f>
        <v/>
      </c>
      <c r="XZ5" s="5" t="str">
        <f>IF('Eval-Avant action écologique'!$T$107=0,"",IF('Eval-Avant action écologique'!$T$107="","",IF('Eval-Avant action écologique'!T816&lt;&gt;"",'Eval-Avant action écologique'!T816,"")))</f>
        <v/>
      </c>
      <c r="YA5" s="5" t="str">
        <f>IF('Eval-Avant action écologique'!$T$107=0,"",IF('Eval-Avant action écologique'!$T$107="","",IF('Eval-Avant action écologique'!T822&lt;&gt;"",'Eval-Avant action écologique'!T822,"")))</f>
        <v/>
      </c>
      <c r="YB5" s="5" t="str">
        <f>IF('Eval-Avant action écologique'!$T$107=0,"",IF('Eval-Avant action écologique'!$T$107="","",'Eval-Avant action écologique'!C829))</f>
        <v/>
      </c>
      <c r="YC5" s="15" t="str">
        <f>'Calcul auto.'!CX41</f>
        <v/>
      </c>
      <c r="YD5" s="15" t="str">
        <f>'Calcul auto.'!CY42</f>
        <v/>
      </c>
      <c r="YE5" s="15" t="str">
        <f>'Calcul auto.'!CX43</f>
        <v/>
      </c>
      <c r="YF5" s="15" t="str">
        <f>'Calcul auto.'!CX44</f>
        <v/>
      </c>
      <c r="YG5" s="15" t="str">
        <f>'Calcul auto.'!CX45</f>
        <v/>
      </c>
      <c r="YH5" s="15" t="str">
        <f>'Calcul auto.'!CX46</f>
        <v/>
      </c>
      <c r="YI5" s="15" t="str">
        <f>'Calcul auto.'!CX47</f>
        <v/>
      </c>
      <c r="YJ5" s="15" t="str">
        <f>'Calcul auto.'!CX48</f>
        <v/>
      </c>
      <c r="YK5" s="15" t="str">
        <f>'Calcul auto.'!DD49</f>
        <v/>
      </c>
      <c r="YL5" s="15" t="str">
        <f>'Calcul auto.'!DD50</f>
        <v/>
      </c>
      <c r="YM5" s="15" t="str">
        <f>'Calcul auto.'!DE51</f>
        <v/>
      </c>
      <c r="YN5" s="15" t="str">
        <f>'Calcul auto.'!DE52</f>
        <v/>
      </c>
      <c r="YO5" s="15" t="str">
        <f>'Calcul auto.'!DE53</f>
        <v/>
      </c>
      <c r="YP5" s="15" t="str">
        <f>'Calcul auto.'!DE54</f>
        <v/>
      </c>
      <c r="YQ5" s="15" t="str">
        <f>'Calcul auto.'!DE55</f>
        <v/>
      </c>
      <c r="YR5" s="15" t="str">
        <f>'Calcul auto.'!CX56</f>
        <v/>
      </c>
      <c r="YS5" s="15" t="str">
        <f>'Calcul auto.'!CZ57</f>
        <v/>
      </c>
      <c r="YT5" s="15" t="str">
        <f>'Calcul auto.'!DC58</f>
        <v/>
      </c>
      <c r="YU5" s="15" t="str">
        <f>'Calcul auto.'!CV59</f>
        <v/>
      </c>
      <c r="YV5" s="15" t="str">
        <f>'Calcul auto.'!CV60</f>
        <v/>
      </c>
      <c r="YW5" s="15" t="str">
        <f>'Calcul auto.'!CV61</f>
        <v/>
      </c>
      <c r="YX5" s="15" t="str">
        <f>'Calcul auto.'!CV62</f>
        <v/>
      </c>
      <c r="YY5" s="15" t="str">
        <f>'Calcul auto.'!CX63</f>
        <v/>
      </c>
      <c r="YZ5" s="15" t="str">
        <f>'Calcul auto.'!CW64</f>
        <v/>
      </c>
      <c r="ZA5" s="15" t="str">
        <f>'Calcul auto.'!CX65</f>
        <v/>
      </c>
      <c r="ZB5" s="15" t="str">
        <f>'Calcul auto.'!CX66</f>
        <v/>
      </c>
      <c r="ZC5" s="15" t="str">
        <f>'Calcul auto.'!DB67</f>
        <v/>
      </c>
      <c r="ZD5" s="15" t="str">
        <f>'Calcul auto.'!DA68</f>
        <v/>
      </c>
      <c r="ZE5" s="15" t="str">
        <f>'Calcul auto.'!CX69</f>
        <v/>
      </c>
      <c r="ZF5" s="15" t="str">
        <f>'Calcul auto.'!CY70</f>
        <v/>
      </c>
      <c r="ZG5" s="15" t="str">
        <f>'Calcul auto.'!DC71</f>
        <v/>
      </c>
      <c r="ZH5" s="15" t="str">
        <f>'Calcul auto.'!DC72</f>
        <v/>
      </c>
      <c r="ZI5" s="15" t="str">
        <f>'Calcul auto.'!CX73</f>
        <v/>
      </c>
      <c r="ZJ5" s="15" t="str">
        <f>'Calcul auto.'!CY74</f>
        <v/>
      </c>
      <c r="ZK5" s="15" t="str">
        <f>'Calcul auto.'!CY75</f>
        <v/>
      </c>
      <c r="ZL5" s="15" t="str">
        <f>'Calcul auto.'!CW76</f>
        <v/>
      </c>
      <c r="ZM5" s="15" t="str">
        <f>'Calcul auto.'!CW77</f>
        <v/>
      </c>
      <c r="ZN5" s="15" t="str">
        <f>'Calcul auto.'!CY78</f>
        <v/>
      </c>
      <c r="ZO5" s="15" t="str">
        <f>'Calcul auto.'!DD79</f>
        <v/>
      </c>
      <c r="ZP5" s="15" t="str">
        <f>'Calcul auto.'!DD80</f>
        <v/>
      </c>
      <c r="ZQ5" s="15" t="str">
        <f>'Calcul auto.'!DE81</f>
        <v/>
      </c>
      <c r="ZR5" s="15" t="str">
        <f>'Calcul auto.'!DE82</f>
        <v/>
      </c>
      <c r="ZS5" s="15" t="str">
        <f>'Calcul auto.'!DD83</f>
        <v/>
      </c>
      <c r="ZT5" s="15" t="str">
        <f>'Calcul auto.'!DD84</f>
        <v/>
      </c>
      <c r="ZU5" s="15" t="str">
        <f>'Calcul auto.'!DD85</f>
        <v/>
      </c>
      <c r="ZV5" s="15" t="str">
        <f>'Calcul auto.'!DD86</f>
        <v/>
      </c>
      <c r="ZW5" s="15" t="str">
        <f>'Calcul auto.'!DD87</f>
        <v/>
      </c>
      <c r="ZX5" s="15" t="str">
        <f>'Calcul auto.'!DH41</f>
        <v/>
      </c>
      <c r="ZY5" s="15" t="str">
        <f>'Calcul auto.'!DI42</f>
        <v/>
      </c>
      <c r="ZZ5" s="15" t="str">
        <f>'Calcul auto.'!DH43</f>
        <v/>
      </c>
      <c r="AAA5" s="15" t="str">
        <f>'Calcul auto.'!DH44</f>
        <v/>
      </c>
      <c r="AAB5" s="15" t="str">
        <f>'Calcul auto.'!DH45</f>
        <v/>
      </c>
      <c r="AAC5" s="15" t="str">
        <f>'Calcul auto.'!DN49</f>
        <v/>
      </c>
      <c r="AAD5" s="15" t="str">
        <f>'Calcul auto.'!DN50</f>
        <v/>
      </c>
      <c r="AAE5" s="15" t="str">
        <f>'Calcul auto.'!DO51</f>
        <v/>
      </c>
      <c r="AAF5" s="15" t="str">
        <f>'Calcul auto.'!DO52</f>
        <v/>
      </c>
      <c r="AAG5" s="15" t="str">
        <f>'Calcul auto.'!DO53</f>
        <v/>
      </c>
      <c r="AAH5" s="15" t="str">
        <f>'Calcul auto.'!DO54</f>
        <v/>
      </c>
      <c r="AAI5" s="15" t="str">
        <f>'Calcul auto.'!DO55</f>
        <v/>
      </c>
      <c r="AAJ5" s="15" t="str">
        <f>'Calcul auto.'!DH56</f>
        <v/>
      </c>
      <c r="AAK5" s="15" t="str">
        <f>'Calcul auto.'!DJ57</f>
        <v/>
      </c>
      <c r="AAL5" s="15" t="str">
        <f>'Calcul auto.'!DM58</f>
        <v/>
      </c>
      <c r="AAM5" s="15" t="str">
        <f>'Calcul auto.'!DF59</f>
        <v/>
      </c>
      <c r="AAN5" s="15" t="str">
        <f>'Calcul auto.'!DF60</f>
        <v/>
      </c>
      <c r="AAO5" s="15" t="str">
        <f>'Calcul auto.'!DF61</f>
        <v/>
      </c>
      <c r="AAP5" s="15" t="str">
        <f>'Calcul auto.'!DF62</f>
        <v/>
      </c>
      <c r="AAQ5" s="15" t="str">
        <f>'Calcul auto.'!DH63</f>
        <v/>
      </c>
      <c r="AAR5" s="15" t="str">
        <f>'Calcul auto.'!DG64</f>
        <v/>
      </c>
      <c r="AAS5" s="15" t="str">
        <f>'Calcul auto.'!DH65</f>
        <v/>
      </c>
      <c r="AAT5" s="15" t="str">
        <f>'Calcul auto.'!DH66</f>
        <v/>
      </c>
      <c r="AAU5" s="15" t="str">
        <f>'Calcul auto.'!DL67</f>
        <v/>
      </c>
      <c r="AAV5" s="15" t="str">
        <f>'Calcul auto.'!DK68</f>
        <v/>
      </c>
      <c r="AAW5" s="15" t="str">
        <f>'Calcul auto.'!DH69</f>
        <v/>
      </c>
      <c r="AAX5" s="15" t="str">
        <f>'Calcul auto.'!DI70</f>
        <v/>
      </c>
      <c r="AAY5" s="15" t="str">
        <f>'Calcul auto.'!DM71</f>
        <v/>
      </c>
      <c r="AAZ5" s="15" t="str">
        <f>'Calcul auto.'!DM72</f>
        <v/>
      </c>
      <c r="ABA5" s="15" t="str">
        <f>'Calcul auto.'!DH73</f>
        <v/>
      </c>
      <c r="ABB5" s="15" t="str">
        <f>'Calcul auto.'!DI74</f>
        <v/>
      </c>
      <c r="ABC5" s="15" t="str">
        <f>'Calcul auto.'!DI75</f>
        <v/>
      </c>
      <c r="ABD5" s="15" t="str">
        <f>'Calcul auto.'!DG76</f>
        <v/>
      </c>
      <c r="ABE5" s="15" t="str">
        <f>'Calcul auto.'!DG77</f>
        <v/>
      </c>
      <c r="ABF5" s="15" t="str">
        <f>'Calcul auto.'!DI78</f>
        <v/>
      </c>
      <c r="ABG5" s="15" t="str">
        <f>'Calcul auto.'!DN79</f>
        <v/>
      </c>
      <c r="ABH5" s="15" t="str">
        <f>'Calcul auto.'!DN80</f>
        <v/>
      </c>
      <c r="ABI5" s="15" t="str">
        <f>'Calcul auto.'!DO81</f>
        <v/>
      </c>
      <c r="ABJ5" s="15" t="str">
        <f>'Calcul auto.'!DO82</f>
        <v/>
      </c>
      <c r="ABK5" s="15" t="str">
        <f>'Calcul auto.'!DN83</f>
        <v/>
      </c>
      <c r="ABL5" s="15" t="str">
        <f>'Calcul auto.'!DN84</f>
        <v/>
      </c>
      <c r="ABM5" s="15" t="str">
        <f>'Calcul auto.'!DN85</f>
        <v/>
      </c>
      <c r="ABN5" s="15" t="str">
        <f>'Calcul auto.'!DN86</f>
        <v/>
      </c>
      <c r="ABO5" s="16" t="str">
        <f>'Calcul auto.'!DN87</f>
        <v/>
      </c>
    </row>
    <row r="6" spans="1:743" s="17" customFormat="1" ht="35.25" customHeight="1" x14ac:dyDescent="0.2">
      <c r="A6" s="18" t="s">
        <v>774</v>
      </c>
      <c r="B6" s="10" t="str">
        <f>IF('Eval-Avec act. écol. envisagée'!$T$107=0,"",IF('Eval-Avec act. écol. envisagée'!$T$107="","",'Eval-Avec act. écol. envisagée'!K26))</f>
        <v/>
      </c>
      <c r="C6" s="9" t="str">
        <f>IF('Eval-Avec act. écol. envisagée'!$T$107=0,"",IF('Eval-Avec act. écol. envisagée'!$T$107="","",'Eval-Avec act. écol. envisagée'!F29))</f>
        <v/>
      </c>
      <c r="D6" s="9" t="str">
        <f>IF('Eval-Avec act. écol. envisagée'!$T$107=0,"",IF('Eval-Avec act. écol. envisagée'!$T$107="","",'Eval-Avec act. écol. envisagée'!I29))</f>
        <v/>
      </c>
      <c r="E6" s="9" t="str">
        <f>IF('Eval-Avec act. écol. envisagée'!$T$107=0,"",IF('Eval-Avec act. écol. envisagée'!$T$107="","",'Eval-Avec act. écol. envisagée'!L29))</f>
        <v/>
      </c>
      <c r="F6" s="9" t="str">
        <f>IF('Eval-Avec act. écol. envisagée'!$T$107=0,"",IF('Eval-Avec act. écol. envisagée'!$T$107="","",'Eval-Avec act. écol. envisagée'!O29))</f>
        <v/>
      </c>
      <c r="G6" s="3" t="str">
        <f>IF('Eval-Avec act. écol. envisagée'!$T$107=0,"",IF('Eval-Avec act. écol. envisagée'!$T$107="","",'Eval-Avec act. écol. envisagée'!F30))</f>
        <v/>
      </c>
      <c r="H6" s="3" t="str">
        <f>IF('Eval-Avec act. écol. envisagée'!$T$107=0,"",IF('Eval-Avec act. écol. envisagée'!$T$107="","",'Eval-Avec act. écol. envisagée'!I30))</f>
        <v/>
      </c>
      <c r="I6" s="3" t="str">
        <f>IF('Eval-Avec act. écol. envisagée'!$T$107=0,"",IF('Eval-Avec act. écol. envisagée'!$T$107="","",'Eval-Avec act. écol. envisagée'!L30))</f>
        <v/>
      </c>
      <c r="J6" s="3" t="str">
        <f>IF('Eval-Avec act. écol. envisagée'!$T$107=0,"",IF('Eval-Avec act. écol. envisagée'!$T$107="","",'Eval-Avec act. écol. envisagée'!O30))</f>
        <v/>
      </c>
      <c r="K6" s="3" t="str">
        <f>IF('Eval-Avec act. écol. envisagée'!$T$107=0,"",IF('Eval-Avec act. écol. envisagée'!$T$107="","",'Eval-Avec act. écol. envisagée'!F31))</f>
        <v/>
      </c>
      <c r="L6" s="3" t="str">
        <f>IF('Eval-Avec act. écol. envisagée'!$T$107=0,"",IF('Eval-Avec act. écol. envisagée'!$T$107="","",'Eval-Avec act. écol. envisagée'!I31))</f>
        <v/>
      </c>
      <c r="M6" s="3" t="str">
        <f>IF('Eval-Avec act. écol. envisagée'!$T$107=0,"",IF('Eval-Avec act. écol. envisagée'!$T$107="","",'Eval-Avec act. écol. envisagée'!L31))</f>
        <v/>
      </c>
      <c r="N6" s="3" t="str">
        <f>IF('Eval-Avec act. écol. envisagée'!$T$107=0,"",IF('Eval-Avec act. écol. envisagée'!$T$107="","",'Eval-Avec act. écol. envisagée'!O31))</f>
        <v/>
      </c>
      <c r="O6" s="3" t="str">
        <f>IF('Eval-Avec act. écol. envisagée'!$T$107=0,"",IF('Eval-Avec act. écol. envisagée'!$T$107="","",'Eval-Avec act. écol. envisagée'!F32))</f>
        <v/>
      </c>
      <c r="P6" s="3" t="str">
        <f>IF('Eval-Avec act. écol. envisagée'!$T$107=0,"",IF('Eval-Avec act. écol. envisagée'!$T$107="","",'Eval-Avec act. écol. envisagée'!I32))</f>
        <v/>
      </c>
      <c r="Q6" s="3" t="str">
        <f>IF('Eval-Avec act. écol. envisagée'!$T$107=0,"",IF('Eval-Avec act. écol. envisagée'!$T$107="","",'Eval-Avec act. écol. envisagée'!L32))</f>
        <v/>
      </c>
      <c r="R6" s="3" t="str">
        <f>IF('Eval-Avec act. écol. envisagée'!$T$107=0,"",IF('Eval-Avec act. écol. envisagée'!$T$107="","",'Eval-Avec act. écol. envisagée'!O32))</f>
        <v/>
      </c>
      <c r="S6" s="3" t="str">
        <f>IF('Eval-Avec act. écol. envisagée'!$T$107=0,"",IF('Eval-Avec act. écol. envisagée'!$T$107="","",'Eval-Avec act. écol. envisagée'!C35))</f>
        <v/>
      </c>
      <c r="T6" s="3" t="str">
        <f>IF('Eval-Avec act. écol. envisagée'!$T$107=0,"",IF('Eval-Avec act. écol. envisagée'!$T$107="","",'Eval-Avec act. écol. envisagée'!C44))</f>
        <v/>
      </c>
      <c r="U6" s="3" t="str">
        <f>IF('Eval-Avec act. écol. envisagée'!$T$107=0,"",IF('Eval-Avec act. écol. envisagée'!$T$107="","",'Eval-Avec act. écol. envisagée'!C47))</f>
        <v/>
      </c>
      <c r="V6" s="3" t="str">
        <f>IF('Eval-Avec act. écol. envisagée'!$T$107=0,"",IF('Eval-Avec act. écol. envisagée'!$T$107="","",'Eval-Avec act. écol. envisagée'!C50))</f>
        <v/>
      </c>
      <c r="W6" s="3" t="str">
        <f>IF('Eval-Avec act. écol. envisagée'!$T$107=0,"",IF('Eval-Avec act. écol. envisagée'!$T$107="","",'Eval-Avec act. écol. envisagée'!T107))</f>
        <v/>
      </c>
      <c r="X6" s="3" t="str">
        <f>IF('Eval-Avec act. écol. envisagée'!$T$107=0,"",IF('Eval-Avec act. écol. envisagée'!$T$107="","",IF('Eval-Avec act. écol. envisagée'!T111="X","tout un système humide",IF('Eval-Avec act. écol. envisagée'!T112="X","délimitation administrative","autres cas"))))</f>
        <v/>
      </c>
      <c r="Y6" s="3" t="str">
        <f>IF('Eval-Avec act. écol. envisagée'!$T$107=0,"",IF('Eval-Avec act. écol. envisagée'!$T$107="","",'Eval-Avec act. écol. envisagée'!G117))</f>
        <v/>
      </c>
      <c r="Z6" s="3" t="str">
        <f>IF('Eval-Avec act. écol. envisagée'!$T$107=0,"",IF('Eval-Avec act. écol. envisagée'!$T$107="","",IF('Eval-Avec act. écol. envisagée'!J121="X",'Eval-Avec act. écol. envisagée'!I121,"")))</f>
        <v/>
      </c>
      <c r="AA6" s="3" t="str">
        <f>IF('Eval-Avec act. écol. envisagée'!$T$107=0,"",IF('Eval-Avec act. écol. envisagée'!$T$107="","",IF('Eval-Avec act. écol. envisagée'!J122="X",'Eval-Avec act. écol. envisagée'!I122,"")))</f>
        <v/>
      </c>
      <c r="AB6" s="3" t="str">
        <f>IF('Eval-Avec act. écol. envisagée'!$T$107=0,"",IF('Eval-Avec act. écol. envisagée'!$T$107="","",IF('Eval-Avec act. écol. envisagée'!J123="X",'Eval-Avec act. écol. envisagée'!I123,"")))</f>
        <v/>
      </c>
      <c r="AC6" s="3" t="str">
        <f>IF('Eval-Avec act. écol. envisagée'!$T$107=0,"",IF('Eval-Avec act. écol. envisagée'!$T$107="","",IF('Eval-Avec act. écol. envisagée'!T121="X",'Eval-Avec act. écol. envisagée'!S121,"")))</f>
        <v/>
      </c>
      <c r="AD6" s="3" t="str">
        <f>IF('Eval-Avec act. écol. envisagée'!$T$107=0,"",IF('Eval-Avec act. écol. envisagée'!$T$107="","",IF('Eval-Avec act. écol. envisagée'!T122="X",'Eval-Avec act. écol. envisagée'!S122,"")))</f>
        <v/>
      </c>
      <c r="AE6" s="3" t="str">
        <f>IF('Eval-Avec act. écol. envisagée'!$T$107=0,"",IF('Eval-Avec act. écol. envisagée'!$T$107="","",'Eval-Avec act. écol. envisagée'!C128))</f>
        <v/>
      </c>
      <c r="AF6" s="3" t="str">
        <f>IF('Eval-Avec act. écol. envisagée'!$T$107=0,"",IF('Eval-Avec act. écol. envisagée'!$T$107="","",'Eval-Avec act. écol. envisagée'!T132))</f>
        <v/>
      </c>
      <c r="AG6" s="3" t="str">
        <f>IF('Eval-Avec act. écol. envisagée'!$T$107=0,"",IF('Eval-Avec act. écol. envisagée'!$T$107="","",'Eval-Avec act. écol. envisagée'!T139))</f>
        <v/>
      </c>
      <c r="AH6" s="3" t="str">
        <f>IF('Eval-Avec act. écol. envisagée'!$T$107=0,"",IF('Eval-Avec act. écol. envisagée'!$T$107="","",IF('Eval-Avec act. écol. envisagée'!J194="X","procédure 1",IF('Eval-Avec act. écol. envisagée'!T194="X","procédure 2",IF('Eval-Avec act. écol. envisagée'!J195="X","procédure 3",IF('Eval-Avec act. écol. envisagée'!T195="X","procédure 4",IF('Eval-Avec act. écol. envisagée'!J196="X","procédure 5","")))))))</f>
        <v/>
      </c>
      <c r="AI6" s="3" t="str">
        <f>IF('Eval-Avec act. écol. envisagée'!$T$107=0,"",IF('Eval-Avec act. écol. envisagée'!$T$107="","",'Eval-Avec act. écol. envisagée'!C205))</f>
        <v/>
      </c>
      <c r="AJ6" s="3" t="str">
        <f>IF('Eval-Avec act. écol. envisagée'!$T$107=0,"",IF('Eval-Avec act. écol. envisagée'!$T$107="","",'Eval-Avec act. écol. envisagée'!T213))</f>
        <v/>
      </c>
      <c r="AK6" s="3" t="str">
        <f>IF('Eval-Avec act. écol. envisagée'!$T$107=0,"",IF('Eval-Avec act. écol. envisagée'!$T$107="","",'Eval-Avec act. écol. envisagée'!T217))</f>
        <v/>
      </c>
      <c r="AL6" s="3" t="str">
        <f>IF('Eval-Avec act. écol. envisagée'!$T$107=0,"",IF('Eval-Avec act. écol. envisagée'!$T$107="","",'Eval-Avec act. écol. envisagée'!T221))</f>
        <v/>
      </c>
      <c r="AM6" s="3" t="str">
        <f>IF('Eval-Avec act. écol. envisagée'!$T$107=0,"",IF('Eval-Avec act. écol. envisagée'!$T$107="","",'Eval-Avec act. écol. envisagée'!T222))</f>
        <v/>
      </c>
      <c r="AN6" s="3" t="str">
        <f>IF('Eval-Avec act. écol. envisagée'!$T$107=0,"",IF('Eval-Avec act. écol. envisagée'!$T$107="","",IF('Eval-Avec act. écol. envisagée'!J226="X","oui","non")))</f>
        <v/>
      </c>
      <c r="AO6" s="3" t="str">
        <f>IF('Eval-Avec act. écol. envisagée'!$T$107=0,"",IF('Eval-Avec act. écol. envisagée'!$T$107="","",'Eval-Avec act. écol. envisagée'!T230))</f>
        <v/>
      </c>
      <c r="AP6" s="3" t="str">
        <f>IF('Eval-Avec act. écol. envisagée'!$T$107=0,"",IF('Eval-Avec act. écol. envisagée'!$T$107="","",'Eval-Avec act. écol. envisagée'!T234))</f>
        <v/>
      </c>
      <c r="AQ6" s="3" t="str">
        <f>IF('Eval-Avec act. écol. envisagée'!$T$107=0,"",IF('Eval-Avec act. écol. envisagée'!$T$107="","",'Eval-Avec act. écol. envisagée'!T292))</f>
        <v/>
      </c>
      <c r="AR6" s="3" t="str">
        <f>IF('Eval-Avec act. écol. envisagée'!$T$107=0,"",IF('Eval-Avec act. écol. envisagée'!$T$107="","",'Eval-Avec act. écol. envisagée'!T296))</f>
        <v/>
      </c>
      <c r="AS6" s="3" t="str">
        <f>IF('Eval-Avec act. écol. envisagée'!$T$107=0,"",IF('Eval-Avec act. écol. envisagée'!$T$107="","",'Eval-Avec act. écol. envisagée'!T356))</f>
        <v/>
      </c>
      <c r="AT6" s="3" t="str">
        <f>IF('Eval-Avec act. écol. envisagée'!$T$107=0,"",IF('Eval-Avec act. écol. envisagée'!$T$107="","",'Eval-Avec act. écol. envisagée'!T361))</f>
        <v/>
      </c>
      <c r="AU6" s="3" t="str">
        <f>IF('Eval-Avec act. écol. envisagée'!$T$107=0,"",IF('Eval-Avec act. écol. envisagée'!$T$107="","",'Eval-Avec act. écol. envisagée'!T362))</f>
        <v/>
      </c>
      <c r="AV6" s="3" t="str">
        <f>IF('Eval-Avec act. écol. envisagée'!$T$107=0,"",IF('Eval-Avec act. écol. envisagée'!$T$107="","",'Eval-Avec act. écol. envisagée'!T363))</f>
        <v/>
      </c>
      <c r="AW6" s="3" t="str">
        <f>IF('Eval-Avec act. écol. envisagée'!$T$107=0,"",IF('Eval-Avec act. écol. envisagée'!$T$107="","",'Eval-Avec act. écol. envisagée'!T364))</f>
        <v/>
      </c>
      <c r="AX6" s="3" t="str">
        <f>IF('Eval-Avec act. écol. envisagée'!$T$107=0,"",IF('Eval-Avec act. écol. envisagée'!$T$107="","",'Eval-Avec act. écol. envisagée'!T365))</f>
        <v/>
      </c>
      <c r="AY6" s="3" t="str">
        <f>IF('Eval-Avec act. écol. envisagée'!$T$107=0,"",IF('Eval-Avec act. écol. envisagée'!$T$107="","",'Eval-Avec act. écol. envisagée'!T366))</f>
        <v/>
      </c>
      <c r="AZ6" s="3" t="str">
        <f>IF('Eval-Avec act. écol. envisagée'!$T$107=0,"",IF('Eval-Avec act. écol. envisagée'!$T$107="","",'Eval-Avec act. écol. envisagée'!T367))</f>
        <v/>
      </c>
      <c r="BA6" s="3" t="str">
        <f>IF('Eval-Avec act. écol. envisagée'!$T$107=0,"",IF('Eval-Avec act. écol. envisagée'!$T$107="","",'Eval-Avec act. écol. envisagée'!T368))</f>
        <v/>
      </c>
      <c r="BB6" s="3" t="str">
        <f>IF('Eval-Avec act. écol. envisagée'!$T$107=0,"",IF('Eval-Avec act. écol. envisagée'!$T$107="","",'Eval-Avec act. écol. envisagée'!T369))</f>
        <v/>
      </c>
      <c r="BC6" s="3" t="str">
        <f>IF('Eval-Avec act. écol. envisagée'!$T$107=0,"",IF('Eval-Avec act. écol. envisagée'!$T$107="","",'Eval-Avec act. écol. envisagée'!T370))</f>
        <v/>
      </c>
      <c r="BD6" s="3" t="str">
        <f>IF('Eval-Avec act. écol. envisagée'!$T$107=0,"",IF('Eval-Avec act. écol. envisagée'!$T$107="","",IF('Eval-Avec act. écol. envisagée'!J376="X","procédure 1",IF('Eval-Avec act. écol. envisagée'!T376="X","procédure 2","procédure 3"))))</f>
        <v/>
      </c>
      <c r="BE6" s="3" t="str">
        <f>IF('Eval-Avec act. écol. envisagée'!$T$107=0,"",IF('Eval-Avec act. écol. envisagée'!$T$107="","",IF('Eval-Avec act. écol. envisagée'!J376="X",'Eval-Avec act. écol. envisagée'!T382,"")))</f>
        <v/>
      </c>
      <c r="BF6" s="3" t="str">
        <f>IF('Eval-Avec act. écol. envisagée'!$T$107=0,"",IF('Eval-Avec act. écol. envisagée'!$T$107="","",IF('Eval-Avec act. écol. envisagée'!T376="X",'Eval-Avec act. écol. envisagée'!T387,"")))</f>
        <v/>
      </c>
      <c r="BG6" s="3" t="str">
        <f>IF('Eval-Avec act. écol. envisagée'!$T$107=0,"",IF('Eval-Avec act. écol. envisagée'!$T$107="","",IF('Eval-Avec act. écol. envisagée'!J377="X",'Eval-Avec act. écol. envisagée'!T393,"")))</f>
        <v/>
      </c>
      <c r="BH6" s="3" t="str">
        <f>IF('Eval-Avec act. écol. envisagée'!$T$107=0,"",IF('Eval-Avec act. écol. envisagée'!$T$107="","",IF('Eval-Avec act. écol. envisagée'!J377="X",'Eval-Avec act. écol. envisagée'!T394,"")))</f>
        <v/>
      </c>
      <c r="BI6" s="3" t="str">
        <f>IF('Eval-Avec act. écol. envisagée'!$T$107=0,"",IF('Eval-Avec act. écol. envisagée'!$T$107="","",'Eval-Avec act. écol. envisagée'!T398))</f>
        <v/>
      </c>
      <c r="BJ6" s="3" t="str">
        <f>IF('Eval-Avec act. écol. envisagée'!$T$107=0,"",IF('Eval-Avec act. écol. envisagée'!$T$107="","",'Eval-Avec act. écol. envisagée'!T399))</f>
        <v/>
      </c>
      <c r="BK6" s="3" t="str">
        <f>IF('Eval-Avec act. écol. envisagée'!$T$107=0,"",IF('Eval-Avec act. écol. envisagée'!$T$107="","",IF('Eval-Avec act. écol. envisagée'!J404="X","oui","non")))</f>
        <v/>
      </c>
      <c r="BL6" s="3" t="str">
        <f>IF('Eval-Avec act. écol. envisagée'!$T$107=0,"",IF('Eval-Avec act. écol. envisagée'!$T$107="","",'Eval-Avec act. écol. envisagée'!T408))</f>
        <v/>
      </c>
      <c r="BM6" s="3" t="str">
        <f>IF('Eval-Avec act. écol. envisagée'!$T$107=0,"",IF('Eval-Avec act. écol. envisagée'!$T$107="","",IF('Eval-Avec act. écol. envisagée'!J413="X","oui","non")))</f>
        <v/>
      </c>
      <c r="BN6" s="3" t="str">
        <f>IF('Eval-Avec act. écol. envisagée'!$T$107=0,"",IF('Eval-Avec act. écol. envisagée'!$T$107="","",'Eval-Avec act. écol. envisagée'!C419))</f>
        <v/>
      </c>
      <c r="BO6" s="3" t="str">
        <f>IF('Eval-Avec act. écol. envisagée'!$T$107=0,"",IF('Eval-Avec act. écol. envisagée'!$T$107="","",'Eval-Avec act. écol. envisagée'!T424))</f>
        <v/>
      </c>
      <c r="BP6" s="3" t="str">
        <f>IF('Eval-Avec act. écol. envisagée'!$T$107=0,"",IF('Eval-Avec act. écol. envisagée'!$T$107="","",IF('Eval-Avec act. écol. envisagée'!J429="X","oui","non")))</f>
        <v/>
      </c>
      <c r="BQ6" s="3" t="str">
        <f>IF('Eval-Avec act. écol. envisagée'!$T$107=0,"",IF('Eval-Avec act. écol. envisagée'!$T$107="","",'Eval-Avec act. écol. envisagée'!C435))</f>
        <v/>
      </c>
      <c r="BR6" s="3" t="str">
        <f>IF('Eval-Avec act. écol. envisagée'!$T$107=0,"",IF('Eval-Avec act. écol. envisagée'!$T$107="","",IF('Eval-Avec act. écol. envisagée'!J440="X","oui","non")))</f>
        <v/>
      </c>
      <c r="BS6" s="3" t="str">
        <f>IF('Eval-Avec act. écol. envisagée'!$T$107=0,"",IF('Eval-Avec act. écol. envisagée'!$T$107="","",IF('Eval-Avec act. écol. envisagée'!J444="X","oui","non")))</f>
        <v/>
      </c>
      <c r="BT6" s="3" t="str">
        <f>IF('Eval-Avec act. écol. envisagée'!$T$107=0,"",IF('Eval-Avec act. écol. envisagée'!$T$107="","",IF('Eval-Avec act. écol. envisagée'!J449="X","oui","non")))</f>
        <v/>
      </c>
      <c r="BU6" s="3" t="str">
        <f>IF('Eval-Avec act. écol. envisagée'!$T$107=0,"",IF('Eval-Avec act. écol. envisagée'!$T$107="","",IF('Eval-Avec act. écol. envisagée'!J456="X",'Eval-Avec act. écol. envisagée'!I456,IF('Eval-Avec act. écol. envisagée'!J457="X",'Eval-Avec act. écol. envisagée'!I457,IF('Eval-Avec act. écol. envisagée'!T456="X",'Eval-Avec act. écol. envisagée'!S456,'Eval-Avec act. écol. envisagée'!S457)))))</f>
        <v/>
      </c>
      <c r="BV6" s="3" t="str">
        <f>IF('Eval-Avec act. écol. envisagée'!$T$107=0,"",IF('Eval-Avec act. écol. envisagée'!$T$107="","",IF('Eval-Avec act. écol. envisagée'!$C$465&lt;&gt;"",'Eval-Avec act. écol. envisagée'!$C$465,"")))</f>
        <v/>
      </c>
      <c r="BW6" s="3" t="str">
        <f>IF('Eval-Avec act. écol. envisagée'!$T$107=0,"",IF('Eval-Avec act. écol. envisagée'!$T$107="","",IF('Eval-Avec act. écol. envisagée'!$T$465&lt;&gt;"",'Eval-Avec act. écol. envisagée'!$T$465,"")))</f>
        <v/>
      </c>
      <c r="BX6" s="3" t="str">
        <f>IF('Eval-Avec act. écol. envisagée'!$T$107=0,"",IF('Eval-Avec act. écol. envisagée'!$T$107="","",IF('Eval-Avec act. écol. envisagée'!$C$466&lt;&gt;"",'Eval-Avec act. écol. envisagée'!$C$466,"")))</f>
        <v/>
      </c>
      <c r="BY6" s="3" t="str">
        <f>IF('Eval-Avec act. écol. envisagée'!$T$107=0,"",IF('Eval-Avec act. écol. envisagée'!$T$107="","",IF('Eval-Avec act. écol. envisagée'!$T$466&lt;&gt;"",'Eval-Avec act. écol. envisagée'!$T$466,"")))</f>
        <v/>
      </c>
      <c r="BZ6" s="3" t="str">
        <f>IF('Eval-Avec act. écol. envisagée'!$T$107=0,"",IF('Eval-Avec act. écol. envisagée'!$T$107="","",IF('Eval-Avec act. écol. envisagée'!$C$467&lt;&gt;"",'Eval-Avec act. écol. envisagée'!$C$467,"")))</f>
        <v/>
      </c>
      <c r="CA6" s="3" t="str">
        <f>IF('Eval-Avec act. écol. envisagée'!$T$107=0,"",IF('Eval-Avec act. écol. envisagée'!$T$107="","",IF('Eval-Avec act. écol. envisagée'!$T$467&lt;&gt;"",'Eval-Avec act. écol. envisagée'!$T$467,"")))</f>
        <v/>
      </c>
      <c r="CB6" s="3" t="str">
        <f>IF('Eval-Avec act. écol. envisagée'!$T$107=0,"",IF('Eval-Avec act. écol. envisagée'!$T$107="","",IF('Eval-Avec act. écol. envisagée'!$C$468&lt;&gt;"",'Eval-Avec act. écol. envisagée'!$C$468,"")))</f>
        <v/>
      </c>
      <c r="CC6" s="3" t="str">
        <f>IF('Eval-Avec act. écol. envisagée'!$T$107=0,"",IF('Eval-Avec act. écol. envisagée'!$T$107="","",IF('Eval-Avec act. écol. envisagée'!$T$468&lt;&gt;"",'Eval-Avec act. écol. envisagée'!$T$468,"")))</f>
        <v/>
      </c>
      <c r="CD6" s="3" t="str">
        <f>IF('Eval-Avec act. écol. envisagée'!$T$107=0,"",IF('Eval-Avec act. écol. envisagée'!$T$107="","",IF('Eval-Avec act. écol. envisagée'!$C$469&lt;&gt;"",'Eval-Avec act. écol. envisagée'!$C$469,"")))</f>
        <v/>
      </c>
      <c r="CE6" s="3" t="str">
        <f>IF('Eval-Avec act. écol. envisagée'!$T$107=0,"",IF('Eval-Avec act. écol. envisagée'!$T$107="","",IF('Eval-Avec act. écol. envisagée'!$T$469&lt;&gt;"",'Eval-Avec act. écol. envisagée'!$T$469,"")))</f>
        <v/>
      </c>
      <c r="CF6" s="3" t="str">
        <f>IF('Eval-Avec act. écol. envisagée'!$T$107=0,"",IF('Eval-Avec act. écol. envisagée'!$T$107="","",IF('Eval-Avec act. écol. envisagée'!$C$470&lt;&gt;"",'Eval-Avec act. écol. envisagée'!$C$470,"")))</f>
        <v/>
      </c>
      <c r="CG6" s="3" t="str">
        <f>IF('Eval-Avec act. écol. envisagée'!$T$107=0,"",IF('Eval-Avec act. écol. envisagée'!$T$107="","",IF('Eval-Avec act. écol. envisagée'!$T$470&lt;&gt;"",'Eval-Avec act. écol. envisagée'!$T$470,"")))</f>
        <v/>
      </c>
      <c r="CH6" s="3" t="str">
        <f>IF('Eval-Avec act. écol. envisagée'!$T$107=0,"",IF('Eval-Avec act. écol. envisagée'!$T$107="","",IF('Eval-Avec act. écol. envisagée'!$C$471&lt;&gt;"",'Eval-Avec act. écol. envisagée'!$C$471,"")))</f>
        <v/>
      </c>
      <c r="CI6" s="3" t="str">
        <f>IF('Eval-Avec act. écol. envisagée'!$T$107=0,"",IF('Eval-Avec act. écol. envisagée'!$T$107="","",IF('Eval-Avec act. écol. envisagée'!$T$471&lt;&gt;"",'Eval-Avec act. écol. envisagée'!$T$471,"")))</f>
        <v/>
      </c>
      <c r="CJ6" s="3" t="str">
        <f>IF('Eval-Avec act. écol. envisagée'!$T$107=0,"",IF('Eval-Avec act. écol. envisagée'!$T$107="","",IF('Eval-Avec act. écol. envisagée'!$C$472&lt;&gt;"",'Eval-Avec act. écol. envisagée'!$C$472,"")))</f>
        <v/>
      </c>
      <c r="CK6" s="3" t="str">
        <f>IF('Eval-Avec act. écol. envisagée'!$T$107=0,"",IF('Eval-Avec act. écol. envisagée'!$T$107="","",IF('Eval-Avec act. écol. envisagée'!$T$472&lt;&gt;"",'Eval-Avec act. écol. envisagée'!$T$472,"")))</f>
        <v/>
      </c>
      <c r="CL6" s="3" t="str">
        <f>IF('Eval-Avec act. écol. envisagée'!$T$107=0,"",IF('Eval-Avec act. écol. envisagée'!$T$107="","",IF('Eval-Avec act. écol. envisagée'!$C$473&lt;&gt;"",'Eval-Avec act. écol. envisagée'!$C$473,"")))</f>
        <v/>
      </c>
      <c r="CM6" s="3" t="str">
        <f>IF('Eval-Avec act. écol. envisagée'!$T$107=0,"",IF('Eval-Avec act. écol. envisagée'!$T$107="","",IF('Eval-Avec act. écol. envisagée'!$T$473&lt;&gt;"",'Eval-Avec act. écol. envisagée'!$T$473,"")))</f>
        <v/>
      </c>
      <c r="CN6" s="3" t="str">
        <f>IF('Eval-Avec act. écol. envisagée'!$T$107=0,"",IF('Eval-Avec act. écol. envisagée'!$T$107="","",IF('Eval-Avec act. écol. envisagée'!$C$474&lt;&gt;"",'Eval-Avec act. écol. envisagée'!$C$474,"")))</f>
        <v/>
      </c>
      <c r="CO6" s="3" t="str">
        <f>IF('Eval-Avec act. écol. envisagée'!$T$107=0,"",IF('Eval-Avec act. écol. envisagée'!$T$107="","",IF('Eval-Avec act. écol. envisagée'!$T$474&lt;&gt;"",'Eval-Avec act. écol. envisagée'!$T$474,"")))</f>
        <v/>
      </c>
      <c r="CP6" s="3" t="str">
        <f>IF('Eval-Avec act. écol. envisagée'!$T$107=0,"",IF('Eval-Avec act. écol. envisagée'!$T$107="","",IF('Eval-Avec act. écol. envisagée'!$C$475&lt;&gt;"",'Eval-Avec act. écol. envisagée'!$C$475,"")))</f>
        <v/>
      </c>
      <c r="CQ6" s="3" t="str">
        <f>IF('Eval-Avec act. écol. envisagée'!$T$107=0,"",IF('Eval-Avec act. écol. envisagée'!$T$107="","",IF('Eval-Avec act. écol. envisagée'!$T$475&lt;&gt;"",'Eval-Avec act. écol. envisagée'!$T$475,"")))</f>
        <v/>
      </c>
      <c r="CR6" s="3" t="str">
        <f>IF('Eval-Avec act. écol. envisagée'!$T$107=0,"",IF('Eval-Avec act. écol. envisagée'!$T$107="","",IF('Eval-Avec act. écol. envisagée'!$C$476&lt;&gt;"",'Eval-Avec act. écol. envisagée'!$C$476,"")))</f>
        <v/>
      </c>
      <c r="CS6" s="3" t="str">
        <f>IF('Eval-Avec act. écol. envisagée'!$T$107=0,"",IF('Eval-Avec act. écol. envisagée'!$T$107="","",IF('Eval-Avec act. écol. envisagée'!$T$476&lt;&gt;"",'Eval-Avec act. écol. envisagée'!$T$476,"")))</f>
        <v/>
      </c>
      <c r="CT6" s="3" t="str">
        <f>IF('Eval-Avec act. écol. envisagée'!$T$107=0,"",IF('Eval-Avec act. écol. envisagée'!$T$107="","",IF('Eval-Avec act. écol. envisagée'!$C$477&lt;&gt;"",'Eval-Avec act. écol. envisagée'!$C$477,"")))</f>
        <v/>
      </c>
      <c r="CU6" s="3" t="str">
        <f>IF('Eval-Avec act. écol. envisagée'!$T$107=0,"",IF('Eval-Avec act. écol. envisagée'!$T$107="","",IF('Eval-Avec act. écol. envisagée'!$T$477&lt;&gt;"",'Eval-Avec act. écol. envisagée'!$T$477,"")))</f>
        <v/>
      </c>
      <c r="CV6" s="3" t="str">
        <f>IF('Eval-Avec act. écol. envisagée'!$T$107=0,"",IF('Eval-Avec act. écol. envisagée'!$T$107="","",IF('Eval-Avec act. écol. envisagée'!$C$478&lt;&gt;"",'Eval-Avec act. écol. envisagée'!$C$478,"")))</f>
        <v/>
      </c>
      <c r="CW6" s="3" t="str">
        <f>IF('Eval-Avec act. écol. envisagée'!$T$107=0,"",IF('Eval-Avec act. écol. envisagée'!$T$107="","",IF('Eval-Avec act. écol. envisagée'!$T$478&lt;&gt;"",'Eval-Avec act. écol. envisagée'!$T$478,"")))</f>
        <v/>
      </c>
      <c r="CX6" s="3" t="str">
        <f>IF('Eval-Avec act. écol. envisagée'!$T$107=0,"",IF('Eval-Avec act. écol. envisagée'!$T$107="","",IF('Eval-Avec act. écol. envisagée'!$C$479&lt;&gt;"",'Eval-Avec act. écol. envisagée'!$C$479,"")))</f>
        <v/>
      </c>
      <c r="CY6" s="3" t="str">
        <f>IF('Eval-Avec act. écol. envisagée'!$T$107=0,"",IF('Eval-Avec act. écol. envisagée'!$T$107="","",IF('Eval-Avec act. écol. envisagée'!$T$479&lt;&gt;"",'Eval-Avec act. écol. envisagée'!$T$479,"")))</f>
        <v/>
      </c>
      <c r="CZ6" s="3" t="str">
        <f>IF('Eval-Avec act. écol. envisagée'!$T$107=0,"",IF('Eval-Avec act. écol. envisagée'!$T$107="","",'Eval-Avec act. écol. envisagée'!C486))</f>
        <v/>
      </c>
      <c r="DA6" s="3" t="str">
        <f>IF('Eval-Avec act. écol. envisagée'!$T$107=0,"",IF('Eval-Avec act. écol. envisagée'!$T$107="","",'Eval-Avec act. écol. envisagée'!T491))</f>
        <v/>
      </c>
      <c r="DB6" s="3" t="str">
        <f>IF('Eval-Avec act. écol. envisagée'!$T$107=0,"",IF('Eval-Avec act. écol. envisagée'!$T$107="","",IF('Eval-Avec act. écol. envisagée'!T498&lt;&gt;"",'Eval-Avec act. écol. envisagée'!T498,"")))</f>
        <v/>
      </c>
      <c r="DC6" s="3" t="str">
        <f>IF('Eval-Avec act. écol. envisagée'!$T$107=0,"",IF('Eval-Avec act. écol. envisagée'!$T$107="","",IF('Eval-Avec act. écol. envisagée'!T503&lt;&gt;"",'Eval-Avec act. écol. envisagée'!T503,"")))</f>
        <v/>
      </c>
      <c r="DD6" s="3" t="str">
        <f>IF('Eval-Avec act. écol. envisagée'!$T$107=0,"",IF('Eval-Avec act. écol. envisagée'!$T$107="","",IF('Eval-Avec act. écol. envisagée'!T504&lt;&gt;"",'Eval-Avec act. écol. envisagée'!T504,"")))</f>
        <v/>
      </c>
      <c r="DE6" s="3" t="str">
        <f>IF('Eval-Avec act. écol. envisagée'!$T$107=0,"",IF('Eval-Avec act. écol. envisagée'!$T$107="","",IF('Eval-Avec act. écol. envisagée'!J508="X","oui","non")))</f>
        <v/>
      </c>
      <c r="DF6" s="3" t="str">
        <f>IF('Eval-Avec act. écol. envisagée'!$T$107=0,"",IF('Eval-Avec act. écol. envisagée'!$T$107="","",'Eval-Avec act. écol. envisagée'!C514))</f>
        <v/>
      </c>
      <c r="DG6" s="3" t="str">
        <f>IF('Eval-Avec act. écol. envisagée'!$T$107=0,"",IF('Eval-Avec act. écol. envisagée'!$T$107="","",IF('Eval-Avec act. écol. envisagée'!J522="X","oui","non")))</f>
        <v/>
      </c>
      <c r="DH6" s="3" t="str">
        <f>IF('Eval-Avec act. écol. envisagée'!$T$107=0,"",IF('Eval-Avec act. écol. envisagée'!$T$107="","",IF('Eval-Avec act. écol. envisagée'!C526&lt;&gt;"",'Eval-Avec act. écol. envisagée'!C526,"")))</f>
        <v/>
      </c>
      <c r="DI6" s="3" t="str">
        <f>IF('Eval-Avec act. écol. envisagée'!$T$107=0,"",IF('Eval-Avec act. écol. envisagée'!$T$107="","",IF('Eval-Avec act. écol. envisagée'!C534&lt;&gt;"",'Eval-Avec act. écol. envisagée'!C534,"")))</f>
        <v/>
      </c>
      <c r="DJ6" s="3" t="str">
        <f>IF('Eval-Avec act. écol. envisagée'!$T$107=0,"",IF('Eval-Avec act. écol. envisagée'!$T$107="","",IF('Eval-Avec act. écol. envisagée'!C537&lt;&gt;"",'Eval-Avec act. écol. envisagée'!C537,"")))</f>
        <v/>
      </c>
      <c r="DK6" s="3" t="str">
        <f>IF('Eval-Avec act. écol. envisagée'!$T$107=0,"",IF('Eval-Avec act. écol. envisagée'!$T$107="","",IF('Eval-Avec act. écol. envisagée'!C540&lt;&gt;"",'Eval-Avec act. écol. envisagée'!C540,"")))</f>
        <v/>
      </c>
      <c r="DL6" s="3" t="str">
        <f>IF('Eval-Avec act. écol. envisagée'!$T$107=0,"",IF('Eval-Avec act. écol. envisagée'!$T$107="","",IF('Eval-Avec act. écol. envisagée'!C543&lt;&gt;"",'Eval-Avec act. écol. envisagée'!C543,"")))</f>
        <v/>
      </c>
      <c r="DM6" s="3" t="str">
        <f>IF('Eval-Avec act. écol. envisagée'!$T$107=0,"",IF('Eval-Avec act. écol. envisagée'!$T$107="","",IF('Eval-Avec act. écol. envisagée'!C546&lt;&gt;"",'Eval-Avec act. écol. envisagée'!C546,"")))</f>
        <v/>
      </c>
      <c r="DN6" s="3" t="str">
        <f>IF('Eval-Avec act. écol. envisagée'!$T$107=0,"",IF('Eval-Avec act. écol. envisagée'!$T$107="","",IF('Eval-Avec act. écol. envisagée'!C552&lt;&gt;"",'Eval-Avec act. écol. envisagée'!C552,"")))</f>
        <v/>
      </c>
      <c r="DO6" s="3" t="str">
        <f>IF('Eval-Avec act. écol. envisagée'!$T$107=0,"",IF('Eval-Avec act. écol. envisagée'!$T$107="","",IF('Eval-Avec act. écol. envisagée'!C559&lt;&gt;"",'Eval-Avec act. écol. envisagée'!C559,"")))</f>
        <v/>
      </c>
      <c r="DP6" s="3" t="str">
        <f>IF('Eval-Avec act. écol. envisagée'!$T$107=0,"",IF('Eval-Avec act. écol. envisagée'!$T$107="","",IF('Eval-Avec act. écol. envisagée'!C562&lt;&gt;"",'Eval-Avec act. écol. envisagée'!C562,"")))</f>
        <v/>
      </c>
      <c r="DQ6" s="3" t="str">
        <f>IF('Eval-Avec act. écol. envisagée'!$T$107=0,"",IF('Eval-Avec act. écol. envisagée'!$T$107="","",IF('Eval-Avec act. écol. envisagée'!C565&lt;&gt;"",'Eval-Avec act. écol. envisagée'!C565,"")))</f>
        <v/>
      </c>
      <c r="DR6" s="3" t="str">
        <f>IF('Eval-Avec act. écol. envisagée'!$T$107=0,"",IF('Eval-Avec act. écol. envisagée'!$T$107="","",IF('Eval-Avec act. écol. envisagée'!C568&lt;&gt;"",'Eval-Avec act. écol. envisagée'!C568,"")))</f>
        <v/>
      </c>
      <c r="DS6" s="3" t="str">
        <f>IF('Eval-Avec act. écol. envisagée'!$T$107=0,"",IF('Eval-Avec act. écol. envisagée'!$T$107="","",IF('Eval-Avec act. écol. envisagée'!C576&lt;&gt;"",'Eval-Avec act. écol. envisagée'!C576,"")))</f>
        <v/>
      </c>
      <c r="DT6" s="3" t="str">
        <f>IF('Eval-Avec act. écol. envisagée'!$T$107=0,"",IF('Eval-Avec act. écol. envisagée'!$T$107="","",IF('Eval-Avec act. écol. envisagée'!C582&lt;&gt;"",'Eval-Avec act. écol. envisagée'!C582,"")))</f>
        <v/>
      </c>
      <c r="DU6" s="3" t="str">
        <f>IF('Eval-Avec act. écol. envisagée'!$T$107=0,"",IF('Eval-Avec act. écol. envisagée'!$T$107="","",IF('Eval-Avec act. écol. envisagée'!C588&lt;&gt;"",'Eval-Avec act. écol. envisagée'!C588,"")))</f>
        <v/>
      </c>
      <c r="DV6" s="3" t="str">
        <f>IF('Eval-Avec act. écol. envisagée'!$T$107=0,"",IF('Eval-Avec act. écol. envisagée'!$T$107="","",IF('Eval-Avec act. écol. envisagée'!J594="X","oui","non")))</f>
        <v/>
      </c>
      <c r="DW6" s="3" t="str">
        <f>IF('Eval-Avec act. écol. envisagée'!$T$107=0,"",IF('Eval-Avec act. écol. envisagée'!$T$107="","",IF('Eval-Avec act. écol. envisagée'!J594="X",'Eval-Avec act. écol. envisagée'!T600,"")))</f>
        <v/>
      </c>
      <c r="DX6" s="19" t="str">
        <f>IF('Eval-Avec act. écol. envisagée'!$T$107=0,"",IF('Eval-Avec act. écol. envisagée'!$T$107="","",'Eval-Avec act. écol. envisagée'!J605))</f>
        <v/>
      </c>
      <c r="DY6" s="3" t="str">
        <f>IF('Eval-Avec act. écol. envisagée'!$T$107=0,"",IF('Eval-Avec act. écol. envisagée'!$T$107="","",'Eval-Avec act. écol. envisagée'!F609))</f>
        <v/>
      </c>
      <c r="DZ6" s="3" t="str">
        <f>IF('Eval-Avec act. écol. envisagée'!$T$107=0,"",IF('Eval-Avec act. écol. envisagée'!$T$107="","",'Eval-Avec act. écol. envisagée'!I609))</f>
        <v/>
      </c>
      <c r="EA6" s="3" t="str">
        <f>IF('Eval-Avec act. écol. envisagée'!$T$107=0,"",IF('Eval-Avec act. écol. envisagée'!$T$107="","",'Eval-Avec act. écol. envisagée'!L609))</f>
        <v/>
      </c>
      <c r="EB6" s="3" t="str">
        <f>IF('Eval-Avec act. écol. envisagée'!$T$107=0,"",IF('Eval-Avec act. écol. envisagée'!$T$107="","",'Eval-Avec act. écol. envisagée'!O609))</f>
        <v/>
      </c>
      <c r="EC6" s="3" t="str">
        <f>IF('Eval-Avec act. écol. envisagée'!$T$107=0,"",IF('Eval-Avec act. écol. envisagée'!$T$107="","",'Eval-Avec act. écol. envisagée'!F610))</f>
        <v/>
      </c>
      <c r="ED6" s="3" t="str">
        <f>IF('Eval-Avec act. écol. envisagée'!$T$107=0,"",IF('Eval-Avec act. écol. envisagée'!$T$107="","",'Eval-Avec act. écol. envisagée'!I610))</f>
        <v/>
      </c>
      <c r="EE6" s="3" t="str">
        <f>IF('Eval-Avec act. écol. envisagée'!$T$107=0,"",IF('Eval-Avec act. écol. envisagée'!$T$107="","",'Eval-Avec act. écol. envisagée'!L610))</f>
        <v/>
      </c>
      <c r="EF6" s="3" t="str">
        <f>IF('Eval-Avec act. écol. envisagée'!$T$107=0,"",IF('Eval-Avec act. écol. envisagée'!$T$107="","",'Eval-Avec act. écol. envisagée'!O610))</f>
        <v/>
      </c>
      <c r="EG6" s="3" t="str">
        <f>IF('Eval-Avec act. écol. envisagée'!$T$107=0,"",IF('Eval-Avec act. écol. envisagée'!$T$107="","",'Eval-Avec act. écol. envisagée'!F611))</f>
        <v/>
      </c>
      <c r="EH6" s="3" t="str">
        <f>IF('Eval-Avec act. écol. envisagée'!$T$107=0,"",IF('Eval-Avec act. écol. envisagée'!$T$107="","",'Eval-Avec act. écol. envisagée'!I611))</f>
        <v/>
      </c>
      <c r="EI6" s="3" t="str">
        <f>IF('Eval-Avec act. écol. envisagée'!$T$107=0,"",IF('Eval-Avec act. écol. envisagée'!$T$107="","",'Eval-Avec act. écol. envisagée'!L611))</f>
        <v/>
      </c>
      <c r="EJ6" s="3" t="str">
        <f>IF('Eval-Avec act. écol. envisagée'!$T$107=0,"",IF('Eval-Avec act. écol. envisagée'!$T$107="","",'Eval-Avec act. écol. envisagée'!O611))</f>
        <v/>
      </c>
      <c r="EK6" s="3" t="str">
        <f>IF('Eval-Avec act. écol. envisagée'!$T$107=0,"",IF('Eval-Avec act. écol. envisagée'!$T$107="","",'Eval-Avec act. écol. envisagée'!F612))</f>
        <v/>
      </c>
      <c r="EL6" s="3" t="str">
        <f>IF('Eval-Avec act. écol. envisagée'!$T$107=0,"",IF('Eval-Avec act. écol. envisagée'!$T$107="","",'Eval-Avec act. écol. envisagée'!I612))</f>
        <v/>
      </c>
      <c r="EM6" s="3" t="str">
        <f>IF('Eval-Avec act. écol. envisagée'!$T$107=0,"",IF('Eval-Avec act. écol. envisagée'!$T$107="","",'Eval-Avec act. écol. envisagée'!L612))</f>
        <v/>
      </c>
      <c r="EN6" s="3" t="str">
        <f>IF('Eval-Avec act. écol. envisagée'!$T$107=0,"",IF('Eval-Avec act. écol. envisagée'!$T$107="","",'Eval-Avec act. écol. envisagée'!O612))</f>
        <v/>
      </c>
      <c r="EO6" s="3" t="str">
        <f>IF('Eval-Avec act. écol. envisagée'!$T$107=0,"",IF('Eval-Avec act. écol. envisagée'!$T$107="","",'Eval-Avec act. écol. envisagée'!T619))</f>
        <v/>
      </c>
      <c r="EP6" s="3" t="str">
        <f>IF('Eval-Avec act. écol. envisagée'!$T$107=0,"",IF('Eval-Avec act. écol. envisagée'!$T$107="","",'Eval-Avec act. écol. envisagée'!T622))</f>
        <v/>
      </c>
      <c r="EQ6" s="3" t="str">
        <f>IF('Eval-Avec act. écol. envisagée'!$T$107=0,"",IF('Eval-Avec act. écol. envisagée'!$T$107="","",'Eval-Avec act. écol. envisagée'!T623))</f>
        <v/>
      </c>
      <c r="ER6" s="3" t="str">
        <f>IF('Eval-Avec act. écol. envisagée'!$T$107=0,"",IF('Eval-Avec act. écol. envisagée'!$T$107="","",'Eval-Avec act. écol. envisagée'!T624))</f>
        <v/>
      </c>
      <c r="ES6" s="3" t="str">
        <f>IF('Eval-Avec act. écol. envisagée'!$T$107=0,"",IF('Eval-Avec act. écol. envisagée'!$T$107="","",'Eval-Avec act. écol. envisagée'!T626))</f>
        <v/>
      </c>
      <c r="ET6" s="3" t="str">
        <f>IF('Eval-Avec act. écol. envisagée'!$T$107=0,"",IF('Eval-Avec act. écol. envisagée'!$T$107="","",'Eval-Avec act. écol. envisagée'!T627))</f>
        <v/>
      </c>
      <c r="EU6" s="3" t="str">
        <f>IF('Eval-Avec act. écol. envisagée'!$T$107=0,"",IF('Eval-Avec act. écol. envisagée'!$T$107="","",'Eval-Avec act. écol. envisagée'!T628))</f>
        <v/>
      </c>
      <c r="EV6" s="3" t="str">
        <f>IF('Eval-Avec act. écol. envisagée'!$T$107=0,"",IF('Eval-Avec act. écol. envisagée'!$T$107="","",'Eval-Avec act. écol. envisagée'!T629))</f>
        <v/>
      </c>
      <c r="EW6" s="3" t="str">
        <f>IF('Eval-Avec act. écol. envisagée'!$T$107=0,"",IF('Eval-Avec act. écol. envisagée'!$T$107="","",'Eval-Avec act. écol. envisagée'!T630))</f>
        <v/>
      </c>
      <c r="EX6" s="3" t="str">
        <f>IF('Eval-Avec act. écol. envisagée'!$T$107=0,"",IF('Eval-Avec act. écol. envisagée'!$T$107="","",'Eval-Avec act. écol. envisagée'!T637))</f>
        <v/>
      </c>
      <c r="EY6" s="3" t="str">
        <f>IF('Eval-Avec act. écol. envisagée'!$T$107=0,"",IF('Eval-Avec act. écol. envisagée'!$T$107="","",'Eval-Avec act. écol. envisagée'!T639))</f>
        <v/>
      </c>
      <c r="EZ6" s="3" t="str">
        <f>IF('Eval-Avec act. écol. envisagée'!$T$107=0,"",IF('Eval-Avec act. écol. envisagée'!$T$107="","",'Eval-Avec act. écol. envisagée'!T640))</f>
        <v/>
      </c>
      <c r="FA6" s="3" t="str">
        <f>IF('Eval-Avec act. écol. envisagée'!$T$107=0,"",IF('Eval-Avec act. écol. envisagée'!$T$107="","",'Eval-Avec act. écol. envisagée'!T648))</f>
        <v/>
      </c>
      <c r="FB6" s="3" t="str">
        <f>IF('Eval-Avec act. écol. envisagée'!$T$107=0,"",IF('Eval-Avec act. écol. envisagée'!$T$107="","",'Eval-Avec act. écol. envisagée'!T649))</f>
        <v/>
      </c>
      <c r="FC6" s="3" t="str">
        <f>IF('Eval-Avec act. écol. envisagée'!$T$107=0,"",IF('Eval-Avec act. écol. envisagée'!$T$107="","",'Eval-Avec act. écol. envisagée'!T651))</f>
        <v/>
      </c>
      <c r="FD6" s="3" t="str">
        <f>IF('Eval-Avec act. écol. envisagée'!$T$107=0,"",IF('Eval-Avec act. écol. envisagée'!$T$107="","",'Eval-Avec act. écol. envisagée'!T652))</f>
        <v/>
      </c>
      <c r="FE6" s="3" t="str">
        <f>IF('Eval-Avec act. écol. envisagée'!$T$107=0,"",IF('Eval-Avec act. écol. envisagée'!$T$107="","",'Eval-Avec act. écol. envisagée'!T654))</f>
        <v/>
      </c>
      <c r="FF6" s="3" t="str">
        <f>IF('Eval-Avec act. écol. envisagée'!$T$107=0,"",IF('Eval-Avec act. écol. envisagée'!$T$107="","",IF('Eval-Avec act. écol. envisagée'!J661="X","oui","non")))</f>
        <v/>
      </c>
      <c r="FG6" s="3" t="str">
        <f>IF('Eval-Avec act. écol. envisagée'!$T$107=0,"",IF('Eval-Avec act. écol. envisagée'!$T$107="","",IF('Eval-Avec act. écol. envisagée'!J662="X","oui","non")))</f>
        <v/>
      </c>
      <c r="FH6" s="3" t="str">
        <f>IF('Eval-Avec act. écol. envisagée'!$T$107=0,"",IF('Eval-Avec act. écol. envisagée'!$T$107="","",'Eval-Avec act. écol. envisagée'!J669))</f>
        <v/>
      </c>
      <c r="FI6" s="3" t="str">
        <f>IF('Eval-Avec act. écol. envisagée'!$T$107=0,"",IF('Eval-Avec act. écol. envisagée'!$T$107="","",'Eval-Avec act. écol. envisagée'!J670))</f>
        <v/>
      </c>
      <c r="FJ6" s="3" t="str">
        <f>IF('Eval-Avec act. écol. envisagée'!$T$107=0,"",IF('Eval-Avec act. écol. envisagée'!$T$107="","",'Eval-Avec act. écol. envisagée'!N669))</f>
        <v/>
      </c>
      <c r="FK6" s="3" t="str">
        <f>IF('Eval-Avec act. écol. envisagée'!$T$107=0,"",IF('Eval-Avec act. écol. envisagée'!$T$107="","",'Eval-Avec act. écol. envisagée'!N670))</f>
        <v/>
      </c>
      <c r="FL6" s="3" t="str">
        <f>IF('Eval-Avec act. écol. envisagée'!$T$107=0,"",IF('Eval-Avec act. écol. envisagée'!$T$107="","",'Eval-Avec act. écol. envisagée'!T669))</f>
        <v/>
      </c>
      <c r="FM6" s="3" t="str">
        <f>IF('Eval-Avec act. écol. envisagée'!$T$107=0,"",IF('Eval-Avec act. écol. envisagée'!$T$107="","",'Eval-Avec act. écol. envisagée'!T670))</f>
        <v/>
      </c>
      <c r="FN6" s="3" t="str">
        <f>IF('Eval-Avec act. écol. envisagée'!$T$107=0,"",IF('Eval-Avec act. écol. envisagée'!$T$107="","",IF('Eval-Avec act. écol. envisagée'!J677="X","oui",IF('Eval-Avec act. écol. envisagée'!T677="X","non",""))))</f>
        <v/>
      </c>
      <c r="FO6" s="3" t="str">
        <f>IF('Eval-Avec act. écol. envisagée'!$T$107=0,"",IF('Eval-Avec act. écol. envisagée'!$T$107="","",IF('Eval-Avec act. écol. envisagée'!J682="X","oui",IF('Eval-Avec act. écol. envisagée'!T682="X","non",""))))</f>
        <v/>
      </c>
      <c r="FP6" s="3" t="str">
        <f>IF('Eval-Avec act. écol. envisagée'!$T$107=0,"",IF('Eval-Avec act. écol. envisagée'!$T$107="","",IF('Eval-Avec act. écol. envisagée'!J686="X","oui",IF('Eval-Avec act. écol. envisagée'!T686="X","non",""))))</f>
        <v/>
      </c>
      <c r="FQ6" s="3" t="str">
        <f>IF('Eval-Avec act. écol. envisagée'!$T$107=0,"",IF('Eval-Avec act. écol. envisagée'!$T$107="","",IF('Eval-Avec act. écol. envisagée'!T691&lt;&gt;"",'Eval-Avec act. écol. envisagée'!T691,"")))</f>
        <v/>
      </c>
      <c r="FR6" s="3" t="str">
        <f>IF('Eval-Avec act. écol. envisagée'!$T$107=0,"",IF('Eval-Avec act. écol. envisagée'!$T$107="","",IF('Eval-Avec act. écol. envisagée'!J695="X","oui",IF('Eval-Avec act. écol. envisagée'!T695="X","non",""))))</f>
        <v/>
      </c>
      <c r="FS6" s="3" t="str">
        <f>IF('Eval-Avec act. écol. envisagée'!$T$107=0,"",IF('Eval-Avec act. écol. envisagée'!$T$107="","",IF('Eval-Avec act. écol. envisagée'!T699&lt;&gt;"",'Eval-Avec act. écol. envisagée'!T699,"")))</f>
        <v/>
      </c>
      <c r="FT6" s="3" t="str">
        <f>IF('Eval-Avec act. écol. envisagée'!$T$107=0,"",IF('Eval-Avec act. écol. envisagée'!$T$107="","",IF('Eval-Avec act. écol. envisagée'!J703="X","oui",IF('Eval-Avec act. écol. envisagée'!T703="X","non",""))))</f>
        <v/>
      </c>
      <c r="FU6" s="3" t="str">
        <f>IF('Eval-Avec act. écol. envisagée'!$T$107=0,"",IF('Eval-Avec act. écol. envisagée'!$T$107="","",IF('Eval-Avec act. écol. envisagée'!J711="X","oui",IF('Eval-Avec act. écol. envisagée'!T711="X","non",""))))</f>
        <v/>
      </c>
      <c r="FV6" s="3" t="str">
        <f>IF('Eval-Avec act. écol. envisagée'!$T$107=0,"",IF('Eval-Avec act. écol. envisagée'!$T$107="","",IF(COUNTA('Eval-Avec act. écol. envisagée'!J715,'Eval-Avec act. écol. envisagée'!J716,'Eval-Avec act. écol. envisagée'!J717,'Eval-Avec act. écol. envisagée'!J718,'Eval-Avec act. écol. envisagée'!T715,'Eval-Avec act. écol. envisagée'!T716,'Eval-Avec act. écol. envisagée'!T717)=0,"",IF('Eval-Avec act. écol. envisagée'!J715="X",'Eval-Avec act. écol. envisagée'!I715,IF('Eval-Avec act. écol. envisagée'!T715="X",'Eval-Avec act. écol. envisagée'!S715,IF('Eval-Avec act. écol. envisagée'!J716="X",'Eval-Avec act. écol. envisagée'!I716,IF('Eval-Avec act. écol. envisagée'!T716="X",'Eval-Avec act. écol. envisagée'!S716,IF('Eval-Avec act. écol. envisagée'!J717="X",'Eval-Avec act. écol. envisagée'!I717,IF('Eval-Avec act. écol. envisagée'!T717="X",'Eval-Avec act. écol. envisagée'!S717,'Eval-Avec act. écol. envisagée'!I718)))))))))</f>
        <v/>
      </c>
      <c r="FW6" s="3" t="str">
        <f>IF('Eval-Avec act. écol. envisagée'!$T$107=0,"",IF('Eval-Avec act. écol. envisagée'!$T$107="","",IF('Eval-Avec act. écol. envisagée'!J722="X","oui",IF('Eval-Avec act. écol. envisagée'!T722="X","non",""))))</f>
        <v/>
      </c>
      <c r="FX6" s="3" t="str">
        <f>IF('Eval-Avec act. écol. envisagée'!$T$107=0,"",IF('Eval-Avec act. écol. envisagée'!$T$107="","",IF('Eval-Avec act. écol. envisagée'!T726&lt;&gt;"",'Eval-Avec act. écol. envisagée'!T726,"")))</f>
        <v/>
      </c>
      <c r="FY6" s="3" t="str">
        <f>IF('Eval-Avec act. écol. envisagée'!$T$107=0,"",IF('Eval-Avec act. écol. envisagée'!$T$107="","",IF('Eval-Avec act. écol. envisagée'!T732&lt;&gt;"",'Eval-Avec act. écol. envisagée'!T732,"")))</f>
        <v/>
      </c>
      <c r="FZ6" s="3" t="str">
        <f>IF('Eval-Avec act. écol. envisagée'!$T$107=0,"",IF('Eval-Avec act. écol. envisagée'!$T$107="","",IF('Eval-Avec act. écol. envisagée'!T734&lt;&gt;"",'Eval-Avec act. écol. envisagée'!T734,"")))</f>
        <v/>
      </c>
      <c r="GA6" s="3" t="str">
        <f>IF('Eval-Avec act. écol. envisagée'!$T$107=0,"",IF('Eval-Avec act. écol. envisagée'!$T$107="","",IF('Eval-Avec act. écol. envisagée'!T736&lt;&gt;"",'Eval-Avec act. écol. envisagée'!T736,"")))</f>
        <v/>
      </c>
      <c r="GB6" s="3" t="str">
        <f>IF('Eval-Avec act. écol. envisagée'!$T$107=0,"",IF('Eval-Avec act. écol. envisagée'!$T$107="","",IF('Eval-Avec act. écol. envisagée'!T738&lt;&gt;"",'Eval-Avec act. écol. envisagée'!T738,"")))</f>
        <v/>
      </c>
      <c r="GC6" s="3" t="str">
        <f>IF('Eval-Avec act. écol. envisagée'!$T$107=0,"",IF('Eval-Avec act. écol. envisagée'!$T$107="","",IF('Eval-Avec act. écol. envisagée'!B755&lt;&gt;"",'Eval-Avec act. écol. envisagée'!B755,"")))</f>
        <v/>
      </c>
      <c r="GD6" s="3" t="str">
        <f>IF('Eval-Avec act. écol. envisagée'!$T$107=0,"",IF('Eval-Avec act. écol. envisagée'!$T$107="","",IF('Eval-Avec act. écol. envisagée'!C755&lt;&gt;"",'Eval-Avec act. écol. envisagée'!C755,"")))</f>
        <v/>
      </c>
      <c r="GE6" s="3" t="str">
        <f>IF('Eval-Avec act. écol. envisagée'!$T$107=0,"",IF('Eval-Avec act. écol. envisagée'!$T$107="","",IF('Eval-Avec act. écol. envisagée'!A761&lt;&gt;"",'Eval-Avec act. écol. envisagée'!A761,"")))</f>
        <v/>
      </c>
      <c r="GF6" s="3" t="str">
        <f>IF('Eval-Avec act. écol. envisagée'!$T$107=0,"",IF('Eval-Avec act. écol. envisagée'!$T$107="","",IF('Eval-Avec act. écol. envisagée'!B761&lt;&gt;"",'Eval-Avec act. écol. envisagée'!B761,"")))</f>
        <v/>
      </c>
      <c r="GG6" s="3" t="str">
        <f>IF('Eval-Avec act. écol. envisagée'!$T$107=0,"",IF('Eval-Avec act. écol. envisagée'!$T$107="","",IF('Eval-Avec act. écol. envisagée'!C761&lt;&gt;"",'Eval-Avec act. écol. envisagée'!C761,"")))</f>
        <v/>
      </c>
      <c r="GH6" s="3" t="str">
        <f>IF('Eval-Avec act. écol. envisagée'!$T$107=0,"",IF('Eval-Avec act. écol. envisagée'!$T$107="","",IF('Eval-Avec act. écol. envisagée'!E761&lt;&gt;"",'Eval-Avec act. écol. envisagée'!E761,"")))</f>
        <v/>
      </c>
      <c r="GI6" s="3" t="str">
        <f>IF('Eval-Avec act. écol. envisagée'!$T$107=0,"",IF('Eval-Avec act. écol. envisagée'!$T$107="","",IF('Eval-Avec act. écol. envisagée'!G761&lt;&gt;"",'Eval-Avec act. écol. envisagée'!G761,"")))</f>
        <v/>
      </c>
      <c r="GJ6" s="3" t="str">
        <f>IF('Eval-Avec act. écol. envisagée'!$T$107=0,"",IF('Eval-Avec act. écol. envisagée'!$T$107="","",IF('Eval-Avec act. écol. envisagée'!H761&lt;&gt;"",'Eval-Avec act. écol. envisagée'!H761,"")))</f>
        <v/>
      </c>
      <c r="GK6" s="3" t="str">
        <f>IF('Eval-Avec act. écol. envisagée'!$T$107=0,"",IF('Eval-Avec act. écol. envisagée'!$T$107="","",IF('Eval-Avec act. écol. envisagée'!I761&lt;&gt;"",'Eval-Avec act. écol. envisagée'!I761,"")))</f>
        <v/>
      </c>
      <c r="GL6" s="3" t="str">
        <f>IF('Eval-Avec act. écol. envisagée'!$T$107=0,"",IF('Eval-Avec act. écol. envisagée'!$T$107="","",IF('Eval-Avec act. écol. envisagée'!J761&lt;&gt;"",'Eval-Avec act. écol. envisagée'!J761,"")))</f>
        <v/>
      </c>
      <c r="GM6" s="3" t="str">
        <f>IF('Eval-Avec act. écol. envisagée'!$T$107=0,"",IF('Eval-Avec act. écol. envisagée'!$T$107="","",IF('Eval-Avec act. écol. envisagée'!K761&lt;&gt;"",'Eval-Avec act. écol. envisagée'!K761,"")))</f>
        <v/>
      </c>
      <c r="GN6" s="3" t="str">
        <f>IF('Eval-Avec act. écol. envisagée'!$T$107=0,"",IF('Eval-Avec act. écol. envisagée'!$T$107="","",IF('Eval-Avec act. écol. envisagée'!L761&lt;&gt;"",'Eval-Avec act. écol. envisagée'!L761,"")))</f>
        <v/>
      </c>
      <c r="GO6" s="3" t="str">
        <f>IF('Eval-Avec act. écol. envisagée'!$T$107=0,"",IF('Eval-Avec act. écol. envisagée'!$T$107="","",IF('Eval-Avec act. écol. envisagée'!M761&lt;&gt;"",'Eval-Avec act. écol. envisagée'!M761,"")))</f>
        <v/>
      </c>
      <c r="GP6" s="3" t="str">
        <f>IF('Eval-Avec act. écol. envisagée'!$T$107=0,"",IF('Eval-Avec act. écol. envisagée'!$T$107="","",IF('Eval-Avec act. écol. envisagée'!N761&lt;&gt;"",'Eval-Avec act. écol. envisagée'!N761,"")))</f>
        <v/>
      </c>
      <c r="GQ6" s="3" t="str">
        <f>IF('Eval-Avec act. écol. envisagée'!$T$107=0,"",IF('Eval-Avec act. écol. envisagée'!$T$107="","",IF('Eval-Avec act. écol. envisagée'!O761&lt;&gt;"",'Eval-Avec act. écol. envisagée'!O761,"")))</f>
        <v/>
      </c>
      <c r="GR6" s="3" t="str">
        <f>IF('Eval-Avec act. écol. envisagée'!$T$107=0,"",IF('Eval-Avec act. écol. envisagée'!$T$107="","",IF('Eval-Avec act. écol. envisagée'!P761&lt;&gt;"",'Eval-Avec act. écol. envisagée'!P761,"")))</f>
        <v/>
      </c>
      <c r="GS6" s="3" t="str">
        <f>IF('Eval-Avec act. écol. envisagée'!$T$107=0,"",IF('Eval-Avec act. écol. envisagée'!$T$107="","",IF('Eval-Avec act. écol. envisagée'!Q761&lt;&gt;"",'Eval-Avec act. écol. envisagée'!Q761,"")))</f>
        <v/>
      </c>
      <c r="GT6" s="3" t="str">
        <f>IF('Eval-Avec act. écol. envisagée'!$T$107=0,"",IF('Eval-Avec act. écol. envisagée'!$T$107="","",IF('Eval-Avec act. écol. envisagée'!R761&lt;&gt;"",'Eval-Avec act. écol. envisagée'!R761,"")))</f>
        <v/>
      </c>
      <c r="GU6" s="3" t="str">
        <f>IF('Eval-Avec act. écol. envisagée'!$T$107=0,"",IF('Eval-Avec act. écol. envisagée'!$T$107="","",IF('Eval-Avec act. écol. envisagée'!S761&lt;&gt;"",'Eval-Avec act. écol. envisagée'!S761,"")))</f>
        <v/>
      </c>
      <c r="GV6" s="3" t="str">
        <f>IF('Eval-Avec act. écol. envisagée'!$T$107=0,"",IF('Eval-Avec act. écol. envisagée'!$T$107="","",IF('Eval-Avec act. écol. envisagée'!T761&lt;&gt;"",'Eval-Avec act. écol. envisagée'!T761,"")))</f>
        <v/>
      </c>
      <c r="GW6" s="3" t="str">
        <f>IF('Eval-Avec act. écol. envisagée'!$T$107=0,"",IF('Eval-Avec act. écol. envisagée'!$T$107="","",IF('Eval-Avec act. écol. envisagée'!U761&lt;&gt;"",'Eval-Avec act. écol. envisagée'!U761,"")))</f>
        <v/>
      </c>
      <c r="GX6" s="3" t="str">
        <f>IF('Eval-Avec act. écol. envisagée'!$T$107=0,"",IF('Eval-Avec act. écol. envisagée'!$T$107="","",IF('Eval-Avec act. écol. envisagée'!V761&lt;&gt;"",'Eval-Avec act. écol. envisagée'!V761,"")))</f>
        <v/>
      </c>
      <c r="GY6" s="3" t="str">
        <f>IF('Eval-Avec act. écol. envisagée'!$T$107=0,"",IF('Eval-Avec act. écol. envisagée'!$T$107="","",IF('Eval-Avec act. écol. envisagée'!W761&lt;&gt;"",'Eval-Avec act. écol. envisagée'!W761,"")))</f>
        <v/>
      </c>
      <c r="GZ6" s="3" t="str">
        <f>IF('Eval-Avec act. écol. envisagée'!$T$107=0,"",IF('Eval-Avec act. écol. envisagée'!$T$107="","",IF('Eval-Avec act. écol. envisagée'!X761&lt;&gt;"",'Eval-Avec act. écol. envisagée'!X761,"")))</f>
        <v/>
      </c>
      <c r="HA6" s="3" t="str">
        <f>IF('Eval-Avec act. écol. envisagée'!$T$107=0,"",IF('Eval-Avec act. écol. envisagée'!$T$107="","",IF('Eval-Avec act. écol. envisagée'!Y761&lt;&gt;"",'Eval-Avec act. écol. envisagée'!Y761,"")))</f>
        <v/>
      </c>
      <c r="HB6" s="3" t="str">
        <f>IF('Eval-Avec act. écol. envisagée'!$T$107=0,"",IF('Eval-Avec act. écol. envisagée'!$T$107="","",IF('Eval-Avec act. écol. envisagée'!A762&lt;&gt;"",'Eval-Avec act. écol. envisagée'!A762,"")))</f>
        <v/>
      </c>
      <c r="HC6" s="3" t="str">
        <f>IF('Eval-Avec act. écol. envisagée'!$T$107=0,"",IF('Eval-Avec act. écol. envisagée'!$T$107="","",IF('Eval-Avec act. écol. envisagée'!B762&lt;&gt;"",'Eval-Avec act. écol. envisagée'!B762,"")))</f>
        <v/>
      </c>
      <c r="HD6" s="3" t="str">
        <f>IF('Eval-Avec act. écol. envisagée'!$T$107=0,"",IF('Eval-Avec act. écol. envisagée'!$T$107="","",IF('Eval-Avec act. écol. envisagée'!C762&lt;&gt;"",'Eval-Avec act. écol. envisagée'!C762,"")))</f>
        <v/>
      </c>
      <c r="HE6" s="3" t="str">
        <f>IF('Eval-Avec act. écol. envisagée'!$T$107=0,"",IF('Eval-Avec act. écol. envisagée'!$T$107="","",IF('Eval-Avec act. écol. envisagée'!E762&lt;&gt;"",'Eval-Avec act. écol. envisagée'!E762,"")))</f>
        <v/>
      </c>
      <c r="HF6" s="3" t="str">
        <f>IF('Eval-Avec act. écol. envisagée'!$T$107=0,"",IF('Eval-Avec act. écol. envisagée'!$T$107="","",IF('Eval-Avec act. écol. envisagée'!G762&lt;&gt;"",'Eval-Avec act. écol. envisagée'!G762,"")))</f>
        <v/>
      </c>
      <c r="HG6" s="3" t="str">
        <f>IF('Eval-Avec act. écol. envisagée'!$T$107=0,"",IF('Eval-Avec act. écol. envisagée'!$T$107="","",IF('Eval-Avec act. écol. envisagée'!H762&lt;&gt;"",'Eval-Avec act. écol. envisagée'!H762,"")))</f>
        <v/>
      </c>
      <c r="HH6" s="3" t="str">
        <f>IF('Eval-Avec act. écol. envisagée'!$T$107=0,"",IF('Eval-Avec act. écol. envisagée'!$T$107="","",IF('Eval-Avec act. écol. envisagée'!I762&lt;&gt;"",'Eval-Avec act. écol. envisagée'!I762,"")))</f>
        <v/>
      </c>
      <c r="HI6" s="3" t="str">
        <f>IF('Eval-Avec act. écol. envisagée'!$T$107=0,"",IF('Eval-Avec act. écol. envisagée'!$T$107="","",IF('Eval-Avec act. écol. envisagée'!J762&lt;&gt;"",'Eval-Avec act. écol. envisagée'!J762,"")))</f>
        <v/>
      </c>
      <c r="HJ6" s="3" t="str">
        <f>IF('Eval-Avec act. écol. envisagée'!$T$107=0,"",IF('Eval-Avec act. écol. envisagée'!$T$107="","",IF('Eval-Avec act. écol. envisagée'!K762&lt;&gt;"",'Eval-Avec act. écol. envisagée'!K762,"")))</f>
        <v/>
      </c>
      <c r="HK6" s="3" t="str">
        <f>IF('Eval-Avec act. écol. envisagée'!$T$107=0,"",IF('Eval-Avec act. écol. envisagée'!$T$107="","",IF('Eval-Avec act. écol. envisagée'!L762&lt;&gt;"",'Eval-Avec act. écol. envisagée'!L762,"")))</f>
        <v/>
      </c>
      <c r="HL6" s="3" t="str">
        <f>IF('Eval-Avec act. écol. envisagée'!$T$107=0,"",IF('Eval-Avec act. écol. envisagée'!$T$107="","",IF('Eval-Avec act. écol. envisagée'!M762&lt;&gt;"",'Eval-Avec act. écol. envisagée'!M762,"")))</f>
        <v/>
      </c>
      <c r="HM6" s="3" t="str">
        <f>IF('Eval-Avec act. écol. envisagée'!$T$107=0,"",IF('Eval-Avec act. écol. envisagée'!$T$107="","",IF('Eval-Avec act. écol. envisagée'!N762&lt;&gt;"",'Eval-Avec act. écol. envisagée'!N762,"")))</f>
        <v/>
      </c>
      <c r="HN6" s="3" t="str">
        <f>IF('Eval-Avec act. écol. envisagée'!$T$107=0,"",IF('Eval-Avec act. écol. envisagée'!$T$107="","",IF('Eval-Avec act. écol. envisagée'!O762&lt;&gt;"",'Eval-Avec act. écol. envisagée'!O762,"")))</f>
        <v/>
      </c>
      <c r="HO6" s="3" t="str">
        <f>IF('Eval-Avec act. écol. envisagée'!$T$107=0,"",IF('Eval-Avec act. écol. envisagée'!$T$107="","",IF('Eval-Avec act. écol. envisagée'!P762&lt;&gt;"",'Eval-Avec act. écol. envisagée'!P762,"")))</f>
        <v/>
      </c>
      <c r="HP6" s="3" t="str">
        <f>IF('Eval-Avec act. écol. envisagée'!$T$107=0,"",IF('Eval-Avec act. écol. envisagée'!$T$107="","",IF('Eval-Avec act. écol. envisagée'!Q762&lt;&gt;"",'Eval-Avec act. écol. envisagée'!Q762,"")))</f>
        <v/>
      </c>
      <c r="HQ6" s="3" t="str">
        <f>IF('Eval-Avec act. écol. envisagée'!$T$107=0,"",IF('Eval-Avec act. écol. envisagée'!$T$107="","",IF('Eval-Avec act. écol. envisagée'!R762&lt;&gt;"",'Eval-Avec act. écol. envisagée'!R762,"")))</f>
        <v/>
      </c>
      <c r="HR6" s="3" t="str">
        <f>IF('Eval-Avec act. écol. envisagée'!$T$107=0,"",IF('Eval-Avec act. écol. envisagée'!$T$107="","",IF('Eval-Avec act. écol. envisagée'!S762&lt;&gt;"",'Eval-Avec act. écol. envisagée'!S762,"")))</f>
        <v/>
      </c>
      <c r="HS6" s="3" t="str">
        <f>IF('Eval-Avec act. écol. envisagée'!$T$107=0,"",IF('Eval-Avec act. écol. envisagée'!$T$107="","",IF('Eval-Avec act. écol. envisagée'!T762&lt;&gt;"",'Eval-Avec act. écol. envisagée'!T762,"")))</f>
        <v/>
      </c>
      <c r="HT6" s="3" t="str">
        <f>IF('Eval-Avec act. écol. envisagée'!$T$107=0,"",IF('Eval-Avec act. écol. envisagée'!$T$107="","",IF('Eval-Avec act. écol. envisagée'!U762&lt;&gt;"",'Eval-Avec act. écol. envisagée'!U762,"")))</f>
        <v/>
      </c>
      <c r="HU6" s="3" t="str">
        <f>IF('Eval-Avec act. écol. envisagée'!$T$107=0,"",IF('Eval-Avec act. écol. envisagée'!$T$107="","",IF('Eval-Avec act. écol. envisagée'!V762&lt;&gt;"",'Eval-Avec act. écol. envisagée'!V762,"")))</f>
        <v/>
      </c>
      <c r="HV6" s="3" t="str">
        <f>IF('Eval-Avec act. écol. envisagée'!$T$107=0,"",IF('Eval-Avec act. écol. envisagée'!$T$107="","",IF('Eval-Avec act. écol. envisagée'!W762&lt;&gt;"",'Eval-Avec act. écol. envisagée'!W762,"")))</f>
        <v/>
      </c>
      <c r="HW6" s="3" t="str">
        <f>IF('Eval-Avec act. écol. envisagée'!$T$107=0,"",IF('Eval-Avec act. écol. envisagée'!$T$107="","",IF('Eval-Avec act. écol. envisagée'!X762&lt;&gt;"",'Eval-Avec act. écol. envisagée'!X762,"")))</f>
        <v/>
      </c>
      <c r="HX6" s="3" t="str">
        <f>IF('Eval-Avec act. écol. envisagée'!$T$107=0,"",IF('Eval-Avec act. écol. envisagée'!$T$107="","",IF('Eval-Avec act. écol. envisagée'!Y762&lt;&gt;"",'Eval-Avec act. écol. envisagée'!Y762,"")))</f>
        <v/>
      </c>
      <c r="HY6" s="3" t="str">
        <f>IF('Eval-Avec act. écol. envisagée'!$T$107=0,"",IF('Eval-Avec act. écol. envisagée'!$T$107="","",IF('Eval-Avec act. écol. envisagée'!A763&lt;&gt;"",'Eval-Avec act. écol. envisagée'!A763,"")))</f>
        <v/>
      </c>
      <c r="HZ6" s="3" t="str">
        <f>IF('Eval-Avec act. écol. envisagée'!$T$107=0,"",IF('Eval-Avec act. écol. envisagée'!$T$107="","",IF('Eval-Avec act. écol. envisagée'!B763&lt;&gt;"",'Eval-Avec act. écol. envisagée'!B763,"")))</f>
        <v/>
      </c>
      <c r="IA6" s="3" t="str">
        <f>IF('Eval-Avec act. écol. envisagée'!$T$107=0,"",IF('Eval-Avec act. écol. envisagée'!$T$107="","",IF('Eval-Avec act. écol. envisagée'!C763&lt;&gt;"",'Eval-Avec act. écol. envisagée'!C763,"")))</f>
        <v/>
      </c>
      <c r="IB6" s="3" t="str">
        <f>IF('Eval-Avec act. écol. envisagée'!$T$107=0,"",IF('Eval-Avec act. écol. envisagée'!$T$107="","",IF('Eval-Avec act. écol. envisagée'!E763&lt;&gt;"",'Eval-Avec act. écol. envisagée'!E763,"")))</f>
        <v/>
      </c>
      <c r="IC6" s="3" t="str">
        <f>IF('Eval-Avec act. écol. envisagée'!$T$107=0,"",IF('Eval-Avec act. écol. envisagée'!$T$107="","",IF('Eval-Avec act. écol. envisagée'!G763&lt;&gt;"",'Eval-Avec act. écol. envisagée'!G763,"")))</f>
        <v/>
      </c>
      <c r="ID6" s="3" t="str">
        <f>IF('Eval-Avec act. écol. envisagée'!$T$107=0,"",IF('Eval-Avec act. écol. envisagée'!$T$107="","",IF('Eval-Avec act. écol. envisagée'!H763&lt;&gt;"",'Eval-Avec act. écol. envisagée'!H763,"")))</f>
        <v/>
      </c>
      <c r="IE6" s="3" t="str">
        <f>IF('Eval-Avec act. écol. envisagée'!$T$107=0,"",IF('Eval-Avec act. écol. envisagée'!$T$107="","",IF('Eval-Avec act. écol. envisagée'!I763&lt;&gt;"",'Eval-Avec act. écol. envisagée'!I763,"")))</f>
        <v/>
      </c>
      <c r="IF6" s="3" t="str">
        <f>IF('Eval-Avec act. écol. envisagée'!$T$107=0,"",IF('Eval-Avec act. écol. envisagée'!$T$107="","",IF('Eval-Avec act. écol. envisagée'!J763&lt;&gt;"",'Eval-Avec act. écol. envisagée'!J763,"")))</f>
        <v/>
      </c>
      <c r="IG6" s="3" t="str">
        <f>IF('Eval-Avec act. écol. envisagée'!$T$107=0,"",IF('Eval-Avec act. écol. envisagée'!$T$107="","",IF('Eval-Avec act. écol. envisagée'!K763&lt;&gt;"",'Eval-Avec act. écol. envisagée'!K763,"")))</f>
        <v/>
      </c>
      <c r="IH6" s="3" t="str">
        <f>IF('Eval-Avec act. écol. envisagée'!$T$107=0,"",IF('Eval-Avec act. écol. envisagée'!$T$107="","",IF('Eval-Avec act. écol. envisagée'!L763&lt;&gt;"",'Eval-Avec act. écol. envisagée'!L763,"")))</f>
        <v/>
      </c>
      <c r="II6" s="3" t="str">
        <f>IF('Eval-Avec act. écol. envisagée'!$T$107=0,"",IF('Eval-Avec act. écol. envisagée'!$T$107="","",IF('Eval-Avec act. écol. envisagée'!M763&lt;&gt;"",'Eval-Avec act. écol. envisagée'!M763,"")))</f>
        <v/>
      </c>
      <c r="IJ6" s="3" t="str">
        <f>IF('Eval-Avec act. écol. envisagée'!$T$107=0,"",IF('Eval-Avec act. écol. envisagée'!$T$107="","",IF('Eval-Avec act. écol. envisagée'!N763&lt;&gt;"",'Eval-Avec act. écol. envisagée'!N763,"")))</f>
        <v/>
      </c>
      <c r="IK6" s="3" t="str">
        <f>IF('Eval-Avec act. écol. envisagée'!$T$107=0,"",IF('Eval-Avec act. écol. envisagée'!$T$107="","",IF('Eval-Avec act. écol. envisagée'!O763&lt;&gt;"",'Eval-Avec act. écol. envisagée'!O763,"")))</f>
        <v/>
      </c>
      <c r="IL6" s="3" t="str">
        <f>IF('Eval-Avec act. écol. envisagée'!$T$107=0,"",IF('Eval-Avec act. écol. envisagée'!$T$107="","",IF('Eval-Avec act. écol. envisagée'!P763&lt;&gt;"",'Eval-Avec act. écol. envisagée'!P763,"")))</f>
        <v/>
      </c>
      <c r="IM6" s="3" t="str">
        <f>IF('Eval-Avec act. écol. envisagée'!$T$107=0,"",IF('Eval-Avec act. écol. envisagée'!$T$107="","",IF('Eval-Avec act. écol. envisagée'!Q763&lt;&gt;"",'Eval-Avec act. écol. envisagée'!Q763,"")))</f>
        <v/>
      </c>
      <c r="IN6" s="3" t="str">
        <f>IF('Eval-Avec act. écol. envisagée'!$T$107=0,"",IF('Eval-Avec act. écol. envisagée'!$T$107="","",IF('Eval-Avec act. écol. envisagée'!R763&lt;&gt;"",'Eval-Avec act. écol. envisagée'!R763,"")))</f>
        <v/>
      </c>
      <c r="IO6" s="3" t="str">
        <f>IF('Eval-Avec act. écol. envisagée'!$T$107=0,"",IF('Eval-Avec act. écol. envisagée'!$T$107="","",IF('Eval-Avec act. écol. envisagée'!S763&lt;&gt;"",'Eval-Avec act. écol. envisagée'!S763,"")))</f>
        <v/>
      </c>
      <c r="IP6" s="3" t="str">
        <f>IF('Eval-Avec act. écol. envisagée'!$T$107=0,"",IF('Eval-Avec act. écol. envisagée'!$T$107="","",IF('Eval-Avec act. écol. envisagée'!T763&lt;&gt;"",'Eval-Avec act. écol. envisagée'!T763,"")))</f>
        <v/>
      </c>
      <c r="IQ6" s="3" t="str">
        <f>IF('Eval-Avec act. écol. envisagée'!$T$107=0,"",IF('Eval-Avec act. écol. envisagée'!$T$107="","",IF('Eval-Avec act. écol. envisagée'!U763&lt;&gt;"",'Eval-Avec act. écol. envisagée'!U763,"")))</f>
        <v/>
      </c>
      <c r="IR6" s="3" t="str">
        <f>IF('Eval-Avec act. écol. envisagée'!$T$107=0,"",IF('Eval-Avec act. écol. envisagée'!$T$107="","",IF('Eval-Avec act. écol. envisagée'!V763&lt;&gt;"",'Eval-Avec act. écol. envisagée'!V763,"")))</f>
        <v/>
      </c>
      <c r="IS6" s="3" t="str">
        <f>IF('Eval-Avec act. écol. envisagée'!$T$107=0,"",IF('Eval-Avec act. écol. envisagée'!$T$107="","",IF('Eval-Avec act. écol. envisagée'!W763&lt;&gt;"",'Eval-Avec act. écol. envisagée'!W763,"")))</f>
        <v/>
      </c>
      <c r="IT6" s="3" t="str">
        <f>IF('Eval-Avec act. écol. envisagée'!$T$107=0,"",IF('Eval-Avec act. écol. envisagée'!$T$107="","",IF('Eval-Avec act. écol. envisagée'!X763&lt;&gt;"",'Eval-Avec act. écol. envisagée'!X763,"")))</f>
        <v/>
      </c>
      <c r="IU6" s="3" t="str">
        <f>IF('Eval-Avec act. écol. envisagée'!$T$107=0,"",IF('Eval-Avec act. écol. envisagée'!$T$107="","",IF('Eval-Avec act. écol. envisagée'!Y763&lt;&gt;"",'Eval-Avec act. écol. envisagée'!Y763,"")))</f>
        <v/>
      </c>
      <c r="IV6" s="3" t="str">
        <f>IF('Eval-Avec act. écol. envisagée'!$T$107=0,"",IF('Eval-Avec act. écol. envisagée'!$T$107="","",IF('Eval-Avec act. écol. envisagée'!A764&lt;&gt;"",'Eval-Avec act. écol. envisagée'!A764,"")))</f>
        <v/>
      </c>
      <c r="IW6" s="3" t="str">
        <f>IF('Eval-Avec act. écol. envisagée'!$T$107=0,"",IF('Eval-Avec act. écol. envisagée'!$T$107="","",IF('Eval-Avec act. écol. envisagée'!B764&lt;&gt;"",'Eval-Avec act. écol. envisagée'!B764,"")))</f>
        <v/>
      </c>
      <c r="IX6" s="3" t="str">
        <f>IF('Eval-Avec act. écol. envisagée'!$T$107=0,"",IF('Eval-Avec act. écol. envisagée'!$T$107="","",IF('Eval-Avec act. écol. envisagée'!C764&lt;&gt;"",'Eval-Avec act. écol. envisagée'!C764,"")))</f>
        <v/>
      </c>
      <c r="IY6" s="3" t="str">
        <f>IF('Eval-Avec act. écol. envisagée'!$T$107=0,"",IF('Eval-Avec act. écol. envisagée'!$T$107="","",IF('Eval-Avec act. écol. envisagée'!E764&lt;&gt;"",'Eval-Avec act. écol. envisagée'!E764,"")))</f>
        <v/>
      </c>
      <c r="IZ6" s="3" t="str">
        <f>IF('Eval-Avec act. écol. envisagée'!$T$107=0,"",IF('Eval-Avec act. écol. envisagée'!$T$107="","",IF('Eval-Avec act. écol. envisagée'!G764&lt;&gt;"",'Eval-Avec act. écol. envisagée'!G764,"")))</f>
        <v/>
      </c>
      <c r="JA6" s="3" t="str">
        <f>IF('Eval-Avec act. écol. envisagée'!$T$107=0,"",IF('Eval-Avec act. écol. envisagée'!$T$107="","",IF('Eval-Avec act. écol. envisagée'!H764&lt;&gt;"",'Eval-Avec act. écol. envisagée'!H764,"")))</f>
        <v/>
      </c>
      <c r="JB6" s="3" t="str">
        <f>IF('Eval-Avec act. écol. envisagée'!$T$107=0,"",IF('Eval-Avec act. écol. envisagée'!$T$107="","",IF('Eval-Avec act. écol. envisagée'!I764&lt;&gt;"",'Eval-Avec act. écol. envisagée'!I764,"")))</f>
        <v/>
      </c>
      <c r="JC6" s="3" t="str">
        <f>IF('Eval-Avec act. écol. envisagée'!$T$107=0,"",IF('Eval-Avec act. écol. envisagée'!$T$107="","",IF('Eval-Avec act. écol. envisagée'!J764&lt;&gt;"",'Eval-Avec act. écol. envisagée'!J764,"")))</f>
        <v/>
      </c>
      <c r="JD6" s="3" t="str">
        <f>IF('Eval-Avec act. écol. envisagée'!$T$107=0,"",IF('Eval-Avec act. écol. envisagée'!$T$107="","",IF('Eval-Avec act. écol. envisagée'!K764&lt;&gt;"",'Eval-Avec act. écol. envisagée'!K764,"")))</f>
        <v/>
      </c>
      <c r="JE6" s="3" t="str">
        <f>IF('Eval-Avec act. écol. envisagée'!$T$107=0,"",IF('Eval-Avec act. écol. envisagée'!$T$107="","",IF('Eval-Avec act. écol. envisagée'!L764&lt;&gt;"",'Eval-Avec act. écol. envisagée'!L764,"")))</f>
        <v/>
      </c>
      <c r="JF6" s="3" t="str">
        <f>IF('Eval-Avec act. écol. envisagée'!$T$107=0,"",IF('Eval-Avec act. écol. envisagée'!$T$107="","",IF('Eval-Avec act. écol. envisagée'!M764&lt;&gt;"",'Eval-Avec act. écol. envisagée'!M764,"")))</f>
        <v/>
      </c>
      <c r="JG6" s="3" t="str">
        <f>IF('Eval-Avec act. écol. envisagée'!$T$107=0,"",IF('Eval-Avec act. écol. envisagée'!$T$107="","",IF('Eval-Avec act. écol. envisagée'!N764&lt;&gt;"",'Eval-Avec act. écol. envisagée'!N764,"")))</f>
        <v/>
      </c>
      <c r="JH6" s="3" t="str">
        <f>IF('Eval-Avec act. écol. envisagée'!$T$107=0,"",IF('Eval-Avec act. écol. envisagée'!$T$107="","",IF('Eval-Avec act. écol. envisagée'!O764&lt;&gt;"",'Eval-Avec act. écol. envisagée'!O764,"")))</f>
        <v/>
      </c>
      <c r="JI6" s="3" t="str">
        <f>IF('Eval-Avec act. écol. envisagée'!$T$107=0,"",IF('Eval-Avec act. écol. envisagée'!$T$107="","",IF('Eval-Avec act. écol. envisagée'!P764&lt;&gt;"",'Eval-Avec act. écol. envisagée'!P764,"")))</f>
        <v/>
      </c>
      <c r="JJ6" s="3" t="str">
        <f>IF('Eval-Avec act. écol. envisagée'!$T$107=0,"",IF('Eval-Avec act. écol. envisagée'!$T$107="","",IF('Eval-Avec act. écol. envisagée'!Q764&lt;&gt;"",'Eval-Avec act. écol. envisagée'!Q764,"")))</f>
        <v/>
      </c>
      <c r="JK6" s="3" t="str">
        <f>IF('Eval-Avec act. écol. envisagée'!$T$107=0,"",IF('Eval-Avec act. écol. envisagée'!$T$107="","",IF('Eval-Avec act. écol. envisagée'!R764&lt;&gt;"",'Eval-Avec act. écol. envisagée'!R764,"")))</f>
        <v/>
      </c>
      <c r="JL6" s="3" t="str">
        <f>IF('Eval-Avec act. écol. envisagée'!$T$107=0,"",IF('Eval-Avec act. écol. envisagée'!$T$107="","",IF('Eval-Avec act. écol. envisagée'!S764&lt;&gt;"",'Eval-Avec act. écol. envisagée'!S764,"")))</f>
        <v/>
      </c>
      <c r="JM6" s="3" t="str">
        <f>IF('Eval-Avec act. écol. envisagée'!$T$107=0,"",IF('Eval-Avec act. écol. envisagée'!$T$107="","",IF('Eval-Avec act. écol. envisagée'!T764&lt;&gt;"",'Eval-Avec act. écol. envisagée'!T764,"")))</f>
        <v/>
      </c>
      <c r="JN6" s="3" t="str">
        <f>IF('Eval-Avec act. écol. envisagée'!$T$107=0,"",IF('Eval-Avec act. écol. envisagée'!$T$107="","",IF('Eval-Avec act. écol. envisagée'!U764&lt;&gt;"",'Eval-Avec act. écol. envisagée'!U764,"")))</f>
        <v/>
      </c>
      <c r="JO6" s="3" t="str">
        <f>IF('Eval-Avec act. écol. envisagée'!$T$107=0,"",IF('Eval-Avec act. écol. envisagée'!$T$107="","",IF('Eval-Avec act. écol. envisagée'!V764&lt;&gt;"",'Eval-Avec act. écol. envisagée'!V764,"")))</f>
        <v/>
      </c>
      <c r="JP6" s="3" t="str">
        <f>IF('Eval-Avec act. écol. envisagée'!$T$107=0,"",IF('Eval-Avec act. écol. envisagée'!$T$107="","",IF('Eval-Avec act. écol. envisagée'!W764&lt;&gt;"",'Eval-Avec act. écol. envisagée'!W764,"")))</f>
        <v/>
      </c>
      <c r="JQ6" s="3" t="str">
        <f>IF('Eval-Avec act. écol. envisagée'!$T$107=0,"",IF('Eval-Avec act. écol. envisagée'!$T$107="","",IF('Eval-Avec act. écol. envisagée'!X764&lt;&gt;"",'Eval-Avec act. écol. envisagée'!X764,"")))</f>
        <v/>
      </c>
      <c r="JR6" s="3" t="str">
        <f>IF('Eval-Avec act. écol. envisagée'!$T$107=0,"",IF('Eval-Avec act. écol. envisagée'!$T$107="","",IF('Eval-Avec act. écol. envisagée'!Y764&lt;&gt;"",'Eval-Avec act. écol. envisagée'!Y764,"")))</f>
        <v/>
      </c>
      <c r="JS6" s="3" t="str">
        <f>IF('Eval-Avec act. écol. envisagée'!$T$107=0,"",IF('Eval-Avec act. écol. envisagée'!$T$107="","",IF('Eval-Avec act. écol. envisagée'!A765&lt;&gt;"",'Eval-Avec act. écol. envisagée'!A765,"")))</f>
        <v/>
      </c>
      <c r="JT6" s="3" t="str">
        <f>IF('Eval-Avec act. écol. envisagée'!$T$107=0,"",IF('Eval-Avec act. écol. envisagée'!$T$107="","",IF('Eval-Avec act. écol. envisagée'!B765&lt;&gt;"",'Eval-Avec act. écol. envisagée'!B765,"")))</f>
        <v/>
      </c>
      <c r="JU6" s="3" t="str">
        <f>IF('Eval-Avec act. écol. envisagée'!$T$107=0,"",IF('Eval-Avec act. écol. envisagée'!$T$107="","",IF('Eval-Avec act. écol. envisagée'!C765&lt;&gt;"",'Eval-Avec act. écol. envisagée'!C765,"")))</f>
        <v/>
      </c>
      <c r="JV6" s="3" t="str">
        <f>IF('Eval-Avec act. écol. envisagée'!$T$107=0,"",IF('Eval-Avec act. écol. envisagée'!$T$107="","",IF('Eval-Avec act. écol. envisagée'!E765&lt;&gt;"",'Eval-Avec act. écol. envisagée'!E765,"")))</f>
        <v/>
      </c>
      <c r="JW6" s="3" t="str">
        <f>IF('Eval-Avec act. écol. envisagée'!$T$107=0,"",IF('Eval-Avec act. écol. envisagée'!$T$107="","",IF('Eval-Avec act. écol. envisagée'!G765&lt;&gt;"",'Eval-Avec act. écol. envisagée'!G765,"")))</f>
        <v/>
      </c>
      <c r="JX6" s="3" t="str">
        <f>IF('Eval-Avec act. écol. envisagée'!$T$107=0,"",IF('Eval-Avec act. écol. envisagée'!$T$107="","",IF('Eval-Avec act. écol. envisagée'!H765&lt;&gt;"",'Eval-Avec act. écol. envisagée'!H765,"")))</f>
        <v/>
      </c>
      <c r="JY6" s="3" t="str">
        <f>IF('Eval-Avec act. écol. envisagée'!$T$107=0,"",IF('Eval-Avec act. écol. envisagée'!$T$107="","",IF('Eval-Avec act. écol. envisagée'!I765&lt;&gt;"",'Eval-Avec act. écol. envisagée'!I765,"")))</f>
        <v/>
      </c>
      <c r="JZ6" s="3" t="str">
        <f>IF('Eval-Avec act. écol. envisagée'!$T$107=0,"",IF('Eval-Avec act. écol. envisagée'!$T$107="","",IF('Eval-Avec act. écol. envisagée'!J765&lt;&gt;"",'Eval-Avec act. écol. envisagée'!J765,"")))</f>
        <v/>
      </c>
      <c r="KA6" s="3" t="str">
        <f>IF('Eval-Avec act. écol. envisagée'!$T$107=0,"",IF('Eval-Avec act. écol. envisagée'!$T$107="","",IF('Eval-Avec act. écol. envisagée'!K765&lt;&gt;"",'Eval-Avec act. écol. envisagée'!K765,"")))</f>
        <v/>
      </c>
      <c r="KB6" s="3" t="str">
        <f>IF('Eval-Avec act. écol. envisagée'!$T$107=0,"",IF('Eval-Avec act. écol. envisagée'!$T$107="","",IF('Eval-Avec act. écol. envisagée'!L765&lt;&gt;"",'Eval-Avec act. écol. envisagée'!L765,"")))</f>
        <v/>
      </c>
      <c r="KC6" s="3" t="str">
        <f>IF('Eval-Avec act. écol. envisagée'!$T$107=0,"",IF('Eval-Avec act. écol. envisagée'!$T$107="","",IF('Eval-Avec act. écol. envisagée'!M765&lt;&gt;"",'Eval-Avec act. écol. envisagée'!M765,"")))</f>
        <v/>
      </c>
      <c r="KD6" s="3" t="str">
        <f>IF('Eval-Avec act. écol. envisagée'!$T$107=0,"",IF('Eval-Avec act. écol. envisagée'!$T$107="","",IF('Eval-Avec act. écol. envisagée'!N765&lt;&gt;"",'Eval-Avec act. écol. envisagée'!N765,"")))</f>
        <v/>
      </c>
      <c r="KE6" s="3" t="str">
        <f>IF('Eval-Avec act. écol. envisagée'!$T$107=0,"",IF('Eval-Avec act. écol. envisagée'!$T$107="","",IF('Eval-Avec act. écol. envisagée'!O765&lt;&gt;"",'Eval-Avec act. écol. envisagée'!O765,"")))</f>
        <v/>
      </c>
      <c r="KF6" s="3" t="str">
        <f>IF('Eval-Avec act. écol. envisagée'!$T$107=0,"",IF('Eval-Avec act. écol. envisagée'!$T$107="","",IF('Eval-Avec act. écol. envisagée'!P765&lt;&gt;"",'Eval-Avec act. écol. envisagée'!P765,"")))</f>
        <v/>
      </c>
      <c r="KG6" s="3" t="str">
        <f>IF('Eval-Avec act. écol. envisagée'!$T$107=0,"",IF('Eval-Avec act. écol. envisagée'!$T$107="","",IF('Eval-Avec act. écol. envisagée'!Q765&lt;&gt;"",'Eval-Avec act. écol. envisagée'!Q765,"")))</f>
        <v/>
      </c>
      <c r="KH6" s="3" t="str">
        <f>IF('Eval-Avec act. écol. envisagée'!$T$107=0,"",IF('Eval-Avec act. écol. envisagée'!$T$107="","",IF('Eval-Avec act. écol. envisagée'!R765&lt;&gt;"",'Eval-Avec act. écol. envisagée'!R765,"")))</f>
        <v/>
      </c>
      <c r="KI6" s="3" t="str">
        <f>IF('Eval-Avec act. écol. envisagée'!$T$107=0,"",IF('Eval-Avec act. écol. envisagée'!$T$107="","",IF('Eval-Avec act. écol. envisagée'!S765&lt;&gt;"",'Eval-Avec act. écol. envisagée'!S765,"")))</f>
        <v/>
      </c>
      <c r="KJ6" s="3" t="str">
        <f>IF('Eval-Avec act. écol. envisagée'!$T$107=0,"",IF('Eval-Avec act. écol. envisagée'!$T$107="","",IF('Eval-Avec act. écol. envisagée'!T765&lt;&gt;"",'Eval-Avec act. écol. envisagée'!T765,"")))</f>
        <v/>
      </c>
      <c r="KK6" s="3" t="str">
        <f>IF('Eval-Avec act. écol. envisagée'!$T$107=0,"",IF('Eval-Avec act. écol. envisagée'!$T$107="","",IF('Eval-Avec act. écol. envisagée'!U765&lt;&gt;"",'Eval-Avec act. écol. envisagée'!U765,"")))</f>
        <v/>
      </c>
      <c r="KL6" s="3" t="str">
        <f>IF('Eval-Avec act. écol. envisagée'!$T$107=0,"",IF('Eval-Avec act. écol. envisagée'!$T$107="","",IF('Eval-Avec act. écol. envisagée'!V765&lt;&gt;"",'Eval-Avec act. écol. envisagée'!V765,"")))</f>
        <v/>
      </c>
      <c r="KM6" s="3" t="str">
        <f>IF('Eval-Avec act. écol. envisagée'!$T$107=0,"",IF('Eval-Avec act. écol. envisagée'!$T$107="","",IF('Eval-Avec act. écol. envisagée'!W765&lt;&gt;"",'Eval-Avec act. écol. envisagée'!W765,"")))</f>
        <v/>
      </c>
      <c r="KN6" s="3" t="str">
        <f>IF('Eval-Avec act. écol. envisagée'!$T$107=0,"",IF('Eval-Avec act. écol. envisagée'!$T$107="","",IF('Eval-Avec act. écol. envisagée'!X765&lt;&gt;"",'Eval-Avec act. écol. envisagée'!X765,"")))</f>
        <v/>
      </c>
      <c r="KO6" s="3" t="str">
        <f>IF('Eval-Avec act. écol. envisagée'!$T$107=0,"",IF('Eval-Avec act. écol. envisagée'!$T$107="","",IF('Eval-Avec act. écol. envisagée'!Y765&lt;&gt;"",'Eval-Avec act. écol. envisagée'!Y765,"")))</f>
        <v/>
      </c>
      <c r="KP6" s="3" t="str">
        <f>IF('Eval-Avec act. écol. envisagée'!$T$107=0,"",IF('Eval-Avec act. écol. envisagée'!$T$107="","",IF('Eval-Avec act. écol. envisagée'!A766&lt;&gt;"",'Eval-Avec act. écol. envisagée'!A766,"")))</f>
        <v/>
      </c>
      <c r="KQ6" s="3" t="str">
        <f>IF('Eval-Avec act. écol. envisagée'!$T$107=0,"",IF('Eval-Avec act. écol. envisagée'!$T$107="","",IF('Eval-Avec act. écol. envisagée'!B766&lt;&gt;"",'Eval-Avec act. écol. envisagée'!B766,"")))</f>
        <v/>
      </c>
      <c r="KR6" s="3" t="str">
        <f>IF('Eval-Avec act. écol. envisagée'!$T$107=0,"",IF('Eval-Avec act. écol. envisagée'!$T$107="","",IF('Eval-Avec act. écol. envisagée'!C766&lt;&gt;"",'Eval-Avec act. écol. envisagée'!C766,"")))</f>
        <v/>
      </c>
      <c r="KS6" s="3" t="str">
        <f>IF('Eval-Avec act. écol. envisagée'!$T$107=0,"",IF('Eval-Avec act. écol. envisagée'!$T$107="","",IF('Eval-Avec act. écol. envisagée'!E766&lt;&gt;"",'Eval-Avec act. écol. envisagée'!E766,"")))</f>
        <v/>
      </c>
      <c r="KT6" s="3" t="str">
        <f>IF('Eval-Avec act. écol. envisagée'!$T$107=0,"",IF('Eval-Avec act. écol. envisagée'!$T$107="","",IF('Eval-Avec act. écol. envisagée'!G766&lt;&gt;"",'Eval-Avec act. écol. envisagée'!G766,"")))</f>
        <v/>
      </c>
      <c r="KU6" s="3" t="str">
        <f>IF('Eval-Avec act. écol. envisagée'!$T$107=0,"",IF('Eval-Avec act. écol. envisagée'!$T$107="","",IF('Eval-Avec act. écol. envisagée'!H766&lt;&gt;"",'Eval-Avec act. écol. envisagée'!H766,"")))</f>
        <v/>
      </c>
      <c r="KV6" s="3" t="str">
        <f>IF('Eval-Avec act. écol. envisagée'!$T$107=0,"",IF('Eval-Avec act. écol. envisagée'!$T$107="","",IF('Eval-Avec act. écol. envisagée'!I766&lt;&gt;"",'Eval-Avec act. écol. envisagée'!I766,"")))</f>
        <v/>
      </c>
      <c r="KW6" s="3" t="str">
        <f>IF('Eval-Avec act. écol. envisagée'!$T$107=0,"",IF('Eval-Avec act. écol. envisagée'!$T$107="","",IF('Eval-Avec act. écol. envisagée'!J766&lt;&gt;"",'Eval-Avec act. écol. envisagée'!J766,"")))</f>
        <v/>
      </c>
      <c r="KX6" s="3" t="str">
        <f>IF('Eval-Avec act. écol. envisagée'!$T$107=0,"",IF('Eval-Avec act. écol. envisagée'!$T$107="","",IF('Eval-Avec act. écol. envisagée'!K766&lt;&gt;"",'Eval-Avec act. écol. envisagée'!K766,"")))</f>
        <v/>
      </c>
      <c r="KY6" s="3" t="str">
        <f>IF('Eval-Avec act. écol. envisagée'!$T$107=0,"",IF('Eval-Avec act. écol. envisagée'!$T$107="","",IF('Eval-Avec act. écol. envisagée'!L766&lt;&gt;"",'Eval-Avec act. écol. envisagée'!L766,"")))</f>
        <v/>
      </c>
      <c r="KZ6" s="3" t="str">
        <f>IF('Eval-Avec act. écol. envisagée'!$T$107=0,"",IF('Eval-Avec act. écol. envisagée'!$T$107="","",IF('Eval-Avec act. écol. envisagée'!M766&lt;&gt;"",'Eval-Avec act. écol. envisagée'!M766,"")))</f>
        <v/>
      </c>
      <c r="LA6" s="3" t="str">
        <f>IF('Eval-Avec act. écol. envisagée'!$T$107=0,"",IF('Eval-Avec act. écol. envisagée'!$T$107="","",IF('Eval-Avec act. écol. envisagée'!N766&lt;&gt;"",'Eval-Avec act. écol. envisagée'!N766,"")))</f>
        <v/>
      </c>
      <c r="LB6" s="3" t="str">
        <f>IF('Eval-Avec act. écol. envisagée'!$T$107=0,"",IF('Eval-Avec act. écol. envisagée'!$T$107="","",IF('Eval-Avec act. écol. envisagée'!O766&lt;&gt;"",'Eval-Avec act. écol. envisagée'!O766,"")))</f>
        <v/>
      </c>
      <c r="LC6" s="3" t="str">
        <f>IF('Eval-Avec act. écol. envisagée'!$T$107=0,"",IF('Eval-Avec act. écol. envisagée'!$T$107="","",IF('Eval-Avec act. écol. envisagée'!P766&lt;&gt;"",'Eval-Avec act. écol. envisagée'!P766,"")))</f>
        <v/>
      </c>
      <c r="LD6" s="3" t="str">
        <f>IF('Eval-Avec act. écol. envisagée'!$T$107=0,"",IF('Eval-Avec act. écol. envisagée'!$T$107="","",IF('Eval-Avec act. écol. envisagée'!Q766&lt;&gt;"",'Eval-Avec act. écol. envisagée'!Q766,"")))</f>
        <v/>
      </c>
      <c r="LE6" s="3" t="str">
        <f>IF('Eval-Avec act. écol. envisagée'!$T$107=0,"",IF('Eval-Avec act. écol. envisagée'!$T$107="","",IF('Eval-Avec act. écol. envisagée'!R766&lt;&gt;"",'Eval-Avec act. écol. envisagée'!R766,"")))</f>
        <v/>
      </c>
      <c r="LF6" s="3" t="str">
        <f>IF('Eval-Avec act. écol. envisagée'!$T$107=0,"",IF('Eval-Avec act. écol. envisagée'!$T$107="","",IF('Eval-Avec act. écol. envisagée'!S766&lt;&gt;"",'Eval-Avec act. écol. envisagée'!S766,"")))</f>
        <v/>
      </c>
      <c r="LG6" s="3" t="str">
        <f>IF('Eval-Avec act. écol. envisagée'!$T$107=0,"",IF('Eval-Avec act. écol. envisagée'!$T$107="","",IF('Eval-Avec act. écol. envisagée'!T766&lt;&gt;"",'Eval-Avec act. écol. envisagée'!T766,"")))</f>
        <v/>
      </c>
      <c r="LH6" s="3" t="str">
        <f>IF('Eval-Avec act. écol. envisagée'!$T$107=0,"",IF('Eval-Avec act. écol. envisagée'!$T$107="","",IF('Eval-Avec act. écol. envisagée'!U766&lt;&gt;"",'Eval-Avec act. écol. envisagée'!U766,"")))</f>
        <v/>
      </c>
      <c r="LI6" s="3" t="str">
        <f>IF('Eval-Avec act. écol. envisagée'!$T$107=0,"",IF('Eval-Avec act. écol. envisagée'!$T$107="","",IF('Eval-Avec act. écol. envisagée'!V766&lt;&gt;"",'Eval-Avec act. écol. envisagée'!V766,"")))</f>
        <v/>
      </c>
      <c r="LJ6" s="3" t="str">
        <f>IF('Eval-Avec act. écol. envisagée'!$T$107=0,"",IF('Eval-Avec act. écol. envisagée'!$T$107="","",IF('Eval-Avec act. écol. envisagée'!W766&lt;&gt;"",'Eval-Avec act. écol. envisagée'!W766,"")))</f>
        <v/>
      </c>
      <c r="LK6" s="3" t="str">
        <f>IF('Eval-Avec act. écol. envisagée'!$T$107=0,"",IF('Eval-Avec act. écol. envisagée'!$T$107="","",IF('Eval-Avec act. écol. envisagée'!X766&lt;&gt;"",'Eval-Avec act. écol. envisagée'!X766,"")))</f>
        <v/>
      </c>
      <c r="LL6" s="3" t="str">
        <f>IF('Eval-Avec act. écol. envisagée'!$T$107=0,"",IF('Eval-Avec act. écol. envisagée'!$T$107="","",IF('Eval-Avec act. écol. envisagée'!Y766&lt;&gt;"",'Eval-Avec act. écol. envisagée'!Y766,"")))</f>
        <v/>
      </c>
      <c r="LM6" s="3" t="str">
        <f>IF('Eval-Avec act. écol. envisagée'!$T$107=0,"",IF('Eval-Avec act. écol. envisagée'!$T$107="","",IF('Eval-Avec act. écol. envisagée'!A767&lt;&gt;"",'Eval-Avec act. écol. envisagée'!A767,"")))</f>
        <v/>
      </c>
      <c r="LN6" s="3" t="str">
        <f>IF('Eval-Avec act. écol. envisagée'!$T$107=0,"",IF('Eval-Avec act. écol. envisagée'!$T$107="","",IF('Eval-Avec act. écol. envisagée'!B767&lt;&gt;"",'Eval-Avec act. écol. envisagée'!B767,"")))</f>
        <v/>
      </c>
      <c r="LO6" s="3" t="str">
        <f>IF('Eval-Avec act. écol. envisagée'!$T$107=0,"",IF('Eval-Avec act. écol. envisagée'!$T$107="","",IF('Eval-Avec act. écol. envisagée'!C767&lt;&gt;"",'Eval-Avec act. écol. envisagée'!C767,"")))</f>
        <v/>
      </c>
      <c r="LP6" s="3" t="str">
        <f>IF('Eval-Avec act. écol. envisagée'!$T$107=0,"",IF('Eval-Avec act. écol. envisagée'!$T$107="","",IF('Eval-Avec act. écol. envisagée'!E767&lt;&gt;"",'Eval-Avec act. écol. envisagée'!E767,"")))</f>
        <v/>
      </c>
      <c r="LQ6" s="3" t="str">
        <f>IF('Eval-Avec act. écol. envisagée'!$T$107=0,"",IF('Eval-Avec act. écol. envisagée'!$T$107="","",IF('Eval-Avec act. écol. envisagée'!G767&lt;&gt;"",'Eval-Avec act. écol. envisagée'!G767,"")))</f>
        <v/>
      </c>
      <c r="LR6" s="3" t="str">
        <f>IF('Eval-Avec act. écol. envisagée'!$T$107=0,"",IF('Eval-Avec act. écol. envisagée'!$T$107="","",IF('Eval-Avec act. écol. envisagée'!H767&lt;&gt;"",'Eval-Avec act. écol. envisagée'!H767,"")))</f>
        <v/>
      </c>
      <c r="LS6" s="3" t="str">
        <f>IF('Eval-Avec act. écol. envisagée'!$T$107=0,"",IF('Eval-Avec act. écol. envisagée'!$T$107="","",IF('Eval-Avec act. écol. envisagée'!I767&lt;&gt;"",'Eval-Avec act. écol. envisagée'!I767,"")))</f>
        <v/>
      </c>
      <c r="LT6" s="3" t="str">
        <f>IF('Eval-Avec act. écol. envisagée'!$T$107=0,"",IF('Eval-Avec act. écol. envisagée'!$T$107="","",IF('Eval-Avec act. écol. envisagée'!J767&lt;&gt;"",'Eval-Avec act. écol. envisagée'!J767,"")))</f>
        <v/>
      </c>
      <c r="LU6" s="3" t="str">
        <f>IF('Eval-Avec act. écol. envisagée'!$T$107=0,"",IF('Eval-Avec act. écol. envisagée'!$T$107="","",IF('Eval-Avec act. écol. envisagée'!K767&lt;&gt;"",'Eval-Avec act. écol. envisagée'!K767,"")))</f>
        <v/>
      </c>
      <c r="LV6" s="3" t="str">
        <f>IF('Eval-Avec act. écol. envisagée'!$T$107=0,"",IF('Eval-Avec act. écol. envisagée'!$T$107="","",IF('Eval-Avec act. écol. envisagée'!L767&lt;&gt;"",'Eval-Avec act. écol. envisagée'!L767,"")))</f>
        <v/>
      </c>
      <c r="LW6" s="3" t="str">
        <f>IF('Eval-Avec act. écol. envisagée'!$T$107=0,"",IF('Eval-Avec act. écol. envisagée'!$T$107="","",IF('Eval-Avec act. écol. envisagée'!M767&lt;&gt;"",'Eval-Avec act. écol. envisagée'!M767,"")))</f>
        <v/>
      </c>
      <c r="LX6" s="3" t="str">
        <f>IF('Eval-Avec act. écol. envisagée'!$T$107=0,"",IF('Eval-Avec act. écol. envisagée'!$T$107="","",IF('Eval-Avec act. écol. envisagée'!N767&lt;&gt;"",'Eval-Avec act. écol. envisagée'!N767,"")))</f>
        <v/>
      </c>
      <c r="LY6" s="3" t="str">
        <f>IF('Eval-Avec act. écol. envisagée'!$T$107=0,"",IF('Eval-Avec act. écol. envisagée'!$T$107="","",IF('Eval-Avec act. écol. envisagée'!O767&lt;&gt;"",'Eval-Avec act. écol. envisagée'!O767,"")))</f>
        <v/>
      </c>
      <c r="LZ6" s="3" t="str">
        <f>IF('Eval-Avec act. écol. envisagée'!$T$107=0,"",IF('Eval-Avec act. écol. envisagée'!$T$107="","",IF('Eval-Avec act. écol. envisagée'!P767&lt;&gt;"",'Eval-Avec act. écol. envisagée'!P767,"")))</f>
        <v/>
      </c>
      <c r="MA6" s="3" t="str">
        <f>IF('Eval-Avec act. écol. envisagée'!$T$107=0,"",IF('Eval-Avec act. écol. envisagée'!$T$107="","",IF('Eval-Avec act. écol. envisagée'!Q767&lt;&gt;"",'Eval-Avec act. écol. envisagée'!Q767,"")))</f>
        <v/>
      </c>
      <c r="MB6" s="3" t="str">
        <f>IF('Eval-Avec act. écol. envisagée'!$T$107=0,"",IF('Eval-Avec act. écol. envisagée'!$T$107="","",IF('Eval-Avec act. écol. envisagée'!R767&lt;&gt;"",'Eval-Avec act. écol. envisagée'!R767,"")))</f>
        <v/>
      </c>
      <c r="MC6" s="3" t="str">
        <f>IF('Eval-Avec act. écol. envisagée'!$T$107=0,"",IF('Eval-Avec act. écol. envisagée'!$T$107="","",IF('Eval-Avec act. écol. envisagée'!S767&lt;&gt;"",'Eval-Avec act. écol. envisagée'!S767,"")))</f>
        <v/>
      </c>
      <c r="MD6" s="3" t="str">
        <f>IF('Eval-Avec act. écol. envisagée'!$T$107=0,"",IF('Eval-Avec act. écol. envisagée'!$T$107="","",IF('Eval-Avec act. écol. envisagée'!T767&lt;&gt;"",'Eval-Avec act. écol. envisagée'!T767,"")))</f>
        <v/>
      </c>
      <c r="ME6" s="3" t="str">
        <f>IF('Eval-Avec act. écol. envisagée'!$T$107=0,"",IF('Eval-Avec act. écol. envisagée'!$T$107="","",IF('Eval-Avec act. écol. envisagée'!U767&lt;&gt;"",'Eval-Avec act. écol. envisagée'!U767,"")))</f>
        <v/>
      </c>
      <c r="MF6" s="3" t="str">
        <f>IF('Eval-Avec act. écol. envisagée'!$T$107=0,"",IF('Eval-Avec act. écol. envisagée'!$T$107="","",IF('Eval-Avec act. écol. envisagée'!V767&lt;&gt;"",'Eval-Avec act. écol. envisagée'!V767,"")))</f>
        <v/>
      </c>
      <c r="MG6" s="3" t="str">
        <f>IF('Eval-Avec act. écol. envisagée'!$T$107=0,"",IF('Eval-Avec act. écol. envisagée'!$T$107="","",IF('Eval-Avec act. écol. envisagée'!W767&lt;&gt;"",'Eval-Avec act. écol. envisagée'!W767,"")))</f>
        <v/>
      </c>
      <c r="MH6" s="3" t="str">
        <f>IF('Eval-Avec act. écol. envisagée'!$T$107=0,"",IF('Eval-Avec act. écol. envisagée'!$T$107="","",IF('Eval-Avec act. écol. envisagée'!X767&lt;&gt;"",'Eval-Avec act. écol. envisagée'!X767,"")))</f>
        <v/>
      </c>
      <c r="MI6" s="3" t="str">
        <f>IF('Eval-Avec act. écol. envisagée'!$T$107=0,"",IF('Eval-Avec act. écol. envisagée'!$T$107="","",IF('Eval-Avec act. écol. envisagée'!Y767&lt;&gt;"",'Eval-Avec act. écol. envisagée'!Y767,"")))</f>
        <v/>
      </c>
      <c r="MJ6" s="3" t="str">
        <f>IF('Eval-Avec act. écol. envisagée'!$T$107=0,"",IF('Eval-Avec act. écol. envisagée'!$T$107="","",IF('Eval-Avec act. écol. envisagée'!A768&lt;&gt;"",'Eval-Avec act. écol. envisagée'!A768,"")))</f>
        <v/>
      </c>
      <c r="MK6" s="3" t="str">
        <f>IF('Eval-Avec act. écol. envisagée'!$T$107=0,"",IF('Eval-Avec act. écol. envisagée'!$T$107="","",IF('Eval-Avec act. écol. envisagée'!B768&lt;&gt;"",'Eval-Avec act. écol. envisagée'!B768,"")))</f>
        <v/>
      </c>
      <c r="ML6" s="3" t="str">
        <f>IF('Eval-Avec act. écol. envisagée'!$T$107=0,"",IF('Eval-Avec act. écol. envisagée'!$T$107="","",IF('Eval-Avec act. écol. envisagée'!C768&lt;&gt;"",'Eval-Avec act. écol. envisagée'!C768,"")))</f>
        <v/>
      </c>
      <c r="MM6" s="3" t="str">
        <f>IF('Eval-Avec act. écol. envisagée'!$T$107=0,"",IF('Eval-Avec act. écol. envisagée'!$T$107="","",IF('Eval-Avec act. écol. envisagée'!E768&lt;&gt;"",'Eval-Avec act. écol. envisagée'!E768,"")))</f>
        <v/>
      </c>
      <c r="MN6" s="3" t="str">
        <f>IF('Eval-Avec act. écol. envisagée'!$T$107=0,"",IF('Eval-Avec act. écol. envisagée'!$T$107="","",IF('Eval-Avec act. écol. envisagée'!G768&lt;&gt;"",'Eval-Avec act. écol. envisagée'!G768,"")))</f>
        <v/>
      </c>
      <c r="MO6" s="3" t="str">
        <f>IF('Eval-Avec act. écol. envisagée'!$T$107=0,"",IF('Eval-Avec act. écol. envisagée'!$T$107="","",IF('Eval-Avec act. écol. envisagée'!H768&lt;&gt;"",'Eval-Avec act. écol. envisagée'!H768,"")))</f>
        <v/>
      </c>
      <c r="MP6" s="3" t="str">
        <f>IF('Eval-Avec act. écol. envisagée'!$T$107=0,"",IF('Eval-Avec act. écol. envisagée'!$T$107="","",IF('Eval-Avec act. écol. envisagée'!I768&lt;&gt;"",'Eval-Avec act. écol. envisagée'!I768,"")))</f>
        <v/>
      </c>
      <c r="MQ6" s="3" t="str">
        <f>IF('Eval-Avec act. écol. envisagée'!$T$107=0,"",IF('Eval-Avec act. écol. envisagée'!$T$107="","",IF('Eval-Avec act. écol. envisagée'!J768&lt;&gt;"",'Eval-Avec act. écol. envisagée'!J768,"")))</f>
        <v/>
      </c>
      <c r="MR6" s="3" t="str">
        <f>IF('Eval-Avec act. écol. envisagée'!$T$107=0,"",IF('Eval-Avec act. écol. envisagée'!$T$107="","",IF('Eval-Avec act. écol. envisagée'!K768&lt;&gt;"",'Eval-Avec act. écol. envisagée'!K768,"")))</f>
        <v/>
      </c>
      <c r="MS6" s="3" t="str">
        <f>IF('Eval-Avec act. écol. envisagée'!$T$107=0,"",IF('Eval-Avec act. écol. envisagée'!$T$107="","",IF('Eval-Avec act. écol. envisagée'!L768&lt;&gt;"",'Eval-Avec act. écol. envisagée'!L768,"")))</f>
        <v/>
      </c>
      <c r="MT6" s="3" t="str">
        <f>IF('Eval-Avec act. écol. envisagée'!$T$107=0,"",IF('Eval-Avec act. écol. envisagée'!$T$107="","",IF('Eval-Avec act. écol. envisagée'!M768&lt;&gt;"",'Eval-Avec act. écol. envisagée'!M768,"")))</f>
        <v/>
      </c>
      <c r="MU6" s="3" t="str">
        <f>IF('Eval-Avec act. écol. envisagée'!$T$107=0,"",IF('Eval-Avec act. écol. envisagée'!$T$107="","",IF('Eval-Avec act. écol. envisagée'!N768&lt;&gt;"",'Eval-Avec act. écol. envisagée'!N768,"")))</f>
        <v/>
      </c>
      <c r="MV6" s="3" t="str">
        <f>IF('Eval-Avec act. écol. envisagée'!$T$107=0,"",IF('Eval-Avec act. écol. envisagée'!$T$107="","",IF('Eval-Avec act. écol. envisagée'!O768&lt;&gt;"",'Eval-Avec act. écol. envisagée'!O768,"")))</f>
        <v/>
      </c>
      <c r="MW6" s="3" t="str">
        <f>IF('Eval-Avec act. écol. envisagée'!$T$107=0,"",IF('Eval-Avec act. écol. envisagée'!$T$107="","",IF('Eval-Avec act. écol. envisagée'!P768&lt;&gt;"",'Eval-Avec act. écol. envisagée'!P768,"")))</f>
        <v/>
      </c>
      <c r="MX6" s="3" t="str">
        <f>IF('Eval-Avec act. écol. envisagée'!$T$107=0,"",IF('Eval-Avec act. écol. envisagée'!$T$107="","",IF('Eval-Avec act. écol. envisagée'!Q768&lt;&gt;"",'Eval-Avec act. écol. envisagée'!Q768,"")))</f>
        <v/>
      </c>
      <c r="MY6" s="3" t="str">
        <f>IF('Eval-Avec act. écol. envisagée'!$T$107=0,"",IF('Eval-Avec act. écol. envisagée'!$T$107="","",IF('Eval-Avec act. écol. envisagée'!R768&lt;&gt;"",'Eval-Avec act. écol. envisagée'!R768,"")))</f>
        <v/>
      </c>
      <c r="MZ6" s="3" t="str">
        <f>IF('Eval-Avec act. écol. envisagée'!$T$107=0,"",IF('Eval-Avec act. écol. envisagée'!$T$107="","",IF('Eval-Avec act. écol. envisagée'!S768&lt;&gt;"",'Eval-Avec act. écol. envisagée'!S768,"")))</f>
        <v/>
      </c>
      <c r="NA6" s="3" t="str">
        <f>IF('Eval-Avec act. écol. envisagée'!$T$107=0,"",IF('Eval-Avec act. écol. envisagée'!$T$107="","",IF('Eval-Avec act. écol. envisagée'!T768&lt;&gt;"",'Eval-Avec act. écol. envisagée'!T768,"")))</f>
        <v/>
      </c>
      <c r="NB6" s="3" t="str">
        <f>IF('Eval-Avec act. écol. envisagée'!$T$107=0,"",IF('Eval-Avec act. écol. envisagée'!$T$107="","",IF('Eval-Avec act. écol. envisagée'!U768&lt;&gt;"",'Eval-Avec act. écol. envisagée'!U768,"")))</f>
        <v/>
      </c>
      <c r="NC6" s="3" t="str">
        <f>IF('Eval-Avec act. écol. envisagée'!$T$107=0,"",IF('Eval-Avec act. écol. envisagée'!$T$107="","",IF('Eval-Avec act. écol. envisagée'!V768&lt;&gt;"",'Eval-Avec act. écol. envisagée'!V768,"")))</f>
        <v/>
      </c>
      <c r="ND6" s="3" t="str">
        <f>IF('Eval-Avec act. écol. envisagée'!$T$107=0,"",IF('Eval-Avec act. écol. envisagée'!$T$107="","",IF('Eval-Avec act. écol. envisagée'!W768&lt;&gt;"",'Eval-Avec act. écol. envisagée'!W768,"")))</f>
        <v/>
      </c>
      <c r="NE6" s="3" t="str">
        <f>IF('Eval-Avec act. écol. envisagée'!$T$107=0,"",IF('Eval-Avec act. écol. envisagée'!$T$107="","",IF('Eval-Avec act. écol. envisagée'!X768&lt;&gt;"",'Eval-Avec act. écol. envisagée'!X768,"")))</f>
        <v/>
      </c>
      <c r="NF6" s="3" t="str">
        <f>IF('Eval-Avec act. écol. envisagée'!$T$107=0,"",IF('Eval-Avec act. écol. envisagée'!$T$107="","",IF('Eval-Avec act. écol. envisagée'!Y768&lt;&gt;"",'Eval-Avec act. écol. envisagée'!Y768,"")))</f>
        <v/>
      </c>
      <c r="NG6" s="3" t="str">
        <f>IF('Eval-Avec act. écol. envisagée'!$T$107=0,"",IF('Eval-Avec act. écol. envisagée'!$T$107="","",IF('Eval-Avec act. écol. envisagée'!A769&lt;&gt;"",'Eval-Avec act. écol. envisagée'!A769,"")))</f>
        <v/>
      </c>
      <c r="NH6" s="3" t="str">
        <f>IF('Eval-Avec act. écol. envisagée'!$T$107=0,"",IF('Eval-Avec act. écol. envisagée'!$T$107="","",IF('Eval-Avec act. écol. envisagée'!B769&lt;&gt;"",'Eval-Avec act. écol. envisagée'!B769,"")))</f>
        <v/>
      </c>
      <c r="NI6" s="3" t="str">
        <f>IF('Eval-Avec act. écol. envisagée'!$T$107=0,"",IF('Eval-Avec act. écol. envisagée'!$T$107="","",IF('Eval-Avec act. écol. envisagée'!C769&lt;&gt;"",'Eval-Avec act. écol. envisagée'!C769,"")))</f>
        <v/>
      </c>
      <c r="NJ6" s="3" t="str">
        <f>IF('Eval-Avec act. écol. envisagée'!$T$107=0,"",IF('Eval-Avec act. écol. envisagée'!$T$107="","",IF('Eval-Avec act. écol. envisagée'!E769&lt;&gt;"",'Eval-Avec act. écol. envisagée'!E769,"")))</f>
        <v/>
      </c>
      <c r="NK6" s="3" t="str">
        <f>IF('Eval-Avec act. écol. envisagée'!$T$107=0,"",IF('Eval-Avec act. écol. envisagée'!$T$107="","",IF('Eval-Avec act. écol. envisagée'!G769&lt;&gt;"",'Eval-Avec act. écol. envisagée'!G769,"")))</f>
        <v/>
      </c>
      <c r="NL6" s="3" t="str">
        <f>IF('Eval-Avec act. écol. envisagée'!$T$107=0,"",IF('Eval-Avec act. écol. envisagée'!$T$107="","",IF('Eval-Avec act. écol. envisagée'!H769&lt;&gt;"",'Eval-Avec act. écol. envisagée'!H769,"")))</f>
        <v/>
      </c>
      <c r="NM6" s="3" t="str">
        <f>IF('Eval-Avec act. écol. envisagée'!$T$107=0,"",IF('Eval-Avec act. écol. envisagée'!$T$107="","",IF('Eval-Avec act. écol. envisagée'!I769&lt;&gt;"",'Eval-Avec act. écol. envisagée'!I769,"")))</f>
        <v/>
      </c>
      <c r="NN6" s="3" t="str">
        <f>IF('Eval-Avec act. écol. envisagée'!$T$107=0,"",IF('Eval-Avec act. écol. envisagée'!$T$107="","",IF('Eval-Avec act. écol. envisagée'!J769&lt;&gt;"",'Eval-Avec act. écol. envisagée'!J769,"")))</f>
        <v/>
      </c>
      <c r="NO6" s="3" t="str">
        <f>IF('Eval-Avec act. écol. envisagée'!$T$107=0,"",IF('Eval-Avec act. écol. envisagée'!$T$107="","",IF('Eval-Avec act. écol. envisagée'!K769&lt;&gt;"",'Eval-Avec act. écol. envisagée'!K769,"")))</f>
        <v/>
      </c>
      <c r="NP6" s="3" t="str">
        <f>IF('Eval-Avec act. écol. envisagée'!$T$107=0,"",IF('Eval-Avec act. écol. envisagée'!$T$107="","",IF('Eval-Avec act. écol. envisagée'!L769&lt;&gt;"",'Eval-Avec act. écol. envisagée'!L769,"")))</f>
        <v/>
      </c>
      <c r="NQ6" s="3" t="str">
        <f>IF('Eval-Avec act. écol. envisagée'!$T$107=0,"",IF('Eval-Avec act. écol. envisagée'!$T$107="","",IF('Eval-Avec act. écol. envisagée'!M769&lt;&gt;"",'Eval-Avec act. écol. envisagée'!M769,"")))</f>
        <v/>
      </c>
      <c r="NR6" s="3" t="str">
        <f>IF('Eval-Avec act. écol. envisagée'!$T$107=0,"",IF('Eval-Avec act. écol. envisagée'!$T$107="","",IF('Eval-Avec act. écol. envisagée'!N769&lt;&gt;"",'Eval-Avec act. écol. envisagée'!N769,"")))</f>
        <v/>
      </c>
      <c r="NS6" s="3" t="str">
        <f>IF('Eval-Avec act. écol. envisagée'!$T$107=0,"",IF('Eval-Avec act. écol. envisagée'!$T$107="","",IF('Eval-Avec act. écol. envisagée'!O769&lt;&gt;"",'Eval-Avec act. écol. envisagée'!O769,"")))</f>
        <v/>
      </c>
      <c r="NT6" s="3" t="str">
        <f>IF('Eval-Avec act. écol. envisagée'!$T$107=0,"",IF('Eval-Avec act. écol. envisagée'!$T$107="","",IF('Eval-Avec act. écol. envisagée'!P769&lt;&gt;"",'Eval-Avec act. écol. envisagée'!P769,"")))</f>
        <v/>
      </c>
      <c r="NU6" s="3" t="str">
        <f>IF('Eval-Avec act. écol. envisagée'!$T$107=0,"",IF('Eval-Avec act. écol. envisagée'!$T$107="","",IF('Eval-Avec act. écol. envisagée'!Q769&lt;&gt;"",'Eval-Avec act. écol. envisagée'!Q769,"")))</f>
        <v/>
      </c>
      <c r="NV6" s="3" t="str">
        <f>IF('Eval-Avec act. écol. envisagée'!$T$107=0,"",IF('Eval-Avec act. écol. envisagée'!$T$107="","",IF('Eval-Avec act. écol. envisagée'!R769&lt;&gt;"",'Eval-Avec act. écol. envisagée'!R769,"")))</f>
        <v/>
      </c>
      <c r="NW6" s="3" t="str">
        <f>IF('Eval-Avec act. écol. envisagée'!$T$107=0,"",IF('Eval-Avec act. écol. envisagée'!$T$107="","",IF('Eval-Avec act. écol. envisagée'!S769&lt;&gt;"",'Eval-Avec act. écol. envisagée'!S769,"")))</f>
        <v/>
      </c>
      <c r="NX6" s="3" t="str">
        <f>IF('Eval-Avec act. écol. envisagée'!$T$107=0,"",IF('Eval-Avec act. écol. envisagée'!$T$107="","",IF('Eval-Avec act. écol. envisagée'!T769&lt;&gt;"",'Eval-Avec act. écol. envisagée'!T769,"")))</f>
        <v/>
      </c>
      <c r="NY6" s="3" t="str">
        <f>IF('Eval-Avec act. écol. envisagée'!$T$107=0,"",IF('Eval-Avec act. écol. envisagée'!$T$107="","",IF('Eval-Avec act. écol. envisagée'!U769&lt;&gt;"",'Eval-Avec act. écol. envisagée'!U769,"")))</f>
        <v/>
      </c>
      <c r="NZ6" s="3" t="str">
        <f>IF('Eval-Avec act. écol. envisagée'!$T$107=0,"",IF('Eval-Avec act. écol. envisagée'!$T$107="","",IF('Eval-Avec act. écol. envisagée'!V769&lt;&gt;"",'Eval-Avec act. écol. envisagée'!V769,"")))</f>
        <v/>
      </c>
      <c r="OA6" s="3" t="str">
        <f>IF('Eval-Avec act. écol. envisagée'!$T$107=0,"",IF('Eval-Avec act. écol. envisagée'!$T$107="","",IF('Eval-Avec act. écol. envisagée'!W769&lt;&gt;"",'Eval-Avec act. écol. envisagée'!W769,"")))</f>
        <v/>
      </c>
      <c r="OB6" s="3" t="str">
        <f>IF('Eval-Avec act. écol. envisagée'!$T$107=0,"",IF('Eval-Avec act. écol. envisagée'!$T$107="","",IF('Eval-Avec act. écol. envisagée'!X769&lt;&gt;"",'Eval-Avec act. écol. envisagée'!X769,"")))</f>
        <v/>
      </c>
      <c r="OC6" s="3" t="str">
        <f>IF('Eval-Avec act. écol. envisagée'!$T$107=0,"",IF('Eval-Avec act. écol. envisagée'!$T$107="","",IF('Eval-Avec act. écol. envisagée'!Y769&lt;&gt;"",'Eval-Avec act. écol. envisagée'!Y769,"")))</f>
        <v/>
      </c>
      <c r="OD6" s="3" t="str">
        <f>IF('Eval-Avec act. écol. envisagée'!$T$107=0,"",IF('Eval-Avec act. écol. envisagée'!$T$107="","",IF('Eval-Avec act. écol. envisagée'!A770&lt;&gt;"",'Eval-Avec act. écol. envisagée'!A770,"")))</f>
        <v/>
      </c>
      <c r="OE6" s="3" t="str">
        <f>IF('Eval-Avec act. écol. envisagée'!$T$107=0,"",IF('Eval-Avec act. écol. envisagée'!$T$107="","",IF('Eval-Avec act. écol. envisagée'!B770&lt;&gt;"",'Eval-Avec act. écol. envisagée'!B770,"")))</f>
        <v/>
      </c>
      <c r="OF6" s="3" t="str">
        <f>IF('Eval-Avec act. écol. envisagée'!$T$107=0,"",IF('Eval-Avec act. écol. envisagée'!$T$107="","",IF('Eval-Avec act. écol. envisagée'!C770&lt;&gt;"",'Eval-Avec act. écol. envisagée'!C770,"")))</f>
        <v/>
      </c>
      <c r="OG6" s="3" t="str">
        <f>IF('Eval-Avec act. écol. envisagée'!$T$107=0,"",IF('Eval-Avec act. écol. envisagée'!$T$107="","",IF('Eval-Avec act. écol. envisagée'!E770&lt;&gt;"",'Eval-Avec act. écol. envisagée'!E770,"")))</f>
        <v/>
      </c>
      <c r="OH6" s="3" t="str">
        <f>IF('Eval-Avec act. écol. envisagée'!$T$107=0,"",IF('Eval-Avec act. écol. envisagée'!$T$107="","",IF('Eval-Avec act. écol. envisagée'!G770&lt;&gt;"",'Eval-Avec act. écol. envisagée'!G770,"")))</f>
        <v/>
      </c>
      <c r="OI6" s="3" t="str">
        <f>IF('Eval-Avec act. écol. envisagée'!$T$107=0,"",IF('Eval-Avec act. écol. envisagée'!$T$107="","",IF('Eval-Avec act. écol. envisagée'!H770&lt;&gt;"",'Eval-Avec act. écol. envisagée'!H770,"")))</f>
        <v/>
      </c>
      <c r="OJ6" s="3" t="str">
        <f>IF('Eval-Avec act. écol. envisagée'!$T$107=0,"",IF('Eval-Avec act. écol. envisagée'!$T$107="","",IF('Eval-Avec act. écol. envisagée'!I770&lt;&gt;"",'Eval-Avec act. écol. envisagée'!I770,"")))</f>
        <v/>
      </c>
      <c r="OK6" s="3" t="str">
        <f>IF('Eval-Avec act. écol. envisagée'!$T$107=0,"",IF('Eval-Avec act. écol. envisagée'!$T$107="","",IF('Eval-Avec act. écol. envisagée'!J770&lt;&gt;"",'Eval-Avec act. écol. envisagée'!J770,"")))</f>
        <v/>
      </c>
      <c r="OL6" s="3" t="str">
        <f>IF('Eval-Avec act. écol. envisagée'!$T$107=0,"",IF('Eval-Avec act. écol. envisagée'!$T$107="","",IF('Eval-Avec act. écol. envisagée'!K770&lt;&gt;"",'Eval-Avec act. écol. envisagée'!K770,"")))</f>
        <v/>
      </c>
      <c r="OM6" s="3" t="str">
        <f>IF('Eval-Avec act. écol. envisagée'!$T$107=0,"",IF('Eval-Avec act. écol. envisagée'!$T$107="","",IF('Eval-Avec act. écol. envisagée'!L770&lt;&gt;"",'Eval-Avec act. écol. envisagée'!L770,"")))</f>
        <v/>
      </c>
      <c r="ON6" s="3" t="str">
        <f>IF('Eval-Avec act. écol. envisagée'!$T$107=0,"",IF('Eval-Avec act. écol. envisagée'!$T$107="","",IF('Eval-Avec act. écol. envisagée'!M770&lt;&gt;"",'Eval-Avec act. écol. envisagée'!M770,"")))</f>
        <v/>
      </c>
      <c r="OO6" s="3" t="str">
        <f>IF('Eval-Avec act. écol. envisagée'!$T$107=0,"",IF('Eval-Avec act. écol. envisagée'!$T$107="","",IF('Eval-Avec act. écol. envisagée'!N770&lt;&gt;"",'Eval-Avec act. écol. envisagée'!N770,"")))</f>
        <v/>
      </c>
      <c r="OP6" s="3" t="str">
        <f>IF('Eval-Avec act. écol. envisagée'!$T$107=0,"",IF('Eval-Avec act. écol. envisagée'!$T$107="","",IF('Eval-Avec act. écol. envisagée'!O770&lt;&gt;"",'Eval-Avec act. écol. envisagée'!O770,"")))</f>
        <v/>
      </c>
      <c r="OQ6" s="3" t="str">
        <f>IF('Eval-Avec act. écol. envisagée'!$T$107=0,"",IF('Eval-Avec act. écol. envisagée'!$T$107="","",IF('Eval-Avec act. écol. envisagée'!P770&lt;&gt;"",'Eval-Avec act. écol. envisagée'!P770,"")))</f>
        <v/>
      </c>
      <c r="OR6" s="3" t="str">
        <f>IF('Eval-Avec act. écol. envisagée'!$T$107=0,"",IF('Eval-Avec act. écol. envisagée'!$T$107="","",IF('Eval-Avec act. écol. envisagée'!Q770&lt;&gt;"",'Eval-Avec act. écol. envisagée'!Q770,"")))</f>
        <v/>
      </c>
      <c r="OS6" s="3" t="str">
        <f>IF('Eval-Avec act. écol. envisagée'!$T$107=0,"",IF('Eval-Avec act. écol. envisagée'!$T$107="","",IF('Eval-Avec act. écol. envisagée'!R770&lt;&gt;"",'Eval-Avec act. écol. envisagée'!R770,"")))</f>
        <v/>
      </c>
      <c r="OT6" s="3" t="str">
        <f>IF('Eval-Avec act. écol. envisagée'!$T$107=0,"",IF('Eval-Avec act. écol. envisagée'!$T$107="","",IF('Eval-Avec act. écol. envisagée'!S770&lt;&gt;"",'Eval-Avec act. écol. envisagée'!S770,"")))</f>
        <v/>
      </c>
      <c r="OU6" s="3" t="str">
        <f>IF('Eval-Avec act. écol. envisagée'!$T$107=0,"",IF('Eval-Avec act. écol. envisagée'!$T$107="","",IF('Eval-Avec act. écol. envisagée'!T770&lt;&gt;"",'Eval-Avec act. écol. envisagée'!T770,"")))</f>
        <v/>
      </c>
      <c r="OV6" s="3" t="str">
        <f>IF('Eval-Avec act. écol. envisagée'!$T$107=0,"",IF('Eval-Avec act. écol. envisagée'!$T$107="","",IF('Eval-Avec act. écol. envisagée'!U770&lt;&gt;"",'Eval-Avec act. écol. envisagée'!U770,"")))</f>
        <v/>
      </c>
      <c r="OW6" s="3" t="str">
        <f>IF('Eval-Avec act. écol. envisagée'!$T$107=0,"",IF('Eval-Avec act. écol. envisagée'!$T$107="","",IF('Eval-Avec act. écol. envisagée'!V770&lt;&gt;"",'Eval-Avec act. écol. envisagée'!V770,"")))</f>
        <v/>
      </c>
      <c r="OX6" s="3" t="str">
        <f>IF('Eval-Avec act. écol. envisagée'!$T$107=0,"",IF('Eval-Avec act. écol. envisagée'!$T$107="","",IF('Eval-Avec act. écol. envisagée'!W770&lt;&gt;"",'Eval-Avec act. écol. envisagée'!W770,"")))</f>
        <v/>
      </c>
      <c r="OY6" s="3" t="str">
        <f>IF('Eval-Avec act. écol. envisagée'!$T$107=0,"",IF('Eval-Avec act. écol. envisagée'!$T$107="","",IF('Eval-Avec act. écol. envisagée'!X770&lt;&gt;"",'Eval-Avec act. écol. envisagée'!X770,"")))</f>
        <v/>
      </c>
      <c r="OZ6" s="3" t="str">
        <f>IF('Eval-Avec act. écol. envisagée'!$T$107=0,"",IF('Eval-Avec act. écol. envisagée'!$T$107="","",IF('Eval-Avec act. écol. envisagée'!Y770&lt;&gt;"",'Eval-Avec act. écol. envisagée'!Y770,"")))</f>
        <v/>
      </c>
      <c r="PA6" s="3" t="str">
        <f>IF('Eval-Avec act. écol. envisagée'!$T$107=0,"",IF('Eval-Avec act. écol. envisagée'!$T$107="","",IF('Eval-Avec act. écol. envisagée'!A771&lt;&gt;"",'Eval-Avec act. écol. envisagée'!A771,"")))</f>
        <v/>
      </c>
      <c r="PB6" s="3" t="str">
        <f>IF('Eval-Avec act. écol. envisagée'!$T$107=0,"",IF('Eval-Avec act. écol. envisagée'!$T$107="","",IF('Eval-Avec act. écol. envisagée'!B771&lt;&gt;"",'Eval-Avec act. écol. envisagée'!B771,"")))</f>
        <v/>
      </c>
      <c r="PC6" s="3" t="str">
        <f>IF('Eval-Avec act. écol. envisagée'!$T$107=0,"",IF('Eval-Avec act. écol. envisagée'!$T$107="","",IF('Eval-Avec act. écol. envisagée'!C771&lt;&gt;"",'Eval-Avec act. écol. envisagée'!C771,"")))</f>
        <v/>
      </c>
      <c r="PD6" s="3" t="str">
        <f>IF('Eval-Avec act. écol. envisagée'!$T$107=0,"",IF('Eval-Avec act. écol. envisagée'!$T$107="","",IF('Eval-Avec act. écol. envisagée'!E771&lt;&gt;"",'Eval-Avec act. écol. envisagée'!E771,"")))</f>
        <v/>
      </c>
      <c r="PE6" s="3" t="str">
        <f>IF('Eval-Avec act. écol. envisagée'!$T$107=0,"",IF('Eval-Avec act. écol. envisagée'!$T$107="","",IF('Eval-Avec act. écol. envisagée'!G771&lt;&gt;"",'Eval-Avec act. écol. envisagée'!G771,"")))</f>
        <v/>
      </c>
      <c r="PF6" s="3" t="str">
        <f>IF('Eval-Avec act. écol. envisagée'!$T$107=0,"",IF('Eval-Avec act. écol. envisagée'!$T$107="","",IF('Eval-Avec act. écol. envisagée'!H771&lt;&gt;"",'Eval-Avec act. écol. envisagée'!H771,"")))</f>
        <v/>
      </c>
      <c r="PG6" s="3" t="str">
        <f>IF('Eval-Avec act. écol. envisagée'!$T$107=0,"",IF('Eval-Avec act. écol. envisagée'!$T$107="","",IF('Eval-Avec act. écol. envisagée'!I771&lt;&gt;"",'Eval-Avec act. écol. envisagée'!I771,"")))</f>
        <v/>
      </c>
      <c r="PH6" s="3" t="str">
        <f>IF('Eval-Avec act. écol. envisagée'!$T$107=0,"",IF('Eval-Avec act. écol. envisagée'!$T$107="","",IF('Eval-Avec act. écol. envisagée'!J771&lt;&gt;"",'Eval-Avec act. écol. envisagée'!J771,"")))</f>
        <v/>
      </c>
      <c r="PI6" s="3" t="str">
        <f>IF('Eval-Avec act. écol. envisagée'!$T$107=0,"",IF('Eval-Avec act. écol. envisagée'!$T$107="","",IF('Eval-Avec act. écol. envisagée'!K771&lt;&gt;"",'Eval-Avec act. écol. envisagée'!K771,"")))</f>
        <v/>
      </c>
      <c r="PJ6" s="3" t="str">
        <f>IF('Eval-Avec act. écol. envisagée'!$T$107=0,"",IF('Eval-Avec act. écol. envisagée'!$T$107="","",IF('Eval-Avec act. écol. envisagée'!L771&lt;&gt;"",'Eval-Avec act. écol. envisagée'!L771,"")))</f>
        <v/>
      </c>
      <c r="PK6" s="3" t="str">
        <f>IF('Eval-Avec act. écol. envisagée'!$T$107=0,"",IF('Eval-Avec act. écol. envisagée'!$T$107="","",IF('Eval-Avec act. écol. envisagée'!M771&lt;&gt;"",'Eval-Avec act. écol. envisagée'!M771,"")))</f>
        <v/>
      </c>
      <c r="PL6" s="3" t="str">
        <f>IF('Eval-Avec act. écol. envisagée'!$T$107=0,"",IF('Eval-Avec act. écol. envisagée'!$T$107="","",IF('Eval-Avec act. écol. envisagée'!N771&lt;&gt;"",'Eval-Avec act. écol. envisagée'!N771,"")))</f>
        <v/>
      </c>
      <c r="PM6" s="3" t="str">
        <f>IF('Eval-Avec act. écol. envisagée'!$T$107=0,"",IF('Eval-Avec act. écol. envisagée'!$T$107="","",IF('Eval-Avec act. écol. envisagée'!O771&lt;&gt;"",'Eval-Avec act. écol. envisagée'!O771,"")))</f>
        <v/>
      </c>
      <c r="PN6" s="3" t="str">
        <f>IF('Eval-Avec act. écol. envisagée'!$T$107=0,"",IF('Eval-Avec act. écol. envisagée'!$T$107="","",IF('Eval-Avec act. écol. envisagée'!P771&lt;&gt;"",'Eval-Avec act. écol. envisagée'!P771,"")))</f>
        <v/>
      </c>
      <c r="PO6" s="3" t="str">
        <f>IF('Eval-Avec act. écol. envisagée'!$T$107=0,"",IF('Eval-Avec act. écol. envisagée'!$T$107="","",IF('Eval-Avec act. écol. envisagée'!Q771&lt;&gt;"",'Eval-Avec act. écol. envisagée'!Q771,"")))</f>
        <v/>
      </c>
      <c r="PP6" s="3" t="str">
        <f>IF('Eval-Avec act. écol. envisagée'!$T$107=0,"",IF('Eval-Avec act. écol. envisagée'!$T$107="","",IF('Eval-Avec act. écol. envisagée'!R771&lt;&gt;"",'Eval-Avec act. écol. envisagée'!R771,"")))</f>
        <v/>
      </c>
      <c r="PQ6" s="3" t="str">
        <f>IF('Eval-Avec act. écol. envisagée'!$T$107=0,"",IF('Eval-Avec act. écol. envisagée'!$T$107="","",IF('Eval-Avec act. écol. envisagée'!S771&lt;&gt;"",'Eval-Avec act. écol. envisagée'!S771,"")))</f>
        <v/>
      </c>
      <c r="PR6" s="3" t="str">
        <f>IF('Eval-Avec act. écol. envisagée'!$T$107=0,"",IF('Eval-Avec act. écol. envisagée'!$T$107="","",IF('Eval-Avec act. écol. envisagée'!T771&lt;&gt;"",'Eval-Avec act. écol. envisagée'!T771,"")))</f>
        <v/>
      </c>
      <c r="PS6" s="3" t="str">
        <f>IF('Eval-Avec act. écol. envisagée'!$T$107=0,"",IF('Eval-Avec act. écol. envisagée'!$T$107="","",IF('Eval-Avec act. écol. envisagée'!U771&lt;&gt;"",'Eval-Avec act. écol. envisagée'!U771,"")))</f>
        <v/>
      </c>
      <c r="PT6" s="3" t="str">
        <f>IF('Eval-Avec act. écol. envisagée'!$T$107=0,"",IF('Eval-Avec act. écol. envisagée'!$T$107="","",IF('Eval-Avec act. écol. envisagée'!V771&lt;&gt;"",'Eval-Avec act. écol. envisagée'!V771,"")))</f>
        <v/>
      </c>
      <c r="PU6" s="3" t="str">
        <f>IF('Eval-Avec act. écol. envisagée'!$T$107=0,"",IF('Eval-Avec act. écol. envisagée'!$T$107="","",IF('Eval-Avec act. écol. envisagée'!W771&lt;&gt;"",'Eval-Avec act. écol. envisagée'!W771,"")))</f>
        <v/>
      </c>
      <c r="PV6" s="3" t="str">
        <f>IF('Eval-Avec act. écol. envisagée'!$T$107=0,"",IF('Eval-Avec act. écol. envisagée'!$T$107="","",IF('Eval-Avec act. écol. envisagée'!X771&lt;&gt;"",'Eval-Avec act. écol. envisagée'!X771,"")))</f>
        <v/>
      </c>
      <c r="PW6" s="3" t="str">
        <f>IF('Eval-Avec act. écol. envisagée'!$T$107=0,"",IF('Eval-Avec act. écol. envisagée'!$T$107="","",IF('Eval-Avec act. écol. envisagée'!Y771&lt;&gt;"",'Eval-Avec act. écol. envisagée'!Y771,"")))</f>
        <v/>
      </c>
      <c r="PX6" s="3" t="str">
        <f>IF('Eval-Avec act. écol. envisagée'!$T$107=0,"",IF('Eval-Avec act. écol. envisagée'!$T$107="","",IF('Eval-Avec act. écol. envisagée'!A772&lt;&gt;"",'Eval-Avec act. écol. envisagée'!A772,"")))</f>
        <v/>
      </c>
      <c r="PY6" s="3" t="str">
        <f>IF('Eval-Avec act. écol. envisagée'!$T$107=0,"",IF('Eval-Avec act. écol. envisagée'!$T$107="","",IF('Eval-Avec act. écol. envisagée'!B772&lt;&gt;"",'Eval-Avec act. écol. envisagée'!B772,"")))</f>
        <v/>
      </c>
      <c r="PZ6" s="3" t="str">
        <f>IF('Eval-Avec act. écol. envisagée'!$T$107=0,"",IF('Eval-Avec act. écol. envisagée'!$T$107="","",IF('Eval-Avec act. écol. envisagée'!C772&lt;&gt;"",'Eval-Avec act. écol. envisagée'!C772,"")))</f>
        <v/>
      </c>
      <c r="QA6" s="3" t="str">
        <f>IF('Eval-Avec act. écol. envisagée'!$T$107=0,"",IF('Eval-Avec act. écol. envisagée'!$T$107="","",IF('Eval-Avec act. écol. envisagée'!E772&lt;&gt;"",'Eval-Avec act. écol. envisagée'!E772,"")))</f>
        <v/>
      </c>
      <c r="QB6" s="3" t="str">
        <f>IF('Eval-Avec act. écol. envisagée'!$T$107=0,"",IF('Eval-Avec act. écol. envisagée'!$T$107="","",IF('Eval-Avec act. écol. envisagée'!G772&lt;&gt;"",'Eval-Avec act. écol. envisagée'!G772,"")))</f>
        <v/>
      </c>
      <c r="QC6" s="3" t="str">
        <f>IF('Eval-Avec act. écol. envisagée'!$T$107=0,"",IF('Eval-Avec act. écol. envisagée'!$T$107="","",IF('Eval-Avec act. écol. envisagée'!H772&lt;&gt;"",'Eval-Avec act. écol. envisagée'!H772,"")))</f>
        <v/>
      </c>
      <c r="QD6" s="3" t="str">
        <f>IF('Eval-Avec act. écol. envisagée'!$T$107=0,"",IF('Eval-Avec act. écol. envisagée'!$T$107="","",IF('Eval-Avec act. écol. envisagée'!I772&lt;&gt;"",'Eval-Avec act. écol. envisagée'!I772,"")))</f>
        <v/>
      </c>
      <c r="QE6" s="3" t="str">
        <f>IF('Eval-Avec act. écol. envisagée'!$T$107=0,"",IF('Eval-Avec act. écol. envisagée'!$T$107="","",IF('Eval-Avec act. écol. envisagée'!J772&lt;&gt;"",'Eval-Avec act. écol. envisagée'!J772,"")))</f>
        <v/>
      </c>
      <c r="QF6" s="3" t="str">
        <f>IF('Eval-Avec act. écol. envisagée'!$T$107=0,"",IF('Eval-Avec act. écol. envisagée'!$T$107="","",IF('Eval-Avec act. écol. envisagée'!K772&lt;&gt;"",'Eval-Avec act. écol. envisagée'!K772,"")))</f>
        <v/>
      </c>
      <c r="QG6" s="3" t="str">
        <f>IF('Eval-Avec act. écol. envisagée'!$T$107=0,"",IF('Eval-Avec act. écol. envisagée'!$T$107="","",IF('Eval-Avec act. écol. envisagée'!L772&lt;&gt;"",'Eval-Avec act. écol. envisagée'!L772,"")))</f>
        <v/>
      </c>
      <c r="QH6" s="3" t="str">
        <f>IF('Eval-Avec act. écol. envisagée'!$T$107=0,"",IF('Eval-Avec act. écol. envisagée'!$T$107="","",IF('Eval-Avec act. écol. envisagée'!M772&lt;&gt;"",'Eval-Avec act. écol. envisagée'!M772,"")))</f>
        <v/>
      </c>
      <c r="QI6" s="3" t="str">
        <f>IF('Eval-Avec act. écol. envisagée'!$T$107=0,"",IF('Eval-Avec act. écol. envisagée'!$T$107="","",IF('Eval-Avec act. écol. envisagée'!N772&lt;&gt;"",'Eval-Avec act. écol. envisagée'!N772,"")))</f>
        <v/>
      </c>
      <c r="QJ6" s="3" t="str">
        <f>IF('Eval-Avec act. écol. envisagée'!$T$107=0,"",IF('Eval-Avec act. écol. envisagée'!$T$107="","",IF('Eval-Avec act. écol. envisagée'!O772&lt;&gt;"",'Eval-Avec act. écol. envisagée'!O772,"")))</f>
        <v/>
      </c>
      <c r="QK6" s="3" t="str">
        <f>IF('Eval-Avec act. écol. envisagée'!$T$107=0,"",IF('Eval-Avec act. écol. envisagée'!$T$107="","",IF('Eval-Avec act. écol. envisagée'!P772&lt;&gt;"",'Eval-Avec act. écol. envisagée'!P772,"")))</f>
        <v/>
      </c>
      <c r="QL6" s="3" t="str">
        <f>IF('Eval-Avec act. écol. envisagée'!$T$107=0,"",IF('Eval-Avec act. écol. envisagée'!$T$107="","",IF('Eval-Avec act. écol. envisagée'!Q772&lt;&gt;"",'Eval-Avec act. écol. envisagée'!Q772,"")))</f>
        <v/>
      </c>
      <c r="QM6" s="3" t="str">
        <f>IF('Eval-Avec act. écol. envisagée'!$T$107=0,"",IF('Eval-Avec act. écol. envisagée'!$T$107="","",IF('Eval-Avec act. écol. envisagée'!R772&lt;&gt;"",'Eval-Avec act. écol. envisagée'!R772,"")))</f>
        <v/>
      </c>
      <c r="QN6" s="3" t="str">
        <f>IF('Eval-Avec act. écol. envisagée'!$T$107=0,"",IF('Eval-Avec act. écol. envisagée'!$T$107="","",IF('Eval-Avec act. écol. envisagée'!S772&lt;&gt;"",'Eval-Avec act. écol. envisagée'!S772,"")))</f>
        <v/>
      </c>
      <c r="QO6" s="3" t="str">
        <f>IF('Eval-Avec act. écol. envisagée'!$T$107=0,"",IF('Eval-Avec act. écol. envisagée'!$T$107="","",IF('Eval-Avec act. écol. envisagée'!T772&lt;&gt;"",'Eval-Avec act. écol. envisagée'!T772,"")))</f>
        <v/>
      </c>
      <c r="QP6" s="3" t="str">
        <f>IF('Eval-Avec act. écol. envisagée'!$T$107=0,"",IF('Eval-Avec act. écol. envisagée'!$T$107="","",IF('Eval-Avec act. écol. envisagée'!U772&lt;&gt;"",'Eval-Avec act. écol. envisagée'!U772,"")))</f>
        <v/>
      </c>
      <c r="QQ6" s="3" t="str">
        <f>IF('Eval-Avec act. écol. envisagée'!$T$107=0,"",IF('Eval-Avec act. écol. envisagée'!$T$107="","",IF('Eval-Avec act. écol. envisagée'!V772&lt;&gt;"",'Eval-Avec act. écol. envisagée'!V772,"")))</f>
        <v/>
      </c>
      <c r="QR6" s="3" t="str">
        <f>IF('Eval-Avec act. écol. envisagée'!$T$107=0,"",IF('Eval-Avec act. écol. envisagée'!$T$107="","",IF('Eval-Avec act. écol. envisagée'!W772&lt;&gt;"",'Eval-Avec act. écol. envisagée'!W772,"")))</f>
        <v/>
      </c>
      <c r="QS6" s="3" t="str">
        <f>IF('Eval-Avec act. écol. envisagée'!$T$107=0,"",IF('Eval-Avec act. écol. envisagée'!$T$107="","",IF('Eval-Avec act. écol. envisagée'!X772&lt;&gt;"",'Eval-Avec act. écol. envisagée'!X772,"")))</f>
        <v/>
      </c>
      <c r="QT6" s="3" t="str">
        <f>IF('Eval-Avec act. écol. envisagée'!$T$107=0,"",IF('Eval-Avec act. écol. envisagée'!$T$107="","",IF('Eval-Avec act. écol. envisagée'!Y772&lt;&gt;"",'Eval-Avec act. écol. envisagée'!Y772,"")))</f>
        <v/>
      </c>
      <c r="QU6" s="3" t="str">
        <f>IF('Eval-Avec act. écol. envisagée'!$T$107=0,"",IF('Eval-Avec act. écol. envisagée'!$T$107="","",IF('Eval-Avec act. écol. envisagée'!A773&lt;&gt;"",'Eval-Avec act. écol. envisagée'!A773,"")))</f>
        <v/>
      </c>
      <c r="QV6" s="3" t="str">
        <f>IF('Eval-Avec act. écol. envisagée'!$T$107=0,"",IF('Eval-Avec act. écol. envisagée'!$T$107="","",IF('Eval-Avec act. écol. envisagée'!B773&lt;&gt;"",'Eval-Avec act. écol. envisagée'!B773,"")))</f>
        <v/>
      </c>
      <c r="QW6" s="3" t="str">
        <f>IF('Eval-Avec act. écol. envisagée'!$T$107=0,"",IF('Eval-Avec act. écol. envisagée'!$T$107="","",IF('Eval-Avec act. écol. envisagée'!C773&lt;&gt;"",'Eval-Avec act. écol. envisagée'!C773,"")))</f>
        <v/>
      </c>
      <c r="QX6" s="3" t="str">
        <f>IF('Eval-Avec act. écol. envisagée'!$T$107=0,"",IF('Eval-Avec act. écol. envisagée'!$T$107="","",IF('Eval-Avec act. écol. envisagée'!E773&lt;&gt;"",'Eval-Avec act. écol. envisagée'!E773,"")))</f>
        <v/>
      </c>
      <c r="QY6" s="3" t="str">
        <f>IF('Eval-Avec act. écol. envisagée'!$T$107=0,"",IF('Eval-Avec act. écol. envisagée'!$T$107="","",IF('Eval-Avec act. écol. envisagée'!G773&lt;&gt;"",'Eval-Avec act. écol. envisagée'!G773,"")))</f>
        <v/>
      </c>
      <c r="QZ6" s="3" t="str">
        <f>IF('Eval-Avec act. écol. envisagée'!$T$107=0,"",IF('Eval-Avec act. écol. envisagée'!$T$107="","",IF('Eval-Avec act. écol. envisagée'!H773&lt;&gt;"",'Eval-Avec act. écol. envisagée'!H773,"")))</f>
        <v/>
      </c>
      <c r="RA6" s="3" t="str">
        <f>IF('Eval-Avec act. écol. envisagée'!$T$107=0,"",IF('Eval-Avec act. écol. envisagée'!$T$107="","",IF('Eval-Avec act. écol. envisagée'!I773&lt;&gt;"",'Eval-Avec act. écol. envisagée'!I773,"")))</f>
        <v/>
      </c>
      <c r="RB6" s="3" t="str">
        <f>IF('Eval-Avec act. écol. envisagée'!$T$107=0,"",IF('Eval-Avec act. écol. envisagée'!$T$107="","",IF('Eval-Avec act. écol. envisagée'!J773&lt;&gt;"",'Eval-Avec act. écol. envisagée'!J773,"")))</f>
        <v/>
      </c>
      <c r="RC6" s="3" t="str">
        <f>IF('Eval-Avec act. écol. envisagée'!$T$107=0,"",IF('Eval-Avec act. écol. envisagée'!$T$107="","",IF('Eval-Avec act. écol. envisagée'!K773&lt;&gt;"",'Eval-Avec act. écol. envisagée'!K773,"")))</f>
        <v/>
      </c>
      <c r="RD6" s="3" t="str">
        <f>IF('Eval-Avec act. écol. envisagée'!$T$107=0,"",IF('Eval-Avec act. écol. envisagée'!$T$107="","",IF('Eval-Avec act. écol. envisagée'!L773&lt;&gt;"",'Eval-Avec act. écol. envisagée'!L773,"")))</f>
        <v/>
      </c>
      <c r="RE6" s="3" t="str">
        <f>IF('Eval-Avec act. écol. envisagée'!$T$107=0,"",IF('Eval-Avec act. écol. envisagée'!$T$107="","",IF('Eval-Avec act. écol. envisagée'!M773&lt;&gt;"",'Eval-Avec act. écol. envisagée'!M773,"")))</f>
        <v/>
      </c>
      <c r="RF6" s="3" t="str">
        <f>IF('Eval-Avec act. écol. envisagée'!$T$107=0,"",IF('Eval-Avec act. écol. envisagée'!$T$107="","",IF('Eval-Avec act. écol. envisagée'!N773&lt;&gt;"",'Eval-Avec act. écol. envisagée'!N773,"")))</f>
        <v/>
      </c>
      <c r="RG6" s="3" t="str">
        <f>IF('Eval-Avec act. écol. envisagée'!$T$107=0,"",IF('Eval-Avec act. écol. envisagée'!$T$107="","",IF('Eval-Avec act. écol. envisagée'!O773&lt;&gt;"",'Eval-Avec act. écol. envisagée'!O773,"")))</f>
        <v/>
      </c>
      <c r="RH6" s="3" t="str">
        <f>IF('Eval-Avec act. écol. envisagée'!$T$107=0,"",IF('Eval-Avec act. écol. envisagée'!$T$107="","",IF('Eval-Avec act. écol. envisagée'!P773&lt;&gt;"",'Eval-Avec act. écol. envisagée'!P773,"")))</f>
        <v/>
      </c>
      <c r="RI6" s="3" t="str">
        <f>IF('Eval-Avec act. écol. envisagée'!$T$107=0,"",IF('Eval-Avec act. écol. envisagée'!$T$107="","",IF('Eval-Avec act. écol. envisagée'!Q773&lt;&gt;"",'Eval-Avec act. écol. envisagée'!Q773,"")))</f>
        <v/>
      </c>
      <c r="RJ6" s="3" t="str">
        <f>IF('Eval-Avec act. écol. envisagée'!$T$107=0,"",IF('Eval-Avec act. écol. envisagée'!$T$107="","",IF('Eval-Avec act. écol. envisagée'!R773&lt;&gt;"",'Eval-Avec act. écol. envisagée'!R773,"")))</f>
        <v/>
      </c>
      <c r="RK6" s="3" t="str">
        <f>IF('Eval-Avec act. écol. envisagée'!$T$107=0,"",IF('Eval-Avec act. écol. envisagée'!$T$107="","",IF('Eval-Avec act. écol. envisagée'!S773&lt;&gt;"",'Eval-Avec act. écol. envisagée'!S773,"")))</f>
        <v/>
      </c>
      <c r="RL6" s="3" t="str">
        <f>IF('Eval-Avec act. écol. envisagée'!$T$107=0,"",IF('Eval-Avec act. écol. envisagée'!$T$107="","",IF('Eval-Avec act. écol. envisagée'!T773&lt;&gt;"",'Eval-Avec act. écol. envisagée'!T773,"")))</f>
        <v/>
      </c>
      <c r="RM6" s="3" t="str">
        <f>IF('Eval-Avec act. écol. envisagée'!$T$107=0,"",IF('Eval-Avec act. écol. envisagée'!$T$107="","",IF('Eval-Avec act. écol. envisagée'!U773&lt;&gt;"",'Eval-Avec act. écol. envisagée'!U773,"")))</f>
        <v/>
      </c>
      <c r="RN6" s="3" t="str">
        <f>IF('Eval-Avec act. écol. envisagée'!$T$107=0,"",IF('Eval-Avec act. écol. envisagée'!$T$107="","",IF('Eval-Avec act. écol. envisagée'!V773&lt;&gt;"",'Eval-Avec act. écol. envisagée'!V773,"")))</f>
        <v/>
      </c>
      <c r="RO6" s="3" t="str">
        <f>IF('Eval-Avec act. écol. envisagée'!$T$107=0,"",IF('Eval-Avec act. écol. envisagée'!$T$107="","",IF('Eval-Avec act. écol. envisagée'!W773&lt;&gt;"",'Eval-Avec act. écol. envisagée'!W773,"")))</f>
        <v/>
      </c>
      <c r="RP6" s="3" t="str">
        <f>IF('Eval-Avec act. écol. envisagée'!$T$107=0,"",IF('Eval-Avec act. écol. envisagée'!$T$107="","",IF('Eval-Avec act. écol. envisagée'!X773&lt;&gt;"",'Eval-Avec act. écol. envisagée'!X773,"")))</f>
        <v/>
      </c>
      <c r="RQ6" s="3" t="str">
        <f>IF('Eval-Avec act. écol. envisagée'!$T$107=0,"",IF('Eval-Avec act. écol. envisagée'!$T$107="","",IF('Eval-Avec act. écol. envisagée'!Y773&lt;&gt;"",'Eval-Avec act. écol. envisagée'!Y773,"")))</f>
        <v/>
      </c>
      <c r="RR6" s="3" t="str">
        <f>IF('Eval-Avec act. écol. envisagée'!$T$107=0,"",IF('Eval-Avec act. écol. envisagée'!$T$107="","",IF('Eval-Avec act. écol. envisagée'!A774&lt;&gt;"",'Eval-Avec act. écol. envisagée'!A774,"")))</f>
        <v/>
      </c>
      <c r="RS6" s="3" t="str">
        <f>IF('Eval-Avec act. écol. envisagée'!$T$107=0,"",IF('Eval-Avec act. écol. envisagée'!$T$107="","",IF('Eval-Avec act. écol. envisagée'!B774&lt;&gt;"",'Eval-Avec act. écol. envisagée'!B774,"")))</f>
        <v/>
      </c>
      <c r="RT6" s="3" t="str">
        <f>IF('Eval-Avec act. écol. envisagée'!$T$107=0,"",IF('Eval-Avec act. écol. envisagée'!$T$107="","",IF('Eval-Avec act. écol. envisagée'!C774&lt;&gt;"",'Eval-Avec act. écol. envisagée'!C774,"")))</f>
        <v/>
      </c>
      <c r="RU6" s="3" t="str">
        <f>IF('Eval-Avec act. écol. envisagée'!$T$107=0,"",IF('Eval-Avec act. écol. envisagée'!$T$107="","",IF('Eval-Avec act. écol. envisagée'!E774&lt;&gt;"",'Eval-Avec act. écol. envisagée'!E774,"")))</f>
        <v/>
      </c>
      <c r="RV6" s="3" t="str">
        <f>IF('Eval-Avec act. écol. envisagée'!$T$107=0,"",IF('Eval-Avec act. écol. envisagée'!$T$107="","",IF('Eval-Avec act. écol. envisagée'!G774&lt;&gt;"",'Eval-Avec act. écol. envisagée'!G774,"")))</f>
        <v/>
      </c>
      <c r="RW6" s="3" t="str">
        <f>IF('Eval-Avec act. écol. envisagée'!$T$107=0,"",IF('Eval-Avec act. écol. envisagée'!$T$107="","",IF('Eval-Avec act. écol. envisagée'!H774&lt;&gt;"",'Eval-Avec act. écol. envisagée'!H774,"")))</f>
        <v/>
      </c>
      <c r="RX6" s="3" t="str">
        <f>IF('Eval-Avec act. écol. envisagée'!$T$107=0,"",IF('Eval-Avec act. écol. envisagée'!$T$107="","",IF('Eval-Avec act. écol. envisagée'!I774&lt;&gt;"",'Eval-Avec act. écol. envisagée'!I774,"")))</f>
        <v/>
      </c>
      <c r="RY6" s="3" t="str">
        <f>IF('Eval-Avec act. écol. envisagée'!$T$107=0,"",IF('Eval-Avec act. écol. envisagée'!$T$107="","",IF('Eval-Avec act. écol. envisagée'!J774&lt;&gt;"",'Eval-Avec act. écol. envisagée'!J774,"")))</f>
        <v/>
      </c>
      <c r="RZ6" s="3" t="str">
        <f>IF('Eval-Avec act. écol. envisagée'!$T$107=0,"",IF('Eval-Avec act. écol. envisagée'!$T$107="","",IF('Eval-Avec act. écol. envisagée'!K774&lt;&gt;"",'Eval-Avec act. écol. envisagée'!K774,"")))</f>
        <v/>
      </c>
      <c r="SA6" s="3" t="str">
        <f>IF('Eval-Avec act. écol. envisagée'!$T$107=0,"",IF('Eval-Avec act. écol. envisagée'!$T$107="","",IF('Eval-Avec act. écol. envisagée'!L774&lt;&gt;"",'Eval-Avec act. écol. envisagée'!L774,"")))</f>
        <v/>
      </c>
      <c r="SB6" s="3" t="str">
        <f>IF('Eval-Avec act. écol. envisagée'!$T$107=0,"",IF('Eval-Avec act. écol. envisagée'!$T$107="","",IF('Eval-Avec act. écol. envisagée'!M774&lt;&gt;"",'Eval-Avec act. écol. envisagée'!M774,"")))</f>
        <v/>
      </c>
      <c r="SC6" s="3" t="str">
        <f>IF('Eval-Avec act. écol. envisagée'!$T$107=0,"",IF('Eval-Avec act. écol. envisagée'!$T$107="","",IF('Eval-Avec act. écol. envisagée'!N774&lt;&gt;"",'Eval-Avec act. écol. envisagée'!N774,"")))</f>
        <v/>
      </c>
      <c r="SD6" s="3" t="str">
        <f>IF('Eval-Avec act. écol. envisagée'!$T$107=0,"",IF('Eval-Avec act. écol. envisagée'!$T$107="","",IF('Eval-Avec act. écol. envisagée'!O774&lt;&gt;"",'Eval-Avec act. écol. envisagée'!O774,"")))</f>
        <v/>
      </c>
      <c r="SE6" s="3" t="str">
        <f>IF('Eval-Avec act. écol. envisagée'!$T$107=0,"",IF('Eval-Avec act. écol. envisagée'!$T$107="","",IF('Eval-Avec act. écol. envisagée'!P774&lt;&gt;"",'Eval-Avec act. écol. envisagée'!P774,"")))</f>
        <v/>
      </c>
      <c r="SF6" s="3" t="str">
        <f>IF('Eval-Avec act. écol. envisagée'!$T$107=0,"",IF('Eval-Avec act. écol. envisagée'!$T$107="","",IF('Eval-Avec act. écol. envisagée'!Q774&lt;&gt;"",'Eval-Avec act. écol. envisagée'!Q774,"")))</f>
        <v/>
      </c>
      <c r="SG6" s="3" t="str">
        <f>IF('Eval-Avec act. écol. envisagée'!$T$107=0,"",IF('Eval-Avec act. écol. envisagée'!$T$107="","",IF('Eval-Avec act. écol. envisagée'!R774&lt;&gt;"",'Eval-Avec act. écol. envisagée'!R774,"")))</f>
        <v/>
      </c>
      <c r="SH6" s="3" t="str">
        <f>IF('Eval-Avec act. écol. envisagée'!$T$107=0,"",IF('Eval-Avec act. écol. envisagée'!$T$107="","",IF('Eval-Avec act. écol. envisagée'!S774&lt;&gt;"",'Eval-Avec act. écol. envisagée'!S774,"")))</f>
        <v/>
      </c>
      <c r="SI6" s="3" t="str">
        <f>IF('Eval-Avec act. écol. envisagée'!$T$107=0,"",IF('Eval-Avec act. écol. envisagée'!$T$107="","",IF('Eval-Avec act. écol. envisagée'!T774&lt;&gt;"",'Eval-Avec act. écol. envisagée'!T774,"")))</f>
        <v/>
      </c>
      <c r="SJ6" s="3" t="str">
        <f>IF('Eval-Avec act. écol. envisagée'!$T$107=0,"",IF('Eval-Avec act. écol. envisagée'!$T$107="","",IF('Eval-Avec act. écol. envisagée'!U774&lt;&gt;"",'Eval-Avec act. écol. envisagée'!U774,"")))</f>
        <v/>
      </c>
      <c r="SK6" s="3" t="str">
        <f>IF('Eval-Avec act. écol. envisagée'!$T$107=0,"",IF('Eval-Avec act. écol. envisagée'!$T$107="","",IF('Eval-Avec act. écol. envisagée'!V774&lt;&gt;"",'Eval-Avec act. écol. envisagée'!V774,"")))</f>
        <v/>
      </c>
      <c r="SL6" s="3" t="str">
        <f>IF('Eval-Avec act. écol. envisagée'!$T$107=0,"",IF('Eval-Avec act. écol. envisagée'!$T$107="","",IF('Eval-Avec act. écol. envisagée'!W774&lt;&gt;"",'Eval-Avec act. écol. envisagée'!W774,"")))</f>
        <v/>
      </c>
      <c r="SM6" s="3" t="str">
        <f>IF('Eval-Avec act. écol. envisagée'!$T$107=0,"",IF('Eval-Avec act. écol. envisagée'!$T$107="","",IF('Eval-Avec act. écol. envisagée'!X774&lt;&gt;"",'Eval-Avec act. écol. envisagée'!X774,"")))</f>
        <v/>
      </c>
      <c r="SN6" s="3" t="str">
        <f>IF('Eval-Avec act. écol. envisagée'!$T$107=0,"",IF('Eval-Avec act. écol. envisagée'!$T$107="","",IF('Eval-Avec act. écol. envisagée'!Y774&lt;&gt;"",'Eval-Avec act. écol. envisagée'!Y774,"")))</f>
        <v/>
      </c>
      <c r="SO6" s="3" t="str">
        <f>IF('Eval-Avec act. écol. envisagée'!$T$107=0,"",IF('Eval-Avec act. écol. envisagée'!$T$107="","",IF('Eval-Avec act. écol. envisagée'!A775&lt;&gt;"",'Eval-Avec act. écol. envisagée'!A775,"")))</f>
        <v/>
      </c>
      <c r="SP6" s="3" t="str">
        <f>IF('Eval-Avec act. écol. envisagée'!$T$107=0,"",IF('Eval-Avec act. écol. envisagée'!$T$107="","",IF('Eval-Avec act. écol. envisagée'!B775&lt;&gt;"",'Eval-Avec act. écol. envisagée'!B775,"")))</f>
        <v/>
      </c>
      <c r="SQ6" s="3" t="str">
        <f>IF('Eval-Avec act. écol. envisagée'!$T$107=0,"",IF('Eval-Avec act. écol. envisagée'!$T$107="","",IF('Eval-Avec act. écol. envisagée'!C775&lt;&gt;"",'Eval-Avec act. écol. envisagée'!C775,"")))</f>
        <v/>
      </c>
      <c r="SR6" s="3" t="str">
        <f>IF('Eval-Avec act. écol. envisagée'!$T$107=0,"",IF('Eval-Avec act. écol. envisagée'!$T$107="","",IF('Eval-Avec act. écol. envisagée'!E775&lt;&gt;"",'Eval-Avec act. écol. envisagée'!E775,"")))</f>
        <v/>
      </c>
      <c r="SS6" s="3" t="str">
        <f>IF('Eval-Avec act. écol. envisagée'!$T$107=0,"",IF('Eval-Avec act. écol. envisagée'!$T$107="","",IF('Eval-Avec act. écol. envisagée'!G775&lt;&gt;"",'Eval-Avec act. écol. envisagée'!G775,"")))</f>
        <v/>
      </c>
      <c r="ST6" s="3" t="str">
        <f>IF('Eval-Avec act. écol. envisagée'!$T$107=0,"",IF('Eval-Avec act. écol. envisagée'!$T$107="","",IF('Eval-Avec act. écol. envisagée'!H775&lt;&gt;"",'Eval-Avec act. écol. envisagée'!H775,"")))</f>
        <v/>
      </c>
      <c r="SU6" s="3" t="str">
        <f>IF('Eval-Avec act. écol. envisagée'!$T$107=0,"",IF('Eval-Avec act. écol. envisagée'!$T$107="","",IF('Eval-Avec act. écol. envisagée'!I775&lt;&gt;"",'Eval-Avec act. écol. envisagée'!I775,"")))</f>
        <v/>
      </c>
      <c r="SV6" s="3" t="str">
        <f>IF('Eval-Avec act. écol. envisagée'!$T$107=0,"",IF('Eval-Avec act. écol. envisagée'!$T$107="","",IF('Eval-Avec act. écol. envisagée'!J775&lt;&gt;"",'Eval-Avec act. écol. envisagée'!J775,"")))</f>
        <v/>
      </c>
      <c r="SW6" s="3" t="str">
        <f>IF('Eval-Avec act. écol. envisagée'!$T$107=0,"",IF('Eval-Avec act. écol. envisagée'!$T$107="","",IF('Eval-Avec act. écol. envisagée'!K775&lt;&gt;"",'Eval-Avec act. écol. envisagée'!K775,"")))</f>
        <v/>
      </c>
      <c r="SX6" s="3" t="str">
        <f>IF('Eval-Avec act. écol. envisagée'!$T$107=0,"",IF('Eval-Avec act. écol. envisagée'!$T$107="","",IF('Eval-Avec act. écol. envisagée'!L775&lt;&gt;"",'Eval-Avec act. écol. envisagée'!L775,"")))</f>
        <v/>
      </c>
      <c r="SY6" s="3" t="str">
        <f>IF('Eval-Avec act. écol. envisagée'!$T$107=0,"",IF('Eval-Avec act. écol. envisagée'!$T$107="","",IF('Eval-Avec act. écol. envisagée'!M775&lt;&gt;"",'Eval-Avec act. écol. envisagée'!M775,"")))</f>
        <v/>
      </c>
      <c r="SZ6" s="3" t="str">
        <f>IF('Eval-Avec act. écol. envisagée'!$T$107=0,"",IF('Eval-Avec act. écol. envisagée'!$T$107="","",IF('Eval-Avec act. écol. envisagée'!N775&lt;&gt;"",'Eval-Avec act. écol. envisagée'!N775,"")))</f>
        <v/>
      </c>
      <c r="TA6" s="3" t="str">
        <f>IF('Eval-Avec act. écol. envisagée'!$T$107=0,"",IF('Eval-Avec act. écol. envisagée'!$T$107="","",IF('Eval-Avec act. écol. envisagée'!O775&lt;&gt;"",'Eval-Avec act. écol. envisagée'!O775,"")))</f>
        <v/>
      </c>
      <c r="TB6" s="3" t="str">
        <f>IF('Eval-Avec act. écol. envisagée'!$T$107=0,"",IF('Eval-Avec act. écol. envisagée'!$T$107="","",IF('Eval-Avec act. écol. envisagée'!P775&lt;&gt;"",'Eval-Avec act. écol. envisagée'!P775,"")))</f>
        <v/>
      </c>
      <c r="TC6" s="3" t="str">
        <f>IF('Eval-Avec act. écol. envisagée'!$T$107=0,"",IF('Eval-Avec act. écol. envisagée'!$T$107="","",IF('Eval-Avec act. écol. envisagée'!Q775&lt;&gt;"",'Eval-Avec act. écol. envisagée'!Q775,"")))</f>
        <v/>
      </c>
      <c r="TD6" s="3" t="str">
        <f>IF('Eval-Avec act. écol. envisagée'!$T$107=0,"",IF('Eval-Avec act. écol. envisagée'!$T$107="","",IF('Eval-Avec act. écol. envisagée'!R775&lt;&gt;"",'Eval-Avec act. écol. envisagée'!R775,"")))</f>
        <v/>
      </c>
      <c r="TE6" s="3" t="str">
        <f>IF('Eval-Avec act. écol. envisagée'!$T$107=0,"",IF('Eval-Avec act. écol. envisagée'!$T$107="","",IF('Eval-Avec act. écol. envisagée'!S775&lt;&gt;"",'Eval-Avec act. écol. envisagée'!S775,"")))</f>
        <v/>
      </c>
      <c r="TF6" s="3" t="str">
        <f>IF('Eval-Avec act. écol. envisagée'!$T$107=0,"",IF('Eval-Avec act. écol. envisagée'!$T$107="","",IF('Eval-Avec act. écol. envisagée'!T775&lt;&gt;"",'Eval-Avec act. écol. envisagée'!T775,"")))</f>
        <v/>
      </c>
      <c r="TG6" s="3" t="str">
        <f>IF('Eval-Avec act. écol. envisagée'!$T$107=0,"",IF('Eval-Avec act. écol. envisagée'!$T$107="","",IF('Eval-Avec act. écol. envisagée'!U775&lt;&gt;"",'Eval-Avec act. écol. envisagée'!U775,"")))</f>
        <v/>
      </c>
      <c r="TH6" s="3" t="str">
        <f>IF('Eval-Avec act. écol. envisagée'!$T$107=0,"",IF('Eval-Avec act. écol. envisagée'!$T$107="","",IF('Eval-Avec act. écol. envisagée'!V775&lt;&gt;"",'Eval-Avec act. écol. envisagée'!V775,"")))</f>
        <v/>
      </c>
      <c r="TI6" s="3" t="str">
        <f>IF('Eval-Avec act. écol. envisagée'!$T$107=0,"",IF('Eval-Avec act. écol. envisagée'!$T$107="","",IF('Eval-Avec act. écol. envisagée'!W775&lt;&gt;"",'Eval-Avec act. écol. envisagée'!W775,"")))</f>
        <v/>
      </c>
      <c r="TJ6" s="3" t="str">
        <f>IF('Eval-Avec act. écol. envisagée'!$T$107=0,"",IF('Eval-Avec act. écol. envisagée'!$T$107="","",IF('Eval-Avec act. écol. envisagée'!X775&lt;&gt;"",'Eval-Avec act. écol. envisagée'!X775,"")))</f>
        <v/>
      </c>
      <c r="TK6" s="3" t="str">
        <f>IF('Eval-Avec act. écol. envisagée'!$T$107=0,"",IF('Eval-Avec act. écol. envisagée'!$T$107="","",IF('Eval-Avec act. écol. envisagée'!Y775&lt;&gt;"",'Eval-Avec act. écol. envisagée'!Y775,"")))</f>
        <v/>
      </c>
      <c r="TL6" s="3" t="str">
        <f>IF('Eval-Avec act. écol. envisagée'!$T$107=0,"",IF('Eval-Avec act. écol. envisagée'!$T$107="","",IF('Eval-Avec act. écol. envisagée'!A776&lt;&gt;"",'Eval-Avec act. écol. envisagée'!A776,"")))</f>
        <v/>
      </c>
      <c r="TM6" s="3" t="str">
        <f>IF('Eval-Avec act. écol. envisagée'!$T$107=0,"",IF('Eval-Avec act. écol. envisagée'!$T$107="","",IF('Eval-Avec act. écol. envisagée'!B776&lt;&gt;"",'Eval-Avec act. écol. envisagée'!B776,"")))</f>
        <v/>
      </c>
      <c r="TN6" s="3" t="str">
        <f>IF('Eval-Avec act. écol. envisagée'!$T$107=0,"",IF('Eval-Avec act. écol. envisagée'!$T$107="","",IF('Eval-Avec act. écol. envisagée'!C776&lt;&gt;"",'Eval-Avec act. écol. envisagée'!C776,"")))</f>
        <v/>
      </c>
      <c r="TO6" s="3" t="str">
        <f>IF('Eval-Avec act. écol. envisagée'!$T$107=0,"",IF('Eval-Avec act. écol. envisagée'!$T$107="","",IF('Eval-Avec act. écol. envisagée'!E776&lt;&gt;"",'Eval-Avec act. écol. envisagée'!E776,"")))</f>
        <v/>
      </c>
      <c r="TP6" s="3" t="str">
        <f>IF('Eval-Avec act. écol. envisagée'!$T$107=0,"",IF('Eval-Avec act. écol. envisagée'!$T$107="","",IF('Eval-Avec act. écol. envisagée'!G776&lt;&gt;"",'Eval-Avec act. écol. envisagée'!G776,"")))</f>
        <v/>
      </c>
      <c r="TQ6" s="3" t="str">
        <f>IF('Eval-Avec act. écol. envisagée'!$T$107=0,"",IF('Eval-Avec act. écol. envisagée'!$T$107="","",IF('Eval-Avec act. écol. envisagée'!H776&lt;&gt;"",'Eval-Avec act. écol. envisagée'!H776,"")))</f>
        <v/>
      </c>
      <c r="TR6" s="3" t="str">
        <f>IF('Eval-Avec act. écol. envisagée'!$T$107=0,"",IF('Eval-Avec act. écol. envisagée'!$T$107="","",IF('Eval-Avec act. écol. envisagée'!I776&lt;&gt;"",'Eval-Avec act. écol. envisagée'!I776,"")))</f>
        <v/>
      </c>
      <c r="TS6" s="3" t="str">
        <f>IF('Eval-Avec act. écol. envisagée'!$T$107=0,"",IF('Eval-Avec act. écol. envisagée'!$T$107="","",IF('Eval-Avec act. écol. envisagée'!J776&lt;&gt;"",'Eval-Avec act. écol. envisagée'!J776,"")))</f>
        <v/>
      </c>
      <c r="TT6" s="3" t="str">
        <f>IF('Eval-Avec act. écol. envisagée'!$T$107=0,"",IF('Eval-Avec act. écol. envisagée'!$T$107="","",IF('Eval-Avec act. écol. envisagée'!K776&lt;&gt;"",'Eval-Avec act. écol. envisagée'!K776,"")))</f>
        <v/>
      </c>
      <c r="TU6" s="3" t="str">
        <f>IF('Eval-Avec act. écol. envisagée'!$T$107=0,"",IF('Eval-Avec act. écol. envisagée'!$T$107="","",IF('Eval-Avec act. écol. envisagée'!L776&lt;&gt;"",'Eval-Avec act. écol. envisagée'!L776,"")))</f>
        <v/>
      </c>
      <c r="TV6" s="3" t="str">
        <f>IF('Eval-Avec act. écol. envisagée'!$T$107=0,"",IF('Eval-Avec act. écol. envisagée'!$T$107="","",IF('Eval-Avec act. écol. envisagée'!M776&lt;&gt;"",'Eval-Avec act. écol. envisagée'!M776,"")))</f>
        <v/>
      </c>
      <c r="TW6" s="3" t="str">
        <f>IF('Eval-Avec act. écol. envisagée'!$T$107=0,"",IF('Eval-Avec act. écol. envisagée'!$T$107="","",IF('Eval-Avec act. écol. envisagée'!N776&lt;&gt;"",'Eval-Avec act. écol. envisagée'!N776,"")))</f>
        <v/>
      </c>
      <c r="TX6" s="3" t="str">
        <f>IF('Eval-Avec act. écol. envisagée'!$T$107=0,"",IF('Eval-Avec act. écol. envisagée'!$T$107="","",IF('Eval-Avec act. écol. envisagée'!O776&lt;&gt;"",'Eval-Avec act. écol. envisagée'!O776,"")))</f>
        <v/>
      </c>
      <c r="TY6" s="3" t="str">
        <f>IF('Eval-Avec act. écol. envisagée'!$T$107=0,"",IF('Eval-Avec act. écol. envisagée'!$T$107="","",IF('Eval-Avec act. écol. envisagée'!P776&lt;&gt;"",'Eval-Avec act. écol. envisagée'!P776,"")))</f>
        <v/>
      </c>
      <c r="TZ6" s="3" t="str">
        <f>IF('Eval-Avec act. écol. envisagée'!$T$107=0,"",IF('Eval-Avec act. écol. envisagée'!$T$107="","",IF('Eval-Avec act. écol. envisagée'!Q776&lt;&gt;"",'Eval-Avec act. écol. envisagée'!Q776,"")))</f>
        <v/>
      </c>
      <c r="UA6" s="3" t="str">
        <f>IF('Eval-Avec act. écol. envisagée'!$T$107=0,"",IF('Eval-Avec act. écol. envisagée'!$T$107="","",IF('Eval-Avec act. écol. envisagée'!R776&lt;&gt;"",'Eval-Avec act. écol. envisagée'!R776,"")))</f>
        <v/>
      </c>
      <c r="UB6" s="3" t="str">
        <f>IF('Eval-Avec act. écol. envisagée'!$T$107=0,"",IF('Eval-Avec act. écol. envisagée'!$T$107="","",IF('Eval-Avec act. écol. envisagée'!S776&lt;&gt;"",'Eval-Avec act. écol. envisagée'!S776,"")))</f>
        <v/>
      </c>
      <c r="UC6" s="3" t="str">
        <f>IF('Eval-Avec act. écol. envisagée'!$T$107=0,"",IF('Eval-Avec act. écol. envisagée'!$T$107="","",IF('Eval-Avec act. écol. envisagée'!T776&lt;&gt;"",'Eval-Avec act. écol. envisagée'!T776,"")))</f>
        <v/>
      </c>
      <c r="UD6" s="3" t="str">
        <f>IF('Eval-Avec act. écol. envisagée'!$T$107=0,"",IF('Eval-Avec act. écol. envisagée'!$T$107="","",IF('Eval-Avec act. écol. envisagée'!U776&lt;&gt;"",'Eval-Avec act. écol. envisagée'!U776,"")))</f>
        <v/>
      </c>
      <c r="UE6" s="3" t="str">
        <f>IF('Eval-Avec act. écol. envisagée'!$T$107=0,"",IF('Eval-Avec act. écol. envisagée'!$T$107="","",IF('Eval-Avec act. écol. envisagée'!V776&lt;&gt;"",'Eval-Avec act. écol. envisagée'!V776,"")))</f>
        <v/>
      </c>
      <c r="UF6" s="3" t="str">
        <f>IF('Eval-Avec act. écol. envisagée'!$T$107=0,"",IF('Eval-Avec act. écol. envisagée'!$T$107="","",IF('Eval-Avec act. écol. envisagée'!W776&lt;&gt;"",'Eval-Avec act. écol. envisagée'!W776,"")))</f>
        <v/>
      </c>
      <c r="UG6" s="3" t="str">
        <f>IF('Eval-Avec act. écol. envisagée'!$T$107=0,"",IF('Eval-Avec act. écol. envisagée'!$T$107="","",IF('Eval-Avec act. écol. envisagée'!X776&lt;&gt;"",'Eval-Avec act. écol. envisagée'!X776,"")))</f>
        <v/>
      </c>
      <c r="UH6" s="3" t="str">
        <f>IF('Eval-Avec act. écol. envisagée'!$T$107=0,"",IF('Eval-Avec act. écol. envisagée'!$T$107="","",IF('Eval-Avec act. écol. envisagée'!Y776&lt;&gt;"",'Eval-Avec act. écol. envisagée'!Y776,"")))</f>
        <v/>
      </c>
      <c r="UI6" s="3" t="str">
        <f>IF('Eval-Avec act. écol. envisagée'!$T$107=0,"",IF('Eval-Avec act. écol. envisagée'!$T$107="","",IF('Eval-Avec act. écol. envisagée'!A777&lt;&gt;"",'Eval-Avec act. écol. envisagée'!A777,"")))</f>
        <v/>
      </c>
      <c r="UJ6" s="3" t="str">
        <f>IF('Eval-Avec act. écol. envisagée'!$T$107=0,"",IF('Eval-Avec act. écol. envisagée'!$T$107="","",IF('Eval-Avec act. écol. envisagée'!B777&lt;&gt;"",'Eval-Avec act. écol. envisagée'!B777,"")))</f>
        <v/>
      </c>
      <c r="UK6" s="3" t="str">
        <f>IF('Eval-Avec act. écol. envisagée'!$T$107=0,"",IF('Eval-Avec act. écol. envisagée'!$T$107="","",IF('Eval-Avec act. écol. envisagée'!C777&lt;&gt;"",'Eval-Avec act. écol. envisagée'!C777,"")))</f>
        <v/>
      </c>
      <c r="UL6" s="3" t="str">
        <f>IF('Eval-Avec act. écol. envisagée'!$T$107=0,"",IF('Eval-Avec act. écol. envisagée'!$T$107="","",IF('Eval-Avec act. écol. envisagée'!E777&lt;&gt;"",'Eval-Avec act. écol. envisagée'!E777,"")))</f>
        <v/>
      </c>
      <c r="UM6" s="3" t="str">
        <f>IF('Eval-Avec act. écol. envisagée'!$T$107=0,"",IF('Eval-Avec act. écol. envisagée'!$T$107="","",IF('Eval-Avec act. écol. envisagée'!G777&lt;&gt;"",'Eval-Avec act. écol. envisagée'!G777,"")))</f>
        <v/>
      </c>
      <c r="UN6" s="3" t="str">
        <f>IF('Eval-Avec act. écol. envisagée'!$T$107=0,"",IF('Eval-Avec act. écol. envisagée'!$T$107="","",IF('Eval-Avec act. écol. envisagée'!H777&lt;&gt;"",'Eval-Avec act. écol. envisagée'!H777,"")))</f>
        <v/>
      </c>
      <c r="UO6" s="3" t="str">
        <f>IF('Eval-Avec act. écol. envisagée'!$T$107=0,"",IF('Eval-Avec act. écol. envisagée'!$T$107="","",IF('Eval-Avec act. écol. envisagée'!I777&lt;&gt;"",'Eval-Avec act. écol. envisagée'!I777,"")))</f>
        <v/>
      </c>
      <c r="UP6" s="3" t="str">
        <f>IF('Eval-Avec act. écol. envisagée'!$T$107=0,"",IF('Eval-Avec act. écol. envisagée'!$T$107="","",IF('Eval-Avec act. écol. envisagée'!J777&lt;&gt;"",'Eval-Avec act. écol. envisagée'!J777,"")))</f>
        <v/>
      </c>
      <c r="UQ6" s="3" t="str">
        <f>IF('Eval-Avec act. écol. envisagée'!$T$107=0,"",IF('Eval-Avec act. écol. envisagée'!$T$107="","",IF('Eval-Avec act. écol. envisagée'!K777&lt;&gt;"",'Eval-Avec act. écol. envisagée'!K777,"")))</f>
        <v/>
      </c>
      <c r="UR6" s="3" t="str">
        <f>IF('Eval-Avec act. écol. envisagée'!$T$107=0,"",IF('Eval-Avec act. écol. envisagée'!$T$107="","",IF('Eval-Avec act. écol. envisagée'!L777&lt;&gt;"",'Eval-Avec act. écol. envisagée'!L777,"")))</f>
        <v/>
      </c>
      <c r="US6" s="3" t="str">
        <f>IF('Eval-Avec act. écol. envisagée'!$T$107=0,"",IF('Eval-Avec act. écol. envisagée'!$T$107="","",IF('Eval-Avec act. écol. envisagée'!M777&lt;&gt;"",'Eval-Avec act. écol. envisagée'!M777,"")))</f>
        <v/>
      </c>
      <c r="UT6" s="3" t="str">
        <f>IF('Eval-Avec act. écol. envisagée'!$T$107=0,"",IF('Eval-Avec act. écol. envisagée'!$T$107="","",IF('Eval-Avec act. écol. envisagée'!N777&lt;&gt;"",'Eval-Avec act. écol. envisagée'!N777,"")))</f>
        <v/>
      </c>
      <c r="UU6" s="3" t="str">
        <f>IF('Eval-Avec act. écol. envisagée'!$T$107=0,"",IF('Eval-Avec act. écol. envisagée'!$T$107="","",IF('Eval-Avec act. écol. envisagée'!O777&lt;&gt;"",'Eval-Avec act. écol. envisagée'!O777,"")))</f>
        <v/>
      </c>
      <c r="UV6" s="3" t="str">
        <f>IF('Eval-Avec act. écol. envisagée'!$T$107=0,"",IF('Eval-Avec act. écol. envisagée'!$T$107="","",IF('Eval-Avec act. écol. envisagée'!P777&lt;&gt;"",'Eval-Avec act. écol. envisagée'!P777,"")))</f>
        <v/>
      </c>
      <c r="UW6" s="3" t="str">
        <f>IF('Eval-Avec act. écol. envisagée'!$T$107=0,"",IF('Eval-Avec act. écol. envisagée'!$T$107="","",IF('Eval-Avec act. écol. envisagée'!Q777&lt;&gt;"",'Eval-Avec act. écol. envisagée'!Q777,"")))</f>
        <v/>
      </c>
      <c r="UX6" s="3" t="str">
        <f>IF('Eval-Avec act. écol. envisagée'!$T$107=0,"",IF('Eval-Avec act. écol. envisagée'!$T$107="","",IF('Eval-Avec act. écol. envisagée'!R777&lt;&gt;"",'Eval-Avec act. écol. envisagée'!R777,"")))</f>
        <v/>
      </c>
      <c r="UY6" s="3" t="str">
        <f>IF('Eval-Avec act. écol. envisagée'!$T$107=0,"",IF('Eval-Avec act. écol. envisagée'!$T$107="","",IF('Eval-Avec act. écol. envisagée'!S777&lt;&gt;"",'Eval-Avec act. écol. envisagée'!S777,"")))</f>
        <v/>
      </c>
      <c r="UZ6" s="3" t="str">
        <f>IF('Eval-Avec act. écol. envisagée'!$T$107=0,"",IF('Eval-Avec act. écol. envisagée'!$T$107="","",IF('Eval-Avec act. écol. envisagée'!T777&lt;&gt;"",'Eval-Avec act. écol. envisagée'!T777,"")))</f>
        <v/>
      </c>
      <c r="VA6" s="3" t="str">
        <f>IF('Eval-Avec act. écol. envisagée'!$T$107=0,"",IF('Eval-Avec act. écol. envisagée'!$T$107="","",IF('Eval-Avec act. écol. envisagée'!U777&lt;&gt;"",'Eval-Avec act. écol. envisagée'!U777,"")))</f>
        <v/>
      </c>
      <c r="VB6" s="3" t="str">
        <f>IF('Eval-Avec act. écol. envisagée'!$T$107=0,"",IF('Eval-Avec act. écol. envisagée'!$T$107="","",IF('Eval-Avec act. écol. envisagée'!V777&lt;&gt;"",'Eval-Avec act. écol. envisagée'!V777,"")))</f>
        <v/>
      </c>
      <c r="VC6" s="3" t="str">
        <f>IF('Eval-Avec act. écol. envisagée'!$T$107=0,"",IF('Eval-Avec act. écol. envisagée'!$T$107="","",IF('Eval-Avec act. écol. envisagée'!W777&lt;&gt;"",'Eval-Avec act. écol. envisagée'!W777,"")))</f>
        <v/>
      </c>
      <c r="VD6" s="3" t="str">
        <f>IF('Eval-Avec act. écol. envisagée'!$T$107=0,"",IF('Eval-Avec act. écol. envisagée'!$T$107="","",IF('Eval-Avec act. écol. envisagée'!X777&lt;&gt;"",'Eval-Avec act. écol. envisagée'!X777,"")))</f>
        <v/>
      </c>
      <c r="VE6" s="3" t="str">
        <f>IF('Eval-Avec act. écol. envisagée'!$T$107=0,"",IF('Eval-Avec act. écol. envisagée'!$T$107="","",IF('Eval-Avec act. écol. envisagée'!Y777&lt;&gt;"",'Eval-Avec act. écol. envisagée'!Y777,"")))</f>
        <v/>
      </c>
      <c r="VF6" s="3" t="str">
        <f>IF('Eval-Avec act. écol. envisagée'!$T$107=0,"",IF('Eval-Avec act. écol. envisagée'!$T$107="","",IF('Eval-Avec act. écol. envisagée'!A778&lt;&gt;"",'Eval-Avec act. écol. envisagée'!A778,"")))</f>
        <v/>
      </c>
      <c r="VG6" s="3" t="str">
        <f>IF('Eval-Avec act. écol. envisagée'!$T$107=0,"",IF('Eval-Avec act. écol. envisagée'!$T$107="","",IF('Eval-Avec act. écol. envisagée'!B778&lt;&gt;"",'Eval-Avec act. écol. envisagée'!B778,"")))</f>
        <v/>
      </c>
      <c r="VH6" s="3" t="str">
        <f>IF('Eval-Avec act. écol. envisagée'!$T$107=0,"",IF('Eval-Avec act. écol. envisagée'!$T$107="","",IF('Eval-Avec act. écol. envisagée'!C778&lt;&gt;"",'Eval-Avec act. écol. envisagée'!C778,"")))</f>
        <v/>
      </c>
      <c r="VI6" s="3" t="str">
        <f>IF('Eval-Avec act. écol. envisagée'!$T$107=0,"",IF('Eval-Avec act. écol. envisagée'!$T$107="","",IF('Eval-Avec act. écol. envisagée'!E778&lt;&gt;"",'Eval-Avec act. écol. envisagée'!E778,"")))</f>
        <v/>
      </c>
      <c r="VJ6" s="3" t="str">
        <f>IF('Eval-Avec act. écol. envisagée'!$T$107=0,"",IF('Eval-Avec act. écol. envisagée'!$T$107="","",IF('Eval-Avec act. écol. envisagée'!G778&lt;&gt;"",'Eval-Avec act. écol. envisagée'!G778,"")))</f>
        <v/>
      </c>
      <c r="VK6" s="3" t="str">
        <f>IF('Eval-Avec act. écol. envisagée'!$T$107=0,"",IF('Eval-Avec act. écol. envisagée'!$T$107="","",IF('Eval-Avec act. écol. envisagée'!H778&lt;&gt;"",'Eval-Avec act. écol. envisagée'!H778,"")))</f>
        <v/>
      </c>
      <c r="VL6" s="3" t="str">
        <f>IF('Eval-Avec act. écol. envisagée'!$T$107=0,"",IF('Eval-Avec act. écol. envisagée'!$T$107="","",IF('Eval-Avec act. écol. envisagée'!I778&lt;&gt;"",'Eval-Avec act. écol. envisagée'!I778,"")))</f>
        <v/>
      </c>
      <c r="VM6" s="3" t="str">
        <f>IF('Eval-Avec act. écol. envisagée'!$T$107=0,"",IF('Eval-Avec act. écol. envisagée'!$T$107="","",IF('Eval-Avec act. écol. envisagée'!J778&lt;&gt;"",'Eval-Avec act. écol. envisagée'!J778,"")))</f>
        <v/>
      </c>
      <c r="VN6" s="3" t="str">
        <f>IF('Eval-Avec act. écol. envisagée'!$T$107=0,"",IF('Eval-Avec act. écol. envisagée'!$T$107="","",IF('Eval-Avec act. écol. envisagée'!K778&lt;&gt;"",'Eval-Avec act. écol. envisagée'!K778,"")))</f>
        <v/>
      </c>
      <c r="VO6" s="3" t="str">
        <f>IF('Eval-Avec act. écol. envisagée'!$T$107=0,"",IF('Eval-Avec act. écol. envisagée'!$T$107="","",IF('Eval-Avec act. écol. envisagée'!L778&lt;&gt;"",'Eval-Avec act. écol. envisagée'!L778,"")))</f>
        <v/>
      </c>
      <c r="VP6" s="3" t="str">
        <f>IF('Eval-Avec act. écol. envisagée'!$T$107=0,"",IF('Eval-Avec act. écol. envisagée'!$T$107="","",IF('Eval-Avec act. écol. envisagée'!M778&lt;&gt;"",'Eval-Avec act. écol. envisagée'!M778,"")))</f>
        <v/>
      </c>
      <c r="VQ6" s="3" t="str">
        <f>IF('Eval-Avec act. écol. envisagée'!$T$107=0,"",IF('Eval-Avec act. écol. envisagée'!$T$107="","",IF('Eval-Avec act. écol. envisagée'!N778&lt;&gt;"",'Eval-Avec act. écol. envisagée'!N778,"")))</f>
        <v/>
      </c>
      <c r="VR6" s="3" t="str">
        <f>IF('Eval-Avec act. écol. envisagée'!$T$107=0,"",IF('Eval-Avec act. écol. envisagée'!$T$107="","",IF('Eval-Avec act. écol. envisagée'!O778&lt;&gt;"",'Eval-Avec act. écol. envisagée'!O778,"")))</f>
        <v/>
      </c>
      <c r="VS6" s="3" t="str">
        <f>IF('Eval-Avec act. écol. envisagée'!$T$107=0,"",IF('Eval-Avec act. écol. envisagée'!$T$107="","",IF('Eval-Avec act. écol. envisagée'!P778&lt;&gt;"",'Eval-Avec act. écol. envisagée'!P778,"")))</f>
        <v/>
      </c>
      <c r="VT6" s="3" t="str">
        <f>IF('Eval-Avec act. écol. envisagée'!$T$107=0,"",IF('Eval-Avec act. écol. envisagée'!$T$107="","",IF('Eval-Avec act. écol. envisagée'!Q778&lt;&gt;"",'Eval-Avec act. écol. envisagée'!Q778,"")))</f>
        <v/>
      </c>
      <c r="VU6" s="3" t="str">
        <f>IF('Eval-Avec act. écol. envisagée'!$T$107=0,"",IF('Eval-Avec act. écol. envisagée'!$T$107="","",IF('Eval-Avec act. écol. envisagée'!R778&lt;&gt;"",'Eval-Avec act. écol. envisagée'!R778,"")))</f>
        <v/>
      </c>
      <c r="VV6" s="3" t="str">
        <f>IF('Eval-Avec act. écol. envisagée'!$T$107=0,"",IF('Eval-Avec act. écol. envisagée'!$T$107="","",IF('Eval-Avec act. écol. envisagée'!S778&lt;&gt;"",'Eval-Avec act. écol. envisagée'!S778,"")))</f>
        <v/>
      </c>
      <c r="VW6" s="3" t="str">
        <f>IF('Eval-Avec act. écol. envisagée'!$T$107=0,"",IF('Eval-Avec act. écol. envisagée'!$T$107="","",IF('Eval-Avec act. écol. envisagée'!T778&lt;&gt;"",'Eval-Avec act. écol. envisagée'!T778,"")))</f>
        <v/>
      </c>
      <c r="VX6" s="3" t="str">
        <f>IF('Eval-Avec act. écol. envisagée'!$T$107=0,"",IF('Eval-Avec act. écol. envisagée'!$T$107="","",IF('Eval-Avec act. écol. envisagée'!U778&lt;&gt;"",'Eval-Avec act. écol. envisagée'!U778,"")))</f>
        <v/>
      </c>
      <c r="VY6" s="3" t="str">
        <f>IF('Eval-Avec act. écol. envisagée'!$T$107=0,"",IF('Eval-Avec act. écol. envisagée'!$T$107="","",IF('Eval-Avec act. écol. envisagée'!V778&lt;&gt;"",'Eval-Avec act. écol. envisagée'!V778,"")))</f>
        <v/>
      </c>
      <c r="VZ6" s="3" t="str">
        <f>IF('Eval-Avec act. écol. envisagée'!$T$107=0,"",IF('Eval-Avec act. écol. envisagée'!$T$107="","",IF('Eval-Avec act. écol. envisagée'!W778&lt;&gt;"",'Eval-Avec act. écol. envisagée'!W778,"")))</f>
        <v/>
      </c>
      <c r="WA6" s="3" t="str">
        <f>IF('Eval-Avec act. écol. envisagée'!$T$107=0,"",IF('Eval-Avec act. écol. envisagée'!$T$107="","",IF('Eval-Avec act. écol. envisagée'!X778&lt;&gt;"",'Eval-Avec act. écol. envisagée'!X778,"")))</f>
        <v/>
      </c>
      <c r="WB6" s="3" t="str">
        <f>IF('Eval-Avec act. écol. envisagée'!$T$107=0,"",IF('Eval-Avec act. écol. envisagée'!$T$107="","",IF('Eval-Avec act. écol. envisagée'!Y778&lt;&gt;"",'Eval-Avec act. écol. envisagée'!Y778,"")))</f>
        <v/>
      </c>
      <c r="WC6" s="3" t="str">
        <f>IF('Eval-Avec act. écol. envisagée'!$T$107=0,"",IF('Eval-Avec act. écol. envisagée'!$T$107="","",IF('Eval-Avec act. écol. envisagée'!A779&lt;&gt;"",'Eval-Avec act. écol. envisagée'!A779,"")))</f>
        <v/>
      </c>
      <c r="WD6" s="3" t="str">
        <f>IF('Eval-Avec act. écol. envisagée'!$T$107=0,"",IF('Eval-Avec act. écol. envisagée'!$T$107="","",IF('Eval-Avec act. écol. envisagée'!B779&lt;&gt;"",'Eval-Avec act. écol. envisagée'!B779,"")))</f>
        <v/>
      </c>
      <c r="WE6" s="3" t="str">
        <f>IF('Eval-Avec act. écol. envisagée'!$T$107=0,"",IF('Eval-Avec act. écol. envisagée'!$T$107="","",IF('Eval-Avec act. écol. envisagée'!C779&lt;&gt;"",'Eval-Avec act. écol. envisagée'!C779,"")))</f>
        <v/>
      </c>
      <c r="WF6" s="3" t="str">
        <f>IF('Eval-Avec act. écol. envisagée'!$T$107=0,"",IF('Eval-Avec act. écol. envisagée'!$T$107="","",IF('Eval-Avec act. écol. envisagée'!E779&lt;&gt;"",'Eval-Avec act. écol. envisagée'!E779,"")))</f>
        <v/>
      </c>
      <c r="WG6" s="3" t="str">
        <f>IF('Eval-Avec act. écol. envisagée'!$T$107=0,"",IF('Eval-Avec act. écol. envisagée'!$T$107="","",IF('Eval-Avec act. écol. envisagée'!G779&lt;&gt;"",'Eval-Avec act. écol. envisagée'!G779,"")))</f>
        <v/>
      </c>
      <c r="WH6" s="3" t="str">
        <f>IF('Eval-Avec act. écol. envisagée'!$T$107=0,"",IF('Eval-Avec act. écol. envisagée'!$T$107="","",IF('Eval-Avec act. écol. envisagée'!H779&lt;&gt;"",'Eval-Avec act. écol. envisagée'!H779,"")))</f>
        <v/>
      </c>
      <c r="WI6" s="3" t="str">
        <f>IF('Eval-Avec act. écol. envisagée'!$T$107=0,"",IF('Eval-Avec act. écol. envisagée'!$T$107="","",IF('Eval-Avec act. écol. envisagée'!I779&lt;&gt;"",'Eval-Avec act. écol. envisagée'!I779,"")))</f>
        <v/>
      </c>
      <c r="WJ6" s="3" t="str">
        <f>IF('Eval-Avec act. écol. envisagée'!$T$107=0,"",IF('Eval-Avec act. écol. envisagée'!$T$107="","",IF('Eval-Avec act. écol. envisagée'!J779&lt;&gt;"",'Eval-Avec act. écol. envisagée'!J779,"")))</f>
        <v/>
      </c>
      <c r="WK6" s="3" t="str">
        <f>IF('Eval-Avec act. écol. envisagée'!$T$107=0,"",IF('Eval-Avec act. écol. envisagée'!$T$107="","",IF('Eval-Avec act. écol. envisagée'!K779&lt;&gt;"",'Eval-Avec act. écol. envisagée'!K779,"")))</f>
        <v/>
      </c>
      <c r="WL6" s="3" t="str">
        <f>IF('Eval-Avec act. écol. envisagée'!$T$107=0,"",IF('Eval-Avec act. écol. envisagée'!$T$107="","",IF('Eval-Avec act. écol. envisagée'!L779&lt;&gt;"",'Eval-Avec act. écol. envisagée'!L779,"")))</f>
        <v/>
      </c>
      <c r="WM6" s="3" t="str">
        <f>IF('Eval-Avec act. écol. envisagée'!$T$107=0,"",IF('Eval-Avec act. écol. envisagée'!$T$107="","",IF('Eval-Avec act. écol. envisagée'!M779&lt;&gt;"",'Eval-Avec act. écol. envisagée'!M779,"")))</f>
        <v/>
      </c>
      <c r="WN6" s="3" t="str">
        <f>IF('Eval-Avec act. écol. envisagée'!$T$107=0,"",IF('Eval-Avec act. écol. envisagée'!$T$107="","",IF('Eval-Avec act. écol. envisagée'!N779&lt;&gt;"",'Eval-Avec act. écol. envisagée'!N779,"")))</f>
        <v/>
      </c>
      <c r="WO6" s="3" t="str">
        <f>IF('Eval-Avec act. écol. envisagée'!$T$107=0,"",IF('Eval-Avec act. écol. envisagée'!$T$107="","",IF('Eval-Avec act. écol. envisagée'!O779&lt;&gt;"",'Eval-Avec act. écol. envisagée'!O779,"")))</f>
        <v/>
      </c>
      <c r="WP6" s="3" t="str">
        <f>IF('Eval-Avec act. écol. envisagée'!$T$107=0,"",IF('Eval-Avec act. écol. envisagée'!$T$107="","",IF('Eval-Avec act. écol. envisagée'!P779&lt;&gt;"",'Eval-Avec act. écol. envisagée'!P779,"")))</f>
        <v/>
      </c>
      <c r="WQ6" s="3" t="str">
        <f>IF('Eval-Avec act. écol. envisagée'!$T$107=0,"",IF('Eval-Avec act. écol. envisagée'!$T$107="","",IF('Eval-Avec act. écol. envisagée'!Q779&lt;&gt;"",'Eval-Avec act. écol. envisagée'!Q779,"")))</f>
        <v/>
      </c>
      <c r="WR6" s="3" t="str">
        <f>IF('Eval-Avec act. écol. envisagée'!$T$107=0,"",IF('Eval-Avec act. écol. envisagée'!$T$107="","",IF('Eval-Avec act. écol. envisagée'!R779&lt;&gt;"",'Eval-Avec act. écol. envisagée'!R779,"")))</f>
        <v/>
      </c>
      <c r="WS6" s="3" t="str">
        <f>IF('Eval-Avec act. écol. envisagée'!$T$107=0,"",IF('Eval-Avec act. écol. envisagée'!$T$107="","",IF('Eval-Avec act. écol. envisagée'!S779&lt;&gt;"",'Eval-Avec act. écol. envisagée'!S779,"")))</f>
        <v/>
      </c>
      <c r="WT6" s="3" t="str">
        <f>IF('Eval-Avec act. écol. envisagée'!$T$107=0,"",IF('Eval-Avec act. écol. envisagée'!$T$107="","",IF('Eval-Avec act. écol. envisagée'!T779&lt;&gt;"",'Eval-Avec act. écol. envisagée'!T779,"")))</f>
        <v/>
      </c>
      <c r="WU6" s="3" t="str">
        <f>IF('Eval-Avec act. écol. envisagée'!$T$107=0,"",IF('Eval-Avec act. écol. envisagée'!$T$107="","",IF('Eval-Avec act. écol. envisagée'!U779&lt;&gt;"",'Eval-Avec act. écol. envisagée'!U779,"")))</f>
        <v/>
      </c>
      <c r="WV6" s="3" t="str">
        <f>IF('Eval-Avec act. écol. envisagée'!$T$107=0,"",IF('Eval-Avec act. écol. envisagée'!$T$107="","",IF('Eval-Avec act. écol. envisagée'!V779&lt;&gt;"",'Eval-Avec act. écol. envisagée'!V779,"")))</f>
        <v/>
      </c>
      <c r="WW6" s="3" t="str">
        <f>IF('Eval-Avec act. écol. envisagée'!$T$107=0,"",IF('Eval-Avec act. écol. envisagée'!$T$107="","",IF('Eval-Avec act. écol. envisagée'!W779&lt;&gt;"",'Eval-Avec act. écol. envisagée'!W779,"")))</f>
        <v/>
      </c>
      <c r="WX6" s="3" t="str">
        <f>IF('Eval-Avec act. écol. envisagée'!$T$107=0,"",IF('Eval-Avec act. écol. envisagée'!$T$107="","",IF('Eval-Avec act. écol. envisagée'!X779&lt;&gt;"",'Eval-Avec act. écol. envisagée'!X779,"")))</f>
        <v/>
      </c>
      <c r="WY6" s="3" t="str">
        <f>IF('Eval-Avec act. écol. envisagée'!$T$107=0,"",IF('Eval-Avec act. écol. envisagée'!$T$107="","",IF('Eval-Avec act. écol. envisagée'!Y779&lt;&gt;"",'Eval-Avec act. écol. envisagée'!Y779,"")))</f>
        <v/>
      </c>
      <c r="WZ6" s="3" t="str">
        <f>IF('Eval-Avec act. écol. envisagée'!$T$107=0,"",IF('Eval-Avec act. écol. envisagée'!$T$107="","",IF('Eval-Avec act. écol. envisagée'!A780&lt;&gt;"",'Eval-Avec act. écol. envisagée'!A780,"")))</f>
        <v/>
      </c>
      <c r="XA6" s="3" t="str">
        <f>IF('Eval-Avec act. écol. envisagée'!$T$107=0,"",IF('Eval-Avec act. écol. envisagée'!$T$107="","",IF('Eval-Avec act. écol. envisagée'!B780&lt;&gt;"",'Eval-Avec act. écol. envisagée'!B780,"")))</f>
        <v/>
      </c>
      <c r="XB6" s="3" t="str">
        <f>IF('Eval-Avec act. écol. envisagée'!$T$107=0,"",IF('Eval-Avec act. écol. envisagée'!$T$107="","",IF('Eval-Avec act. écol. envisagée'!C780&lt;&gt;"",'Eval-Avec act. écol. envisagée'!C780,"")))</f>
        <v/>
      </c>
      <c r="XC6" s="3" t="str">
        <f>IF('Eval-Avec act. écol. envisagée'!$T$107=0,"",IF('Eval-Avec act. écol. envisagée'!$T$107="","",IF('Eval-Avec act. écol. envisagée'!E780&lt;&gt;"",'Eval-Avec act. écol. envisagée'!E780,"")))</f>
        <v/>
      </c>
      <c r="XD6" s="3" t="str">
        <f>IF('Eval-Avec act. écol. envisagée'!$T$107=0,"",IF('Eval-Avec act. écol. envisagée'!$T$107="","",IF('Eval-Avec act. écol. envisagée'!G780&lt;&gt;"",'Eval-Avec act. écol. envisagée'!G780,"")))</f>
        <v/>
      </c>
      <c r="XE6" s="3" t="str">
        <f>IF('Eval-Avec act. écol. envisagée'!$T$107=0,"",IF('Eval-Avec act. écol. envisagée'!$T$107="","",IF('Eval-Avec act. écol. envisagée'!H780&lt;&gt;"",'Eval-Avec act. écol. envisagée'!H780,"")))</f>
        <v/>
      </c>
      <c r="XF6" s="3" t="str">
        <f>IF('Eval-Avec act. écol. envisagée'!$T$107=0,"",IF('Eval-Avec act. écol. envisagée'!$T$107="","",IF('Eval-Avec act. écol. envisagée'!I780&lt;&gt;"",'Eval-Avec act. écol. envisagée'!I780,"")))</f>
        <v/>
      </c>
      <c r="XG6" s="3" t="str">
        <f>IF('Eval-Avec act. écol. envisagée'!$T$107=0,"",IF('Eval-Avec act. écol. envisagée'!$T$107="","",IF('Eval-Avec act. écol. envisagée'!J780&lt;&gt;"",'Eval-Avec act. écol. envisagée'!J780,"")))</f>
        <v/>
      </c>
      <c r="XH6" s="3" t="str">
        <f>IF('Eval-Avec act. écol. envisagée'!$T$107=0,"",IF('Eval-Avec act. écol. envisagée'!$T$107="","",IF('Eval-Avec act. écol. envisagée'!K780&lt;&gt;"",'Eval-Avec act. écol. envisagée'!K780,"")))</f>
        <v/>
      </c>
      <c r="XI6" s="3" t="str">
        <f>IF('Eval-Avec act. écol. envisagée'!$T$107=0,"",IF('Eval-Avec act. écol. envisagée'!$T$107="","",IF('Eval-Avec act. écol. envisagée'!L780&lt;&gt;"",'Eval-Avec act. écol. envisagée'!L780,"")))</f>
        <v/>
      </c>
      <c r="XJ6" s="3" t="str">
        <f>IF('Eval-Avec act. écol. envisagée'!$T$107=0,"",IF('Eval-Avec act. écol. envisagée'!$T$107="","",IF('Eval-Avec act. écol. envisagée'!M780&lt;&gt;"",'Eval-Avec act. écol. envisagée'!M780,"")))</f>
        <v/>
      </c>
      <c r="XK6" s="3" t="str">
        <f>IF('Eval-Avec act. écol. envisagée'!$T$107=0,"",IF('Eval-Avec act. écol. envisagée'!$T$107="","",IF('Eval-Avec act. écol. envisagée'!N780&lt;&gt;"",'Eval-Avec act. écol. envisagée'!N780,"")))</f>
        <v/>
      </c>
      <c r="XL6" s="3" t="str">
        <f>IF('Eval-Avec act. écol. envisagée'!$T$107=0,"",IF('Eval-Avec act. écol. envisagée'!$T$107="","",IF('Eval-Avec act. écol. envisagée'!O780&lt;&gt;"",'Eval-Avec act. écol. envisagée'!O780,"")))</f>
        <v/>
      </c>
      <c r="XM6" s="3" t="str">
        <f>IF('Eval-Avec act. écol. envisagée'!$T$107=0,"",IF('Eval-Avec act. écol. envisagée'!$T$107="","",IF('Eval-Avec act. écol. envisagée'!P780&lt;&gt;"",'Eval-Avec act. écol. envisagée'!P780,"")))</f>
        <v/>
      </c>
      <c r="XN6" s="3" t="str">
        <f>IF('Eval-Avec act. écol. envisagée'!$T$107=0,"",IF('Eval-Avec act. écol. envisagée'!$T$107="","",IF('Eval-Avec act. écol. envisagée'!Q780&lt;&gt;"",'Eval-Avec act. écol. envisagée'!Q780,"")))</f>
        <v/>
      </c>
      <c r="XO6" s="3" t="str">
        <f>IF('Eval-Avec act. écol. envisagée'!$T$107=0,"",IF('Eval-Avec act. écol. envisagée'!$T$107="","",IF('Eval-Avec act. écol. envisagée'!R780&lt;&gt;"",'Eval-Avec act. écol. envisagée'!R780,"")))</f>
        <v/>
      </c>
      <c r="XP6" s="3" t="str">
        <f>IF('Eval-Avec act. écol. envisagée'!$T$107=0,"",IF('Eval-Avec act. écol. envisagée'!$T$107="","",IF('Eval-Avec act. écol. envisagée'!S780&lt;&gt;"",'Eval-Avec act. écol. envisagée'!S780,"")))</f>
        <v/>
      </c>
      <c r="XQ6" s="3" t="str">
        <f>IF('Eval-Avec act. écol. envisagée'!$T$107=0,"",IF('Eval-Avec act. écol. envisagée'!$T$107="","",IF('Eval-Avec act. écol. envisagée'!T780&lt;&gt;"",'Eval-Avec act. écol. envisagée'!T780,"")))</f>
        <v/>
      </c>
      <c r="XR6" s="3" t="str">
        <f>IF('Eval-Avec act. écol. envisagée'!$T$107=0,"",IF('Eval-Avec act. écol. envisagée'!$T$107="","",IF('Eval-Avec act. écol. envisagée'!U780&lt;&gt;"",'Eval-Avec act. écol. envisagée'!U780,"")))</f>
        <v/>
      </c>
      <c r="XS6" s="3" t="str">
        <f>IF('Eval-Avec act. écol. envisagée'!$T$107=0,"",IF('Eval-Avec act. écol. envisagée'!$T$107="","",IF('Eval-Avec act. écol. envisagée'!V780&lt;&gt;"",'Eval-Avec act. écol. envisagée'!V780,"")))</f>
        <v/>
      </c>
      <c r="XT6" s="3" t="str">
        <f>IF('Eval-Avec act. écol. envisagée'!$T$107=0,"",IF('Eval-Avec act. écol. envisagée'!$T$107="","",IF('Eval-Avec act. écol. envisagée'!W780&lt;&gt;"",'Eval-Avec act. écol. envisagée'!W780,"")))</f>
        <v/>
      </c>
      <c r="XU6" s="3" t="str">
        <f>IF('Eval-Avec act. écol. envisagée'!$T$107=0,"",IF('Eval-Avec act. écol. envisagée'!$T$107="","",IF('Eval-Avec act. écol. envisagée'!X780&lt;&gt;"",'Eval-Avec act. écol. envisagée'!X780,"")))</f>
        <v/>
      </c>
      <c r="XV6" s="3" t="str">
        <f>IF('Eval-Avec act. écol. envisagée'!$T$107=0,"",IF('Eval-Avec act. écol. envisagée'!$T$107="","",IF('Eval-Avec act. écol. envisagée'!Y780&lt;&gt;"",'Eval-Avec act. écol. envisagée'!Y780,"")))</f>
        <v/>
      </c>
      <c r="XW6" s="3" t="str">
        <f>IF('Eval-Avec act. écol. envisagée'!$T$107=0,"",IF('Eval-Avec act. écol. envisagée'!$T$107="","",IF('Eval-Avec act. écol. envisagée'!J797="X","oui",IF('Eval-Avec act. écol. envisagée'!T797="X","non",""))))</f>
        <v/>
      </c>
      <c r="XX6" s="3" t="str">
        <f>IF('Eval-Avec act. écol. envisagée'!$T$107=0,"",IF('Eval-Avec act. écol. envisagée'!$T$107="","",IF('Eval-Avec act. écol. envisagée'!T806&lt;&gt;"",'Eval-Avec act. écol. envisagée'!T806,"")))</f>
        <v/>
      </c>
      <c r="XY6" s="3" t="str">
        <f>IF('Eval-Avec act. écol. envisagée'!$T$107=0,"",IF('Eval-Avec act. écol. envisagée'!$T$107="","",IF('Eval-Avec act. écol. envisagée'!T812&lt;&gt;"",'Eval-Avec act. écol. envisagée'!T812,"")))</f>
        <v/>
      </c>
      <c r="XZ6" s="3" t="str">
        <f>IF('Eval-Avec act. écol. envisagée'!$T$107=0,"",IF('Eval-Avec act. écol. envisagée'!$T$107="","",IF('Eval-Avec act. écol. envisagée'!T816&lt;&gt;"",'Eval-Avec act. écol. envisagée'!T816,"")))</f>
        <v/>
      </c>
      <c r="YA6" s="3" t="str">
        <f>IF('Eval-Avec act. écol. envisagée'!$T$107=0,"",IF('Eval-Avec act. écol. envisagée'!$T$107="","",IF('Eval-Avec act. écol. envisagée'!T822&lt;&gt;"",'Eval-Avec act. écol. envisagée'!T822,"")))</f>
        <v/>
      </c>
      <c r="YB6" s="3" t="str">
        <f>IF('Eval-Avec act. écol. envisagée'!$T$107=0,"",IF('Eval-Avec act. écol. envisagée'!$T$107="","",'Eval-Avec act. écol. envisagée'!C829))</f>
        <v/>
      </c>
      <c r="YC6" s="20" t="str">
        <f>'Calcul auto.'!ED41</f>
        <v/>
      </c>
      <c r="YD6" s="20" t="str">
        <f>'Calcul auto.'!EE42</f>
        <v/>
      </c>
      <c r="YE6" s="20" t="str">
        <f>'Calcul auto.'!ED43</f>
        <v/>
      </c>
      <c r="YF6" s="20" t="str">
        <f>'Calcul auto.'!ED44</f>
        <v/>
      </c>
      <c r="YG6" s="20" t="str">
        <f>'Calcul auto.'!ED45</f>
        <v/>
      </c>
      <c r="YH6" s="20" t="str">
        <f>'Calcul auto.'!ED46</f>
        <v/>
      </c>
      <c r="YI6" s="20" t="str">
        <f>'Calcul auto.'!ED47</f>
        <v/>
      </c>
      <c r="YJ6" s="20" t="str">
        <f>'Calcul auto.'!ED48</f>
        <v/>
      </c>
      <c r="YK6" s="20" t="str">
        <f>'Calcul auto.'!EJ49</f>
        <v/>
      </c>
      <c r="YL6" s="20" t="str">
        <f>'Calcul auto.'!EJ50</f>
        <v/>
      </c>
      <c r="YM6" s="20" t="str">
        <f>'Calcul auto.'!EK51</f>
        <v/>
      </c>
      <c r="YN6" s="20" t="str">
        <f>'Calcul auto.'!EK52</f>
        <v/>
      </c>
      <c r="YO6" s="20" t="str">
        <f>'Calcul auto.'!EK53</f>
        <v/>
      </c>
      <c r="YP6" s="20" t="str">
        <f>'Calcul auto.'!EK54</f>
        <v/>
      </c>
      <c r="YQ6" s="20" t="str">
        <f>'Calcul auto.'!EK55</f>
        <v/>
      </c>
      <c r="YR6" s="20" t="str">
        <f>'Calcul auto.'!ED56</f>
        <v/>
      </c>
      <c r="YS6" s="20" t="str">
        <f>'Calcul auto.'!EF57</f>
        <v/>
      </c>
      <c r="YT6" s="20" t="str">
        <f>'Calcul auto.'!EI58</f>
        <v/>
      </c>
      <c r="YU6" s="20" t="str">
        <f>'Calcul auto.'!EB59</f>
        <v/>
      </c>
      <c r="YV6" s="20" t="str">
        <f>'Calcul auto.'!EB60</f>
        <v/>
      </c>
      <c r="YW6" s="20" t="str">
        <f>'Calcul auto.'!EB61</f>
        <v/>
      </c>
      <c r="YX6" s="20" t="str">
        <f>'Calcul auto.'!EB62</f>
        <v/>
      </c>
      <c r="YY6" s="20" t="str">
        <f>'Calcul auto.'!ED63</f>
        <v/>
      </c>
      <c r="YZ6" s="20" t="str">
        <f>'Calcul auto.'!EC64</f>
        <v/>
      </c>
      <c r="ZA6" s="20" t="str">
        <f>'Calcul auto.'!ED65</f>
        <v/>
      </c>
      <c r="ZB6" s="20" t="str">
        <f>'Calcul auto.'!ED66</f>
        <v/>
      </c>
      <c r="ZC6" s="20" t="str">
        <f>'Calcul auto.'!EH67</f>
        <v/>
      </c>
      <c r="ZD6" s="20" t="str">
        <f>'Calcul auto.'!EG68</f>
        <v/>
      </c>
      <c r="ZE6" s="20" t="str">
        <f>'Calcul auto.'!ED69</f>
        <v/>
      </c>
      <c r="ZF6" s="20" t="str">
        <f>'Calcul auto.'!EE70</f>
        <v/>
      </c>
      <c r="ZG6" s="20" t="str">
        <f>'Calcul auto.'!EI71</f>
        <v/>
      </c>
      <c r="ZH6" s="20" t="str">
        <f>'Calcul auto.'!EI72</f>
        <v/>
      </c>
      <c r="ZI6" s="20" t="str">
        <f>'Calcul auto.'!ED73</f>
        <v/>
      </c>
      <c r="ZJ6" s="20" t="str">
        <f>'Calcul auto.'!EE74</f>
        <v/>
      </c>
      <c r="ZK6" s="20" t="str">
        <f>'Calcul auto.'!EE75</f>
        <v/>
      </c>
      <c r="ZL6" s="20" t="str">
        <f>'Calcul auto.'!EC76</f>
        <v/>
      </c>
      <c r="ZM6" s="20" t="str">
        <f>'Calcul auto.'!EC77</f>
        <v/>
      </c>
      <c r="ZN6" s="20" t="str">
        <f>'Calcul auto.'!EE78</f>
        <v/>
      </c>
      <c r="ZO6" s="20" t="str">
        <f>'Calcul auto.'!EJ79</f>
        <v/>
      </c>
      <c r="ZP6" s="20" t="str">
        <f>'Calcul auto.'!EJ80</f>
        <v/>
      </c>
      <c r="ZQ6" s="20" t="str">
        <f>'Calcul auto.'!EK81</f>
        <v/>
      </c>
      <c r="ZR6" s="20" t="str">
        <f>'Calcul auto.'!EK82</f>
        <v/>
      </c>
      <c r="ZS6" s="20" t="str">
        <f>'Calcul auto.'!EJ83</f>
        <v/>
      </c>
      <c r="ZT6" s="20" t="str">
        <f>'Calcul auto.'!EJ84</f>
        <v/>
      </c>
      <c r="ZU6" s="20" t="str">
        <f>'Calcul auto.'!EJ85</f>
        <v/>
      </c>
      <c r="ZV6" s="20" t="str">
        <f>'Calcul auto.'!EJ86</f>
        <v/>
      </c>
      <c r="ZW6" s="20" t="str">
        <f>'Calcul auto.'!EJ87</f>
        <v/>
      </c>
      <c r="ZX6" s="20" t="str">
        <f>'Calcul auto.'!EN41</f>
        <v/>
      </c>
      <c r="ZY6" s="20" t="str">
        <f>'Calcul auto.'!EO42</f>
        <v/>
      </c>
      <c r="ZZ6" s="20" t="str">
        <f>'Calcul auto.'!EN43</f>
        <v/>
      </c>
      <c r="AAA6" s="20" t="str">
        <f>'Calcul auto.'!EN44</f>
        <v/>
      </c>
      <c r="AAB6" s="20" t="str">
        <f>'Calcul auto.'!EN45</f>
        <v/>
      </c>
      <c r="AAC6" s="20" t="str">
        <f>'Calcul auto.'!ET49</f>
        <v/>
      </c>
      <c r="AAD6" s="20" t="str">
        <f>'Calcul auto.'!ET50</f>
        <v/>
      </c>
      <c r="AAE6" s="20" t="str">
        <f>'Calcul auto.'!EU51</f>
        <v/>
      </c>
      <c r="AAF6" s="20" t="str">
        <f>'Calcul auto.'!EU52</f>
        <v/>
      </c>
      <c r="AAG6" s="20" t="str">
        <f>'Calcul auto.'!EU53</f>
        <v/>
      </c>
      <c r="AAH6" s="20" t="str">
        <f>'Calcul auto.'!EU54</f>
        <v/>
      </c>
      <c r="AAI6" s="20" t="str">
        <f>'Calcul auto.'!EU55</f>
        <v/>
      </c>
      <c r="AAJ6" s="20" t="str">
        <f>'Calcul auto.'!EN56</f>
        <v/>
      </c>
      <c r="AAK6" s="20" t="str">
        <f>'Calcul auto.'!EP57</f>
        <v/>
      </c>
      <c r="AAL6" s="20" t="str">
        <f>'Calcul auto.'!ES58</f>
        <v/>
      </c>
      <c r="AAM6" s="20" t="str">
        <f>'Calcul auto.'!EL59</f>
        <v/>
      </c>
      <c r="AAN6" s="20" t="str">
        <f>'Calcul auto.'!EL60</f>
        <v/>
      </c>
      <c r="AAO6" s="20" t="str">
        <f>'Calcul auto.'!EL61</f>
        <v/>
      </c>
      <c r="AAP6" s="20" t="str">
        <f>'Calcul auto.'!EL62</f>
        <v/>
      </c>
      <c r="AAQ6" s="20" t="str">
        <f>'Calcul auto.'!EN63</f>
        <v/>
      </c>
      <c r="AAR6" s="20" t="str">
        <f>'Calcul auto.'!EM64</f>
        <v/>
      </c>
      <c r="AAS6" s="20" t="str">
        <f>'Calcul auto.'!EN65</f>
        <v/>
      </c>
      <c r="AAT6" s="20" t="str">
        <f>'Calcul auto.'!EN66</f>
        <v/>
      </c>
      <c r="AAU6" s="20" t="str">
        <f>'Calcul auto.'!ER67</f>
        <v/>
      </c>
      <c r="AAV6" s="20" t="str">
        <f>'Calcul auto.'!EQ68</f>
        <v/>
      </c>
      <c r="AAW6" s="20" t="str">
        <f>'Calcul auto.'!EN69</f>
        <v/>
      </c>
      <c r="AAX6" s="20" t="str">
        <f>'Calcul auto.'!EO70</f>
        <v/>
      </c>
      <c r="AAY6" s="20" t="str">
        <f>'Calcul auto.'!ES71</f>
        <v/>
      </c>
      <c r="AAZ6" s="20" t="str">
        <f>'Calcul auto.'!ES72</f>
        <v/>
      </c>
      <c r="ABA6" s="20" t="str">
        <f>'Calcul auto.'!EN73</f>
        <v/>
      </c>
      <c r="ABB6" s="20" t="str">
        <f>'Calcul auto.'!EO74</f>
        <v/>
      </c>
      <c r="ABC6" s="20" t="str">
        <f>'Calcul auto.'!EO75</f>
        <v/>
      </c>
      <c r="ABD6" s="20" t="str">
        <f>'Calcul auto.'!EM76</f>
        <v/>
      </c>
      <c r="ABE6" s="20" t="str">
        <f>'Calcul auto.'!EM77</f>
        <v/>
      </c>
      <c r="ABF6" s="20" t="str">
        <f>'Calcul auto.'!EO78</f>
        <v/>
      </c>
      <c r="ABG6" s="20" t="str">
        <f>'Calcul auto.'!ET79</f>
        <v/>
      </c>
      <c r="ABH6" s="20" t="str">
        <f>'Calcul auto.'!ET80</f>
        <v/>
      </c>
      <c r="ABI6" s="20" t="str">
        <f>'Calcul auto.'!EU81</f>
        <v/>
      </c>
      <c r="ABJ6" s="20" t="str">
        <f>'Calcul auto.'!EU82</f>
        <v/>
      </c>
      <c r="ABK6" s="20" t="str">
        <f>'Calcul auto.'!ET83</f>
        <v/>
      </c>
      <c r="ABL6" s="20" t="str">
        <f>'Calcul auto.'!ET84</f>
        <v/>
      </c>
      <c r="ABM6" s="20" t="str">
        <f>'Calcul auto.'!ET85</f>
        <v/>
      </c>
      <c r="ABN6" s="20" t="str">
        <f>'Calcul auto.'!ET86</f>
        <v/>
      </c>
      <c r="ABO6" s="21" t="str">
        <f>'Calcul auto.'!ET87</f>
        <v/>
      </c>
    </row>
    <row r="7" spans="1:743" s="17" customFormat="1" ht="35.25" customHeight="1" thickBot="1" x14ac:dyDescent="0.25">
      <c r="A7" s="22" t="s">
        <v>770</v>
      </c>
      <c r="B7" s="23" t="str">
        <f>IF('Eval-Après action écologique'!$T$107=0,"",IF('Eval-Après action écologique'!$T$107="","",'Eval-Après action écologique'!K26))</f>
        <v/>
      </c>
      <c r="C7" s="24" t="str">
        <f>IF('Eval-Après action écologique'!$T$107=0,"",IF('Eval-Après action écologique'!$T$107="","",'Eval-Après action écologique'!F29))</f>
        <v/>
      </c>
      <c r="D7" s="24" t="str">
        <f>IF('Eval-Après action écologique'!$T$107=0,"",IF('Eval-Après action écologique'!$T$107="","",'Eval-Après action écologique'!I29))</f>
        <v/>
      </c>
      <c r="E7" s="24" t="str">
        <f>IF('Eval-Après action écologique'!$T$107=0,"",IF('Eval-Après action écologique'!$T$107="","",'Eval-Après action écologique'!L29))</f>
        <v/>
      </c>
      <c r="F7" s="24" t="str">
        <f>IF('Eval-Après action écologique'!$T$107=0,"",IF('Eval-Après action écologique'!$T$107="","",'Eval-Après action écologique'!O29))</f>
        <v/>
      </c>
      <c r="G7" s="25" t="str">
        <f>IF('Eval-Après action écologique'!$T$107=0,"",IF('Eval-Après action écologique'!$T$107="","",'Eval-Après action écologique'!F30))</f>
        <v/>
      </c>
      <c r="H7" s="25" t="str">
        <f>IF('Eval-Après action écologique'!$T$107=0,"",IF('Eval-Après action écologique'!$T$107="","",'Eval-Après action écologique'!I30))</f>
        <v/>
      </c>
      <c r="I7" s="25" t="str">
        <f>IF('Eval-Après action écologique'!$T$107=0,"",IF('Eval-Après action écologique'!$T$107="","",'Eval-Après action écologique'!L30))</f>
        <v/>
      </c>
      <c r="J7" s="25" t="str">
        <f>IF('Eval-Après action écologique'!$T$107=0,"",IF('Eval-Après action écologique'!$T$107="","",'Eval-Après action écologique'!O30))</f>
        <v/>
      </c>
      <c r="K7" s="25" t="str">
        <f>IF('Eval-Après action écologique'!$T$107=0,"",IF('Eval-Après action écologique'!$T$107="","",'Eval-Après action écologique'!F31))</f>
        <v/>
      </c>
      <c r="L7" s="25" t="str">
        <f>IF('Eval-Après action écologique'!$T$107=0,"",IF('Eval-Après action écologique'!$T$107="","",'Eval-Après action écologique'!I31))</f>
        <v/>
      </c>
      <c r="M7" s="25" t="str">
        <f>IF('Eval-Après action écologique'!$T$107=0,"",IF('Eval-Après action écologique'!$T$107="","",'Eval-Après action écologique'!L31))</f>
        <v/>
      </c>
      <c r="N7" s="25" t="str">
        <f>IF('Eval-Après action écologique'!$T$107=0,"",IF('Eval-Après action écologique'!$T$107="","",'Eval-Après action écologique'!O31))</f>
        <v/>
      </c>
      <c r="O7" s="25" t="str">
        <f>IF('Eval-Après action écologique'!$T$107=0,"",IF('Eval-Après action écologique'!$T$107="","",'Eval-Après action écologique'!F32))</f>
        <v/>
      </c>
      <c r="P7" s="25" t="str">
        <f>IF('Eval-Après action écologique'!$T$107=0,"",IF('Eval-Après action écologique'!$T$107="","",'Eval-Après action écologique'!I32))</f>
        <v/>
      </c>
      <c r="Q7" s="25" t="str">
        <f>IF('Eval-Après action écologique'!$T$107=0,"",IF('Eval-Après action écologique'!$T$107="","",'Eval-Après action écologique'!L32))</f>
        <v/>
      </c>
      <c r="R7" s="25" t="str">
        <f>IF('Eval-Après action écologique'!$T$107=0,"",IF('Eval-Après action écologique'!$T$107="","",'Eval-Après action écologique'!O32))</f>
        <v/>
      </c>
      <c r="S7" s="25" t="str">
        <f>IF('Eval-Après action écologique'!$T$107=0,"",IF('Eval-Après action écologique'!$T$107="","",'Eval-Après action écologique'!C35))</f>
        <v/>
      </c>
      <c r="T7" s="25" t="str">
        <f>IF('Eval-Après action écologique'!$T$107=0,"",IF('Eval-Après action écologique'!$T$107="","",'Eval-Après action écologique'!C44))</f>
        <v/>
      </c>
      <c r="U7" s="25" t="str">
        <f>IF('Eval-Après action écologique'!$T$107=0,"",IF('Eval-Après action écologique'!$T$107="","",'Eval-Après action écologique'!C47))</f>
        <v/>
      </c>
      <c r="V7" s="25" t="str">
        <f>IF('Eval-Après action écologique'!$T$107=0,"",IF('Eval-Après action écologique'!$T$107="","",'Eval-Après action écologique'!C50))</f>
        <v/>
      </c>
      <c r="W7" s="25" t="str">
        <f>IF('Eval-Après action écologique'!$T$107=0,"",IF('Eval-Après action écologique'!$T$107="","",'Eval-Après action écologique'!T107))</f>
        <v/>
      </c>
      <c r="X7" s="25" t="str">
        <f>IF('Eval-Après action écologique'!$T$107=0,"",IF('Eval-Après action écologique'!$T$107="","",IF('Eval-Après action écologique'!T111="X","tout un système humide",IF('Eval-Après action écologique'!T112="X","délimitation administrative","autres cas"))))</f>
        <v/>
      </c>
      <c r="Y7" s="25" t="str">
        <f>IF('Eval-Après action écologique'!$T$107=0,"",IF('Eval-Après action écologique'!$T$107="","",'Eval-Après action écologique'!G117))</f>
        <v/>
      </c>
      <c r="Z7" s="25" t="str">
        <f>IF('Eval-Après action écologique'!$T$107=0,"",IF('Eval-Après action écologique'!$T$107="","",IF('Eval-Après action écologique'!J121="X",'Eval-Après action écologique'!I121,"")))</f>
        <v/>
      </c>
      <c r="AA7" s="25" t="str">
        <f>IF('Eval-Après action écologique'!$T$107=0,"",IF('Eval-Après action écologique'!$T$107="","",IF('Eval-Après action écologique'!J122="X",'Eval-Après action écologique'!I122,"")))</f>
        <v/>
      </c>
      <c r="AB7" s="25" t="str">
        <f>IF('Eval-Après action écologique'!$T$107=0,"",IF('Eval-Après action écologique'!$T$107="","",IF('Eval-Après action écologique'!J123="X",'Eval-Après action écologique'!I123,"")))</f>
        <v/>
      </c>
      <c r="AC7" s="25" t="str">
        <f>IF('Eval-Après action écologique'!$T$107=0,"",IF('Eval-Après action écologique'!$T$107="","",IF('Eval-Après action écologique'!T121="X",'Eval-Après action écologique'!S121,"")))</f>
        <v/>
      </c>
      <c r="AD7" s="25" t="str">
        <f>IF('Eval-Après action écologique'!$T$107=0,"",IF('Eval-Après action écologique'!$T$107="","",IF('Eval-Après action écologique'!T122="X",'Eval-Après action écologique'!S122,"")))</f>
        <v/>
      </c>
      <c r="AE7" s="25" t="str">
        <f>IF('Eval-Après action écologique'!$T$107=0,"",IF('Eval-Après action écologique'!$T$107="","",'Eval-Après action écologique'!C128))</f>
        <v/>
      </c>
      <c r="AF7" s="25" t="str">
        <f>IF('Eval-Après action écologique'!$T$107=0,"",IF('Eval-Après action écologique'!$T$107="","",'Eval-Après action écologique'!T132))</f>
        <v/>
      </c>
      <c r="AG7" s="25" t="str">
        <f>IF('Eval-Après action écologique'!$T$107=0,"",IF('Eval-Après action écologique'!$T$107="","",'Eval-Après action écologique'!T139))</f>
        <v/>
      </c>
      <c r="AH7" s="25" t="str">
        <f>IF('Eval-Après action écologique'!$T$107=0,"",IF('Eval-Après action écologique'!$T$107="","",IF('Eval-Après action écologique'!J194="X","procédure 1",IF('Eval-Après action écologique'!T194="X","procédure 2",IF('Eval-Après action écologique'!J195="X","procédure 3",IF('Eval-Après action écologique'!T195="X","procédure 4",IF('Eval-Après action écologique'!J196="X","procédure 5","")))))))</f>
        <v/>
      </c>
      <c r="AI7" s="25" t="str">
        <f>IF('Eval-Après action écologique'!$T$107=0,"",IF('Eval-Après action écologique'!$T$107="","",'Eval-Après action écologique'!C205))</f>
        <v/>
      </c>
      <c r="AJ7" s="25" t="str">
        <f>IF('Eval-Après action écologique'!$T$107=0,"",IF('Eval-Après action écologique'!$T$107="","",'Eval-Après action écologique'!T213))</f>
        <v/>
      </c>
      <c r="AK7" s="25" t="str">
        <f>IF('Eval-Après action écologique'!$T$107=0,"",IF('Eval-Après action écologique'!$T$107="","",'Eval-Après action écologique'!T217))</f>
        <v/>
      </c>
      <c r="AL7" s="25" t="str">
        <f>IF('Eval-Après action écologique'!$T$107=0,"",IF('Eval-Après action écologique'!$T$107="","",'Eval-Après action écologique'!T221))</f>
        <v/>
      </c>
      <c r="AM7" s="25" t="str">
        <f>IF('Eval-Après action écologique'!$T$107=0,"",IF('Eval-Après action écologique'!$T$107="","",'Eval-Après action écologique'!T222))</f>
        <v/>
      </c>
      <c r="AN7" s="25" t="str">
        <f>IF('Eval-Après action écologique'!$T$107=0,"",IF('Eval-Après action écologique'!$T$107="","",IF('Eval-Après action écologique'!J226="X","oui","non")))</f>
        <v/>
      </c>
      <c r="AO7" s="25" t="str">
        <f>IF('Eval-Après action écologique'!$T$107=0,"",IF('Eval-Après action écologique'!$T$107="","",'Eval-Après action écologique'!T230))</f>
        <v/>
      </c>
      <c r="AP7" s="25" t="str">
        <f>IF('Eval-Après action écologique'!$T$107=0,"",IF('Eval-Après action écologique'!$T$107="","",'Eval-Après action écologique'!T234))</f>
        <v/>
      </c>
      <c r="AQ7" s="25" t="str">
        <f>IF('Eval-Après action écologique'!$T$107=0,"",IF('Eval-Après action écologique'!$T$107="","",'Eval-Après action écologique'!T292))</f>
        <v/>
      </c>
      <c r="AR7" s="25" t="str">
        <f>IF('Eval-Après action écologique'!$T$107=0,"",IF('Eval-Après action écologique'!$T$107="","",'Eval-Après action écologique'!T296))</f>
        <v/>
      </c>
      <c r="AS7" s="25" t="str">
        <f>IF('Eval-Après action écologique'!$T$107=0,"",IF('Eval-Après action écologique'!$T$107="","",'Eval-Après action écologique'!T356))</f>
        <v/>
      </c>
      <c r="AT7" s="25" t="str">
        <f>IF('Eval-Après action écologique'!$T$107=0,"",IF('Eval-Après action écologique'!$T$107="","",'Eval-Après action écologique'!T361))</f>
        <v/>
      </c>
      <c r="AU7" s="25" t="str">
        <f>IF('Eval-Après action écologique'!$T$107=0,"",IF('Eval-Après action écologique'!$T$107="","",'Eval-Après action écologique'!T362))</f>
        <v/>
      </c>
      <c r="AV7" s="25" t="str">
        <f>IF('Eval-Après action écologique'!$T$107=0,"",IF('Eval-Après action écologique'!$T$107="","",'Eval-Après action écologique'!T363))</f>
        <v/>
      </c>
      <c r="AW7" s="25" t="str">
        <f>IF('Eval-Après action écologique'!$T$107=0,"",IF('Eval-Après action écologique'!$T$107="","",'Eval-Après action écologique'!T364))</f>
        <v/>
      </c>
      <c r="AX7" s="25" t="str">
        <f>IF('Eval-Après action écologique'!$T$107=0,"",IF('Eval-Après action écologique'!$T$107="","",'Eval-Après action écologique'!T365))</f>
        <v/>
      </c>
      <c r="AY7" s="25" t="str">
        <f>IF('Eval-Après action écologique'!$T$107=0,"",IF('Eval-Après action écologique'!$T$107="","",'Eval-Après action écologique'!T366))</f>
        <v/>
      </c>
      <c r="AZ7" s="25" t="str">
        <f>IF('Eval-Après action écologique'!$T$107=0,"",IF('Eval-Après action écologique'!$T$107="","",'Eval-Après action écologique'!T367))</f>
        <v/>
      </c>
      <c r="BA7" s="25" t="str">
        <f>IF('Eval-Après action écologique'!$T$107=0,"",IF('Eval-Après action écologique'!$T$107="","",'Eval-Après action écologique'!T368))</f>
        <v/>
      </c>
      <c r="BB7" s="25" t="str">
        <f>IF('Eval-Après action écologique'!$T$107=0,"",IF('Eval-Après action écologique'!$T$107="","",'Eval-Après action écologique'!T369))</f>
        <v/>
      </c>
      <c r="BC7" s="25" t="str">
        <f>IF('Eval-Après action écologique'!$T$107=0,"",IF('Eval-Après action écologique'!$T$107="","",'Eval-Après action écologique'!T370))</f>
        <v/>
      </c>
      <c r="BD7" s="25" t="str">
        <f>IF('Eval-Après action écologique'!$T$107=0,"",IF('Eval-Après action écologique'!$T$107="","",IF('Eval-Après action écologique'!J376="X","procédure 1",IF('Eval-Après action écologique'!T376="X","procédure 2","procédure 3"))))</f>
        <v/>
      </c>
      <c r="BE7" s="25" t="str">
        <f>IF('Eval-Après action écologique'!$T$107=0,"",IF('Eval-Après action écologique'!$T$107="","",IF('Eval-Après action écologique'!J376="X",'Eval-Après action écologique'!T382,"")))</f>
        <v/>
      </c>
      <c r="BF7" s="25" t="str">
        <f>IF('Eval-Après action écologique'!$T$107=0,"",IF('Eval-Après action écologique'!$T$107="","",IF('Eval-Après action écologique'!T376="X",'Eval-Après action écologique'!T387,"")))</f>
        <v/>
      </c>
      <c r="BG7" s="25" t="str">
        <f>IF('Eval-Après action écologique'!$T$107=0,"",IF('Eval-Après action écologique'!$T$107="","",IF('Eval-Après action écologique'!J377="X",'Eval-Après action écologique'!T393,"")))</f>
        <v/>
      </c>
      <c r="BH7" s="25" t="str">
        <f>IF('Eval-Après action écologique'!$T$107=0,"",IF('Eval-Après action écologique'!$T$107="","",IF('Eval-Après action écologique'!J377="X",'Eval-Après action écologique'!T394,"")))</f>
        <v/>
      </c>
      <c r="BI7" s="25" t="str">
        <f>IF('Eval-Après action écologique'!$T$107=0,"",IF('Eval-Après action écologique'!$T$107="","",'Eval-Après action écologique'!T398))</f>
        <v/>
      </c>
      <c r="BJ7" s="25" t="str">
        <f>IF('Eval-Après action écologique'!$T$107=0,"",IF('Eval-Après action écologique'!$T$107="","",'Eval-Après action écologique'!T399))</f>
        <v/>
      </c>
      <c r="BK7" s="25" t="str">
        <f>IF('Eval-Après action écologique'!$T$107=0,"",IF('Eval-Après action écologique'!$T$107="","",IF('Eval-Après action écologique'!J404="X","oui","non")))</f>
        <v/>
      </c>
      <c r="BL7" s="25" t="str">
        <f>IF('Eval-Après action écologique'!$T$107=0,"",IF('Eval-Après action écologique'!$T$107="","",'Eval-Après action écologique'!T408))</f>
        <v/>
      </c>
      <c r="BM7" s="25" t="str">
        <f>IF('Eval-Après action écologique'!$T$107=0,"",IF('Eval-Après action écologique'!$T$107="","",IF('Eval-Après action écologique'!J413="X","oui","non")))</f>
        <v/>
      </c>
      <c r="BN7" s="25" t="str">
        <f>IF('Eval-Après action écologique'!$T$107=0,"",IF('Eval-Après action écologique'!$T$107="","",'Eval-Après action écologique'!C419))</f>
        <v/>
      </c>
      <c r="BO7" s="25" t="str">
        <f>IF('Eval-Après action écologique'!$T$107=0,"",IF('Eval-Après action écologique'!$T$107="","",'Eval-Après action écologique'!T424))</f>
        <v/>
      </c>
      <c r="BP7" s="25" t="str">
        <f>IF('Eval-Après action écologique'!$T$107=0,"",IF('Eval-Après action écologique'!$T$107="","",IF('Eval-Après action écologique'!J429="X","oui","non")))</f>
        <v/>
      </c>
      <c r="BQ7" s="25" t="str">
        <f>IF('Eval-Après action écologique'!$T$107=0,"",IF('Eval-Après action écologique'!$T$107="","",'Eval-Après action écologique'!C435))</f>
        <v/>
      </c>
      <c r="BR7" s="25" t="str">
        <f>IF('Eval-Après action écologique'!$T$107=0,"",IF('Eval-Après action écologique'!$T$107="","",IF('Eval-Après action écologique'!J440="X","oui","non")))</f>
        <v/>
      </c>
      <c r="BS7" s="25" t="str">
        <f>IF('Eval-Après action écologique'!$T$107=0,"",IF('Eval-Après action écologique'!$T$107="","",IF('Eval-Après action écologique'!J444="X","oui","non")))</f>
        <v/>
      </c>
      <c r="BT7" s="25" t="str">
        <f>IF('Eval-Après action écologique'!$T$107=0,"",IF('Eval-Après action écologique'!$T$107="","",IF('Eval-Après action écologique'!J449="X","oui","non")))</f>
        <v/>
      </c>
      <c r="BU7" s="25" t="str">
        <f>IF('Eval-Après action écologique'!$T$107=0,"",IF('Eval-Après action écologique'!$T$107="","",IF('Eval-Après action écologique'!J456="X",'Eval-Après action écologique'!I456,IF('Eval-Après action écologique'!J457="X",'Eval-Après action écologique'!I457,IF('Eval-Après action écologique'!T456="X",'Eval-Après action écologique'!S456,'Eval-Après action écologique'!S457)))))</f>
        <v/>
      </c>
      <c r="BV7" s="25" t="str">
        <f>IF('Eval-Après action écologique'!$T$107=0,"",IF('Eval-Après action écologique'!$T$107="","",IF('Eval-Après action écologique'!$C$465&lt;&gt;"",'Eval-Après action écologique'!$C$465,"")))</f>
        <v/>
      </c>
      <c r="BW7" s="25" t="str">
        <f>IF('Eval-Après action écologique'!$T$107=0,"",IF('Eval-Après action écologique'!$T$107="","",IF('Eval-Après action écologique'!$T$465&lt;&gt;"",'Eval-Après action écologique'!$T$465,"")))</f>
        <v/>
      </c>
      <c r="BX7" s="25" t="str">
        <f>IF('Eval-Après action écologique'!$T$107=0,"",IF('Eval-Après action écologique'!$T$107="","",IF('Eval-Après action écologique'!$C$466&lt;&gt;"",'Eval-Après action écologique'!$C$466,"")))</f>
        <v/>
      </c>
      <c r="BY7" s="25" t="str">
        <f>IF('Eval-Après action écologique'!$T$107=0,"",IF('Eval-Après action écologique'!$T$107="","",IF('Eval-Après action écologique'!$T$466&lt;&gt;"",'Eval-Après action écologique'!$T$466,"")))</f>
        <v/>
      </c>
      <c r="BZ7" s="25" t="str">
        <f>IF('Eval-Après action écologique'!$T$107=0,"",IF('Eval-Après action écologique'!$T$107="","",IF('Eval-Après action écologique'!$C$467&lt;&gt;"",'Eval-Après action écologique'!$C$467,"")))</f>
        <v/>
      </c>
      <c r="CA7" s="25" t="str">
        <f>IF('Eval-Après action écologique'!$T$107=0,"",IF('Eval-Après action écologique'!$T$107="","",IF('Eval-Après action écologique'!$T$467&lt;&gt;"",'Eval-Après action écologique'!$T$467,"")))</f>
        <v/>
      </c>
      <c r="CB7" s="25" t="str">
        <f>IF('Eval-Après action écologique'!$T$107=0,"",IF('Eval-Après action écologique'!$T$107="","",IF('Eval-Après action écologique'!$C$468&lt;&gt;"",'Eval-Après action écologique'!$C$468,"")))</f>
        <v/>
      </c>
      <c r="CC7" s="25" t="str">
        <f>IF('Eval-Après action écologique'!$T$107=0,"",IF('Eval-Après action écologique'!$T$107="","",IF('Eval-Après action écologique'!$T$468&lt;&gt;"",'Eval-Après action écologique'!$T$468,"")))</f>
        <v/>
      </c>
      <c r="CD7" s="25" t="str">
        <f>IF('Eval-Après action écologique'!$T$107=0,"",IF('Eval-Après action écologique'!$T$107="","",IF('Eval-Après action écologique'!$C$469&lt;&gt;"",'Eval-Après action écologique'!$C$469,"")))</f>
        <v/>
      </c>
      <c r="CE7" s="25" t="str">
        <f>IF('Eval-Après action écologique'!$T$107=0,"",IF('Eval-Après action écologique'!$T$107="","",IF('Eval-Après action écologique'!$T$469&lt;&gt;"",'Eval-Après action écologique'!$T$469,"")))</f>
        <v/>
      </c>
      <c r="CF7" s="25" t="str">
        <f>IF('Eval-Après action écologique'!$T$107=0,"",IF('Eval-Après action écologique'!$T$107="","",IF('Eval-Après action écologique'!$C$470&lt;&gt;"",'Eval-Après action écologique'!$C$470,"")))</f>
        <v/>
      </c>
      <c r="CG7" s="25" t="str">
        <f>IF('Eval-Après action écologique'!$T$107=0,"",IF('Eval-Après action écologique'!$T$107="","",IF('Eval-Après action écologique'!$T$470&lt;&gt;"",'Eval-Après action écologique'!$T$470,"")))</f>
        <v/>
      </c>
      <c r="CH7" s="25" t="str">
        <f>IF('Eval-Après action écologique'!$T$107=0,"",IF('Eval-Après action écologique'!$T$107="","",IF('Eval-Après action écologique'!$C$471&lt;&gt;"",'Eval-Après action écologique'!$C$471,"")))</f>
        <v/>
      </c>
      <c r="CI7" s="25" t="str">
        <f>IF('Eval-Après action écologique'!$T$107=0,"",IF('Eval-Après action écologique'!$T$107="","",IF('Eval-Après action écologique'!$T$471&lt;&gt;"",'Eval-Après action écologique'!$T$471,"")))</f>
        <v/>
      </c>
      <c r="CJ7" s="25" t="str">
        <f>IF('Eval-Après action écologique'!$T$107=0,"",IF('Eval-Après action écologique'!$T$107="","",IF('Eval-Après action écologique'!$C$472&lt;&gt;"",'Eval-Après action écologique'!$C$472,"")))</f>
        <v/>
      </c>
      <c r="CK7" s="25" t="str">
        <f>IF('Eval-Après action écologique'!$T$107=0,"",IF('Eval-Après action écologique'!$T$107="","",IF('Eval-Après action écologique'!$T$472&lt;&gt;"",'Eval-Après action écologique'!$T$472,"")))</f>
        <v/>
      </c>
      <c r="CL7" s="25" t="str">
        <f>IF('Eval-Après action écologique'!$T$107=0,"",IF('Eval-Après action écologique'!$T$107="","",IF('Eval-Après action écologique'!$C$473&lt;&gt;"",'Eval-Après action écologique'!$C$473,"")))</f>
        <v/>
      </c>
      <c r="CM7" s="25" t="str">
        <f>IF('Eval-Après action écologique'!$T$107=0,"",IF('Eval-Après action écologique'!$T$107="","",IF('Eval-Après action écologique'!$T$473&lt;&gt;"",'Eval-Après action écologique'!$T$473,"")))</f>
        <v/>
      </c>
      <c r="CN7" s="25" t="str">
        <f>IF('Eval-Après action écologique'!$T$107=0,"",IF('Eval-Après action écologique'!$T$107="","",IF('Eval-Après action écologique'!$C$474&lt;&gt;"",'Eval-Après action écologique'!$C$474,"")))</f>
        <v/>
      </c>
      <c r="CO7" s="25" t="str">
        <f>IF('Eval-Après action écologique'!$T$107=0,"",IF('Eval-Après action écologique'!$T$107="","",IF('Eval-Après action écologique'!$T$474&lt;&gt;"",'Eval-Après action écologique'!$T$474,"")))</f>
        <v/>
      </c>
      <c r="CP7" s="25" t="str">
        <f>IF('Eval-Après action écologique'!$T$107=0,"",IF('Eval-Après action écologique'!$T$107="","",IF('Eval-Après action écologique'!$C$475&lt;&gt;"",'Eval-Après action écologique'!$C$475,"")))</f>
        <v/>
      </c>
      <c r="CQ7" s="25" t="str">
        <f>IF('Eval-Après action écologique'!$T$107=0,"",IF('Eval-Après action écologique'!$T$107="","",IF('Eval-Après action écologique'!$T$475&lt;&gt;"",'Eval-Après action écologique'!$T$475,"")))</f>
        <v/>
      </c>
      <c r="CR7" s="25" t="str">
        <f>IF('Eval-Après action écologique'!$T$107=0,"",IF('Eval-Après action écologique'!$T$107="","",IF('Eval-Après action écologique'!$C$476&lt;&gt;"",'Eval-Après action écologique'!$C$476,"")))</f>
        <v/>
      </c>
      <c r="CS7" s="25" t="str">
        <f>IF('Eval-Après action écologique'!$T$107=0,"",IF('Eval-Après action écologique'!$T$107="","",IF('Eval-Après action écologique'!$T$476&lt;&gt;"",'Eval-Après action écologique'!$T$476,"")))</f>
        <v/>
      </c>
      <c r="CT7" s="25" t="str">
        <f>IF('Eval-Après action écologique'!$T$107=0,"",IF('Eval-Après action écologique'!$T$107="","",IF('Eval-Après action écologique'!$C$477&lt;&gt;"",'Eval-Après action écologique'!$C$477,"")))</f>
        <v/>
      </c>
      <c r="CU7" s="25" t="str">
        <f>IF('Eval-Après action écologique'!$T$107=0,"",IF('Eval-Après action écologique'!$T$107="","",IF('Eval-Après action écologique'!$T$477&lt;&gt;"",'Eval-Après action écologique'!$T$477,"")))</f>
        <v/>
      </c>
      <c r="CV7" s="25" t="str">
        <f>IF('Eval-Après action écologique'!$T$107=0,"",IF('Eval-Après action écologique'!$T$107="","",IF('Eval-Après action écologique'!$C$478&lt;&gt;"",'Eval-Après action écologique'!$C$478,"")))</f>
        <v/>
      </c>
      <c r="CW7" s="25" t="str">
        <f>IF('Eval-Après action écologique'!$T$107=0,"",IF('Eval-Après action écologique'!$T$107="","",IF('Eval-Après action écologique'!$T$478&lt;&gt;"",'Eval-Après action écologique'!$T$478,"")))</f>
        <v/>
      </c>
      <c r="CX7" s="25" t="str">
        <f>IF('Eval-Après action écologique'!$T$107=0,"",IF('Eval-Après action écologique'!$T$107="","",IF('Eval-Après action écologique'!$C$479&lt;&gt;"",'Eval-Après action écologique'!$C$479,"")))</f>
        <v/>
      </c>
      <c r="CY7" s="25" t="str">
        <f>IF('Eval-Après action écologique'!$T$107=0,"",IF('Eval-Après action écologique'!$T$107="","",IF('Eval-Après action écologique'!$T$479&lt;&gt;"",'Eval-Après action écologique'!$T$479,"")))</f>
        <v/>
      </c>
      <c r="CZ7" s="25" t="str">
        <f>IF('Eval-Après action écologique'!$T$107=0,"",IF('Eval-Après action écologique'!$T$107="","",'Eval-Après action écologique'!C486))</f>
        <v/>
      </c>
      <c r="DA7" s="25" t="str">
        <f>IF('Eval-Après action écologique'!$T$107=0,"",IF('Eval-Après action écologique'!$T$107="","",'Eval-Après action écologique'!T491))</f>
        <v/>
      </c>
      <c r="DB7" s="25" t="str">
        <f>IF('Eval-Après action écologique'!$T$107=0,"",IF('Eval-Après action écologique'!$T$107="","",IF('Eval-Après action écologique'!T498&lt;&gt;"",'Eval-Après action écologique'!T498,"")))</f>
        <v/>
      </c>
      <c r="DC7" s="25" t="str">
        <f>IF('Eval-Après action écologique'!$T$107=0,"",IF('Eval-Après action écologique'!$T$107="","",IF('Eval-Après action écologique'!T503&lt;&gt;"",'Eval-Après action écologique'!T503,"")))</f>
        <v/>
      </c>
      <c r="DD7" s="25" t="str">
        <f>IF('Eval-Après action écologique'!$T$107=0,"",IF('Eval-Après action écologique'!$T$107="","",IF('Eval-Après action écologique'!T504&lt;&gt;"",'Eval-Après action écologique'!T504,"")))</f>
        <v/>
      </c>
      <c r="DE7" s="25" t="str">
        <f>IF('Eval-Après action écologique'!$T$107=0,"",IF('Eval-Après action écologique'!$T$107="","",IF('Eval-Après action écologique'!J508="X","oui","non")))</f>
        <v/>
      </c>
      <c r="DF7" s="25" t="str">
        <f>IF('Eval-Après action écologique'!$T$107=0,"",IF('Eval-Après action écologique'!$T$107="","",'Eval-Après action écologique'!C514))</f>
        <v/>
      </c>
      <c r="DG7" s="25" t="str">
        <f>IF('Eval-Après action écologique'!$T$107=0,"",IF('Eval-Après action écologique'!$T$107="","",IF('Eval-Après action écologique'!J522="X","oui","non")))</f>
        <v/>
      </c>
      <c r="DH7" s="25" t="str">
        <f>IF('Eval-Après action écologique'!$T$107=0,"",IF('Eval-Après action écologique'!$T$107="","",IF('Eval-Après action écologique'!C526&lt;&gt;"",'Eval-Après action écologique'!C526,"")))</f>
        <v/>
      </c>
      <c r="DI7" s="25" t="str">
        <f>IF('Eval-Après action écologique'!$T$107=0,"",IF('Eval-Après action écologique'!$T$107="","",IF('Eval-Après action écologique'!C534&lt;&gt;"",'Eval-Après action écologique'!C534,"")))</f>
        <v/>
      </c>
      <c r="DJ7" s="25" t="str">
        <f>IF('Eval-Après action écologique'!$T$107=0,"",IF('Eval-Après action écologique'!$T$107="","",IF('Eval-Après action écologique'!C537&lt;&gt;"",'Eval-Après action écologique'!C537,"")))</f>
        <v/>
      </c>
      <c r="DK7" s="25" t="str">
        <f>IF('Eval-Après action écologique'!$T$107=0,"",IF('Eval-Après action écologique'!$T$107="","",IF('Eval-Après action écologique'!C540&lt;&gt;"",'Eval-Après action écologique'!C540,"")))</f>
        <v/>
      </c>
      <c r="DL7" s="25" t="str">
        <f>IF('Eval-Après action écologique'!$T$107=0,"",IF('Eval-Après action écologique'!$T$107="","",IF('Eval-Après action écologique'!C543&lt;&gt;"",'Eval-Après action écologique'!C543,"")))</f>
        <v/>
      </c>
      <c r="DM7" s="25" t="str">
        <f>IF('Eval-Après action écologique'!$T$107=0,"",IF('Eval-Après action écologique'!$T$107="","",IF('Eval-Après action écologique'!C546&lt;&gt;"",'Eval-Après action écologique'!C546,"")))</f>
        <v/>
      </c>
      <c r="DN7" s="25" t="str">
        <f>IF('Eval-Après action écologique'!$T$107=0,"",IF('Eval-Après action écologique'!$T$107="","",IF('Eval-Après action écologique'!C552&lt;&gt;"",'Eval-Après action écologique'!C552,"")))</f>
        <v/>
      </c>
      <c r="DO7" s="25" t="str">
        <f>IF('Eval-Après action écologique'!$T$107=0,"",IF('Eval-Après action écologique'!$T$107="","",IF('Eval-Après action écologique'!C559&lt;&gt;"",'Eval-Après action écologique'!C559,"")))</f>
        <v/>
      </c>
      <c r="DP7" s="25" t="str">
        <f>IF('Eval-Après action écologique'!$T$107=0,"",IF('Eval-Après action écologique'!$T$107="","",IF('Eval-Après action écologique'!C562&lt;&gt;"",'Eval-Après action écologique'!C562,"")))</f>
        <v/>
      </c>
      <c r="DQ7" s="25" t="str">
        <f>IF('Eval-Après action écologique'!$T$107=0,"",IF('Eval-Après action écologique'!$T$107="","",IF('Eval-Après action écologique'!C565&lt;&gt;"",'Eval-Après action écologique'!C565,"")))</f>
        <v/>
      </c>
      <c r="DR7" s="25" t="str">
        <f>IF('Eval-Après action écologique'!$T$107=0,"",IF('Eval-Après action écologique'!$T$107="","",IF('Eval-Après action écologique'!C568&lt;&gt;"",'Eval-Après action écologique'!C568,"")))</f>
        <v/>
      </c>
      <c r="DS7" s="25" t="str">
        <f>IF('Eval-Après action écologique'!$T$107=0,"",IF('Eval-Après action écologique'!$T$107="","",IF('Eval-Après action écologique'!C576&lt;&gt;"",'Eval-Après action écologique'!C576,"")))</f>
        <v/>
      </c>
      <c r="DT7" s="25" t="str">
        <f>IF('Eval-Après action écologique'!$T$107=0,"",IF('Eval-Après action écologique'!$T$107="","",IF('Eval-Après action écologique'!C582&lt;&gt;"",'Eval-Après action écologique'!C582,"")))</f>
        <v/>
      </c>
      <c r="DU7" s="25" t="str">
        <f>IF('Eval-Après action écologique'!$T$107=0,"",IF('Eval-Après action écologique'!$T$107="","",IF('Eval-Après action écologique'!C588&lt;&gt;"",'Eval-Après action écologique'!C588,"")))</f>
        <v/>
      </c>
      <c r="DV7" s="25" t="str">
        <f>IF('Eval-Après action écologique'!$T$107=0,"",IF('Eval-Après action écologique'!$T$107="","",IF('Eval-Après action écologique'!J594="X","oui","non")))</f>
        <v/>
      </c>
      <c r="DW7" s="25" t="str">
        <f>IF('Eval-Après action écologique'!$T$107=0,"",IF('Eval-Après action écologique'!$T$107="","",IF('Eval-Après action écologique'!J594="X",'Eval-Après action écologique'!T600,"")))</f>
        <v/>
      </c>
      <c r="DX7" s="26" t="str">
        <f>IF('Eval-Après action écologique'!$T$107=0,"",IF('Eval-Après action écologique'!$T$107="","",'Eval-Après action écologique'!J605))</f>
        <v/>
      </c>
      <c r="DY7" s="25" t="str">
        <f>IF('Eval-Après action écologique'!$T$107=0,"",IF('Eval-Après action écologique'!$T$107="","",'Eval-Après action écologique'!F609))</f>
        <v/>
      </c>
      <c r="DZ7" s="25" t="str">
        <f>IF('Eval-Après action écologique'!$T$107=0,"",IF('Eval-Après action écologique'!$T$107="","",'Eval-Après action écologique'!I609))</f>
        <v/>
      </c>
      <c r="EA7" s="25" t="str">
        <f>IF('Eval-Après action écologique'!$T$107=0,"",IF('Eval-Après action écologique'!$T$107="","",'Eval-Après action écologique'!L609))</f>
        <v/>
      </c>
      <c r="EB7" s="25" t="str">
        <f>IF('Eval-Après action écologique'!$T$107=0,"",IF('Eval-Après action écologique'!$T$107="","",'Eval-Après action écologique'!O609))</f>
        <v/>
      </c>
      <c r="EC7" s="25" t="str">
        <f>IF('Eval-Après action écologique'!$T$107=0,"",IF('Eval-Après action écologique'!$T$107="","",'Eval-Après action écologique'!F610))</f>
        <v/>
      </c>
      <c r="ED7" s="25" t="str">
        <f>IF('Eval-Après action écologique'!$T$107=0,"",IF('Eval-Après action écologique'!$T$107="","",'Eval-Après action écologique'!I610))</f>
        <v/>
      </c>
      <c r="EE7" s="25" t="str">
        <f>IF('Eval-Après action écologique'!$T$107=0,"",IF('Eval-Après action écologique'!$T$107="","",'Eval-Après action écologique'!L610))</f>
        <v/>
      </c>
      <c r="EF7" s="25" t="str">
        <f>IF('Eval-Après action écologique'!$T$107=0,"",IF('Eval-Après action écologique'!$T$107="","",'Eval-Après action écologique'!O610))</f>
        <v/>
      </c>
      <c r="EG7" s="25" t="str">
        <f>IF('Eval-Après action écologique'!$T$107=0,"",IF('Eval-Après action écologique'!$T$107="","",'Eval-Après action écologique'!F611))</f>
        <v/>
      </c>
      <c r="EH7" s="25" t="str">
        <f>IF('Eval-Après action écologique'!$T$107=0,"",IF('Eval-Après action écologique'!$T$107="","",'Eval-Après action écologique'!I611))</f>
        <v/>
      </c>
      <c r="EI7" s="25" t="str">
        <f>IF('Eval-Après action écologique'!$T$107=0,"",IF('Eval-Après action écologique'!$T$107="","",'Eval-Après action écologique'!L611))</f>
        <v/>
      </c>
      <c r="EJ7" s="25" t="str">
        <f>IF('Eval-Après action écologique'!$T$107=0,"",IF('Eval-Après action écologique'!$T$107="","",'Eval-Après action écologique'!O611))</f>
        <v/>
      </c>
      <c r="EK7" s="25" t="str">
        <f>IF('Eval-Après action écologique'!$T$107=0,"",IF('Eval-Après action écologique'!$T$107="","",'Eval-Après action écologique'!F612))</f>
        <v/>
      </c>
      <c r="EL7" s="25" t="str">
        <f>IF('Eval-Après action écologique'!$T$107=0,"",IF('Eval-Après action écologique'!$T$107="","",'Eval-Après action écologique'!I612))</f>
        <v/>
      </c>
      <c r="EM7" s="25" t="str">
        <f>IF('Eval-Après action écologique'!$T$107=0,"",IF('Eval-Après action écologique'!$T$107="","",'Eval-Après action écologique'!L612))</f>
        <v/>
      </c>
      <c r="EN7" s="25" t="str">
        <f>IF('Eval-Après action écologique'!$T$107=0,"",IF('Eval-Après action écologique'!$T$107="","",'Eval-Après action écologique'!O612))</f>
        <v/>
      </c>
      <c r="EO7" s="25" t="str">
        <f>IF('Eval-Après action écologique'!$T$107=0,"",IF('Eval-Après action écologique'!$T$107="","",'Eval-Après action écologique'!T619))</f>
        <v/>
      </c>
      <c r="EP7" s="25" t="str">
        <f>IF('Eval-Après action écologique'!$T$107=0,"",IF('Eval-Après action écologique'!$T$107="","",'Eval-Après action écologique'!T622))</f>
        <v/>
      </c>
      <c r="EQ7" s="25" t="str">
        <f>IF('Eval-Après action écologique'!$T$107=0,"",IF('Eval-Après action écologique'!$T$107="","",'Eval-Après action écologique'!T623))</f>
        <v/>
      </c>
      <c r="ER7" s="25" t="str">
        <f>IF('Eval-Après action écologique'!$T$107=0,"",IF('Eval-Après action écologique'!$T$107="","",'Eval-Après action écologique'!T624))</f>
        <v/>
      </c>
      <c r="ES7" s="25" t="str">
        <f>IF('Eval-Après action écologique'!$T$107=0,"",IF('Eval-Après action écologique'!$T$107="","",'Eval-Après action écologique'!T626))</f>
        <v/>
      </c>
      <c r="ET7" s="25" t="str">
        <f>IF('Eval-Après action écologique'!$T$107=0,"",IF('Eval-Après action écologique'!$T$107="","",'Eval-Après action écologique'!T627))</f>
        <v/>
      </c>
      <c r="EU7" s="25" t="str">
        <f>IF('Eval-Après action écologique'!$T$107=0,"",IF('Eval-Après action écologique'!$T$107="","",'Eval-Après action écologique'!T628))</f>
        <v/>
      </c>
      <c r="EV7" s="25" t="str">
        <f>IF('Eval-Après action écologique'!$T$107=0,"",IF('Eval-Après action écologique'!$T$107="","",'Eval-Après action écologique'!T629))</f>
        <v/>
      </c>
      <c r="EW7" s="25" t="str">
        <f>IF('Eval-Après action écologique'!$T$107=0,"",IF('Eval-Après action écologique'!$T$107="","",'Eval-Après action écologique'!T630))</f>
        <v/>
      </c>
      <c r="EX7" s="25" t="str">
        <f>IF('Eval-Après action écologique'!$T$107=0,"",IF('Eval-Après action écologique'!$T$107="","",'Eval-Après action écologique'!T637))</f>
        <v/>
      </c>
      <c r="EY7" s="25" t="str">
        <f>IF('Eval-Après action écologique'!$T$107=0,"",IF('Eval-Après action écologique'!$T$107="","",'Eval-Après action écologique'!T639))</f>
        <v/>
      </c>
      <c r="EZ7" s="25" t="str">
        <f>IF('Eval-Après action écologique'!$T$107=0,"",IF('Eval-Après action écologique'!$T$107="","",'Eval-Après action écologique'!T640))</f>
        <v/>
      </c>
      <c r="FA7" s="25" t="str">
        <f>IF('Eval-Après action écologique'!$T$107=0,"",IF('Eval-Après action écologique'!$T$107="","",'Eval-Après action écologique'!T648))</f>
        <v/>
      </c>
      <c r="FB7" s="25" t="str">
        <f>IF('Eval-Après action écologique'!$T$107=0,"",IF('Eval-Après action écologique'!$T$107="","",'Eval-Après action écologique'!T649))</f>
        <v/>
      </c>
      <c r="FC7" s="25" t="str">
        <f>IF('Eval-Après action écologique'!$T$107=0,"",IF('Eval-Après action écologique'!$T$107="","",'Eval-Après action écologique'!T651))</f>
        <v/>
      </c>
      <c r="FD7" s="25" t="str">
        <f>IF('Eval-Après action écologique'!$T$107=0,"",IF('Eval-Après action écologique'!$T$107="","",'Eval-Après action écologique'!T652))</f>
        <v/>
      </c>
      <c r="FE7" s="25" t="str">
        <f>IF('Eval-Après action écologique'!$T$107=0,"",IF('Eval-Après action écologique'!$T$107="","",'Eval-Après action écologique'!T654))</f>
        <v/>
      </c>
      <c r="FF7" s="25" t="str">
        <f>IF('Eval-Après action écologique'!$T$107=0,"",IF('Eval-Après action écologique'!$T$107="","",IF('Eval-Après action écologique'!J661="X","oui","non")))</f>
        <v/>
      </c>
      <c r="FG7" s="25" t="str">
        <f>IF('Eval-Après action écologique'!$T$107=0,"",IF('Eval-Après action écologique'!$T$107="","",IF('Eval-Après action écologique'!J662="X","oui","non")))</f>
        <v/>
      </c>
      <c r="FH7" s="25" t="str">
        <f>IF('Eval-Après action écologique'!$T$107=0,"",IF('Eval-Après action écologique'!$T$107="","",'Eval-Après action écologique'!J669))</f>
        <v/>
      </c>
      <c r="FI7" s="25" t="str">
        <f>IF('Eval-Après action écologique'!$T$107=0,"",IF('Eval-Après action écologique'!$T$107="","",'Eval-Après action écologique'!J670))</f>
        <v/>
      </c>
      <c r="FJ7" s="25" t="str">
        <f>IF('Eval-Après action écologique'!$T$107=0,"",IF('Eval-Après action écologique'!$T$107="","",'Eval-Après action écologique'!N669))</f>
        <v/>
      </c>
      <c r="FK7" s="25" t="str">
        <f>IF('Eval-Après action écologique'!$T$107=0,"",IF('Eval-Après action écologique'!$T$107="","",'Eval-Après action écologique'!N670))</f>
        <v/>
      </c>
      <c r="FL7" s="25" t="str">
        <f>IF('Eval-Après action écologique'!$T$107=0,"",IF('Eval-Après action écologique'!$T$107="","",'Eval-Après action écologique'!T669))</f>
        <v/>
      </c>
      <c r="FM7" s="25" t="str">
        <f>IF('Eval-Après action écologique'!$T$107=0,"",IF('Eval-Après action écologique'!$T$107="","",'Eval-Après action écologique'!T670))</f>
        <v/>
      </c>
      <c r="FN7" s="25" t="str">
        <f>IF('Eval-Après action écologique'!$T$107=0,"",IF('Eval-Après action écologique'!$T$107="","",IF('Eval-Après action écologique'!J677="X","oui",IF('Eval-Après action écologique'!T677="X","non",""))))</f>
        <v/>
      </c>
      <c r="FO7" s="25" t="str">
        <f>IF('Eval-Après action écologique'!$T$107=0,"",IF('Eval-Après action écologique'!$T$107="","",IF('Eval-Après action écologique'!J682="X","oui",IF('Eval-Après action écologique'!T682="X","non",""))))</f>
        <v/>
      </c>
      <c r="FP7" s="25" t="str">
        <f>IF('Eval-Après action écologique'!$T$107=0,"",IF('Eval-Après action écologique'!$T$107="","",IF('Eval-Après action écologique'!J686="X","oui",IF('Eval-Après action écologique'!T686="X","non",""))))</f>
        <v/>
      </c>
      <c r="FQ7" s="25" t="str">
        <f>IF('Eval-Après action écologique'!$T$107=0,"",IF('Eval-Après action écologique'!$T$107="","",IF('Eval-Après action écologique'!T691&lt;&gt;"",'Eval-Après action écologique'!T691,"")))</f>
        <v/>
      </c>
      <c r="FR7" s="25" t="str">
        <f>IF('Eval-Après action écologique'!$T$107=0,"",IF('Eval-Après action écologique'!$T$107="","",IF('Eval-Après action écologique'!J695="X","oui",IF('Eval-Après action écologique'!T695="X","non",""))))</f>
        <v/>
      </c>
      <c r="FS7" s="25" t="str">
        <f>IF('Eval-Après action écologique'!$T$107=0,"",IF('Eval-Après action écologique'!$T$107="","",IF('Eval-Après action écologique'!T699&lt;&gt;"",'Eval-Après action écologique'!T699,"")))</f>
        <v/>
      </c>
      <c r="FT7" s="25" t="str">
        <f>IF('Eval-Après action écologique'!$T$107=0,"",IF('Eval-Après action écologique'!$T$107="","",IF('Eval-Après action écologique'!J703="X","oui",IF('Eval-Après action écologique'!T703="X","non",""))))</f>
        <v/>
      </c>
      <c r="FU7" s="25" t="str">
        <f>IF('Eval-Après action écologique'!$T$107=0,"",IF('Eval-Après action écologique'!$T$107="","",IF('Eval-Après action écologique'!J711="X","oui",IF('Eval-Après action écologique'!T711="X","non",""))))</f>
        <v/>
      </c>
      <c r="FV7" s="25" t="str">
        <f>IF('Eval-Après action écologique'!$T$107=0,"",IF('Eval-Après action écologique'!$T$107="","",IF(COUNTA('Eval-Après action écologique'!J715,'Eval-Après action écologique'!J716,'Eval-Après action écologique'!J717,'Eval-Après action écologique'!J718,'Eval-Après action écologique'!T715,'Eval-Après action écologique'!T716,'Eval-Après action écologique'!T717)=0,"",IF('Eval-Après action écologique'!J715="X",'Eval-Après action écologique'!I715,IF('Eval-Après action écologique'!T715="X",'Eval-Après action écologique'!S715,IF('Eval-Après action écologique'!J716="X",'Eval-Après action écologique'!I716,IF('Eval-Après action écologique'!T716="X",'Eval-Après action écologique'!S716,IF('Eval-Après action écologique'!J717="X",'Eval-Après action écologique'!I717,IF('Eval-Après action écologique'!T717="X",'Eval-Après action écologique'!S717,'Eval-Après action écologique'!I718)))))))))</f>
        <v/>
      </c>
      <c r="FW7" s="25" t="str">
        <f>IF('Eval-Après action écologique'!$T$107=0,"",IF('Eval-Après action écologique'!$T$107="","",IF('Eval-Après action écologique'!J722="X","oui",IF('Eval-Après action écologique'!T722="X","non",""))))</f>
        <v/>
      </c>
      <c r="FX7" s="25" t="str">
        <f>IF('Eval-Après action écologique'!$T$107=0,"",IF('Eval-Après action écologique'!$T$107="","",IF('Eval-Après action écologique'!T726&lt;&gt;"",'Eval-Après action écologique'!T726,"")))</f>
        <v/>
      </c>
      <c r="FY7" s="25" t="str">
        <f>IF('Eval-Après action écologique'!$T$107=0,"",IF('Eval-Après action écologique'!$T$107="","",IF('Eval-Après action écologique'!T732&lt;&gt;"",'Eval-Après action écologique'!T732,"")))</f>
        <v/>
      </c>
      <c r="FZ7" s="25" t="str">
        <f>IF('Eval-Après action écologique'!$T$107=0,"",IF('Eval-Après action écologique'!$T$107="","",IF('Eval-Après action écologique'!T734&lt;&gt;"",'Eval-Après action écologique'!T734,"")))</f>
        <v/>
      </c>
      <c r="GA7" s="25" t="str">
        <f>IF('Eval-Après action écologique'!$T$107=0,"",IF('Eval-Après action écologique'!$T$107="","",IF('Eval-Après action écologique'!T736&lt;&gt;"",'Eval-Après action écologique'!T736,"")))</f>
        <v/>
      </c>
      <c r="GB7" s="25" t="str">
        <f>IF('Eval-Après action écologique'!$T$107=0,"",IF('Eval-Après action écologique'!$T$107="","",IF('Eval-Après action écologique'!T738&lt;&gt;"",'Eval-Après action écologique'!T738,"")))</f>
        <v/>
      </c>
      <c r="GC7" s="25" t="str">
        <f>IF('Eval-Après action écologique'!$T$107=0,"",IF('Eval-Après action écologique'!$T$107="","",IF('Eval-Après action écologique'!B755&lt;&gt;"",'Eval-Après action écologique'!B755,"")))</f>
        <v/>
      </c>
      <c r="GD7" s="25" t="str">
        <f>IF('Eval-Après action écologique'!$T$107=0,"",IF('Eval-Après action écologique'!$T$107="","",IF('Eval-Après action écologique'!C755&lt;&gt;"",'Eval-Après action écologique'!C755,"")))</f>
        <v/>
      </c>
      <c r="GE7" s="25" t="str">
        <f>IF('Eval-Après action écologique'!$T$107=0,"",IF('Eval-Après action écologique'!$T$107="","",IF('Eval-Après action écologique'!A761&lt;&gt;"",'Eval-Après action écologique'!A761,"")))</f>
        <v/>
      </c>
      <c r="GF7" s="25" t="str">
        <f>IF('Eval-Après action écologique'!$T$107=0,"",IF('Eval-Après action écologique'!$T$107="","",IF('Eval-Après action écologique'!B761&lt;&gt;"",'Eval-Après action écologique'!B761,"")))</f>
        <v/>
      </c>
      <c r="GG7" s="25" t="str">
        <f>IF('Eval-Après action écologique'!$T$107=0,"",IF('Eval-Après action écologique'!$T$107="","",IF('Eval-Après action écologique'!C761&lt;&gt;"",'Eval-Après action écologique'!C761,"")))</f>
        <v/>
      </c>
      <c r="GH7" s="25" t="str">
        <f>IF('Eval-Après action écologique'!$T$107=0,"",IF('Eval-Après action écologique'!$T$107="","",IF('Eval-Après action écologique'!E761&lt;&gt;"",'Eval-Après action écologique'!E761,"")))</f>
        <v/>
      </c>
      <c r="GI7" s="25" t="str">
        <f>IF('Eval-Après action écologique'!$T$107=0,"",IF('Eval-Après action écologique'!$T$107="","",IF('Eval-Après action écologique'!G761&lt;&gt;"",'Eval-Après action écologique'!G761,"")))</f>
        <v/>
      </c>
      <c r="GJ7" s="25" t="str">
        <f>IF('Eval-Après action écologique'!$T$107=0,"",IF('Eval-Après action écologique'!$T$107="","",IF('Eval-Après action écologique'!H761&lt;&gt;"",'Eval-Après action écologique'!H761,"")))</f>
        <v/>
      </c>
      <c r="GK7" s="25" t="str">
        <f>IF('Eval-Après action écologique'!$T$107=0,"",IF('Eval-Après action écologique'!$T$107="","",IF('Eval-Après action écologique'!I761&lt;&gt;"",'Eval-Après action écologique'!I761,"")))</f>
        <v/>
      </c>
      <c r="GL7" s="25" t="str">
        <f>IF('Eval-Après action écologique'!$T$107=0,"",IF('Eval-Après action écologique'!$T$107="","",IF('Eval-Après action écologique'!J761&lt;&gt;"",'Eval-Après action écologique'!J761,"")))</f>
        <v/>
      </c>
      <c r="GM7" s="25" t="str">
        <f>IF('Eval-Après action écologique'!$T$107=0,"",IF('Eval-Après action écologique'!$T$107="","",IF('Eval-Après action écologique'!K761&lt;&gt;"",'Eval-Après action écologique'!K761,"")))</f>
        <v/>
      </c>
      <c r="GN7" s="25" t="str">
        <f>IF('Eval-Après action écologique'!$T$107=0,"",IF('Eval-Après action écologique'!$T$107="","",IF('Eval-Après action écologique'!L761&lt;&gt;"",'Eval-Après action écologique'!L761,"")))</f>
        <v/>
      </c>
      <c r="GO7" s="25" t="str">
        <f>IF('Eval-Après action écologique'!$T$107=0,"",IF('Eval-Après action écologique'!$T$107="","",IF('Eval-Après action écologique'!M761&lt;&gt;"",'Eval-Après action écologique'!M761,"")))</f>
        <v/>
      </c>
      <c r="GP7" s="25" t="str">
        <f>IF('Eval-Après action écologique'!$T$107=0,"",IF('Eval-Après action écologique'!$T$107="","",IF('Eval-Après action écologique'!N761&lt;&gt;"",'Eval-Après action écologique'!N761,"")))</f>
        <v/>
      </c>
      <c r="GQ7" s="25" t="str">
        <f>IF('Eval-Après action écologique'!$T$107=0,"",IF('Eval-Après action écologique'!$T$107="","",IF('Eval-Après action écologique'!O761&lt;&gt;"",'Eval-Après action écologique'!O761,"")))</f>
        <v/>
      </c>
      <c r="GR7" s="25" t="str">
        <f>IF('Eval-Après action écologique'!$T$107=0,"",IF('Eval-Après action écologique'!$T$107="","",IF('Eval-Après action écologique'!P761&lt;&gt;"",'Eval-Après action écologique'!P761,"")))</f>
        <v/>
      </c>
      <c r="GS7" s="25" t="str">
        <f>IF('Eval-Après action écologique'!$T$107=0,"",IF('Eval-Après action écologique'!$T$107="","",IF('Eval-Après action écologique'!Q761&lt;&gt;"",'Eval-Après action écologique'!Q761,"")))</f>
        <v/>
      </c>
      <c r="GT7" s="25" t="str">
        <f>IF('Eval-Après action écologique'!$T$107=0,"",IF('Eval-Après action écologique'!$T$107="","",IF('Eval-Après action écologique'!R761&lt;&gt;"",'Eval-Après action écologique'!R761,"")))</f>
        <v/>
      </c>
      <c r="GU7" s="25" t="str">
        <f>IF('Eval-Après action écologique'!$T$107=0,"",IF('Eval-Après action écologique'!$T$107="","",IF('Eval-Après action écologique'!S761&lt;&gt;"",'Eval-Après action écologique'!S761,"")))</f>
        <v/>
      </c>
      <c r="GV7" s="25" t="str">
        <f>IF('Eval-Après action écologique'!$T$107=0,"",IF('Eval-Après action écologique'!$T$107="","",IF('Eval-Après action écologique'!T761&lt;&gt;"",'Eval-Après action écologique'!T761,"")))</f>
        <v/>
      </c>
      <c r="GW7" s="25" t="str">
        <f>IF('Eval-Après action écologique'!$T$107=0,"",IF('Eval-Après action écologique'!$T$107="","",IF('Eval-Après action écologique'!U761&lt;&gt;"",'Eval-Après action écologique'!U761,"")))</f>
        <v/>
      </c>
      <c r="GX7" s="25" t="str">
        <f>IF('Eval-Après action écologique'!$T$107=0,"",IF('Eval-Après action écologique'!$T$107="","",IF('Eval-Après action écologique'!V761&lt;&gt;"",'Eval-Après action écologique'!V761,"")))</f>
        <v/>
      </c>
      <c r="GY7" s="25" t="str">
        <f>IF('Eval-Après action écologique'!$T$107=0,"",IF('Eval-Après action écologique'!$T$107="","",IF('Eval-Après action écologique'!W761&lt;&gt;"",'Eval-Après action écologique'!W761,"")))</f>
        <v/>
      </c>
      <c r="GZ7" s="25" t="str">
        <f>IF('Eval-Après action écologique'!$T$107=0,"",IF('Eval-Après action écologique'!$T$107="","",IF('Eval-Après action écologique'!X761&lt;&gt;"",'Eval-Après action écologique'!X761,"")))</f>
        <v/>
      </c>
      <c r="HA7" s="25" t="str">
        <f>IF('Eval-Après action écologique'!$T$107=0,"",IF('Eval-Après action écologique'!$T$107="","",IF('Eval-Après action écologique'!Y761&lt;&gt;"",'Eval-Après action écologique'!Y761,"")))</f>
        <v/>
      </c>
      <c r="HB7" s="25" t="str">
        <f>IF('Eval-Après action écologique'!$T$107=0,"",IF('Eval-Après action écologique'!$T$107="","",IF('Eval-Après action écologique'!A762&lt;&gt;"",'Eval-Après action écologique'!A762,"")))</f>
        <v/>
      </c>
      <c r="HC7" s="25" t="str">
        <f>IF('Eval-Après action écologique'!$T$107=0,"",IF('Eval-Après action écologique'!$T$107="","",IF('Eval-Après action écologique'!B762&lt;&gt;"",'Eval-Après action écologique'!B762,"")))</f>
        <v/>
      </c>
      <c r="HD7" s="25" t="str">
        <f>IF('Eval-Après action écologique'!$T$107=0,"",IF('Eval-Après action écologique'!$T$107="","",IF('Eval-Après action écologique'!C762&lt;&gt;"",'Eval-Après action écologique'!C762,"")))</f>
        <v/>
      </c>
      <c r="HE7" s="25" t="str">
        <f>IF('Eval-Après action écologique'!$T$107=0,"",IF('Eval-Après action écologique'!$T$107="","",IF('Eval-Après action écologique'!E762&lt;&gt;"",'Eval-Après action écologique'!E762,"")))</f>
        <v/>
      </c>
      <c r="HF7" s="25" t="str">
        <f>IF('Eval-Après action écologique'!$T$107=0,"",IF('Eval-Après action écologique'!$T$107="","",IF('Eval-Après action écologique'!G762&lt;&gt;"",'Eval-Après action écologique'!G762,"")))</f>
        <v/>
      </c>
      <c r="HG7" s="25" t="str">
        <f>IF('Eval-Après action écologique'!$T$107=0,"",IF('Eval-Après action écologique'!$T$107="","",IF('Eval-Après action écologique'!H762&lt;&gt;"",'Eval-Après action écologique'!H762,"")))</f>
        <v/>
      </c>
      <c r="HH7" s="25" t="str">
        <f>IF('Eval-Après action écologique'!$T$107=0,"",IF('Eval-Après action écologique'!$T$107="","",IF('Eval-Après action écologique'!I762&lt;&gt;"",'Eval-Après action écologique'!I762,"")))</f>
        <v/>
      </c>
      <c r="HI7" s="25" t="str">
        <f>IF('Eval-Après action écologique'!$T$107=0,"",IF('Eval-Après action écologique'!$T$107="","",IF('Eval-Après action écologique'!J762&lt;&gt;"",'Eval-Après action écologique'!J762,"")))</f>
        <v/>
      </c>
      <c r="HJ7" s="25" t="str">
        <f>IF('Eval-Après action écologique'!$T$107=0,"",IF('Eval-Après action écologique'!$T$107="","",IF('Eval-Après action écologique'!K762&lt;&gt;"",'Eval-Après action écologique'!K762,"")))</f>
        <v/>
      </c>
      <c r="HK7" s="25" t="str">
        <f>IF('Eval-Après action écologique'!$T$107=0,"",IF('Eval-Après action écologique'!$T$107="","",IF('Eval-Après action écologique'!L762&lt;&gt;"",'Eval-Après action écologique'!L762,"")))</f>
        <v/>
      </c>
      <c r="HL7" s="25" t="str">
        <f>IF('Eval-Après action écologique'!$T$107=0,"",IF('Eval-Après action écologique'!$T$107="","",IF('Eval-Après action écologique'!M762&lt;&gt;"",'Eval-Après action écologique'!M762,"")))</f>
        <v/>
      </c>
      <c r="HM7" s="25" t="str">
        <f>IF('Eval-Après action écologique'!$T$107=0,"",IF('Eval-Après action écologique'!$T$107="","",IF('Eval-Après action écologique'!N762&lt;&gt;"",'Eval-Après action écologique'!N762,"")))</f>
        <v/>
      </c>
      <c r="HN7" s="25" t="str">
        <f>IF('Eval-Après action écologique'!$T$107=0,"",IF('Eval-Après action écologique'!$T$107="","",IF('Eval-Après action écologique'!O762&lt;&gt;"",'Eval-Après action écologique'!O762,"")))</f>
        <v/>
      </c>
      <c r="HO7" s="25" t="str">
        <f>IF('Eval-Après action écologique'!$T$107=0,"",IF('Eval-Après action écologique'!$T$107="","",IF('Eval-Après action écologique'!P762&lt;&gt;"",'Eval-Après action écologique'!P762,"")))</f>
        <v/>
      </c>
      <c r="HP7" s="25" t="str">
        <f>IF('Eval-Après action écologique'!$T$107=0,"",IF('Eval-Après action écologique'!$T$107="","",IF('Eval-Après action écologique'!Q762&lt;&gt;"",'Eval-Après action écologique'!Q762,"")))</f>
        <v/>
      </c>
      <c r="HQ7" s="25" t="str">
        <f>IF('Eval-Après action écologique'!$T$107=0,"",IF('Eval-Après action écologique'!$T$107="","",IF('Eval-Après action écologique'!R762&lt;&gt;"",'Eval-Après action écologique'!R762,"")))</f>
        <v/>
      </c>
      <c r="HR7" s="25" t="str">
        <f>IF('Eval-Après action écologique'!$T$107=0,"",IF('Eval-Après action écologique'!$T$107="","",IF('Eval-Après action écologique'!S762&lt;&gt;"",'Eval-Après action écologique'!S762,"")))</f>
        <v/>
      </c>
      <c r="HS7" s="25" t="str">
        <f>IF('Eval-Après action écologique'!$T$107=0,"",IF('Eval-Après action écologique'!$T$107="","",IF('Eval-Après action écologique'!T762&lt;&gt;"",'Eval-Après action écologique'!T762,"")))</f>
        <v/>
      </c>
      <c r="HT7" s="25" t="str">
        <f>IF('Eval-Après action écologique'!$T$107=0,"",IF('Eval-Après action écologique'!$T$107="","",IF('Eval-Après action écologique'!U762&lt;&gt;"",'Eval-Après action écologique'!U762,"")))</f>
        <v/>
      </c>
      <c r="HU7" s="25" t="str">
        <f>IF('Eval-Après action écologique'!$T$107=0,"",IF('Eval-Après action écologique'!$T$107="","",IF('Eval-Après action écologique'!V762&lt;&gt;"",'Eval-Après action écologique'!V762,"")))</f>
        <v/>
      </c>
      <c r="HV7" s="25" t="str">
        <f>IF('Eval-Après action écologique'!$T$107=0,"",IF('Eval-Après action écologique'!$T$107="","",IF('Eval-Après action écologique'!W762&lt;&gt;"",'Eval-Après action écologique'!W762,"")))</f>
        <v/>
      </c>
      <c r="HW7" s="25" t="str">
        <f>IF('Eval-Après action écologique'!$T$107=0,"",IF('Eval-Après action écologique'!$T$107="","",IF('Eval-Après action écologique'!X762&lt;&gt;"",'Eval-Après action écologique'!X762,"")))</f>
        <v/>
      </c>
      <c r="HX7" s="25" t="str">
        <f>IF('Eval-Après action écologique'!$T$107=0,"",IF('Eval-Après action écologique'!$T$107="","",IF('Eval-Après action écologique'!Y762&lt;&gt;"",'Eval-Après action écologique'!Y762,"")))</f>
        <v/>
      </c>
      <c r="HY7" s="25" t="str">
        <f>IF('Eval-Après action écologique'!$T$107=0,"",IF('Eval-Après action écologique'!$T$107="","",IF('Eval-Après action écologique'!A763&lt;&gt;"",'Eval-Après action écologique'!A763,"")))</f>
        <v/>
      </c>
      <c r="HZ7" s="25" t="str">
        <f>IF('Eval-Après action écologique'!$T$107=0,"",IF('Eval-Après action écologique'!$T$107="","",IF('Eval-Après action écologique'!B763&lt;&gt;"",'Eval-Après action écologique'!B763,"")))</f>
        <v/>
      </c>
      <c r="IA7" s="25" t="str">
        <f>IF('Eval-Après action écologique'!$T$107=0,"",IF('Eval-Après action écologique'!$T$107="","",IF('Eval-Après action écologique'!C763&lt;&gt;"",'Eval-Après action écologique'!C763,"")))</f>
        <v/>
      </c>
      <c r="IB7" s="25" t="str">
        <f>IF('Eval-Après action écologique'!$T$107=0,"",IF('Eval-Après action écologique'!$T$107="","",IF('Eval-Après action écologique'!E763&lt;&gt;"",'Eval-Après action écologique'!E763,"")))</f>
        <v/>
      </c>
      <c r="IC7" s="25" t="str">
        <f>IF('Eval-Après action écologique'!$T$107=0,"",IF('Eval-Après action écologique'!$T$107="","",IF('Eval-Après action écologique'!G763&lt;&gt;"",'Eval-Après action écologique'!G763,"")))</f>
        <v/>
      </c>
      <c r="ID7" s="25" t="str">
        <f>IF('Eval-Après action écologique'!$T$107=0,"",IF('Eval-Après action écologique'!$T$107="","",IF('Eval-Après action écologique'!H763&lt;&gt;"",'Eval-Après action écologique'!H763,"")))</f>
        <v/>
      </c>
      <c r="IE7" s="25" t="str">
        <f>IF('Eval-Après action écologique'!$T$107=0,"",IF('Eval-Après action écologique'!$T$107="","",IF('Eval-Après action écologique'!I763&lt;&gt;"",'Eval-Après action écologique'!I763,"")))</f>
        <v/>
      </c>
      <c r="IF7" s="25" t="str">
        <f>IF('Eval-Après action écologique'!$T$107=0,"",IF('Eval-Après action écologique'!$T$107="","",IF('Eval-Après action écologique'!J763&lt;&gt;"",'Eval-Après action écologique'!J763,"")))</f>
        <v/>
      </c>
      <c r="IG7" s="25" t="str">
        <f>IF('Eval-Après action écologique'!$T$107=0,"",IF('Eval-Après action écologique'!$T$107="","",IF('Eval-Après action écologique'!K763&lt;&gt;"",'Eval-Après action écologique'!K763,"")))</f>
        <v/>
      </c>
      <c r="IH7" s="25" t="str">
        <f>IF('Eval-Après action écologique'!$T$107=0,"",IF('Eval-Après action écologique'!$T$107="","",IF('Eval-Après action écologique'!L763&lt;&gt;"",'Eval-Après action écologique'!L763,"")))</f>
        <v/>
      </c>
      <c r="II7" s="25" t="str">
        <f>IF('Eval-Après action écologique'!$T$107=0,"",IF('Eval-Après action écologique'!$T$107="","",IF('Eval-Après action écologique'!M763&lt;&gt;"",'Eval-Après action écologique'!M763,"")))</f>
        <v/>
      </c>
      <c r="IJ7" s="25" t="str">
        <f>IF('Eval-Après action écologique'!$T$107=0,"",IF('Eval-Après action écologique'!$T$107="","",IF('Eval-Après action écologique'!N763&lt;&gt;"",'Eval-Après action écologique'!N763,"")))</f>
        <v/>
      </c>
      <c r="IK7" s="25" t="str">
        <f>IF('Eval-Après action écologique'!$T$107=0,"",IF('Eval-Après action écologique'!$T$107="","",IF('Eval-Après action écologique'!O763&lt;&gt;"",'Eval-Après action écologique'!O763,"")))</f>
        <v/>
      </c>
      <c r="IL7" s="25" t="str">
        <f>IF('Eval-Après action écologique'!$T$107=0,"",IF('Eval-Après action écologique'!$T$107="","",IF('Eval-Après action écologique'!P763&lt;&gt;"",'Eval-Après action écologique'!P763,"")))</f>
        <v/>
      </c>
      <c r="IM7" s="25" t="str">
        <f>IF('Eval-Après action écologique'!$T$107=0,"",IF('Eval-Après action écologique'!$T$107="","",IF('Eval-Après action écologique'!Q763&lt;&gt;"",'Eval-Après action écologique'!Q763,"")))</f>
        <v/>
      </c>
      <c r="IN7" s="25" t="str">
        <f>IF('Eval-Après action écologique'!$T$107=0,"",IF('Eval-Après action écologique'!$T$107="","",IF('Eval-Après action écologique'!R763&lt;&gt;"",'Eval-Après action écologique'!R763,"")))</f>
        <v/>
      </c>
      <c r="IO7" s="25" t="str">
        <f>IF('Eval-Après action écologique'!$T$107=0,"",IF('Eval-Après action écologique'!$T$107="","",IF('Eval-Après action écologique'!S763&lt;&gt;"",'Eval-Après action écologique'!S763,"")))</f>
        <v/>
      </c>
      <c r="IP7" s="25" t="str">
        <f>IF('Eval-Après action écologique'!$T$107=0,"",IF('Eval-Après action écologique'!$T$107="","",IF('Eval-Après action écologique'!T763&lt;&gt;"",'Eval-Après action écologique'!T763,"")))</f>
        <v/>
      </c>
      <c r="IQ7" s="25" t="str">
        <f>IF('Eval-Après action écologique'!$T$107=0,"",IF('Eval-Après action écologique'!$T$107="","",IF('Eval-Après action écologique'!U763&lt;&gt;"",'Eval-Après action écologique'!U763,"")))</f>
        <v/>
      </c>
      <c r="IR7" s="25" t="str">
        <f>IF('Eval-Après action écologique'!$T$107=0,"",IF('Eval-Après action écologique'!$T$107="","",IF('Eval-Après action écologique'!V763&lt;&gt;"",'Eval-Après action écologique'!V763,"")))</f>
        <v/>
      </c>
      <c r="IS7" s="25" t="str">
        <f>IF('Eval-Après action écologique'!$T$107=0,"",IF('Eval-Après action écologique'!$T$107="","",IF('Eval-Après action écologique'!W763&lt;&gt;"",'Eval-Après action écologique'!W763,"")))</f>
        <v/>
      </c>
      <c r="IT7" s="25" t="str">
        <f>IF('Eval-Après action écologique'!$T$107=0,"",IF('Eval-Après action écologique'!$T$107="","",IF('Eval-Après action écologique'!X763&lt;&gt;"",'Eval-Après action écologique'!X763,"")))</f>
        <v/>
      </c>
      <c r="IU7" s="25" t="str">
        <f>IF('Eval-Après action écologique'!$T$107=0,"",IF('Eval-Après action écologique'!$T$107="","",IF('Eval-Après action écologique'!Y763&lt;&gt;"",'Eval-Après action écologique'!Y763,"")))</f>
        <v/>
      </c>
      <c r="IV7" s="25" t="str">
        <f>IF('Eval-Après action écologique'!$T$107=0,"",IF('Eval-Après action écologique'!$T$107="","",IF('Eval-Après action écologique'!A764&lt;&gt;"",'Eval-Après action écologique'!A764,"")))</f>
        <v/>
      </c>
      <c r="IW7" s="25" t="str">
        <f>IF('Eval-Après action écologique'!$T$107=0,"",IF('Eval-Après action écologique'!$T$107="","",IF('Eval-Après action écologique'!B764&lt;&gt;"",'Eval-Après action écologique'!B764,"")))</f>
        <v/>
      </c>
      <c r="IX7" s="25" t="str">
        <f>IF('Eval-Après action écologique'!$T$107=0,"",IF('Eval-Après action écologique'!$T$107="","",IF('Eval-Après action écologique'!C764&lt;&gt;"",'Eval-Après action écologique'!C764,"")))</f>
        <v/>
      </c>
      <c r="IY7" s="25" t="str">
        <f>IF('Eval-Après action écologique'!$T$107=0,"",IF('Eval-Après action écologique'!$T$107="","",IF('Eval-Après action écologique'!E764&lt;&gt;"",'Eval-Après action écologique'!E764,"")))</f>
        <v/>
      </c>
      <c r="IZ7" s="25" t="str">
        <f>IF('Eval-Après action écologique'!$T$107=0,"",IF('Eval-Après action écologique'!$T$107="","",IF('Eval-Après action écologique'!G764&lt;&gt;"",'Eval-Après action écologique'!G764,"")))</f>
        <v/>
      </c>
      <c r="JA7" s="25" t="str">
        <f>IF('Eval-Après action écologique'!$T$107=0,"",IF('Eval-Après action écologique'!$T$107="","",IF('Eval-Après action écologique'!H764&lt;&gt;"",'Eval-Après action écologique'!H764,"")))</f>
        <v/>
      </c>
      <c r="JB7" s="25" t="str">
        <f>IF('Eval-Après action écologique'!$T$107=0,"",IF('Eval-Après action écologique'!$T$107="","",IF('Eval-Après action écologique'!I764&lt;&gt;"",'Eval-Après action écologique'!I764,"")))</f>
        <v/>
      </c>
      <c r="JC7" s="25" t="str">
        <f>IF('Eval-Après action écologique'!$T$107=0,"",IF('Eval-Après action écologique'!$T$107="","",IF('Eval-Après action écologique'!J764&lt;&gt;"",'Eval-Après action écologique'!J764,"")))</f>
        <v/>
      </c>
      <c r="JD7" s="25" t="str">
        <f>IF('Eval-Après action écologique'!$T$107=0,"",IF('Eval-Après action écologique'!$T$107="","",IF('Eval-Après action écologique'!K764&lt;&gt;"",'Eval-Après action écologique'!K764,"")))</f>
        <v/>
      </c>
      <c r="JE7" s="25" t="str">
        <f>IF('Eval-Après action écologique'!$T$107=0,"",IF('Eval-Après action écologique'!$T$107="","",IF('Eval-Après action écologique'!L764&lt;&gt;"",'Eval-Après action écologique'!L764,"")))</f>
        <v/>
      </c>
      <c r="JF7" s="25" t="str">
        <f>IF('Eval-Après action écologique'!$T$107=0,"",IF('Eval-Après action écologique'!$T$107="","",IF('Eval-Après action écologique'!M764&lt;&gt;"",'Eval-Après action écologique'!M764,"")))</f>
        <v/>
      </c>
      <c r="JG7" s="25" t="str">
        <f>IF('Eval-Après action écologique'!$T$107=0,"",IF('Eval-Après action écologique'!$T$107="","",IF('Eval-Après action écologique'!N764&lt;&gt;"",'Eval-Après action écologique'!N764,"")))</f>
        <v/>
      </c>
      <c r="JH7" s="25" t="str">
        <f>IF('Eval-Après action écologique'!$T$107=0,"",IF('Eval-Après action écologique'!$T$107="","",IF('Eval-Après action écologique'!O764&lt;&gt;"",'Eval-Après action écologique'!O764,"")))</f>
        <v/>
      </c>
      <c r="JI7" s="25" t="str">
        <f>IF('Eval-Après action écologique'!$T$107=0,"",IF('Eval-Après action écologique'!$T$107="","",IF('Eval-Après action écologique'!P764&lt;&gt;"",'Eval-Après action écologique'!P764,"")))</f>
        <v/>
      </c>
      <c r="JJ7" s="25" t="str">
        <f>IF('Eval-Après action écologique'!$T$107=0,"",IF('Eval-Après action écologique'!$T$107="","",IF('Eval-Après action écologique'!Q764&lt;&gt;"",'Eval-Après action écologique'!Q764,"")))</f>
        <v/>
      </c>
      <c r="JK7" s="25" t="str">
        <f>IF('Eval-Après action écologique'!$T$107=0,"",IF('Eval-Après action écologique'!$T$107="","",IF('Eval-Après action écologique'!R764&lt;&gt;"",'Eval-Après action écologique'!R764,"")))</f>
        <v/>
      </c>
      <c r="JL7" s="25" t="str">
        <f>IF('Eval-Après action écologique'!$T$107=0,"",IF('Eval-Après action écologique'!$T$107="","",IF('Eval-Après action écologique'!S764&lt;&gt;"",'Eval-Après action écologique'!S764,"")))</f>
        <v/>
      </c>
      <c r="JM7" s="25" t="str">
        <f>IF('Eval-Après action écologique'!$T$107=0,"",IF('Eval-Après action écologique'!$T$107="","",IF('Eval-Après action écologique'!T764&lt;&gt;"",'Eval-Après action écologique'!T764,"")))</f>
        <v/>
      </c>
      <c r="JN7" s="25" t="str">
        <f>IF('Eval-Après action écologique'!$T$107=0,"",IF('Eval-Après action écologique'!$T$107="","",IF('Eval-Après action écologique'!U764&lt;&gt;"",'Eval-Après action écologique'!U764,"")))</f>
        <v/>
      </c>
      <c r="JO7" s="25" t="str">
        <f>IF('Eval-Après action écologique'!$T$107=0,"",IF('Eval-Après action écologique'!$T$107="","",IF('Eval-Après action écologique'!V764&lt;&gt;"",'Eval-Après action écologique'!V764,"")))</f>
        <v/>
      </c>
      <c r="JP7" s="25" t="str">
        <f>IF('Eval-Après action écologique'!$T$107=0,"",IF('Eval-Après action écologique'!$T$107="","",IF('Eval-Après action écologique'!W764&lt;&gt;"",'Eval-Après action écologique'!W764,"")))</f>
        <v/>
      </c>
      <c r="JQ7" s="25" t="str">
        <f>IF('Eval-Après action écologique'!$T$107=0,"",IF('Eval-Après action écologique'!$T$107="","",IF('Eval-Après action écologique'!X764&lt;&gt;"",'Eval-Après action écologique'!X764,"")))</f>
        <v/>
      </c>
      <c r="JR7" s="25" t="str">
        <f>IF('Eval-Après action écologique'!$T$107=0,"",IF('Eval-Après action écologique'!$T$107="","",IF('Eval-Après action écologique'!Y764&lt;&gt;"",'Eval-Après action écologique'!Y764,"")))</f>
        <v/>
      </c>
      <c r="JS7" s="25" t="str">
        <f>IF('Eval-Après action écologique'!$T$107=0,"",IF('Eval-Après action écologique'!$T$107="","",IF('Eval-Après action écologique'!A765&lt;&gt;"",'Eval-Après action écologique'!A765,"")))</f>
        <v/>
      </c>
      <c r="JT7" s="25" t="str">
        <f>IF('Eval-Après action écologique'!$T$107=0,"",IF('Eval-Après action écologique'!$T$107="","",IF('Eval-Après action écologique'!B765&lt;&gt;"",'Eval-Après action écologique'!B765,"")))</f>
        <v/>
      </c>
      <c r="JU7" s="25" t="str">
        <f>IF('Eval-Après action écologique'!$T$107=0,"",IF('Eval-Après action écologique'!$T$107="","",IF('Eval-Après action écologique'!C765&lt;&gt;"",'Eval-Après action écologique'!C765,"")))</f>
        <v/>
      </c>
      <c r="JV7" s="25" t="str">
        <f>IF('Eval-Après action écologique'!$T$107=0,"",IF('Eval-Après action écologique'!$T$107="","",IF('Eval-Après action écologique'!E765&lt;&gt;"",'Eval-Après action écologique'!E765,"")))</f>
        <v/>
      </c>
      <c r="JW7" s="25" t="str">
        <f>IF('Eval-Après action écologique'!$T$107=0,"",IF('Eval-Après action écologique'!$T$107="","",IF('Eval-Après action écologique'!G765&lt;&gt;"",'Eval-Après action écologique'!G765,"")))</f>
        <v/>
      </c>
      <c r="JX7" s="25" t="str">
        <f>IF('Eval-Après action écologique'!$T$107=0,"",IF('Eval-Après action écologique'!$T$107="","",IF('Eval-Après action écologique'!H765&lt;&gt;"",'Eval-Après action écologique'!H765,"")))</f>
        <v/>
      </c>
      <c r="JY7" s="25" t="str">
        <f>IF('Eval-Après action écologique'!$T$107=0,"",IF('Eval-Après action écologique'!$T$107="","",IF('Eval-Après action écologique'!I765&lt;&gt;"",'Eval-Après action écologique'!I765,"")))</f>
        <v/>
      </c>
      <c r="JZ7" s="25" t="str">
        <f>IF('Eval-Après action écologique'!$T$107=0,"",IF('Eval-Après action écologique'!$T$107="","",IF('Eval-Après action écologique'!J765&lt;&gt;"",'Eval-Après action écologique'!J765,"")))</f>
        <v/>
      </c>
      <c r="KA7" s="25" t="str">
        <f>IF('Eval-Après action écologique'!$T$107=0,"",IF('Eval-Après action écologique'!$T$107="","",IF('Eval-Après action écologique'!K765&lt;&gt;"",'Eval-Après action écologique'!K765,"")))</f>
        <v/>
      </c>
      <c r="KB7" s="25" t="str">
        <f>IF('Eval-Après action écologique'!$T$107=0,"",IF('Eval-Après action écologique'!$T$107="","",IF('Eval-Après action écologique'!L765&lt;&gt;"",'Eval-Après action écologique'!L765,"")))</f>
        <v/>
      </c>
      <c r="KC7" s="25" t="str">
        <f>IF('Eval-Après action écologique'!$T$107=0,"",IF('Eval-Après action écologique'!$T$107="","",IF('Eval-Après action écologique'!M765&lt;&gt;"",'Eval-Après action écologique'!M765,"")))</f>
        <v/>
      </c>
      <c r="KD7" s="25" t="str">
        <f>IF('Eval-Après action écologique'!$T$107=0,"",IF('Eval-Après action écologique'!$T$107="","",IF('Eval-Après action écologique'!N765&lt;&gt;"",'Eval-Après action écologique'!N765,"")))</f>
        <v/>
      </c>
      <c r="KE7" s="25" t="str">
        <f>IF('Eval-Après action écologique'!$T$107=0,"",IF('Eval-Après action écologique'!$T$107="","",IF('Eval-Après action écologique'!O765&lt;&gt;"",'Eval-Après action écologique'!O765,"")))</f>
        <v/>
      </c>
      <c r="KF7" s="25" t="str">
        <f>IF('Eval-Après action écologique'!$T$107=0,"",IF('Eval-Après action écologique'!$T$107="","",IF('Eval-Après action écologique'!P765&lt;&gt;"",'Eval-Après action écologique'!P765,"")))</f>
        <v/>
      </c>
      <c r="KG7" s="25" t="str">
        <f>IF('Eval-Après action écologique'!$T$107=0,"",IF('Eval-Après action écologique'!$T$107="","",IF('Eval-Après action écologique'!Q765&lt;&gt;"",'Eval-Après action écologique'!Q765,"")))</f>
        <v/>
      </c>
      <c r="KH7" s="25" t="str">
        <f>IF('Eval-Après action écologique'!$T$107=0,"",IF('Eval-Après action écologique'!$T$107="","",IF('Eval-Après action écologique'!R765&lt;&gt;"",'Eval-Après action écologique'!R765,"")))</f>
        <v/>
      </c>
      <c r="KI7" s="25" t="str">
        <f>IF('Eval-Après action écologique'!$T$107=0,"",IF('Eval-Après action écologique'!$T$107="","",IF('Eval-Après action écologique'!S765&lt;&gt;"",'Eval-Après action écologique'!S765,"")))</f>
        <v/>
      </c>
      <c r="KJ7" s="25" t="str">
        <f>IF('Eval-Après action écologique'!$T$107=0,"",IF('Eval-Après action écologique'!$T$107="","",IF('Eval-Après action écologique'!T765&lt;&gt;"",'Eval-Après action écologique'!T765,"")))</f>
        <v/>
      </c>
      <c r="KK7" s="25" t="str">
        <f>IF('Eval-Après action écologique'!$T$107=0,"",IF('Eval-Après action écologique'!$T$107="","",IF('Eval-Après action écologique'!U765&lt;&gt;"",'Eval-Après action écologique'!U765,"")))</f>
        <v/>
      </c>
      <c r="KL7" s="25" t="str">
        <f>IF('Eval-Après action écologique'!$T$107=0,"",IF('Eval-Après action écologique'!$T$107="","",IF('Eval-Après action écologique'!V765&lt;&gt;"",'Eval-Après action écologique'!V765,"")))</f>
        <v/>
      </c>
      <c r="KM7" s="25" t="str">
        <f>IF('Eval-Après action écologique'!$T$107=0,"",IF('Eval-Après action écologique'!$T$107="","",IF('Eval-Après action écologique'!W765&lt;&gt;"",'Eval-Après action écologique'!W765,"")))</f>
        <v/>
      </c>
      <c r="KN7" s="25" t="str">
        <f>IF('Eval-Après action écologique'!$T$107=0,"",IF('Eval-Après action écologique'!$T$107="","",IF('Eval-Après action écologique'!X765&lt;&gt;"",'Eval-Après action écologique'!X765,"")))</f>
        <v/>
      </c>
      <c r="KO7" s="25" t="str">
        <f>IF('Eval-Après action écologique'!$T$107=0,"",IF('Eval-Après action écologique'!$T$107="","",IF('Eval-Après action écologique'!Y765&lt;&gt;"",'Eval-Après action écologique'!Y765,"")))</f>
        <v/>
      </c>
      <c r="KP7" s="25" t="str">
        <f>IF('Eval-Après action écologique'!$T$107=0,"",IF('Eval-Après action écologique'!$T$107="","",IF('Eval-Après action écologique'!A766&lt;&gt;"",'Eval-Après action écologique'!A766,"")))</f>
        <v/>
      </c>
      <c r="KQ7" s="25" t="str">
        <f>IF('Eval-Après action écologique'!$T$107=0,"",IF('Eval-Après action écologique'!$T$107="","",IF('Eval-Après action écologique'!B766&lt;&gt;"",'Eval-Après action écologique'!B766,"")))</f>
        <v/>
      </c>
      <c r="KR7" s="25" t="str">
        <f>IF('Eval-Après action écologique'!$T$107=0,"",IF('Eval-Après action écologique'!$T$107="","",IF('Eval-Après action écologique'!C766&lt;&gt;"",'Eval-Après action écologique'!C766,"")))</f>
        <v/>
      </c>
      <c r="KS7" s="25" t="str">
        <f>IF('Eval-Après action écologique'!$T$107=0,"",IF('Eval-Après action écologique'!$T$107="","",IF('Eval-Après action écologique'!E766&lt;&gt;"",'Eval-Après action écologique'!E766,"")))</f>
        <v/>
      </c>
      <c r="KT7" s="25" t="str">
        <f>IF('Eval-Après action écologique'!$T$107=0,"",IF('Eval-Après action écologique'!$T$107="","",IF('Eval-Après action écologique'!G766&lt;&gt;"",'Eval-Après action écologique'!G766,"")))</f>
        <v/>
      </c>
      <c r="KU7" s="25" t="str">
        <f>IF('Eval-Après action écologique'!$T$107=0,"",IF('Eval-Après action écologique'!$T$107="","",IF('Eval-Après action écologique'!H766&lt;&gt;"",'Eval-Après action écologique'!H766,"")))</f>
        <v/>
      </c>
      <c r="KV7" s="25" t="str">
        <f>IF('Eval-Après action écologique'!$T$107=0,"",IF('Eval-Après action écologique'!$T$107="","",IF('Eval-Après action écologique'!I766&lt;&gt;"",'Eval-Après action écologique'!I766,"")))</f>
        <v/>
      </c>
      <c r="KW7" s="25" t="str">
        <f>IF('Eval-Après action écologique'!$T$107=0,"",IF('Eval-Après action écologique'!$T$107="","",IF('Eval-Après action écologique'!J766&lt;&gt;"",'Eval-Après action écologique'!J766,"")))</f>
        <v/>
      </c>
      <c r="KX7" s="25" t="str">
        <f>IF('Eval-Après action écologique'!$T$107=0,"",IF('Eval-Après action écologique'!$T$107="","",IF('Eval-Après action écologique'!K766&lt;&gt;"",'Eval-Après action écologique'!K766,"")))</f>
        <v/>
      </c>
      <c r="KY7" s="25" t="str">
        <f>IF('Eval-Après action écologique'!$T$107=0,"",IF('Eval-Après action écologique'!$T$107="","",IF('Eval-Après action écologique'!L766&lt;&gt;"",'Eval-Après action écologique'!L766,"")))</f>
        <v/>
      </c>
      <c r="KZ7" s="25" t="str">
        <f>IF('Eval-Après action écologique'!$T$107=0,"",IF('Eval-Après action écologique'!$T$107="","",IF('Eval-Après action écologique'!M766&lt;&gt;"",'Eval-Après action écologique'!M766,"")))</f>
        <v/>
      </c>
      <c r="LA7" s="25" t="str">
        <f>IF('Eval-Après action écologique'!$T$107=0,"",IF('Eval-Après action écologique'!$T$107="","",IF('Eval-Après action écologique'!N766&lt;&gt;"",'Eval-Après action écologique'!N766,"")))</f>
        <v/>
      </c>
      <c r="LB7" s="25" t="str">
        <f>IF('Eval-Après action écologique'!$T$107=0,"",IF('Eval-Après action écologique'!$T$107="","",IF('Eval-Après action écologique'!O766&lt;&gt;"",'Eval-Après action écologique'!O766,"")))</f>
        <v/>
      </c>
      <c r="LC7" s="25" t="str">
        <f>IF('Eval-Après action écologique'!$T$107=0,"",IF('Eval-Après action écologique'!$T$107="","",IF('Eval-Après action écologique'!P766&lt;&gt;"",'Eval-Après action écologique'!P766,"")))</f>
        <v/>
      </c>
      <c r="LD7" s="25" t="str">
        <f>IF('Eval-Après action écologique'!$T$107=0,"",IF('Eval-Après action écologique'!$T$107="","",IF('Eval-Après action écologique'!Q766&lt;&gt;"",'Eval-Après action écologique'!Q766,"")))</f>
        <v/>
      </c>
      <c r="LE7" s="25" t="str">
        <f>IF('Eval-Après action écologique'!$T$107=0,"",IF('Eval-Après action écologique'!$T$107="","",IF('Eval-Après action écologique'!R766&lt;&gt;"",'Eval-Après action écologique'!R766,"")))</f>
        <v/>
      </c>
      <c r="LF7" s="25" t="str">
        <f>IF('Eval-Après action écologique'!$T$107=0,"",IF('Eval-Après action écologique'!$T$107="","",IF('Eval-Après action écologique'!S766&lt;&gt;"",'Eval-Après action écologique'!S766,"")))</f>
        <v/>
      </c>
      <c r="LG7" s="25" t="str">
        <f>IF('Eval-Après action écologique'!$T$107=0,"",IF('Eval-Après action écologique'!$T$107="","",IF('Eval-Après action écologique'!T766&lt;&gt;"",'Eval-Après action écologique'!T766,"")))</f>
        <v/>
      </c>
      <c r="LH7" s="25" t="str">
        <f>IF('Eval-Après action écologique'!$T$107=0,"",IF('Eval-Après action écologique'!$T$107="","",IF('Eval-Après action écologique'!U766&lt;&gt;"",'Eval-Après action écologique'!U766,"")))</f>
        <v/>
      </c>
      <c r="LI7" s="25" t="str">
        <f>IF('Eval-Après action écologique'!$T$107=0,"",IF('Eval-Après action écologique'!$T$107="","",IF('Eval-Après action écologique'!V766&lt;&gt;"",'Eval-Après action écologique'!V766,"")))</f>
        <v/>
      </c>
      <c r="LJ7" s="25" t="str">
        <f>IF('Eval-Après action écologique'!$T$107=0,"",IF('Eval-Après action écologique'!$T$107="","",IF('Eval-Après action écologique'!W766&lt;&gt;"",'Eval-Après action écologique'!W766,"")))</f>
        <v/>
      </c>
      <c r="LK7" s="25" t="str">
        <f>IF('Eval-Après action écologique'!$T$107=0,"",IF('Eval-Après action écologique'!$T$107="","",IF('Eval-Après action écologique'!X766&lt;&gt;"",'Eval-Après action écologique'!X766,"")))</f>
        <v/>
      </c>
      <c r="LL7" s="25" t="str">
        <f>IF('Eval-Après action écologique'!$T$107=0,"",IF('Eval-Après action écologique'!$T$107="","",IF('Eval-Après action écologique'!Y766&lt;&gt;"",'Eval-Après action écologique'!Y766,"")))</f>
        <v/>
      </c>
      <c r="LM7" s="25" t="str">
        <f>IF('Eval-Après action écologique'!$T$107=0,"",IF('Eval-Après action écologique'!$T$107="","",IF('Eval-Après action écologique'!A767&lt;&gt;"",'Eval-Après action écologique'!A767,"")))</f>
        <v/>
      </c>
      <c r="LN7" s="25" t="str">
        <f>IF('Eval-Après action écologique'!$T$107=0,"",IF('Eval-Après action écologique'!$T$107="","",IF('Eval-Après action écologique'!B767&lt;&gt;"",'Eval-Après action écologique'!B767,"")))</f>
        <v/>
      </c>
      <c r="LO7" s="25" t="str">
        <f>IF('Eval-Après action écologique'!$T$107=0,"",IF('Eval-Après action écologique'!$T$107="","",IF('Eval-Après action écologique'!C767&lt;&gt;"",'Eval-Après action écologique'!C767,"")))</f>
        <v/>
      </c>
      <c r="LP7" s="25" t="str">
        <f>IF('Eval-Après action écologique'!$T$107=0,"",IF('Eval-Après action écologique'!$T$107="","",IF('Eval-Après action écologique'!E767&lt;&gt;"",'Eval-Après action écologique'!E767,"")))</f>
        <v/>
      </c>
      <c r="LQ7" s="25" t="str">
        <f>IF('Eval-Après action écologique'!$T$107=0,"",IF('Eval-Après action écologique'!$T$107="","",IF('Eval-Après action écologique'!G767&lt;&gt;"",'Eval-Après action écologique'!G767,"")))</f>
        <v/>
      </c>
      <c r="LR7" s="25" t="str">
        <f>IF('Eval-Après action écologique'!$T$107=0,"",IF('Eval-Après action écologique'!$T$107="","",IF('Eval-Après action écologique'!H767&lt;&gt;"",'Eval-Après action écologique'!H767,"")))</f>
        <v/>
      </c>
      <c r="LS7" s="25" t="str">
        <f>IF('Eval-Après action écologique'!$T$107=0,"",IF('Eval-Après action écologique'!$T$107="","",IF('Eval-Après action écologique'!I767&lt;&gt;"",'Eval-Après action écologique'!I767,"")))</f>
        <v/>
      </c>
      <c r="LT7" s="25" t="str">
        <f>IF('Eval-Après action écologique'!$T$107=0,"",IF('Eval-Après action écologique'!$T$107="","",IF('Eval-Après action écologique'!J767&lt;&gt;"",'Eval-Après action écologique'!J767,"")))</f>
        <v/>
      </c>
      <c r="LU7" s="25" t="str">
        <f>IF('Eval-Après action écologique'!$T$107=0,"",IF('Eval-Après action écologique'!$T$107="","",IF('Eval-Après action écologique'!K767&lt;&gt;"",'Eval-Après action écologique'!K767,"")))</f>
        <v/>
      </c>
      <c r="LV7" s="25" t="str">
        <f>IF('Eval-Après action écologique'!$T$107=0,"",IF('Eval-Après action écologique'!$T$107="","",IF('Eval-Après action écologique'!L767&lt;&gt;"",'Eval-Après action écologique'!L767,"")))</f>
        <v/>
      </c>
      <c r="LW7" s="25" t="str">
        <f>IF('Eval-Après action écologique'!$T$107=0,"",IF('Eval-Après action écologique'!$T$107="","",IF('Eval-Après action écologique'!M767&lt;&gt;"",'Eval-Après action écologique'!M767,"")))</f>
        <v/>
      </c>
      <c r="LX7" s="25" t="str">
        <f>IF('Eval-Après action écologique'!$T$107=0,"",IF('Eval-Après action écologique'!$T$107="","",IF('Eval-Après action écologique'!N767&lt;&gt;"",'Eval-Après action écologique'!N767,"")))</f>
        <v/>
      </c>
      <c r="LY7" s="25" t="str">
        <f>IF('Eval-Après action écologique'!$T$107=0,"",IF('Eval-Après action écologique'!$T$107="","",IF('Eval-Après action écologique'!O767&lt;&gt;"",'Eval-Après action écologique'!O767,"")))</f>
        <v/>
      </c>
      <c r="LZ7" s="25" t="str">
        <f>IF('Eval-Après action écologique'!$T$107=0,"",IF('Eval-Après action écologique'!$T$107="","",IF('Eval-Après action écologique'!P767&lt;&gt;"",'Eval-Après action écologique'!P767,"")))</f>
        <v/>
      </c>
      <c r="MA7" s="25" t="str">
        <f>IF('Eval-Après action écologique'!$T$107=0,"",IF('Eval-Après action écologique'!$T$107="","",IF('Eval-Après action écologique'!Q767&lt;&gt;"",'Eval-Après action écologique'!Q767,"")))</f>
        <v/>
      </c>
      <c r="MB7" s="25" t="str">
        <f>IF('Eval-Après action écologique'!$T$107=0,"",IF('Eval-Après action écologique'!$T$107="","",IF('Eval-Après action écologique'!R767&lt;&gt;"",'Eval-Après action écologique'!R767,"")))</f>
        <v/>
      </c>
      <c r="MC7" s="25" t="str">
        <f>IF('Eval-Après action écologique'!$T$107=0,"",IF('Eval-Après action écologique'!$T$107="","",IF('Eval-Après action écologique'!S767&lt;&gt;"",'Eval-Après action écologique'!S767,"")))</f>
        <v/>
      </c>
      <c r="MD7" s="25" t="str">
        <f>IF('Eval-Après action écologique'!$T$107=0,"",IF('Eval-Après action écologique'!$T$107="","",IF('Eval-Après action écologique'!T767&lt;&gt;"",'Eval-Après action écologique'!T767,"")))</f>
        <v/>
      </c>
      <c r="ME7" s="25" t="str">
        <f>IF('Eval-Après action écologique'!$T$107=0,"",IF('Eval-Après action écologique'!$T$107="","",IF('Eval-Après action écologique'!U767&lt;&gt;"",'Eval-Après action écologique'!U767,"")))</f>
        <v/>
      </c>
      <c r="MF7" s="25" t="str">
        <f>IF('Eval-Après action écologique'!$T$107=0,"",IF('Eval-Après action écologique'!$T$107="","",IF('Eval-Après action écologique'!V767&lt;&gt;"",'Eval-Après action écologique'!V767,"")))</f>
        <v/>
      </c>
      <c r="MG7" s="25" t="str">
        <f>IF('Eval-Après action écologique'!$T$107=0,"",IF('Eval-Après action écologique'!$T$107="","",IF('Eval-Après action écologique'!W767&lt;&gt;"",'Eval-Après action écologique'!W767,"")))</f>
        <v/>
      </c>
      <c r="MH7" s="25" t="str">
        <f>IF('Eval-Après action écologique'!$T$107=0,"",IF('Eval-Après action écologique'!$T$107="","",IF('Eval-Après action écologique'!X767&lt;&gt;"",'Eval-Après action écologique'!X767,"")))</f>
        <v/>
      </c>
      <c r="MI7" s="25" t="str">
        <f>IF('Eval-Après action écologique'!$T$107=0,"",IF('Eval-Après action écologique'!$T$107="","",IF('Eval-Après action écologique'!Y767&lt;&gt;"",'Eval-Après action écologique'!Y767,"")))</f>
        <v/>
      </c>
      <c r="MJ7" s="25" t="str">
        <f>IF('Eval-Après action écologique'!$T$107=0,"",IF('Eval-Après action écologique'!$T$107="","",IF('Eval-Après action écologique'!A768&lt;&gt;"",'Eval-Après action écologique'!A768,"")))</f>
        <v/>
      </c>
      <c r="MK7" s="25" t="str">
        <f>IF('Eval-Après action écologique'!$T$107=0,"",IF('Eval-Après action écologique'!$T$107="","",IF('Eval-Après action écologique'!B768&lt;&gt;"",'Eval-Après action écologique'!B768,"")))</f>
        <v/>
      </c>
      <c r="ML7" s="25" t="str">
        <f>IF('Eval-Après action écologique'!$T$107=0,"",IF('Eval-Après action écologique'!$T$107="","",IF('Eval-Après action écologique'!C768&lt;&gt;"",'Eval-Après action écologique'!C768,"")))</f>
        <v/>
      </c>
      <c r="MM7" s="25" t="str">
        <f>IF('Eval-Après action écologique'!$T$107=0,"",IF('Eval-Après action écologique'!$T$107="","",IF('Eval-Après action écologique'!E768&lt;&gt;"",'Eval-Après action écologique'!E768,"")))</f>
        <v/>
      </c>
      <c r="MN7" s="25" t="str">
        <f>IF('Eval-Après action écologique'!$T$107=0,"",IF('Eval-Après action écologique'!$T$107="","",IF('Eval-Après action écologique'!G768&lt;&gt;"",'Eval-Après action écologique'!G768,"")))</f>
        <v/>
      </c>
      <c r="MO7" s="25" t="str">
        <f>IF('Eval-Après action écologique'!$T$107=0,"",IF('Eval-Après action écologique'!$T$107="","",IF('Eval-Après action écologique'!H768&lt;&gt;"",'Eval-Après action écologique'!H768,"")))</f>
        <v/>
      </c>
      <c r="MP7" s="25" t="str">
        <f>IF('Eval-Après action écologique'!$T$107=0,"",IF('Eval-Après action écologique'!$T$107="","",IF('Eval-Après action écologique'!I768&lt;&gt;"",'Eval-Après action écologique'!I768,"")))</f>
        <v/>
      </c>
      <c r="MQ7" s="25" t="str">
        <f>IF('Eval-Après action écologique'!$T$107=0,"",IF('Eval-Après action écologique'!$T$107="","",IF('Eval-Après action écologique'!J768&lt;&gt;"",'Eval-Après action écologique'!J768,"")))</f>
        <v/>
      </c>
      <c r="MR7" s="25" t="str">
        <f>IF('Eval-Après action écologique'!$T$107=0,"",IF('Eval-Après action écologique'!$T$107="","",IF('Eval-Après action écologique'!K768&lt;&gt;"",'Eval-Après action écologique'!K768,"")))</f>
        <v/>
      </c>
      <c r="MS7" s="25" t="str">
        <f>IF('Eval-Après action écologique'!$T$107=0,"",IF('Eval-Après action écologique'!$T$107="","",IF('Eval-Après action écologique'!L768&lt;&gt;"",'Eval-Après action écologique'!L768,"")))</f>
        <v/>
      </c>
      <c r="MT7" s="25" t="str">
        <f>IF('Eval-Après action écologique'!$T$107=0,"",IF('Eval-Après action écologique'!$T$107="","",IF('Eval-Après action écologique'!M768&lt;&gt;"",'Eval-Après action écologique'!M768,"")))</f>
        <v/>
      </c>
      <c r="MU7" s="25" t="str">
        <f>IF('Eval-Après action écologique'!$T$107=0,"",IF('Eval-Après action écologique'!$T$107="","",IF('Eval-Après action écologique'!N768&lt;&gt;"",'Eval-Après action écologique'!N768,"")))</f>
        <v/>
      </c>
      <c r="MV7" s="25" t="str">
        <f>IF('Eval-Après action écologique'!$T$107=0,"",IF('Eval-Après action écologique'!$T$107="","",IF('Eval-Après action écologique'!O768&lt;&gt;"",'Eval-Après action écologique'!O768,"")))</f>
        <v/>
      </c>
      <c r="MW7" s="25" t="str">
        <f>IF('Eval-Après action écologique'!$T$107=0,"",IF('Eval-Après action écologique'!$T$107="","",IF('Eval-Après action écologique'!P768&lt;&gt;"",'Eval-Après action écologique'!P768,"")))</f>
        <v/>
      </c>
      <c r="MX7" s="25" t="str">
        <f>IF('Eval-Après action écologique'!$T$107=0,"",IF('Eval-Après action écologique'!$T$107="","",IF('Eval-Après action écologique'!Q768&lt;&gt;"",'Eval-Après action écologique'!Q768,"")))</f>
        <v/>
      </c>
      <c r="MY7" s="25" t="str">
        <f>IF('Eval-Après action écologique'!$T$107=0,"",IF('Eval-Après action écologique'!$T$107="","",IF('Eval-Après action écologique'!R768&lt;&gt;"",'Eval-Après action écologique'!R768,"")))</f>
        <v/>
      </c>
      <c r="MZ7" s="25" t="str">
        <f>IF('Eval-Après action écologique'!$T$107=0,"",IF('Eval-Après action écologique'!$T$107="","",IF('Eval-Après action écologique'!S768&lt;&gt;"",'Eval-Après action écologique'!S768,"")))</f>
        <v/>
      </c>
      <c r="NA7" s="25" t="str">
        <f>IF('Eval-Après action écologique'!$T$107=0,"",IF('Eval-Après action écologique'!$T$107="","",IF('Eval-Après action écologique'!T768&lt;&gt;"",'Eval-Après action écologique'!T768,"")))</f>
        <v/>
      </c>
      <c r="NB7" s="25" t="str">
        <f>IF('Eval-Après action écologique'!$T$107=0,"",IF('Eval-Après action écologique'!$T$107="","",IF('Eval-Après action écologique'!U768&lt;&gt;"",'Eval-Après action écologique'!U768,"")))</f>
        <v/>
      </c>
      <c r="NC7" s="25" t="str">
        <f>IF('Eval-Après action écologique'!$T$107=0,"",IF('Eval-Après action écologique'!$T$107="","",IF('Eval-Après action écologique'!V768&lt;&gt;"",'Eval-Après action écologique'!V768,"")))</f>
        <v/>
      </c>
      <c r="ND7" s="25" t="str">
        <f>IF('Eval-Après action écologique'!$T$107=0,"",IF('Eval-Après action écologique'!$T$107="","",IF('Eval-Après action écologique'!W768&lt;&gt;"",'Eval-Après action écologique'!W768,"")))</f>
        <v/>
      </c>
      <c r="NE7" s="25" t="str">
        <f>IF('Eval-Après action écologique'!$T$107=0,"",IF('Eval-Après action écologique'!$T$107="","",IF('Eval-Après action écologique'!X768&lt;&gt;"",'Eval-Après action écologique'!X768,"")))</f>
        <v/>
      </c>
      <c r="NF7" s="25" t="str">
        <f>IF('Eval-Après action écologique'!$T$107=0,"",IF('Eval-Après action écologique'!$T$107="","",IF('Eval-Après action écologique'!Y768&lt;&gt;"",'Eval-Après action écologique'!Y768,"")))</f>
        <v/>
      </c>
      <c r="NG7" s="25" t="str">
        <f>IF('Eval-Après action écologique'!$T$107=0,"",IF('Eval-Après action écologique'!$T$107="","",IF('Eval-Après action écologique'!A769&lt;&gt;"",'Eval-Après action écologique'!A769,"")))</f>
        <v/>
      </c>
      <c r="NH7" s="25" t="str">
        <f>IF('Eval-Après action écologique'!$T$107=0,"",IF('Eval-Après action écologique'!$T$107="","",IF('Eval-Après action écologique'!B769&lt;&gt;"",'Eval-Après action écologique'!B769,"")))</f>
        <v/>
      </c>
      <c r="NI7" s="25" t="str">
        <f>IF('Eval-Après action écologique'!$T$107=0,"",IF('Eval-Après action écologique'!$T$107="","",IF('Eval-Après action écologique'!C769&lt;&gt;"",'Eval-Après action écologique'!C769,"")))</f>
        <v/>
      </c>
      <c r="NJ7" s="25" t="str">
        <f>IF('Eval-Après action écologique'!$T$107=0,"",IF('Eval-Après action écologique'!$T$107="","",IF('Eval-Après action écologique'!E769&lt;&gt;"",'Eval-Après action écologique'!E769,"")))</f>
        <v/>
      </c>
      <c r="NK7" s="25" t="str">
        <f>IF('Eval-Après action écologique'!$T$107=0,"",IF('Eval-Après action écologique'!$T$107="","",IF('Eval-Après action écologique'!G769&lt;&gt;"",'Eval-Après action écologique'!G769,"")))</f>
        <v/>
      </c>
      <c r="NL7" s="25" t="str">
        <f>IF('Eval-Après action écologique'!$T$107=0,"",IF('Eval-Après action écologique'!$T$107="","",IF('Eval-Après action écologique'!H769&lt;&gt;"",'Eval-Après action écologique'!H769,"")))</f>
        <v/>
      </c>
      <c r="NM7" s="25" t="str">
        <f>IF('Eval-Après action écologique'!$T$107=0,"",IF('Eval-Après action écologique'!$T$107="","",IF('Eval-Après action écologique'!I769&lt;&gt;"",'Eval-Après action écologique'!I769,"")))</f>
        <v/>
      </c>
      <c r="NN7" s="25" t="str">
        <f>IF('Eval-Après action écologique'!$T$107=0,"",IF('Eval-Après action écologique'!$T$107="","",IF('Eval-Après action écologique'!J769&lt;&gt;"",'Eval-Après action écologique'!J769,"")))</f>
        <v/>
      </c>
      <c r="NO7" s="25" t="str">
        <f>IF('Eval-Après action écologique'!$T$107=0,"",IF('Eval-Après action écologique'!$T$107="","",IF('Eval-Après action écologique'!K769&lt;&gt;"",'Eval-Après action écologique'!K769,"")))</f>
        <v/>
      </c>
      <c r="NP7" s="25" t="str">
        <f>IF('Eval-Après action écologique'!$T$107=0,"",IF('Eval-Après action écologique'!$T$107="","",IF('Eval-Après action écologique'!L769&lt;&gt;"",'Eval-Après action écologique'!L769,"")))</f>
        <v/>
      </c>
      <c r="NQ7" s="25" t="str">
        <f>IF('Eval-Après action écologique'!$T$107=0,"",IF('Eval-Après action écologique'!$T$107="","",IF('Eval-Après action écologique'!M769&lt;&gt;"",'Eval-Après action écologique'!M769,"")))</f>
        <v/>
      </c>
      <c r="NR7" s="25" t="str">
        <f>IF('Eval-Après action écologique'!$T$107=0,"",IF('Eval-Après action écologique'!$T$107="","",IF('Eval-Après action écologique'!N769&lt;&gt;"",'Eval-Après action écologique'!N769,"")))</f>
        <v/>
      </c>
      <c r="NS7" s="25" t="str">
        <f>IF('Eval-Après action écologique'!$T$107=0,"",IF('Eval-Après action écologique'!$T$107="","",IF('Eval-Après action écologique'!O769&lt;&gt;"",'Eval-Après action écologique'!O769,"")))</f>
        <v/>
      </c>
      <c r="NT7" s="25" t="str">
        <f>IF('Eval-Après action écologique'!$T$107=0,"",IF('Eval-Après action écologique'!$T$107="","",IF('Eval-Après action écologique'!P769&lt;&gt;"",'Eval-Après action écologique'!P769,"")))</f>
        <v/>
      </c>
      <c r="NU7" s="25" t="str">
        <f>IF('Eval-Après action écologique'!$T$107=0,"",IF('Eval-Après action écologique'!$T$107="","",IF('Eval-Après action écologique'!Q769&lt;&gt;"",'Eval-Après action écologique'!Q769,"")))</f>
        <v/>
      </c>
      <c r="NV7" s="25" t="str">
        <f>IF('Eval-Après action écologique'!$T$107=0,"",IF('Eval-Après action écologique'!$T$107="","",IF('Eval-Après action écologique'!R769&lt;&gt;"",'Eval-Après action écologique'!R769,"")))</f>
        <v/>
      </c>
      <c r="NW7" s="25" t="str">
        <f>IF('Eval-Après action écologique'!$T$107=0,"",IF('Eval-Après action écologique'!$T$107="","",IF('Eval-Après action écologique'!S769&lt;&gt;"",'Eval-Après action écologique'!S769,"")))</f>
        <v/>
      </c>
      <c r="NX7" s="25" t="str">
        <f>IF('Eval-Après action écologique'!$T$107=0,"",IF('Eval-Après action écologique'!$T$107="","",IF('Eval-Après action écologique'!T769&lt;&gt;"",'Eval-Après action écologique'!T769,"")))</f>
        <v/>
      </c>
      <c r="NY7" s="25" t="str">
        <f>IF('Eval-Après action écologique'!$T$107=0,"",IF('Eval-Après action écologique'!$T$107="","",IF('Eval-Après action écologique'!U769&lt;&gt;"",'Eval-Après action écologique'!U769,"")))</f>
        <v/>
      </c>
      <c r="NZ7" s="25" t="str">
        <f>IF('Eval-Après action écologique'!$T$107=0,"",IF('Eval-Après action écologique'!$T$107="","",IF('Eval-Après action écologique'!V769&lt;&gt;"",'Eval-Après action écologique'!V769,"")))</f>
        <v/>
      </c>
      <c r="OA7" s="25" t="str">
        <f>IF('Eval-Après action écologique'!$T$107=0,"",IF('Eval-Après action écologique'!$T$107="","",IF('Eval-Après action écologique'!W769&lt;&gt;"",'Eval-Après action écologique'!W769,"")))</f>
        <v/>
      </c>
      <c r="OB7" s="25" t="str">
        <f>IF('Eval-Après action écologique'!$T$107=0,"",IF('Eval-Après action écologique'!$T$107="","",IF('Eval-Après action écologique'!X769&lt;&gt;"",'Eval-Après action écologique'!X769,"")))</f>
        <v/>
      </c>
      <c r="OC7" s="25" t="str">
        <f>IF('Eval-Après action écologique'!$T$107=0,"",IF('Eval-Après action écologique'!$T$107="","",IF('Eval-Après action écologique'!Y769&lt;&gt;"",'Eval-Après action écologique'!Y769,"")))</f>
        <v/>
      </c>
      <c r="OD7" s="25" t="str">
        <f>IF('Eval-Après action écologique'!$T$107=0,"",IF('Eval-Après action écologique'!$T$107="","",IF('Eval-Après action écologique'!A770&lt;&gt;"",'Eval-Après action écologique'!A770,"")))</f>
        <v/>
      </c>
      <c r="OE7" s="25" t="str">
        <f>IF('Eval-Après action écologique'!$T$107=0,"",IF('Eval-Après action écologique'!$T$107="","",IF('Eval-Après action écologique'!B770&lt;&gt;"",'Eval-Après action écologique'!B770,"")))</f>
        <v/>
      </c>
      <c r="OF7" s="25" t="str">
        <f>IF('Eval-Après action écologique'!$T$107=0,"",IF('Eval-Après action écologique'!$T$107="","",IF('Eval-Après action écologique'!C770&lt;&gt;"",'Eval-Après action écologique'!C770,"")))</f>
        <v/>
      </c>
      <c r="OG7" s="25" t="str">
        <f>IF('Eval-Après action écologique'!$T$107=0,"",IF('Eval-Après action écologique'!$T$107="","",IF('Eval-Après action écologique'!E770&lt;&gt;"",'Eval-Après action écologique'!E770,"")))</f>
        <v/>
      </c>
      <c r="OH7" s="25" t="str">
        <f>IF('Eval-Après action écologique'!$T$107=0,"",IF('Eval-Après action écologique'!$T$107="","",IF('Eval-Après action écologique'!G770&lt;&gt;"",'Eval-Après action écologique'!G770,"")))</f>
        <v/>
      </c>
      <c r="OI7" s="25" t="str">
        <f>IF('Eval-Après action écologique'!$T$107=0,"",IF('Eval-Après action écologique'!$T$107="","",IF('Eval-Après action écologique'!H770&lt;&gt;"",'Eval-Après action écologique'!H770,"")))</f>
        <v/>
      </c>
      <c r="OJ7" s="25" t="str">
        <f>IF('Eval-Après action écologique'!$T$107=0,"",IF('Eval-Après action écologique'!$T$107="","",IF('Eval-Après action écologique'!I770&lt;&gt;"",'Eval-Après action écologique'!I770,"")))</f>
        <v/>
      </c>
      <c r="OK7" s="25" t="str">
        <f>IF('Eval-Après action écologique'!$T$107=0,"",IF('Eval-Après action écologique'!$T$107="","",IF('Eval-Après action écologique'!J770&lt;&gt;"",'Eval-Après action écologique'!J770,"")))</f>
        <v/>
      </c>
      <c r="OL7" s="25" t="str">
        <f>IF('Eval-Après action écologique'!$T$107=0,"",IF('Eval-Après action écologique'!$T$107="","",IF('Eval-Après action écologique'!K770&lt;&gt;"",'Eval-Après action écologique'!K770,"")))</f>
        <v/>
      </c>
      <c r="OM7" s="25" t="str">
        <f>IF('Eval-Après action écologique'!$T$107=0,"",IF('Eval-Après action écologique'!$T$107="","",IF('Eval-Après action écologique'!L770&lt;&gt;"",'Eval-Après action écologique'!L770,"")))</f>
        <v/>
      </c>
      <c r="ON7" s="25" t="str">
        <f>IF('Eval-Après action écologique'!$T$107=0,"",IF('Eval-Après action écologique'!$T$107="","",IF('Eval-Après action écologique'!M770&lt;&gt;"",'Eval-Après action écologique'!M770,"")))</f>
        <v/>
      </c>
      <c r="OO7" s="25" t="str">
        <f>IF('Eval-Après action écologique'!$T$107=0,"",IF('Eval-Après action écologique'!$T$107="","",IF('Eval-Après action écologique'!N770&lt;&gt;"",'Eval-Après action écologique'!N770,"")))</f>
        <v/>
      </c>
      <c r="OP7" s="25" t="str">
        <f>IF('Eval-Après action écologique'!$T$107=0,"",IF('Eval-Après action écologique'!$T$107="","",IF('Eval-Après action écologique'!O770&lt;&gt;"",'Eval-Après action écologique'!O770,"")))</f>
        <v/>
      </c>
      <c r="OQ7" s="25" t="str">
        <f>IF('Eval-Après action écologique'!$T$107=0,"",IF('Eval-Après action écologique'!$T$107="","",IF('Eval-Après action écologique'!P770&lt;&gt;"",'Eval-Après action écologique'!P770,"")))</f>
        <v/>
      </c>
      <c r="OR7" s="25" t="str">
        <f>IF('Eval-Après action écologique'!$T$107=0,"",IF('Eval-Après action écologique'!$T$107="","",IF('Eval-Après action écologique'!Q770&lt;&gt;"",'Eval-Après action écologique'!Q770,"")))</f>
        <v/>
      </c>
      <c r="OS7" s="25" t="str">
        <f>IF('Eval-Après action écologique'!$T$107=0,"",IF('Eval-Après action écologique'!$T$107="","",IF('Eval-Après action écologique'!R770&lt;&gt;"",'Eval-Après action écologique'!R770,"")))</f>
        <v/>
      </c>
      <c r="OT7" s="25" t="str">
        <f>IF('Eval-Après action écologique'!$T$107=0,"",IF('Eval-Après action écologique'!$T$107="","",IF('Eval-Après action écologique'!S770&lt;&gt;"",'Eval-Après action écologique'!S770,"")))</f>
        <v/>
      </c>
      <c r="OU7" s="25" t="str">
        <f>IF('Eval-Après action écologique'!$T$107=0,"",IF('Eval-Après action écologique'!$T$107="","",IF('Eval-Après action écologique'!T770&lt;&gt;"",'Eval-Après action écologique'!T770,"")))</f>
        <v/>
      </c>
      <c r="OV7" s="25" t="str">
        <f>IF('Eval-Après action écologique'!$T$107=0,"",IF('Eval-Après action écologique'!$T$107="","",IF('Eval-Après action écologique'!U770&lt;&gt;"",'Eval-Après action écologique'!U770,"")))</f>
        <v/>
      </c>
      <c r="OW7" s="25" t="str">
        <f>IF('Eval-Après action écologique'!$T$107=0,"",IF('Eval-Après action écologique'!$T$107="","",IF('Eval-Après action écologique'!V770&lt;&gt;"",'Eval-Après action écologique'!V770,"")))</f>
        <v/>
      </c>
      <c r="OX7" s="25" t="str">
        <f>IF('Eval-Après action écologique'!$T$107=0,"",IF('Eval-Après action écologique'!$T$107="","",IF('Eval-Après action écologique'!W770&lt;&gt;"",'Eval-Après action écologique'!W770,"")))</f>
        <v/>
      </c>
      <c r="OY7" s="25" t="str">
        <f>IF('Eval-Après action écologique'!$T$107=0,"",IF('Eval-Après action écologique'!$T$107="","",IF('Eval-Après action écologique'!X770&lt;&gt;"",'Eval-Après action écologique'!X770,"")))</f>
        <v/>
      </c>
      <c r="OZ7" s="25" t="str">
        <f>IF('Eval-Après action écologique'!$T$107=0,"",IF('Eval-Après action écologique'!$T$107="","",IF('Eval-Après action écologique'!Y770&lt;&gt;"",'Eval-Après action écologique'!Y770,"")))</f>
        <v/>
      </c>
      <c r="PA7" s="25" t="str">
        <f>IF('Eval-Après action écologique'!$T$107=0,"",IF('Eval-Après action écologique'!$T$107="","",IF('Eval-Après action écologique'!A771&lt;&gt;"",'Eval-Après action écologique'!A771,"")))</f>
        <v/>
      </c>
      <c r="PB7" s="25" t="str">
        <f>IF('Eval-Après action écologique'!$T$107=0,"",IF('Eval-Après action écologique'!$T$107="","",IF('Eval-Après action écologique'!B771&lt;&gt;"",'Eval-Après action écologique'!B771,"")))</f>
        <v/>
      </c>
      <c r="PC7" s="25" t="str">
        <f>IF('Eval-Après action écologique'!$T$107=0,"",IF('Eval-Après action écologique'!$T$107="","",IF('Eval-Après action écologique'!C771&lt;&gt;"",'Eval-Après action écologique'!C771,"")))</f>
        <v/>
      </c>
      <c r="PD7" s="25" t="str">
        <f>IF('Eval-Après action écologique'!$T$107=0,"",IF('Eval-Après action écologique'!$T$107="","",IF('Eval-Après action écologique'!E771&lt;&gt;"",'Eval-Après action écologique'!E771,"")))</f>
        <v/>
      </c>
      <c r="PE7" s="25" t="str">
        <f>IF('Eval-Après action écologique'!$T$107=0,"",IF('Eval-Après action écologique'!$T$107="","",IF('Eval-Après action écologique'!G771&lt;&gt;"",'Eval-Après action écologique'!G771,"")))</f>
        <v/>
      </c>
      <c r="PF7" s="25" t="str">
        <f>IF('Eval-Après action écologique'!$T$107=0,"",IF('Eval-Après action écologique'!$T$107="","",IF('Eval-Après action écologique'!H771&lt;&gt;"",'Eval-Après action écologique'!H771,"")))</f>
        <v/>
      </c>
      <c r="PG7" s="25" t="str">
        <f>IF('Eval-Après action écologique'!$T$107=0,"",IF('Eval-Après action écologique'!$T$107="","",IF('Eval-Après action écologique'!I771&lt;&gt;"",'Eval-Après action écologique'!I771,"")))</f>
        <v/>
      </c>
      <c r="PH7" s="25" t="str">
        <f>IF('Eval-Après action écologique'!$T$107=0,"",IF('Eval-Après action écologique'!$T$107="","",IF('Eval-Après action écologique'!J771&lt;&gt;"",'Eval-Après action écologique'!J771,"")))</f>
        <v/>
      </c>
      <c r="PI7" s="25" t="str">
        <f>IF('Eval-Après action écologique'!$T$107=0,"",IF('Eval-Après action écologique'!$T$107="","",IF('Eval-Après action écologique'!K771&lt;&gt;"",'Eval-Après action écologique'!K771,"")))</f>
        <v/>
      </c>
      <c r="PJ7" s="25" t="str">
        <f>IF('Eval-Après action écologique'!$T$107=0,"",IF('Eval-Après action écologique'!$T$107="","",IF('Eval-Après action écologique'!L771&lt;&gt;"",'Eval-Après action écologique'!L771,"")))</f>
        <v/>
      </c>
      <c r="PK7" s="25" t="str">
        <f>IF('Eval-Après action écologique'!$T$107=0,"",IF('Eval-Après action écologique'!$T$107="","",IF('Eval-Après action écologique'!M771&lt;&gt;"",'Eval-Après action écologique'!M771,"")))</f>
        <v/>
      </c>
      <c r="PL7" s="25" t="str">
        <f>IF('Eval-Après action écologique'!$T$107=0,"",IF('Eval-Après action écologique'!$T$107="","",IF('Eval-Après action écologique'!N771&lt;&gt;"",'Eval-Après action écologique'!N771,"")))</f>
        <v/>
      </c>
      <c r="PM7" s="25" t="str">
        <f>IF('Eval-Après action écologique'!$T$107=0,"",IF('Eval-Après action écologique'!$T$107="","",IF('Eval-Après action écologique'!O771&lt;&gt;"",'Eval-Après action écologique'!O771,"")))</f>
        <v/>
      </c>
      <c r="PN7" s="25" t="str">
        <f>IF('Eval-Après action écologique'!$T$107=0,"",IF('Eval-Après action écologique'!$T$107="","",IF('Eval-Après action écologique'!P771&lt;&gt;"",'Eval-Après action écologique'!P771,"")))</f>
        <v/>
      </c>
      <c r="PO7" s="25" t="str">
        <f>IF('Eval-Après action écologique'!$T$107=0,"",IF('Eval-Après action écologique'!$T$107="","",IF('Eval-Après action écologique'!Q771&lt;&gt;"",'Eval-Après action écologique'!Q771,"")))</f>
        <v/>
      </c>
      <c r="PP7" s="25" t="str">
        <f>IF('Eval-Après action écologique'!$T$107=0,"",IF('Eval-Après action écologique'!$T$107="","",IF('Eval-Après action écologique'!R771&lt;&gt;"",'Eval-Après action écologique'!R771,"")))</f>
        <v/>
      </c>
      <c r="PQ7" s="25" t="str">
        <f>IF('Eval-Après action écologique'!$T$107=0,"",IF('Eval-Après action écologique'!$T$107="","",IF('Eval-Après action écologique'!S771&lt;&gt;"",'Eval-Après action écologique'!S771,"")))</f>
        <v/>
      </c>
      <c r="PR7" s="25" t="str">
        <f>IF('Eval-Après action écologique'!$T$107=0,"",IF('Eval-Après action écologique'!$T$107="","",IF('Eval-Après action écologique'!T771&lt;&gt;"",'Eval-Après action écologique'!T771,"")))</f>
        <v/>
      </c>
      <c r="PS7" s="25" t="str">
        <f>IF('Eval-Après action écologique'!$T$107=0,"",IF('Eval-Après action écologique'!$T$107="","",IF('Eval-Après action écologique'!U771&lt;&gt;"",'Eval-Après action écologique'!U771,"")))</f>
        <v/>
      </c>
      <c r="PT7" s="25" t="str">
        <f>IF('Eval-Après action écologique'!$T$107=0,"",IF('Eval-Après action écologique'!$T$107="","",IF('Eval-Après action écologique'!V771&lt;&gt;"",'Eval-Après action écologique'!V771,"")))</f>
        <v/>
      </c>
      <c r="PU7" s="25" t="str">
        <f>IF('Eval-Après action écologique'!$T$107=0,"",IF('Eval-Après action écologique'!$T$107="","",IF('Eval-Après action écologique'!W771&lt;&gt;"",'Eval-Après action écologique'!W771,"")))</f>
        <v/>
      </c>
      <c r="PV7" s="25" t="str">
        <f>IF('Eval-Après action écologique'!$T$107=0,"",IF('Eval-Après action écologique'!$T$107="","",IF('Eval-Après action écologique'!X771&lt;&gt;"",'Eval-Après action écologique'!X771,"")))</f>
        <v/>
      </c>
      <c r="PW7" s="25" t="str">
        <f>IF('Eval-Après action écologique'!$T$107=0,"",IF('Eval-Après action écologique'!$T$107="","",IF('Eval-Après action écologique'!Y771&lt;&gt;"",'Eval-Après action écologique'!Y771,"")))</f>
        <v/>
      </c>
      <c r="PX7" s="25" t="str">
        <f>IF('Eval-Après action écologique'!$T$107=0,"",IF('Eval-Après action écologique'!$T$107="","",IF('Eval-Après action écologique'!A772&lt;&gt;"",'Eval-Après action écologique'!A772,"")))</f>
        <v/>
      </c>
      <c r="PY7" s="25" t="str">
        <f>IF('Eval-Après action écologique'!$T$107=0,"",IF('Eval-Après action écologique'!$T$107="","",IF('Eval-Après action écologique'!B772&lt;&gt;"",'Eval-Après action écologique'!B772,"")))</f>
        <v/>
      </c>
      <c r="PZ7" s="25" t="str">
        <f>IF('Eval-Après action écologique'!$T$107=0,"",IF('Eval-Après action écologique'!$T$107="","",IF('Eval-Après action écologique'!C772&lt;&gt;"",'Eval-Après action écologique'!C772,"")))</f>
        <v/>
      </c>
      <c r="QA7" s="25" t="str">
        <f>IF('Eval-Après action écologique'!$T$107=0,"",IF('Eval-Après action écologique'!$T$107="","",IF('Eval-Après action écologique'!E772&lt;&gt;"",'Eval-Après action écologique'!E772,"")))</f>
        <v/>
      </c>
      <c r="QB7" s="25" t="str">
        <f>IF('Eval-Après action écologique'!$T$107=0,"",IF('Eval-Après action écologique'!$T$107="","",IF('Eval-Après action écologique'!G772&lt;&gt;"",'Eval-Après action écologique'!G772,"")))</f>
        <v/>
      </c>
      <c r="QC7" s="25" t="str">
        <f>IF('Eval-Après action écologique'!$T$107=0,"",IF('Eval-Après action écologique'!$T$107="","",IF('Eval-Après action écologique'!H772&lt;&gt;"",'Eval-Après action écologique'!H772,"")))</f>
        <v/>
      </c>
      <c r="QD7" s="25" t="str">
        <f>IF('Eval-Après action écologique'!$T$107=0,"",IF('Eval-Après action écologique'!$T$107="","",IF('Eval-Après action écologique'!I772&lt;&gt;"",'Eval-Après action écologique'!I772,"")))</f>
        <v/>
      </c>
      <c r="QE7" s="25" t="str">
        <f>IF('Eval-Après action écologique'!$T$107=0,"",IF('Eval-Après action écologique'!$T$107="","",IF('Eval-Après action écologique'!J772&lt;&gt;"",'Eval-Après action écologique'!J772,"")))</f>
        <v/>
      </c>
      <c r="QF7" s="25" t="str">
        <f>IF('Eval-Après action écologique'!$T$107=0,"",IF('Eval-Après action écologique'!$T$107="","",IF('Eval-Après action écologique'!K772&lt;&gt;"",'Eval-Après action écologique'!K772,"")))</f>
        <v/>
      </c>
      <c r="QG7" s="25" t="str">
        <f>IF('Eval-Après action écologique'!$T$107=0,"",IF('Eval-Après action écologique'!$T$107="","",IF('Eval-Après action écologique'!L772&lt;&gt;"",'Eval-Après action écologique'!L772,"")))</f>
        <v/>
      </c>
      <c r="QH7" s="25" t="str">
        <f>IF('Eval-Après action écologique'!$T$107=0,"",IF('Eval-Après action écologique'!$T$107="","",IF('Eval-Après action écologique'!M772&lt;&gt;"",'Eval-Après action écologique'!M772,"")))</f>
        <v/>
      </c>
      <c r="QI7" s="25" t="str">
        <f>IF('Eval-Après action écologique'!$T$107=0,"",IF('Eval-Après action écologique'!$T$107="","",IF('Eval-Après action écologique'!N772&lt;&gt;"",'Eval-Après action écologique'!N772,"")))</f>
        <v/>
      </c>
      <c r="QJ7" s="25" t="str">
        <f>IF('Eval-Après action écologique'!$T$107=0,"",IF('Eval-Après action écologique'!$T$107="","",IF('Eval-Après action écologique'!O772&lt;&gt;"",'Eval-Après action écologique'!O772,"")))</f>
        <v/>
      </c>
      <c r="QK7" s="25" t="str">
        <f>IF('Eval-Après action écologique'!$T$107=0,"",IF('Eval-Après action écologique'!$T$107="","",IF('Eval-Après action écologique'!P772&lt;&gt;"",'Eval-Après action écologique'!P772,"")))</f>
        <v/>
      </c>
      <c r="QL7" s="25" t="str">
        <f>IF('Eval-Après action écologique'!$T$107=0,"",IF('Eval-Après action écologique'!$T$107="","",IF('Eval-Après action écologique'!Q772&lt;&gt;"",'Eval-Après action écologique'!Q772,"")))</f>
        <v/>
      </c>
      <c r="QM7" s="25" t="str">
        <f>IF('Eval-Après action écologique'!$T$107=0,"",IF('Eval-Après action écologique'!$T$107="","",IF('Eval-Après action écologique'!R772&lt;&gt;"",'Eval-Après action écologique'!R772,"")))</f>
        <v/>
      </c>
      <c r="QN7" s="25" t="str">
        <f>IF('Eval-Après action écologique'!$T$107=0,"",IF('Eval-Après action écologique'!$T$107="","",IF('Eval-Après action écologique'!S772&lt;&gt;"",'Eval-Après action écologique'!S772,"")))</f>
        <v/>
      </c>
      <c r="QO7" s="25" t="str">
        <f>IF('Eval-Après action écologique'!$T$107=0,"",IF('Eval-Après action écologique'!$T$107="","",IF('Eval-Après action écologique'!T772&lt;&gt;"",'Eval-Après action écologique'!T772,"")))</f>
        <v/>
      </c>
      <c r="QP7" s="25" t="str">
        <f>IF('Eval-Après action écologique'!$T$107=0,"",IF('Eval-Après action écologique'!$T$107="","",IF('Eval-Après action écologique'!U772&lt;&gt;"",'Eval-Après action écologique'!U772,"")))</f>
        <v/>
      </c>
      <c r="QQ7" s="25" t="str">
        <f>IF('Eval-Après action écologique'!$T$107=0,"",IF('Eval-Après action écologique'!$T$107="","",IF('Eval-Après action écologique'!V772&lt;&gt;"",'Eval-Après action écologique'!V772,"")))</f>
        <v/>
      </c>
      <c r="QR7" s="25" t="str">
        <f>IF('Eval-Après action écologique'!$T$107=0,"",IF('Eval-Après action écologique'!$T$107="","",IF('Eval-Après action écologique'!W772&lt;&gt;"",'Eval-Après action écologique'!W772,"")))</f>
        <v/>
      </c>
      <c r="QS7" s="25" t="str">
        <f>IF('Eval-Après action écologique'!$T$107=0,"",IF('Eval-Après action écologique'!$T$107="","",IF('Eval-Après action écologique'!X772&lt;&gt;"",'Eval-Après action écologique'!X772,"")))</f>
        <v/>
      </c>
      <c r="QT7" s="25" t="str">
        <f>IF('Eval-Après action écologique'!$T$107=0,"",IF('Eval-Après action écologique'!$T$107="","",IF('Eval-Après action écologique'!Y772&lt;&gt;"",'Eval-Après action écologique'!Y772,"")))</f>
        <v/>
      </c>
      <c r="QU7" s="25" t="str">
        <f>IF('Eval-Après action écologique'!$T$107=0,"",IF('Eval-Après action écologique'!$T$107="","",IF('Eval-Après action écologique'!A773&lt;&gt;"",'Eval-Après action écologique'!A773,"")))</f>
        <v/>
      </c>
      <c r="QV7" s="25" t="str">
        <f>IF('Eval-Après action écologique'!$T$107=0,"",IF('Eval-Après action écologique'!$T$107="","",IF('Eval-Après action écologique'!B773&lt;&gt;"",'Eval-Après action écologique'!B773,"")))</f>
        <v/>
      </c>
      <c r="QW7" s="25" t="str">
        <f>IF('Eval-Après action écologique'!$T$107=0,"",IF('Eval-Après action écologique'!$T$107="","",IF('Eval-Après action écologique'!C773&lt;&gt;"",'Eval-Après action écologique'!C773,"")))</f>
        <v/>
      </c>
      <c r="QX7" s="25" t="str">
        <f>IF('Eval-Après action écologique'!$T$107=0,"",IF('Eval-Après action écologique'!$T$107="","",IF('Eval-Après action écologique'!E773&lt;&gt;"",'Eval-Après action écologique'!E773,"")))</f>
        <v/>
      </c>
      <c r="QY7" s="25" t="str">
        <f>IF('Eval-Après action écologique'!$T$107=0,"",IF('Eval-Après action écologique'!$T$107="","",IF('Eval-Après action écologique'!G773&lt;&gt;"",'Eval-Après action écologique'!G773,"")))</f>
        <v/>
      </c>
      <c r="QZ7" s="25" t="str">
        <f>IF('Eval-Après action écologique'!$T$107=0,"",IF('Eval-Après action écologique'!$T$107="","",IF('Eval-Après action écologique'!H773&lt;&gt;"",'Eval-Après action écologique'!H773,"")))</f>
        <v/>
      </c>
      <c r="RA7" s="25" t="str">
        <f>IF('Eval-Après action écologique'!$T$107=0,"",IF('Eval-Après action écologique'!$T$107="","",IF('Eval-Après action écologique'!I773&lt;&gt;"",'Eval-Après action écologique'!I773,"")))</f>
        <v/>
      </c>
      <c r="RB7" s="25" t="str">
        <f>IF('Eval-Après action écologique'!$T$107=0,"",IF('Eval-Après action écologique'!$T$107="","",IF('Eval-Après action écologique'!J773&lt;&gt;"",'Eval-Après action écologique'!J773,"")))</f>
        <v/>
      </c>
      <c r="RC7" s="25" t="str">
        <f>IF('Eval-Après action écologique'!$T$107=0,"",IF('Eval-Après action écologique'!$T$107="","",IF('Eval-Après action écologique'!K773&lt;&gt;"",'Eval-Après action écologique'!K773,"")))</f>
        <v/>
      </c>
      <c r="RD7" s="25" t="str">
        <f>IF('Eval-Après action écologique'!$T$107=0,"",IF('Eval-Après action écologique'!$T$107="","",IF('Eval-Après action écologique'!L773&lt;&gt;"",'Eval-Après action écologique'!L773,"")))</f>
        <v/>
      </c>
      <c r="RE7" s="25" t="str">
        <f>IF('Eval-Après action écologique'!$T$107=0,"",IF('Eval-Après action écologique'!$T$107="","",IF('Eval-Après action écologique'!M773&lt;&gt;"",'Eval-Après action écologique'!M773,"")))</f>
        <v/>
      </c>
      <c r="RF7" s="25" t="str">
        <f>IF('Eval-Après action écologique'!$T$107=0,"",IF('Eval-Après action écologique'!$T$107="","",IF('Eval-Après action écologique'!N773&lt;&gt;"",'Eval-Après action écologique'!N773,"")))</f>
        <v/>
      </c>
      <c r="RG7" s="25" t="str">
        <f>IF('Eval-Après action écologique'!$T$107=0,"",IF('Eval-Après action écologique'!$T$107="","",IF('Eval-Après action écologique'!O773&lt;&gt;"",'Eval-Après action écologique'!O773,"")))</f>
        <v/>
      </c>
      <c r="RH7" s="25" t="str">
        <f>IF('Eval-Après action écologique'!$T$107=0,"",IF('Eval-Après action écologique'!$T$107="","",IF('Eval-Après action écologique'!P773&lt;&gt;"",'Eval-Après action écologique'!P773,"")))</f>
        <v/>
      </c>
      <c r="RI7" s="25" t="str">
        <f>IF('Eval-Après action écologique'!$T$107=0,"",IF('Eval-Après action écologique'!$T$107="","",IF('Eval-Après action écologique'!Q773&lt;&gt;"",'Eval-Après action écologique'!Q773,"")))</f>
        <v/>
      </c>
      <c r="RJ7" s="25" t="str">
        <f>IF('Eval-Après action écologique'!$T$107=0,"",IF('Eval-Après action écologique'!$T$107="","",IF('Eval-Après action écologique'!R773&lt;&gt;"",'Eval-Après action écologique'!R773,"")))</f>
        <v/>
      </c>
      <c r="RK7" s="25" t="str">
        <f>IF('Eval-Après action écologique'!$T$107=0,"",IF('Eval-Après action écologique'!$T$107="","",IF('Eval-Après action écologique'!S773&lt;&gt;"",'Eval-Après action écologique'!S773,"")))</f>
        <v/>
      </c>
      <c r="RL7" s="25" t="str">
        <f>IF('Eval-Après action écologique'!$T$107=0,"",IF('Eval-Après action écologique'!$T$107="","",IF('Eval-Après action écologique'!T773&lt;&gt;"",'Eval-Après action écologique'!T773,"")))</f>
        <v/>
      </c>
      <c r="RM7" s="25" t="str">
        <f>IF('Eval-Après action écologique'!$T$107=0,"",IF('Eval-Après action écologique'!$T$107="","",IF('Eval-Après action écologique'!U773&lt;&gt;"",'Eval-Après action écologique'!U773,"")))</f>
        <v/>
      </c>
      <c r="RN7" s="25" t="str">
        <f>IF('Eval-Après action écologique'!$T$107=0,"",IF('Eval-Après action écologique'!$T$107="","",IF('Eval-Après action écologique'!V773&lt;&gt;"",'Eval-Après action écologique'!V773,"")))</f>
        <v/>
      </c>
      <c r="RO7" s="25" t="str">
        <f>IF('Eval-Après action écologique'!$T$107=0,"",IF('Eval-Après action écologique'!$T$107="","",IF('Eval-Après action écologique'!W773&lt;&gt;"",'Eval-Après action écologique'!W773,"")))</f>
        <v/>
      </c>
      <c r="RP7" s="25" t="str">
        <f>IF('Eval-Après action écologique'!$T$107=0,"",IF('Eval-Après action écologique'!$T$107="","",IF('Eval-Après action écologique'!X773&lt;&gt;"",'Eval-Après action écologique'!X773,"")))</f>
        <v/>
      </c>
      <c r="RQ7" s="25" t="str">
        <f>IF('Eval-Après action écologique'!$T$107=0,"",IF('Eval-Après action écologique'!$T$107="","",IF('Eval-Après action écologique'!Y773&lt;&gt;"",'Eval-Après action écologique'!Y773,"")))</f>
        <v/>
      </c>
      <c r="RR7" s="25" t="str">
        <f>IF('Eval-Après action écologique'!$T$107=0,"",IF('Eval-Après action écologique'!$T$107="","",IF('Eval-Après action écologique'!A774&lt;&gt;"",'Eval-Après action écologique'!A774,"")))</f>
        <v/>
      </c>
      <c r="RS7" s="25" t="str">
        <f>IF('Eval-Après action écologique'!$T$107=0,"",IF('Eval-Après action écologique'!$T$107="","",IF('Eval-Après action écologique'!B774&lt;&gt;"",'Eval-Après action écologique'!B774,"")))</f>
        <v/>
      </c>
      <c r="RT7" s="25" t="str">
        <f>IF('Eval-Après action écologique'!$T$107=0,"",IF('Eval-Après action écologique'!$T$107="","",IF('Eval-Après action écologique'!C774&lt;&gt;"",'Eval-Après action écologique'!C774,"")))</f>
        <v/>
      </c>
      <c r="RU7" s="25" t="str">
        <f>IF('Eval-Après action écologique'!$T$107=0,"",IF('Eval-Après action écologique'!$T$107="","",IF('Eval-Après action écologique'!E774&lt;&gt;"",'Eval-Après action écologique'!E774,"")))</f>
        <v/>
      </c>
      <c r="RV7" s="25" t="str">
        <f>IF('Eval-Après action écologique'!$T$107=0,"",IF('Eval-Après action écologique'!$T$107="","",IF('Eval-Après action écologique'!G774&lt;&gt;"",'Eval-Après action écologique'!G774,"")))</f>
        <v/>
      </c>
      <c r="RW7" s="25" t="str">
        <f>IF('Eval-Après action écologique'!$T$107=0,"",IF('Eval-Après action écologique'!$T$107="","",IF('Eval-Après action écologique'!H774&lt;&gt;"",'Eval-Après action écologique'!H774,"")))</f>
        <v/>
      </c>
      <c r="RX7" s="25" t="str">
        <f>IF('Eval-Après action écologique'!$T$107=0,"",IF('Eval-Après action écologique'!$T$107="","",IF('Eval-Après action écologique'!I774&lt;&gt;"",'Eval-Après action écologique'!I774,"")))</f>
        <v/>
      </c>
      <c r="RY7" s="25" t="str">
        <f>IF('Eval-Après action écologique'!$T$107=0,"",IF('Eval-Après action écologique'!$T$107="","",IF('Eval-Après action écologique'!J774&lt;&gt;"",'Eval-Après action écologique'!J774,"")))</f>
        <v/>
      </c>
      <c r="RZ7" s="25" t="str">
        <f>IF('Eval-Après action écologique'!$T$107=0,"",IF('Eval-Après action écologique'!$T$107="","",IF('Eval-Après action écologique'!K774&lt;&gt;"",'Eval-Après action écologique'!K774,"")))</f>
        <v/>
      </c>
      <c r="SA7" s="25" t="str">
        <f>IF('Eval-Après action écologique'!$T$107=0,"",IF('Eval-Après action écologique'!$T$107="","",IF('Eval-Après action écologique'!L774&lt;&gt;"",'Eval-Après action écologique'!L774,"")))</f>
        <v/>
      </c>
      <c r="SB7" s="25" t="str">
        <f>IF('Eval-Après action écologique'!$T$107=0,"",IF('Eval-Après action écologique'!$T$107="","",IF('Eval-Après action écologique'!M774&lt;&gt;"",'Eval-Après action écologique'!M774,"")))</f>
        <v/>
      </c>
      <c r="SC7" s="25" t="str">
        <f>IF('Eval-Après action écologique'!$T$107=0,"",IF('Eval-Après action écologique'!$T$107="","",IF('Eval-Après action écologique'!N774&lt;&gt;"",'Eval-Après action écologique'!N774,"")))</f>
        <v/>
      </c>
      <c r="SD7" s="25" t="str">
        <f>IF('Eval-Après action écologique'!$T$107=0,"",IF('Eval-Après action écologique'!$T$107="","",IF('Eval-Après action écologique'!O774&lt;&gt;"",'Eval-Après action écologique'!O774,"")))</f>
        <v/>
      </c>
      <c r="SE7" s="25" t="str">
        <f>IF('Eval-Après action écologique'!$T$107=0,"",IF('Eval-Après action écologique'!$T$107="","",IF('Eval-Après action écologique'!P774&lt;&gt;"",'Eval-Après action écologique'!P774,"")))</f>
        <v/>
      </c>
      <c r="SF7" s="25" t="str">
        <f>IF('Eval-Après action écologique'!$T$107=0,"",IF('Eval-Après action écologique'!$T$107="","",IF('Eval-Après action écologique'!Q774&lt;&gt;"",'Eval-Après action écologique'!Q774,"")))</f>
        <v/>
      </c>
      <c r="SG7" s="25" t="str">
        <f>IF('Eval-Après action écologique'!$T$107=0,"",IF('Eval-Après action écologique'!$T$107="","",IF('Eval-Après action écologique'!R774&lt;&gt;"",'Eval-Après action écologique'!R774,"")))</f>
        <v/>
      </c>
      <c r="SH7" s="25" t="str">
        <f>IF('Eval-Après action écologique'!$T$107=0,"",IF('Eval-Après action écologique'!$T$107="","",IF('Eval-Après action écologique'!S774&lt;&gt;"",'Eval-Après action écologique'!S774,"")))</f>
        <v/>
      </c>
      <c r="SI7" s="25" t="str">
        <f>IF('Eval-Après action écologique'!$T$107=0,"",IF('Eval-Après action écologique'!$T$107="","",IF('Eval-Après action écologique'!T774&lt;&gt;"",'Eval-Après action écologique'!T774,"")))</f>
        <v/>
      </c>
      <c r="SJ7" s="25" t="str">
        <f>IF('Eval-Après action écologique'!$T$107=0,"",IF('Eval-Après action écologique'!$T$107="","",IF('Eval-Après action écologique'!U774&lt;&gt;"",'Eval-Après action écologique'!U774,"")))</f>
        <v/>
      </c>
      <c r="SK7" s="25" t="str">
        <f>IF('Eval-Après action écologique'!$T$107=0,"",IF('Eval-Après action écologique'!$T$107="","",IF('Eval-Après action écologique'!V774&lt;&gt;"",'Eval-Après action écologique'!V774,"")))</f>
        <v/>
      </c>
      <c r="SL7" s="25" t="str">
        <f>IF('Eval-Après action écologique'!$T$107=0,"",IF('Eval-Après action écologique'!$T$107="","",IF('Eval-Après action écologique'!W774&lt;&gt;"",'Eval-Après action écologique'!W774,"")))</f>
        <v/>
      </c>
      <c r="SM7" s="25" t="str">
        <f>IF('Eval-Après action écologique'!$T$107=0,"",IF('Eval-Après action écologique'!$T$107="","",IF('Eval-Après action écologique'!X774&lt;&gt;"",'Eval-Après action écologique'!X774,"")))</f>
        <v/>
      </c>
      <c r="SN7" s="25" t="str">
        <f>IF('Eval-Après action écologique'!$T$107=0,"",IF('Eval-Après action écologique'!$T$107="","",IF('Eval-Après action écologique'!Y774&lt;&gt;"",'Eval-Après action écologique'!Y774,"")))</f>
        <v/>
      </c>
      <c r="SO7" s="25" t="str">
        <f>IF('Eval-Après action écologique'!$T$107=0,"",IF('Eval-Après action écologique'!$T$107="","",IF('Eval-Après action écologique'!A775&lt;&gt;"",'Eval-Après action écologique'!A775,"")))</f>
        <v/>
      </c>
      <c r="SP7" s="25" t="str">
        <f>IF('Eval-Après action écologique'!$T$107=0,"",IF('Eval-Après action écologique'!$T$107="","",IF('Eval-Après action écologique'!B775&lt;&gt;"",'Eval-Après action écologique'!B775,"")))</f>
        <v/>
      </c>
      <c r="SQ7" s="25" t="str">
        <f>IF('Eval-Après action écologique'!$T$107=0,"",IF('Eval-Après action écologique'!$T$107="","",IF('Eval-Après action écologique'!C775&lt;&gt;"",'Eval-Après action écologique'!C775,"")))</f>
        <v/>
      </c>
      <c r="SR7" s="25" t="str">
        <f>IF('Eval-Après action écologique'!$T$107=0,"",IF('Eval-Après action écologique'!$T$107="","",IF('Eval-Après action écologique'!E775&lt;&gt;"",'Eval-Après action écologique'!E775,"")))</f>
        <v/>
      </c>
      <c r="SS7" s="25" t="str">
        <f>IF('Eval-Après action écologique'!$T$107=0,"",IF('Eval-Après action écologique'!$T$107="","",IF('Eval-Après action écologique'!G775&lt;&gt;"",'Eval-Après action écologique'!G775,"")))</f>
        <v/>
      </c>
      <c r="ST7" s="25" t="str">
        <f>IF('Eval-Après action écologique'!$T$107=0,"",IF('Eval-Après action écologique'!$T$107="","",IF('Eval-Après action écologique'!H775&lt;&gt;"",'Eval-Après action écologique'!H775,"")))</f>
        <v/>
      </c>
      <c r="SU7" s="25" t="str">
        <f>IF('Eval-Après action écologique'!$T$107=0,"",IF('Eval-Après action écologique'!$T$107="","",IF('Eval-Après action écologique'!I775&lt;&gt;"",'Eval-Après action écologique'!I775,"")))</f>
        <v/>
      </c>
      <c r="SV7" s="25" t="str">
        <f>IF('Eval-Après action écologique'!$T$107=0,"",IF('Eval-Après action écologique'!$T$107="","",IF('Eval-Après action écologique'!J775&lt;&gt;"",'Eval-Après action écologique'!J775,"")))</f>
        <v/>
      </c>
      <c r="SW7" s="25" t="str">
        <f>IF('Eval-Après action écologique'!$T$107=0,"",IF('Eval-Après action écologique'!$T$107="","",IF('Eval-Après action écologique'!K775&lt;&gt;"",'Eval-Après action écologique'!K775,"")))</f>
        <v/>
      </c>
      <c r="SX7" s="25" t="str">
        <f>IF('Eval-Après action écologique'!$T$107=0,"",IF('Eval-Après action écologique'!$T$107="","",IF('Eval-Après action écologique'!L775&lt;&gt;"",'Eval-Après action écologique'!L775,"")))</f>
        <v/>
      </c>
      <c r="SY7" s="25" t="str">
        <f>IF('Eval-Après action écologique'!$T$107=0,"",IF('Eval-Après action écologique'!$T$107="","",IF('Eval-Après action écologique'!M775&lt;&gt;"",'Eval-Après action écologique'!M775,"")))</f>
        <v/>
      </c>
      <c r="SZ7" s="25" t="str">
        <f>IF('Eval-Après action écologique'!$T$107=0,"",IF('Eval-Après action écologique'!$T$107="","",IF('Eval-Après action écologique'!N775&lt;&gt;"",'Eval-Après action écologique'!N775,"")))</f>
        <v/>
      </c>
      <c r="TA7" s="25" t="str">
        <f>IF('Eval-Après action écologique'!$T$107=0,"",IF('Eval-Après action écologique'!$T$107="","",IF('Eval-Après action écologique'!O775&lt;&gt;"",'Eval-Après action écologique'!O775,"")))</f>
        <v/>
      </c>
      <c r="TB7" s="25" t="str">
        <f>IF('Eval-Après action écologique'!$T$107=0,"",IF('Eval-Après action écologique'!$T$107="","",IF('Eval-Après action écologique'!P775&lt;&gt;"",'Eval-Après action écologique'!P775,"")))</f>
        <v/>
      </c>
      <c r="TC7" s="25" t="str">
        <f>IF('Eval-Après action écologique'!$T$107=0,"",IF('Eval-Après action écologique'!$T$107="","",IF('Eval-Après action écologique'!Q775&lt;&gt;"",'Eval-Après action écologique'!Q775,"")))</f>
        <v/>
      </c>
      <c r="TD7" s="25" t="str">
        <f>IF('Eval-Après action écologique'!$T$107=0,"",IF('Eval-Après action écologique'!$T$107="","",IF('Eval-Après action écologique'!R775&lt;&gt;"",'Eval-Après action écologique'!R775,"")))</f>
        <v/>
      </c>
      <c r="TE7" s="25" t="str">
        <f>IF('Eval-Après action écologique'!$T$107=0,"",IF('Eval-Après action écologique'!$T$107="","",IF('Eval-Après action écologique'!S775&lt;&gt;"",'Eval-Après action écologique'!S775,"")))</f>
        <v/>
      </c>
      <c r="TF7" s="25" t="str">
        <f>IF('Eval-Après action écologique'!$T$107=0,"",IF('Eval-Après action écologique'!$T$107="","",IF('Eval-Après action écologique'!T775&lt;&gt;"",'Eval-Après action écologique'!T775,"")))</f>
        <v/>
      </c>
      <c r="TG7" s="25" t="str">
        <f>IF('Eval-Après action écologique'!$T$107=0,"",IF('Eval-Après action écologique'!$T$107="","",IF('Eval-Après action écologique'!U775&lt;&gt;"",'Eval-Après action écologique'!U775,"")))</f>
        <v/>
      </c>
      <c r="TH7" s="25" t="str">
        <f>IF('Eval-Après action écologique'!$T$107=0,"",IF('Eval-Après action écologique'!$T$107="","",IF('Eval-Après action écologique'!V775&lt;&gt;"",'Eval-Après action écologique'!V775,"")))</f>
        <v/>
      </c>
      <c r="TI7" s="25" t="str">
        <f>IF('Eval-Après action écologique'!$T$107=0,"",IF('Eval-Après action écologique'!$T$107="","",IF('Eval-Après action écologique'!W775&lt;&gt;"",'Eval-Après action écologique'!W775,"")))</f>
        <v/>
      </c>
      <c r="TJ7" s="25" t="str">
        <f>IF('Eval-Après action écologique'!$T$107=0,"",IF('Eval-Après action écologique'!$T$107="","",IF('Eval-Après action écologique'!X775&lt;&gt;"",'Eval-Après action écologique'!X775,"")))</f>
        <v/>
      </c>
      <c r="TK7" s="25" t="str">
        <f>IF('Eval-Après action écologique'!$T$107=0,"",IF('Eval-Après action écologique'!$T$107="","",IF('Eval-Après action écologique'!Y775&lt;&gt;"",'Eval-Après action écologique'!Y775,"")))</f>
        <v/>
      </c>
      <c r="TL7" s="25" t="str">
        <f>IF('Eval-Après action écologique'!$T$107=0,"",IF('Eval-Après action écologique'!$T$107="","",IF('Eval-Après action écologique'!A776&lt;&gt;"",'Eval-Après action écologique'!A776,"")))</f>
        <v/>
      </c>
      <c r="TM7" s="25" t="str">
        <f>IF('Eval-Après action écologique'!$T$107=0,"",IF('Eval-Après action écologique'!$T$107="","",IF('Eval-Après action écologique'!B776&lt;&gt;"",'Eval-Après action écologique'!B776,"")))</f>
        <v/>
      </c>
      <c r="TN7" s="25" t="str">
        <f>IF('Eval-Après action écologique'!$T$107=0,"",IF('Eval-Après action écologique'!$T$107="","",IF('Eval-Après action écologique'!C776&lt;&gt;"",'Eval-Après action écologique'!C776,"")))</f>
        <v/>
      </c>
      <c r="TO7" s="25" t="str">
        <f>IF('Eval-Après action écologique'!$T$107=0,"",IF('Eval-Après action écologique'!$T$107="","",IF('Eval-Après action écologique'!E776&lt;&gt;"",'Eval-Après action écologique'!E776,"")))</f>
        <v/>
      </c>
      <c r="TP7" s="25" t="str">
        <f>IF('Eval-Après action écologique'!$T$107=0,"",IF('Eval-Après action écologique'!$T$107="","",IF('Eval-Après action écologique'!G776&lt;&gt;"",'Eval-Après action écologique'!G776,"")))</f>
        <v/>
      </c>
      <c r="TQ7" s="25" t="str">
        <f>IF('Eval-Après action écologique'!$T$107=0,"",IF('Eval-Après action écologique'!$T$107="","",IF('Eval-Après action écologique'!H776&lt;&gt;"",'Eval-Après action écologique'!H776,"")))</f>
        <v/>
      </c>
      <c r="TR7" s="25" t="str">
        <f>IF('Eval-Après action écologique'!$T$107=0,"",IF('Eval-Après action écologique'!$T$107="","",IF('Eval-Après action écologique'!I776&lt;&gt;"",'Eval-Après action écologique'!I776,"")))</f>
        <v/>
      </c>
      <c r="TS7" s="25" t="str">
        <f>IF('Eval-Après action écologique'!$T$107=0,"",IF('Eval-Après action écologique'!$T$107="","",IF('Eval-Après action écologique'!J776&lt;&gt;"",'Eval-Après action écologique'!J776,"")))</f>
        <v/>
      </c>
      <c r="TT7" s="25" t="str">
        <f>IF('Eval-Après action écologique'!$T$107=0,"",IF('Eval-Après action écologique'!$T$107="","",IF('Eval-Après action écologique'!K776&lt;&gt;"",'Eval-Après action écologique'!K776,"")))</f>
        <v/>
      </c>
      <c r="TU7" s="25" t="str">
        <f>IF('Eval-Après action écologique'!$T$107=0,"",IF('Eval-Après action écologique'!$T$107="","",IF('Eval-Après action écologique'!L776&lt;&gt;"",'Eval-Après action écologique'!L776,"")))</f>
        <v/>
      </c>
      <c r="TV7" s="25" t="str">
        <f>IF('Eval-Après action écologique'!$T$107=0,"",IF('Eval-Après action écologique'!$T$107="","",IF('Eval-Après action écologique'!M776&lt;&gt;"",'Eval-Après action écologique'!M776,"")))</f>
        <v/>
      </c>
      <c r="TW7" s="25" t="str">
        <f>IF('Eval-Après action écologique'!$T$107=0,"",IF('Eval-Après action écologique'!$T$107="","",IF('Eval-Après action écologique'!N776&lt;&gt;"",'Eval-Après action écologique'!N776,"")))</f>
        <v/>
      </c>
      <c r="TX7" s="25" t="str">
        <f>IF('Eval-Après action écologique'!$T$107=0,"",IF('Eval-Après action écologique'!$T$107="","",IF('Eval-Après action écologique'!O776&lt;&gt;"",'Eval-Après action écologique'!O776,"")))</f>
        <v/>
      </c>
      <c r="TY7" s="25" t="str">
        <f>IF('Eval-Après action écologique'!$T$107=0,"",IF('Eval-Après action écologique'!$T$107="","",IF('Eval-Après action écologique'!P776&lt;&gt;"",'Eval-Après action écologique'!P776,"")))</f>
        <v/>
      </c>
      <c r="TZ7" s="25" t="str">
        <f>IF('Eval-Après action écologique'!$T$107=0,"",IF('Eval-Après action écologique'!$T$107="","",IF('Eval-Après action écologique'!Q776&lt;&gt;"",'Eval-Après action écologique'!Q776,"")))</f>
        <v/>
      </c>
      <c r="UA7" s="25" t="str">
        <f>IF('Eval-Après action écologique'!$T$107=0,"",IF('Eval-Après action écologique'!$T$107="","",IF('Eval-Après action écologique'!R776&lt;&gt;"",'Eval-Après action écologique'!R776,"")))</f>
        <v/>
      </c>
      <c r="UB7" s="25" t="str">
        <f>IF('Eval-Après action écologique'!$T$107=0,"",IF('Eval-Après action écologique'!$T$107="","",IF('Eval-Après action écologique'!S776&lt;&gt;"",'Eval-Après action écologique'!S776,"")))</f>
        <v/>
      </c>
      <c r="UC7" s="25" t="str">
        <f>IF('Eval-Après action écologique'!$T$107=0,"",IF('Eval-Après action écologique'!$T$107="","",IF('Eval-Après action écologique'!T776&lt;&gt;"",'Eval-Après action écologique'!T776,"")))</f>
        <v/>
      </c>
      <c r="UD7" s="25" t="str">
        <f>IF('Eval-Après action écologique'!$T$107=0,"",IF('Eval-Après action écologique'!$T$107="","",IF('Eval-Après action écologique'!U776&lt;&gt;"",'Eval-Après action écologique'!U776,"")))</f>
        <v/>
      </c>
      <c r="UE7" s="25" t="str">
        <f>IF('Eval-Après action écologique'!$T$107=0,"",IF('Eval-Après action écologique'!$T$107="","",IF('Eval-Après action écologique'!V776&lt;&gt;"",'Eval-Après action écologique'!V776,"")))</f>
        <v/>
      </c>
      <c r="UF7" s="25" t="str">
        <f>IF('Eval-Après action écologique'!$T$107=0,"",IF('Eval-Après action écologique'!$T$107="","",IF('Eval-Après action écologique'!W776&lt;&gt;"",'Eval-Après action écologique'!W776,"")))</f>
        <v/>
      </c>
      <c r="UG7" s="25" t="str">
        <f>IF('Eval-Après action écologique'!$T$107=0,"",IF('Eval-Après action écologique'!$T$107="","",IF('Eval-Après action écologique'!X776&lt;&gt;"",'Eval-Après action écologique'!X776,"")))</f>
        <v/>
      </c>
      <c r="UH7" s="25" t="str">
        <f>IF('Eval-Après action écologique'!$T$107=0,"",IF('Eval-Après action écologique'!$T$107="","",IF('Eval-Après action écologique'!Y776&lt;&gt;"",'Eval-Après action écologique'!Y776,"")))</f>
        <v/>
      </c>
      <c r="UI7" s="25" t="str">
        <f>IF('Eval-Après action écologique'!$T$107=0,"",IF('Eval-Après action écologique'!$T$107="","",IF('Eval-Après action écologique'!A777&lt;&gt;"",'Eval-Après action écologique'!A777,"")))</f>
        <v/>
      </c>
      <c r="UJ7" s="25" t="str">
        <f>IF('Eval-Après action écologique'!$T$107=0,"",IF('Eval-Après action écologique'!$T$107="","",IF('Eval-Après action écologique'!B777&lt;&gt;"",'Eval-Après action écologique'!B777,"")))</f>
        <v/>
      </c>
      <c r="UK7" s="25" t="str">
        <f>IF('Eval-Après action écologique'!$T$107=0,"",IF('Eval-Après action écologique'!$T$107="","",IF('Eval-Après action écologique'!C777&lt;&gt;"",'Eval-Après action écologique'!C777,"")))</f>
        <v/>
      </c>
      <c r="UL7" s="25" t="str">
        <f>IF('Eval-Après action écologique'!$T$107=0,"",IF('Eval-Après action écologique'!$T$107="","",IF('Eval-Après action écologique'!E777&lt;&gt;"",'Eval-Après action écologique'!E777,"")))</f>
        <v/>
      </c>
      <c r="UM7" s="25" t="str">
        <f>IF('Eval-Après action écologique'!$T$107=0,"",IF('Eval-Après action écologique'!$T$107="","",IF('Eval-Après action écologique'!G777&lt;&gt;"",'Eval-Après action écologique'!G777,"")))</f>
        <v/>
      </c>
      <c r="UN7" s="25" t="str">
        <f>IF('Eval-Après action écologique'!$T$107=0,"",IF('Eval-Après action écologique'!$T$107="","",IF('Eval-Après action écologique'!H777&lt;&gt;"",'Eval-Après action écologique'!H777,"")))</f>
        <v/>
      </c>
      <c r="UO7" s="25" t="str">
        <f>IF('Eval-Après action écologique'!$T$107=0,"",IF('Eval-Après action écologique'!$T$107="","",IF('Eval-Après action écologique'!I777&lt;&gt;"",'Eval-Après action écologique'!I777,"")))</f>
        <v/>
      </c>
      <c r="UP7" s="25" t="str">
        <f>IF('Eval-Après action écologique'!$T$107=0,"",IF('Eval-Après action écologique'!$T$107="","",IF('Eval-Après action écologique'!J777&lt;&gt;"",'Eval-Après action écologique'!J777,"")))</f>
        <v/>
      </c>
      <c r="UQ7" s="25" t="str">
        <f>IF('Eval-Après action écologique'!$T$107=0,"",IF('Eval-Après action écologique'!$T$107="","",IF('Eval-Après action écologique'!K777&lt;&gt;"",'Eval-Après action écologique'!K777,"")))</f>
        <v/>
      </c>
      <c r="UR7" s="25" t="str">
        <f>IF('Eval-Après action écologique'!$T$107=0,"",IF('Eval-Après action écologique'!$T$107="","",IF('Eval-Après action écologique'!L777&lt;&gt;"",'Eval-Après action écologique'!L777,"")))</f>
        <v/>
      </c>
      <c r="US7" s="25" t="str">
        <f>IF('Eval-Après action écologique'!$T$107=0,"",IF('Eval-Après action écologique'!$T$107="","",IF('Eval-Après action écologique'!M777&lt;&gt;"",'Eval-Après action écologique'!M777,"")))</f>
        <v/>
      </c>
      <c r="UT7" s="25" t="str">
        <f>IF('Eval-Après action écologique'!$T$107=0,"",IF('Eval-Après action écologique'!$T$107="","",IF('Eval-Après action écologique'!N777&lt;&gt;"",'Eval-Après action écologique'!N777,"")))</f>
        <v/>
      </c>
      <c r="UU7" s="25" t="str">
        <f>IF('Eval-Après action écologique'!$T$107=0,"",IF('Eval-Après action écologique'!$T$107="","",IF('Eval-Après action écologique'!O777&lt;&gt;"",'Eval-Après action écologique'!O777,"")))</f>
        <v/>
      </c>
      <c r="UV7" s="25" t="str">
        <f>IF('Eval-Après action écologique'!$T$107=0,"",IF('Eval-Après action écologique'!$T$107="","",IF('Eval-Après action écologique'!P777&lt;&gt;"",'Eval-Après action écologique'!P777,"")))</f>
        <v/>
      </c>
      <c r="UW7" s="25" t="str">
        <f>IF('Eval-Après action écologique'!$T$107=0,"",IF('Eval-Après action écologique'!$T$107="","",IF('Eval-Après action écologique'!Q777&lt;&gt;"",'Eval-Après action écologique'!Q777,"")))</f>
        <v/>
      </c>
      <c r="UX7" s="25" t="str">
        <f>IF('Eval-Après action écologique'!$T$107=0,"",IF('Eval-Après action écologique'!$T$107="","",IF('Eval-Après action écologique'!R777&lt;&gt;"",'Eval-Après action écologique'!R777,"")))</f>
        <v/>
      </c>
      <c r="UY7" s="25" t="str">
        <f>IF('Eval-Après action écologique'!$T$107=0,"",IF('Eval-Après action écologique'!$T$107="","",IF('Eval-Après action écologique'!S777&lt;&gt;"",'Eval-Après action écologique'!S777,"")))</f>
        <v/>
      </c>
      <c r="UZ7" s="25" t="str">
        <f>IF('Eval-Après action écologique'!$T$107=0,"",IF('Eval-Après action écologique'!$T$107="","",IF('Eval-Après action écologique'!T777&lt;&gt;"",'Eval-Après action écologique'!T777,"")))</f>
        <v/>
      </c>
      <c r="VA7" s="25" t="str">
        <f>IF('Eval-Après action écologique'!$T$107=0,"",IF('Eval-Après action écologique'!$T$107="","",IF('Eval-Après action écologique'!U777&lt;&gt;"",'Eval-Après action écologique'!U777,"")))</f>
        <v/>
      </c>
      <c r="VB7" s="25" t="str">
        <f>IF('Eval-Après action écologique'!$T$107=0,"",IF('Eval-Après action écologique'!$T$107="","",IF('Eval-Après action écologique'!V777&lt;&gt;"",'Eval-Après action écologique'!V777,"")))</f>
        <v/>
      </c>
      <c r="VC7" s="25" t="str">
        <f>IF('Eval-Après action écologique'!$T$107=0,"",IF('Eval-Après action écologique'!$T$107="","",IF('Eval-Après action écologique'!W777&lt;&gt;"",'Eval-Après action écologique'!W777,"")))</f>
        <v/>
      </c>
      <c r="VD7" s="25" t="str">
        <f>IF('Eval-Après action écologique'!$T$107=0,"",IF('Eval-Après action écologique'!$T$107="","",IF('Eval-Après action écologique'!X777&lt;&gt;"",'Eval-Après action écologique'!X777,"")))</f>
        <v/>
      </c>
      <c r="VE7" s="25" t="str">
        <f>IF('Eval-Après action écologique'!$T$107=0,"",IF('Eval-Après action écologique'!$T$107="","",IF('Eval-Après action écologique'!Y777&lt;&gt;"",'Eval-Après action écologique'!Y777,"")))</f>
        <v/>
      </c>
      <c r="VF7" s="25" t="str">
        <f>IF('Eval-Après action écologique'!$T$107=0,"",IF('Eval-Après action écologique'!$T$107="","",IF('Eval-Après action écologique'!A778&lt;&gt;"",'Eval-Après action écologique'!A778,"")))</f>
        <v/>
      </c>
      <c r="VG7" s="25" t="str">
        <f>IF('Eval-Après action écologique'!$T$107=0,"",IF('Eval-Après action écologique'!$T$107="","",IF('Eval-Après action écologique'!B778&lt;&gt;"",'Eval-Après action écologique'!B778,"")))</f>
        <v/>
      </c>
      <c r="VH7" s="25" t="str">
        <f>IF('Eval-Après action écologique'!$T$107=0,"",IF('Eval-Après action écologique'!$T$107="","",IF('Eval-Après action écologique'!C778&lt;&gt;"",'Eval-Après action écologique'!C778,"")))</f>
        <v/>
      </c>
      <c r="VI7" s="25" t="str">
        <f>IF('Eval-Après action écologique'!$T$107=0,"",IF('Eval-Après action écologique'!$T$107="","",IF('Eval-Après action écologique'!E778&lt;&gt;"",'Eval-Après action écologique'!E778,"")))</f>
        <v/>
      </c>
      <c r="VJ7" s="25" t="str">
        <f>IF('Eval-Après action écologique'!$T$107=0,"",IF('Eval-Après action écologique'!$T$107="","",IF('Eval-Après action écologique'!G778&lt;&gt;"",'Eval-Après action écologique'!G778,"")))</f>
        <v/>
      </c>
      <c r="VK7" s="25" t="str">
        <f>IF('Eval-Après action écologique'!$T$107=0,"",IF('Eval-Après action écologique'!$T$107="","",IF('Eval-Après action écologique'!H778&lt;&gt;"",'Eval-Après action écologique'!H778,"")))</f>
        <v/>
      </c>
      <c r="VL7" s="25" t="str">
        <f>IF('Eval-Après action écologique'!$T$107=0,"",IF('Eval-Après action écologique'!$T$107="","",IF('Eval-Après action écologique'!I778&lt;&gt;"",'Eval-Après action écologique'!I778,"")))</f>
        <v/>
      </c>
      <c r="VM7" s="25" t="str">
        <f>IF('Eval-Après action écologique'!$T$107=0,"",IF('Eval-Après action écologique'!$T$107="","",IF('Eval-Après action écologique'!J778&lt;&gt;"",'Eval-Après action écologique'!J778,"")))</f>
        <v/>
      </c>
      <c r="VN7" s="25" t="str">
        <f>IF('Eval-Après action écologique'!$T$107=0,"",IF('Eval-Après action écologique'!$T$107="","",IF('Eval-Après action écologique'!K778&lt;&gt;"",'Eval-Après action écologique'!K778,"")))</f>
        <v/>
      </c>
      <c r="VO7" s="25" t="str">
        <f>IF('Eval-Après action écologique'!$T$107=0,"",IF('Eval-Après action écologique'!$T$107="","",IF('Eval-Après action écologique'!L778&lt;&gt;"",'Eval-Après action écologique'!L778,"")))</f>
        <v/>
      </c>
      <c r="VP7" s="25" t="str">
        <f>IF('Eval-Après action écologique'!$T$107=0,"",IF('Eval-Après action écologique'!$T$107="","",IF('Eval-Après action écologique'!M778&lt;&gt;"",'Eval-Après action écologique'!M778,"")))</f>
        <v/>
      </c>
      <c r="VQ7" s="25" t="str">
        <f>IF('Eval-Après action écologique'!$T$107=0,"",IF('Eval-Après action écologique'!$T$107="","",IF('Eval-Après action écologique'!N778&lt;&gt;"",'Eval-Après action écologique'!N778,"")))</f>
        <v/>
      </c>
      <c r="VR7" s="25" t="str">
        <f>IF('Eval-Après action écologique'!$T$107=0,"",IF('Eval-Après action écologique'!$T$107="","",IF('Eval-Après action écologique'!O778&lt;&gt;"",'Eval-Après action écologique'!O778,"")))</f>
        <v/>
      </c>
      <c r="VS7" s="25" t="str">
        <f>IF('Eval-Après action écologique'!$T$107=0,"",IF('Eval-Après action écologique'!$T$107="","",IF('Eval-Après action écologique'!P778&lt;&gt;"",'Eval-Après action écologique'!P778,"")))</f>
        <v/>
      </c>
      <c r="VT7" s="25" t="str">
        <f>IF('Eval-Après action écologique'!$T$107=0,"",IF('Eval-Après action écologique'!$T$107="","",IF('Eval-Après action écologique'!Q778&lt;&gt;"",'Eval-Après action écologique'!Q778,"")))</f>
        <v/>
      </c>
      <c r="VU7" s="25" t="str">
        <f>IF('Eval-Après action écologique'!$T$107=0,"",IF('Eval-Après action écologique'!$T$107="","",IF('Eval-Après action écologique'!R778&lt;&gt;"",'Eval-Après action écologique'!R778,"")))</f>
        <v/>
      </c>
      <c r="VV7" s="25" t="str">
        <f>IF('Eval-Après action écologique'!$T$107=0,"",IF('Eval-Après action écologique'!$T$107="","",IF('Eval-Après action écologique'!S778&lt;&gt;"",'Eval-Après action écologique'!S778,"")))</f>
        <v/>
      </c>
      <c r="VW7" s="25" t="str">
        <f>IF('Eval-Après action écologique'!$T$107=0,"",IF('Eval-Après action écologique'!$T$107="","",IF('Eval-Après action écologique'!T778&lt;&gt;"",'Eval-Après action écologique'!T778,"")))</f>
        <v/>
      </c>
      <c r="VX7" s="25" t="str">
        <f>IF('Eval-Après action écologique'!$T$107=0,"",IF('Eval-Après action écologique'!$T$107="","",IF('Eval-Après action écologique'!U778&lt;&gt;"",'Eval-Après action écologique'!U778,"")))</f>
        <v/>
      </c>
      <c r="VY7" s="25" t="str">
        <f>IF('Eval-Après action écologique'!$T$107=0,"",IF('Eval-Après action écologique'!$T$107="","",IF('Eval-Après action écologique'!V778&lt;&gt;"",'Eval-Après action écologique'!V778,"")))</f>
        <v/>
      </c>
      <c r="VZ7" s="25" t="str">
        <f>IF('Eval-Après action écologique'!$T$107=0,"",IF('Eval-Après action écologique'!$T$107="","",IF('Eval-Après action écologique'!W778&lt;&gt;"",'Eval-Après action écologique'!W778,"")))</f>
        <v/>
      </c>
      <c r="WA7" s="25" t="str">
        <f>IF('Eval-Après action écologique'!$T$107=0,"",IF('Eval-Après action écologique'!$T$107="","",IF('Eval-Après action écologique'!X778&lt;&gt;"",'Eval-Après action écologique'!X778,"")))</f>
        <v/>
      </c>
      <c r="WB7" s="25" t="str">
        <f>IF('Eval-Après action écologique'!$T$107=0,"",IF('Eval-Après action écologique'!$T$107="","",IF('Eval-Après action écologique'!Y778&lt;&gt;"",'Eval-Après action écologique'!Y778,"")))</f>
        <v/>
      </c>
      <c r="WC7" s="25" t="str">
        <f>IF('Eval-Après action écologique'!$T$107=0,"",IF('Eval-Après action écologique'!$T$107="","",IF('Eval-Après action écologique'!A779&lt;&gt;"",'Eval-Après action écologique'!A779,"")))</f>
        <v/>
      </c>
      <c r="WD7" s="25" t="str">
        <f>IF('Eval-Après action écologique'!$T$107=0,"",IF('Eval-Après action écologique'!$T$107="","",IF('Eval-Après action écologique'!B779&lt;&gt;"",'Eval-Après action écologique'!B779,"")))</f>
        <v/>
      </c>
      <c r="WE7" s="25" t="str">
        <f>IF('Eval-Après action écologique'!$T$107=0,"",IF('Eval-Après action écologique'!$T$107="","",IF('Eval-Après action écologique'!C779&lt;&gt;"",'Eval-Après action écologique'!C779,"")))</f>
        <v/>
      </c>
      <c r="WF7" s="25" t="str">
        <f>IF('Eval-Après action écologique'!$T$107=0,"",IF('Eval-Après action écologique'!$T$107="","",IF('Eval-Après action écologique'!E779&lt;&gt;"",'Eval-Après action écologique'!E779,"")))</f>
        <v/>
      </c>
      <c r="WG7" s="25" t="str">
        <f>IF('Eval-Après action écologique'!$T$107=0,"",IF('Eval-Après action écologique'!$T$107="","",IF('Eval-Après action écologique'!G779&lt;&gt;"",'Eval-Après action écologique'!G779,"")))</f>
        <v/>
      </c>
      <c r="WH7" s="25" t="str">
        <f>IF('Eval-Après action écologique'!$T$107=0,"",IF('Eval-Après action écologique'!$T$107="","",IF('Eval-Après action écologique'!H779&lt;&gt;"",'Eval-Après action écologique'!H779,"")))</f>
        <v/>
      </c>
      <c r="WI7" s="25" t="str">
        <f>IF('Eval-Après action écologique'!$T$107=0,"",IF('Eval-Après action écologique'!$T$107="","",IF('Eval-Après action écologique'!I779&lt;&gt;"",'Eval-Après action écologique'!I779,"")))</f>
        <v/>
      </c>
      <c r="WJ7" s="25" t="str">
        <f>IF('Eval-Après action écologique'!$T$107=0,"",IF('Eval-Après action écologique'!$T$107="","",IF('Eval-Après action écologique'!J779&lt;&gt;"",'Eval-Après action écologique'!J779,"")))</f>
        <v/>
      </c>
      <c r="WK7" s="25" t="str">
        <f>IF('Eval-Après action écologique'!$T$107=0,"",IF('Eval-Après action écologique'!$T$107="","",IF('Eval-Après action écologique'!K779&lt;&gt;"",'Eval-Après action écologique'!K779,"")))</f>
        <v/>
      </c>
      <c r="WL7" s="25" t="str">
        <f>IF('Eval-Après action écologique'!$T$107=0,"",IF('Eval-Après action écologique'!$T$107="","",IF('Eval-Après action écologique'!L779&lt;&gt;"",'Eval-Après action écologique'!L779,"")))</f>
        <v/>
      </c>
      <c r="WM7" s="25" t="str">
        <f>IF('Eval-Après action écologique'!$T$107=0,"",IF('Eval-Après action écologique'!$T$107="","",IF('Eval-Après action écologique'!M779&lt;&gt;"",'Eval-Après action écologique'!M779,"")))</f>
        <v/>
      </c>
      <c r="WN7" s="25" t="str">
        <f>IF('Eval-Après action écologique'!$T$107=0,"",IF('Eval-Après action écologique'!$T$107="","",IF('Eval-Après action écologique'!N779&lt;&gt;"",'Eval-Après action écologique'!N779,"")))</f>
        <v/>
      </c>
      <c r="WO7" s="25" t="str">
        <f>IF('Eval-Après action écologique'!$T$107=0,"",IF('Eval-Après action écologique'!$T$107="","",IF('Eval-Après action écologique'!O779&lt;&gt;"",'Eval-Après action écologique'!O779,"")))</f>
        <v/>
      </c>
      <c r="WP7" s="25" t="str">
        <f>IF('Eval-Après action écologique'!$T$107=0,"",IF('Eval-Après action écologique'!$T$107="","",IF('Eval-Après action écologique'!P779&lt;&gt;"",'Eval-Après action écologique'!P779,"")))</f>
        <v/>
      </c>
      <c r="WQ7" s="25" t="str">
        <f>IF('Eval-Après action écologique'!$T$107=0,"",IF('Eval-Après action écologique'!$T$107="","",IF('Eval-Après action écologique'!Q779&lt;&gt;"",'Eval-Après action écologique'!Q779,"")))</f>
        <v/>
      </c>
      <c r="WR7" s="25" t="str">
        <f>IF('Eval-Après action écologique'!$T$107=0,"",IF('Eval-Après action écologique'!$T$107="","",IF('Eval-Après action écologique'!R779&lt;&gt;"",'Eval-Après action écologique'!R779,"")))</f>
        <v/>
      </c>
      <c r="WS7" s="25" t="str">
        <f>IF('Eval-Après action écologique'!$T$107=0,"",IF('Eval-Après action écologique'!$T$107="","",IF('Eval-Après action écologique'!S779&lt;&gt;"",'Eval-Après action écologique'!S779,"")))</f>
        <v/>
      </c>
      <c r="WT7" s="25" t="str">
        <f>IF('Eval-Après action écologique'!$T$107=0,"",IF('Eval-Après action écologique'!$T$107="","",IF('Eval-Après action écologique'!T779&lt;&gt;"",'Eval-Après action écologique'!T779,"")))</f>
        <v/>
      </c>
      <c r="WU7" s="25" t="str">
        <f>IF('Eval-Après action écologique'!$T$107=0,"",IF('Eval-Après action écologique'!$T$107="","",IF('Eval-Après action écologique'!U779&lt;&gt;"",'Eval-Après action écologique'!U779,"")))</f>
        <v/>
      </c>
      <c r="WV7" s="25" t="str">
        <f>IF('Eval-Après action écologique'!$T$107=0,"",IF('Eval-Après action écologique'!$T$107="","",IF('Eval-Après action écologique'!V779&lt;&gt;"",'Eval-Après action écologique'!V779,"")))</f>
        <v/>
      </c>
      <c r="WW7" s="25" t="str">
        <f>IF('Eval-Après action écologique'!$T$107=0,"",IF('Eval-Après action écologique'!$T$107="","",IF('Eval-Après action écologique'!W779&lt;&gt;"",'Eval-Après action écologique'!W779,"")))</f>
        <v/>
      </c>
      <c r="WX7" s="25" t="str">
        <f>IF('Eval-Après action écologique'!$T$107=0,"",IF('Eval-Après action écologique'!$T$107="","",IF('Eval-Après action écologique'!X779&lt;&gt;"",'Eval-Après action écologique'!X779,"")))</f>
        <v/>
      </c>
      <c r="WY7" s="25" t="str">
        <f>IF('Eval-Après action écologique'!$T$107=0,"",IF('Eval-Après action écologique'!$T$107="","",IF('Eval-Après action écologique'!Y779&lt;&gt;"",'Eval-Après action écologique'!Y779,"")))</f>
        <v/>
      </c>
      <c r="WZ7" s="25" t="str">
        <f>IF('Eval-Après action écologique'!$T$107=0,"",IF('Eval-Après action écologique'!$T$107="","",IF('Eval-Après action écologique'!A780&lt;&gt;"",'Eval-Après action écologique'!A780,"")))</f>
        <v/>
      </c>
      <c r="XA7" s="25" t="str">
        <f>IF('Eval-Après action écologique'!$T$107=0,"",IF('Eval-Après action écologique'!$T$107="","",IF('Eval-Après action écologique'!B780&lt;&gt;"",'Eval-Après action écologique'!B780,"")))</f>
        <v/>
      </c>
      <c r="XB7" s="25" t="str">
        <f>IF('Eval-Après action écologique'!$T$107=0,"",IF('Eval-Après action écologique'!$T$107="","",IF('Eval-Après action écologique'!C780&lt;&gt;"",'Eval-Après action écologique'!C780,"")))</f>
        <v/>
      </c>
      <c r="XC7" s="25" t="str">
        <f>IF('Eval-Après action écologique'!$T$107=0,"",IF('Eval-Après action écologique'!$T$107="","",IF('Eval-Après action écologique'!E780&lt;&gt;"",'Eval-Après action écologique'!E780,"")))</f>
        <v/>
      </c>
      <c r="XD7" s="25" t="str">
        <f>IF('Eval-Après action écologique'!$T$107=0,"",IF('Eval-Après action écologique'!$T$107="","",IF('Eval-Après action écologique'!G780&lt;&gt;"",'Eval-Après action écologique'!G780,"")))</f>
        <v/>
      </c>
      <c r="XE7" s="25" t="str">
        <f>IF('Eval-Après action écologique'!$T$107=0,"",IF('Eval-Après action écologique'!$T$107="","",IF('Eval-Après action écologique'!H780&lt;&gt;"",'Eval-Après action écologique'!H780,"")))</f>
        <v/>
      </c>
      <c r="XF7" s="25" t="str">
        <f>IF('Eval-Après action écologique'!$T$107=0,"",IF('Eval-Après action écologique'!$T$107="","",IF('Eval-Après action écologique'!I780&lt;&gt;"",'Eval-Après action écologique'!I780,"")))</f>
        <v/>
      </c>
      <c r="XG7" s="25" t="str">
        <f>IF('Eval-Après action écologique'!$T$107=0,"",IF('Eval-Après action écologique'!$T$107="","",IF('Eval-Après action écologique'!J780&lt;&gt;"",'Eval-Après action écologique'!J780,"")))</f>
        <v/>
      </c>
      <c r="XH7" s="25" t="str">
        <f>IF('Eval-Après action écologique'!$T$107=0,"",IF('Eval-Après action écologique'!$T$107="","",IF('Eval-Après action écologique'!K780&lt;&gt;"",'Eval-Après action écologique'!K780,"")))</f>
        <v/>
      </c>
      <c r="XI7" s="25" t="str">
        <f>IF('Eval-Après action écologique'!$T$107=0,"",IF('Eval-Après action écologique'!$T$107="","",IF('Eval-Après action écologique'!L780&lt;&gt;"",'Eval-Après action écologique'!L780,"")))</f>
        <v/>
      </c>
      <c r="XJ7" s="25" t="str">
        <f>IF('Eval-Après action écologique'!$T$107=0,"",IF('Eval-Après action écologique'!$T$107="","",IF('Eval-Après action écologique'!M780&lt;&gt;"",'Eval-Après action écologique'!M780,"")))</f>
        <v/>
      </c>
      <c r="XK7" s="25" t="str">
        <f>IF('Eval-Après action écologique'!$T$107=0,"",IF('Eval-Après action écologique'!$T$107="","",IF('Eval-Après action écologique'!N780&lt;&gt;"",'Eval-Après action écologique'!N780,"")))</f>
        <v/>
      </c>
      <c r="XL7" s="25" t="str">
        <f>IF('Eval-Après action écologique'!$T$107=0,"",IF('Eval-Après action écologique'!$T$107="","",IF('Eval-Après action écologique'!O780&lt;&gt;"",'Eval-Après action écologique'!O780,"")))</f>
        <v/>
      </c>
      <c r="XM7" s="25" t="str">
        <f>IF('Eval-Après action écologique'!$T$107=0,"",IF('Eval-Après action écologique'!$T$107="","",IF('Eval-Après action écologique'!P780&lt;&gt;"",'Eval-Après action écologique'!P780,"")))</f>
        <v/>
      </c>
      <c r="XN7" s="25" t="str">
        <f>IF('Eval-Après action écologique'!$T$107=0,"",IF('Eval-Après action écologique'!$T$107="","",IF('Eval-Après action écologique'!Q780&lt;&gt;"",'Eval-Après action écologique'!Q780,"")))</f>
        <v/>
      </c>
      <c r="XO7" s="25" t="str">
        <f>IF('Eval-Après action écologique'!$T$107=0,"",IF('Eval-Après action écologique'!$T$107="","",IF('Eval-Après action écologique'!R780&lt;&gt;"",'Eval-Après action écologique'!R780,"")))</f>
        <v/>
      </c>
      <c r="XP7" s="25" t="str">
        <f>IF('Eval-Après action écologique'!$T$107=0,"",IF('Eval-Après action écologique'!$T$107="","",IF('Eval-Après action écologique'!S780&lt;&gt;"",'Eval-Après action écologique'!S780,"")))</f>
        <v/>
      </c>
      <c r="XQ7" s="25" t="str">
        <f>IF('Eval-Après action écologique'!$T$107=0,"",IF('Eval-Après action écologique'!$T$107="","",IF('Eval-Après action écologique'!T780&lt;&gt;"",'Eval-Après action écologique'!T780,"")))</f>
        <v/>
      </c>
      <c r="XR7" s="25" t="str">
        <f>IF('Eval-Après action écologique'!$T$107=0,"",IF('Eval-Après action écologique'!$T$107="","",IF('Eval-Après action écologique'!U780&lt;&gt;"",'Eval-Après action écologique'!U780,"")))</f>
        <v/>
      </c>
      <c r="XS7" s="25" t="str">
        <f>IF('Eval-Après action écologique'!$T$107=0,"",IF('Eval-Après action écologique'!$T$107="","",IF('Eval-Après action écologique'!V780&lt;&gt;"",'Eval-Après action écologique'!V780,"")))</f>
        <v/>
      </c>
      <c r="XT7" s="25" t="str">
        <f>IF('Eval-Après action écologique'!$T$107=0,"",IF('Eval-Après action écologique'!$T$107="","",IF('Eval-Après action écologique'!W780&lt;&gt;"",'Eval-Après action écologique'!W780,"")))</f>
        <v/>
      </c>
      <c r="XU7" s="25" t="str">
        <f>IF('Eval-Après action écologique'!$T$107=0,"",IF('Eval-Après action écologique'!$T$107="","",IF('Eval-Après action écologique'!X780&lt;&gt;"",'Eval-Après action écologique'!X780,"")))</f>
        <v/>
      </c>
      <c r="XV7" s="25" t="str">
        <f>IF('Eval-Après action écologique'!$T$107=0,"",IF('Eval-Après action écologique'!$T$107="","",IF('Eval-Après action écologique'!Y780&lt;&gt;"",'Eval-Après action écologique'!Y780,"")))</f>
        <v/>
      </c>
      <c r="XW7" s="25" t="str">
        <f>IF('Eval-Après action écologique'!$T$107=0,"",IF('Eval-Après action écologique'!$T$107="","",IF('Eval-Après action écologique'!J797="X","oui",IF('Eval-Après action écologique'!T797="X","non",""))))</f>
        <v/>
      </c>
      <c r="XX7" s="25" t="str">
        <f>IF('Eval-Après action écologique'!$T$107=0,"",IF('Eval-Après action écologique'!$T$107="","",IF('Eval-Après action écologique'!T806&lt;&gt;"",'Eval-Après action écologique'!T806,"")))</f>
        <v/>
      </c>
      <c r="XY7" s="25" t="str">
        <f>IF('Eval-Après action écologique'!$T$107=0,"",IF('Eval-Après action écologique'!$T$107="","",IF('Eval-Après action écologique'!T812&lt;&gt;"",'Eval-Après action écologique'!T812,"")))</f>
        <v/>
      </c>
      <c r="XZ7" s="25" t="str">
        <f>IF('Eval-Après action écologique'!$T$107=0,"",IF('Eval-Après action écologique'!$T$107="","",IF('Eval-Après action écologique'!T816&lt;&gt;"",'Eval-Après action écologique'!T816,"")))</f>
        <v/>
      </c>
      <c r="YA7" s="25" t="str">
        <f>IF('Eval-Après action écologique'!$T$107=0,"",IF('Eval-Après action écologique'!$T$107="","",IF('Eval-Après action écologique'!T822&lt;&gt;"",'Eval-Après action écologique'!T822,"")))</f>
        <v/>
      </c>
      <c r="YB7" s="25" t="str">
        <f>IF('Eval-Après action écologique'!$T$107=0,"",IF('Eval-Après action écologique'!$T$107="","",'Eval-Après action écologique'!C829))</f>
        <v/>
      </c>
      <c r="YC7" s="27" t="str">
        <f>'Calcul auto.'!FJ41</f>
        <v/>
      </c>
      <c r="YD7" s="27" t="str">
        <f>'Calcul auto.'!FK42</f>
        <v/>
      </c>
      <c r="YE7" s="27" t="str">
        <f>'Calcul auto.'!FJ43</f>
        <v/>
      </c>
      <c r="YF7" s="27" t="str">
        <f>'Calcul auto.'!FJ44</f>
        <v/>
      </c>
      <c r="YG7" s="27" t="str">
        <f>'Calcul auto.'!FJ45</f>
        <v/>
      </c>
      <c r="YH7" s="27" t="str">
        <f>'Calcul auto.'!FJ46</f>
        <v/>
      </c>
      <c r="YI7" s="27" t="str">
        <f>'Calcul auto.'!FJ47</f>
        <v/>
      </c>
      <c r="YJ7" s="27" t="str">
        <f>'Calcul auto.'!FJ48</f>
        <v/>
      </c>
      <c r="YK7" s="27" t="str">
        <f>'Calcul auto.'!FP49</f>
        <v/>
      </c>
      <c r="YL7" s="27" t="str">
        <f>'Calcul auto.'!FP50</f>
        <v/>
      </c>
      <c r="YM7" s="27" t="str">
        <f>'Calcul auto.'!FQ51</f>
        <v/>
      </c>
      <c r="YN7" s="27" t="str">
        <f>'Calcul auto.'!FQ52</f>
        <v/>
      </c>
      <c r="YO7" s="27" t="str">
        <f>'Calcul auto.'!FQ53</f>
        <v/>
      </c>
      <c r="YP7" s="27" t="str">
        <f>'Calcul auto.'!FQ54</f>
        <v/>
      </c>
      <c r="YQ7" s="27" t="str">
        <f>'Calcul auto.'!FQ55</f>
        <v/>
      </c>
      <c r="YR7" s="27" t="str">
        <f>'Calcul auto.'!FJ56</f>
        <v/>
      </c>
      <c r="YS7" s="27" t="str">
        <f>'Calcul auto.'!FL57</f>
        <v/>
      </c>
      <c r="YT7" s="27" t="str">
        <f>'Calcul auto.'!FO58</f>
        <v/>
      </c>
      <c r="YU7" s="27" t="str">
        <f>'Calcul auto.'!FH59</f>
        <v/>
      </c>
      <c r="YV7" s="27" t="str">
        <f>'Calcul auto.'!FH60</f>
        <v/>
      </c>
      <c r="YW7" s="27" t="str">
        <f>'Calcul auto.'!FH61</f>
        <v/>
      </c>
      <c r="YX7" s="27" t="str">
        <f>'Calcul auto.'!FH62</f>
        <v/>
      </c>
      <c r="YY7" s="27" t="str">
        <f>'Calcul auto.'!FJ63</f>
        <v/>
      </c>
      <c r="YZ7" s="27" t="str">
        <f>'Calcul auto.'!FI64</f>
        <v/>
      </c>
      <c r="ZA7" s="27" t="str">
        <f>'Calcul auto.'!FJ65</f>
        <v/>
      </c>
      <c r="ZB7" s="27" t="str">
        <f>'Calcul auto.'!FJ66</f>
        <v/>
      </c>
      <c r="ZC7" s="27" t="str">
        <f>'Calcul auto.'!FN67</f>
        <v/>
      </c>
      <c r="ZD7" s="27" t="str">
        <f>'Calcul auto.'!FM68</f>
        <v/>
      </c>
      <c r="ZE7" s="27" t="str">
        <f>'Calcul auto.'!FJ69</f>
        <v/>
      </c>
      <c r="ZF7" s="27" t="str">
        <f>'Calcul auto.'!FK70</f>
        <v/>
      </c>
      <c r="ZG7" s="27" t="str">
        <f>'Calcul auto.'!FO71</f>
        <v/>
      </c>
      <c r="ZH7" s="27" t="str">
        <f>'Calcul auto.'!FO72</f>
        <v/>
      </c>
      <c r="ZI7" s="27" t="str">
        <f>'Calcul auto.'!FJ73</f>
        <v/>
      </c>
      <c r="ZJ7" s="27" t="str">
        <f>'Calcul auto.'!FK74</f>
        <v/>
      </c>
      <c r="ZK7" s="27" t="str">
        <f>'Calcul auto.'!FK75</f>
        <v/>
      </c>
      <c r="ZL7" s="27" t="str">
        <f>'Calcul auto.'!FI76</f>
        <v/>
      </c>
      <c r="ZM7" s="27" t="str">
        <f>'Calcul auto.'!FI77</f>
        <v/>
      </c>
      <c r="ZN7" s="27" t="str">
        <f>'Calcul auto.'!FK78</f>
        <v/>
      </c>
      <c r="ZO7" s="27" t="str">
        <f>'Calcul auto.'!FP79</f>
        <v/>
      </c>
      <c r="ZP7" s="27" t="str">
        <f>'Calcul auto.'!FP80</f>
        <v/>
      </c>
      <c r="ZQ7" s="27" t="str">
        <f>'Calcul auto.'!FQ81</f>
        <v/>
      </c>
      <c r="ZR7" s="27" t="str">
        <f>'Calcul auto.'!FQ82</f>
        <v/>
      </c>
      <c r="ZS7" s="27" t="str">
        <f>'Calcul auto.'!FP83</f>
        <v/>
      </c>
      <c r="ZT7" s="27" t="str">
        <f>'Calcul auto.'!FP84</f>
        <v/>
      </c>
      <c r="ZU7" s="27" t="str">
        <f>'Calcul auto.'!FP85</f>
        <v/>
      </c>
      <c r="ZV7" s="27" t="str">
        <f>'Calcul auto.'!FP86</f>
        <v/>
      </c>
      <c r="ZW7" s="27" t="str">
        <f>'Calcul auto.'!FP87</f>
        <v/>
      </c>
      <c r="ZX7" s="27" t="str">
        <f>'Calcul auto.'!FT41</f>
        <v/>
      </c>
      <c r="ZY7" s="27" t="str">
        <f>'Calcul auto.'!FU42</f>
        <v/>
      </c>
      <c r="ZZ7" s="27" t="str">
        <f>'Calcul auto.'!FT43</f>
        <v/>
      </c>
      <c r="AAA7" s="27" t="str">
        <f>'Calcul auto.'!FT44</f>
        <v/>
      </c>
      <c r="AAB7" s="27" t="str">
        <f>'Calcul auto.'!FT45</f>
        <v/>
      </c>
      <c r="AAC7" s="27" t="str">
        <f>'Calcul auto.'!FZ49</f>
        <v/>
      </c>
      <c r="AAD7" s="27" t="str">
        <f>'Calcul auto.'!FZ50</f>
        <v/>
      </c>
      <c r="AAE7" s="27" t="str">
        <f>'Calcul auto.'!GA51</f>
        <v/>
      </c>
      <c r="AAF7" s="27" t="str">
        <f>'Calcul auto.'!GA52</f>
        <v/>
      </c>
      <c r="AAG7" s="27" t="str">
        <f>'Calcul auto.'!GA53</f>
        <v/>
      </c>
      <c r="AAH7" s="27" t="str">
        <f>'Calcul auto.'!GA54</f>
        <v/>
      </c>
      <c r="AAI7" s="27" t="str">
        <f>'Calcul auto.'!GA55</f>
        <v/>
      </c>
      <c r="AAJ7" s="27" t="str">
        <f>'Calcul auto.'!FT56</f>
        <v/>
      </c>
      <c r="AAK7" s="27" t="str">
        <f>'Calcul auto.'!FV57</f>
        <v/>
      </c>
      <c r="AAL7" s="27" t="str">
        <f>'Calcul auto.'!FY58</f>
        <v/>
      </c>
      <c r="AAM7" s="27" t="str">
        <f>'Calcul auto.'!FR59</f>
        <v/>
      </c>
      <c r="AAN7" s="27" t="str">
        <f>'Calcul auto.'!FR60</f>
        <v/>
      </c>
      <c r="AAO7" s="27" t="str">
        <f>'Calcul auto.'!FR61</f>
        <v/>
      </c>
      <c r="AAP7" s="27" t="str">
        <f>'Calcul auto.'!FR62</f>
        <v/>
      </c>
      <c r="AAQ7" s="27" t="str">
        <f>'Calcul auto.'!FT63</f>
        <v/>
      </c>
      <c r="AAR7" s="27" t="str">
        <f>'Calcul auto.'!FS64</f>
        <v/>
      </c>
      <c r="AAS7" s="27" t="str">
        <f>'Calcul auto.'!FT65</f>
        <v/>
      </c>
      <c r="AAT7" s="27" t="str">
        <f>'Calcul auto.'!FT66</f>
        <v/>
      </c>
      <c r="AAU7" s="27" t="str">
        <f>'Calcul auto.'!FX67</f>
        <v/>
      </c>
      <c r="AAV7" s="27" t="str">
        <f>'Calcul auto.'!FW68</f>
        <v/>
      </c>
      <c r="AAW7" s="27" t="str">
        <f>'Calcul auto.'!FT69</f>
        <v/>
      </c>
      <c r="AAX7" s="27" t="str">
        <f>'Calcul auto.'!FU70</f>
        <v/>
      </c>
      <c r="AAY7" s="27" t="str">
        <f>'Calcul auto.'!FY71</f>
        <v/>
      </c>
      <c r="AAZ7" s="27" t="str">
        <f>'Calcul auto.'!FY72</f>
        <v/>
      </c>
      <c r="ABA7" s="27" t="str">
        <f>'Calcul auto.'!FT73</f>
        <v/>
      </c>
      <c r="ABB7" s="27" t="str">
        <f>'Calcul auto.'!FU74</f>
        <v/>
      </c>
      <c r="ABC7" s="27" t="str">
        <f>'Calcul auto.'!FU75</f>
        <v/>
      </c>
      <c r="ABD7" s="27" t="str">
        <f>'Calcul auto.'!FS76</f>
        <v/>
      </c>
      <c r="ABE7" s="27" t="str">
        <f>'Calcul auto.'!FS77</f>
        <v/>
      </c>
      <c r="ABF7" s="27" t="str">
        <f>'Calcul auto.'!FU78</f>
        <v/>
      </c>
      <c r="ABG7" s="27" t="str">
        <f>'Calcul auto.'!FZ79</f>
        <v/>
      </c>
      <c r="ABH7" s="27" t="str">
        <f>'Calcul auto.'!FZ80</f>
        <v/>
      </c>
      <c r="ABI7" s="27" t="str">
        <f>'Calcul auto.'!GA81</f>
        <v/>
      </c>
      <c r="ABJ7" s="27" t="str">
        <f>'Calcul auto.'!GA82</f>
        <v/>
      </c>
      <c r="ABK7" s="27" t="str">
        <f>'Calcul auto.'!FZ83</f>
        <v/>
      </c>
      <c r="ABL7" s="27" t="str">
        <f>'Calcul auto.'!FZ84</f>
        <v/>
      </c>
      <c r="ABM7" s="27" t="str">
        <f>'Calcul auto.'!FZ85</f>
        <v/>
      </c>
      <c r="ABN7" s="27" t="str">
        <f>'Calcul auto.'!FZ86</f>
        <v/>
      </c>
      <c r="ABO7" s="28" t="str">
        <f>'Calcul auto.'!FZ87</f>
        <v/>
      </c>
    </row>
  </sheetData>
  <sheetProtection sheet="1" objects="1" scenarios="1"/>
  <pageMargins left="0.70866141732283472" right="0.70866141732283472" top="0.74803149606299213" bottom="0.74803149606299213" header="0.31496062992125984" footer="0.31496062992125984"/>
  <pageSetup paperSize="9" scale="14" fitToWidth="15"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GI388"/>
  <sheetViews>
    <sheetView view="pageBreakPreview" zoomScale="55" zoomScaleNormal="70" zoomScaleSheetLayoutView="55" workbookViewId="0">
      <selection sqref="A1:AE4"/>
    </sheetView>
  </sheetViews>
  <sheetFormatPr baseColWidth="10" defaultColWidth="11" defaultRowHeight="15" x14ac:dyDescent="0.2"/>
  <cols>
    <col min="1" max="1" width="43" style="199" customWidth="1"/>
    <col min="2" max="2" width="27" style="199" customWidth="1"/>
    <col min="3" max="3" width="26.875" style="199" customWidth="1"/>
    <col min="4" max="5" width="8.125" style="199" customWidth="1"/>
    <col min="6" max="6" width="13.125" style="199" customWidth="1"/>
    <col min="7" max="11" width="8.125" style="199" customWidth="1"/>
    <col min="12" max="12" width="9" style="199" customWidth="1"/>
    <col min="13" max="13" width="8" style="199" customWidth="1"/>
    <col min="14" max="14" width="8.125" style="199" customWidth="1"/>
    <col min="15" max="15" width="8.375" style="199" customWidth="1"/>
    <col min="16" max="16" width="11.875" style="199" customWidth="1"/>
    <col min="17" max="17" width="12.125" style="199" customWidth="1"/>
    <col min="18" max="18" width="13.375" style="199" customWidth="1"/>
    <col min="19" max="22" width="8.125" style="199" customWidth="1"/>
    <col min="23" max="30" width="10" style="199" customWidth="1"/>
    <col min="31" max="31" width="11.625" style="199" customWidth="1"/>
    <col min="32" max="32" width="11" style="197"/>
    <col min="33" max="63" width="11" style="199"/>
    <col min="64" max="64" width="11" style="197"/>
    <col min="65" max="95" width="11" style="199"/>
    <col min="96" max="96" width="11" style="197"/>
    <col min="97" max="127" width="11" style="199"/>
    <col min="128" max="128" width="11" style="197"/>
    <col min="129" max="159" width="11" style="199"/>
    <col min="160" max="160" width="11" style="197"/>
    <col min="161" max="16384" width="11" style="199"/>
  </cols>
  <sheetData>
    <row r="1" spans="1:191" s="197" customFormat="1" ht="15" customHeight="1" x14ac:dyDescent="0.2">
      <c r="A1" s="1175" t="s">
        <v>546</v>
      </c>
      <c r="B1" s="1176"/>
      <c r="C1" s="1176"/>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7"/>
      <c r="AG1" s="1175" t="s">
        <v>547</v>
      </c>
      <c r="AH1" s="1176"/>
      <c r="AI1" s="1176"/>
      <c r="AJ1" s="1176"/>
      <c r="AK1" s="1176"/>
      <c r="AL1" s="1176"/>
      <c r="AM1" s="1176"/>
      <c r="AN1" s="1176"/>
      <c r="AO1" s="1176"/>
      <c r="AP1" s="1176"/>
      <c r="AQ1" s="1176"/>
      <c r="AR1" s="1176"/>
      <c r="AS1" s="1176"/>
      <c r="AT1" s="1176"/>
      <c r="AU1" s="1176"/>
      <c r="AV1" s="1176"/>
      <c r="AW1" s="1176"/>
      <c r="AX1" s="1176"/>
      <c r="AY1" s="1176"/>
      <c r="AZ1" s="1176"/>
      <c r="BA1" s="1176"/>
      <c r="BB1" s="1176"/>
      <c r="BC1" s="1176"/>
      <c r="BD1" s="1176"/>
      <c r="BE1" s="1176"/>
      <c r="BF1" s="1176"/>
      <c r="BG1" s="1176"/>
      <c r="BH1" s="1176"/>
      <c r="BI1" s="1176"/>
      <c r="BJ1" s="1176"/>
      <c r="BK1" s="1177"/>
      <c r="BM1" s="1175" t="s">
        <v>544</v>
      </c>
      <c r="BN1" s="1176"/>
      <c r="BO1" s="1176"/>
      <c r="BP1" s="1176"/>
      <c r="BQ1" s="1176"/>
      <c r="BR1" s="1176"/>
      <c r="BS1" s="1176"/>
      <c r="BT1" s="1176"/>
      <c r="BU1" s="1176"/>
      <c r="BV1" s="1176"/>
      <c r="BW1" s="1176"/>
      <c r="BX1" s="1176"/>
      <c r="BY1" s="1176"/>
      <c r="BZ1" s="1176"/>
      <c r="CA1" s="1176"/>
      <c r="CB1" s="1176"/>
      <c r="CC1" s="1176"/>
      <c r="CD1" s="1176"/>
      <c r="CE1" s="1176"/>
      <c r="CF1" s="1176"/>
      <c r="CG1" s="1176"/>
      <c r="CH1" s="1176"/>
      <c r="CI1" s="1176"/>
      <c r="CJ1" s="1176"/>
      <c r="CK1" s="1176"/>
      <c r="CL1" s="1176"/>
      <c r="CM1" s="1176"/>
      <c r="CN1" s="1176"/>
      <c r="CO1" s="1176"/>
      <c r="CP1" s="1176"/>
      <c r="CQ1" s="1177"/>
      <c r="CS1" s="1175" t="s">
        <v>545</v>
      </c>
      <c r="CT1" s="1176"/>
      <c r="CU1" s="1176"/>
      <c r="CV1" s="1176"/>
      <c r="CW1" s="1176"/>
      <c r="CX1" s="1176"/>
      <c r="CY1" s="1176"/>
      <c r="CZ1" s="1176"/>
      <c r="DA1" s="1176"/>
      <c r="DB1" s="1176"/>
      <c r="DC1" s="1176"/>
      <c r="DD1" s="1176"/>
      <c r="DE1" s="1176"/>
      <c r="DF1" s="1176"/>
      <c r="DG1" s="1176"/>
      <c r="DH1" s="1176"/>
      <c r="DI1" s="1176"/>
      <c r="DJ1" s="1176"/>
      <c r="DK1" s="1176"/>
      <c r="DL1" s="1176"/>
      <c r="DM1" s="1176"/>
      <c r="DN1" s="1176"/>
      <c r="DO1" s="1176"/>
      <c r="DP1" s="1176"/>
      <c r="DQ1" s="1176"/>
      <c r="DR1" s="1176"/>
      <c r="DS1" s="1176"/>
      <c r="DT1" s="1176"/>
      <c r="DU1" s="1176"/>
      <c r="DV1" s="1176"/>
      <c r="DW1" s="1177"/>
      <c r="DY1" s="1175" t="s">
        <v>561</v>
      </c>
      <c r="DZ1" s="1176"/>
      <c r="EA1" s="1176"/>
      <c r="EB1" s="1176"/>
      <c r="EC1" s="1176"/>
      <c r="ED1" s="1176"/>
      <c r="EE1" s="1176"/>
      <c r="EF1" s="1176"/>
      <c r="EG1" s="1176"/>
      <c r="EH1" s="1176"/>
      <c r="EI1" s="1176"/>
      <c r="EJ1" s="1176"/>
      <c r="EK1" s="1176"/>
      <c r="EL1" s="1176"/>
      <c r="EM1" s="1176"/>
      <c r="EN1" s="1176"/>
      <c r="EO1" s="1176"/>
      <c r="EP1" s="1176"/>
      <c r="EQ1" s="1176"/>
      <c r="ER1" s="1176"/>
      <c r="ES1" s="1176"/>
      <c r="ET1" s="1176"/>
      <c r="EU1" s="1176"/>
      <c r="EV1" s="1176"/>
      <c r="EW1" s="1176"/>
      <c r="EX1" s="1176"/>
      <c r="EY1" s="1176"/>
      <c r="EZ1" s="1176"/>
      <c r="FA1" s="1176"/>
      <c r="FB1" s="1176"/>
      <c r="FC1" s="1177"/>
      <c r="FE1" s="1175" t="s">
        <v>549</v>
      </c>
      <c r="FF1" s="1176"/>
      <c r="FG1" s="1176"/>
      <c r="FH1" s="1176"/>
      <c r="FI1" s="1176"/>
      <c r="FJ1" s="1176"/>
      <c r="FK1" s="1176"/>
      <c r="FL1" s="1176"/>
      <c r="FM1" s="1176"/>
      <c r="FN1" s="1176"/>
      <c r="FO1" s="1176"/>
      <c r="FP1" s="1176"/>
      <c r="FQ1" s="1176"/>
      <c r="FR1" s="1176"/>
      <c r="FS1" s="1176"/>
      <c r="FT1" s="1176"/>
      <c r="FU1" s="1176"/>
      <c r="FV1" s="1176"/>
      <c r="FW1" s="1176"/>
      <c r="FX1" s="1176"/>
      <c r="FY1" s="1176"/>
      <c r="FZ1" s="1176"/>
      <c r="GA1" s="1176"/>
      <c r="GB1" s="1176"/>
      <c r="GC1" s="1176"/>
      <c r="GD1" s="1176"/>
      <c r="GE1" s="1176"/>
      <c r="GF1" s="1176"/>
      <c r="GG1" s="1176"/>
      <c r="GH1" s="1176"/>
      <c r="GI1" s="1177"/>
    </row>
    <row r="2" spans="1:191" s="197" customFormat="1" ht="15.75" customHeight="1" x14ac:dyDescent="0.2">
      <c r="A2" s="1178"/>
      <c r="B2" s="1179"/>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c r="AB2" s="1179"/>
      <c r="AC2" s="1179"/>
      <c r="AD2" s="1179"/>
      <c r="AE2" s="1180"/>
      <c r="AG2" s="1178"/>
      <c r="AH2" s="1179"/>
      <c r="AI2" s="1179"/>
      <c r="AJ2" s="1179"/>
      <c r="AK2" s="1179"/>
      <c r="AL2" s="1179"/>
      <c r="AM2" s="1179"/>
      <c r="AN2" s="1179"/>
      <c r="AO2" s="1179"/>
      <c r="AP2" s="1179"/>
      <c r="AQ2" s="1179"/>
      <c r="AR2" s="1179"/>
      <c r="AS2" s="1179"/>
      <c r="AT2" s="1179"/>
      <c r="AU2" s="1179"/>
      <c r="AV2" s="1179"/>
      <c r="AW2" s="1179"/>
      <c r="AX2" s="1179"/>
      <c r="AY2" s="1179"/>
      <c r="AZ2" s="1179"/>
      <c r="BA2" s="1179"/>
      <c r="BB2" s="1179"/>
      <c r="BC2" s="1179"/>
      <c r="BD2" s="1179"/>
      <c r="BE2" s="1179"/>
      <c r="BF2" s="1179"/>
      <c r="BG2" s="1179"/>
      <c r="BH2" s="1179"/>
      <c r="BI2" s="1179"/>
      <c r="BJ2" s="1179"/>
      <c r="BK2" s="1180"/>
      <c r="BM2" s="1178"/>
      <c r="BN2" s="1179"/>
      <c r="BO2" s="1179"/>
      <c r="BP2" s="1179"/>
      <c r="BQ2" s="1179"/>
      <c r="BR2" s="1179"/>
      <c r="BS2" s="1179"/>
      <c r="BT2" s="1179"/>
      <c r="BU2" s="1179"/>
      <c r="BV2" s="1179"/>
      <c r="BW2" s="1179"/>
      <c r="BX2" s="1179"/>
      <c r="BY2" s="1179"/>
      <c r="BZ2" s="1179"/>
      <c r="CA2" s="1179"/>
      <c r="CB2" s="1179"/>
      <c r="CC2" s="1179"/>
      <c r="CD2" s="1179"/>
      <c r="CE2" s="1179"/>
      <c r="CF2" s="1179"/>
      <c r="CG2" s="1179"/>
      <c r="CH2" s="1179"/>
      <c r="CI2" s="1179"/>
      <c r="CJ2" s="1179"/>
      <c r="CK2" s="1179"/>
      <c r="CL2" s="1179"/>
      <c r="CM2" s="1179"/>
      <c r="CN2" s="1179"/>
      <c r="CO2" s="1179"/>
      <c r="CP2" s="1179"/>
      <c r="CQ2" s="1180"/>
      <c r="CS2" s="1178"/>
      <c r="CT2" s="1179"/>
      <c r="CU2" s="1179"/>
      <c r="CV2" s="1179"/>
      <c r="CW2" s="1179"/>
      <c r="CX2" s="1179"/>
      <c r="CY2" s="1179"/>
      <c r="CZ2" s="1179"/>
      <c r="DA2" s="1179"/>
      <c r="DB2" s="1179"/>
      <c r="DC2" s="1179"/>
      <c r="DD2" s="1179"/>
      <c r="DE2" s="1179"/>
      <c r="DF2" s="1179"/>
      <c r="DG2" s="1179"/>
      <c r="DH2" s="1179"/>
      <c r="DI2" s="1179"/>
      <c r="DJ2" s="1179"/>
      <c r="DK2" s="1179"/>
      <c r="DL2" s="1179"/>
      <c r="DM2" s="1179"/>
      <c r="DN2" s="1179"/>
      <c r="DO2" s="1179"/>
      <c r="DP2" s="1179"/>
      <c r="DQ2" s="1179"/>
      <c r="DR2" s="1179"/>
      <c r="DS2" s="1179"/>
      <c r="DT2" s="1179"/>
      <c r="DU2" s="1179"/>
      <c r="DV2" s="1179"/>
      <c r="DW2" s="1180"/>
      <c r="DY2" s="1178"/>
      <c r="DZ2" s="1179"/>
      <c r="EA2" s="1179"/>
      <c r="EB2" s="1179"/>
      <c r="EC2" s="1179"/>
      <c r="ED2" s="1179"/>
      <c r="EE2" s="1179"/>
      <c r="EF2" s="1179"/>
      <c r="EG2" s="1179"/>
      <c r="EH2" s="1179"/>
      <c r="EI2" s="1179"/>
      <c r="EJ2" s="1179"/>
      <c r="EK2" s="1179"/>
      <c r="EL2" s="1179"/>
      <c r="EM2" s="1179"/>
      <c r="EN2" s="1179"/>
      <c r="EO2" s="1179"/>
      <c r="EP2" s="1179"/>
      <c r="EQ2" s="1179"/>
      <c r="ER2" s="1179"/>
      <c r="ES2" s="1179"/>
      <c r="ET2" s="1179"/>
      <c r="EU2" s="1179"/>
      <c r="EV2" s="1179"/>
      <c r="EW2" s="1179"/>
      <c r="EX2" s="1179"/>
      <c r="EY2" s="1179"/>
      <c r="EZ2" s="1179"/>
      <c r="FA2" s="1179"/>
      <c r="FB2" s="1179"/>
      <c r="FC2" s="1180"/>
      <c r="FE2" s="1178"/>
      <c r="FF2" s="1179"/>
      <c r="FG2" s="1179"/>
      <c r="FH2" s="1179"/>
      <c r="FI2" s="1179"/>
      <c r="FJ2" s="1179"/>
      <c r="FK2" s="1179"/>
      <c r="FL2" s="1179"/>
      <c r="FM2" s="1179"/>
      <c r="FN2" s="1179"/>
      <c r="FO2" s="1179"/>
      <c r="FP2" s="1179"/>
      <c r="FQ2" s="1179"/>
      <c r="FR2" s="1179"/>
      <c r="FS2" s="1179"/>
      <c r="FT2" s="1179"/>
      <c r="FU2" s="1179"/>
      <c r="FV2" s="1179"/>
      <c r="FW2" s="1179"/>
      <c r="FX2" s="1179"/>
      <c r="FY2" s="1179"/>
      <c r="FZ2" s="1179"/>
      <c r="GA2" s="1179"/>
      <c r="GB2" s="1179"/>
      <c r="GC2" s="1179"/>
      <c r="GD2" s="1179"/>
      <c r="GE2" s="1179"/>
      <c r="GF2" s="1179"/>
      <c r="GG2" s="1179"/>
      <c r="GH2" s="1179"/>
      <c r="GI2" s="1180"/>
    </row>
    <row r="3" spans="1:191" s="197" customFormat="1" ht="15.75" customHeight="1" x14ac:dyDescent="0.2">
      <c r="A3" s="1178"/>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80"/>
      <c r="AG3" s="1178"/>
      <c r="AH3" s="1179"/>
      <c r="AI3" s="1179"/>
      <c r="AJ3" s="1179"/>
      <c r="AK3" s="1179"/>
      <c r="AL3" s="1179"/>
      <c r="AM3" s="1179"/>
      <c r="AN3" s="1179"/>
      <c r="AO3" s="1179"/>
      <c r="AP3" s="1179"/>
      <c r="AQ3" s="1179"/>
      <c r="AR3" s="1179"/>
      <c r="AS3" s="1179"/>
      <c r="AT3" s="1179"/>
      <c r="AU3" s="1179"/>
      <c r="AV3" s="1179"/>
      <c r="AW3" s="1179"/>
      <c r="AX3" s="1179"/>
      <c r="AY3" s="1179"/>
      <c r="AZ3" s="1179"/>
      <c r="BA3" s="1179"/>
      <c r="BB3" s="1179"/>
      <c r="BC3" s="1179"/>
      <c r="BD3" s="1179"/>
      <c r="BE3" s="1179"/>
      <c r="BF3" s="1179"/>
      <c r="BG3" s="1179"/>
      <c r="BH3" s="1179"/>
      <c r="BI3" s="1179"/>
      <c r="BJ3" s="1179"/>
      <c r="BK3" s="1180"/>
      <c r="BM3" s="1178"/>
      <c r="BN3" s="1179"/>
      <c r="BO3" s="1179"/>
      <c r="BP3" s="1179"/>
      <c r="BQ3" s="1179"/>
      <c r="BR3" s="1179"/>
      <c r="BS3" s="1179"/>
      <c r="BT3" s="1179"/>
      <c r="BU3" s="1179"/>
      <c r="BV3" s="1179"/>
      <c r="BW3" s="1179"/>
      <c r="BX3" s="1179"/>
      <c r="BY3" s="1179"/>
      <c r="BZ3" s="1179"/>
      <c r="CA3" s="1179"/>
      <c r="CB3" s="1179"/>
      <c r="CC3" s="1179"/>
      <c r="CD3" s="1179"/>
      <c r="CE3" s="1179"/>
      <c r="CF3" s="1179"/>
      <c r="CG3" s="1179"/>
      <c r="CH3" s="1179"/>
      <c r="CI3" s="1179"/>
      <c r="CJ3" s="1179"/>
      <c r="CK3" s="1179"/>
      <c r="CL3" s="1179"/>
      <c r="CM3" s="1179"/>
      <c r="CN3" s="1179"/>
      <c r="CO3" s="1179"/>
      <c r="CP3" s="1179"/>
      <c r="CQ3" s="1180"/>
      <c r="CS3" s="1178"/>
      <c r="CT3" s="1179"/>
      <c r="CU3" s="1179"/>
      <c r="CV3" s="1179"/>
      <c r="CW3" s="1179"/>
      <c r="CX3" s="1179"/>
      <c r="CY3" s="1179"/>
      <c r="CZ3" s="1179"/>
      <c r="DA3" s="1179"/>
      <c r="DB3" s="1179"/>
      <c r="DC3" s="1179"/>
      <c r="DD3" s="1179"/>
      <c r="DE3" s="1179"/>
      <c r="DF3" s="1179"/>
      <c r="DG3" s="1179"/>
      <c r="DH3" s="1179"/>
      <c r="DI3" s="1179"/>
      <c r="DJ3" s="1179"/>
      <c r="DK3" s="1179"/>
      <c r="DL3" s="1179"/>
      <c r="DM3" s="1179"/>
      <c r="DN3" s="1179"/>
      <c r="DO3" s="1179"/>
      <c r="DP3" s="1179"/>
      <c r="DQ3" s="1179"/>
      <c r="DR3" s="1179"/>
      <c r="DS3" s="1179"/>
      <c r="DT3" s="1179"/>
      <c r="DU3" s="1179"/>
      <c r="DV3" s="1179"/>
      <c r="DW3" s="1180"/>
      <c r="DY3" s="1178"/>
      <c r="DZ3" s="1179"/>
      <c r="EA3" s="1179"/>
      <c r="EB3" s="1179"/>
      <c r="EC3" s="1179"/>
      <c r="ED3" s="1179"/>
      <c r="EE3" s="1179"/>
      <c r="EF3" s="1179"/>
      <c r="EG3" s="1179"/>
      <c r="EH3" s="1179"/>
      <c r="EI3" s="1179"/>
      <c r="EJ3" s="1179"/>
      <c r="EK3" s="1179"/>
      <c r="EL3" s="1179"/>
      <c r="EM3" s="1179"/>
      <c r="EN3" s="1179"/>
      <c r="EO3" s="1179"/>
      <c r="EP3" s="1179"/>
      <c r="EQ3" s="1179"/>
      <c r="ER3" s="1179"/>
      <c r="ES3" s="1179"/>
      <c r="ET3" s="1179"/>
      <c r="EU3" s="1179"/>
      <c r="EV3" s="1179"/>
      <c r="EW3" s="1179"/>
      <c r="EX3" s="1179"/>
      <c r="EY3" s="1179"/>
      <c r="EZ3" s="1179"/>
      <c r="FA3" s="1179"/>
      <c r="FB3" s="1179"/>
      <c r="FC3" s="1180"/>
      <c r="FE3" s="1178"/>
      <c r="FF3" s="1179"/>
      <c r="FG3" s="1179"/>
      <c r="FH3" s="1179"/>
      <c r="FI3" s="1179"/>
      <c r="FJ3" s="1179"/>
      <c r="FK3" s="1179"/>
      <c r="FL3" s="1179"/>
      <c r="FM3" s="1179"/>
      <c r="FN3" s="1179"/>
      <c r="FO3" s="1179"/>
      <c r="FP3" s="1179"/>
      <c r="FQ3" s="1179"/>
      <c r="FR3" s="1179"/>
      <c r="FS3" s="1179"/>
      <c r="FT3" s="1179"/>
      <c r="FU3" s="1179"/>
      <c r="FV3" s="1179"/>
      <c r="FW3" s="1179"/>
      <c r="FX3" s="1179"/>
      <c r="FY3" s="1179"/>
      <c r="FZ3" s="1179"/>
      <c r="GA3" s="1179"/>
      <c r="GB3" s="1179"/>
      <c r="GC3" s="1179"/>
      <c r="GD3" s="1179"/>
      <c r="GE3" s="1179"/>
      <c r="GF3" s="1179"/>
      <c r="GG3" s="1179"/>
      <c r="GH3" s="1179"/>
      <c r="GI3" s="1180"/>
    </row>
    <row r="4" spans="1:191" s="197" customFormat="1" ht="18" customHeight="1" thickBot="1" x14ac:dyDescent="0.25">
      <c r="A4" s="1181"/>
      <c r="B4" s="1182"/>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3"/>
      <c r="AG4" s="1181"/>
      <c r="AH4" s="1182"/>
      <c r="AI4" s="1182"/>
      <c r="AJ4" s="1182"/>
      <c r="AK4" s="1182"/>
      <c r="AL4" s="1182"/>
      <c r="AM4" s="1182"/>
      <c r="AN4" s="1182"/>
      <c r="AO4" s="1182"/>
      <c r="AP4" s="1182"/>
      <c r="AQ4" s="1182"/>
      <c r="AR4" s="1182"/>
      <c r="AS4" s="1182"/>
      <c r="AT4" s="1182"/>
      <c r="AU4" s="1182"/>
      <c r="AV4" s="1182"/>
      <c r="AW4" s="1182"/>
      <c r="AX4" s="1182"/>
      <c r="AY4" s="1182"/>
      <c r="AZ4" s="1182"/>
      <c r="BA4" s="1182"/>
      <c r="BB4" s="1182"/>
      <c r="BC4" s="1182"/>
      <c r="BD4" s="1182"/>
      <c r="BE4" s="1182"/>
      <c r="BF4" s="1182"/>
      <c r="BG4" s="1182"/>
      <c r="BH4" s="1182"/>
      <c r="BI4" s="1182"/>
      <c r="BJ4" s="1182"/>
      <c r="BK4" s="1183"/>
      <c r="BM4" s="1181"/>
      <c r="BN4" s="1182"/>
      <c r="BO4" s="1182"/>
      <c r="BP4" s="1182"/>
      <c r="BQ4" s="1182"/>
      <c r="BR4" s="1182"/>
      <c r="BS4" s="1182"/>
      <c r="BT4" s="1182"/>
      <c r="BU4" s="1182"/>
      <c r="BV4" s="1182"/>
      <c r="BW4" s="1182"/>
      <c r="BX4" s="1182"/>
      <c r="BY4" s="1182"/>
      <c r="BZ4" s="1182"/>
      <c r="CA4" s="1182"/>
      <c r="CB4" s="1182"/>
      <c r="CC4" s="1182"/>
      <c r="CD4" s="1182"/>
      <c r="CE4" s="1182"/>
      <c r="CF4" s="1182"/>
      <c r="CG4" s="1182"/>
      <c r="CH4" s="1182"/>
      <c r="CI4" s="1182"/>
      <c r="CJ4" s="1182"/>
      <c r="CK4" s="1182"/>
      <c r="CL4" s="1182"/>
      <c r="CM4" s="1182"/>
      <c r="CN4" s="1182"/>
      <c r="CO4" s="1182"/>
      <c r="CP4" s="1182"/>
      <c r="CQ4" s="1183"/>
      <c r="CS4" s="1181"/>
      <c r="CT4" s="1182"/>
      <c r="CU4" s="1182"/>
      <c r="CV4" s="1182"/>
      <c r="CW4" s="1182"/>
      <c r="CX4" s="1182"/>
      <c r="CY4" s="1182"/>
      <c r="CZ4" s="1182"/>
      <c r="DA4" s="1182"/>
      <c r="DB4" s="1182"/>
      <c r="DC4" s="1182"/>
      <c r="DD4" s="1182"/>
      <c r="DE4" s="1182"/>
      <c r="DF4" s="1182"/>
      <c r="DG4" s="1182"/>
      <c r="DH4" s="1182"/>
      <c r="DI4" s="1182"/>
      <c r="DJ4" s="1182"/>
      <c r="DK4" s="1182"/>
      <c r="DL4" s="1182"/>
      <c r="DM4" s="1182"/>
      <c r="DN4" s="1182"/>
      <c r="DO4" s="1182"/>
      <c r="DP4" s="1182"/>
      <c r="DQ4" s="1182"/>
      <c r="DR4" s="1182"/>
      <c r="DS4" s="1182"/>
      <c r="DT4" s="1182"/>
      <c r="DU4" s="1182"/>
      <c r="DV4" s="1182"/>
      <c r="DW4" s="1183"/>
      <c r="DY4" s="1181"/>
      <c r="DZ4" s="1182"/>
      <c r="EA4" s="1182"/>
      <c r="EB4" s="1182"/>
      <c r="EC4" s="1182"/>
      <c r="ED4" s="1182"/>
      <c r="EE4" s="1182"/>
      <c r="EF4" s="1182"/>
      <c r="EG4" s="1182"/>
      <c r="EH4" s="1182"/>
      <c r="EI4" s="1182"/>
      <c r="EJ4" s="1182"/>
      <c r="EK4" s="1182"/>
      <c r="EL4" s="1182"/>
      <c r="EM4" s="1182"/>
      <c r="EN4" s="1182"/>
      <c r="EO4" s="1182"/>
      <c r="EP4" s="1182"/>
      <c r="EQ4" s="1182"/>
      <c r="ER4" s="1182"/>
      <c r="ES4" s="1182"/>
      <c r="ET4" s="1182"/>
      <c r="EU4" s="1182"/>
      <c r="EV4" s="1182"/>
      <c r="EW4" s="1182"/>
      <c r="EX4" s="1182"/>
      <c r="EY4" s="1182"/>
      <c r="EZ4" s="1182"/>
      <c r="FA4" s="1182"/>
      <c r="FB4" s="1182"/>
      <c r="FC4" s="1183"/>
      <c r="FE4" s="1181"/>
      <c r="FF4" s="1182"/>
      <c r="FG4" s="1182"/>
      <c r="FH4" s="1182"/>
      <c r="FI4" s="1182"/>
      <c r="FJ4" s="1182"/>
      <c r="FK4" s="1182"/>
      <c r="FL4" s="1182"/>
      <c r="FM4" s="1182"/>
      <c r="FN4" s="1182"/>
      <c r="FO4" s="1182"/>
      <c r="FP4" s="1182"/>
      <c r="FQ4" s="1182"/>
      <c r="FR4" s="1182"/>
      <c r="FS4" s="1182"/>
      <c r="FT4" s="1182"/>
      <c r="FU4" s="1182"/>
      <c r="FV4" s="1182"/>
      <c r="FW4" s="1182"/>
      <c r="FX4" s="1182"/>
      <c r="FY4" s="1182"/>
      <c r="FZ4" s="1182"/>
      <c r="GA4" s="1182"/>
      <c r="GB4" s="1182"/>
      <c r="GC4" s="1182"/>
      <c r="GD4" s="1182"/>
      <c r="GE4" s="1182"/>
      <c r="GF4" s="1182"/>
      <c r="GG4" s="1182"/>
      <c r="GH4" s="1182"/>
      <c r="GI4" s="1183"/>
    </row>
    <row r="5" spans="1:191" s="197" customFormat="1" ht="18" customHeight="1" x14ac:dyDescent="0.2">
      <c r="A5" s="198"/>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row>
    <row r="6" spans="1:191" ht="29.25" customHeight="1" thickBot="1" x14ac:dyDescent="0.65">
      <c r="A6" s="1184" t="s">
        <v>558</v>
      </c>
      <c r="B6" s="1184"/>
      <c r="C6" s="1184"/>
      <c r="D6" s="1184"/>
      <c r="E6" s="1184"/>
      <c r="F6" s="1184"/>
      <c r="G6" s="1184"/>
      <c r="H6" s="1184"/>
      <c r="I6" s="1184"/>
      <c r="J6" s="1184"/>
      <c r="K6" s="1184"/>
      <c r="L6" s="1184"/>
      <c r="M6" s="1184"/>
      <c r="N6" s="1184"/>
      <c r="O6" s="1184"/>
      <c r="P6" s="1184"/>
      <c r="Q6" s="1184"/>
      <c r="R6" s="1184"/>
      <c r="S6" s="1184"/>
      <c r="T6" s="1184"/>
      <c r="U6" s="1184"/>
      <c r="V6" s="1185" t="s">
        <v>557</v>
      </c>
      <c r="W6" s="1185"/>
      <c r="X6" s="1185"/>
      <c r="Y6" s="1185"/>
      <c r="Z6" s="1185"/>
      <c r="AA6" s="1185"/>
      <c r="AB6" s="1185"/>
      <c r="AC6" s="1185"/>
      <c r="AD6" s="1185"/>
      <c r="AE6" s="1185"/>
      <c r="AG6" s="1184" t="s">
        <v>558</v>
      </c>
      <c r="AH6" s="1184"/>
      <c r="AI6" s="1184"/>
      <c r="AJ6" s="1184"/>
      <c r="AK6" s="1184"/>
      <c r="AL6" s="1184"/>
      <c r="AM6" s="1184"/>
      <c r="AN6" s="1184"/>
      <c r="AO6" s="1184"/>
      <c r="AP6" s="1184"/>
      <c r="AQ6" s="1184"/>
      <c r="AR6" s="1184"/>
      <c r="AS6" s="1184"/>
      <c r="AT6" s="1184"/>
      <c r="AU6" s="1184"/>
      <c r="AV6" s="1184"/>
      <c r="AW6" s="1184"/>
      <c r="AX6" s="1184"/>
      <c r="AY6" s="1184"/>
      <c r="AZ6" s="1184"/>
      <c r="BA6" s="1184"/>
      <c r="BB6" s="1185" t="s">
        <v>557</v>
      </c>
      <c r="BC6" s="1185"/>
      <c r="BD6" s="1185"/>
      <c r="BE6" s="1185"/>
      <c r="BF6" s="1185"/>
      <c r="BG6" s="1185"/>
      <c r="BH6" s="1185"/>
      <c r="BI6" s="1185"/>
      <c r="BJ6" s="1185"/>
      <c r="BK6" s="1185"/>
      <c r="BM6" s="1184" t="s">
        <v>558</v>
      </c>
      <c r="BN6" s="1184"/>
      <c r="BO6" s="1184"/>
      <c r="BP6" s="1184"/>
      <c r="BQ6" s="1184"/>
      <c r="BR6" s="1184"/>
      <c r="BS6" s="1184"/>
      <c r="BT6" s="1184"/>
      <c r="BU6" s="1184"/>
      <c r="BV6" s="1184"/>
      <c r="BW6" s="1184"/>
      <c r="BX6" s="1184"/>
      <c r="BY6" s="1184"/>
      <c r="BZ6" s="1184"/>
      <c r="CA6" s="1184"/>
      <c r="CB6" s="1184"/>
      <c r="CC6" s="1184"/>
      <c r="CD6" s="1184"/>
      <c r="CE6" s="1184"/>
      <c r="CF6" s="1184"/>
      <c r="CG6" s="1184"/>
      <c r="CH6" s="1185" t="s">
        <v>557</v>
      </c>
      <c r="CI6" s="1185"/>
      <c r="CJ6" s="1185"/>
      <c r="CK6" s="1185"/>
      <c r="CL6" s="1185"/>
      <c r="CM6" s="1185"/>
      <c r="CN6" s="1185"/>
      <c r="CO6" s="1185"/>
      <c r="CP6" s="1185"/>
      <c r="CQ6" s="1185"/>
      <c r="CS6" s="1184" t="s">
        <v>558</v>
      </c>
      <c r="CT6" s="1184"/>
      <c r="CU6" s="1184"/>
      <c r="CV6" s="1184"/>
      <c r="CW6" s="1184"/>
      <c r="CX6" s="1184"/>
      <c r="CY6" s="1184"/>
      <c r="CZ6" s="1184"/>
      <c r="DA6" s="1184"/>
      <c r="DB6" s="1184"/>
      <c r="DC6" s="1184"/>
      <c r="DD6" s="1184"/>
      <c r="DE6" s="1184"/>
      <c r="DF6" s="1184"/>
      <c r="DG6" s="1184"/>
      <c r="DH6" s="1184"/>
      <c r="DI6" s="1184"/>
      <c r="DJ6" s="1184"/>
      <c r="DK6" s="1184"/>
      <c r="DL6" s="1184"/>
      <c r="DM6" s="1184"/>
      <c r="DN6" s="1185" t="s">
        <v>557</v>
      </c>
      <c r="DO6" s="1185"/>
      <c r="DP6" s="1185"/>
      <c r="DQ6" s="1185"/>
      <c r="DR6" s="1185"/>
      <c r="DS6" s="1185"/>
      <c r="DT6" s="1185"/>
      <c r="DU6" s="1185"/>
      <c r="DV6" s="1185"/>
      <c r="DW6" s="1185"/>
      <c r="DY6" s="1184" t="s">
        <v>558</v>
      </c>
      <c r="DZ6" s="1184"/>
      <c r="EA6" s="1184"/>
      <c r="EB6" s="1184"/>
      <c r="EC6" s="1184"/>
      <c r="ED6" s="1184"/>
      <c r="EE6" s="1184"/>
      <c r="EF6" s="1184"/>
      <c r="EG6" s="1184"/>
      <c r="EH6" s="1184"/>
      <c r="EI6" s="1184"/>
      <c r="EJ6" s="1184"/>
      <c r="EK6" s="1184"/>
      <c r="EL6" s="1184"/>
      <c r="EM6" s="1184"/>
      <c r="EN6" s="1184"/>
      <c r="EO6" s="1184"/>
      <c r="EP6" s="1184"/>
      <c r="EQ6" s="1184"/>
      <c r="ER6" s="1184"/>
      <c r="ES6" s="1184"/>
      <c r="ET6" s="1185" t="s">
        <v>557</v>
      </c>
      <c r="EU6" s="1185"/>
      <c r="EV6" s="1185"/>
      <c r="EW6" s="1185"/>
      <c r="EX6" s="1185"/>
      <c r="EY6" s="1185"/>
      <c r="EZ6" s="1185"/>
      <c r="FA6" s="1185"/>
      <c r="FB6" s="1185"/>
      <c r="FC6" s="1185"/>
      <c r="FE6" s="1184" t="s">
        <v>558</v>
      </c>
      <c r="FF6" s="1184"/>
      <c r="FG6" s="1184"/>
      <c r="FH6" s="1184"/>
      <c r="FI6" s="1184"/>
      <c r="FJ6" s="1184"/>
      <c r="FK6" s="1184"/>
      <c r="FL6" s="1184"/>
      <c r="FM6" s="1184"/>
      <c r="FN6" s="1184"/>
      <c r="FO6" s="1184"/>
      <c r="FP6" s="1184"/>
      <c r="FQ6" s="1184"/>
      <c r="FR6" s="1184"/>
      <c r="FS6" s="1184"/>
      <c r="FT6" s="1184"/>
      <c r="FU6" s="1184"/>
      <c r="FV6" s="1184"/>
      <c r="FW6" s="1184"/>
      <c r="FX6" s="1184"/>
      <c r="FY6" s="1184"/>
      <c r="FZ6" s="1185" t="s">
        <v>557</v>
      </c>
      <c r="GA6" s="1185"/>
      <c r="GB6" s="1185"/>
      <c r="GC6" s="1185"/>
      <c r="GD6" s="1185"/>
      <c r="GE6" s="1185"/>
      <c r="GF6" s="1185"/>
      <c r="GG6" s="1185"/>
      <c r="GH6" s="1185"/>
      <c r="GI6" s="1185"/>
    </row>
    <row r="7" spans="1:191" ht="20.25" customHeight="1" thickBot="1" x14ac:dyDescent="0.65">
      <c r="A7" s="1186" t="s">
        <v>17</v>
      </c>
      <c r="B7" s="1188" t="s">
        <v>551</v>
      </c>
      <c r="C7" s="1188" t="s">
        <v>550</v>
      </c>
      <c r="D7" s="1190" t="s">
        <v>39</v>
      </c>
      <c r="E7" s="1192" t="s">
        <v>454</v>
      </c>
      <c r="F7" s="1192"/>
      <c r="G7" s="1192"/>
      <c r="H7" s="1192"/>
      <c r="I7" s="1188" t="s">
        <v>504</v>
      </c>
      <c r="J7" s="1188"/>
      <c r="K7" s="1193" t="s">
        <v>555</v>
      </c>
      <c r="L7" s="1194"/>
      <c r="M7" s="1194"/>
      <c r="N7" s="1194"/>
      <c r="O7" s="1194"/>
      <c r="P7" s="1195"/>
      <c r="Q7" s="1188" t="s">
        <v>173</v>
      </c>
      <c r="R7" s="1188"/>
      <c r="S7" s="1188"/>
      <c r="T7" s="1188"/>
      <c r="U7" s="1196"/>
      <c r="V7" s="200"/>
      <c r="W7" s="201"/>
      <c r="X7" s="201"/>
      <c r="Y7" s="201"/>
      <c r="Z7" s="201"/>
      <c r="AA7" s="201"/>
      <c r="AB7" s="201"/>
      <c r="AC7" s="201"/>
      <c r="AD7" s="201"/>
      <c r="AE7" s="201"/>
      <c r="AG7" s="1186" t="s">
        <v>17</v>
      </c>
      <c r="AH7" s="1188" t="s">
        <v>551</v>
      </c>
      <c r="AI7" s="1188" t="s">
        <v>550</v>
      </c>
      <c r="AJ7" s="1190" t="s">
        <v>39</v>
      </c>
      <c r="AK7" s="1192" t="s">
        <v>454</v>
      </c>
      <c r="AL7" s="1192"/>
      <c r="AM7" s="1192"/>
      <c r="AN7" s="1192"/>
      <c r="AO7" s="1188" t="s">
        <v>504</v>
      </c>
      <c r="AP7" s="1188"/>
      <c r="AQ7" s="1193" t="s">
        <v>555</v>
      </c>
      <c r="AR7" s="1194"/>
      <c r="AS7" s="1194"/>
      <c r="AT7" s="1194"/>
      <c r="AU7" s="1194"/>
      <c r="AV7" s="1195"/>
      <c r="AW7" s="1188" t="s">
        <v>173</v>
      </c>
      <c r="AX7" s="1188"/>
      <c r="AY7" s="1188"/>
      <c r="AZ7" s="1188"/>
      <c r="BA7" s="1196"/>
      <c r="BB7" s="200"/>
      <c r="BC7" s="201"/>
      <c r="BD7" s="201"/>
      <c r="BE7" s="201"/>
      <c r="BF7" s="201"/>
      <c r="BG7" s="201"/>
      <c r="BH7" s="201"/>
      <c r="BI7" s="201"/>
      <c r="BJ7" s="201"/>
      <c r="BK7" s="201"/>
      <c r="BM7" s="1186" t="s">
        <v>17</v>
      </c>
      <c r="BN7" s="1188" t="s">
        <v>551</v>
      </c>
      <c r="BO7" s="1188" t="s">
        <v>550</v>
      </c>
      <c r="BP7" s="1190" t="s">
        <v>39</v>
      </c>
      <c r="BQ7" s="1192" t="s">
        <v>454</v>
      </c>
      <c r="BR7" s="1192"/>
      <c r="BS7" s="1192"/>
      <c r="BT7" s="1192"/>
      <c r="BU7" s="1188" t="s">
        <v>504</v>
      </c>
      <c r="BV7" s="1188"/>
      <c r="BW7" s="1193" t="s">
        <v>555</v>
      </c>
      <c r="BX7" s="1194"/>
      <c r="BY7" s="1194"/>
      <c r="BZ7" s="1194"/>
      <c r="CA7" s="1194"/>
      <c r="CB7" s="1195"/>
      <c r="CC7" s="1188" t="s">
        <v>173</v>
      </c>
      <c r="CD7" s="1188"/>
      <c r="CE7" s="1188"/>
      <c r="CF7" s="1188"/>
      <c r="CG7" s="1196"/>
      <c r="CH7" s="200"/>
      <c r="CI7" s="201"/>
      <c r="CJ7" s="201"/>
      <c r="CK7" s="201"/>
      <c r="CL7" s="201"/>
      <c r="CM7" s="201"/>
      <c r="CN7" s="201"/>
      <c r="CO7" s="201"/>
      <c r="CP7" s="201"/>
      <c r="CQ7" s="201"/>
      <c r="CS7" s="1186" t="s">
        <v>17</v>
      </c>
      <c r="CT7" s="1188" t="s">
        <v>551</v>
      </c>
      <c r="CU7" s="1188" t="s">
        <v>550</v>
      </c>
      <c r="CV7" s="1190" t="s">
        <v>39</v>
      </c>
      <c r="CW7" s="1192" t="s">
        <v>454</v>
      </c>
      <c r="CX7" s="1192"/>
      <c r="CY7" s="1192"/>
      <c r="CZ7" s="1192"/>
      <c r="DA7" s="1188" t="s">
        <v>504</v>
      </c>
      <c r="DB7" s="1188"/>
      <c r="DC7" s="1193" t="s">
        <v>555</v>
      </c>
      <c r="DD7" s="1194"/>
      <c r="DE7" s="1194"/>
      <c r="DF7" s="1194"/>
      <c r="DG7" s="1194"/>
      <c r="DH7" s="1195"/>
      <c r="DI7" s="1188" t="s">
        <v>173</v>
      </c>
      <c r="DJ7" s="1188"/>
      <c r="DK7" s="1188"/>
      <c r="DL7" s="1188"/>
      <c r="DM7" s="1196"/>
      <c r="DN7" s="200"/>
      <c r="DO7" s="201"/>
      <c r="DP7" s="201"/>
      <c r="DQ7" s="201"/>
      <c r="DR7" s="201"/>
      <c r="DS7" s="201"/>
      <c r="DT7" s="201"/>
      <c r="DU7" s="201"/>
      <c r="DV7" s="201"/>
      <c r="DW7" s="201"/>
      <c r="DY7" s="1186" t="s">
        <v>17</v>
      </c>
      <c r="DZ7" s="1188" t="s">
        <v>551</v>
      </c>
      <c r="EA7" s="1188" t="s">
        <v>550</v>
      </c>
      <c r="EB7" s="1190" t="s">
        <v>39</v>
      </c>
      <c r="EC7" s="1192" t="s">
        <v>454</v>
      </c>
      <c r="ED7" s="1192"/>
      <c r="EE7" s="1192"/>
      <c r="EF7" s="1192"/>
      <c r="EG7" s="1188" t="s">
        <v>504</v>
      </c>
      <c r="EH7" s="1188"/>
      <c r="EI7" s="1193" t="s">
        <v>555</v>
      </c>
      <c r="EJ7" s="1194"/>
      <c r="EK7" s="1194"/>
      <c r="EL7" s="1194"/>
      <c r="EM7" s="1194"/>
      <c r="EN7" s="1195"/>
      <c r="EO7" s="1188" t="s">
        <v>173</v>
      </c>
      <c r="EP7" s="1188"/>
      <c r="EQ7" s="1188"/>
      <c r="ER7" s="1188"/>
      <c r="ES7" s="1196"/>
      <c r="ET7" s="200"/>
      <c r="EU7" s="201"/>
      <c r="EV7" s="201"/>
      <c r="EW7" s="201"/>
      <c r="EX7" s="201"/>
      <c r="EY7" s="201"/>
      <c r="EZ7" s="201"/>
      <c r="FA7" s="201"/>
      <c r="FB7" s="201"/>
      <c r="FC7" s="201"/>
      <c r="FE7" s="1186" t="s">
        <v>17</v>
      </c>
      <c r="FF7" s="1188" t="s">
        <v>551</v>
      </c>
      <c r="FG7" s="1188" t="s">
        <v>550</v>
      </c>
      <c r="FH7" s="1190" t="s">
        <v>39</v>
      </c>
      <c r="FI7" s="1192" t="s">
        <v>454</v>
      </c>
      <c r="FJ7" s="1192"/>
      <c r="FK7" s="1192"/>
      <c r="FL7" s="1192"/>
      <c r="FM7" s="1188" t="s">
        <v>504</v>
      </c>
      <c r="FN7" s="1188"/>
      <c r="FO7" s="1193" t="s">
        <v>555</v>
      </c>
      <c r="FP7" s="1194"/>
      <c r="FQ7" s="1194"/>
      <c r="FR7" s="1194"/>
      <c r="FS7" s="1194"/>
      <c r="FT7" s="1195"/>
      <c r="FU7" s="1188" t="s">
        <v>173</v>
      </c>
      <c r="FV7" s="1188"/>
      <c r="FW7" s="1188"/>
      <c r="FX7" s="1188"/>
      <c r="FY7" s="1196"/>
      <c r="FZ7" s="200"/>
      <c r="GA7" s="201"/>
      <c r="GB7" s="201"/>
      <c r="GC7" s="201"/>
      <c r="GD7" s="201"/>
      <c r="GE7" s="201"/>
      <c r="GF7" s="201"/>
      <c r="GG7" s="201"/>
      <c r="GH7" s="201"/>
      <c r="GI7" s="201"/>
    </row>
    <row r="8" spans="1:191" ht="218.25" customHeight="1" x14ac:dyDescent="0.2">
      <c r="A8" s="1187"/>
      <c r="B8" s="1189"/>
      <c r="C8" s="1189"/>
      <c r="D8" s="1191"/>
      <c r="E8" s="202" t="s">
        <v>33</v>
      </c>
      <c r="F8" s="202" t="s">
        <v>34</v>
      </c>
      <c r="G8" s="202" t="s">
        <v>35</v>
      </c>
      <c r="H8" s="202" t="s">
        <v>109</v>
      </c>
      <c r="I8" s="203" t="s">
        <v>41</v>
      </c>
      <c r="J8" s="203" t="s">
        <v>40</v>
      </c>
      <c r="K8" s="202" t="s">
        <v>510</v>
      </c>
      <c r="L8" s="202" t="s">
        <v>511</v>
      </c>
      <c r="M8" s="202" t="s">
        <v>512</v>
      </c>
      <c r="N8" s="202" t="s">
        <v>513</v>
      </c>
      <c r="O8" s="202" t="s">
        <v>514</v>
      </c>
      <c r="P8" s="202" t="s">
        <v>515</v>
      </c>
      <c r="Q8" s="204" t="s">
        <v>176</v>
      </c>
      <c r="R8" s="204" t="s">
        <v>177</v>
      </c>
      <c r="S8" s="204" t="s">
        <v>174</v>
      </c>
      <c r="T8" s="204" t="s">
        <v>175</v>
      </c>
      <c r="U8" s="205" t="s">
        <v>463</v>
      </c>
      <c r="V8" s="206"/>
      <c r="W8" s="207" t="s">
        <v>30</v>
      </c>
      <c r="X8" s="208" t="s">
        <v>552</v>
      </c>
      <c r="Y8" s="208" t="s">
        <v>228</v>
      </c>
      <c r="Z8" s="208" t="s">
        <v>507</v>
      </c>
      <c r="AA8" s="208" t="s">
        <v>508</v>
      </c>
      <c r="AB8" s="208" t="s">
        <v>458</v>
      </c>
      <c r="AC8" s="208" t="s">
        <v>459</v>
      </c>
      <c r="AD8" s="209" t="s">
        <v>460</v>
      </c>
      <c r="AE8" s="197"/>
      <c r="AG8" s="1187"/>
      <c r="AH8" s="1189"/>
      <c r="AI8" s="1189"/>
      <c r="AJ8" s="1191"/>
      <c r="AK8" s="202" t="s">
        <v>33</v>
      </c>
      <c r="AL8" s="202" t="s">
        <v>34</v>
      </c>
      <c r="AM8" s="202" t="s">
        <v>35</v>
      </c>
      <c r="AN8" s="202" t="s">
        <v>109</v>
      </c>
      <c r="AO8" s="203" t="s">
        <v>41</v>
      </c>
      <c r="AP8" s="203" t="s">
        <v>40</v>
      </c>
      <c r="AQ8" s="202" t="s">
        <v>510</v>
      </c>
      <c r="AR8" s="202" t="s">
        <v>511</v>
      </c>
      <c r="AS8" s="202" t="s">
        <v>512</v>
      </c>
      <c r="AT8" s="202" t="s">
        <v>513</v>
      </c>
      <c r="AU8" s="202" t="s">
        <v>514</v>
      </c>
      <c r="AV8" s="202" t="s">
        <v>515</v>
      </c>
      <c r="AW8" s="204" t="s">
        <v>176</v>
      </c>
      <c r="AX8" s="204" t="s">
        <v>177</v>
      </c>
      <c r="AY8" s="204" t="s">
        <v>174</v>
      </c>
      <c r="AZ8" s="204" t="s">
        <v>175</v>
      </c>
      <c r="BA8" s="205" t="s">
        <v>463</v>
      </c>
      <c r="BB8" s="206"/>
      <c r="BC8" s="207" t="s">
        <v>30</v>
      </c>
      <c r="BD8" s="208" t="s">
        <v>552</v>
      </c>
      <c r="BE8" s="208" t="s">
        <v>228</v>
      </c>
      <c r="BF8" s="208" t="s">
        <v>507</v>
      </c>
      <c r="BG8" s="208" t="s">
        <v>508</v>
      </c>
      <c r="BH8" s="208" t="s">
        <v>458</v>
      </c>
      <c r="BI8" s="208" t="s">
        <v>459</v>
      </c>
      <c r="BJ8" s="209" t="s">
        <v>460</v>
      </c>
      <c r="BK8" s="197"/>
      <c r="BM8" s="1187"/>
      <c r="BN8" s="1189"/>
      <c r="BO8" s="1189"/>
      <c r="BP8" s="1191"/>
      <c r="BQ8" s="202" t="s">
        <v>33</v>
      </c>
      <c r="BR8" s="202" t="s">
        <v>34</v>
      </c>
      <c r="BS8" s="202" t="s">
        <v>35</v>
      </c>
      <c r="BT8" s="202" t="s">
        <v>109</v>
      </c>
      <c r="BU8" s="203" t="s">
        <v>41</v>
      </c>
      <c r="BV8" s="203" t="s">
        <v>40</v>
      </c>
      <c r="BW8" s="202" t="s">
        <v>510</v>
      </c>
      <c r="BX8" s="202" t="s">
        <v>511</v>
      </c>
      <c r="BY8" s="202" t="s">
        <v>512</v>
      </c>
      <c r="BZ8" s="202" t="s">
        <v>513</v>
      </c>
      <c r="CA8" s="202" t="s">
        <v>514</v>
      </c>
      <c r="CB8" s="202" t="s">
        <v>515</v>
      </c>
      <c r="CC8" s="204" t="s">
        <v>176</v>
      </c>
      <c r="CD8" s="204" t="s">
        <v>177</v>
      </c>
      <c r="CE8" s="204" t="s">
        <v>174</v>
      </c>
      <c r="CF8" s="204" t="s">
        <v>175</v>
      </c>
      <c r="CG8" s="205" t="s">
        <v>463</v>
      </c>
      <c r="CH8" s="206"/>
      <c r="CI8" s="207" t="s">
        <v>30</v>
      </c>
      <c r="CJ8" s="208" t="s">
        <v>552</v>
      </c>
      <c r="CK8" s="208" t="s">
        <v>228</v>
      </c>
      <c r="CL8" s="208" t="s">
        <v>507</v>
      </c>
      <c r="CM8" s="208" t="s">
        <v>508</v>
      </c>
      <c r="CN8" s="208" t="s">
        <v>458</v>
      </c>
      <c r="CO8" s="208" t="s">
        <v>459</v>
      </c>
      <c r="CP8" s="209" t="s">
        <v>460</v>
      </c>
      <c r="CQ8" s="197"/>
      <c r="CS8" s="1187"/>
      <c r="CT8" s="1189"/>
      <c r="CU8" s="1189"/>
      <c r="CV8" s="1191"/>
      <c r="CW8" s="202" t="s">
        <v>33</v>
      </c>
      <c r="CX8" s="202" t="s">
        <v>34</v>
      </c>
      <c r="CY8" s="202" t="s">
        <v>35</v>
      </c>
      <c r="CZ8" s="202" t="s">
        <v>109</v>
      </c>
      <c r="DA8" s="203" t="s">
        <v>41</v>
      </c>
      <c r="DB8" s="203" t="s">
        <v>40</v>
      </c>
      <c r="DC8" s="202" t="s">
        <v>510</v>
      </c>
      <c r="DD8" s="202" t="s">
        <v>511</v>
      </c>
      <c r="DE8" s="202" t="s">
        <v>512</v>
      </c>
      <c r="DF8" s="202" t="s">
        <v>513</v>
      </c>
      <c r="DG8" s="202" t="s">
        <v>514</v>
      </c>
      <c r="DH8" s="202" t="s">
        <v>515</v>
      </c>
      <c r="DI8" s="204" t="s">
        <v>176</v>
      </c>
      <c r="DJ8" s="204" t="s">
        <v>177</v>
      </c>
      <c r="DK8" s="204" t="s">
        <v>174</v>
      </c>
      <c r="DL8" s="204" t="s">
        <v>175</v>
      </c>
      <c r="DM8" s="205" t="s">
        <v>463</v>
      </c>
      <c r="DN8" s="206"/>
      <c r="DO8" s="207" t="s">
        <v>30</v>
      </c>
      <c r="DP8" s="208" t="s">
        <v>552</v>
      </c>
      <c r="DQ8" s="208" t="s">
        <v>228</v>
      </c>
      <c r="DR8" s="208" t="s">
        <v>507</v>
      </c>
      <c r="DS8" s="208" t="s">
        <v>508</v>
      </c>
      <c r="DT8" s="208" t="s">
        <v>458</v>
      </c>
      <c r="DU8" s="208" t="s">
        <v>459</v>
      </c>
      <c r="DV8" s="209" t="s">
        <v>460</v>
      </c>
      <c r="DW8" s="197"/>
      <c r="DY8" s="1187"/>
      <c r="DZ8" s="1189"/>
      <c r="EA8" s="1189"/>
      <c r="EB8" s="1191"/>
      <c r="EC8" s="202" t="s">
        <v>33</v>
      </c>
      <c r="ED8" s="202" t="s">
        <v>34</v>
      </c>
      <c r="EE8" s="202" t="s">
        <v>35</v>
      </c>
      <c r="EF8" s="202" t="s">
        <v>109</v>
      </c>
      <c r="EG8" s="203" t="s">
        <v>41</v>
      </c>
      <c r="EH8" s="203" t="s">
        <v>40</v>
      </c>
      <c r="EI8" s="202" t="s">
        <v>510</v>
      </c>
      <c r="EJ8" s="202" t="s">
        <v>511</v>
      </c>
      <c r="EK8" s="202" t="s">
        <v>512</v>
      </c>
      <c r="EL8" s="202" t="s">
        <v>513</v>
      </c>
      <c r="EM8" s="202" t="s">
        <v>514</v>
      </c>
      <c r="EN8" s="202" t="s">
        <v>515</v>
      </c>
      <c r="EO8" s="204" t="s">
        <v>176</v>
      </c>
      <c r="EP8" s="204" t="s">
        <v>177</v>
      </c>
      <c r="EQ8" s="204" t="s">
        <v>174</v>
      </c>
      <c r="ER8" s="204" t="s">
        <v>175</v>
      </c>
      <c r="ES8" s="205" t="s">
        <v>463</v>
      </c>
      <c r="ET8" s="206"/>
      <c r="EU8" s="207" t="s">
        <v>30</v>
      </c>
      <c r="EV8" s="208" t="s">
        <v>552</v>
      </c>
      <c r="EW8" s="208" t="s">
        <v>228</v>
      </c>
      <c r="EX8" s="208" t="s">
        <v>507</v>
      </c>
      <c r="EY8" s="208" t="s">
        <v>508</v>
      </c>
      <c r="EZ8" s="208" t="s">
        <v>458</v>
      </c>
      <c r="FA8" s="208" t="s">
        <v>459</v>
      </c>
      <c r="FB8" s="209" t="s">
        <v>460</v>
      </c>
      <c r="FC8" s="197"/>
      <c r="FE8" s="1187"/>
      <c r="FF8" s="1189"/>
      <c r="FG8" s="1189"/>
      <c r="FH8" s="1191"/>
      <c r="FI8" s="202" t="s">
        <v>33</v>
      </c>
      <c r="FJ8" s="202" t="s">
        <v>34</v>
      </c>
      <c r="FK8" s="202" t="s">
        <v>35</v>
      </c>
      <c r="FL8" s="202" t="s">
        <v>109</v>
      </c>
      <c r="FM8" s="203" t="s">
        <v>41</v>
      </c>
      <c r="FN8" s="203" t="s">
        <v>40</v>
      </c>
      <c r="FO8" s="202" t="s">
        <v>510</v>
      </c>
      <c r="FP8" s="202" t="s">
        <v>511</v>
      </c>
      <c r="FQ8" s="202" t="s">
        <v>512</v>
      </c>
      <c r="FR8" s="202" t="s">
        <v>513</v>
      </c>
      <c r="FS8" s="202" t="s">
        <v>514</v>
      </c>
      <c r="FT8" s="202" t="s">
        <v>515</v>
      </c>
      <c r="FU8" s="204" t="s">
        <v>176</v>
      </c>
      <c r="FV8" s="204" t="s">
        <v>177</v>
      </c>
      <c r="FW8" s="204" t="s">
        <v>174</v>
      </c>
      <c r="FX8" s="204" t="s">
        <v>175</v>
      </c>
      <c r="FY8" s="205" t="s">
        <v>463</v>
      </c>
      <c r="FZ8" s="206"/>
      <c r="GA8" s="207" t="s">
        <v>30</v>
      </c>
      <c r="GB8" s="208" t="s">
        <v>552</v>
      </c>
      <c r="GC8" s="208" t="s">
        <v>228</v>
      </c>
      <c r="GD8" s="208" t="s">
        <v>507</v>
      </c>
      <c r="GE8" s="208" t="s">
        <v>508</v>
      </c>
      <c r="GF8" s="208" t="s">
        <v>458</v>
      </c>
      <c r="GG8" s="208" t="s">
        <v>459</v>
      </c>
      <c r="GH8" s="209" t="s">
        <v>460</v>
      </c>
      <c r="GI8" s="197"/>
    </row>
    <row r="9" spans="1:191" ht="18" customHeight="1" x14ac:dyDescent="0.2">
      <c r="A9" s="210">
        <v>1</v>
      </c>
      <c r="B9" s="211" t="str">
        <f>IF(COUNTIF('Eval-Avant impact'!$A$761:$A$780,A9)&gt;0,SUM(IF('Eval-Avant impact'!$A$761=A9,'Eval-Avant impact'!$B$761,0),IF('Eval-Avant impact'!$A$762=A9, 'Eval-Avant impact'!$B$762,0),IF('Eval-Avant impact'!$A$763=A9, 'Eval-Avant impact'!$B$763,0),IF('Eval-Avant impact'!$A$764=A9, 'Eval-Avant impact'!$B$764,0),IF('Eval-Avant impact'!$A$765=A9, 'Eval-Avant impact'!$B$765,0),IF('Eval-Avant impact'!$A$766=A9, 'Eval-Avant impact'!$B$766,0),IF('Eval-Avant impact'!$A$767=A9, 'Eval-Avant impact'!$B$767,0),IF('Eval-Avant impact'!$A$768=A9, 'Eval-Avant impact'!$B$768,0),IF('Eval-Avant impact'!$A$769=A9, 'Eval-Avant impact'!$B$769,0),IF('Eval-Avant impact'!$A$770=A9, 'Eval-Avant impact'!$B$770,0),IF('Eval-Avant impact'!$A$771=A9, 'Eval-Avant impact'!$B$771,0),IF('Eval-Avant impact'!$A$772=A9, 'Eval-Avant impact'!$B$772,0),IF('Eval-Avant impact'!$A$773=A9, 'Eval-Avant impact'!$B$773,0),IF('Eval-Avant impact'!$A$774=A9, 'Eval-Avant impact'!$B$774,0),IF('Eval-Avant impact'!$A$775=A9, 'Eval-Avant impact'!$B$775,0),IF('Eval-Avant impact'!$A$776=A9, 'Eval-Avant impact'!$B$776,0),IF('Eval-Avant impact'!$A$777=A9, 'Eval-Avant impact'!$B$777,0),IF('Eval-Avant impact'!$A$778=A9, 'Eval-Avant impact'!$B$778,0),IF('Eval-Avant impact'!$A$779=A9, 'Eval-Avant impact'!$B$779,0),IF('Eval-Avant impact'!$A$780=A9, 'Eval-Avant impact'!$B$780,0))/COUNTIF('Eval-Avant impact'!$A$761:$A$780,A9),"")</f>
        <v/>
      </c>
      <c r="C9" s="212" t="str">
        <f>IF(COUNTIF('Eval-Avant impact'!$A$761:$A$780,A9)&gt;0,COUNTIF('Eval-Avant impact'!$A$761:$A$780,A9),"")</f>
        <v/>
      </c>
      <c r="D9" s="211" t="str">
        <f>IF(COUNTIF('Eval-Avant impact'!$A$761:$A$780,A9)&gt;0,IF(OR(AND('Eval-Avant impact'!$A$761=A9, 'Eval-Avant impact'!$G$761=""),AND('Eval-Avant impact'!$A$762=A9, 'Eval-Avant impact'!$G$762=""),AND('Eval-Avant impact'!$A$763=A9, 'Eval-Avant impact'!$G$763=""),AND('Eval-Avant impact'!$A$764=A9, 'Eval-Avant impact'!$G$764=""),AND('Eval-Avant impact'!$A$765=A9, 'Eval-Avant impact'!$G$765=""),AND('Eval-Avant impact'!$A$766=A9, 'Eval-Avant impact'!$G$766=""),AND('Eval-Avant impact'!$A$767=A9, 'Eval-Avant impact'!$G$767=""),AND('Eval-Avant impact'!$A$768=A9, 'Eval-Avant impact'!$G$768=""),AND('Eval-Avant impact'!$A$769=A9, 'Eval-Avant impact'!$G$769=""),AND('Eval-Avant impact'!$A$770=A9, 'Eval-Avant impact'!$G$770=""),AND('Eval-Avant impact'!$A$771=A9, 'Eval-Avant impact'!$G$771=""),AND('Eval-Avant impact'!$A$772=A9, 'Eval-Avant impact'!$G$772=""),AND('Eval-Avant impact'!$A$773=A9, 'Eval-Avant impact'!$G$773=""),AND('Eval-Avant impact'!$A$774=A9, 'Eval-Avant impact'!$G$774=""),AND('Eval-Avant impact'!$A$775=A9, 'Eval-Avant impact'!$G$775=""),AND('Eval-Avant impact'!$A$776=A9, 'Eval-Avant impact'!$G$776=""),AND('Eval-Avant impact'!$A$777=A9, 'Eval-Avant impact'!$G$777=""),AND('Eval-Avant impact'!$A$778=A9, 'Eval-Avant impact'!$G$778=""),AND('Eval-Avant impact'!$A$779=A9, 'Eval-Avant impact'!$G$779=""),AND('Eval-Avant impact'!$A$780=A9, 'Eval-Avant impact'!$G$780="")),"",SUM(IF('Eval-Avant impact'!$A$761=A9,'Eval-Avant impact'!$G$761,0),IF('Eval-Avant impact'!$A$762=A9,'Eval-Avant impact'!$G$762,0),IF('Eval-Avant impact'!$A$763=A9,'Eval-Avant impact'!$G$763,0),IF('Eval-Avant impact'!$A$764=A9,'Eval-Avant impact'!$G$764,0),IF('Eval-Avant impact'!$A$765=A9,'Eval-Avant impact'!$G$765,0),IF('Eval-Avant impact'!$A$766=A9,'Eval-Avant impact'!$G$766,0),IF('Eval-Avant impact'!$A$767=A9,'Eval-Avant impact'!$G$767,0),IF('Eval-Avant impact'!$A$768=A9,'Eval-Avant impact'!$G$768,0),IF('Eval-Avant impact'!$A$769=A9,'Eval-Avant impact'!$G$769,0),IF('Eval-Avant impact'!$A$770=A9,'Eval-Avant impact'!$G$770,0),IF('Eval-Avant impact'!$A$771=A9,'Eval-Avant impact'!$G$771,0),IF('Eval-Avant impact'!$A$772=A9,'Eval-Avant impact'!$G$772,0),IF('Eval-Avant impact'!$A$773=A9,'Eval-Avant impact'!$G$773,0),IF('Eval-Avant impact'!$A$774=A9,'Eval-Avant impact'!$G$774,0),IF('Eval-Avant impact'!$A$775=A9,'Eval-Avant impact'!$G$775,0), IF('Eval-Avant impact'!$A$776=A9,'Eval-Avant impact'!$G$776,0), IF('Eval-Avant impact'!$A$777=A9,'Eval-Avant impact'!$G$777,0), IF('Eval-Avant impact'!$A$778=A9,'Eval-Avant impact'!$G$778,0), IF('Eval-Avant impact'!$A$779=A9,'Eval-Avant impact'!$G$779,0), IF('Eval-Avant impact'!$A$780=A9,'Eval-Avant impact'!$G$780,0))/ COUNTIF('Eval-Avant impact'!$A$761:$A$780,A9)),"")</f>
        <v/>
      </c>
      <c r="E9" s="212" t="str">
        <f>IF(COUNTIF('Eval-Avant impact'!$A$761:$A$780,A9)&gt;0,IF(SUM(IF('Eval-Avant impact'!$A$761=A9,COUNTA('Eval-Avant impact'!$H$761),0),IF('Eval-Avant impact'!$A$762=A9,COUNTA('Eval-Avant impact'!$H$762),0),IF('Eval-Avant impact'!$A$763=A9,COUNTA('Eval-Avant impact'!$H$763),0),IF('Eval-Avant impact'!$A$764=A9,COUNTA('Eval-Avant impact'!$H$764),0),IF('Eval-Avant impact'!$A$765=A9,COUNTA('Eval-Avant impact'!$H$765),0),IF('Eval-Avant impact'!$A$766=A9,COUNTA('Eval-Avant impact'!$H$766),0),IF('Eval-Avant impact'!$A$767=A9,COUNTA('Eval-Avant impact'!$H$767),0),IF('Eval-Avant impact'!$A$768=A9,COUNTA('Eval-Avant impact'!$H$768),0),IF('Eval-Avant impact'!$A$769=A9,COUNTA('Eval-Avant impact'!$H$769),0),IF('Eval-Avant impact'!$A$770=A9,COUNTA('Eval-Avant impact'!$H$770),0),IF('Eval-Avant impact'!$A$771=A9,COUNTA('Eval-Avant impact'!$H$771),0),IF('Eval-Avant impact'!$A$772=A9,COUNTA('Eval-Avant impact'!$H$772),0),IF('Eval-Avant impact'!$A$773=A9,COUNTA('Eval-Avant impact'!$H$773),0),IF('Eval-Avant impact'!$A$774=A9,COUNTA('Eval-Avant impact'!$H$774),0),IF('Eval-Avant impact'!$A$775=A9,COUNTA('Eval-Avant impact'!$H$775),0),IF('Eval-Avant impact'!$A$776=A9,COUNTA('Eval-Avant impact'!$H$776),0),IF('Eval-Avant impact'!$A$777=A9,COUNTA('Eval-Avant impact'!$H$777),0),IF('Eval-Avant impact'!$A$778=A9,COUNTA('Eval-Avant impact'!$H$778),0),IF('Eval-Avant impact'!$A$779=A9,COUNTA('Eval-Avant impact'!$H$779),0),IF('Eval-Avant impact'!$A$780=A9,COUNTA('Eval-Avant impact'!$H$780),0))&gt;0,"X",0),"")</f>
        <v/>
      </c>
      <c r="F9" s="213" t="str">
        <f>IF(COUNTIF('Eval-Avant impact'!$A$761:$A$780,A9)&gt;0,IF(SUM(IF('Eval-Avant impact'!$A$761=A9,COUNTA('Eval-Avant impact'!$I$761),0),IF('Eval-Avant impact'!$A$762=A9,COUNTA('Eval-Avant impact'!$I$762),0),IF('Eval-Avant impact'!$A$763=A9,COUNTA('Eval-Avant impact'!$I$763),0),IF('Eval-Avant impact'!$A$764=A9,COUNTA('Eval-Avant impact'!$I$764),0),IF('Eval-Avant impact'!$A$765=A9,COUNTA('Eval-Avant impact'!$I$765),0),IF('Eval-Avant impact'!$A$766=A9,COUNTA('Eval-Avant impact'!$I$766),0),IF('Eval-Avant impact'!$A$767=A9,COUNTA('Eval-Avant impact'!$I$767),0),IF('Eval-Avant impact'!$A$768=A9,COUNTA('Eval-Avant impact'!$I$768),0),IF('Eval-Avant impact'!$A$769=A9,COUNTA('Eval-Avant impact'!$I$769),0),IF('Eval-Avant impact'!$A$770=A9,COUNTA('Eval-Avant impact'!$I$770),0),IF('Eval-Avant impact'!$A$771=A9,COUNTA('Eval-Avant impact'!$I$771),0),IF('Eval-Avant impact'!$A$772=A9,COUNTA('Eval-Avant impact'!$I$772),0),IF('Eval-Avant impact'!$A$773=A9,COUNTA('Eval-Avant impact'!$I$773),0),IF('Eval-Avant impact'!$A$774=A9,COUNTA('Eval-Avant impact'!$I$774),0),IF('Eval-Avant impact'!$A$775=A9,COUNTA('Eval-Avant impact'!$I$775),0),IF('Eval-Avant impact'!$A$776=A9,COUNTA('Eval-Avant impact'!$I$776),0),IF('Eval-Avant impact'!$A$777=A9,COUNTA('Eval-Avant impact'!$I$777),0),IF('Eval-Avant impact'!$A$778=A9,COUNTA('Eval-Avant impact'!$I$778),0),IF('Eval-Avant impact'!$A$779=A9,COUNTA('Eval-Avant impact'!$I$779),0),IF('Eval-Avant impact'!$A$780=A9,COUNTA('Eval-Avant impact'!$I$780),0))&gt;0,"X",0),"")</f>
        <v/>
      </c>
      <c r="G9" s="213" t="str">
        <f>IF(COUNTIF('Eval-Avant impact'!$A$761:$A$780,A9)&gt;0,IF(SUM(IF('Eval-Avant impact'!$A$761=A9,COUNTA('Eval-Avant impact'!$J$761),0),IF('Eval-Avant impact'!$A$762=A9,COUNTA('Eval-Avant impact'!$J$762),0),IF('Eval-Avant impact'!$A$763=A9,COUNTA('Eval-Avant impact'!$J$763),0),IF('Eval-Avant impact'!$A$764=A9,COUNTA('Eval-Avant impact'!$J$764),0),IF('Eval-Avant impact'!$A$765=A9,COUNTA('Eval-Avant impact'!$J$765),0),IF('Eval-Avant impact'!$A$766=A9,COUNTA('Eval-Avant impact'!$J$766),0),IF('Eval-Avant impact'!$A$767=A9,COUNTA('Eval-Avant impact'!$J$767),0),IF('Eval-Avant impact'!$A$768=A9,COUNTA('Eval-Avant impact'!$J$768),0),IF('Eval-Avant impact'!$A$769=A9,COUNTA('Eval-Avant impact'!$J$769),0),IF('Eval-Avant impact'!$A$770=A9,COUNTA('Eval-Avant impact'!$J$770),0),IF('Eval-Avant impact'!$A$771=A9,COUNTA('Eval-Avant impact'!$J$771),0),IF('Eval-Avant impact'!$A$772=A9,COUNTA('Eval-Avant impact'!$J$772),0),IF('Eval-Avant impact'!$A$773=A9,COUNTA('Eval-Avant impact'!$J$773),0),IF('Eval-Avant impact'!$A$774=A9,COUNTA('Eval-Avant impact'!$J$774),0),IF('Eval-Avant impact'!$A$775=A9,COUNTA('Eval-Avant impact'!$J$775),0),IF('Eval-Avant impact'!$A$776=A9,COUNTA('Eval-Avant impact'!$J$776),0),IF('Eval-Avant impact'!$A$777=A9,COUNTA('Eval-Avant impact'!$J$777),0),IF('Eval-Avant impact'!$A$778=A9,COUNTA('Eval-Avant impact'!$J$778),0),IF('Eval-Avant impact'!$A$779=A9,COUNTA('Eval-Avant impact'!$J$779),0),IF('Eval-Avant impact'!$A$780=A9,COUNTA('Eval-Avant impact'!$J$780),0))&gt;0,"X",0),"")</f>
        <v/>
      </c>
      <c r="H9" s="213" t="str">
        <f>IF(COUNTIF('Eval-Avant impact'!$A$761:$A$780,A9)&gt;0,IF(SUM(IF('Eval-Avant impact'!$A$761=A9,COUNTA('Eval-Avant impact'!$K$761),0),IF('Eval-Avant impact'!$A$762=A9,COUNTA('Eval-Avant impact'!$K$762),0),IF('Eval-Avant impact'!$A$763=A9,COUNTA('Eval-Avant impact'!$K$763),0),IF('Eval-Avant impact'!$A$764=A9,COUNTA('Eval-Avant impact'!$K$764),0),IF('Eval-Avant impact'!$A$765=A9,COUNTA('Eval-Avant impact'!$K$765),0),IF('Eval-Avant impact'!$A$766=A9,COUNTA('Eval-Avant impact'!$K$766),0),IF('Eval-Avant impact'!$A$767=A9,COUNTA('Eval-Avant impact'!$K$767),0),IF('Eval-Avant impact'!$A$768=A9,COUNTA('Eval-Avant impact'!$K$768),0),IF('Eval-Avant impact'!$A$769=A9,COUNTA('Eval-Avant impact'!$K$769),0),IF('Eval-Avant impact'!$A$770=A9,COUNTA('Eval-Avant impact'!$K$770),0),IF('Eval-Avant impact'!$A$771=A9,COUNTA('Eval-Avant impact'!$K$771),0),IF('Eval-Avant impact'!$A$772=A9,COUNTA('Eval-Avant impact'!$K$772),0),IF('Eval-Avant impact'!$A$773=A9,COUNTA('Eval-Avant impact'!$K$773),0),IF('Eval-Avant impact'!$A$774=A9,COUNTA('Eval-Avant impact'!$K$774),0),IF('Eval-Avant impact'!$A$775=A9,COUNTA('Eval-Avant impact'!$K$775),0),IF('Eval-Avant impact'!$A$776=A9,COUNTA('Eval-Avant impact'!$K$776),0),IF('Eval-Avant impact'!$A$777=A9,COUNTA('Eval-Avant impact'!$K$777),0),IF('Eval-Avant impact'!$A$778=A9,COUNTA('Eval-Avant impact'!$K$778),0),IF('Eval-Avant impact'!$A$779=A9,COUNTA('Eval-Avant impact'!$K$779),0),IF('Eval-Avant impact'!$A$780=A9,COUNTA('Eval-Avant impact'!$K$780),0))&gt;0,"X",0),"")</f>
        <v/>
      </c>
      <c r="I9" s="211" t="str">
        <f>IF(COUNTIF('Eval-Avant impact'!$A$761:$A$780,A9)&gt;0,IF(OR(AND('Eval-Avant impact'!$A$761=A9,'Eval-Avant impact'!$L$761&lt;120,'Eval-Avant impact'!$L$761&gt;=X9),AND('Eval-Avant impact'!$A$762=A9,'Eval-Avant impact'!$L$762&lt;120,'Eval-Avant impact'!$L$762&gt;=X10),AND('Eval-Avant impact'!$A$763=A9,'Eval-Avant impact'!$L$763&lt;120,'Eval-Avant impact'!$L$763&gt;=X11),AND('Eval-Avant impact'!$A$764=A9,'Eval-Avant impact'!$L$764&lt;120,'Eval-Avant impact'!$L$764&gt;=X12),AND('Eval-Avant impact'!$A$765=A9,'Eval-Avant impact'!$L$765&lt;120,'Eval-Avant impact'!$L$765&gt;=X13),AND('Eval-Avant impact'!$A$766=A9,'Eval-Avant impact'!$L$766&lt;120,'Eval-Avant impact'!$L$766&gt;=X14),AND('Eval-Avant impact'!$A$767=A9,'Eval-Avant impact'!$L$767&lt;120,'Eval-Avant impact'!$L$767&gt;=X15),AND('Eval-Avant impact'!$A$768=A9,'Eval-Avant impact'!$L$768&lt;120,'Eval-Avant impact'!$L$768&gt;=X16),AND('Eval-Avant impact'!$A$769=A9,'Eval-Avant impact'!$L$769&lt;120,'Eval-Avant impact'!$L$769&gt;=X17),AND('Eval-Avant impact'!$A$770=A9,'Eval-Avant impact'!$L$770&lt;120,'Eval-Avant impact'!$L$770&gt;=X18),AND('Eval-Avant impact'!$A$771=A9,'Eval-Avant impact'!$L$771&lt;120,'Eval-Avant impact'!$L$771&gt;=X19),AND('Eval-Avant impact'!$A$772=A9,'Eval-Avant impact'!$L$772&lt;120,'Eval-Avant impact'!$L$772&gt;=X20),AND('Eval-Avant impact'!$A$773=A9,'Eval-Avant impact'!$L$773&lt;120,'Eval-Avant impact'!$L$773&gt;=X21),AND('Eval-Avant impact'!$A$774=A9,'Eval-Avant impact'!$L$774&lt;120,'Eval-Avant impact'!$L$774&gt;=X22),AND('Eval-Avant impact'!$A$775=A9,'Eval-Avant impact'!$L$775&lt;120,'Eval-Avant impact'!$L$775&gt;=X23),AND('Eval-Avant impact'!$A$776=A9,'Eval-Avant impact'!$L$776&lt;120,'Eval-Avant impact'!$L$776&gt;=X24),AND('Eval-Avant impact'!$A$777=A9,'Eval-Avant impact'!$L$777&lt;120,'Eval-Avant impact'!$L$777&gt;=X25),AND('Eval-Avant impact'!$A$778=A9,'Eval-Avant impact'!$L$778&lt;120,'Eval-Avant impact'!$L$778&gt;=X26),AND('Eval-Avant impact'!$A$779=A9,'Eval-Avant impact'!$L$779&lt;120,'Eval-Avant impact'!$L$779&gt;=X27),AND('Eval-Avant impact'!$A$780=A9,'Eval-Avant impact'!$L$780&lt;120,'Eval-Avant impact'!$L$780&gt;=X28)),"",SUM(IF('Eval-Avant impact'!$A$761=A9,'Eval-Avant impact'!$L$761,0),IF('Eval-Avant impact'!$A$762=A9,'Eval-Avant impact'!$L$762,0),IF('Eval-Avant impact'!$A$763=A9,'Eval-Avant impact'!$L$763,0),IF('Eval-Avant impact'!$A$764=A9,'Eval-Avant impact'!$L$764,0),IF('Eval-Avant impact'!$A$765=A9,'Eval-Avant impact'!$L$765,0),IF('Eval-Avant impact'!$A$766=A9,'Eval-Avant impact'!$L$766,0),IF('Eval-Avant impact'!$A$767=A9,'Eval-Avant impact'!$L$767,0),IF('Eval-Avant impact'!$A$768=A9,'Eval-Avant impact'!$L$768,0),IF('Eval-Avant impact'!$A$769=A9,'Eval-Avant impact'!$L$769,0),IF('Eval-Avant impact'!$A$770=A9,'Eval-Avant impact'!$L$770,0),IF('Eval-Avant impact'!$A$771=A9,'Eval-Avant impact'!$L$771,0),IF('Eval-Avant impact'!$A$772=A9,'Eval-Avant impact'!$L$772,0),IF('Eval-Avant impact'!$A$773=A9,'Eval-Avant impact'!$L$773,0),IF('Eval-Avant impact'!$A$774=A9,'Eval-Avant impact'!$L$774,0),IF('Eval-Avant impact'!$A$775=A9,'Eval-Avant impact'!$L$775,0),IF('Eval-Avant impact'!$A$776=A9,'Eval-Avant impact'!$L$776,0),IF('Eval-Avant impact'!$A$777=A9,'Eval-Avant impact'!$L$777,0),IF('Eval-Avant impact'!$A$778=A9,'Eval-Avant impact'!$L$778,0),IF('Eval-Avant impact'!$A$779=A9,'Eval-Avant impact'!$L$779,0),IF('Eval-Avant impact'!$A$780=A9,'Eval-Avant impact'!$L$780,0))/ COUNTIF('Eval-Avant impact'!$A$761:$A$780,A9)),"")</f>
        <v/>
      </c>
      <c r="J9" s="211" t="str">
        <f>IF(COUNTIF('Eval-Avant impact'!$A$761:$A$780,A9)&gt;0,IF(OR(AND('Eval-Avant impact'!$A$761=A9, X9&lt;120),AND(X10&lt;120),AND(X11&lt;120),AND(X12&lt;120),AND(X13&lt;120),AND(X14&lt;120),AND(X15&lt;120),AND(X16&lt;120),AND(X17&lt;120),AND(X18&lt;120),AND(X19&lt;120),AND(X20&lt;120),AND(X21&lt;120),AND(X22&lt;120),AND(X23&lt;120),AND(X24&lt;120),AND(X25&lt;120),AND(X26&lt;120),AND(X27&lt;120),AND(X28&lt;120)),"",SUM(IF('Eval-Avant impact'!$A$761=A9,'Eval-Avant impact'!$M$761,0),IF('Eval-Avant impact'!$A$762=A9,'Eval-Avant impact'!$M$762,0),IF('Eval-Avant impact'!$A$763=A9,'Eval-Avant impact'!$M$763,0),IF('Eval-Avant impact'!$A$764=A9,'Eval-Avant impact'!$M$764,0),IF('Eval-Avant impact'!$A$765=A9,'Eval-Avant impact'!$M$765,0),IF('Eval-Avant impact'!$A$766=A9,'Eval-Avant impact'!$M$766,0),IF('Eval-Avant impact'!$A$767=A9,'Eval-Avant impact'!$M$767,0),IF('Eval-Avant impact'!$A$768=A9,'Eval-Avant impact'!$M$768,0),IF('Eval-Avant impact'!$A$769=A9,'Eval-Avant impact'!$M$769,0),IF('Eval-Avant impact'!$A$770=A9,'Eval-Avant impact'!$M$770,0),IF('Eval-Avant impact'!$A$771=A9,'Eval-Avant impact'!$M$771,0),IF('Eval-Avant impact'!$A$772=A9,'Eval-Avant impact'!$M$772,0),IF('Eval-Avant impact'!$A$773=A9,'Eval-Avant impact'!$M$773,0),IF('Eval-Avant impact'!$A$774=A9,'Eval-Avant impact'!$M$774,0),IF('Eval-Avant impact'!$A$775=A9,'Eval-Avant impact'!$M$775,0), IF('Eval-Avant impact'!$A$776=A9,'Eval-Avant impact'!$M$776,0), IF('Eval-Avant impact'!$A$777=A9,'Eval-Avant impact'!$M$777,0), IF('Eval-Avant impact'!$A$778=A9,'Eval-Avant impact'!$M$778,0), IF('Eval-Avant impact'!$A$779=A9,'Eval-Avant impact'!$M$779,0), IF('Eval-Avant impact'!$A$780=A9,'Eval-Avant impact'!$M$780,0))/COUNTIF('Eval-Avant impact'!$A$761:$A$780,A9)),"")</f>
        <v/>
      </c>
      <c r="K9" s="211" t="str">
        <f>IF(COUNTIF('Eval-Avant impact'!$A$761:$A$780,A9)&gt;0,SUM(IF('Eval-Avant impact'!$A$761=A9,LEN(SUBSTITUTE((SUBSTITUTE(Z9,"TM","")),"TS",""))*10/2,0),IF('Eval-Avant impact'!$A$762=A9,LEN(SUBSTITUTE((SUBSTITUTE(Z10,"TM","")),"TS",""))*10/2,0),IF('Eval-Avant impact'!$A$763=A9,LEN(SUBSTITUTE((SUBSTITUTE(Z11,"TM","")),"TS",""))*10/2,0),IF('Eval-Avant impact'!$A$764=A9,LEN(SUBSTITUTE((SUBSTITUTE(Z12,"TM","")),"TS",""))*10/2,0),IF('Eval-Avant impact'!$A$765=A9,LEN(SUBSTITUTE((SUBSTITUTE(Z13,"TM","")),"TS",""))*10/2,0),IF('Eval-Avant impact'!$A$766=A9,LEN(SUBSTITUTE((SUBSTITUTE(Z14,"TM","")),"TS",""))*10/2,0),IF('Eval-Avant impact'!$A$767=A9,LEN(SUBSTITUTE((SUBSTITUTE(Z15,"TM","")),"TS",""))*10/2,0),IF('Eval-Avant impact'!$A$768=A9,LEN(SUBSTITUTE((SUBSTITUTE(Z16,"TM","")),"TS",""))*10/2,0),IF('Eval-Avant impact'!$A$769=A9,LEN(SUBSTITUTE((SUBSTITUTE(Z17,"TM","")),"TS",""))*10/2,0),IF('Eval-Avant impact'!$A$770=A9,LEN(SUBSTITUTE((SUBSTITUTE(Z18,"TM","")),"TS",""))*10/2,0),IF('Eval-Avant impact'!$A$771=A9,LEN(SUBSTITUTE((SUBSTITUTE(Z19,"TM","")),"TS",""))*10/2,0),IF('Eval-Avant impact'!$A$772=A9,LEN(SUBSTITUTE((SUBSTITUTE(Z20,"TM","")),"TS",""))*10/2,0),IF('Eval-Avant impact'!$A$773=A9,LEN(SUBSTITUTE((SUBSTITUTE(Z21,"TM","")),"TS",""))*10/2,0),IF('Eval-Avant impact'!$A$774=A9,LEN(SUBSTITUTE((SUBSTITUTE(Z22,"TM","")),"TS",""))*10/2,0),IF('Eval-Avant impact'!$A$775=A9,LEN(SUBSTITUTE((SUBSTITUTE(Z23,"TM","")),"TS",""))*10/2,0),IF('Eval-Avant impact'!$A$776=A9,LEN(SUBSTITUTE((SUBSTITUTE(Z24,"TM","")),"TS",""))*10/2,0),IF('Eval-Avant impact'!$A$777=A9,LEN(SUBSTITUTE((SUBSTITUTE(Z25,"TM","")),"TS",""))*10/2,0),IF('Eval-Avant impact'!$A$778=A9,LEN(SUBSTITUTE((SUBSTITUTE(Z26,"TM","")),"TS",""))*10/2,0),IF('Eval-Avant impact'!$A$779=A9,LEN(SUBSTITUTE((SUBSTITUTE(Z27,"TM","")),"TS",""))*10/2,0),IF('Eval-Avant impact'!$A$780=A9,LEN(SUBSTITUTE((SUBSTITUTE(Z28,"TM","")),"TS",""))*10/2,0))/COUNTIF('Eval-Avant impact'!$A$761:$A$780,A9),"")</f>
        <v/>
      </c>
      <c r="L9" s="211" t="str">
        <f>IF(COUNTIF('Eval-Avant impact'!$A$761:$A$780,A9)&gt;0,SUM(IF('Eval-Avant impact'!$A$761=A9,LEN(SUBSTITUTE((SUBSTITUTE(Z9,"TF","")),"TS",""))*10/2,0),IF('Eval-Avant impact'!$A$762=A9,LEN(SUBSTITUTE((SUBSTITUTE(Z10,"TF","")),"TS",""))*10/2,0),IF('Eval-Avant impact'!$A$763=A9,LEN(SUBSTITUTE((SUBSTITUTE(Z11,"TF","")),"TS",""))*10/2,0),IF('Eval-Avant impact'!$A$764=A9,LEN(SUBSTITUTE((SUBSTITUTE(Z12,"TF","")),"TS",""))*10/2,0),IF('Eval-Avant impact'!$A$765=A9,LEN(SUBSTITUTE((SUBSTITUTE(Z13,"TF","")),"TS",""))*10/2,0),IF('Eval-Avant impact'!$A$766=A9,LEN(SUBSTITUTE((SUBSTITUTE(Z14,"TF","")),"TS",""))*10/2,0),IF('Eval-Avant impact'!$A$767=A9,LEN(SUBSTITUTE((SUBSTITUTE(Z15,"TF","")),"TS",""))*10/2,0),IF('Eval-Avant impact'!$A$768=A9,LEN(SUBSTITUTE((SUBSTITUTE(Z16,"TF","")),"TS",""))*10/2,0),IF('Eval-Avant impact'!$A$769=A9,LEN(SUBSTITUTE((SUBSTITUTE(Z17,"TF","")),"TS",""))*10/2,0),IF('Eval-Avant impact'!$A$770=A9,LEN(SUBSTITUTE((SUBSTITUTE(Z18,"TF","")),"TS",""))*10/2,0),IF('Eval-Avant impact'!$A$771=A9,LEN(SUBSTITUTE((SUBSTITUTE(Z19,"TF","")),"TS",""))*10/2,0),IF('Eval-Avant impact'!$A$772=A9,LEN(SUBSTITUTE((SUBSTITUTE(Z20,"TF","")),"TS",""))*10/2,0),IF('Eval-Avant impact'!$A$773=A9,LEN(SUBSTITUTE((SUBSTITUTE(Z21,"TF","")),"TS",""))*10/2,0),IF('Eval-Avant impact'!$A$774=A9,LEN(SUBSTITUTE((SUBSTITUTE(Z22,"TF","")),"TS",""))*10/2,0),IF('Eval-Avant impact'!$A$775=A9,LEN(SUBSTITUTE((SUBSTITUTE(Z23,"TF","")),"TS",""))*10/2,0),IF('Eval-Avant impact'!$A$776=A9,LEN(SUBSTITUTE((SUBSTITUTE(Z24,"TF","")),"TS",""))*10/2,0),IF('Eval-Avant impact'!$A$777=A9,LEN(SUBSTITUTE((SUBSTITUTE(Z25,"TF","")),"TS",""))*10/2,0),IF('Eval-Avant impact'!$A$778=A9,LEN(SUBSTITUTE((SUBSTITUTE(Z26,"TF","")),"TS",""))*10/2,0),IF('Eval-Avant impact'!$A$779=A9,LEN(SUBSTITUTE((SUBSTITUTE(Z27,"TF","")),"TS",""))*10/2,0),IF('Eval-Avant impact'!$A$780=A9,LEN(SUBSTITUTE((SUBSTITUTE(Z28,"TF","")),"TS",""))*10/2,0))/COUNTIF('Eval-Avant impact'!$A$761:$A$780,A9),"")</f>
        <v/>
      </c>
      <c r="M9" s="211" t="str">
        <f>IF(COUNTIF('Eval-Avant impact'!$A$761:$A$780,A9)&gt;0,SUM(IF('Eval-Avant impact'!$A$761=A9,LEN(SUBSTITUTE((SUBSTITUTE(Z9,"TF","")),"TM",""))*10/2,0),IF('Eval-Avant impact'!$A$762=A9,LEN(SUBSTITUTE((SUBSTITUTE(Z10,"TF","")),"TM",""))*10/2,0),IF('Eval-Avant impact'!$A$763=A9,LEN(SUBSTITUTE((SUBSTITUTE(Z11,"TF","")),"TM",""))*10/2,0),IF('Eval-Avant impact'!$A$764=A9,LEN(SUBSTITUTE((SUBSTITUTE(Z12,"TF","")),"TM",""))*10/2,0),IF('Eval-Avant impact'!$A$765=A9,LEN(SUBSTITUTE((SUBSTITUTE(Z13,"TF","")),"TM",""))*10/2,0),IF('Eval-Avant impact'!$A$766=A9,LEN(SUBSTITUTE((SUBSTITUTE(Z14,"TF","")),"TM",""))*10/2,0),IF('Eval-Avant impact'!$A$767=A9,LEN(SUBSTITUTE((SUBSTITUTE(Z15,"TF","")),"TM",""))*10/2,0),IF('Eval-Avant impact'!$A$768=A9,LEN(SUBSTITUTE((SUBSTITUTE(Z16,"TF","")),"TM",""))*10/2,0),IF('Eval-Avant impact'!$A$769=A9,LEN(SUBSTITUTE((SUBSTITUTE(Z17,"TF","")),"TM",""))*10/2,0),IF('Eval-Avant impact'!$A$770=A9,LEN(SUBSTITUTE((SUBSTITUTE(Z18,"TF","")),"TM",""))*10/2,0),IF('Eval-Avant impact'!$A$771=A9,LEN(SUBSTITUTE((SUBSTITUTE(Z19,"TF","")),"TM",""))*10/2,0),IF('Eval-Avant impact'!$A$772=A9,LEN(SUBSTITUTE((SUBSTITUTE(Z20,"TF","")),"TM",""))*10/2,0),IF('Eval-Avant impact'!$A$773=A9,LEN(SUBSTITUTE((SUBSTITUTE(Z21,"TF","")),"TM",""))*10/2,0),IF('Eval-Avant impact'!$A$774=A9,LEN(SUBSTITUTE((SUBSTITUTE(Z22,"TF","")),"TM",""))*10/2,0),IF('Eval-Avant impact'!$A$775=A9,LEN(SUBSTITUTE((SUBSTITUTE(Z23,"TF","")),"TM",""))*10/2,0),IF('Eval-Avant impact'!$A$776=A9,LEN(SUBSTITUTE((SUBSTITUTE(Z24,"TF","")),"TM",""))*10/2,0),IF('Eval-Avant impact'!$A$777=A9,LEN(SUBSTITUTE((SUBSTITUTE(Z25,"TF","")),"TM",""))*10/2,0),IF('Eval-Avant impact'!$A$778=A9,LEN(SUBSTITUTE((SUBSTITUTE(Z26,"TF","")),"TM",""))*10/2,0),IF('Eval-Avant impact'!$A$779=A9,LEN(SUBSTITUTE((SUBSTITUTE(Z27,"TF","")),"TM",""))*10/2,0),IF('Eval-Avant impact'!$A$780=A9,LEN(SUBSTITUTE((SUBSTITUTE(Z28,"TF","")),"TM",""))*10/2,0))/COUNTIF('Eval-Avant impact'!$A$761:$A$780,A9),"")</f>
        <v/>
      </c>
      <c r="N9" s="211" t="str">
        <f>IF(COUNTIF('Eval-Avant impact'!$A$761:$A$780,A9)&gt;0,SUM(IF('Eval-Avant impact'!$A$761=A9,LEN(SUBSTITUTE((SUBSTITUTE(AA9,"TM","")),"TS",""))*10/2,0),IF('Eval-Avant impact'!$A$762=A9,LEN(SUBSTITUTE((SUBSTITUTE(AA10,"TM","")),"TS",""))*10/2,0),IF('Eval-Avant impact'!$A$763=A9,LEN(SUBSTITUTE((SUBSTITUTE(AA11,"TM","")),"TS",""))*10/2,0),IF('Eval-Avant impact'!$A$764=A9,LEN(SUBSTITUTE((SUBSTITUTE(AA12,"TM","")),"TS",""))*10/2,0),IF('Eval-Avant impact'!$A$765=A9,LEN(SUBSTITUTE((SUBSTITUTE(AA13,"TM","")),"TS",""))*10/2,0),IF('Eval-Avant impact'!$A$766=A9,LEN(SUBSTITUTE((SUBSTITUTE(AA14,"TM","")),"TS",""))*10/2,0),IF('Eval-Avant impact'!$A$767=A9,LEN(SUBSTITUTE((SUBSTITUTE(AA15,"TM","")),"TS",""))*10/2,0),IF('Eval-Avant impact'!$A$768=A9,LEN(SUBSTITUTE((SUBSTITUTE(AA16,"TM","")),"TS",""))*10/2,0),IF('Eval-Avant impact'!$A$769=A9,LEN(SUBSTITUTE((SUBSTITUTE(AA17,"TM","")),"TS",""))*10/2,0),IF('Eval-Avant impact'!$A$770=A9,LEN(SUBSTITUTE((SUBSTITUTE(AA18,"TM","")),"TS",""))*10/2,0),IF('Eval-Avant impact'!$A$771=A9,LEN(SUBSTITUTE((SUBSTITUTE(AA19,"TM","")),"TS",""))*10/2,0),IF('Eval-Avant impact'!$A$772=A9,LEN(SUBSTITUTE((SUBSTITUTE(AA20,"TM","")),"TS",""))*10/2,0),IF('Eval-Avant impact'!$A$773=A9,LEN(SUBSTITUTE((SUBSTITUTE(AA21,"TM","")),"TS",""))*10/2,0),IF('Eval-Avant impact'!$A$774=A9,LEN(SUBSTITUTE((SUBSTITUTE(AA22,"TM","")),"TS",""))*10/2,0),IF('Eval-Avant impact'!$A$775=A9,LEN(SUBSTITUTE((SUBSTITUTE(AA23,"TM","")),"TS",""))*10/2,0),IF('Eval-Avant impact'!$A$776=A9,LEN(SUBSTITUTE((SUBSTITUTE(AA24,"TM","")),"TS",""))*10/2,0),IF('Eval-Avant impact'!$A$777=A9,LEN(SUBSTITUTE((SUBSTITUTE(AA25,"TM","")),"TS",""))*10/2,0),IF('Eval-Avant impact'!$A$778=A9,LEN(SUBSTITUTE((SUBSTITUTE(AA26,"TM","")),"TS",""))*10/2,0),IF('Eval-Avant impact'!$A$779=A9,LEN(SUBSTITUTE((SUBSTITUTE(AA27,"TM","")),"TS",""))*10/2,0),IF('Eval-Avant impact'!$A$780=A9,LEN(SUBSTITUTE((SUBSTITUTE(AA28,"TM","")),"TS",""))*10/2,0))/COUNTIF('Eval-Avant impact'!$A$761:$A$780,A9),"")</f>
        <v/>
      </c>
      <c r="O9" s="211" t="str">
        <f>IF(COUNTIF('Eval-Avant impact'!$A$761:$A$780,A9)&gt;0,SUM(IF('Eval-Avant impact'!$A$761=A9,LEN(SUBSTITUTE((SUBSTITUTE(AA9,"TF","")),"TS",""))*10/2,0),IF('Eval-Avant impact'!$A$762=A9,LEN(SUBSTITUTE((SUBSTITUTE(AA10,"TF","")),"TS",""))*10/2,0),IF('Eval-Avant impact'!$A$763=A9,LEN(SUBSTITUTE((SUBSTITUTE(AA11,"TF","")),"TS",""))*10/2,0),IF('Eval-Avant impact'!$A$764=A9,LEN(SUBSTITUTE((SUBSTITUTE(AA12,"TF","")),"TS",""))*10/2,0),IF('Eval-Avant impact'!$A$765=A9,LEN(SUBSTITUTE((SUBSTITUTE(AA13,"TF","")),"TS",""))*10/2,0),IF('Eval-Avant impact'!$A$766=A9,LEN(SUBSTITUTE((SUBSTITUTE(AA14,"TF","")),"TS",""))*10/2,0),IF('Eval-Avant impact'!$A$767=A9,LEN(SUBSTITUTE((SUBSTITUTE(AA15,"TF","")),"TS",""))*10/2,0),IF('Eval-Avant impact'!$A$768=A9,LEN(SUBSTITUTE((SUBSTITUTE(AA16,"TF","")),"TS",""))*10/2,0),IF('Eval-Avant impact'!$A$769=A9,LEN(SUBSTITUTE((SUBSTITUTE(AA17,"TF","")),"TS",""))*10/2,0),IF('Eval-Avant impact'!$A$770=A9,LEN(SUBSTITUTE((SUBSTITUTE(AA18,"TF","")),"TS",""))*10/2,0),IF('Eval-Avant impact'!$A$771=A9,LEN(SUBSTITUTE((SUBSTITUTE(AA19,"TF","")),"TS",""))*10/2,0),IF('Eval-Avant impact'!$A$772=A9,LEN(SUBSTITUTE((SUBSTITUTE(AA20,"TF","")),"TS",""))*10/2,0),IF('Eval-Avant impact'!$A$773=A9,LEN(SUBSTITUTE((SUBSTITUTE(AA21,"TF","")),"TS",""))*10/2,0),IF('Eval-Avant impact'!$A$774=A9,LEN(SUBSTITUTE((SUBSTITUTE(AA22,"TF","")),"TS",""))*10/2,0),IF('Eval-Avant impact'!$A$775=A9,LEN(SUBSTITUTE((SUBSTITUTE(AA23,"TF","")),"TS",""))*10/2,0),IF('Eval-Avant impact'!$A$776=A9,LEN(SUBSTITUTE((SUBSTITUTE(AA24,"TF","")),"TS",""))*10/2,0),IF('Eval-Avant impact'!$A$777=A9,LEN(SUBSTITUTE((SUBSTITUTE(AA25,"TF","")),"TS",""))*10/2,0),IF('Eval-Avant impact'!$A$778=A9,LEN(SUBSTITUTE((SUBSTITUTE(AA26,"TF","")),"TS",""))*10/2,0),IF('Eval-Avant impact'!$A$779=A9,LEN(SUBSTITUTE((SUBSTITUTE(AA27,"TF","")),"TS",""))*10/2,0),IF('Eval-Avant impact'!$A$780=A9,LEN(SUBSTITUTE((SUBSTITUTE(AA28,"TF","")),"TS",""))*10/2,0))/COUNTIF('Eval-Avant impact'!$A$761:$A$780,A9),"")</f>
        <v/>
      </c>
      <c r="P9" s="211" t="str">
        <f>IF(COUNTIF('Eval-Avant impact'!$A$761:$A$780,A9)&gt;0,SUM(IF('Eval-Avant impact'!$A$761=A9,LEN(SUBSTITUTE((SUBSTITUTE(AA9,"TF","")),"TM",""))*10/2,0),IF('Eval-Avant impact'!$A$762=A9,LEN(SUBSTITUTE((SUBSTITUTE(AA10,"TF","")),"TM",""))*10/2,0),IF('Eval-Avant impact'!$A$763=A9,LEN(SUBSTITUTE((SUBSTITUTE(AA11,"TF","")),"TM",""))*10/2,0),IF('Eval-Avant impact'!$A$764=A9,LEN(SUBSTITUTE((SUBSTITUTE(AA12,"TF","")),"TM",""))*10/2,0),IF('Eval-Avant impact'!$A$765=A9,LEN(SUBSTITUTE((SUBSTITUTE(AA13,"TF","")),"TM",""))*10/2,0),IF('Eval-Avant impact'!$A$766=A9,LEN(SUBSTITUTE((SUBSTITUTE(AA14,"TF","")),"TM",""))*10/2,0),IF('Eval-Avant impact'!$A$767=A9,LEN(SUBSTITUTE((SUBSTITUTE(AA15,"TF","")),"TM",""))*10/2,0),IF('Eval-Avant impact'!$A$768=A9,LEN(SUBSTITUTE((SUBSTITUTE(AA16,"TF","")),"TM",""))*10/2,0),IF('Eval-Avant impact'!$A$769=A9,LEN(SUBSTITUTE((SUBSTITUTE(AA17,"TF","")),"TM",""))*10/2,0),IF('Eval-Avant impact'!$A$770=A9,LEN(SUBSTITUTE((SUBSTITUTE(AA18,"TF","")),"TM",""))*10/2,0),IF('Eval-Avant impact'!$A$771=A9,LEN(SUBSTITUTE((SUBSTITUTE(AA19,"TF","")),"TM",""))*10/2,0),IF('Eval-Avant impact'!$A$772=A9,LEN(SUBSTITUTE((SUBSTITUTE(AA20,"TF","")),"TM",""))*10/2,0),IF('Eval-Avant impact'!$A$773=A9,LEN(SUBSTITUTE((SUBSTITUTE(AA21,"TF","")),"TM",""))*10/2,0),IF('Eval-Avant impact'!$A$774=A9,LEN(SUBSTITUTE((SUBSTITUTE(AA22,"TF","")),"TM",""))*10/2,0),IF('Eval-Avant impact'!$A$775=A9,LEN(SUBSTITUTE((SUBSTITUTE(AA23,"TF","")),"TM",""))*10/2,0),IF('Eval-Avant impact'!$A$776=A9,LEN(SUBSTITUTE((SUBSTITUTE(AA24,"TF","")),"TM",""))*10/2,0),IF('Eval-Avant impact'!$A$777=A9,LEN(SUBSTITUTE((SUBSTITUTE(AA25,"TF","")),"TM",""))*10/2,0),IF('Eval-Avant impact'!$A$778=A9,LEN(SUBSTITUTE((SUBSTITUTE(AA26,"TF","")),"TM",""))*10/2,0),IF('Eval-Avant impact'!$A$779=A9,LEN(SUBSTITUTE((SUBSTITUTE(AA27,"TF","")),"TM",""))*10/2,0),IF('Eval-Avant impact'!$A$780=A9,LEN(SUBSTITUTE((SUBSTITUTE(AA28,"TF","")),"TM",""))*10/2,0))/COUNTIF('Eval-Avant impact'!$A$761:$A$780,A9),"")</f>
        <v/>
      </c>
      <c r="Q9" s="211" t="str">
        <f>IF(COUNTIF('Eval-Avant impact'!$A$761:$A$780,A9)&gt;0,IF(OR(AND('Eval-Avant impact'!$A$761=A9,X9&lt;30),AND('Eval-Avant impact'!$A$762=A9,X10&lt;30),AND('Eval-Avant impact'!$A$763=A9,X11&lt;30),AND('Eval-Avant impact'!$A$764=A9,X12&lt;30),AND('Eval-Avant impact'!$A$765=A9,X13&lt;30),AND('Eval-Avant impact'!$A$766=A9,X14&lt;30),AND('Eval-Avant impact'!$A$767=A9,X15&lt;30),AND('Eval-Avant impact'!$A$768=A9,X16&lt;30),AND('Eval-Avant impact'!$A$769=A9,X17&lt;30),AND('Eval-Avant impact'!$A$770=A9,X18&lt;30),AND('Eval-Avant impact'!$A$771=A9,X19&lt;30),AND('Eval-Avant impact'!$A$772=A9,X20&lt;30),AND('Eval-Avant impact'!$A$773=A9,X21&lt;30),AND('Eval-Avant impact'!$A$774=A9,X22&lt;30),AND('Eval-Avant impact'!$A$775=A9,X23&lt;30),AND('Eval-Avant impact'!$A$776=A9,X24&lt;30),AND('Eval-Avant impact'!$A$777=A9,X25&lt;30),AND('Eval-Avant impact'!$A$778=A9,X26&lt;30),AND('Eval-Avant impact'!$A$779=A9,X27&lt;30),AND('Eval-Avant impact'!$A$780=A9,X28&lt;30)),"",SUM(0.1*(SUMPRODUCT(('Eval-Avant impact'!$A$761:$A$780=A9)*('Eval-Avant impact'!$N$761:$P$780="A"))+ SUMPRODUCT(('Eval-Avant impact'!$A$761:$A$780=A9)*('Eval-Avant impact'!$N$761:$P$780="AL"))),0.7*(SUMPRODUCT(('Eval-Avant impact'!$A$761:$A$780=A9)*('Eval-Avant impact'!$N$761:$P$780="TF"))+SUMPRODUCT(('Eval-Avant impact'!$A$761:$A$780=A9)*('Eval-Avant impact'!$N$761:$P$780="TM"))+SUMPRODUCT(('Eval-Avant impact'!$A$761:$A$780=A9)*('Eval-Avant impact'!$N$761:$P$780="TS"))),0.4*(SUMPRODUCT(('Eval-Avant impact'!$A$761:$A$780=A9)*('Eval-Avant impact'!$N$761:$P$780="LA"))+SUMPRODUCT(('Eval-Avant impact'!$A$761:$A$780=A9)*('Eval-Avant impact'!$N$761:$P$780="L"))+SUMPRODUCT(('Eval-Avant impact'!$A$761:$A$780=A9)*('Eval-Avant impact'!$N$761:$P$780="LS"))),1*(SUMPRODUCT(('Eval-Avant impact'!$A$761:$A$780=A9)*('Eval-Avant impact'!$N$761:$P$780="SL"))+ SUMPRODUCT(('Eval-Avant impact'!$A$761:$A$780=A9)*('Eval-Avant impact'!$N$761:$P$780="S"))))/(3*COUNTIF('Eval-Avant impact'!$A$761:$A$780,A9))),"")</f>
        <v/>
      </c>
      <c r="R9" s="211" t="str">
        <f>IF(COUNTIF('Eval-Avant impact'!$A$761:$A$780,A9)&gt;0,IF(OR(AND('Eval-Avant impact'!$A$761=A9,X9&lt;120),AND('Eval-Avant impact'!$A$762=A9,X10&lt;120),AND('Eval-Avant impact'!$A$763=A9,X11&lt;120),AND('Eval-Avant impact'!$A$764=A9,X12&lt;120),AND('Eval-Avant impact'!$A$765=A9,X13&lt;120),AND('Eval-Avant impact'!$A$766=A9,X14&lt;120),AND('Eval-Avant impact'!$A$767=A9,X15&lt;120),AND('Eval-Avant impact'!$A$768=A9,X16&lt;120),AND('Eval-Avant impact'!$A$769=A9,X17&lt;120),AND('Eval-Avant impact'!$A$770=A9,X18&lt;120),AND('Eval-Avant impact'!$A$771=A9,X19&lt;120),AND('Eval-Avant impact'!$A$772=A9,X20&lt;120),AND('Eval-Avant impact'!$A$773=A9,X21&lt;120),AND('Eval-Avant impact'!$A$774=A9,X22&lt;120),AND('Eval-Avant impact'!$A$775=A9,X23&lt;120),AND('Eval-Avant impact'!$A$776=A9,X24&lt;120),AND('Eval-Avant impact'!$A$777=A9,X25&lt;120),AND('Eval-Avant impact'!$A$778=A9,X26&lt;120),AND('Eval-Avant impact'!$A$779=A9,X27&lt;120),AND('Eval-Avant impact'!$A$780=A9,X28&lt;120)),"",SUM(0.1*(SUMPRODUCT(('Eval-Avant impact'!$A$761:$A$780=A9)*('Eval-Avant impact'!$Q$761:$Y$780="A"))+ SUMPRODUCT(('Eval-Avant impact'!$A$761:$A$780=A9)*('Eval-Avant impact'!$Q$761:$Y$780="AL"))),0.7*(SUMPRODUCT(('Eval-Avant impact'!$A$761:$A$780=A9)*('Eval-Avant impact'!$Q$761:$Y$780="TF"))+SUMPRODUCT(('Eval-Avant impact'!$A$761:$A$780=A9)*('Eval-Avant impact'!$Q$761:$Y$780="TM"))+SUMPRODUCT(('Eval-Avant impact'!$A$761:$A$780=A9)*('Eval-Avant impact'!$Q$761:$Y$780="TS"))),0.4*(SUMPRODUCT(('Eval-Avant impact'!$A$761:$A$780=A9)*('Eval-Avant impact'!$Q$761:$Y$780="LA"))+SUMPRODUCT(('Eval-Avant impact'!$A$761:$A$780=A9)*('Eval-Avant impact'!$Q$761:$Y$780="L"))+SUMPRODUCT(('Eval-Avant impact'!$A$761:$A$780=A9)*('Eval-Avant impact'!$Q$761:$Y$780="LS"))),1*(SUMPRODUCT(('Eval-Avant impact'!$A$761:$A$780=A9)*('Eval-Avant impact'!$Q$761:$Y$780="SL"))+ SUMPRODUCT(('Eval-Avant impact'!$A$761:$A$780=A9)*('Eval-Avant impact'!$Q$761:$Y$780="S"))))/(9*COUNTIF('Eval-Avant impact'!$A$761:$A$780,A9))),"")</f>
        <v/>
      </c>
      <c r="S9" s="211" t="str">
        <f>IF(COUNTIF('Eval-Avant impact'!$A$761:$A$780,A9)&gt;0,IF(OR(AND('Eval-Avant impact'!$A$761=A9,OR(COUNTIF('Eval-Avant impact'!$N$761:$P$761,"*T*")&gt;0,X9&lt;30)),AND('Eval-Avant impact'!$A$762=A9,OR(COUNTIF('Eval-Avant impact'!$N$762:$P$762,"*T*")&gt;0,X10&lt;30)),AND('Eval-Avant impact'!$A$763=A9,OR(COUNTIF('Eval-Avant impact'!$N$763:$P$763,"*T*")&gt;0,X11&lt;30)),AND('Eval-Avant impact'!$A$764=A9,OR(COUNTIF('Eval-Avant impact'!$N$764:$P$764,"*T*")&gt;0,X12&lt;30)),AND('Eval-Avant impact'!$A$765=A9,OR(COUNTIF('Eval-Avant impact'!$N$765:$P$765,"*T*")&gt;0,X13&lt;30)),AND('Eval-Avant impact'!$A$766=A9,OR(COUNTIF('Eval-Avant impact'!$N$766:$P$766,"*T*")&gt;0,X14&lt;30)),AND('Eval-Avant impact'!$A$767=A9,OR(COUNTIF('Eval-Avant impact'!$N$767:$P$767,"*T*")&gt;0,X15&lt;30)),AND('Eval-Avant impact'!$A$768=A9,OR(COUNTIF('Eval-Avant impact'!$N$768:$P$768,"*T*")&gt;0,X16&lt;30)),AND('Eval-Avant impact'!$A$769=A9,OR(COUNTIF('Eval-Avant impact'!$N$769:$P$769,"*T*")&gt;0,X17&lt;30)),AND('Eval-Avant impact'!$A$770=A9,OR(COUNTIF('Eval-Avant impact'!$N$770:$P$770,"*T*")&gt;0,X18&lt;30)),AND('Eval-Avant impact'!$A$771=A9,OR(COUNTIF('Eval-Avant impact'!$N$771:$P$771,"*T*")&gt;0,X19&lt;30)),AND('Eval-Avant impact'!$A$772=A9,OR(COUNTIF('Eval-Avant impact'!$N$772:$P$772,"*T*")&gt;0,X20&lt;30)),AND('Eval-Avant impact'!$A$773=A9,OR(COUNTIF('Eval-Avant impact'!$N$773:$P$773,"*T*")&gt;0,X21&lt;30)),AND('Eval-Avant impact'!$A$774=A9,OR(COUNTIF('Eval-Avant impact'!$N$774:$P$774,"*T*")&gt;0,X22&lt;30)),AND('Eval-Avant impact'!$A$775=A9,OR(COUNTIF('Eval-Avant impact'!$N$775:$P$775,"*T*")&gt;0,X23&lt;30)),AND('Eval-Avant impact'!$A$776=A9,OR(COUNTIF('Eval-Avant impact'!$N$776:$P$776,"*T*")&gt;0,X24&lt;30)),AND('Eval-Avant impact'!$A$777=A9,OR(COUNTIF('Eval-Avant impact'!$N$777:$P$777,"*T*")&gt;0,X25&lt;30)),AND('Eval-Avant impact'!$A$778=A9,OR(COUNTIF('Eval-Avant impact'!$N$778:$P$778,"*T*")&gt;0,X26&lt;30)),AND('Eval-Avant impact'!$A$779=A9,OR(COUNTIF('Eval-Avant impact'!$N$779:$P$779,"*T*")&gt;0,X27&lt;30)),AND('Eval-Avant impact'!$A$780=A9,OR(COUNTIF('Eval-Avant impact'!$N$780:$P$780,"*T*")&gt;0,X28&lt;30))),"",SUM(0.1*(SUMPRODUCT(('Eval-Avant impact'!$A$761:$A$780=A9)*('Eval-Avant impact'!$N$761:$P$780="L"))),0.4*(SUMPRODUCT(('Eval-Avant impact'!$A$761:$A$780=A9)*('Eval-Avant impact'!$N$761:$P$780="LA"))+SUMPRODUCT(('Eval-Avant impact'!$A$761:$A$780=A9)*('Eval-Avant impact'!$N$761:$P$780="LS"))),0.7*(SUMPRODUCT(('Eval-Avant impact'!$A$761:$A$780=A9)*('Eval-Avant impact'!$N$761:$P$780="AL"))+SUMPRODUCT(('Eval-Avant impact'!$A$761:$A$780=A9)*('Eval-Avant impact'!$N$761:$P$780="SL"))),1*(SUMPRODUCT(('Eval-Avant impact'!$A$761:$A$780=A9)*('Eval-Avant impact'!$N$761:$P$780="S"))+ SUMPRODUCT(('Eval-Avant impact'!$A$761:$A$780=A9)*('Eval-Avant impact'!$N$761:$P$780="A"))))/(3*COUNTIF('Eval-Avant impact'!$A$761:$A$780,A9))),"")</f>
        <v/>
      </c>
      <c r="T9" s="211" t="str">
        <f>IF(COUNTIF('Eval-Avant impact'!$A$761:$A$780,A9)&gt;0,IF(OR(AND('Eval-Avant impact'!$A$761=A9,OR(COUNTIF('Eval-Avant impact'!$N$761:$P$761,"*T*")&gt;0,X9&lt;30)),AND('Eval-Avant impact'!$A$762=A9,OR(COUNTIF('Eval-Avant impact'!$N$762:$P$762,"*T*")&gt;0,X10&lt;30)),AND('Eval-Avant impact'!$A$763=A9,OR(COUNTIF('Eval-Avant impact'!$N$763:$P$763,"*T*")&gt;0,X11&lt;30)),AND('Eval-Avant impact'!$A$764=A9,OR(COUNTIF('Eval-Avant impact'!$N$764:$P$764,"*T*")&gt;0,X12&lt;30)),AND('Eval-Avant impact'!$A$765=A9,OR(COUNTIF('Eval-Avant impact'!$N$765:$P$765,"*T*")&gt;0,X13&lt;30)),AND('Eval-Avant impact'!$A$766=A9,OR(COUNTIF('Eval-Avant impact'!$N$766:$P$766,"*T*")&gt;0,X14&lt;30)),AND('Eval-Avant impact'!$A$767=A9,OR(COUNTIF('Eval-Avant impact'!$N$767:$P$767,"*T*")&gt;0,X15&lt;30)),AND('Eval-Avant impact'!$A$768=A9,OR(COUNTIF('Eval-Avant impact'!$N$768:$P$768,"*T*")&gt;0,X16&lt;30)),AND('Eval-Avant impact'!$A$769=A9,OR(COUNTIF('Eval-Avant impact'!$N$769:$P$769,"*T*")&gt;0,X17&lt;30)),AND('Eval-Avant impact'!$A$770=A9,OR(COUNTIF('Eval-Avant impact'!$N$770:$P$770,"*T*")&gt;0,X18&lt;30)),AND('Eval-Avant impact'!$A$771=A9,OR(COUNTIF('Eval-Avant impact'!$N$771:$P$771,"*T*")&gt;0,X19&lt;30)),AND('Eval-Avant impact'!$A$772=A9,OR(COUNTIF('Eval-Avant impact'!$N$772:$P$772,"*T*")&gt;0,X20&lt;30)),AND('Eval-Avant impact'!$A$773=A9,OR(COUNTIF('Eval-Avant impact'!$N$773:$P$773,"*T*")&gt;0,X21&lt;30)),AND('Eval-Avant impact'!$A$774=A9,OR(COUNTIF('Eval-Avant impact'!$N$774:$P$774,"*T*")&gt;0,X22&lt;30)),AND('Eval-Avant impact'!$A$775=A9,OR(COUNTIF('Eval-Avant impact'!$N$775:$P$775,"*T*")&gt;0,X23&lt;30)),AND('Eval-Avant impact'!$A$776=A9,OR(COUNTIF('Eval-Avant impact'!$N$776:$P$776,"*T*")&gt;0,X24&lt;30)),AND('Eval-Avant impact'!$A$777=A9,OR(COUNTIF('Eval-Avant impact'!$N$777:$P$777,"*T*")&gt;0,X25&lt;30)),AND('Eval-Avant impact'!$A$778=A9,OR(COUNTIF('Eval-Avant impact'!$N$778:$P$778,"*T*")&gt;0,X26&lt;30)),AND('Eval-Avant impact'!$A$779=A9,OR(COUNTIF('Eval-Avant impact'!$N$779:$P$779,"*T*")&gt;0,X27&lt;30)),AND('Eval-Avant impact'!$A$780=A9,OR(COUNTIF('Eval-Avant impact'!$N$780:$P$780,"*T*")&gt;0,X28&lt;30))),"",SUM(1*(SUMPRODUCT(('Eval-Avant impact'!$A$761:$A$780=A9)*('Eval-Avant impact'!$N$761:$P$780="A"))),0.85*(SUMPRODUCT(('Eval-Avant impact'!$A$761:$A$780=A9)*('Eval-Avant impact'!$N$761:$P$780="AL"))),0.7*(SUMPRODUCT(('Eval-Avant impact'!$A$761:$A$780=A9)*('Eval-Avant impact'!$N$761:$P$780="LA"))),0.55*(SUMPRODUCT(('Eval-Avant impact'!$A$761:$A$780=A9)*('Eval-Avant impact'!$N$761:$P$780="L"))),0.4*(SUMPRODUCT(('Eval-Avant impact'!$A$761:$A$780=A9)*('Eval-Avant impact'!$N$761:$P$780="LS"))),0.25*(SUMPRODUCT(('Eval-Avant impact'!$A$761:$A$780=A9)*('Eval-Avant impact'!$N$761:$P$780="SL"))),0.1*(SUMPRODUCT(('Eval-Avant impact'!$A$761:$A$780=A9)*('Eval-Avant impact'!$N$761:$P$780="S"))))/(3*COUNTIF('Eval-Avant impact'!$A$761:$A$780,A9))),"")</f>
        <v/>
      </c>
      <c r="U9" s="214" t="str">
        <f>IF(COUNTIF('Eval-Avant impact'!$A$761:$A$780,A9)&gt;0,IF(OR(AND('Eval-Avant impact'!$A$761=A9,OR(COUNTIF('Eval-Avant impact'!$Q$761:$Y$761,"*T*")&gt;0,X9&lt;120)),AND('Eval-Avant impact'!$A$762=A9,OR(COUNTIF('Eval-Avant impact'!$Q$762:$Y$762,"*T*")&gt;0,X10&lt;120)),AND('Eval-Avant impact'!$A$763=A9,OR(COUNTIF('Eval-Avant impact'!$Q$763:$Y$763,"*T*")&gt;0,X11&lt;120)),AND('Eval-Avant impact'!$A$764=A9,OR(COUNTIF('Eval-Avant impact'!$Q$764:$Y$764,"*T*")&gt;0,X12&lt;120)),AND('Eval-Avant impact'!$A$765=A9,OR(COUNTIF('Eval-Avant impact'!$Q$765:$Y$765,"*T*")&gt;0,X13&lt;120)),AND('Eval-Avant impact'!$A$766=A9,OR(COUNTIF('Eval-Avant impact'!$Q$766:$Y$766,"*T*")&gt;0,X14&lt;120)),AND('Eval-Avant impact'!$A$767=A9,OR(COUNTIF('Eval-Avant impact'!$Q$767:$Y$767,"*T*")&gt;0,X15&lt;120)),AND('Eval-Avant impact'!$A$768=A9,OR(COUNTIF('Eval-Avant impact'!$Q$768:$Y$768,"*T*")&gt;0,X16&lt;120)),AND('Eval-Avant impact'!$A$769=A9,OR(COUNTIF('Eval-Avant impact'!$Q$769:$Y$769,"*T*")&gt;0,X17&lt;120)),AND('Eval-Avant impact'!$A$770=A9,OR(COUNTIF('Eval-Avant impact'!$Q$770:$Y$770,"*T*")&gt;0,X18&lt;120)),AND('Eval-Avant impact'!$A$771=A9,OR(COUNTIF('Eval-Avant impact'!$Q$771:$Y$771,"*T*")&gt;0,X19&lt;120)),AND('Eval-Avant impact'!$A$772=A9,OR(COUNTIF('Eval-Avant impact'!$Q$772:$Y$772,"*T*")&gt;0,X20&lt;120)),AND('Eval-Avant impact'!$A$773=A9,OR(COUNTIF('Eval-Avant impact'!$Q$773:$Y$773,"*T*")&gt;0,X21&lt;120)),AND('Eval-Avant impact'!$A$774=A9,OR(COUNTIF('Eval-Avant impact'!$Q$774:$Y$774,"*T*")&gt;0,X22&lt;120)),AND('Eval-Avant impact'!$A$775=A9,OR(COUNTIF('Eval-Avant impact'!$Q$775:$Y$775,"*T*")&gt;0,X23&lt;120)),AND('Eval-Avant impact'!$A$776=A9,OR(COUNTIF('Eval-Avant impact'!$Q$776:$Y$776,"*T*")&gt;0,X24&lt;120)),AND('Eval-Avant impact'!$A$777=A9,OR(COUNTIF('Eval-Avant impact'!$Q$777:$Y$777,"*T*")&gt;0,X25&lt;120)),AND('Eval-Avant impact'!$A$778=A9,OR(COUNTIF('Eval-Avant impact'!$Q$778:$Y$778,"*T*")&gt;0,X26&lt;120)),AND('Eval-Avant impact'!$A$779=A9,OR(COUNTIF('Eval-Avant impact'!$Q$779:$Y$779,"*T*")&gt;0,X27&lt;120)),AND('Eval-Avant impact'!$A$780=A9,OR(COUNTIF('Eval-Avant impact'!$Q$780:$Y$780,"*T*")&gt;0,X28&lt;120))),"",SUM(1*(SUMPRODUCT(('Eval-Avant impact'!$A$761:$A$780=A9)*('Eval-Avant impact'!$Q$761:$Y$780="A"))),0.85*(SUMPRODUCT(('Eval-Avant impact'!$A$761:$A$780=A9)*('Eval-Avant impact'!$Q$761:$Y$780="AL"))),0.7*(SUMPRODUCT(('Eval-Avant impact'!$A$761:$A$780=A9)*('Eval-Avant impact'!$Q$761:$Y$780="LA"))),0.55*(SUMPRODUCT(('Eval-Avant impact'!$A$761:$A$780=A9)*('Eval-Avant impact'!$Q$761:$Y$780="L"))),0.4*(SUMPRODUCT(('Eval-Avant impact'!$A$761:$A$780=A9)*('Eval-Avant impact'!$Q$761:$Y$780="LS"))),0.25*(SUMPRODUCT(('Eval-Avant impact'!$A$761:$A$780=A9)*('Eval-Avant impact'!$Q$761:$Y$780="SL"))),0.1*(SUMPRODUCT(('Eval-Avant impact'!$A$761:$A$780=A9)*('Eval-Avant impact'!$Q$761:$Y$780="S"))))/(9*COUNTIF('Eval-Avant impact'!$A$761:$A$780,A9))),"")</f>
        <v/>
      </c>
      <c r="V9" s="215"/>
      <c r="W9" s="216">
        <f>'Eval-Avant impact'!$D$761</f>
        <v>1</v>
      </c>
      <c r="X9" s="217" t="str">
        <f>IF(Y9="C",0,IF(IF(COUNTIF('Eval-Avant impact'!$N$761:$Y$761,"=C")&gt;0,(COUNTA('Eval-Avant impact'!$N$761:$Y$761)-1)*10,COUNTA('Eval-Avant impact'!$N$761:$Y$761)*10)=0,"",IF(COUNTIF('Eval-Avant impact'!$N$761:$Y$761,"=C")&gt;0,(COUNTA('Eval-Avant impact'!$N$761:$Y$761)-1)*10,COUNTA('Eval-Avant impact'!$N$761:$Y$761)*10)))</f>
        <v/>
      </c>
      <c r="Y9" s="217" t="str">
        <f>CONCATENATE('Eval-Avant impact'!$N$761,'Eval-Avant impact'!$O$761,'Eval-Avant impact'!$P$761,'Eval-Avant impact'!$Q$761,'Eval-Avant impact'!$R$761,'Eval-Avant impact'!$S$761,'Eval-Avant impact'!$T$761,'Eval-Avant impact'!$U$761,'Eval-Avant impact'!$V$761,'Eval-Avant impact'!$W$761,'Eval-Avant impact'!$X$761,'Eval-Avant impact'!$Y$761)</f>
        <v/>
      </c>
      <c r="Z9" s="217" t="str">
        <f t="shared" ref="Z9:Z28" si="0">IF(LEFT(Y9,1)="S","",IF(LEFT(Y9,MIN(IFERROR(SEARCH("A",Y9),1000),IFERROR(SEARCH("L",Y9),1000),IFERROR(SEARCH("MS",Y9),1000)+1,IFERROR(SEARCH("FS",Y9),1000)+1,IFERROR(SEARCH("SS",Y9),1000)+1,IFERROR(SEARCH("C",Y9),1000))-1)="S","",LEFT(Y9,MIN(IFERROR(SEARCH("A",Y9),1000),IFERROR(SEARCH("L",Y9),1000),IFERROR(SEARCH("MS",Y9),1000)+1,IFERROR(SEARCH("FS",Y9),1000)+1,IFERROR(SEARCH("SS",Y9),1000)+1,IFERROR(SEARCH("C",Y9),1000))-1)))</f>
        <v/>
      </c>
      <c r="AA9" s="217" t="str">
        <f t="shared" ref="AA9:AA28" si="1">CONCATENATE(IF(LEFT(IF(LEFT(Y9,MIN(IFERROR(SEARCH("A",Y9),1000),IFERROR(SEARCH("L",Y9),1000),IFERROR(SEARCH("MS",Y9),1000)+1,IFERROR(SEARCH("FS",Y9),1000)+1,IFERROR(SEARCH("SS",Y9),1000)+1,IFERROR(SEARCH("C",Y9),1000))-1)="S","",LEFT(Y9,MIN(IFERROR(SEARCH("A",Y9),1000),IFERROR(SEARCH("L",Y9),1000),IFERROR(SEARCH("MS",Y9),1000)+1,IFERROR(SEARCH("FS",Y9),1000)+1,IFERROR(SEARCH("SS",Y9),1000)+1,IFERROR(SEARCH("C",Y9),1000))-1)),1)="S",RIGHT(IF(LEFT(Y9,MIN(IFERROR(SEARCH("A",Y9),1000),IFERROR(SEARCH("L",Y9),1000),IFERROR(SEARCH("MS",Y9),1000)+1,IFERROR(SEARCH("FS",Y9),1000)+1,IFERROR(SEARCH("SS",Y9),1000)+1,IFERROR(SEARCH("C",Y9),1000))-1)="S","",LEFT(Y9,MIN(IFERROR(SEARCH("A",Y9),1000),IFERROR(SEARCH("L",Y9),1000),IFERROR(SEARCH("MS",Y9),1000)+1,IFERROR(SEARCH("FS",Y9),1000)+1,IFERROR(SEARCH("SS",Y9),1000)+1,IFERROR(SEARCH("C",Y9),1000))-1)),LEN(IF(LEFT(Y9,MIN(IFERROR(SEARCH("A",Y9),1000),IFERROR(SEARCH("L",Y9),1000),IFERROR(SEARCH("MS",Y9),1000)+1,IFERROR(SEARCH("FS",Y9),1000)+1,IFERROR(SEARCH("SS",Y9),1000)+1,IFERROR(SEARCH("C",Y9),1000))-1)="S","",LEFT(Y9,MIN(IFERROR(SEARCH("A",Y9),1000),IFERROR(SEARCH("L",Y9),1000),IFERROR(SEARCH("MS",Y9),1000)+1,IFERROR(SEARCH("FS",Y9),1000)+1,IFERROR(SEARCH("SS",Y9),1000)+1,IFERROR(SEARCH("C",Y9),1000))-1)))-1),""),SUBSTITUTE(SUBSTITUTE(SUBSTITUTE(SUBSTITUTE(SUBSTITUTE(SUBSTITUTE(SUBSTITUTE(SUBSTITUTE(SUBSTITUTE(SUBSTITUTE(RIGHT(Y9,LEN(Y9)-LEN(IF(LEFT(Y9,MIN(IFERROR(SEARCH("A",Y9),1000),IFERROR(SEARCH("L",Y9),1000),IFERROR(SEARCH("MS",Y9),1000)+1,IFERROR(SEARCH("FS",Y9),1000)+1,IFERROR(SEARCH("SS",Y9),1000)+1,IFERROR(SEARCH("C",Y9),1000))-1)="S","",LEFT(Y9,MIN(IFERROR(SEARCH("A",Y9),1000),IFERROR(SEARCH("L",Y9),1000),IFERROR(SEARCH("MS",Y9),1000)+1,IFERROR(SEARCH("FS",Y9),1000)+1,IFERROR(SEARCH("SS",Y9),1000)+1,IFERROR(SEARCH("C",Y9),1000))-1)))),"TS","X"),"S",""),"SL",""),"LS",""),"L",""),"LA",""),"AL",""),"A",""),"C",""),"X","TS"))</f>
        <v/>
      </c>
      <c r="AB9" s="217" t="str">
        <f>IF(COUNTIF('Eval-Avant impact'!$N$761:$Y$761,"=C")&gt;0,"X","")</f>
        <v/>
      </c>
      <c r="AC9" s="217" t="str">
        <f t="shared" ref="AC9:AC28" si="2">IF(AND(X9&lt;120,AB9&lt;&gt;"X"),"X","")</f>
        <v/>
      </c>
      <c r="AD9" s="218" t="str">
        <f t="shared" ref="AD9:AD28" si="3">IF(LEN(Y9)=0,"",IF(X9=0,"",IF(AND(LEN(Z9)/2*10=X9,AC9="X"),"X","")))</f>
        <v/>
      </c>
      <c r="AE9" s="197"/>
      <c r="AG9" s="210">
        <v>1</v>
      </c>
      <c r="AH9" s="211" t="str">
        <f>IF(COUNTIF('Eval-Avec impact envisagé'!$A$761:$A$780,AG9)&gt;0,SUM(IF('Eval-Avec impact envisagé'!$A$761=AG9,'Eval-Avec impact envisagé'!$B$761,0),IF('Eval-Avec impact envisagé'!$A$762=AG9, 'Eval-Avec impact envisagé'!$B$762,0),IF('Eval-Avec impact envisagé'!$A$763=AG9, 'Eval-Avec impact envisagé'!$B$763,0),IF('Eval-Avec impact envisagé'!$A$764=AG9, 'Eval-Avec impact envisagé'!$B$764,0),IF('Eval-Avec impact envisagé'!$A$765=AG9, 'Eval-Avec impact envisagé'!$B$765,0),IF('Eval-Avec impact envisagé'!$A$766=AG9, 'Eval-Avec impact envisagé'!$B$766,0),IF('Eval-Avec impact envisagé'!$A$767=AG9, 'Eval-Avec impact envisagé'!$B$767,0),IF('Eval-Avec impact envisagé'!$A$768=AG9, 'Eval-Avec impact envisagé'!$B$768,0),IF('Eval-Avec impact envisagé'!$A$769=AG9, 'Eval-Avec impact envisagé'!$B$769,0),IF('Eval-Avec impact envisagé'!$A$770=AG9, 'Eval-Avec impact envisagé'!$B$770,0),IF('Eval-Avec impact envisagé'!$A$771=AG9, 'Eval-Avec impact envisagé'!$B$771,0),IF('Eval-Avec impact envisagé'!$A$772=AG9, 'Eval-Avec impact envisagé'!$B$772,0),IF('Eval-Avec impact envisagé'!$A$773=AG9, 'Eval-Avec impact envisagé'!$B$773,0),IF('Eval-Avec impact envisagé'!$A$774=AG9, 'Eval-Avec impact envisagé'!$B$774,0),IF('Eval-Avec impact envisagé'!$A$775=AG9, 'Eval-Avec impact envisagé'!$B$775,0),IF('Eval-Avec impact envisagé'!$A$776=AG9, 'Eval-Avec impact envisagé'!$B$776,0),IF('Eval-Avec impact envisagé'!$A$777=AG9, 'Eval-Avec impact envisagé'!$B$777,0),IF('Eval-Avec impact envisagé'!$A$778=AG9, 'Eval-Avec impact envisagé'!$B$778,0),IF('Eval-Avec impact envisagé'!$A$779=AG9, 'Eval-Avec impact envisagé'!$B$779,0),IF('Eval-Avec impact envisagé'!$A$780=AG9, 'Eval-Avec impact envisagé'!$B$780,0))/COUNTIF('Eval-Avec impact envisagé'!$A$761:$A$780,AG9),"")</f>
        <v/>
      </c>
      <c r="AI9" s="212" t="str">
        <f>IF(COUNTIF('Eval-Avec impact envisagé'!$A$761:$A$780,AG9)&gt;0,COUNTIF('Eval-Avec impact envisagé'!$A$761:$A$780,AG9),"")</f>
        <v/>
      </c>
      <c r="AJ9" s="211" t="str">
        <f>IF(COUNTIF('Eval-Avec impact envisagé'!$A$761:$A$780,AG9)&gt;0,IF(OR(AND('Eval-Avec impact envisagé'!$A$761=AG9, 'Eval-Avec impact envisagé'!$G$761=""),AND('Eval-Avec impact envisagé'!$A$762=AG9, 'Eval-Avec impact envisagé'!$G$762=""),AND('Eval-Avec impact envisagé'!$A$763=AG9, 'Eval-Avec impact envisagé'!$G$763=""),AND('Eval-Avec impact envisagé'!$A$764=AG9, 'Eval-Avec impact envisagé'!$G$764=""),AND('Eval-Avec impact envisagé'!$A$765=AG9, 'Eval-Avec impact envisagé'!$G$765=""),AND('Eval-Avec impact envisagé'!$A$766=AG9, 'Eval-Avec impact envisagé'!$G$766=""),AND('Eval-Avec impact envisagé'!$A$767=AG9, 'Eval-Avec impact envisagé'!$G$767=""),AND('Eval-Avec impact envisagé'!$A$768=AG9, 'Eval-Avec impact envisagé'!$G$768=""),AND('Eval-Avec impact envisagé'!$A$769=AG9, 'Eval-Avec impact envisagé'!$G$769=""),AND('Eval-Avec impact envisagé'!$A$770=AG9, 'Eval-Avec impact envisagé'!$G$770=""),AND('Eval-Avec impact envisagé'!$A$771=AG9, 'Eval-Avec impact envisagé'!$G$771=""),AND('Eval-Avec impact envisagé'!$A$772=AG9, 'Eval-Avec impact envisagé'!$G$772=""),AND('Eval-Avec impact envisagé'!$A$773=AG9, 'Eval-Avec impact envisagé'!$G$773=""),AND('Eval-Avec impact envisagé'!$A$774=AG9, 'Eval-Avec impact envisagé'!$G$774=""),AND('Eval-Avec impact envisagé'!$A$775=AG9, 'Eval-Avec impact envisagé'!$G$775=""),AND('Eval-Avec impact envisagé'!$A$776=AG9, 'Eval-Avec impact envisagé'!$G$776=""),AND('Eval-Avec impact envisagé'!$A$777=AG9, 'Eval-Avec impact envisagé'!$G$777=""),AND('Eval-Avec impact envisagé'!$A$778=AG9, 'Eval-Avec impact envisagé'!$G$778=""),AND('Eval-Avec impact envisagé'!$A$779=AG9, 'Eval-Avec impact envisagé'!$G$779=""),AND('Eval-Avec impact envisagé'!$A$780=AG9, 'Eval-Avec impact envisagé'!$G$780="")),"",SUM(IF('Eval-Avec impact envisagé'!$A$761=AG9,'Eval-Avec impact envisagé'!$G$761,0),IF('Eval-Avec impact envisagé'!$A$762=AG9,'Eval-Avec impact envisagé'!$G$762,0),IF('Eval-Avec impact envisagé'!$A$763=AG9,'Eval-Avec impact envisagé'!$G$763,0),IF('Eval-Avec impact envisagé'!$A$764=AG9,'Eval-Avec impact envisagé'!$G$764,0),IF('Eval-Avec impact envisagé'!$A$765=AG9,'Eval-Avec impact envisagé'!$G$765,0),IF('Eval-Avec impact envisagé'!$A$766=AG9,'Eval-Avec impact envisagé'!$G$766,0),IF('Eval-Avec impact envisagé'!$A$767=AG9,'Eval-Avec impact envisagé'!$G$767,0),IF('Eval-Avec impact envisagé'!$A$768=AG9,'Eval-Avec impact envisagé'!$G$768,0),IF('Eval-Avec impact envisagé'!$A$769=AG9,'Eval-Avec impact envisagé'!$G$769,0),IF('Eval-Avec impact envisagé'!$A$770=AG9,'Eval-Avec impact envisagé'!$G$770,0),IF('Eval-Avec impact envisagé'!$A$771=AG9,'Eval-Avec impact envisagé'!$G$771,0),IF('Eval-Avec impact envisagé'!$A$772=AG9,'Eval-Avec impact envisagé'!$G$772,0),IF('Eval-Avec impact envisagé'!$A$773=AG9,'Eval-Avec impact envisagé'!$G$773,0),IF('Eval-Avec impact envisagé'!$A$774=AG9,'Eval-Avec impact envisagé'!$G$774,0),IF('Eval-Avec impact envisagé'!$A$775=AG9,'Eval-Avec impact envisagé'!$G$775,0), IF('Eval-Avec impact envisagé'!$A$776=AG9,'Eval-Avec impact envisagé'!$G$776,0), IF('Eval-Avec impact envisagé'!$A$777=AG9,'Eval-Avec impact envisagé'!$G$777,0), IF('Eval-Avec impact envisagé'!$A$778=AG9,'Eval-Avec impact envisagé'!$G$778,0), IF('Eval-Avec impact envisagé'!$A$779=AG9,'Eval-Avec impact envisagé'!$G$779,0), IF('Eval-Avec impact envisagé'!$A$780=AG9,'Eval-Avec impact envisagé'!$G$780,0))/ COUNTIF('Eval-Avec impact envisagé'!$A$761:$A$780,AG9)),"")</f>
        <v/>
      </c>
      <c r="AK9" s="212" t="str">
        <f>IF(COUNTIF('Eval-Avec impact envisagé'!$A$761:$A$780,AG9)&gt;0,IF(SUM(IF('Eval-Avec impact envisagé'!$A$761=AG9,COUNTA('Eval-Avec impact envisagé'!$H$761),0),IF('Eval-Avec impact envisagé'!$A$762=AG9,COUNTA('Eval-Avec impact envisagé'!$H$762),0),IF('Eval-Avec impact envisagé'!$A$763=AG9,COUNTA('Eval-Avec impact envisagé'!$H$763),0),IF('Eval-Avec impact envisagé'!$A$764=AG9,COUNTA('Eval-Avec impact envisagé'!$H$764),0),IF('Eval-Avec impact envisagé'!$A$765=AG9,COUNTA('Eval-Avec impact envisagé'!$H$765),0),IF('Eval-Avec impact envisagé'!$A$766=AG9,COUNTA('Eval-Avec impact envisagé'!$H$766),0),IF('Eval-Avec impact envisagé'!$A$767=AG9,COUNTA('Eval-Avec impact envisagé'!$H$767),0),IF('Eval-Avec impact envisagé'!$A$768=AG9,COUNTA('Eval-Avec impact envisagé'!$H$768),0),IF('Eval-Avec impact envisagé'!$A$769=AG9,COUNTA('Eval-Avec impact envisagé'!$H$769),0),IF('Eval-Avec impact envisagé'!$A$770=AG9,COUNTA('Eval-Avec impact envisagé'!$H$770),0),IF('Eval-Avec impact envisagé'!$A$771=AG9,COUNTA('Eval-Avec impact envisagé'!$H$771),0),IF('Eval-Avec impact envisagé'!$A$772=AG9,COUNTA('Eval-Avec impact envisagé'!$H$772),0),IF('Eval-Avec impact envisagé'!$A$773=AG9,COUNTA('Eval-Avec impact envisagé'!$H$773),0),IF('Eval-Avec impact envisagé'!$A$774=AG9,COUNTA('Eval-Avec impact envisagé'!$H$774),0),IF('Eval-Avec impact envisagé'!$A$775=AG9,COUNTA('Eval-Avec impact envisagé'!$H$775),0),IF('Eval-Avec impact envisagé'!$A$776=AG9,COUNTA('Eval-Avec impact envisagé'!$H$776),0),IF('Eval-Avec impact envisagé'!$A$777=AG9,COUNTA('Eval-Avec impact envisagé'!$H$777),0),IF('Eval-Avec impact envisagé'!$A$778=AG9,COUNTA('Eval-Avec impact envisagé'!$H$778),0),IF('Eval-Avec impact envisagé'!$A$779=AG9,COUNTA('Eval-Avec impact envisagé'!$H$779),0),IF('Eval-Avec impact envisagé'!$A$780=AG9,COUNTA('Eval-Avec impact envisagé'!$H$780),0))&gt;0,"X",0),"")</f>
        <v/>
      </c>
      <c r="AL9" s="213" t="str">
        <f>IF(COUNTIF('Eval-Avec impact envisagé'!$A$761:$A$780,AG9)&gt;0,IF(SUM(IF('Eval-Avec impact envisagé'!$A$761=AG9,COUNTA('Eval-Avec impact envisagé'!$I$761),0),IF('Eval-Avec impact envisagé'!$A$762=AG9,COUNTA('Eval-Avec impact envisagé'!$I$762),0),IF('Eval-Avec impact envisagé'!$A$763=AG9,COUNTA('Eval-Avec impact envisagé'!$I$763),0),IF('Eval-Avec impact envisagé'!$A$764=AG9,COUNTA('Eval-Avec impact envisagé'!$I$764),0),IF('Eval-Avec impact envisagé'!$A$765=AG9,COUNTA('Eval-Avec impact envisagé'!$I$765),0),IF('Eval-Avec impact envisagé'!$A$766=AG9,COUNTA('Eval-Avec impact envisagé'!$I$766),0),IF('Eval-Avec impact envisagé'!$A$767=AG9,COUNTA('Eval-Avec impact envisagé'!$I$767),0),IF('Eval-Avec impact envisagé'!$A$768=AG9,COUNTA('Eval-Avec impact envisagé'!$I$768),0),IF('Eval-Avec impact envisagé'!$A$769=AG9,COUNTA('Eval-Avec impact envisagé'!$I$769),0),IF('Eval-Avec impact envisagé'!$A$770=AG9,COUNTA('Eval-Avec impact envisagé'!$I$770),0),IF('Eval-Avec impact envisagé'!$A$771=AG9,COUNTA('Eval-Avec impact envisagé'!$I$771),0),IF('Eval-Avec impact envisagé'!$A$772=AG9,COUNTA('Eval-Avec impact envisagé'!$I$772),0),IF('Eval-Avec impact envisagé'!$A$773=AG9,COUNTA('Eval-Avec impact envisagé'!$I$773),0),IF('Eval-Avec impact envisagé'!$A$774=AG9,COUNTA('Eval-Avec impact envisagé'!$I$774),0),IF('Eval-Avec impact envisagé'!$A$775=AG9,COUNTA('Eval-Avec impact envisagé'!$I$775),0),IF('Eval-Avec impact envisagé'!$A$776=AG9,COUNTA('Eval-Avec impact envisagé'!$I$776),0),IF('Eval-Avec impact envisagé'!$A$777=AG9,COUNTA('Eval-Avec impact envisagé'!$I$777),0),IF('Eval-Avec impact envisagé'!$A$778=AG9,COUNTA('Eval-Avec impact envisagé'!$I$778),0),IF('Eval-Avec impact envisagé'!$A$779=AG9,COUNTA('Eval-Avec impact envisagé'!$I$779),0),IF('Eval-Avec impact envisagé'!$A$780=AG9,COUNTA('Eval-Avec impact envisagé'!$I$780),0))&gt;0,"X",0),"")</f>
        <v/>
      </c>
      <c r="AM9" s="213" t="str">
        <f>IF(COUNTIF('Eval-Avec impact envisagé'!$A$761:$A$780,AG9)&gt;0,IF(SUM(IF('Eval-Avec impact envisagé'!$A$761=AG9,COUNTA('Eval-Avec impact envisagé'!$J$761),0),IF('Eval-Avec impact envisagé'!$A$762=AG9,COUNTA('Eval-Avec impact envisagé'!$J$762),0),IF('Eval-Avec impact envisagé'!$A$763=AG9,COUNTA('Eval-Avec impact envisagé'!$J$763),0),IF('Eval-Avec impact envisagé'!$A$764=AG9,COUNTA('Eval-Avec impact envisagé'!$J$764),0),IF('Eval-Avec impact envisagé'!$A$765=AG9,COUNTA('Eval-Avec impact envisagé'!$J$765),0),IF('Eval-Avec impact envisagé'!$A$766=AG9,COUNTA('Eval-Avec impact envisagé'!$J$766),0),IF('Eval-Avec impact envisagé'!$A$767=AG9,COUNTA('Eval-Avec impact envisagé'!$J$767),0),IF('Eval-Avec impact envisagé'!$A$768=AG9,COUNTA('Eval-Avec impact envisagé'!$J$768),0),IF('Eval-Avec impact envisagé'!$A$769=AG9,COUNTA('Eval-Avec impact envisagé'!$J$769),0),IF('Eval-Avec impact envisagé'!$A$770=AG9,COUNTA('Eval-Avec impact envisagé'!$J$770),0),IF('Eval-Avec impact envisagé'!$A$771=AG9,COUNTA('Eval-Avec impact envisagé'!$J$771),0),IF('Eval-Avec impact envisagé'!$A$772=AG9,COUNTA('Eval-Avec impact envisagé'!$J$772),0),IF('Eval-Avec impact envisagé'!$A$773=AG9,COUNTA('Eval-Avec impact envisagé'!$J$773),0),IF('Eval-Avec impact envisagé'!$A$774=AG9,COUNTA('Eval-Avec impact envisagé'!$J$774),0),IF('Eval-Avec impact envisagé'!$A$775=AG9,COUNTA('Eval-Avec impact envisagé'!$J$775),0),IF('Eval-Avec impact envisagé'!$A$776=AG9,COUNTA('Eval-Avec impact envisagé'!$J$776),0),IF('Eval-Avec impact envisagé'!$A$777=AG9,COUNTA('Eval-Avec impact envisagé'!$J$777),0),IF('Eval-Avec impact envisagé'!$A$778=AG9,COUNTA('Eval-Avec impact envisagé'!$J$778),0),IF('Eval-Avec impact envisagé'!$A$779=AG9,COUNTA('Eval-Avec impact envisagé'!$J$779),0),IF('Eval-Avec impact envisagé'!$A$780=AG9,COUNTA('Eval-Avec impact envisagé'!$J$780),0))&gt;0,"X",0),"")</f>
        <v/>
      </c>
      <c r="AN9" s="213" t="str">
        <f>IF(COUNTIF('Eval-Avec impact envisagé'!$A$761:$A$780,AG9)&gt;0,IF(SUM(IF('Eval-Avec impact envisagé'!$A$761=AG9,COUNTA('Eval-Avec impact envisagé'!$K$761),0),IF('Eval-Avec impact envisagé'!$A$762=AG9,COUNTA('Eval-Avec impact envisagé'!$K$762),0),IF('Eval-Avec impact envisagé'!$A$763=AG9,COUNTA('Eval-Avec impact envisagé'!$K$763),0),IF('Eval-Avec impact envisagé'!$A$764=AG9,COUNTA('Eval-Avec impact envisagé'!$K$764),0),IF('Eval-Avec impact envisagé'!$A$765=AG9,COUNTA('Eval-Avec impact envisagé'!$K$765),0),IF('Eval-Avec impact envisagé'!$A$766=AG9,COUNTA('Eval-Avec impact envisagé'!$K$766),0),IF('Eval-Avec impact envisagé'!$A$767=AG9,COUNTA('Eval-Avec impact envisagé'!$K$767),0),IF('Eval-Avec impact envisagé'!$A$768=AG9,COUNTA('Eval-Avec impact envisagé'!$K$768),0),IF('Eval-Avec impact envisagé'!$A$769=AG9,COUNTA('Eval-Avec impact envisagé'!$K$769),0),IF('Eval-Avec impact envisagé'!$A$770=AG9,COUNTA('Eval-Avec impact envisagé'!$K$770),0),IF('Eval-Avec impact envisagé'!$A$771=AG9,COUNTA('Eval-Avec impact envisagé'!$K$771),0),IF('Eval-Avec impact envisagé'!$A$772=AG9,COUNTA('Eval-Avec impact envisagé'!$K$772),0),IF('Eval-Avec impact envisagé'!$A$773=AG9,COUNTA('Eval-Avec impact envisagé'!$K$773),0),IF('Eval-Avec impact envisagé'!$A$774=AG9,COUNTA('Eval-Avec impact envisagé'!$K$774),0),IF('Eval-Avec impact envisagé'!$A$775=AG9,COUNTA('Eval-Avec impact envisagé'!$K$775),0),IF('Eval-Avec impact envisagé'!$A$776=AG9,COUNTA('Eval-Avec impact envisagé'!$K$776),0),IF('Eval-Avec impact envisagé'!$A$777=AG9,COUNTA('Eval-Avec impact envisagé'!$K$777),0),IF('Eval-Avec impact envisagé'!$A$778=AG9,COUNTA('Eval-Avec impact envisagé'!$K$778),0),IF('Eval-Avec impact envisagé'!$A$779=AG9,COUNTA('Eval-Avec impact envisagé'!$K$779),0),IF('Eval-Avec impact envisagé'!$A$780=AG9,COUNTA('Eval-Avec impact envisagé'!$K$780),0))&gt;0,"X",0),"")</f>
        <v/>
      </c>
      <c r="AO9" s="211" t="str">
        <f>IF(COUNTIF('Eval-Avec impact envisagé'!$A$761:$A$780,AG9)&gt;0,IF(OR(AND('Eval-Avec impact envisagé'!$A$761=AG9,'Eval-Avec impact envisagé'!$L$761&lt;120,'Eval-Avec impact envisagé'!$L$761&gt;=BD9),AND('Eval-Avec impact envisagé'!$A$762=AG9,'Eval-Avec impact envisagé'!$L$762&lt;120,'Eval-Avec impact envisagé'!$L$762&gt;=BD10),AND('Eval-Avec impact envisagé'!$A$763=AG9,'Eval-Avec impact envisagé'!$L$763&lt;120,'Eval-Avec impact envisagé'!$L$763&gt;=BD11),AND('Eval-Avec impact envisagé'!$A$764=AG9,'Eval-Avec impact envisagé'!$L$764&lt;120,'Eval-Avec impact envisagé'!$L$764&gt;=BD12),AND('Eval-Avec impact envisagé'!$A$765=AG9,'Eval-Avec impact envisagé'!$L$765&lt;120,'Eval-Avec impact envisagé'!$L$765&gt;=BD13),AND('Eval-Avec impact envisagé'!$A$766=AG9,'Eval-Avec impact envisagé'!$L$766&lt;120,'Eval-Avec impact envisagé'!$L$766&gt;=BD14),AND('Eval-Avec impact envisagé'!$A$767=AG9,'Eval-Avec impact envisagé'!$L$767&lt;120,'Eval-Avec impact envisagé'!$L$767&gt;=BD15),AND('Eval-Avec impact envisagé'!$A$768=AG9,'Eval-Avec impact envisagé'!$L$768&lt;120,'Eval-Avec impact envisagé'!$L$768&gt;=BD16),AND('Eval-Avec impact envisagé'!$A$769=AG9,'Eval-Avec impact envisagé'!$L$769&lt;120,'Eval-Avec impact envisagé'!$L$769&gt;=BD17),AND('Eval-Avec impact envisagé'!$A$770=AG9,'Eval-Avec impact envisagé'!$L$770&lt;120,'Eval-Avec impact envisagé'!$L$770&gt;=BD18),AND('Eval-Avec impact envisagé'!$A$771=AG9,'Eval-Avec impact envisagé'!$L$771&lt;120,'Eval-Avec impact envisagé'!$L$771&gt;=BD19),AND('Eval-Avec impact envisagé'!$A$772=AG9,'Eval-Avec impact envisagé'!$L$772&lt;120,'Eval-Avec impact envisagé'!$L$772&gt;=BD20),AND('Eval-Avec impact envisagé'!$A$773=AG9,'Eval-Avec impact envisagé'!$L$773&lt;120,'Eval-Avec impact envisagé'!$L$773&gt;=BD21),AND('Eval-Avec impact envisagé'!$A$774=AG9,'Eval-Avec impact envisagé'!$L$774&lt;120,'Eval-Avec impact envisagé'!$L$774&gt;=BD22),AND('Eval-Avec impact envisagé'!$A$775=AG9,'Eval-Avec impact envisagé'!$L$775&lt;120,'Eval-Avec impact envisagé'!$L$775&gt;=BD23),AND('Eval-Avec impact envisagé'!$A$776=AG9,'Eval-Avec impact envisagé'!$L$776&lt;120,'Eval-Avec impact envisagé'!$L$776&gt;=BD24),AND('Eval-Avec impact envisagé'!$A$777=AG9,'Eval-Avec impact envisagé'!$L$777&lt;120,'Eval-Avec impact envisagé'!$L$777&gt;=BD25),AND('Eval-Avec impact envisagé'!$A$778=AG9,'Eval-Avec impact envisagé'!$L$778&lt;120,'Eval-Avec impact envisagé'!$L$778&gt;=BD26),AND('Eval-Avec impact envisagé'!$A$779=AG9,'Eval-Avec impact envisagé'!$L$779&lt;120,'Eval-Avec impact envisagé'!$L$779&gt;=BD27),AND('Eval-Avec impact envisagé'!$A$780=AG9,'Eval-Avec impact envisagé'!$L$780&lt;120,'Eval-Avec impact envisagé'!$L$780&gt;=BD28)),"",SUM(IF('Eval-Avec impact envisagé'!$A$761=AG9,'Eval-Avec impact envisagé'!$L$761,0),IF('Eval-Avec impact envisagé'!$A$762=AG9,'Eval-Avec impact envisagé'!$L$762,0),IF('Eval-Avec impact envisagé'!$A$763=AG9,'Eval-Avec impact envisagé'!$L$763,0),IF('Eval-Avec impact envisagé'!$A$764=AG9,'Eval-Avec impact envisagé'!$L$764,0),IF('Eval-Avec impact envisagé'!$A$765=AG9,'Eval-Avec impact envisagé'!$L$765,0),IF('Eval-Avec impact envisagé'!$A$766=AG9,'Eval-Avec impact envisagé'!$L$766,0),IF('Eval-Avec impact envisagé'!$A$767=AG9,'Eval-Avec impact envisagé'!$L$767,0),IF('Eval-Avec impact envisagé'!$A$768=AG9,'Eval-Avec impact envisagé'!$L$768,0),IF('Eval-Avec impact envisagé'!$A$769=AG9,'Eval-Avec impact envisagé'!$L$769,0),IF('Eval-Avec impact envisagé'!$A$770=AG9,'Eval-Avec impact envisagé'!$L$770,0),IF('Eval-Avec impact envisagé'!$A$771=AG9,'Eval-Avec impact envisagé'!$L$771,0),IF('Eval-Avec impact envisagé'!$A$772=AG9,'Eval-Avec impact envisagé'!$L$772,0),IF('Eval-Avec impact envisagé'!$A$773=AG9,'Eval-Avec impact envisagé'!$L$773,0),IF('Eval-Avec impact envisagé'!$A$774=AG9,'Eval-Avec impact envisagé'!$L$774,0),IF('Eval-Avec impact envisagé'!$A$775=AG9,'Eval-Avec impact envisagé'!$L$775,0),IF('Eval-Avec impact envisagé'!$A$776=AG9,'Eval-Avec impact envisagé'!$L$776,0),IF('Eval-Avec impact envisagé'!$A$777=AG9,'Eval-Avec impact envisagé'!$L$777,0),IF('Eval-Avec impact envisagé'!$A$778=AG9,'Eval-Avec impact envisagé'!$L$778,0),IF('Eval-Avec impact envisagé'!$A$779=AG9,'Eval-Avec impact envisagé'!$L$779,0),IF('Eval-Avec impact envisagé'!$A$780=AG9,'Eval-Avec impact envisagé'!$L$780,0))/ COUNTIF('Eval-Avec impact envisagé'!$A$761:$A$780,AG9)),"")</f>
        <v/>
      </c>
      <c r="AP9" s="211" t="str">
        <f>IF(COUNTIF('Eval-Avec impact envisagé'!$A$761:$A$780,AG9)&gt;0,IF(OR(AND('Eval-Avec impact envisagé'!$A$761=AG9, BD9&lt;120),AND(BD10&lt;120),AND(BD11&lt;120),AND(BD12&lt;120),AND(BD13&lt;120),AND(BD14&lt;120),AND(BD15&lt;120),AND(BD16&lt;120),AND(BD17&lt;120),AND(BD18&lt;120),AND(BD19&lt;120),AND(BD20&lt;120),AND(BD21&lt;120),AND(BD22&lt;120),AND(BD23&lt;120),AND(BD24&lt;120),AND(BD25&lt;120),AND(BD26&lt;120),AND(BD27&lt;120),AND(BD28&lt;120)),"",SUM(IF('Eval-Avec impact envisagé'!$A$761=AG9,'Eval-Avec impact envisagé'!$M$761,0),IF('Eval-Avec impact envisagé'!$A$762=AG9,'Eval-Avec impact envisagé'!$M$762,0),IF('Eval-Avec impact envisagé'!$A$763=AG9,'Eval-Avec impact envisagé'!$M$763,0),IF('Eval-Avec impact envisagé'!$A$764=AG9,'Eval-Avec impact envisagé'!$M$764,0),IF('Eval-Avec impact envisagé'!$A$765=AG9,'Eval-Avec impact envisagé'!$M$765,0),IF('Eval-Avec impact envisagé'!$A$766=AG9,'Eval-Avec impact envisagé'!$M$766,0),IF('Eval-Avec impact envisagé'!$A$767=AG9,'Eval-Avec impact envisagé'!$M$767,0),IF('Eval-Avec impact envisagé'!$A$768=AG9,'Eval-Avec impact envisagé'!$M$768,0),IF('Eval-Avec impact envisagé'!$A$769=AG9,'Eval-Avec impact envisagé'!$M$769,0),IF('Eval-Avec impact envisagé'!$A$770=AG9,'Eval-Avec impact envisagé'!$M$770,0),IF('Eval-Avec impact envisagé'!$A$771=AG9,'Eval-Avec impact envisagé'!$M$771,0),IF('Eval-Avec impact envisagé'!$A$772=AG9,'Eval-Avec impact envisagé'!$M$772,0),IF('Eval-Avec impact envisagé'!$A$773=AG9,'Eval-Avec impact envisagé'!$M$773,0),IF('Eval-Avec impact envisagé'!$A$774=AG9,'Eval-Avec impact envisagé'!$M$774,0),IF('Eval-Avec impact envisagé'!$A$775=AG9,'Eval-Avec impact envisagé'!$M$775,0), IF('Eval-Avec impact envisagé'!$A$776=AG9,'Eval-Avec impact envisagé'!$M$776,0), IF('Eval-Avec impact envisagé'!$A$777=AG9,'Eval-Avec impact envisagé'!$M$777,0), IF('Eval-Avec impact envisagé'!$A$778=AG9,'Eval-Avec impact envisagé'!$M$778,0), IF('Eval-Avec impact envisagé'!$A$779=AG9,'Eval-Avec impact envisagé'!$M$779,0), IF('Eval-Avec impact envisagé'!$A$780=AG9,'Eval-Avec impact envisagé'!$M$780,0))/COUNTIF('Eval-Avec impact envisagé'!$A$761:$A$780,AG9)),"")</f>
        <v/>
      </c>
      <c r="AQ9" s="211" t="str">
        <f>IF(COUNTIF('Eval-Avec impact envisagé'!$A$761:$A$780,AG9)&gt;0,SUM(IF('Eval-Avec impact envisagé'!$A$761=AG9,LEN(SUBSTITUTE((SUBSTITUTE(BF9,"TM","")),"TS",""))*10/2,0),IF('Eval-Avec impact envisagé'!$A$762=AG9,LEN(SUBSTITUTE((SUBSTITUTE(BF10,"TM","")),"TS",""))*10/2,0),IF('Eval-Avec impact envisagé'!$A$763=AG9,LEN(SUBSTITUTE((SUBSTITUTE(BF11,"TM","")),"TS",""))*10/2,0),IF('Eval-Avec impact envisagé'!$A$764=AG9,LEN(SUBSTITUTE((SUBSTITUTE(BF12,"TM","")),"TS",""))*10/2,0),IF('Eval-Avec impact envisagé'!$A$765=AG9,LEN(SUBSTITUTE((SUBSTITUTE(BF13,"TM","")),"TS",""))*10/2,0),IF('Eval-Avec impact envisagé'!$A$766=AG9,LEN(SUBSTITUTE((SUBSTITUTE(BF14,"TM","")),"TS",""))*10/2,0),IF('Eval-Avec impact envisagé'!$A$767=AG9,LEN(SUBSTITUTE((SUBSTITUTE(BF15,"TM","")),"TS",""))*10/2,0),IF('Eval-Avec impact envisagé'!$A$768=AG9,LEN(SUBSTITUTE((SUBSTITUTE(BF16,"TM","")),"TS",""))*10/2,0),IF('Eval-Avec impact envisagé'!$A$769=AG9,LEN(SUBSTITUTE((SUBSTITUTE(BF17,"TM","")),"TS",""))*10/2,0),IF('Eval-Avec impact envisagé'!$A$770=AG9,LEN(SUBSTITUTE((SUBSTITUTE(BF18,"TM","")),"TS",""))*10/2,0),IF('Eval-Avec impact envisagé'!$A$771=AG9,LEN(SUBSTITUTE((SUBSTITUTE(BF19,"TM","")),"TS",""))*10/2,0),IF('Eval-Avec impact envisagé'!$A$772=AG9,LEN(SUBSTITUTE((SUBSTITUTE(BF20,"TM","")),"TS",""))*10/2,0),IF('Eval-Avec impact envisagé'!$A$773=AG9,LEN(SUBSTITUTE((SUBSTITUTE(BF21,"TM","")),"TS",""))*10/2,0),IF('Eval-Avec impact envisagé'!$A$774=AG9,LEN(SUBSTITUTE((SUBSTITUTE(BF22,"TM","")),"TS",""))*10/2,0),IF('Eval-Avec impact envisagé'!$A$775=AG9,LEN(SUBSTITUTE((SUBSTITUTE(BF23,"TM","")),"TS",""))*10/2,0),IF('Eval-Avec impact envisagé'!$A$776=AG9,LEN(SUBSTITUTE((SUBSTITUTE(BF24,"TM","")),"TS",""))*10/2,0),IF('Eval-Avec impact envisagé'!$A$777=AG9,LEN(SUBSTITUTE((SUBSTITUTE(BF25,"TM","")),"TS",""))*10/2,0),IF('Eval-Avec impact envisagé'!$A$778=AG9,LEN(SUBSTITUTE((SUBSTITUTE(BF26,"TM","")),"TS",""))*10/2,0),IF('Eval-Avec impact envisagé'!$A$779=AG9,LEN(SUBSTITUTE((SUBSTITUTE(BF27,"TM","")),"TS",""))*10/2,0),IF('Eval-Avec impact envisagé'!$A$780=AG9,LEN(SUBSTITUTE((SUBSTITUTE(BF28,"TM","")),"TS",""))*10/2,0))/COUNTIF('Eval-Avec impact envisagé'!$A$761:$A$780,AG9),"")</f>
        <v/>
      </c>
      <c r="AR9" s="211" t="str">
        <f>IF(COUNTIF('Eval-Avec impact envisagé'!$A$761:$A$780,AG9)&gt;0,SUM(IF('Eval-Avec impact envisagé'!$A$761=AG9,LEN(SUBSTITUTE((SUBSTITUTE(BF9,"TF","")),"TS",""))*10/2,0),IF('Eval-Avec impact envisagé'!$A$762=AG9,LEN(SUBSTITUTE((SUBSTITUTE(BF10,"TF","")),"TS",""))*10/2,0),IF('Eval-Avec impact envisagé'!$A$763=AG9,LEN(SUBSTITUTE((SUBSTITUTE(BF11,"TF","")),"TS",""))*10/2,0),IF('Eval-Avec impact envisagé'!$A$764=AG9,LEN(SUBSTITUTE((SUBSTITUTE(BF12,"TF","")),"TS",""))*10/2,0),IF('Eval-Avec impact envisagé'!$A$765=AG9,LEN(SUBSTITUTE((SUBSTITUTE(BF13,"TF","")),"TS",""))*10/2,0),IF('Eval-Avec impact envisagé'!$A$766=AG9,LEN(SUBSTITUTE((SUBSTITUTE(BF14,"TF","")),"TS",""))*10/2,0),IF('Eval-Avec impact envisagé'!$A$767=AG9,LEN(SUBSTITUTE((SUBSTITUTE(BF15,"TF","")),"TS",""))*10/2,0),IF('Eval-Avec impact envisagé'!$A$768=AG9,LEN(SUBSTITUTE((SUBSTITUTE(BF16,"TF","")),"TS",""))*10/2,0),IF('Eval-Avec impact envisagé'!$A$769=AG9,LEN(SUBSTITUTE((SUBSTITUTE(BF17,"TF","")),"TS",""))*10/2,0),IF('Eval-Avec impact envisagé'!$A$770=AG9,LEN(SUBSTITUTE((SUBSTITUTE(BF18,"TF","")),"TS",""))*10/2,0),IF('Eval-Avec impact envisagé'!$A$771=AG9,LEN(SUBSTITUTE((SUBSTITUTE(BF19,"TF","")),"TS",""))*10/2,0),IF('Eval-Avec impact envisagé'!$A$772=AG9,LEN(SUBSTITUTE((SUBSTITUTE(BF20,"TF","")),"TS",""))*10/2,0),IF('Eval-Avec impact envisagé'!$A$773=AG9,LEN(SUBSTITUTE((SUBSTITUTE(BF21,"TF","")),"TS",""))*10/2,0),IF('Eval-Avec impact envisagé'!$A$774=AG9,LEN(SUBSTITUTE((SUBSTITUTE(BF22,"TF","")),"TS",""))*10/2,0),IF('Eval-Avec impact envisagé'!$A$775=AG9,LEN(SUBSTITUTE((SUBSTITUTE(BF23,"TF","")),"TS",""))*10/2,0),IF('Eval-Avec impact envisagé'!$A$776=AG9,LEN(SUBSTITUTE((SUBSTITUTE(BF24,"TF","")),"TS",""))*10/2,0),IF('Eval-Avec impact envisagé'!$A$777=AG9,LEN(SUBSTITUTE((SUBSTITUTE(BF25,"TF","")),"TS",""))*10/2,0),IF('Eval-Avec impact envisagé'!$A$778=AG9,LEN(SUBSTITUTE((SUBSTITUTE(BF26,"TF","")),"TS",""))*10/2,0),IF('Eval-Avec impact envisagé'!$A$779=AG9,LEN(SUBSTITUTE((SUBSTITUTE(BF27,"TF","")),"TS",""))*10/2,0),IF('Eval-Avec impact envisagé'!$A$780=AG9,LEN(SUBSTITUTE((SUBSTITUTE(BF28,"TF","")),"TS",""))*10/2,0))/COUNTIF('Eval-Avec impact envisagé'!$A$761:$A$780,AG9),"")</f>
        <v/>
      </c>
      <c r="AS9" s="211" t="str">
        <f>IF(COUNTIF('Eval-Avec impact envisagé'!$A$761:$A$780,AG9)&gt;0,SUM(IF('Eval-Avec impact envisagé'!$A$761=AG9,LEN(SUBSTITUTE((SUBSTITUTE(BF9,"TF","")),"TM",""))*10/2,0),IF('Eval-Avec impact envisagé'!$A$762=AG9,LEN(SUBSTITUTE((SUBSTITUTE(BF10,"TF","")),"TM",""))*10/2,0),IF('Eval-Avec impact envisagé'!$A$763=AG9,LEN(SUBSTITUTE((SUBSTITUTE(BF11,"TF","")),"TM",""))*10/2,0),IF('Eval-Avec impact envisagé'!$A$764=AG9,LEN(SUBSTITUTE((SUBSTITUTE(BF12,"TF","")),"TM",""))*10/2,0),IF('Eval-Avec impact envisagé'!$A$765=AG9,LEN(SUBSTITUTE((SUBSTITUTE(BF13,"TF","")),"TM",""))*10/2,0),IF('Eval-Avec impact envisagé'!$A$766=AG9,LEN(SUBSTITUTE((SUBSTITUTE(BF14,"TF","")),"TM",""))*10/2,0),IF('Eval-Avec impact envisagé'!$A$767=AG9,LEN(SUBSTITUTE((SUBSTITUTE(BF15,"TF","")),"TM",""))*10/2,0),IF('Eval-Avec impact envisagé'!$A$768=AG9,LEN(SUBSTITUTE((SUBSTITUTE(BF16,"TF","")),"TM",""))*10/2,0),IF('Eval-Avec impact envisagé'!$A$769=AG9,LEN(SUBSTITUTE((SUBSTITUTE(BF17,"TF","")),"TM",""))*10/2,0),IF('Eval-Avec impact envisagé'!$A$770=AG9,LEN(SUBSTITUTE((SUBSTITUTE(BF18,"TF","")),"TM",""))*10/2,0),IF('Eval-Avec impact envisagé'!$A$771=AG9,LEN(SUBSTITUTE((SUBSTITUTE(BF19,"TF","")),"TM",""))*10/2,0),IF('Eval-Avec impact envisagé'!$A$772=AG9,LEN(SUBSTITUTE((SUBSTITUTE(BF20,"TF","")),"TM",""))*10/2,0),IF('Eval-Avec impact envisagé'!$A$773=AG9,LEN(SUBSTITUTE((SUBSTITUTE(BF21,"TF","")),"TM",""))*10/2,0),IF('Eval-Avec impact envisagé'!$A$774=AG9,LEN(SUBSTITUTE((SUBSTITUTE(BF22,"TF","")),"TM",""))*10/2,0),IF('Eval-Avec impact envisagé'!$A$775=AG9,LEN(SUBSTITUTE((SUBSTITUTE(BF23,"TF","")),"TM",""))*10/2,0),IF('Eval-Avec impact envisagé'!$A$776=AG9,LEN(SUBSTITUTE((SUBSTITUTE(BF24,"TF","")),"TM",""))*10/2,0),IF('Eval-Avec impact envisagé'!$A$777=AG9,LEN(SUBSTITUTE((SUBSTITUTE(BF25,"TF","")),"TM",""))*10/2,0),IF('Eval-Avec impact envisagé'!$A$778=AG9,LEN(SUBSTITUTE((SUBSTITUTE(BF26,"TF","")),"TM",""))*10/2,0),IF('Eval-Avec impact envisagé'!$A$779=AG9,LEN(SUBSTITUTE((SUBSTITUTE(BF27,"TF","")),"TM",""))*10/2,0),IF('Eval-Avec impact envisagé'!$A$780=AG9,LEN(SUBSTITUTE((SUBSTITUTE(BF28,"TF","")),"TM",""))*10/2,0))/COUNTIF('Eval-Avec impact envisagé'!$A$761:$A$780,AG9),"")</f>
        <v/>
      </c>
      <c r="AT9" s="211" t="str">
        <f>IF(COUNTIF('Eval-Avec impact envisagé'!$A$761:$A$780,AG9)&gt;0,SUM(IF('Eval-Avec impact envisagé'!$A$761=AG9,LEN(SUBSTITUTE((SUBSTITUTE(BG9,"TM","")),"TS",""))*10/2,0),IF('Eval-Avec impact envisagé'!$A$762=AG9,LEN(SUBSTITUTE((SUBSTITUTE(BG10,"TM","")),"TS",""))*10/2,0),IF('Eval-Avec impact envisagé'!$A$763=AG9,LEN(SUBSTITUTE((SUBSTITUTE(BG11,"TM","")),"TS",""))*10/2,0),IF('Eval-Avec impact envisagé'!$A$764=AG9,LEN(SUBSTITUTE((SUBSTITUTE(BG12,"TM","")),"TS",""))*10/2,0),IF('Eval-Avec impact envisagé'!$A$765=AG9,LEN(SUBSTITUTE((SUBSTITUTE(BG13,"TM","")),"TS",""))*10/2,0),IF('Eval-Avec impact envisagé'!$A$766=AG9,LEN(SUBSTITUTE((SUBSTITUTE(BG14,"TM","")),"TS",""))*10/2,0),IF('Eval-Avec impact envisagé'!$A$767=AG9,LEN(SUBSTITUTE((SUBSTITUTE(BG15,"TM","")),"TS",""))*10/2,0),IF('Eval-Avec impact envisagé'!$A$768=AG9,LEN(SUBSTITUTE((SUBSTITUTE(BG16,"TM","")),"TS",""))*10/2,0),IF('Eval-Avec impact envisagé'!$A$769=AG9,LEN(SUBSTITUTE((SUBSTITUTE(BG17,"TM","")),"TS",""))*10/2,0),IF('Eval-Avec impact envisagé'!$A$770=AG9,LEN(SUBSTITUTE((SUBSTITUTE(BG18,"TM","")),"TS",""))*10/2,0),IF('Eval-Avec impact envisagé'!$A$771=AG9,LEN(SUBSTITUTE((SUBSTITUTE(BG19,"TM","")),"TS",""))*10/2,0),IF('Eval-Avec impact envisagé'!$A$772=AG9,LEN(SUBSTITUTE((SUBSTITUTE(BG20,"TM","")),"TS",""))*10/2,0),IF('Eval-Avec impact envisagé'!$A$773=AG9,LEN(SUBSTITUTE((SUBSTITUTE(BG21,"TM","")),"TS",""))*10/2,0),IF('Eval-Avec impact envisagé'!$A$774=AG9,LEN(SUBSTITUTE((SUBSTITUTE(BG22,"TM","")),"TS",""))*10/2,0),IF('Eval-Avec impact envisagé'!$A$775=AG9,LEN(SUBSTITUTE((SUBSTITUTE(BG23,"TM","")),"TS",""))*10/2,0),IF('Eval-Avec impact envisagé'!$A$776=AG9,LEN(SUBSTITUTE((SUBSTITUTE(BG24,"TM","")),"TS",""))*10/2,0),IF('Eval-Avec impact envisagé'!$A$777=AG9,LEN(SUBSTITUTE((SUBSTITUTE(BG25,"TM","")),"TS",""))*10/2,0),IF('Eval-Avec impact envisagé'!$A$778=AG9,LEN(SUBSTITUTE((SUBSTITUTE(BG26,"TM","")),"TS",""))*10/2,0),IF('Eval-Avec impact envisagé'!$A$779=AG9,LEN(SUBSTITUTE((SUBSTITUTE(BG27,"TM","")),"TS",""))*10/2,0),IF('Eval-Avec impact envisagé'!$A$780=AG9,LEN(SUBSTITUTE((SUBSTITUTE(BG28,"TM","")),"TS",""))*10/2,0))/COUNTIF('Eval-Avec impact envisagé'!$A$761:$A$780,AG9),"")</f>
        <v/>
      </c>
      <c r="AU9" s="211" t="str">
        <f>IF(COUNTIF('Eval-Avec impact envisagé'!$A$761:$A$780,AG9)&gt;0,SUM(IF('Eval-Avec impact envisagé'!$A$761=AG9,LEN(SUBSTITUTE((SUBSTITUTE(BG9,"TF","")),"TS",""))*10/2,0),IF('Eval-Avec impact envisagé'!$A$762=AG9,LEN(SUBSTITUTE((SUBSTITUTE(BG10,"TF","")),"TS",""))*10/2,0),IF('Eval-Avec impact envisagé'!$A$763=AG9,LEN(SUBSTITUTE((SUBSTITUTE(BG11,"TF","")),"TS",""))*10/2,0),IF('Eval-Avec impact envisagé'!$A$764=AG9,LEN(SUBSTITUTE((SUBSTITUTE(BG12,"TF","")),"TS",""))*10/2,0),IF('Eval-Avec impact envisagé'!$A$765=AG9,LEN(SUBSTITUTE((SUBSTITUTE(BG13,"TF","")),"TS",""))*10/2,0),IF('Eval-Avec impact envisagé'!$A$766=AG9,LEN(SUBSTITUTE((SUBSTITUTE(BG14,"TF","")),"TS",""))*10/2,0),IF('Eval-Avec impact envisagé'!$A$767=AG9,LEN(SUBSTITUTE((SUBSTITUTE(BG15,"TF","")),"TS",""))*10/2,0),IF('Eval-Avec impact envisagé'!$A$768=AG9,LEN(SUBSTITUTE((SUBSTITUTE(BG16,"TF","")),"TS",""))*10/2,0),IF('Eval-Avec impact envisagé'!$A$769=AG9,LEN(SUBSTITUTE((SUBSTITUTE(BG17,"TF","")),"TS",""))*10/2,0),IF('Eval-Avec impact envisagé'!$A$770=AG9,LEN(SUBSTITUTE((SUBSTITUTE(BG18,"TF","")),"TS",""))*10/2,0),IF('Eval-Avec impact envisagé'!$A$771=AG9,LEN(SUBSTITUTE((SUBSTITUTE(BG19,"TF","")),"TS",""))*10/2,0),IF('Eval-Avec impact envisagé'!$A$772=AG9,LEN(SUBSTITUTE((SUBSTITUTE(BG20,"TF","")),"TS",""))*10/2,0),IF('Eval-Avec impact envisagé'!$A$773=AG9,LEN(SUBSTITUTE((SUBSTITUTE(BG21,"TF","")),"TS",""))*10/2,0),IF('Eval-Avec impact envisagé'!$A$774=AG9,LEN(SUBSTITUTE((SUBSTITUTE(BG22,"TF","")),"TS",""))*10/2,0),IF('Eval-Avec impact envisagé'!$A$775=AG9,LEN(SUBSTITUTE((SUBSTITUTE(BG23,"TF","")),"TS",""))*10/2,0),IF('Eval-Avec impact envisagé'!$A$776=AG9,LEN(SUBSTITUTE((SUBSTITUTE(BG24,"TF","")),"TS",""))*10/2,0),IF('Eval-Avec impact envisagé'!$A$777=AG9,LEN(SUBSTITUTE((SUBSTITUTE(BG25,"TF","")),"TS",""))*10/2,0),IF('Eval-Avec impact envisagé'!$A$778=AG9,LEN(SUBSTITUTE((SUBSTITUTE(BG26,"TF","")),"TS",""))*10/2,0),IF('Eval-Avec impact envisagé'!$A$779=AG9,LEN(SUBSTITUTE((SUBSTITUTE(BG27,"TF","")),"TS",""))*10/2,0),IF('Eval-Avec impact envisagé'!$A$780=AG9,LEN(SUBSTITUTE((SUBSTITUTE(BG28,"TF","")),"TS",""))*10/2,0))/COUNTIF('Eval-Avec impact envisagé'!$A$761:$A$780,AG9),"")</f>
        <v/>
      </c>
      <c r="AV9" s="211" t="str">
        <f>IF(COUNTIF('Eval-Avec impact envisagé'!$A$761:$A$780,AG9)&gt;0,SUM(IF('Eval-Avec impact envisagé'!$A$761=AG9,LEN(SUBSTITUTE((SUBSTITUTE(BG9,"TF","")),"TM",""))*10/2,0),IF('Eval-Avec impact envisagé'!$A$762=AG9,LEN(SUBSTITUTE((SUBSTITUTE(BG10,"TF","")),"TM",""))*10/2,0),IF('Eval-Avec impact envisagé'!$A$763=AG9,LEN(SUBSTITUTE((SUBSTITUTE(BG11,"TF","")),"TM",""))*10/2,0),IF('Eval-Avec impact envisagé'!$A$764=AG9,LEN(SUBSTITUTE((SUBSTITUTE(BG12,"TF","")),"TM",""))*10/2,0),IF('Eval-Avec impact envisagé'!$A$765=AG9,LEN(SUBSTITUTE((SUBSTITUTE(BG13,"TF","")),"TM",""))*10/2,0),IF('Eval-Avec impact envisagé'!$A$766=AG9,LEN(SUBSTITUTE((SUBSTITUTE(BG14,"TF","")),"TM",""))*10/2,0),IF('Eval-Avec impact envisagé'!$A$767=AG9,LEN(SUBSTITUTE((SUBSTITUTE(BG15,"TF","")),"TM",""))*10/2,0),IF('Eval-Avec impact envisagé'!$A$768=AG9,LEN(SUBSTITUTE((SUBSTITUTE(BG16,"TF","")),"TM",""))*10/2,0),IF('Eval-Avec impact envisagé'!$A$769=AG9,LEN(SUBSTITUTE((SUBSTITUTE(BG17,"TF","")),"TM",""))*10/2,0),IF('Eval-Avec impact envisagé'!$A$770=AG9,LEN(SUBSTITUTE((SUBSTITUTE(BG18,"TF","")),"TM",""))*10/2,0),IF('Eval-Avec impact envisagé'!$A$771=AG9,LEN(SUBSTITUTE((SUBSTITUTE(BG19,"TF","")),"TM",""))*10/2,0),IF('Eval-Avec impact envisagé'!$A$772=AG9,LEN(SUBSTITUTE((SUBSTITUTE(BG20,"TF","")),"TM",""))*10/2,0),IF('Eval-Avec impact envisagé'!$A$773=AG9,LEN(SUBSTITUTE((SUBSTITUTE(BG21,"TF","")),"TM",""))*10/2,0),IF('Eval-Avec impact envisagé'!$A$774=AG9,LEN(SUBSTITUTE((SUBSTITUTE(BG22,"TF","")),"TM",""))*10/2,0),IF('Eval-Avec impact envisagé'!$A$775=AG9,LEN(SUBSTITUTE((SUBSTITUTE(BG23,"TF","")),"TM",""))*10/2,0),IF('Eval-Avec impact envisagé'!$A$776=AG9,LEN(SUBSTITUTE((SUBSTITUTE(BG24,"TF","")),"TM",""))*10/2,0),IF('Eval-Avec impact envisagé'!$A$777=AG9,LEN(SUBSTITUTE((SUBSTITUTE(BG25,"TF","")),"TM",""))*10/2,0),IF('Eval-Avec impact envisagé'!$A$778=AG9,LEN(SUBSTITUTE((SUBSTITUTE(BG26,"TF","")),"TM",""))*10/2,0),IF('Eval-Avec impact envisagé'!$A$779=AG9,LEN(SUBSTITUTE((SUBSTITUTE(BG27,"TF","")),"TM",""))*10/2,0),IF('Eval-Avec impact envisagé'!$A$780=AG9,LEN(SUBSTITUTE((SUBSTITUTE(BG28,"TF","")),"TM",""))*10/2,0))/COUNTIF('Eval-Avec impact envisagé'!$A$761:$A$780,AG9),"")</f>
        <v/>
      </c>
      <c r="AW9" s="211" t="str">
        <f>IF(COUNTIF('Eval-Avec impact envisagé'!$A$761:$A$780,AG9)&gt;0,IF(OR(AND('Eval-Avec impact envisagé'!$A$761=AG9,BD9&lt;30),AND('Eval-Avec impact envisagé'!$A$762=AG9,BD10&lt;30),AND('Eval-Avec impact envisagé'!$A$763=AG9,BD11&lt;30),AND('Eval-Avec impact envisagé'!$A$764=AG9,BD12&lt;30),AND('Eval-Avec impact envisagé'!$A$765=AG9,BD13&lt;30),AND('Eval-Avec impact envisagé'!$A$766=AG9,BD14&lt;30),AND('Eval-Avec impact envisagé'!$A$767=AG9,BD15&lt;30),AND('Eval-Avec impact envisagé'!$A$768=AG9,BD16&lt;30),AND('Eval-Avec impact envisagé'!$A$769=AG9,BD17&lt;30),AND('Eval-Avec impact envisagé'!$A$770=AG9,BD18&lt;30),AND('Eval-Avec impact envisagé'!$A$771=AG9,BD19&lt;30),AND('Eval-Avec impact envisagé'!$A$772=AG9,BD20&lt;30),AND('Eval-Avec impact envisagé'!$A$773=AG9,BD21&lt;30),AND('Eval-Avec impact envisagé'!$A$774=AG9,BD22&lt;30),AND('Eval-Avec impact envisagé'!$A$775=AG9,BD23&lt;30),AND('Eval-Avec impact envisagé'!$A$776=AG9,BD24&lt;30),AND('Eval-Avec impact envisagé'!$A$777=AG9,BD25&lt;30),AND('Eval-Avec impact envisagé'!$A$778=AG9,BD26&lt;30),AND('Eval-Avec impact envisagé'!$A$779=AG9,BD27&lt;30),AND('Eval-Avec impact envisagé'!$A$780=AG9,BD28&lt;30)),"",SUM(0.1*(SUMPRODUCT(('Eval-Avec impact envisagé'!$A$761:$A$780=AG9)*('Eval-Avec impact envisagé'!$N$761:$P$780="A"))+ SUMPRODUCT(('Eval-Avec impact envisagé'!$A$761:$A$780=AG9)*('Eval-Avec impact envisagé'!$N$761:$P$780="AL"))),0.7*(SUMPRODUCT(('Eval-Avec impact envisagé'!$A$761:$A$780=AG9)*('Eval-Avec impact envisagé'!$N$761:$P$780="TF"))+SUMPRODUCT(('Eval-Avec impact envisagé'!$A$761:$A$780=AG9)*('Eval-Avec impact envisagé'!$N$761:$P$780="TM"))+SUMPRODUCT(('Eval-Avec impact envisagé'!$A$761:$A$780=AG9)*('Eval-Avec impact envisagé'!$N$761:$P$780="TS"))),0.4*(SUMPRODUCT(('Eval-Avec impact envisagé'!$A$761:$A$780=AG9)*('Eval-Avec impact envisagé'!$N$761:$P$780="LA"))+SUMPRODUCT(('Eval-Avec impact envisagé'!$A$761:$A$780=AG9)*('Eval-Avec impact envisagé'!$N$761:$P$780="L"))+SUMPRODUCT(('Eval-Avec impact envisagé'!$A$761:$A$780=AG9)*('Eval-Avec impact envisagé'!$N$761:$P$780="LS"))),1*(SUMPRODUCT(('Eval-Avec impact envisagé'!$A$761:$A$780=AG9)*('Eval-Avec impact envisagé'!$N$761:$P$780="SL"))+ SUMPRODUCT(('Eval-Avec impact envisagé'!$A$761:$A$780=AG9)*('Eval-Avec impact envisagé'!$N$761:$P$780="S"))))/(3*COUNTIF('Eval-Avec impact envisagé'!$A$761:$A$780,AG9))),"")</f>
        <v/>
      </c>
      <c r="AX9" s="211" t="str">
        <f>IF(COUNTIF('Eval-Avec impact envisagé'!$A$761:$A$780,AG9)&gt;0,IF(OR(AND('Eval-Avec impact envisagé'!$A$761=AG9,BD9&lt;120),AND('Eval-Avec impact envisagé'!$A$762=AG9,BD10&lt;120),AND('Eval-Avec impact envisagé'!$A$763=AG9,BD11&lt;120),AND('Eval-Avec impact envisagé'!$A$764=AG9,BD12&lt;120),AND('Eval-Avec impact envisagé'!$A$765=AG9,BD13&lt;120),AND('Eval-Avec impact envisagé'!$A$766=AG9,BD14&lt;120),AND('Eval-Avec impact envisagé'!$A$767=AG9,BD15&lt;120),AND('Eval-Avec impact envisagé'!$A$768=AG9,BD16&lt;120),AND('Eval-Avec impact envisagé'!$A$769=AG9,BD17&lt;120),AND('Eval-Avec impact envisagé'!$A$770=AG9,BD18&lt;120),AND('Eval-Avec impact envisagé'!$A$771=AG9,BD19&lt;120),AND('Eval-Avec impact envisagé'!$A$772=AG9,BD20&lt;120),AND('Eval-Avec impact envisagé'!$A$773=AG9,BD21&lt;120),AND('Eval-Avec impact envisagé'!$A$774=AG9,BD22&lt;120),AND('Eval-Avec impact envisagé'!$A$775=AG9,BD23&lt;120),AND('Eval-Avec impact envisagé'!$A$776=AG9,BD24&lt;120),AND('Eval-Avec impact envisagé'!$A$777=AG9,BD25&lt;120),AND('Eval-Avec impact envisagé'!$A$778=AG9,BD26&lt;120),AND('Eval-Avec impact envisagé'!$A$779=AG9,BD27&lt;120),AND('Eval-Avec impact envisagé'!$A$780=AG9,BD28&lt;120)),"",SUM(0.1*(SUMPRODUCT(('Eval-Avec impact envisagé'!$A$761:$A$780=AG9)*('Eval-Avec impact envisagé'!$Q$761:$Y$780="A"))+ SUMPRODUCT(('Eval-Avec impact envisagé'!$A$761:$A$780=AG9)*('Eval-Avec impact envisagé'!$Q$761:$Y$780="AL"))),0.7*(SUMPRODUCT(('Eval-Avec impact envisagé'!$A$761:$A$780=AG9)*('Eval-Avec impact envisagé'!$Q$761:$Y$780="TF"))+SUMPRODUCT(('Eval-Avec impact envisagé'!$A$761:$A$780=AG9)*('Eval-Avec impact envisagé'!$Q$761:$Y$780="TM"))+SUMPRODUCT(('Eval-Avec impact envisagé'!$A$761:$A$780=AG9)*('Eval-Avec impact envisagé'!$Q$761:$Y$780="TS"))),0.4*(SUMPRODUCT(('Eval-Avec impact envisagé'!$A$761:$A$780=AG9)*('Eval-Avec impact envisagé'!$Q$761:$Y$780="LA"))+SUMPRODUCT(('Eval-Avec impact envisagé'!$A$761:$A$780=AG9)*('Eval-Avec impact envisagé'!$Q$761:$Y$780="L"))+SUMPRODUCT(('Eval-Avec impact envisagé'!$A$761:$A$780=AG9)*('Eval-Avec impact envisagé'!$Q$761:$Y$780="LS"))),1*(SUMPRODUCT(('Eval-Avec impact envisagé'!$A$761:$A$780=AG9)*('Eval-Avec impact envisagé'!$Q$761:$Y$780="SL"))+ SUMPRODUCT(('Eval-Avec impact envisagé'!$A$761:$A$780=AG9)*('Eval-Avec impact envisagé'!$Q$761:$Y$780="S"))))/(9*COUNTIF('Eval-Avec impact envisagé'!$A$761:$A$780,AG9))),"")</f>
        <v/>
      </c>
      <c r="AY9" s="211" t="str">
        <f>IF(COUNTIF('Eval-Avec impact envisagé'!$A$761:$A$780,AG9)&gt;0,IF(OR(AND('Eval-Avec impact envisagé'!$A$761=AG9,OR(COUNTIF('Eval-Avec impact envisagé'!$N$761:$P$761,"*T*")&gt;0,BD9&lt;30)),AND('Eval-Avec impact envisagé'!$A$762=AG9,OR(COUNTIF('Eval-Avec impact envisagé'!$N$762:$P$762,"*T*")&gt;0,BD10&lt;30)),AND('Eval-Avec impact envisagé'!$A$763=AG9,OR(COUNTIF('Eval-Avec impact envisagé'!$N$763:$P$763,"*T*")&gt;0,BD11&lt;30)),AND('Eval-Avec impact envisagé'!$A$764=AG9,OR(COUNTIF('Eval-Avec impact envisagé'!$N$764:$P$764,"*T*")&gt;0,BD12&lt;30)),AND('Eval-Avec impact envisagé'!$A$765=AG9,OR(COUNTIF('Eval-Avec impact envisagé'!$N$765:$P$765,"*T*")&gt;0,BD13&lt;30)),AND('Eval-Avec impact envisagé'!$A$766=AG9,OR(COUNTIF('Eval-Avec impact envisagé'!$N$766:$P$766,"*T*")&gt;0,BD14&lt;30)),AND('Eval-Avec impact envisagé'!$A$767=AG9,OR(COUNTIF('Eval-Avec impact envisagé'!$N$767:$P$767,"*T*")&gt;0,BD15&lt;30)),AND('Eval-Avec impact envisagé'!$A$768=AG9,OR(COUNTIF('Eval-Avec impact envisagé'!$N$768:$P$768,"*T*")&gt;0,BD16&lt;30)),AND('Eval-Avec impact envisagé'!$A$769=AG9,OR(COUNTIF('Eval-Avec impact envisagé'!$N$769:$P$769,"*T*")&gt;0,BD17&lt;30)),AND('Eval-Avec impact envisagé'!$A$770=AG9,OR(COUNTIF('Eval-Avec impact envisagé'!$N$770:$P$770,"*T*")&gt;0,BD18&lt;30)),AND('Eval-Avec impact envisagé'!$A$771=AG9,OR(COUNTIF('Eval-Avec impact envisagé'!$N$771:$P$771,"*T*")&gt;0,BD19&lt;30)),AND('Eval-Avec impact envisagé'!$A$772=AG9,OR(COUNTIF('Eval-Avec impact envisagé'!$N$772:$P$772,"*T*")&gt;0,BD20&lt;30)),AND('Eval-Avec impact envisagé'!$A$773=AG9,OR(COUNTIF('Eval-Avec impact envisagé'!$N$773:$P$773,"*T*")&gt;0,BD21&lt;30)),AND('Eval-Avec impact envisagé'!$A$774=AG9,OR(COUNTIF('Eval-Avec impact envisagé'!$N$774:$P$774,"*T*")&gt;0,BD22&lt;30)),AND('Eval-Avec impact envisagé'!$A$775=AG9,OR(COUNTIF('Eval-Avec impact envisagé'!$N$775:$P$775,"*T*")&gt;0,BD23&lt;30)),AND('Eval-Avec impact envisagé'!$A$776=AG9,OR(COUNTIF('Eval-Avec impact envisagé'!$N$776:$P$776,"*T*")&gt;0,BD24&lt;30)),AND('Eval-Avec impact envisagé'!$A$777=AG9,OR(COUNTIF('Eval-Avec impact envisagé'!$N$777:$P$777,"*T*")&gt;0,BD25&lt;30)),AND('Eval-Avec impact envisagé'!$A$778=AG9,OR(COUNTIF('Eval-Avec impact envisagé'!$N$778:$P$778,"*T*")&gt;0,BD26&lt;30)),AND('Eval-Avec impact envisagé'!$A$779=AG9,OR(COUNTIF('Eval-Avec impact envisagé'!$N$779:$P$779,"*T*")&gt;0,BD27&lt;30)),AND('Eval-Avec impact envisagé'!$A$780=AG9,OR(COUNTIF('Eval-Avec impact envisagé'!$N$780:$P$780,"*T*")&gt;0,BD28&lt;30))),"",SUM(0.1*(SUMPRODUCT(('Eval-Avec impact envisagé'!$A$761:$A$780=AG9)*('Eval-Avec impact envisagé'!$N$761:$P$780="L"))),0.4*(SUMPRODUCT(('Eval-Avec impact envisagé'!$A$761:$A$780=AG9)*('Eval-Avec impact envisagé'!$N$761:$P$780="LA"))+SUMPRODUCT(('Eval-Avec impact envisagé'!$A$761:$A$780=AG9)*('Eval-Avec impact envisagé'!$N$761:$P$780="LS"))),0.7*(SUMPRODUCT(('Eval-Avec impact envisagé'!$A$761:$A$780=AG9)*('Eval-Avec impact envisagé'!$N$761:$P$780="AL"))+SUMPRODUCT(('Eval-Avec impact envisagé'!$A$761:$A$780=AG9)*('Eval-Avec impact envisagé'!$N$761:$P$780="SL"))),1*(SUMPRODUCT(('Eval-Avec impact envisagé'!$A$761:$A$780=AG9)*('Eval-Avec impact envisagé'!$N$761:$P$780="S"))+ SUMPRODUCT(('Eval-Avec impact envisagé'!$A$761:$A$780=AG9)*('Eval-Avec impact envisagé'!$N$761:$P$780="A"))))/(3*COUNTIF('Eval-Avec impact envisagé'!$A$761:$A$780,AG9))),"")</f>
        <v/>
      </c>
      <c r="AZ9" s="211" t="str">
        <f>IF(COUNTIF('Eval-Avec impact envisagé'!$A$761:$A$780,AG9)&gt;0,IF(OR(AND('Eval-Avec impact envisagé'!$A$761=AG9,OR(COUNTIF('Eval-Avec impact envisagé'!$N$761:$P$761,"*T*")&gt;0,BD9&lt;30)),AND('Eval-Avec impact envisagé'!$A$762=AG9,OR(COUNTIF('Eval-Avec impact envisagé'!$N$762:$P$762,"*T*")&gt;0,BD10&lt;30)),AND('Eval-Avec impact envisagé'!$A$763=AG9,OR(COUNTIF('Eval-Avec impact envisagé'!$N$763:$P$763,"*T*")&gt;0,BD11&lt;30)),AND('Eval-Avec impact envisagé'!$A$764=AG9,OR(COUNTIF('Eval-Avec impact envisagé'!$N$764:$P$764,"*T*")&gt;0,BD12&lt;30)),AND('Eval-Avec impact envisagé'!$A$765=AG9,OR(COUNTIF('Eval-Avec impact envisagé'!$N$765:$P$765,"*T*")&gt;0,BD13&lt;30)),AND('Eval-Avec impact envisagé'!$A$766=AG9,OR(COUNTIF('Eval-Avec impact envisagé'!$N$766:$P$766,"*T*")&gt;0,BD14&lt;30)),AND('Eval-Avec impact envisagé'!$A$767=AG9,OR(COUNTIF('Eval-Avec impact envisagé'!$N$767:$P$767,"*T*")&gt;0,BD15&lt;30)),AND('Eval-Avec impact envisagé'!$A$768=AG9,OR(COUNTIF('Eval-Avec impact envisagé'!$N$768:$P$768,"*T*")&gt;0,BD16&lt;30)),AND('Eval-Avec impact envisagé'!$A$769=AG9,OR(COUNTIF('Eval-Avec impact envisagé'!$N$769:$P$769,"*T*")&gt;0,BD17&lt;30)),AND('Eval-Avec impact envisagé'!$A$770=AG9,OR(COUNTIF('Eval-Avec impact envisagé'!$N$770:$P$770,"*T*")&gt;0,BD18&lt;30)),AND('Eval-Avec impact envisagé'!$A$771=AG9,OR(COUNTIF('Eval-Avec impact envisagé'!$N$771:$P$771,"*T*")&gt;0,BD19&lt;30)),AND('Eval-Avec impact envisagé'!$A$772=AG9,OR(COUNTIF('Eval-Avec impact envisagé'!$N$772:$P$772,"*T*")&gt;0,BD20&lt;30)),AND('Eval-Avec impact envisagé'!$A$773=AG9,OR(COUNTIF('Eval-Avec impact envisagé'!$N$773:$P$773,"*T*")&gt;0,BD21&lt;30)),AND('Eval-Avec impact envisagé'!$A$774=AG9,OR(COUNTIF('Eval-Avec impact envisagé'!$N$774:$P$774,"*T*")&gt;0,BD22&lt;30)),AND('Eval-Avec impact envisagé'!$A$775=AG9,OR(COUNTIF('Eval-Avec impact envisagé'!$N$775:$P$775,"*T*")&gt;0,BD23&lt;30)),AND('Eval-Avec impact envisagé'!$A$776=AG9,OR(COUNTIF('Eval-Avec impact envisagé'!$N$776:$P$776,"*T*")&gt;0,BD24&lt;30)),AND('Eval-Avec impact envisagé'!$A$777=AG9,OR(COUNTIF('Eval-Avec impact envisagé'!$N$777:$P$777,"*T*")&gt;0,BD25&lt;30)),AND('Eval-Avec impact envisagé'!$A$778=AG9,OR(COUNTIF('Eval-Avec impact envisagé'!$N$778:$P$778,"*T*")&gt;0,BD26&lt;30)),AND('Eval-Avec impact envisagé'!$A$779=AG9,OR(COUNTIF('Eval-Avec impact envisagé'!$N$779:$P$779,"*T*")&gt;0,BD27&lt;30)),AND('Eval-Avec impact envisagé'!$A$780=AG9,OR(COUNTIF('Eval-Avec impact envisagé'!$N$780:$P$780,"*T*")&gt;0,BD28&lt;30))),"",SUM(1*(SUMPRODUCT(('Eval-Avec impact envisagé'!$A$761:$A$780=AG9)*('Eval-Avec impact envisagé'!$N$761:$P$780="A"))),0.85*(SUMPRODUCT(('Eval-Avec impact envisagé'!$A$761:$A$780=AG9)*('Eval-Avec impact envisagé'!$N$761:$P$780="AL"))),0.7*(SUMPRODUCT(('Eval-Avec impact envisagé'!$A$761:$A$780=AG9)*('Eval-Avec impact envisagé'!$N$761:$P$780="LA"))),0.55*(SUMPRODUCT(('Eval-Avec impact envisagé'!$A$761:$A$780=AG9)*('Eval-Avec impact envisagé'!$N$761:$P$780="L"))),0.4*(SUMPRODUCT(('Eval-Avec impact envisagé'!$A$761:$A$780=AG9)*('Eval-Avec impact envisagé'!$N$761:$P$780="LS"))),0.25*(SUMPRODUCT(('Eval-Avec impact envisagé'!$A$761:$A$780=AG9)*('Eval-Avec impact envisagé'!$N$761:$P$780="SL"))),0.1*(SUMPRODUCT(('Eval-Avec impact envisagé'!$A$761:$A$780=AG9)*('Eval-Avec impact envisagé'!$N$761:$P$780="S"))))/(3*COUNTIF('Eval-Avec impact envisagé'!$A$761:$A$780,AG9))),"")</f>
        <v/>
      </c>
      <c r="BA9" s="214" t="str">
        <f>IF(COUNTIF('Eval-Avec impact envisagé'!$A$761:$A$780,AG9)&gt;0,IF(OR(AND('Eval-Avec impact envisagé'!$A$761=AG9,OR(COUNTIF('Eval-Avec impact envisagé'!$Q$761:$Y$761,"*T*")&gt;0,BD9&lt;120)),AND('Eval-Avec impact envisagé'!$A$762=AG9,OR(COUNTIF('Eval-Avec impact envisagé'!$Q$762:$Y$762,"*T*")&gt;0,BD10&lt;120)),AND('Eval-Avec impact envisagé'!$A$763=AG9,OR(COUNTIF('Eval-Avec impact envisagé'!$Q$763:$Y$763,"*T*")&gt;0,BD11&lt;120)),AND('Eval-Avec impact envisagé'!$A$764=AG9,OR(COUNTIF('Eval-Avec impact envisagé'!$Q$764:$Y$764,"*T*")&gt;0,BD12&lt;120)),AND('Eval-Avec impact envisagé'!$A$765=AG9,OR(COUNTIF('Eval-Avec impact envisagé'!$Q$765:$Y$765,"*T*")&gt;0,BD13&lt;120)),AND('Eval-Avec impact envisagé'!$A$766=AG9,OR(COUNTIF('Eval-Avec impact envisagé'!$Q$766:$Y$766,"*T*")&gt;0,BD14&lt;120)),AND('Eval-Avec impact envisagé'!$A$767=AG9,OR(COUNTIF('Eval-Avec impact envisagé'!$Q$767:$Y$767,"*T*")&gt;0,BD15&lt;120)),AND('Eval-Avec impact envisagé'!$A$768=AG9,OR(COUNTIF('Eval-Avec impact envisagé'!$Q$768:$Y$768,"*T*")&gt;0,BD16&lt;120)),AND('Eval-Avec impact envisagé'!$A$769=AG9,OR(COUNTIF('Eval-Avec impact envisagé'!$Q$769:$Y$769,"*T*")&gt;0,BD17&lt;120)),AND('Eval-Avec impact envisagé'!$A$770=AG9,OR(COUNTIF('Eval-Avec impact envisagé'!$Q$770:$Y$770,"*T*")&gt;0,BD18&lt;120)),AND('Eval-Avec impact envisagé'!$A$771=AG9,OR(COUNTIF('Eval-Avec impact envisagé'!$Q$771:$Y$771,"*T*")&gt;0,BD19&lt;120)),AND('Eval-Avec impact envisagé'!$A$772=AG9,OR(COUNTIF('Eval-Avec impact envisagé'!$Q$772:$Y$772,"*T*")&gt;0,BD20&lt;120)),AND('Eval-Avec impact envisagé'!$A$773=AG9,OR(COUNTIF('Eval-Avec impact envisagé'!$Q$773:$Y$773,"*T*")&gt;0,BD21&lt;120)),AND('Eval-Avec impact envisagé'!$A$774=AG9,OR(COUNTIF('Eval-Avec impact envisagé'!$Q$774:$Y$774,"*T*")&gt;0,BD22&lt;120)),AND('Eval-Avec impact envisagé'!$A$775=AG9,OR(COUNTIF('Eval-Avec impact envisagé'!$Q$775:$Y$775,"*T*")&gt;0,BD23&lt;120)),AND('Eval-Avec impact envisagé'!$A$776=AG9,OR(COUNTIF('Eval-Avec impact envisagé'!$Q$776:$Y$776,"*T*")&gt;0,BD24&lt;120)),AND('Eval-Avec impact envisagé'!$A$777=AG9,OR(COUNTIF('Eval-Avec impact envisagé'!$Q$777:$Y$777,"*T*")&gt;0,BD25&lt;120)),AND('Eval-Avec impact envisagé'!$A$778=AG9,OR(COUNTIF('Eval-Avec impact envisagé'!$Q$778:$Y$778,"*T*")&gt;0,BD26&lt;120)),AND('Eval-Avec impact envisagé'!$A$779=AG9,OR(COUNTIF('Eval-Avec impact envisagé'!$Q$779:$Y$779,"*T*")&gt;0,BD27&lt;120)),AND('Eval-Avec impact envisagé'!$A$780=AG9,OR(COUNTIF('Eval-Avec impact envisagé'!$Q$780:$Y$780,"*T*")&gt;0,BD28&lt;120))),"",SUM(1*(SUMPRODUCT(('Eval-Avec impact envisagé'!$A$761:$A$780=AG9)*('Eval-Avec impact envisagé'!$Q$761:$Y$780="A"))),0.85*(SUMPRODUCT(('Eval-Avec impact envisagé'!$A$761:$A$780=AG9)*('Eval-Avec impact envisagé'!$Q$761:$Y$780="AL"))),0.7*(SUMPRODUCT(('Eval-Avec impact envisagé'!$A$761:$A$780=AG9)*('Eval-Avec impact envisagé'!$Q$761:$Y$780="LA"))),0.55*(SUMPRODUCT(('Eval-Avec impact envisagé'!$A$761:$A$780=AG9)*('Eval-Avec impact envisagé'!$Q$761:$Y$780="L"))),0.4*(SUMPRODUCT(('Eval-Avec impact envisagé'!$A$761:$A$780=AG9)*('Eval-Avec impact envisagé'!$Q$761:$Y$780="LS"))),0.25*(SUMPRODUCT(('Eval-Avec impact envisagé'!$A$761:$A$780=AG9)*('Eval-Avec impact envisagé'!$Q$761:$Y$780="SL"))),0.1*(SUMPRODUCT(('Eval-Avec impact envisagé'!$A$761:$A$780=AG9)*('Eval-Avec impact envisagé'!$Q$761:$Y$780="S"))))/(9*COUNTIF('Eval-Avec impact envisagé'!$A$761:$A$780,AG9))),"")</f>
        <v/>
      </c>
      <c r="BB9" s="215"/>
      <c r="BC9" s="216">
        <f>'Eval-Avec impact envisagé'!$D$761</f>
        <v>1</v>
      </c>
      <c r="BD9" s="217" t="str">
        <f>IF(BE9="C",0,IF(IF(COUNTIF('Eval-Avec impact envisagé'!$N$761:$Y$761,"=C")&gt;0,(COUNTA('Eval-Avec impact envisagé'!$N$761:$Y$761)-1)*10,COUNTA('Eval-Avec impact envisagé'!$N$761:$Y$761)*10)=0,"",IF(COUNTIF('Eval-Avec impact envisagé'!$N$761:$Y$761,"=C")&gt;0,(COUNTA('Eval-Avec impact envisagé'!$N$761:$Y$761)-1)*10,COUNTA('Eval-Avec impact envisagé'!$N$761:$Y$761)*10)))</f>
        <v/>
      </c>
      <c r="BE9" s="217" t="str">
        <f>CONCATENATE('Eval-Avec impact envisagé'!$N$761,'Eval-Avec impact envisagé'!$O$761,'Eval-Avec impact envisagé'!$P$761,'Eval-Avec impact envisagé'!$Q$761,'Eval-Avec impact envisagé'!$R$761,'Eval-Avec impact envisagé'!$S$761,'Eval-Avec impact envisagé'!$T$761,'Eval-Avec impact envisagé'!$U$761,'Eval-Avec impact envisagé'!$V$761,'Eval-Avec impact envisagé'!$W$761,'Eval-Avec impact envisagé'!$X$761,'Eval-Avec impact envisagé'!$Y$761)</f>
        <v/>
      </c>
      <c r="BF9" s="217" t="str">
        <f t="shared" ref="BF9:BF28" si="4">IF(LEFT(BE9,1)="S","",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f>
        <v/>
      </c>
      <c r="BG9" s="217" t="str">
        <f t="shared" ref="BG9:BG28" si="5">CONCATENATE(IF(LEFT(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1)="S",RIGHT(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LEN(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-1),""),SUBSTITUTE(SUBSTITUTE(SUBSTITUTE(SUBSTITUTE(SUBSTITUTE(SUBSTITUTE(SUBSTITUTE(SUBSTITUTE(SUBSTITUTE(SUBSTITUTE(RIGHT(BE9,LEN(BE9)-LEN(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TS","X"),"S",""),"SL",""),"LS",""),"L",""),"LA",""),"AL",""),"A",""),"C",""),"X","TS"))</f>
        <v/>
      </c>
      <c r="BH9" s="217" t="str">
        <f>IF(COUNTIF('Eval-Avec impact envisagé'!$N$761:$Y$761,"=C")&gt;0,"X","")</f>
        <v/>
      </c>
      <c r="BI9" s="217" t="str">
        <f t="shared" ref="BI9:BI28" si="6">IF(AND(BD9&lt;120,BH9&lt;&gt;"X"),"X","")</f>
        <v/>
      </c>
      <c r="BJ9" s="218" t="str">
        <f t="shared" ref="BJ9:BJ28" si="7">IF(LEN(BE9)=0,"",IF(BD9=0,"",IF(AND(LEN(BF9)/2*10=BD9,BI9="X"),"X","")))</f>
        <v/>
      </c>
      <c r="BK9" s="197"/>
      <c r="BM9" s="210">
        <v>1</v>
      </c>
      <c r="BN9" s="211" t="str">
        <f>IF(COUNTIF('Eval-Après impact'!$A$761:$A$780,BM9)&gt;0,SUM(IF('Eval-Après impact'!$A$761=BM9,'Eval-Après impact'!$B$761,0),IF('Eval-Après impact'!$A$762=BM9, 'Eval-Après impact'!$B$762,0),IF('Eval-Après impact'!$A$763=BM9, 'Eval-Après impact'!$B$763,0),IF('Eval-Après impact'!$A$764=BM9, 'Eval-Après impact'!$B$764,0),IF('Eval-Après impact'!$A$765=BM9, 'Eval-Après impact'!$B$765,0),IF('Eval-Après impact'!$A$766=BM9, 'Eval-Après impact'!$B$766,0),IF('Eval-Après impact'!$A$767=BM9, 'Eval-Après impact'!$B$767,0),IF('Eval-Après impact'!$A$768=BM9, 'Eval-Après impact'!$B$768,0),IF('Eval-Après impact'!$A$769=BM9, 'Eval-Après impact'!$B$769,0),IF('Eval-Après impact'!$A$770=BM9, 'Eval-Après impact'!$B$770,0),IF('Eval-Après impact'!$A$771=BM9, 'Eval-Après impact'!$B$771,0),IF('Eval-Après impact'!$A$772=BM9, 'Eval-Après impact'!$B$772,0),IF('Eval-Après impact'!$A$773=BM9, 'Eval-Après impact'!$B$773,0),IF('Eval-Après impact'!$A$774=BM9, 'Eval-Après impact'!$B$774,0),IF('Eval-Après impact'!$A$775=BM9, 'Eval-Après impact'!$B$775,0),IF('Eval-Après impact'!$A$776=BM9, 'Eval-Après impact'!$B$776,0),IF('Eval-Après impact'!$A$777=BM9, 'Eval-Après impact'!$B$777,0),IF('Eval-Après impact'!$A$778=BM9, 'Eval-Après impact'!$B$778,0),IF('Eval-Après impact'!$A$779=BM9, 'Eval-Après impact'!$B$779,0),IF('Eval-Après impact'!$A$780=BM9, 'Eval-Après impact'!$B$780,0))/COUNTIF('Eval-Après impact'!$A$761:$A$780,BM9),"")</f>
        <v/>
      </c>
      <c r="BO9" s="212" t="str">
        <f>IF(COUNTIF('Eval-Après impact'!$A$761:$A$780,BM9)&gt;0,COUNTIF('Eval-Après impact'!$A$761:$A$780,BM9),"")</f>
        <v/>
      </c>
      <c r="BP9" s="211" t="str">
        <f>IF(COUNTIF('Eval-Après impact'!$A$761:$A$780,BM9)&gt;0,IF(OR(AND('Eval-Après impact'!$A$761=BM9, 'Eval-Après impact'!$G$761=""),AND('Eval-Après impact'!$A$762=BM9, 'Eval-Après impact'!$G$762=""),AND('Eval-Après impact'!$A$763=BM9, 'Eval-Après impact'!$G$763=""),AND('Eval-Après impact'!$A$764=BM9, 'Eval-Après impact'!$G$764=""),AND('Eval-Après impact'!$A$765=BM9, 'Eval-Après impact'!$G$765=""),AND('Eval-Après impact'!$A$766=BM9, 'Eval-Après impact'!$G$766=""),AND('Eval-Après impact'!$A$767=BM9, 'Eval-Après impact'!$G$767=""),AND('Eval-Après impact'!$A$768=BM9, 'Eval-Après impact'!$G$768=""),AND('Eval-Après impact'!$A$769=BM9, 'Eval-Après impact'!$G$769=""),AND('Eval-Après impact'!$A$770=BM9, 'Eval-Après impact'!$G$770=""),AND('Eval-Après impact'!$A$771=BM9, 'Eval-Après impact'!$G$771=""),AND('Eval-Après impact'!$A$772=BM9, 'Eval-Après impact'!$G$772=""),AND('Eval-Après impact'!$A$773=BM9, 'Eval-Après impact'!$G$773=""),AND('Eval-Après impact'!$A$774=BM9, 'Eval-Après impact'!$G$774=""),AND('Eval-Après impact'!$A$775=BM9, 'Eval-Après impact'!$G$775=""),AND('Eval-Après impact'!$A$776=BM9, 'Eval-Après impact'!$G$776=""),AND('Eval-Après impact'!$A$777=BM9, 'Eval-Après impact'!$G$777=""),AND('Eval-Après impact'!$A$778=BM9, 'Eval-Après impact'!$G$778=""),AND('Eval-Après impact'!$A$779=BM9, 'Eval-Après impact'!$G$779=""),AND('Eval-Après impact'!$A$780=BM9, 'Eval-Après impact'!$G$780="")),"",SUM(IF('Eval-Après impact'!$A$761=BM9,'Eval-Après impact'!$G$761,0),IF('Eval-Après impact'!$A$762=BM9,'Eval-Après impact'!$G$762,0),IF('Eval-Après impact'!$A$763=BM9,'Eval-Après impact'!$G$763,0),IF('Eval-Après impact'!$A$764=BM9,'Eval-Après impact'!$G$764,0),IF('Eval-Après impact'!$A$765=BM9,'Eval-Après impact'!$G$765,0),IF('Eval-Après impact'!$A$766=BM9,'Eval-Après impact'!$G$766,0),IF('Eval-Après impact'!$A$767=BM9,'Eval-Après impact'!$G$767,0),IF('Eval-Après impact'!$A$768=BM9,'Eval-Après impact'!$G$768,0),IF('Eval-Après impact'!$A$769=BM9,'Eval-Après impact'!$G$769,0),IF('Eval-Après impact'!$A$770=BM9,'Eval-Après impact'!$G$770,0),IF('Eval-Après impact'!$A$771=BM9,'Eval-Après impact'!$G$771,0),IF('Eval-Après impact'!$A$772=BM9,'Eval-Après impact'!$G$772,0),IF('Eval-Après impact'!$A$773=BM9,'Eval-Après impact'!$G$773,0),IF('Eval-Après impact'!$A$774=BM9,'Eval-Après impact'!$G$774,0),IF('Eval-Après impact'!$A$775=BM9,'Eval-Après impact'!$G$775,0), IF('Eval-Après impact'!$A$776=BM9,'Eval-Après impact'!$G$776,0), IF('Eval-Après impact'!$A$777=BM9,'Eval-Après impact'!$G$777,0), IF('Eval-Après impact'!$A$778=BM9,'Eval-Après impact'!$G$778,0), IF('Eval-Après impact'!$A$779=BM9,'Eval-Après impact'!$G$779,0), IF('Eval-Après impact'!$A$780=BM9,'Eval-Après impact'!$G$780,0))/ COUNTIF('Eval-Après impact'!$A$761:$A$780,BM9)),"")</f>
        <v/>
      </c>
      <c r="BQ9" s="212" t="str">
        <f>IF(COUNTIF('Eval-Après impact'!$A$761:$A$780,BM9)&gt;0,IF(SUM(IF('Eval-Après impact'!$A$761=BM9,COUNTA('Eval-Après impact'!$H$761),0),IF('Eval-Après impact'!$A$762=BM9,COUNTA('Eval-Après impact'!$H$762),0),IF('Eval-Après impact'!$A$763=BM9,COUNTA('Eval-Après impact'!$H$763),0),IF('Eval-Après impact'!$A$764=BM9,COUNTA('Eval-Après impact'!$H$764),0),IF('Eval-Après impact'!$A$765=BM9,COUNTA('Eval-Après impact'!$H$765),0),IF('Eval-Après impact'!$A$766=BM9,COUNTA('Eval-Après impact'!$H$766),0),IF('Eval-Après impact'!$A$767=BM9,COUNTA('Eval-Après impact'!$H$767),0),IF('Eval-Après impact'!$A$768=BM9,COUNTA('Eval-Après impact'!$H$768),0),IF('Eval-Après impact'!$A$769=BM9,COUNTA('Eval-Après impact'!$H$769),0),IF('Eval-Après impact'!$A$770=BM9,COUNTA('Eval-Après impact'!$H$770),0),IF('Eval-Après impact'!$A$771=BM9,COUNTA('Eval-Après impact'!$H$771),0),IF('Eval-Après impact'!$A$772=BM9,COUNTA('Eval-Après impact'!$H$772),0),IF('Eval-Après impact'!$A$773=BM9,COUNTA('Eval-Après impact'!$H$773),0),IF('Eval-Après impact'!$A$774=BM9,COUNTA('Eval-Après impact'!$H$774),0),IF('Eval-Après impact'!$A$775=BM9,COUNTA('Eval-Après impact'!$H$775),0),IF('Eval-Après impact'!$A$776=BM9,COUNTA('Eval-Après impact'!$H$776),0),IF('Eval-Après impact'!$A$777=BM9,COUNTA('Eval-Après impact'!$H$777),0),IF('Eval-Après impact'!$A$778=BM9,COUNTA('Eval-Après impact'!$H$778),0),IF('Eval-Après impact'!$A$779=BM9,COUNTA('Eval-Après impact'!$H$779),0),IF('Eval-Après impact'!$A$780=BM9,COUNTA('Eval-Après impact'!$H$780),0))&gt;0,"X",0),"")</f>
        <v/>
      </c>
      <c r="BR9" s="213" t="str">
        <f>IF(COUNTIF('Eval-Après impact'!$A$761:$A$780,BM9)&gt;0,IF(SUM(IF('Eval-Après impact'!$A$761=BM9,COUNTA('Eval-Après impact'!$I$761),0),IF('Eval-Après impact'!$A$762=BM9,COUNTA('Eval-Après impact'!$I$762),0),IF('Eval-Après impact'!$A$763=BM9,COUNTA('Eval-Après impact'!$I$763),0),IF('Eval-Après impact'!$A$764=BM9,COUNTA('Eval-Après impact'!$I$764),0),IF('Eval-Après impact'!$A$765=BM9,COUNTA('Eval-Après impact'!$I$765),0),IF('Eval-Après impact'!$A$766=BM9,COUNTA('Eval-Après impact'!$I$766),0),IF('Eval-Après impact'!$A$767=BM9,COUNTA('Eval-Après impact'!$I$767),0),IF('Eval-Après impact'!$A$768=BM9,COUNTA('Eval-Après impact'!$I$768),0),IF('Eval-Après impact'!$A$769=BM9,COUNTA('Eval-Après impact'!$I$769),0),IF('Eval-Après impact'!$A$770=BM9,COUNTA('Eval-Après impact'!$I$770),0),IF('Eval-Après impact'!$A$771=BM9,COUNTA('Eval-Après impact'!$I$771),0),IF('Eval-Après impact'!$A$772=BM9,COUNTA('Eval-Après impact'!$I$772),0),IF('Eval-Après impact'!$A$773=BM9,COUNTA('Eval-Après impact'!$I$773),0),IF('Eval-Après impact'!$A$774=BM9,COUNTA('Eval-Après impact'!$I$774),0),IF('Eval-Après impact'!$A$775=BM9,COUNTA('Eval-Après impact'!$I$775),0),IF('Eval-Après impact'!$A$776=BM9,COUNTA('Eval-Après impact'!$I$776),0),IF('Eval-Après impact'!$A$777=BM9,COUNTA('Eval-Après impact'!$I$777),0),IF('Eval-Après impact'!$A$778=BM9,COUNTA('Eval-Après impact'!$I$778),0),IF('Eval-Après impact'!$A$779=BM9,COUNTA('Eval-Après impact'!$I$779),0),IF('Eval-Après impact'!$A$780=BM9,COUNTA('Eval-Après impact'!$I$780),0))&gt;0,"X",0),"")</f>
        <v/>
      </c>
      <c r="BS9" s="213" t="str">
        <f>IF(COUNTIF('Eval-Après impact'!$A$761:$A$780,BM9)&gt;0,IF(SUM(IF('Eval-Après impact'!$A$761=BM9,COUNTA('Eval-Après impact'!$J$761),0),IF('Eval-Après impact'!$A$762=BM9,COUNTA('Eval-Après impact'!$J$762),0),IF('Eval-Après impact'!$A$763=BM9,COUNTA('Eval-Après impact'!$J$763),0),IF('Eval-Après impact'!$A$764=BM9,COUNTA('Eval-Après impact'!$J$764),0),IF('Eval-Après impact'!$A$765=BM9,COUNTA('Eval-Après impact'!$J$765),0),IF('Eval-Après impact'!$A$766=BM9,COUNTA('Eval-Après impact'!$J$766),0),IF('Eval-Après impact'!$A$767=BM9,COUNTA('Eval-Après impact'!$J$767),0),IF('Eval-Après impact'!$A$768=BM9,COUNTA('Eval-Après impact'!$J$768),0),IF('Eval-Après impact'!$A$769=BM9,COUNTA('Eval-Après impact'!$J$769),0),IF('Eval-Après impact'!$A$770=BM9,COUNTA('Eval-Après impact'!$J$770),0),IF('Eval-Après impact'!$A$771=BM9,COUNTA('Eval-Après impact'!$J$771),0),IF('Eval-Après impact'!$A$772=BM9,COUNTA('Eval-Après impact'!$J$772),0),IF('Eval-Après impact'!$A$773=BM9,COUNTA('Eval-Après impact'!$J$773),0),IF('Eval-Après impact'!$A$774=BM9,COUNTA('Eval-Après impact'!$J$774),0),IF('Eval-Après impact'!$A$775=BM9,COUNTA('Eval-Après impact'!$J$775),0),IF('Eval-Après impact'!$A$776=BM9,COUNTA('Eval-Après impact'!$J$776),0),IF('Eval-Après impact'!$A$777=BM9,COUNTA('Eval-Après impact'!$J$777),0),IF('Eval-Après impact'!$A$778=BM9,COUNTA('Eval-Après impact'!$J$778),0),IF('Eval-Après impact'!$A$779=BM9,COUNTA('Eval-Après impact'!$J$779),0),IF('Eval-Après impact'!$A$780=BM9,COUNTA('Eval-Après impact'!$J$780),0))&gt;0,"X",0),"")</f>
        <v/>
      </c>
      <c r="BT9" s="213" t="str">
        <f>IF(COUNTIF('Eval-Après impact'!$A$761:$A$780,BM9)&gt;0,IF(SUM(IF('Eval-Après impact'!$A$761=BM9,COUNTA('Eval-Après impact'!$K$761),0),IF('Eval-Après impact'!$A$762=BM9,COUNTA('Eval-Après impact'!$K$762),0),IF('Eval-Après impact'!$A$763=BM9,COUNTA('Eval-Après impact'!$K$763),0),IF('Eval-Après impact'!$A$764=BM9,COUNTA('Eval-Après impact'!$K$764),0),IF('Eval-Après impact'!$A$765=BM9,COUNTA('Eval-Après impact'!$K$765),0),IF('Eval-Après impact'!$A$766=BM9,COUNTA('Eval-Après impact'!$K$766),0),IF('Eval-Après impact'!$A$767=BM9,COUNTA('Eval-Après impact'!$K$767),0),IF('Eval-Après impact'!$A$768=BM9,COUNTA('Eval-Après impact'!$K$768),0),IF('Eval-Après impact'!$A$769=BM9,COUNTA('Eval-Après impact'!$K$769),0),IF('Eval-Après impact'!$A$770=BM9,COUNTA('Eval-Après impact'!$K$770),0),IF('Eval-Après impact'!$A$771=BM9,COUNTA('Eval-Après impact'!$K$771),0),IF('Eval-Après impact'!$A$772=BM9,COUNTA('Eval-Après impact'!$K$772),0),IF('Eval-Après impact'!$A$773=BM9,COUNTA('Eval-Après impact'!$K$773),0),IF('Eval-Après impact'!$A$774=BM9,COUNTA('Eval-Après impact'!$K$774),0),IF('Eval-Après impact'!$A$775=BM9,COUNTA('Eval-Après impact'!$K$775),0),IF('Eval-Après impact'!$A$776=BM9,COUNTA('Eval-Après impact'!$K$776),0),IF('Eval-Après impact'!$A$777=BM9,COUNTA('Eval-Après impact'!$K$777),0),IF('Eval-Après impact'!$A$778=BM9,COUNTA('Eval-Après impact'!$K$778),0),IF('Eval-Après impact'!$A$779=BM9,COUNTA('Eval-Après impact'!$K$779),0),IF('Eval-Après impact'!$A$780=BM9,COUNTA('Eval-Après impact'!$K$780),0))&gt;0,"X",0),"")</f>
        <v/>
      </c>
      <c r="BU9" s="211" t="str">
        <f>IF(COUNTIF('Eval-Après impact'!$A$761:$A$780,BM9)&gt;0,IF(OR(AND('Eval-Après impact'!$A$761=BM9,'Eval-Après impact'!$L$761&lt;120,'Eval-Après impact'!$L$761&gt;=CJ9),AND('Eval-Après impact'!$A$762=BM9,'Eval-Après impact'!$L$762&lt;120,'Eval-Après impact'!$L$762&gt;=CJ10),AND('Eval-Après impact'!$A$763=BM9,'Eval-Après impact'!$L$763&lt;120,'Eval-Après impact'!$L$763&gt;=CJ11),AND('Eval-Après impact'!$A$764=BM9,'Eval-Après impact'!$L$764&lt;120,'Eval-Après impact'!$L$764&gt;=CJ12),AND('Eval-Après impact'!$A$765=BM9,'Eval-Après impact'!$L$765&lt;120,'Eval-Après impact'!$L$765&gt;=CJ13),AND('Eval-Après impact'!$A$766=BM9,'Eval-Après impact'!$L$766&lt;120,'Eval-Après impact'!$L$766&gt;=CJ14),AND('Eval-Après impact'!$A$767=BM9,'Eval-Après impact'!$L$767&lt;120,'Eval-Après impact'!$L$767&gt;=CJ15),AND('Eval-Après impact'!$A$768=BM9,'Eval-Après impact'!$L$768&lt;120,'Eval-Après impact'!$L$768&gt;=CJ16),AND('Eval-Après impact'!$A$769=BM9,'Eval-Après impact'!$L$769&lt;120,'Eval-Après impact'!$L$769&gt;=CJ17),AND('Eval-Après impact'!$A$770=BM9,'Eval-Après impact'!$L$770&lt;120,'Eval-Après impact'!$L$770&gt;=CJ18),AND('Eval-Après impact'!$A$771=BM9,'Eval-Après impact'!$L$771&lt;120,'Eval-Après impact'!$L$771&gt;=CJ19),AND('Eval-Après impact'!$A$772=BM9,'Eval-Après impact'!$L$772&lt;120,'Eval-Après impact'!$L$772&gt;=CJ20),AND('Eval-Après impact'!$A$773=BM9,'Eval-Après impact'!$L$773&lt;120,'Eval-Après impact'!$L$773&gt;=CJ21),AND('Eval-Après impact'!$A$774=BM9,'Eval-Après impact'!$L$774&lt;120,'Eval-Après impact'!$L$774&gt;=CJ22),AND('Eval-Après impact'!$A$775=BM9,'Eval-Après impact'!$L$775&lt;120,'Eval-Après impact'!$L$775&gt;=CJ23),AND('Eval-Après impact'!$A$776=BM9,'Eval-Après impact'!$L$776&lt;120,'Eval-Après impact'!$L$776&gt;=CJ24),AND('Eval-Après impact'!$A$777=BM9,'Eval-Après impact'!$L$777&lt;120,'Eval-Après impact'!$L$777&gt;=CJ25),AND('Eval-Après impact'!$A$778=BM9,'Eval-Après impact'!$L$778&lt;120,'Eval-Après impact'!$L$778&gt;=CJ26),AND('Eval-Après impact'!$A$779=BM9,'Eval-Après impact'!$L$779&lt;120,'Eval-Après impact'!$L$779&gt;=CJ27),AND('Eval-Après impact'!$A$780=BM9,'Eval-Après impact'!$L$780&lt;120,'Eval-Après impact'!$L$780&gt;=CJ28)),"",SUM(IF('Eval-Après impact'!$A$761=BM9,'Eval-Après impact'!$L$761,0),IF('Eval-Après impact'!$A$762=BM9,'Eval-Après impact'!$L$762,0),IF('Eval-Après impact'!$A$763=BM9,'Eval-Après impact'!$L$763,0),IF('Eval-Après impact'!$A$764=BM9,'Eval-Après impact'!$L$764,0),IF('Eval-Après impact'!$A$765=BM9,'Eval-Après impact'!$L$765,0),IF('Eval-Après impact'!$A$766=BM9,'Eval-Après impact'!$L$766,0),IF('Eval-Après impact'!$A$767=BM9,'Eval-Après impact'!$L$767,0),IF('Eval-Après impact'!$A$768=BM9,'Eval-Après impact'!$L$768,0),IF('Eval-Après impact'!$A$769=BM9,'Eval-Après impact'!$L$769,0),IF('Eval-Après impact'!$A$770=BM9,'Eval-Après impact'!$L$770,0),IF('Eval-Après impact'!$A$771=BM9,'Eval-Après impact'!$L$771,0),IF('Eval-Après impact'!$A$772=BM9,'Eval-Après impact'!$L$772,0),IF('Eval-Après impact'!$A$773=BM9,'Eval-Après impact'!$L$773,0),IF('Eval-Après impact'!$A$774=BM9,'Eval-Après impact'!$L$774,0),IF('Eval-Après impact'!$A$775=BM9,'Eval-Après impact'!$L$775,0),IF('Eval-Après impact'!$A$776=BM9,'Eval-Après impact'!$L$776,0),IF('Eval-Après impact'!$A$777=BM9,'Eval-Après impact'!$L$777,0),IF('Eval-Après impact'!$A$778=BM9,'Eval-Après impact'!$L$778,0),IF('Eval-Après impact'!$A$779=BM9,'Eval-Après impact'!$L$779,0),IF('Eval-Après impact'!$A$780=BM9,'Eval-Après impact'!$L$780,0))/ COUNTIF('Eval-Après impact'!$A$761:$A$780,BM9)),"")</f>
        <v/>
      </c>
      <c r="BV9" s="211" t="str">
        <f>IF(COUNTIF('Eval-Après impact'!$A$761:$A$780,BM9)&gt;0,IF(OR(AND('Eval-Après impact'!$A$761=BM9, CJ9&lt;120),AND(CJ10&lt;120),AND(CJ11&lt;120),AND(CJ12&lt;120),AND(CJ13&lt;120),AND(CJ14&lt;120),AND(CJ15&lt;120),AND(CJ16&lt;120),AND(CJ17&lt;120),AND(CJ18&lt;120),AND(CJ19&lt;120),AND(CJ20&lt;120),AND(CJ21&lt;120),AND(CJ22&lt;120),AND(CJ23&lt;120),AND(CJ24&lt;120),AND(CJ25&lt;120),AND(CJ26&lt;120),AND(CJ27&lt;120),AND(CJ28&lt;120)),"",SUM(IF('Eval-Après impact'!$A$761=BM9,'Eval-Après impact'!$M$761,0),IF('Eval-Après impact'!$A$762=BM9,'Eval-Après impact'!$M$762,0),IF('Eval-Après impact'!$A$763=BM9,'Eval-Après impact'!$M$763,0),IF('Eval-Après impact'!$A$764=BM9,'Eval-Après impact'!$M$764,0),IF('Eval-Après impact'!$A$765=BM9,'Eval-Après impact'!$M$765,0),IF('Eval-Après impact'!$A$766=BM9,'Eval-Après impact'!$M$766,0),IF('Eval-Après impact'!$A$767=BM9,'Eval-Après impact'!$M$767,0),IF('Eval-Après impact'!$A$768=BM9,'Eval-Après impact'!$M$768,0),IF('Eval-Après impact'!$A$769=BM9,'Eval-Après impact'!$M$769,0),IF('Eval-Après impact'!$A$770=BM9,'Eval-Après impact'!$M$770,0),IF('Eval-Après impact'!$A$771=BM9,'Eval-Après impact'!$M$771,0),IF('Eval-Après impact'!$A$772=BM9,'Eval-Après impact'!$M$772,0),IF('Eval-Après impact'!$A$773=BM9,'Eval-Après impact'!$M$773,0),IF('Eval-Après impact'!$A$774=BM9,'Eval-Après impact'!$M$774,0),IF('Eval-Après impact'!$A$775=BM9,'Eval-Après impact'!$M$775,0), IF('Eval-Après impact'!$A$776=BM9,'Eval-Après impact'!$M$776,0), IF('Eval-Après impact'!$A$777=BM9,'Eval-Après impact'!$M$777,0), IF('Eval-Après impact'!$A$778=BM9,'Eval-Après impact'!$M$778,0), IF('Eval-Après impact'!$A$779=BM9,'Eval-Après impact'!$M$779,0), IF('Eval-Après impact'!$A$780=BM9,'Eval-Après impact'!$M$780,0))/COUNTIF('Eval-Après impact'!$A$761:$A$780,BM9)),"")</f>
        <v/>
      </c>
      <c r="BW9" s="211" t="str">
        <f>IF(COUNTIF('Eval-Après impact'!$A$761:$A$780,BM9)&gt;0,SUM(IF('Eval-Après impact'!$A$761=BM9,LEN(SUBSTITUTE((SUBSTITUTE(CL9,"TM","")),"TS",""))*10/2,0),IF('Eval-Après impact'!$A$762=BM9,LEN(SUBSTITUTE((SUBSTITUTE(CL10,"TM","")),"TS",""))*10/2,0),IF('Eval-Après impact'!$A$763=BM9,LEN(SUBSTITUTE((SUBSTITUTE(CL11,"TM","")),"TS",""))*10/2,0),IF('Eval-Après impact'!$A$764=BM9,LEN(SUBSTITUTE((SUBSTITUTE(CL12,"TM","")),"TS",""))*10/2,0),IF('Eval-Après impact'!$A$765=BM9,LEN(SUBSTITUTE((SUBSTITUTE(CL13,"TM","")),"TS",""))*10/2,0),IF('Eval-Après impact'!$A$766=BM9,LEN(SUBSTITUTE((SUBSTITUTE(CL14,"TM","")),"TS",""))*10/2,0),IF('Eval-Après impact'!$A$767=BM9,LEN(SUBSTITUTE((SUBSTITUTE(CL15,"TM","")),"TS",""))*10/2,0),IF('Eval-Après impact'!$A$768=BM9,LEN(SUBSTITUTE((SUBSTITUTE(CL16,"TM","")),"TS",""))*10/2,0),IF('Eval-Après impact'!$A$769=BM9,LEN(SUBSTITUTE((SUBSTITUTE(CL17,"TM","")),"TS",""))*10/2,0),IF('Eval-Après impact'!$A$770=BM9,LEN(SUBSTITUTE((SUBSTITUTE(CL18,"TM","")),"TS",""))*10/2,0),IF('Eval-Après impact'!$A$771=BM9,LEN(SUBSTITUTE((SUBSTITUTE(CL19,"TM","")),"TS",""))*10/2,0),IF('Eval-Après impact'!$A$772=BM9,LEN(SUBSTITUTE((SUBSTITUTE(CL20,"TM","")),"TS",""))*10/2,0),IF('Eval-Après impact'!$A$773=BM9,LEN(SUBSTITUTE((SUBSTITUTE(CL21,"TM","")),"TS",""))*10/2,0),IF('Eval-Après impact'!$A$774=BM9,LEN(SUBSTITUTE((SUBSTITUTE(CL22,"TM","")),"TS",""))*10/2,0),IF('Eval-Après impact'!$A$775=BM9,LEN(SUBSTITUTE((SUBSTITUTE(CL23,"TM","")),"TS",""))*10/2,0),IF('Eval-Après impact'!$A$776=BM9,LEN(SUBSTITUTE((SUBSTITUTE(CL24,"TM","")),"TS",""))*10/2,0),IF('Eval-Après impact'!$A$777=BM9,LEN(SUBSTITUTE((SUBSTITUTE(CL25,"TM","")),"TS",""))*10/2,0),IF('Eval-Après impact'!$A$778=BM9,LEN(SUBSTITUTE((SUBSTITUTE(CL26,"TM","")),"TS",""))*10/2,0),IF('Eval-Après impact'!$A$779=BM9,LEN(SUBSTITUTE((SUBSTITUTE(CL27,"TM","")),"TS",""))*10/2,0),IF('Eval-Après impact'!$A$780=BM9,LEN(SUBSTITUTE((SUBSTITUTE(CL28,"TM","")),"TS",""))*10/2,0))/COUNTIF('Eval-Après impact'!$A$761:$A$780,BM9),"")</f>
        <v/>
      </c>
      <c r="BX9" s="211" t="str">
        <f>IF(COUNTIF('Eval-Après impact'!$A$761:$A$780,BM9)&gt;0,SUM(IF('Eval-Après impact'!$A$761=BM9,LEN(SUBSTITUTE((SUBSTITUTE(CL9,"TF","")),"TS",""))*10/2,0),IF('Eval-Après impact'!$A$762=BM9,LEN(SUBSTITUTE((SUBSTITUTE(CL10,"TF","")),"TS",""))*10/2,0),IF('Eval-Après impact'!$A$763=BM9,LEN(SUBSTITUTE((SUBSTITUTE(CL11,"TF","")),"TS",""))*10/2,0),IF('Eval-Après impact'!$A$764=BM9,LEN(SUBSTITUTE((SUBSTITUTE(CL12,"TF","")),"TS",""))*10/2,0),IF('Eval-Après impact'!$A$765=BM9,LEN(SUBSTITUTE((SUBSTITUTE(CL13,"TF","")),"TS",""))*10/2,0),IF('Eval-Après impact'!$A$766=BM9,LEN(SUBSTITUTE((SUBSTITUTE(CL14,"TF","")),"TS",""))*10/2,0),IF('Eval-Après impact'!$A$767=BM9,LEN(SUBSTITUTE((SUBSTITUTE(CL15,"TF","")),"TS",""))*10/2,0),IF('Eval-Après impact'!$A$768=BM9,LEN(SUBSTITUTE((SUBSTITUTE(CL16,"TF","")),"TS",""))*10/2,0),IF('Eval-Après impact'!$A$769=BM9,LEN(SUBSTITUTE((SUBSTITUTE(CL17,"TF","")),"TS",""))*10/2,0),IF('Eval-Après impact'!$A$770=BM9,LEN(SUBSTITUTE((SUBSTITUTE(CL18,"TF","")),"TS",""))*10/2,0),IF('Eval-Après impact'!$A$771=BM9,LEN(SUBSTITUTE((SUBSTITUTE(CL19,"TF","")),"TS",""))*10/2,0),IF('Eval-Après impact'!$A$772=BM9,LEN(SUBSTITUTE((SUBSTITUTE(CL20,"TF","")),"TS",""))*10/2,0),IF('Eval-Après impact'!$A$773=BM9,LEN(SUBSTITUTE((SUBSTITUTE(CL21,"TF","")),"TS",""))*10/2,0),IF('Eval-Après impact'!$A$774=BM9,LEN(SUBSTITUTE((SUBSTITUTE(CL22,"TF","")),"TS",""))*10/2,0),IF('Eval-Après impact'!$A$775=BM9,LEN(SUBSTITUTE((SUBSTITUTE(CL23,"TF","")),"TS",""))*10/2,0),IF('Eval-Après impact'!$A$776=BM9,LEN(SUBSTITUTE((SUBSTITUTE(CL24,"TF","")),"TS",""))*10/2,0),IF('Eval-Après impact'!$A$777=BM9,LEN(SUBSTITUTE((SUBSTITUTE(CL25,"TF","")),"TS",""))*10/2,0),IF('Eval-Après impact'!$A$778=BM9,LEN(SUBSTITUTE((SUBSTITUTE(CL26,"TF","")),"TS",""))*10/2,0),IF('Eval-Après impact'!$A$779=BM9,LEN(SUBSTITUTE((SUBSTITUTE(CL27,"TF","")),"TS",""))*10/2,0),IF('Eval-Après impact'!$A$780=BM9,LEN(SUBSTITUTE((SUBSTITUTE(CL28,"TF","")),"TS",""))*10/2,0))/COUNTIF('Eval-Après impact'!$A$761:$A$780,BM9),"")</f>
        <v/>
      </c>
      <c r="BY9" s="211" t="str">
        <f>IF(COUNTIF('Eval-Après impact'!$A$761:$A$780,BM9)&gt;0,SUM(IF('Eval-Après impact'!$A$761=BM9,LEN(SUBSTITUTE((SUBSTITUTE(CL9,"TF","")),"TM",""))*10/2,0),IF('Eval-Après impact'!$A$762=BM9,LEN(SUBSTITUTE((SUBSTITUTE(CL10,"TF","")),"TM",""))*10/2,0),IF('Eval-Après impact'!$A$763=BM9,LEN(SUBSTITUTE((SUBSTITUTE(CL11,"TF","")),"TM",""))*10/2,0),IF('Eval-Après impact'!$A$764=BM9,LEN(SUBSTITUTE((SUBSTITUTE(CL12,"TF","")),"TM",""))*10/2,0),IF('Eval-Après impact'!$A$765=BM9,LEN(SUBSTITUTE((SUBSTITUTE(CL13,"TF","")),"TM",""))*10/2,0),IF('Eval-Après impact'!$A$766=BM9,LEN(SUBSTITUTE((SUBSTITUTE(CL14,"TF","")),"TM",""))*10/2,0),IF('Eval-Après impact'!$A$767=BM9,LEN(SUBSTITUTE((SUBSTITUTE(CL15,"TF","")),"TM",""))*10/2,0),IF('Eval-Après impact'!$A$768=BM9,LEN(SUBSTITUTE((SUBSTITUTE(CL16,"TF","")),"TM",""))*10/2,0),IF('Eval-Après impact'!$A$769=BM9,LEN(SUBSTITUTE((SUBSTITUTE(CL17,"TF","")),"TM",""))*10/2,0),IF('Eval-Après impact'!$A$770=BM9,LEN(SUBSTITUTE((SUBSTITUTE(CL18,"TF","")),"TM",""))*10/2,0),IF('Eval-Après impact'!$A$771=BM9,LEN(SUBSTITUTE((SUBSTITUTE(CL19,"TF","")),"TM",""))*10/2,0),IF('Eval-Après impact'!$A$772=BM9,LEN(SUBSTITUTE((SUBSTITUTE(CL20,"TF","")),"TM",""))*10/2,0),IF('Eval-Après impact'!$A$773=BM9,LEN(SUBSTITUTE((SUBSTITUTE(CL21,"TF","")),"TM",""))*10/2,0),IF('Eval-Après impact'!$A$774=BM9,LEN(SUBSTITUTE((SUBSTITUTE(CL22,"TF","")),"TM",""))*10/2,0),IF('Eval-Après impact'!$A$775=BM9,LEN(SUBSTITUTE((SUBSTITUTE(CL23,"TF","")),"TM",""))*10/2,0),IF('Eval-Après impact'!$A$776=BM9,LEN(SUBSTITUTE((SUBSTITUTE(CL24,"TF","")),"TM",""))*10/2,0),IF('Eval-Après impact'!$A$777=BM9,LEN(SUBSTITUTE((SUBSTITUTE(CL25,"TF","")),"TM",""))*10/2,0),IF('Eval-Après impact'!$A$778=BM9,LEN(SUBSTITUTE((SUBSTITUTE(CL26,"TF","")),"TM",""))*10/2,0),IF('Eval-Après impact'!$A$779=BM9,LEN(SUBSTITUTE((SUBSTITUTE(CL27,"TF","")),"TM",""))*10/2,0),IF('Eval-Après impact'!$A$780=BM9,LEN(SUBSTITUTE((SUBSTITUTE(CL28,"TF","")),"TM",""))*10/2,0))/COUNTIF('Eval-Après impact'!$A$761:$A$780,BM9),"")</f>
        <v/>
      </c>
      <c r="BZ9" s="211" t="str">
        <f>IF(COUNTIF('Eval-Après impact'!$A$761:$A$780,BM9)&gt;0,SUM(IF('Eval-Après impact'!$A$761=BM9,LEN(SUBSTITUTE((SUBSTITUTE(CM9,"TM","")),"TS",""))*10/2,0),IF('Eval-Après impact'!$A$762=BM9,LEN(SUBSTITUTE((SUBSTITUTE(CM10,"TM","")),"TS",""))*10/2,0),IF('Eval-Après impact'!$A$763=BM9,LEN(SUBSTITUTE((SUBSTITUTE(CM11,"TM","")),"TS",""))*10/2,0),IF('Eval-Après impact'!$A$764=BM9,LEN(SUBSTITUTE((SUBSTITUTE(CM12,"TM","")),"TS",""))*10/2,0),IF('Eval-Après impact'!$A$765=BM9,LEN(SUBSTITUTE((SUBSTITUTE(CM13,"TM","")),"TS",""))*10/2,0),IF('Eval-Après impact'!$A$766=BM9,LEN(SUBSTITUTE((SUBSTITUTE(CM14,"TM","")),"TS",""))*10/2,0),IF('Eval-Après impact'!$A$767=BM9,LEN(SUBSTITUTE((SUBSTITUTE(CM15,"TM","")),"TS",""))*10/2,0),IF('Eval-Après impact'!$A$768=BM9,LEN(SUBSTITUTE((SUBSTITUTE(CM16,"TM","")),"TS",""))*10/2,0),IF('Eval-Après impact'!$A$769=BM9,LEN(SUBSTITUTE((SUBSTITUTE(CM17,"TM","")),"TS",""))*10/2,0),IF('Eval-Après impact'!$A$770=BM9,LEN(SUBSTITUTE((SUBSTITUTE(CM18,"TM","")),"TS",""))*10/2,0),IF('Eval-Après impact'!$A$771=BM9,LEN(SUBSTITUTE((SUBSTITUTE(CM19,"TM","")),"TS",""))*10/2,0),IF('Eval-Après impact'!$A$772=BM9,LEN(SUBSTITUTE((SUBSTITUTE(CM20,"TM","")),"TS",""))*10/2,0),IF('Eval-Après impact'!$A$773=BM9,LEN(SUBSTITUTE((SUBSTITUTE(CM21,"TM","")),"TS",""))*10/2,0),IF('Eval-Après impact'!$A$774=BM9,LEN(SUBSTITUTE((SUBSTITUTE(CM22,"TM","")),"TS",""))*10/2,0),IF('Eval-Après impact'!$A$775=BM9,LEN(SUBSTITUTE((SUBSTITUTE(CM23,"TM","")),"TS",""))*10/2,0),IF('Eval-Après impact'!$A$776=BM9,LEN(SUBSTITUTE((SUBSTITUTE(CM24,"TM","")),"TS",""))*10/2,0),IF('Eval-Après impact'!$A$777=BM9,LEN(SUBSTITUTE((SUBSTITUTE(CM25,"TM","")),"TS",""))*10/2,0),IF('Eval-Après impact'!$A$778=BM9,LEN(SUBSTITUTE((SUBSTITUTE(CM26,"TM","")),"TS",""))*10/2,0),IF('Eval-Après impact'!$A$779=BM9,LEN(SUBSTITUTE((SUBSTITUTE(CM27,"TM","")),"TS",""))*10/2,0),IF('Eval-Après impact'!$A$780=BM9,LEN(SUBSTITUTE((SUBSTITUTE(CM28,"TM","")),"TS",""))*10/2,0))/COUNTIF('Eval-Après impact'!$A$761:$A$780,BM9),"")</f>
        <v/>
      </c>
      <c r="CA9" s="211" t="str">
        <f>IF(COUNTIF('Eval-Après impact'!$A$761:$A$780,BM9)&gt;0,SUM(IF('Eval-Après impact'!$A$761=BM9,LEN(SUBSTITUTE((SUBSTITUTE(CM9,"TF","")),"TS",""))*10/2,0),IF('Eval-Après impact'!$A$762=BM9,LEN(SUBSTITUTE((SUBSTITUTE(CM10,"TF","")),"TS",""))*10/2,0),IF('Eval-Après impact'!$A$763=BM9,LEN(SUBSTITUTE((SUBSTITUTE(CM11,"TF","")),"TS",""))*10/2,0),IF('Eval-Après impact'!$A$764=BM9,LEN(SUBSTITUTE((SUBSTITUTE(CM12,"TF","")),"TS",""))*10/2,0),IF('Eval-Après impact'!$A$765=BM9,LEN(SUBSTITUTE((SUBSTITUTE(CM13,"TF","")),"TS",""))*10/2,0),IF('Eval-Après impact'!$A$766=BM9,LEN(SUBSTITUTE((SUBSTITUTE(CM14,"TF","")),"TS",""))*10/2,0),IF('Eval-Après impact'!$A$767=BM9,LEN(SUBSTITUTE((SUBSTITUTE(CM15,"TF","")),"TS",""))*10/2,0),IF('Eval-Après impact'!$A$768=BM9,LEN(SUBSTITUTE((SUBSTITUTE(CM16,"TF","")),"TS",""))*10/2,0),IF('Eval-Après impact'!$A$769=BM9,LEN(SUBSTITUTE((SUBSTITUTE(CM17,"TF","")),"TS",""))*10/2,0),IF('Eval-Après impact'!$A$770=BM9,LEN(SUBSTITUTE((SUBSTITUTE(CM18,"TF","")),"TS",""))*10/2,0),IF('Eval-Après impact'!$A$771=BM9,LEN(SUBSTITUTE((SUBSTITUTE(CM19,"TF","")),"TS",""))*10/2,0),IF('Eval-Après impact'!$A$772=BM9,LEN(SUBSTITUTE((SUBSTITUTE(CM20,"TF","")),"TS",""))*10/2,0),IF('Eval-Après impact'!$A$773=BM9,LEN(SUBSTITUTE((SUBSTITUTE(CM21,"TF","")),"TS",""))*10/2,0),IF('Eval-Après impact'!$A$774=BM9,LEN(SUBSTITUTE((SUBSTITUTE(CM22,"TF","")),"TS",""))*10/2,0),IF('Eval-Après impact'!$A$775=BM9,LEN(SUBSTITUTE((SUBSTITUTE(CM23,"TF","")),"TS",""))*10/2,0),IF('Eval-Après impact'!$A$776=BM9,LEN(SUBSTITUTE((SUBSTITUTE(CM24,"TF","")),"TS",""))*10/2,0),IF('Eval-Après impact'!$A$777=BM9,LEN(SUBSTITUTE((SUBSTITUTE(CM25,"TF","")),"TS",""))*10/2,0),IF('Eval-Après impact'!$A$778=BM9,LEN(SUBSTITUTE((SUBSTITUTE(CM26,"TF","")),"TS",""))*10/2,0),IF('Eval-Après impact'!$A$779=BM9,LEN(SUBSTITUTE((SUBSTITUTE(CM27,"TF","")),"TS",""))*10/2,0),IF('Eval-Après impact'!$A$780=BM9,LEN(SUBSTITUTE((SUBSTITUTE(CM28,"TF","")),"TS",""))*10/2,0))/COUNTIF('Eval-Après impact'!$A$761:$A$780,BM9),"")</f>
        <v/>
      </c>
      <c r="CB9" s="211" t="str">
        <f>IF(COUNTIF('Eval-Après impact'!$A$761:$A$780,BM9)&gt;0,SUM(IF('Eval-Après impact'!$A$761=BM9,LEN(SUBSTITUTE((SUBSTITUTE(CM9,"TF","")),"TM",""))*10/2,0),IF('Eval-Après impact'!$A$762=BM9,LEN(SUBSTITUTE((SUBSTITUTE(CM10,"TF","")),"TM",""))*10/2,0),IF('Eval-Après impact'!$A$763=BM9,LEN(SUBSTITUTE((SUBSTITUTE(CM11,"TF","")),"TM",""))*10/2,0),IF('Eval-Après impact'!$A$764=BM9,LEN(SUBSTITUTE((SUBSTITUTE(CM12,"TF","")),"TM",""))*10/2,0),IF('Eval-Après impact'!$A$765=BM9,LEN(SUBSTITUTE((SUBSTITUTE(CM13,"TF","")),"TM",""))*10/2,0),IF('Eval-Après impact'!$A$766=BM9,LEN(SUBSTITUTE((SUBSTITUTE(CM14,"TF","")),"TM",""))*10/2,0),IF('Eval-Après impact'!$A$767=BM9,LEN(SUBSTITUTE((SUBSTITUTE(CM15,"TF","")),"TM",""))*10/2,0),IF('Eval-Après impact'!$A$768=BM9,LEN(SUBSTITUTE((SUBSTITUTE(CM16,"TF","")),"TM",""))*10/2,0),IF('Eval-Après impact'!$A$769=BM9,LEN(SUBSTITUTE((SUBSTITUTE(CM17,"TF","")),"TM",""))*10/2,0),IF('Eval-Après impact'!$A$770=BM9,LEN(SUBSTITUTE((SUBSTITUTE(CM18,"TF","")),"TM",""))*10/2,0),IF('Eval-Après impact'!$A$771=BM9,LEN(SUBSTITUTE((SUBSTITUTE(CM19,"TF","")),"TM",""))*10/2,0),IF('Eval-Après impact'!$A$772=BM9,LEN(SUBSTITUTE((SUBSTITUTE(CM20,"TF","")),"TM",""))*10/2,0),IF('Eval-Après impact'!$A$773=BM9,LEN(SUBSTITUTE((SUBSTITUTE(CM21,"TF","")),"TM",""))*10/2,0),IF('Eval-Après impact'!$A$774=BM9,LEN(SUBSTITUTE((SUBSTITUTE(CM22,"TF","")),"TM",""))*10/2,0),IF('Eval-Après impact'!$A$775=BM9,LEN(SUBSTITUTE((SUBSTITUTE(CM23,"TF","")),"TM",""))*10/2,0),IF('Eval-Après impact'!$A$776=BM9,LEN(SUBSTITUTE((SUBSTITUTE(CM24,"TF","")),"TM",""))*10/2,0),IF('Eval-Après impact'!$A$777=BM9,LEN(SUBSTITUTE((SUBSTITUTE(CM25,"TF","")),"TM",""))*10/2,0),IF('Eval-Après impact'!$A$778=BM9,LEN(SUBSTITUTE((SUBSTITUTE(CM26,"TF","")),"TM",""))*10/2,0),IF('Eval-Après impact'!$A$779=BM9,LEN(SUBSTITUTE((SUBSTITUTE(CM27,"TF","")),"TM",""))*10/2,0),IF('Eval-Après impact'!$A$780=BM9,LEN(SUBSTITUTE((SUBSTITUTE(CM28,"TF","")),"TM",""))*10/2,0))/COUNTIF('Eval-Après impact'!$A$761:$A$780,BM9),"")</f>
        <v/>
      </c>
      <c r="CC9" s="211" t="str">
        <f>IF(COUNTIF('Eval-Après impact'!$A$761:$A$780,BM9)&gt;0,IF(OR(AND('Eval-Après impact'!$A$761=BM9,CJ9&lt;30),AND('Eval-Après impact'!$A$762=BM9,CJ10&lt;30),AND('Eval-Après impact'!$A$763=BM9,CJ11&lt;30),AND('Eval-Après impact'!$A$764=BM9,CJ12&lt;30),AND('Eval-Après impact'!$A$765=BM9,CJ13&lt;30),AND('Eval-Après impact'!$A$766=BM9,CJ14&lt;30),AND('Eval-Après impact'!$A$767=BM9,CJ15&lt;30),AND('Eval-Après impact'!$A$768=BM9,CJ16&lt;30),AND('Eval-Après impact'!$A$769=BM9,CJ17&lt;30),AND('Eval-Après impact'!$A$770=BM9,CJ18&lt;30),AND('Eval-Après impact'!$A$771=BM9,CJ19&lt;30),AND('Eval-Après impact'!$A$772=BM9,CJ20&lt;30),AND('Eval-Après impact'!$A$773=BM9,CJ21&lt;30),AND('Eval-Après impact'!$A$774=BM9,CJ22&lt;30),AND('Eval-Après impact'!$A$775=BM9,CJ23&lt;30),AND('Eval-Après impact'!$A$776=BM9,CJ24&lt;30),AND('Eval-Après impact'!$A$777=BM9,CJ25&lt;30),AND('Eval-Après impact'!$A$778=BM9,CJ26&lt;30),AND('Eval-Après impact'!$A$779=BM9,CJ27&lt;30),AND('Eval-Après impact'!$A$780=BM9,CJ28&lt;30)),"",SUM(0.1*(SUMPRODUCT(('Eval-Après impact'!$A$761:$A$780=BM9)*('Eval-Après impact'!$N$761:$P$780="A"))+ SUMPRODUCT(('Eval-Après impact'!$A$761:$A$780=BM9)*('Eval-Après impact'!$N$761:$P$780="AL"))),0.7*(SUMPRODUCT(('Eval-Après impact'!$A$761:$A$780=BM9)*('Eval-Après impact'!$N$761:$P$780="TF"))+SUMPRODUCT(('Eval-Après impact'!$A$761:$A$780=BM9)*('Eval-Après impact'!$N$761:$P$780="TM"))+SUMPRODUCT(('Eval-Après impact'!$A$761:$A$780=BM9)*('Eval-Après impact'!$N$761:$P$780="TS"))),0.4*(SUMPRODUCT(('Eval-Après impact'!$A$761:$A$780=BM9)*('Eval-Après impact'!$N$761:$P$780="LA"))+SUMPRODUCT(('Eval-Après impact'!$A$761:$A$780=BM9)*('Eval-Après impact'!$N$761:$P$780="L"))+SUMPRODUCT(('Eval-Après impact'!$A$761:$A$780=BM9)*('Eval-Après impact'!$N$761:$P$780="LS"))),1*(SUMPRODUCT(('Eval-Après impact'!$A$761:$A$780=BM9)*('Eval-Après impact'!$N$761:$P$780="SL"))+ SUMPRODUCT(('Eval-Après impact'!$A$761:$A$780=BM9)*('Eval-Après impact'!$N$761:$P$780="S"))))/(3*COUNTIF('Eval-Après impact'!$A$761:$A$780,BM9))),"")</f>
        <v/>
      </c>
      <c r="CD9" s="211" t="str">
        <f>IF(COUNTIF('Eval-Après impact'!$A$761:$A$780,BM9)&gt;0,IF(OR(AND('Eval-Après impact'!$A$761=BM9,CJ9&lt;120),AND('Eval-Après impact'!$A$762=BM9,CJ10&lt;120),AND('Eval-Après impact'!$A$763=BM9,CJ11&lt;120),AND('Eval-Après impact'!$A$764=BM9,CJ12&lt;120),AND('Eval-Après impact'!$A$765=BM9,CJ13&lt;120),AND('Eval-Après impact'!$A$766=BM9,CJ14&lt;120),AND('Eval-Après impact'!$A$767=BM9,CJ15&lt;120),AND('Eval-Après impact'!$A$768=BM9,CJ16&lt;120),AND('Eval-Après impact'!$A$769=BM9,CJ17&lt;120),AND('Eval-Après impact'!$A$770=BM9,CJ18&lt;120),AND('Eval-Après impact'!$A$771=BM9,CJ19&lt;120),AND('Eval-Après impact'!$A$772=BM9,CJ20&lt;120),AND('Eval-Après impact'!$A$773=BM9,CJ21&lt;120),AND('Eval-Après impact'!$A$774=BM9,CJ22&lt;120),AND('Eval-Après impact'!$A$775=BM9,CJ23&lt;120),AND('Eval-Après impact'!$A$776=BM9,CJ24&lt;120),AND('Eval-Après impact'!$A$777=BM9,CJ25&lt;120),AND('Eval-Après impact'!$A$778=BM9,CJ26&lt;120),AND('Eval-Après impact'!$A$779=BM9,CJ27&lt;120),AND('Eval-Après impact'!$A$780=BM9,CJ28&lt;120)),"",SUM(0.1*(SUMPRODUCT(('Eval-Après impact'!$A$761:$A$780=BM9)*('Eval-Après impact'!$Q$761:$Y$780="A"))+ SUMPRODUCT(('Eval-Après impact'!$A$761:$A$780=BM9)*('Eval-Après impact'!$Q$761:$Y$780="AL"))),0.7*(SUMPRODUCT(('Eval-Après impact'!$A$761:$A$780=BM9)*('Eval-Après impact'!$Q$761:$Y$780="TF"))+SUMPRODUCT(('Eval-Après impact'!$A$761:$A$780=BM9)*('Eval-Après impact'!$Q$761:$Y$780="TM"))+SUMPRODUCT(('Eval-Après impact'!$A$761:$A$780=BM9)*('Eval-Après impact'!$Q$761:$Y$780="TS"))),0.4*(SUMPRODUCT(('Eval-Après impact'!$A$761:$A$780=BM9)*('Eval-Après impact'!$Q$761:$Y$780="LA"))+SUMPRODUCT(('Eval-Après impact'!$A$761:$A$780=BM9)*('Eval-Après impact'!$Q$761:$Y$780="L"))+SUMPRODUCT(('Eval-Après impact'!$A$761:$A$780=BM9)*('Eval-Après impact'!$Q$761:$Y$780="LS"))),1*(SUMPRODUCT(('Eval-Après impact'!$A$761:$A$780=BM9)*('Eval-Après impact'!$Q$761:$Y$780="SL"))+ SUMPRODUCT(('Eval-Après impact'!$A$761:$A$780=BM9)*('Eval-Après impact'!$Q$761:$Y$780="S"))))/(9*COUNTIF('Eval-Après impact'!$A$761:$A$780,BM9))),"")</f>
        <v/>
      </c>
      <c r="CE9" s="211" t="str">
        <f>IF(COUNTIF('Eval-Après impact'!$A$761:$A$780,BM9)&gt;0,IF(OR(AND('Eval-Après impact'!$A$761=BM9,OR(COUNTIF('Eval-Après impact'!$N$761:$P$761,"*T*")&gt;0,CJ9&lt;30)),AND('Eval-Après impact'!$A$762=BM9,OR(COUNTIF('Eval-Après impact'!$N$762:$P$762,"*T*")&gt;0,CJ10&lt;30)),AND('Eval-Après impact'!$A$763=BM9,OR(COUNTIF('Eval-Après impact'!$N$763:$P$763,"*T*")&gt;0,CJ11&lt;30)),AND('Eval-Après impact'!$A$764=BM9,OR(COUNTIF('Eval-Après impact'!$N$764:$P$764,"*T*")&gt;0,CJ12&lt;30)),AND('Eval-Après impact'!$A$765=BM9,OR(COUNTIF('Eval-Après impact'!$N$765:$P$765,"*T*")&gt;0,CJ13&lt;30)),AND('Eval-Après impact'!$A$766=BM9,OR(COUNTIF('Eval-Après impact'!$N$766:$P$766,"*T*")&gt;0,CJ14&lt;30)),AND('Eval-Après impact'!$A$767=BM9,OR(COUNTIF('Eval-Après impact'!$N$767:$P$767,"*T*")&gt;0,CJ15&lt;30)),AND('Eval-Après impact'!$A$768=BM9,OR(COUNTIF('Eval-Après impact'!$N$768:$P$768,"*T*")&gt;0,CJ16&lt;30)),AND('Eval-Après impact'!$A$769=BM9,OR(COUNTIF('Eval-Après impact'!$N$769:$P$769,"*T*")&gt;0,CJ17&lt;30)),AND('Eval-Après impact'!$A$770=BM9,OR(COUNTIF('Eval-Après impact'!$N$770:$P$770,"*T*")&gt;0,CJ18&lt;30)),AND('Eval-Après impact'!$A$771=BM9,OR(COUNTIF('Eval-Après impact'!$N$771:$P$771,"*T*")&gt;0,CJ19&lt;30)),AND('Eval-Après impact'!$A$772=BM9,OR(COUNTIF('Eval-Après impact'!$N$772:$P$772,"*T*")&gt;0,CJ20&lt;30)),AND('Eval-Après impact'!$A$773=BM9,OR(COUNTIF('Eval-Après impact'!$N$773:$P$773,"*T*")&gt;0,CJ21&lt;30)),AND('Eval-Après impact'!$A$774=BM9,OR(COUNTIF('Eval-Après impact'!$N$774:$P$774,"*T*")&gt;0,CJ22&lt;30)),AND('Eval-Après impact'!$A$775=BM9,OR(COUNTIF('Eval-Après impact'!$N$775:$P$775,"*T*")&gt;0,CJ23&lt;30)),AND('Eval-Après impact'!$A$776=BM9,OR(COUNTIF('Eval-Après impact'!$N$776:$P$776,"*T*")&gt;0,CJ24&lt;30)),AND('Eval-Après impact'!$A$777=BM9,OR(COUNTIF('Eval-Après impact'!$N$777:$P$777,"*T*")&gt;0,CJ25&lt;30)),AND('Eval-Après impact'!$A$778=BM9,OR(COUNTIF('Eval-Après impact'!$N$778:$P$778,"*T*")&gt;0,CJ26&lt;30)),AND('Eval-Après impact'!$A$779=BM9,OR(COUNTIF('Eval-Après impact'!$N$779:$P$779,"*T*")&gt;0,CJ27&lt;30)),AND('Eval-Après impact'!$A$780=BM9,OR(COUNTIF('Eval-Après impact'!$N$780:$P$780,"*T*")&gt;0,CJ28&lt;30))),"",SUM(0.1*(SUMPRODUCT(('Eval-Après impact'!$A$761:$A$780=BM9)*('Eval-Après impact'!$N$761:$P$780="L"))),0.4*(SUMPRODUCT(('Eval-Après impact'!$A$761:$A$780=BM9)*('Eval-Après impact'!$N$761:$P$780="LA"))+SUMPRODUCT(('Eval-Après impact'!$A$761:$A$780=BM9)*('Eval-Après impact'!$N$761:$P$780="LS"))),0.7*(SUMPRODUCT(('Eval-Après impact'!$A$761:$A$780=BM9)*('Eval-Après impact'!$N$761:$P$780="AL"))+SUMPRODUCT(('Eval-Après impact'!$A$761:$A$780=BM9)*('Eval-Après impact'!$N$761:$P$780="SL"))),1*(SUMPRODUCT(('Eval-Après impact'!$A$761:$A$780=BM9)*('Eval-Après impact'!$N$761:$P$780="S"))+ SUMPRODUCT(('Eval-Après impact'!$A$761:$A$780=BM9)*('Eval-Après impact'!$N$761:$P$780="A"))))/(3*COUNTIF('Eval-Après impact'!$A$761:$A$780,BM9))),"")</f>
        <v/>
      </c>
      <c r="CF9" s="211" t="str">
        <f>IF(COUNTIF('Eval-Après impact'!$A$761:$A$780,BM9)&gt;0,IF(OR(AND('Eval-Après impact'!$A$761=BM9,OR(COUNTIF('Eval-Après impact'!$N$761:$P$761,"*T*")&gt;0,CJ9&lt;30)),AND('Eval-Après impact'!$A$762=BM9,OR(COUNTIF('Eval-Après impact'!$N$762:$P$762,"*T*")&gt;0,CJ10&lt;30)),AND('Eval-Après impact'!$A$763=BM9,OR(COUNTIF('Eval-Après impact'!$N$763:$P$763,"*T*")&gt;0,CJ11&lt;30)),AND('Eval-Après impact'!$A$764=BM9,OR(COUNTIF('Eval-Après impact'!$N$764:$P$764,"*T*")&gt;0,CJ12&lt;30)),AND('Eval-Après impact'!$A$765=BM9,OR(COUNTIF('Eval-Après impact'!$N$765:$P$765,"*T*")&gt;0,CJ13&lt;30)),AND('Eval-Après impact'!$A$766=BM9,OR(COUNTIF('Eval-Après impact'!$N$766:$P$766,"*T*")&gt;0,CJ14&lt;30)),AND('Eval-Après impact'!$A$767=BM9,OR(COUNTIF('Eval-Après impact'!$N$767:$P$767,"*T*")&gt;0,CJ15&lt;30)),AND('Eval-Après impact'!$A$768=BM9,OR(COUNTIF('Eval-Après impact'!$N$768:$P$768,"*T*")&gt;0,CJ16&lt;30)),AND('Eval-Après impact'!$A$769=BM9,OR(COUNTIF('Eval-Après impact'!$N$769:$P$769,"*T*")&gt;0,CJ17&lt;30)),AND('Eval-Après impact'!$A$770=BM9,OR(COUNTIF('Eval-Après impact'!$N$770:$P$770,"*T*")&gt;0,CJ18&lt;30)),AND('Eval-Après impact'!$A$771=BM9,OR(COUNTIF('Eval-Après impact'!$N$771:$P$771,"*T*")&gt;0,CJ19&lt;30)),AND('Eval-Après impact'!$A$772=BM9,OR(COUNTIF('Eval-Après impact'!$N$772:$P$772,"*T*")&gt;0,CJ20&lt;30)),AND('Eval-Après impact'!$A$773=BM9,OR(COUNTIF('Eval-Après impact'!$N$773:$P$773,"*T*")&gt;0,CJ21&lt;30)),AND('Eval-Après impact'!$A$774=BM9,OR(COUNTIF('Eval-Après impact'!$N$774:$P$774,"*T*")&gt;0,CJ22&lt;30)),AND('Eval-Après impact'!$A$775=BM9,OR(COUNTIF('Eval-Après impact'!$N$775:$P$775,"*T*")&gt;0,CJ23&lt;30)),AND('Eval-Après impact'!$A$776=BM9,OR(COUNTIF('Eval-Après impact'!$N$776:$P$776,"*T*")&gt;0,CJ24&lt;30)),AND('Eval-Après impact'!$A$777=BM9,OR(COUNTIF('Eval-Après impact'!$N$777:$P$777,"*T*")&gt;0,CJ25&lt;30)),AND('Eval-Après impact'!$A$778=BM9,OR(COUNTIF('Eval-Après impact'!$N$778:$P$778,"*T*")&gt;0,CJ26&lt;30)),AND('Eval-Après impact'!$A$779=BM9,OR(COUNTIF('Eval-Après impact'!$N$779:$P$779,"*T*")&gt;0,CJ27&lt;30)),AND('Eval-Après impact'!$A$780=BM9,OR(COUNTIF('Eval-Après impact'!$N$780:$P$780,"*T*")&gt;0,CJ28&lt;30))),"",SUM(1*(SUMPRODUCT(('Eval-Après impact'!$A$761:$A$780=BM9)*('Eval-Après impact'!$N$761:$P$780="A"))),0.85*(SUMPRODUCT(('Eval-Après impact'!$A$761:$A$780=BM9)*('Eval-Après impact'!$N$761:$P$780="AL"))),0.7*(SUMPRODUCT(('Eval-Après impact'!$A$761:$A$780=BM9)*('Eval-Après impact'!$N$761:$P$780="LA"))),0.55*(SUMPRODUCT(('Eval-Après impact'!$A$761:$A$780=BM9)*('Eval-Après impact'!$N$761:$P$780="L"))),0.4*(SUMPRODUCT(('Eval-Après impact'!$A$761:$A$780=BM9)*('Eval-Après impact'!$N$761:$P$780="LS"))),0.25*(SUMPRODUCT(('Eval-Après impact'!$A$761:$A$780=BM9)*('Eval-Après impact'!$N$761:$P$780="SL"))),0.1*(SUMPRODUCT(('Eval-Après impact'!$A$761:$A$780=BM9)*('Eval-Après impact'!$N$761:$P$780="S"))))/(3*COUNTIF('Eval-Après impact'!$A$761:$A$780,BM9))),"")</f>
        <v/>
      </c>
      <c r="CG9" s="214" t="str">
        <f>IF(COUNTIF('Eval-Après impact'!$A$761:$A$780,BM9)&gt;0,IF(OR(AND('Eval-Après impact'!$A$761=BM9,OR(COUNTIF('Eval-Après impact'!$Q$761:$Y$761,"*T*")&gt;0,CJ9&lt;120)),AND('Eval-Après impact'!$A$762=BM9,OR(COUNTIF('Eval-Après impact'!$Q$762:$Y$762,"*T*")&gt;0,CJ10&lt;120)),AND('Eval-Après impact'!$A$763=BM9,OR(COUNTIF('Eval-Après impact'!$Q$763:$Y$763,"*T*")&gt;0,CJ11&lt;120)),AND('Eval-Après impact'!$A$764=BM9,OR(COUNTIF('Eval-Après impact'!$Q$764:$Y$764,"*T*")&gt;0,CJ12&lt;120)),AND('Eval-Après impact'!$A$765=BM9,OR(COUNTIF('Eval-Après impact'!$Q$765:$Y$765,"*T*")&gt;0,CJ13&lt;120)),AND('Eval-Après impact'!$A$766=BM9,OR(COUNTIF('Eval-Après impact'!$Q$766:$Y$766,"*T*")&gt;0,CJ14&lt;120)),AND('Eval-Après impact'!$A$767=BM9,OR(COUNTIF('Eval-Après impact'!$Q$767:$Y$767,"*T*")&gt;0,CJ15&lt;120)),AND('Eval-Après impact'!$A$768=BM9,OR(COUNTIF('Eval-Après impact'!$Q$768:$Y$768,"*T*")&gt;0,CJ16&lt;120)),AND('Eval-Après impact'!$A$769=BM9,OR(COUNTIF('Eval-Après impact'!$Q$769:$Y$769,"*T*")&gt;0,CJ17&lt;120)),AND('Eval-Après impact'!$A$770=BM9,OR(COUNTIF('Eval-Après impact'!$Q$770:$Y$770,"*T*")&gt;0,CJ18&lt;120)),AND('Eval-Après impact'!$A$771=BM9,OR(COUNTIF('Eval-Après impact'!$Q$771:$Y$771,"*T*")&gt;0,CJ19&lt;120)),AND('Eval-Après impact'!$A$772=BM9,OR(COUNTIF('Eval-Après impact'!$Q$772:$Y$772,"*T*")&gt;0,CJ20&lt;120)),AND('Eval-Après impact'!$A$773=BM9,OR(COUNTIF('Eval-Après impact'!$Q$773:$Y$773,"*T*")&gt;0,CJ21&lt;120)),AND('Eval-Après impact'!$A$774=BM9,OR(COUNTIF('Eval-Après impact'!$Q$774:$Y$774,"*T*")&gt;0,CJ22&lt;120)),AND('Eval-Après impact'!$A$775=BM9,OR(COUNTIF('Eval-Après impact'!$Q$775:$Y$775,"*T*")&gt;0,CJ23&lt;120)),AND('Eval-Après impact'!$A$776=BM9,OR(COUNTIF('Eval-Après impact'!$Q$776:$Y$776,"*T*")&gt;0,CJ24&lt;120)),AND('Eval-Après impact'!$A$777=BM9,OR(COUNTIF('Eval-Après impact'!$Q$777:$Y$777,"*T*")&gt;0,CJ25&lt;120)),AND('Eval-Après impact'!$A$778=BM9,OR(COUNTIF('Eval-Après impact'!$Q$778:$Y$778,"*T*")&gt;0,CJ26&lt;120)),AND('Eval-Après impact'!$A$779=BM9,OR(COUNTIF('Eval-Après impact'!$Q$779:$Y$779,"*T*")&gt;0,CJ27&lt;120)),AND('Eval-Après impact'!$A$780=BM9,OR(COUNTIF('Eval-Après impact'!$Q$780:$Y$780,"*T*")&gt;0,CJ28&lt;120))),"",SUM(1*(SUMPRODUCT(('Eval-Après impact'!$A$761:$A$780=BM9)*('Eval-Après impact'!$Q$761:$Y$780="A"))),0.85*(SUMPRODUCT(('Eval-Après impact'!$A$761:$A$780=BM9)*('Eval-Après impact'!$Q$761:$Y$780="AL"))),0.7*(SUMPRODUCT(('Eval-Après impact'!$A$761:$A$780=BM9)*('Eval-Après impact'!$Q$761:$Y$780="LA"))),0.55*(SUMPRODUCT(('Eval-Après impact'!$A$761:$A$780=BM9)*('Eval-Après impact'!$Q$761:$Y$780="L"))),0.4*(SUMPRODUCT(('Eval-Après impact'!$A$761:$A$780=BM9)*('Eval-Après impact'!$Q$761:$Y$780="LS"))),0.25*(SUMPRODUCT(('Eval-Après impact'!$A$761:$A$780=BM9)*('Eval-Après impact'!$Q$761:$Y$780="SL"))),0.1*(SUMPRODUCT(('Eval-Après impact'!$A$761:$A$780=BM9)*('Eval-Après impact'!$Q$761:$Y$780="S"))))/(9*COUNTIF('Eval-Après impact'!$A$761:$A$780,BM9))),"")</f>
        <v/>
      </c>
      <c r="CH9" s="215"/>
      <c r="CI9" s="216">
        <f>'Eval-Après impact'!$D$761</f>
        <v>1</v>
      </c>
      <c r="CJ9" s="217" t="str">
        <f>IF(CK9="C",0,IF(IF(COUNTIF('Eval-Après impact'!$N$761:$Y$761,"=C")&gt;0,(COUNTA('Eval-Après impact'!$N$761:$Y$761)-1)*10,COUNTA('Eval-Après impact'!$N$761:$Y$761)*10)=0,"",IF(COUNTIF('Eval-Après impact'!$N$761:$Y$761,"=C")&gt;0,(COUNTA('Eval-Après impact'!$N$761:$Y$761)-1)*10,COUNTA('Eval-Après impact'!$N$761:$Y$761)*10)))</f>
        <v/>
      </c>
      <c r="CK9" s="217" t="str">
        <f>CONCATENATE('Eval-Après impact'!$N$761,'Eval-Après impact'!$O$761,'Eval-Après impact'!$P$761,'Eval-Après impact'!$Q$761,'Eval-Après impact'!$R$761,'Eval-Après impact'!$S$761,'Eval-Après impact'!$T$761,'Eval-Après impact'!$U$761,'Eval-Après impact'!$V$761,'Eval-Après impact'!$W$761,'Eval-Après impact'!$X$761,'Eval-Après impact'!$Y$761)</f>
        <v/>
      </c>
      <c r="CL9" s="217" t="str">
        <f t="shared" ref="CL9:CL28" si="8">IF(LEFT(CK9,1)="S","",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f>
        <v/>
      </c>
      <c r="CM9" s="217" t="str">
        <f t="shared" ref="CM9:CM28" si="9">CONCATENATE(IF(LEFT(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1)="S",RIGHT(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LEN(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-1),""),SUBSTITUTE(SUBSTITUTE(SUBSTITUTE(SUBSTITUTE(SUBSTITUTE(SUBSTITUTE(SUBSTITUTE(SUBSTITUTE(SUBSTITUTE(SUBSTITUTE(RIGHT(CK9,LEN(CK9)-LEN(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TS","X"),"S",""),"SL",""),"LS",""),"L",""),"LA",""),"AL",""),"A",""),"C",""),"X","TS"))</f>
        <v/>
      </c>
      <c r="CN9" s="217" t="str">
        <f>IF(COUNTIF('Eval-Après impact'!$N$761:$Y$761,"=C")&gt;0,"X","")</f>
        <v/>
      </c>
      <c r="CO9" s="217" t="str">
        <f t="shared" ref="CO9:CO28" si="10">IF(AND(CJ9&lt;120,CN9&lt;&gt;"X"),"X","")</f>
        <v/>
      </c>
      <c r="CP9" s="218" t="str">
        <f t="shared" ref="CP9:CP28" si="11">IF(LEN(CK9)=0,"",IF(CJ9=0,"",IF(AND(LEN(CL9)/2*10=CJ9,CO9="X"),"X","")))</f>
        <v/>
      </c>
      <c r="CQ9" s="197"/>
      <c r="CS9" s="210">
        <v>1</v>
      </c>
      <c r="CT9" s="211" t="str">
        <f>IF(COUNTIF('Eval-Avant action écologique'!$A$761:$A$780,CS9)&gt;0,SUM(IF('Eval-Avant action écologique'!$A$761=CS9,'Eval-Avant action écologique'!$B$761,0),IF('Eval-Avant action écologique'!$A$762=CS9, 'Eval-Avant action écologique'!$B$762,0),IF('Eval-Avant action écologique'!$A$763=CS9, 'Eval-Avant action écologique'!$B$763,0),IF('Eval-Avant action écologique'!$A$764=CS9, 'Eval-Avant action écologique'!$B$764,0),IF('Eval-Avant action écologique'!$A$765=CS9, 'Eval-Avant action écologique'!$B$765,0),IF('Eval-Avant action écologique'!$A$766=CS9, 'Eval-Avant action écologique'!$B$766,0),IF('Eval-Avant action écologique'!$A$767=CS9, 'Eval-Avant action écologique'!$B$767,0),IF('Eval-Avant action écologique'!$A$768=CS9, 'Eval-Avant action écologique'!$B$768,0),IF('Eval-Avant action écologique'!$A$769=CS9, 'Eval-Avant action écologique'!$B$769,0),IF('Eval-Avant action écologique'!$A$770=CS9, 'Eval-Avant action écologique'!$B$770,0),IF('Eval-Avant action écologique'!$A$771=CS9, 'Eval-Avant action écologique'!$B$771,0),IF('Eval-Avant action écologique'!$A$772=CS9, 'Eval-Avant action écologique'!$B$772,0),IF('Eval-Avant action écologique'!$A$773=CS9, 'Eval-Avant action écologique'!$B$773,0),IF('Eval-Avant action écologique'!$A$774=CS9, 'Eval-Avant action écologique'!$B$774,0),IF('Eval-Avant action écologique'!$A$775=CS9, 'Eval-Avant action écologique'!$B$775,0),IF('Eval-Avant action écologique'!$A$776=CS9, 'Eval-Avant action écologique'!$B$776,0),IF('Eval-Avant action écologique'!$A$777=CS9, 'Eval-Avant action écologique'!$B$777,0),IF('Eval-Avant action écologique'!$A$778=CS9, 'Eval-Avant action écologique'!$B$778,0),IF('Eval-Avant action écologique'!$A$779=CS9, 'Eval-Avant action écologique'!$B$779,0),IF('Eval-Avant action écologique'!$A$780=CS9, 'Eval-Avant action écologique'!$B$780,0))/COUNTIF('Eval-Avant action écologique'!$A$761:$A$780,CS9),"")</f>
        <v/>
      </c>
      <c r="CU9" s="212" t="str">
        <f>IF(COUNTIF('Eval-Avant action écologique'!$A$761:$A$780,CS9)&gt;0,COUNTIF('Eval-Avant action écologique'!$A$761:$A$780,CS9),"")</f>
        <v/>
      </c>
      <c r="CV9" s="211" t="str">
        <f>IF(COUNTIF('Eval-Avant action écologique'!$A$761:$A$780,CS9)&gt;0,IF(OR(AND('Eval-Avant action écologique'!$A$761=CS9, 'Eval-Avant action écologique'!$G$761=""),AND('Eval-Avant action écologique'!$A$762=CS9, 'Eval-Avant action écologique'!$G$762=""),AND('Eval-Avant action écologique'!$A$763=CS9, 'Eval-Avant action écologique'!$G$763=""),AND('Eval-Avant action écologique'!$A$764=CS9, 'Eval-Avant action écologique'!$G$764=""),AND('Eval-Avant action écologique'!$A$765=CS9, 'Eval-Avant action écologique'!$G$765=""),AND('Eval-Avant action écologique'!$A$766=CS9, 'Eval-Avant action écologique'!$G$766=""),AND('Eval-Avant action écologique'!$A$767=CS9, 'Eval-Avant action écologique'!$G$767=""),AND('Eval-Avant action écologique'!$A$768=CS9, 'Eval-Avant action écologique'!$G$768=""),AND('Eval-Avant action écologique'!$A$769=CS9, 'Eval-Avant action écologique'!$G$769=""),AND('Eval-Avant action écologique'!$A$770=CS9, 'Eval-Avant action écologique'!$G$770=""),AND('Eval-Avant action écologique'!$A$771=CS9, 'Eval-Avant action écologique'!$G$771=""),AND('Eval-Avant action écologique'!$A$772=CS9, 'Eval-Avant action écologique'!$G$772=""),AND('Eval-Avant action écologique'!$A$773=CS9, 'Eval-Avant action écologique'!$G$773=""),AND('Eval-Avant action écologique'!$A$774=CS9, 'Eval-Avant action écologique'!$G$774=""),AND('Eval-Avant action écologique'!$A$775=CS9, 'Eval-Avant action écologique'!$G$775=""),AND('Eval-Avant action écologique'!$A$776=CS9, 'Eval-Avant action écologique'!$G$776=""),AND('Eval-Avant action écologique'!$A$777=CS9, 'Eval-Avant action écologique'!$G$777=""),AND('Eval-Avant action écologique'!$A$778=CS9, 'Eval-Avant action écologique'!$G$778=""),AND('Eval-Avant action écologique'!$A$779=CS9, 'Eval-Avant action écologique'!$G$779=""),AND('Eval-Avant action écologique'!$A$780=CS9, 'Eval-Avant action écologique'!$G$780="")),"",SUM(IF('Eval-Avant action écologique'!$A$761=CS9,'Eval-Avant action écologique'!$G$761,0),IF('Eval-Avant action écologique'!$A$762=CS9,'Eval-Avant action écologique'!$G$762,0),IF('Eval-Avant action écologique'!$A$763=CS9,'Eval-Avant action écologique'!$G$763,0),IF('Eval-Avant action écologique'!$A$764=CS9,'Eval-Avant action écologique'!$G$764,0),IF('Eval-Avant action écologique'!$A$765=CS9,'Eval-Avant action écologique'!$G$765,0),IF('Eval-Avant action écologique'!$A$766=CS9,'Eval-Avant action écologique'!$G$766,0),IF('Eval-Avant action écologique'!$A$767=CS9,'Eval-Avant action écologique'!$G$767,0),IF('Eval-Avant action écologique'!$A$768=CS9,'Eval-Avant action écologique'!$G$768,0),IF('Eval-Avant action écologique'!$A$769=CS9,'Eval-Avant action écologique'!$G$769,0),IF('Eval-Avant action écologique'!$A$770=CS9,'Eval-Avant action écologique'!$G$770,0),IF('Eval-Avant action écologique'!$A$771=CS9,'Eval-Avant action écologique'!$G$771,0),IF('Eval-Avant action écologique'!$A$772=CS9,'Eval-Avant action écologique'!$G$772,0),IF('Eval-Avant action écologique'!$A$773=CS9,'Eval-Avant action écologique'!$G$773,0),IF('Eval-Avant action écologique'!$A$774=CS9,'Eval-Avant action écologique'!$G$774,0),IF('Eval-Avant action écologique'!$A$775=CS9,'Eval-Avant action écologique'!$G$775,0), IF('Eval-Avant action écologique'!$A$776=CS9,'Eval-Avant action écologique'!$G$776,0), IF('Eval-Avant action écologique'!$A$777=CS9,'Eval-Avant action écologique'!$G$777,0), IF('Eval-Avant action écologique'!$A$778=CS9,'Eval-Avant action écologique'!$G$778,0), IF('Eval-Avant action écologique'!$A$779=CS9,'Eval-Avant action écologique'!$G$779,0), IF('Eval-Avant action écologique'!$A$780=CS9,'Eval-Avant action écologique'!$G$780,0))/ COUNTIF('Eval-Avant action écologique'!$A$761:$A$780,CS9)),"")</f>
        <v/>
      </c>
      <c r="CW9" s="212" t="str">
        <f>IF(COUNTIF('Eval-Avant action écologique'!$A$761:$A$780,CS9)&gt;0,IF(SUM(IF('Eval-Avant action écologique'!$A$761=CS9,COUNTA('Eval-Avant action écologique'!$H$761),0),IF('Eval-Avant action écologique'!$A$762=CS9,COUNTA('Eval-Avant action écologique'!$H$762),0),IF('Eval-Avant action écologique'!$A$763=CS9,COUNTA('Eval-Avant action écologique'!$H$763),0),IF('Eval-Avant action écologique'!$A$764=CS9,COUNTA('Eval-Avant action écologique'!$H$764),0),IF('Eval-Avant action écologique'!$A$765=CS9,COUNTA('Eval-Avant action écologique'!$H$765),0),IF('Eval-Avant action écologique'!$A$766=CS9,COUNTA('Eval-Avant action écologique'!$H$766),0),IF('Eval-Avant action écologique'!$A$767=CS9,COUNTA('Eval-Avant action écologique'!$H$767),0),IF('Eval-Avant action écologique'!$A$768=CS9,COUNTA('Eval-Avant action écologique'!$H$768),0),IF('Eval-Avant action écologique'!$A$769=CS9,COUNTA('Eval-Avant action écologique'!$H$769),0),IF('Eval-Avant action écologique'!$A$770=CS9,COUNTA('Eval-Avant action écologique'!$H$770),0),IF('Eval-Avant action écologique'!$A$771=CS9,COUNTA('Eval-Avant action écologique'!$H$771),0),IF('Eval-Avant action écologique'!$A$772=CS9,COUNTA('Eval-Avant action écologique'!$H$772),0),IF('Eval-Avant action écologique'!$A$773=CS9,COUNTA('Eval-Avant action écologique'!$H$773),0),IF('Eval-Avant action écologique'!$A$774=CS9,COUNTA('Eval-Avant action écologique'!$H$774),0),IF('Eval-Avant action écologique'!$A$775=CS9,COUNTA('Eval-Avant action écologique'!$H$775),0),IF('Eval-Avant action écologique'!$A$776=CS9,COUNTA('Eval-Avant action écologique'!$H$776),0),IF('Eval-Avant action écologique'!$A$777=CS9,COUNTA('Eval-Avant action écologique'!$H$777),0),IF('Eval-Avant action écologique'!$A$778=CS9,COUNTA('Eval-Avant action écologique'!$H$778),0),IF('Eval-Avant action écologique'!$A$779=CS9,COUNTA('Eval-Avant action écologique'!$H$779),0),IF('Eval-Avant action écologique'!$A$780=CS9,COUNTA('Eval-Avant action écologique'!$H$780),0))&gt;0,"X",0),"")</f>
        <v/>
      </c>
      <c r="CX9" s="213" t="str">
        <f>IF(COUNTIF('Eval-Avant action écologique'!$A$761:$A$780,CS9)&gt;0,IF(SUM(IF('Eval-Avant action écologique'!$A$761=CS9,COUNTA('Eval-Avant action écologique'!$I$761),0),IF('Eval-Avant action écologique'!$A$762=CS9,COUNTA('Eval-Avant action écologique'!$I$762),0),IF('Eval-Avant action écologique'!$A$763=CS9,COUNTA('Eval-Avant action écologique'!$I$763),0),IF('Eval-Avant action écologique'!$A$764=CS9,COUNTA('Eval-Avant action écologique'!$I$764),0),IF('Eval-Avant action écologique'!$A$765=CS9,COUNTA('Eval-Avant action écologique'!$I$765),0),IF('Eval-Avant action écologique'!$A$766=CS9,COUNTA('Eval-Avant action écologique'!$I$766),0),IF('Eval-Avant action écologique'!$A$767=CS9,COUNTA('Eval-Avant action écologique'!$I$767),0),IF('Eval-Avant action écologique'!$A$768=CS9,COUNTA('Eval-Avant action écologique'!$I$768),0),IF('Eval-Avant action écologique'!$A$769=CS9,COUNTA('Eval-Avant action écologique'!$I$769),0),IF('Eval-Avant action écologique'!$A$770=CS9,COUNTA('Eval-Avant action écologique'!$I$770),0),IF('Eval-Avant action écologique'!$A$771=CS9,COUNTA('Eval-Avant action écologique'!$I$771),0),IF('Eval-Avant action écologique'!$A$772=CS9,COUNTA('Eval-Avant action écologique'!$I$772),0),IF('Eval-Avant action écologique'!$A$773=CS9,COUNTA('Eval-Avant action écologique'!$I$773),0),IF('Eval-Avant action écologique'!$A$774=CS9,COUNTA('Eval-Avant action écologique'!$I$774),0),IF('Eval-Avant action écologique'!$A$775=CS9,COUNTA('Eval-Avant action écologique'!$I$775),0),IF('Eval-Avant action écologique'!$A$776=CS9,COUNTA('Eval-Avant action écologique'!$I$776),0),IF('Eval-Avant action écologique'!$A$777=CS9,COUNTA('Eval-Avant action écologique'!$I$777),0),IF('Eval-Avant action écologique'!$A$778=CS9,COUNTA('Eval-Avant action écologique'!$I$778),0),IF('Eval-Avant action écologique'!$A$779=CS9,COUNTA('Eval-Avant action écologique'!$I$779),0),IF('Eval-Avant action écologique'!$A$780=CS9,COUNTA('Eval-Avant action écologique'!$I$780),0))&gt;0,"X",0),"")</f>
        <v/>
      </c>
      <c r="CY9" s="213" t="str">
        <f>IF(COUNTIF('Eval-Avant action écologique'!$A$761:$A$780,CS9)&gt;0,IF(SUM(IF('Eval-Avant action écologique'!$A$761=CS9,COUNTA('Eval-Avant action écologique'!$J$761),0),IF('Eval-Avant action écologique'!$A$762=CS9,COUNTA('Eval-Avant action écologique'!$J$762),0),IF('Eval-Avant action écologique'!$A$763=CS9,COUNTA('Eval-Avant action écologique'!$J$763),0),IF('Eval-Avant action écologique'!$A$764=CS9,COUNTA('Eval-Avant action écologique'!$J$764),0),IF('Eval-Avant action écologique'!$A$765=CS9,COUNTA('Eval-Avant action écologique'!$J$765),0),IF('Eval-Avant action écologique'!$A$766=CS9,COUNTA('Eval-Avant action écologique'!$J$766),0),IF('Eval-Avant action écologique'!$A$767=CS9,COUNTA('Eval-Avant action écologique'!$J$767),0),IF('Eval-Avant action écologique'!$A$768=CS9,COUNTA('Eval-Avant action écologique'!$J$768),0),IF('Eval-Avant action écologique'!$A$769=CS9,COUNTA('Eval-Avant action écologique'!$J$769),0),IF('Eval-Avant action écologique'!$A$770=CS9,COUNTA('Eval-Avant action écologique'!$J$770),0),IF('Eval-Avant action écologique'!$A$771=CS9,COUNTA('Eval-Avant action écologique'!$J$771),0),IF('Eval-Avant action écologique'!$A$772=CS9,COUNTA('Eval-Avant action écologique'!$J$772),0),IF('Eval-Avant action écologique'!$A$773=CS9,COUNTA('Eval-Avant action écologique'!$J$773),0),IF('Eval-Avant action écologique'!$A$774=CS9,COUNTA('Eval-Avant action écologique'!$J$774),0),IF('Eval-Avant action écologique'!$A$775=CS9,COUNTA('Eval-Avant action écologique'!$J$775),0),IF('Eval-Avant action écologique'!$A$776=CS9,COUNTA('Eval-Avant action écologique'!$J$776),0),IF('Eval-Avant action écologique'!$A$777=CS9,COUNTA('Eval-Avant action écologique'!$J$777),0),IF('Eval-Avant action écologique'!$A$778=CS9,COUNTA('Eval-Avant action écologique'!$J$778),0),IF('Eval-Avant action écologique'!$A$779=CS9,COUNTA('Eval-Avant action écologique'!$J$779),0),IF('Eval-Avant action écologique'!$A$780=CS9,COUNTA('Eval-Avant action écologique'!$J$780),0))&gt;0,"X",0),"")</f>
        <v/>
      </c>
      <c r="CZ9" s="213" t="str">
        <f>IF(COUNTIF('Eval-Avant action écologique'!$A$761:$A$780,CS9)&gt;0,IF(SUM(IF('Eval-Avant action écologique'!$A$761=CS9,COUNTA('Eval-Avant action écologique'!$K$761),0),IF('Eval-Avant action écologique'!$A$762=CS9,COUNTA('Eval-Avant action écologique'!$K$762),0),IF('Eval-Avant action écologique'!$A$763=CS9,COUNTA('Eval-Avant action écologique'!$K$763),0),IF('Eval-Avant action écologique'!$A$764=CS9,COUNTA('Eval-Avant action écologique'!$K$764),0),IF('Eval-Avant action écologique'!$A$765=CS9,COUNTA('Eval-Avant action écologique'!$K$765),0),IF('Eval-Avant action écologique'!$A$766=CS9,COUNTA('Eval-Avant action écologique'!$K$766),0),IF('Eval-Avant action écologique'!$A$767=CS9,COUNTA('Eval-Avant action écologique'!$K$767),0),IF('Eval-Avant action écologique'!$A$768=CS9,COUNTA('Eval-Avant action écologique'!$K$768),0),IF('Eval-Avant action écologique'!$A$769=CS9,COUNTA('Eval-Avant action écologique'!$K$769),0),IF('Eval-Avant action écologique'!$A$770=CS9,COUNTA('Eval-Avant action écologique'!$K$770),0),IF('Eval-Avant action écologique'!$A$771=CS9,COUNTA('Eval-Avant action écologique'!$K$771),0),IF('Eval-Avant action écologique'!$A$772=CS9,COUNTA('Eval-Avant action écologique'!$K$772),0),IF('Eval-Avant action écologique'!$A$773=CS9,COUNTA('Eval-Avant action écologique'!$K$773),0),IF('Eval-Avant action écologique'!$A$774=CS9,COUNTA('Eval-Avant action écologique'!$K$774),0),IF('Eval-Avant action écologique'!$A$775=CS9,COUNTA('Eval-Avant action écologique'!$K$775),0),IF('Eval-Avant action écologique'!$A$776=CS9,COUNTA('Eval-Avant action écologique'!$K$776),0),IF('Eval-Avant action écologique'!$A$777=CS9,COUNTA('Eval-Avant action écologique'!$K$777),0),IF('Eval-Avant action écologique'!$A$778=CS9,COUNTA('Eval-Avant action écologique'!$K$778),0),IF('Eval-Avant action écologique'!$A$779=CS9,COUNTA('Eval-Avant action écologique'!$K$779),0),IF('Eval-Avant action écologique'!$A$780=CS9,COUNTA('Eval-Avant action écologique'!$K$780),0))&gt;0,"X",0),"")</f>
        <v/>
      </c>
      <c r="DA9" s="211" t="str">
        <f>IF(COUNTIF('Eval-Avant action écologique'!$A$761:$A$780,CS9)&gt;0,IF(OR(AND('Eval-Avant action écologique'!$A$761=CS9,'Eval-Avant action écologique'!$L$761&lt;120,'Eval-Avant action écologique'!$L$761&gt;=DP9),AND('Eval-Avant action écologique'!$A$762=CS9,'Eval-Avant action écologique'!$L$762&lt;120,'Eval-Avant action écologique'!$L$762&gt;=DP10),AND('Eval-Avant action écologique'!$A$763=CS9,'Eval-Avant action écologique'!$L$763&lt;120,'Eval-Avant action écologique'!$L$763&gt;=DP11),AND('Eval-Avant action écologique'!$A$764=CS9,'Eval-Avant action écologique'!$L$764&lt;120,'Eval-Avant action écologique'!$L$764&gt;=DP12),AND('Eval-Avant action écologique'!$A$765=CS9,'Eval-Avant action écologique'!$L$765&lt;120,'Eval-Avant action écologique'!$L$765&gt;=DP13),AND('Eval-Avant action écologique'!$A$766=CS9,'Eval-Avant action écologique'!$L$766&lt;120,'Eval-Avant action écologique'!$L$766&gt;=DP14),AND('Eval-Avant action écologique'!$A$767=CS9,'Eval-Avant action écologique'!$L$767&lt;120,'Eval-Avant action écologique'!$L$767&gt;=DP15),AND('Eval-Avant action écologique'!$A$768=CS9,'Eval-Avant action écologique'!$L$768&lt;120,'Eval-Avant action écologique'!$L$768&gt;=DP16),AND('Eval-Avant action écologique'!$A$769=CS9,'Eval-Avant action écologique'!$L$769&lt;120,'Eval-Avant action écologique'!$L$769&gt;=DP17),AND('Eval-Avant action écologique'!$A$770=CS9,'Eval-Avant action écologique'!$L$770&lt;120,'Eval-Avant action écologique'!$L$770&gt;=DP18),AND('Eval-Avant action écologique'!$A$771=CS9,'Eval-Avant action écologique'!$L$771&lt;120,'Eval-Avant action écologique'!$L$771&gt;=DP19),AND('Eval-Avant action écologique'!$A$772=CS9,'Eval-Avant action écologique'!$L$772&lt;120,'Eval-Avant action écologique'!$L$772&gt;=DP20),AND('Eval-Avant action écologique'!$A$773=CS9,'Eval-Avant action écologique'!$L$773&lt;120,'Eval-Avant action écologique'!$L$773&gt;=DP21),AND('Eval-Avant action écologique'!$A$774=CS9,'Eval-Avant action écologique'!$L$774&lt;120,'Eval-Avant action écologique'!$L$774&gt;=DP22),AND('Eval-Avant action écologique'!$A$775=CS9,'Eval-Avant action écologique'!$L$775&lt;120,'Eval-Avant action écologique'!$L$775&gt;=DP23),AND('Eval-Avant action écologique'!$A$776=CS9,'Eval-Avant action écologique'!$L$776&lt;120,'Eval-Avant action écologique'!$L$776&gt;=DP24),AND('Eval-Avant action écologique'!$A$777=CS9,'Eval-Avant action écologique'!$L$777&lt;120,'Eval-Avant action écologique'!$L$777&gt;=DP25),AND('Eval-Avant action écologique'!$A$778=CS9,'Eval-Avant action écologique'!$L$778&lt;120,'Eval-Avant action écologique'!$L$778&gt;=DP26),AND('Eval-Avant action écologique'!$A$779=CS9,'Eval-Avant action écologique'!$L$779&lt;120,'Eval-Avant action écologique'!$L$779&gt;=DP27),AND('Eval-Avant action écologique'!$A$780=CS9,'Eval-Avant action écologique'!$L$780&lt;120,'Eval-Avant action écologique'!$L$780&gt;=DP28)),"",SUM(IF('Eval-Avant action écologique'!$A$761=CS9,'Eval-Avant action écologique'!$L$761,0),IF('Eval-Avant action écologique'!$A$762=CS9,'Eval-Avant action écologique'!$L$762,0),IF('Eval-Avant action écologique'!$A$763=CS9,'Eval-Avant action écologique'!$L$763,0),IF('Eval-Avant action écologique'!$A$764=CS9,'Eval-Avant action écologique'!$L$764,0),IF('Eval-Avant action écologique'!$A$765=CS9,'Eval-Avant action écologique'!$L$765,0),IF('Eval-Avant action écologique'!$A$766=CS9,'Eval-Avant action écologique'!$L$766,0),IF('Eval-Avant action écologique'!$A$767=CS9,'Eval-Avant action écologique'!$L$767,0),IF('Eval-Avant action écologique'!$A$768=CS9,'Eval-Avant action écologique'!$L$768,0),IF('Eval-Avant action écologique'!$A$769=CS9,'Eval-Avant action écologique'!$L$769,0),IF('Eval-Avant action écologique'!$A$770=CS9,'Eval-Avant action écologique'!$L$770,0),IF('Eval-Avant action écologique'!$A$771=CS9,'Eval-Avant action écologique'!$L$771,0),IF('Eval-Avant action écologique'!$A$772=CS9,'Eval-Avant action écologique'!$L$772,0),IF('Eval-Avant action écologique'!$A$773=CS9,'Eval-Avant action écologique'!$L$773,0),IF('Eval-Avant action écologique'!$A$774=CS9,'Eval-Avant action écologique'!$L$774,0),IF('Eval-Avant action écologique'!$A$775=CS9,'Eval-Avant action écologique'!$L$775,0),IF('Eval-Avant action écologique'!$A$776=CS9,'Eval-Avant action écologique'!$L$776,0),IF('Eval-Avant action écologique'!$A$777=CS9,'Eval-Avant action écologique'!$L$777,0),IF('Eval-Avant action écologique'!$A$778=CS9,'Eval-Avant action écologique'!$L$778,0),IF('Eval-Avant action écologique'!$A$779=CS9,'Eval-Avant action écologique'!$L$779,0),IF('Eval-Avant action écologique'!$A$780=CS9,'Eval-Avant action écologique'!$L$780,0))/ COUNTIF('Eval-Avant action écologique'!$A$761:$A$780,CS9)),"")</f>
        <v/>
      </c>
      <c r="DB9" s="211" t="str">
        <f>IF(COUNTIF('Eval-Avant action écologique'!$A$761:$A$780,CS9)&gt;0,IF(OR(AND('Eval-Avant action écologique'!$A$761=CS9, DP9&lt;120),AND(DP10&lt;120),AND(DP11&lt;120),AND(DP12&lt;120),AND(DP13&lt;120),AND(DP14&lt;120),AND(DP15&lt;120),AND(DP16&lt;120),AND(DP17&lt;120),AND(DP18&lt;120),AND(DP19&lt;120),AND(DP20&lt;120),AND(DP21&lt;120),AND(DP22&lt;120),AND(DP23&lt;120),AND(DP24&lt;120),AND(DP25&lt;120),AND(DP26&lt;120),AND(DP27&lt;120),AND(DP28&lt;120)),"",SUM(IF('Eval-Avant action écologique'!$A$761=CS9,'Eval-Avant action écologique'!$M$761,0),IF('Eval-Avant action écologique'!$A$762=CS9,'Eval-Avant action écologique'!$M$762,0),IF('Eval-Avant action écologique'!$A$763=CS9,'Eval-Avant action écologique'!$M$763,0),IF('Eval-Avant action écologique'!$A$764=CS9,'Eval-Avant action écologique'!$M$764,0),IF('Eval-Avant action écologique'!$A$765=CS9,'Eval-Avant action écologique'!$M$765,0),IF('Eval-Avant action écologique'!$A$766=CS9,'Eval-Avant action écologique'!$M$766,0),IF('Eval-Avant action écologique'!$A$767=CS9,'Eval-Avant action écologique'!$M$767,0),IF('Eval-Avant action écologique'!$A$768=CS9,'Eval-Avant action écologique'!$M$768,0),IF('Eval-Avant action écologique'!$A$769=CS9,'Eval-Avant action écologique'!$M$769,0),IF('Eval-Avant action écologique'!$A$770=CS9,'Eval-Avant action écologique'!$M$770,0),IF('Eval-Avant action écologique'!$A$771=CS9,'Eval-Avant action écologique'!$M$771,0),IF('Eval-Avant action écologique'!$A$772=CS9,'Eval-Avant action écologique'!$M$772,0),IF('Eval-Avant action écologique'!$A$773=CS9,'Eval-Avant action écologique'!$M$773,0),IF('Eval-Avant action écologique'!$A$774=CS9,'Eval-Avant action écologique'!$M$774,0),IF('Eval-Avant action écologique'!$A$775=CS9,'Eval-Avant action écologique'!$M$775,0), IF('Eval-Avant action écologique'!$A$776=CS9,'Eval-Avant action écologique'!$M$776,0), IF('Eval-Avant action écologique'!$A$777=CS9,'Eval-Avant action écologique'!$M$777,0), IF('Eval-Avant action écologique'!$A$778=CS9,'Eval-Avant action écologique'!$M$778,0), IF('Eval-Avant action écologique'!$A$779=CS9,'Eval-Avant action écologique'!$M$779,0), IF('Eval-Avant action écologique'!$A$780=CS9,'Eval-Avant action écologique'!$M$780,0))/COUNTIF('Eval-Avant action écologique'!$A$761:$A$780,CS9)),"")</f>
        <v/>
      </c>
      <c r="DC9" s="211" t="str">
        <f>IF(COUNTIF('Eval-Avant action écologique'!$A$761:$A$780,CS9)&gt;0,SUM(IF('Eval-Avant action écologique'!$A$761=CS9,LEN(SUBSTITUTE((SUBSTITUTE(DR9,"TM","")),"TS",""))*10/2,0),IF('Eval-Avant action écologique'!$A$762=CS9,LEN(SUBSTITUTE((SUBSTITUTE(DR10,"TM","")),"TS",""))*10/2,0),IF('Eval-Avant action écologique'!$A$763=CS9,LEN(SUBSTITUTE((SUBSTITUTE(DR11,"TM","")),"TS",""))*10/2,0),IF('Eval-Avant action écologique'!$A$764=CS9,LEN(SUBSTITUTE((SUBSTITUTE(DR12,"TM","")),"TS",""))*10/2,0),IF('Eval-Avant action écologique'!$A$765=CS9,LEN(SUBSTITUTE((SUBSTITUTE(DR13,"TM","")),"TS",""))*10/2,0),IF('Eval-Avant action écologique'!$A$766=CS9,LEN(SUBSTITUTE((SUBSTITUTE(DR14,"TM","")),"TS",""))*10/2,0),IF('Eval-Avant action écologique'!$A$767=CS9,LEN(SUBSTITUTE((SUBSTITUTE(DR15,"TM","")),"TS",""))*10/2,0),IF('Eval-Avant action écologique'!$A$768=CS9,LEN(SUBSTITUTE((SUBSTITUTE(DR16,"TM","")),"TS",""))*10/2,0),IF('Eval-Avant action écologique'!$A$769=CS9,LEN(SUBSTITUTE((SUBSTITUTE(DR17,"TM","")),"TS",""))*10/2,0),IF('Eval-Avant action écologique'!$A$770=CS9,LEN(SUBSTITUTE((SUBSTITUTE(DR18,"TM","")),"TS",""))*10/2,0),IF('Eval-Avant action écologique'!$A$771=CS9,LEN(SUBSTITUTE((SUBSTITUTE(DR19,"TM","")),"TS",""))*10/2,0),IF('Eval-Avant action écologique'!$A$772=CS9,LEN(SUBSTITUTE((SUBSTITUTE(DR20,"TM","")),"TS",""))*10/2,0),IF('Eval-Avant action écologique'!$A$773=CS9,LEN(SUBSTITUTE((SUBSTITUTE(DR21,"TM","")),"TS",""))*10/2,0),IF('Eval-Avant action écologique'!$A$774=CS9,LEN(SUBSTITUTE((SUBSTITUTE(DR22,"TM","")),"TS",""))*10/2,0),IF('Eval-Avant action écologique'!$A$775=CS9,LEN(SUBSTITUTE((SUBSTITUTE(DR23,"TM","")),"TS",""))*10/2,0),IF('Eval-Avant action écologique'!$A$776=CS9,LEN(SUBSTITUTE((SUBSTITUTE(DR24,"TM","")),"TS",""))*10/2,0),IF('Eval-Avant action écologique'!$A$777=CS9,LEN(SUBSTITUTE((SUBSTITUTE(DR25,"TM","")),"TS",""))*10/2,0),IF('Eval-Avant action écologique'!$A$778=CS9,LEN(SUBSTITUTE((SUBSTITUTE(DR26,"TM","")),"TS",""))*10/2,0),IF('Eval-Avant action écologique'!$A$779=CS9,LEN(SUBSTITUTE((SUBSTITUTE(DR27,"TM","")),"TS",""))*10/2,0),IF('Eval-Avant action écologique'!$A$780=CS9,LEN(SUBSTITUTE((SUBSTITUTE(DR28,"TM","")),"TS",""))*10/2,0))/COUNTIF('Eval-Avant action écologique'!$A$761:$A$780,CS9),"")</f>
        <v/>
      </c>
      <c r="DD9" s="211" t="str">
        <f>IF(COUNTIF('Eval-Avant action écologique'!$A$761:$A$780,CS9)&gt;0,SUM(IF('Eval-Avant action écologique'!$A$761=CS9,LEN(SUBSTITUTE((SUBSTITUTE(DR9,"TF","")),"TS",""))*10/2,0),IF('Eval-Avant action écologique'!$A$762=CS9,LEN(SUBSTITUTE((SUBSTITUTE(DR10,"TF","")),"TS",""))*10/2,0),IF('Eval-Avant action écologique'!$A$763=CS9,LEN(SUBSTITUTE((SUBSTITUTE(DR11,"TF","")),"TS",""))*10/2,0),IF('Eval-Avant action écologique'!$A$764=CS9,LEN(SUBSTITUTE((SUBSTITUTE(DR12,"TF","")),"TS",""))*10/2,0),IF('Eval-Avant action écologique'!$A$765=CS9,LEN(SUBSTITUTE((SUBSTITUTE(DR13,"TF","")),"TS",""))*10/2,0),IF('Eval-Avant action écologique'!$A$766=CS9,LEN(SUBSTITUTE((SUBSTITUTE(DR14,"TF","")),"TS",""))*10/2,0),IF('Eval-Avant action écologique'!$A$767=CS9,LEN(SUBSTITUTE((SUBSTITUTE(DR15,"TF","")),"TS",""))*10/2,0),IF('Eval-Avant action écologique'!$A$768=CS9,LEN(SUBSTITUTE((SUBSTITUTE(DR16,"TF","")),"TS",""))*10/2,0),IF('Eval-Avant action écologique'!$A$769=CS9,LEN(SUBSTITUTE((SUBSTITUTE(DR17,"TF","")),"TS",""))*10/2,0),IF('Eval-Avant action écologique'!$A$770=CS9,LEN(SUBSTITUTE((SUBSTITUTE(DR18,"TF","")),"TS",""))*10/2,0),IF('Eval-Avant action écologique'!$A$771=CS9,LEN(SUBSTITUTE((SUBSTITUTE(DR19,"TF","")),"TS",""))*10/2,0),IF('Eval-Avant action écologique'!$A$772=CS9,LEN(SUBSTITUTE((SUBSTITUTE(DR20,"TF","")),"TS",""))*10/2,0),IF('Eval-Avant action écologique'!$A$773=CS9,LEN(SUBSTITUTE((SUBSTITUTE(DR21,"TF","")),"TS",""))*10/2,0),IF('Eval-Avant action écologique'!$A$774=CS9,LEN(SUBSTITUTE((SUBSTITUTE(DR22,"TF","")),"TS",""))*10/2,0),IF('Eval-Avant action écologique'!$A$775=CS9,LEN(SUBSTITUTE((SUBSTITUTE(DR23,"TF","")),"TS",""))*10/2,0),IF('Eval-Avant action écologique'!$A$776=CS9,LEN(SUBSTITUTE((SUBSTITUTE(DR24,"TF","")),"TS",""))*10/2,0),IF('Eval-Avant action écologique'!$A$777=CS9,LEN(SUBSTITUTE((SUBSTITUTE(DR25,"TF","")),"TS",""))*10/2,0),IF('Eval-Avant action écologique'!$A$778=CS9,LEN(SUBSTITUTE((SUBSTITUTE(DR26,"TF","")),"TS",""))*10/2,0),IF('Eval-Avant action écologique'!$A$779=CS9,LEN(SUBSTITUTE((SUBSTITUTE(DR27,"TF","")),"TS",""))*10/2,0),IF('Eval-Avant action écologique'!$A$780=CS9,LEN(SUBSTITUTE((SUBSTITUTE(DR28,"TF","")),"TS",""))*10/2,0))/COUNTIF('Eval-Avant action écologique'!$A$761:$A$780,CS9),"")</f>
        <v/>
      </c>
      <c r="DE9" s="211" t="str">
        <f>IF(COUNTIF('Eval-Avant action écologique'!$A$761:$A$780,CS9)&gt;0,SUM(IF('Eval-Avant action écologique'!$A$761=CS9,LEN(SUBSTITUTE((SUBSTITUTE(DR9,"TF","")),"TM",""))*10/2,0),IF('Eval-Avant action écologique'!$A$762=CS9,LEN(SUBSTITUTE((SUBSTITUTE(DR10,"TF","")),"TM",""))*10/2,0),IF('Eval-Avant action écologique'!$A$763=CS9,LEN(SUBSTITUTE((SUBSTITUTE(DR11,"TF","")),"TM",""))*10/2,0),IF('Eval-Avant action écologique'!$A$764=CS9,LEN(SUBSTITUTE((SUBSTITUTE(DR12,"TF","")),"TM",""))*10/2,0),IF('Eval-Avant action écologique'!$A$765=CS9,LEN(SUBSTITUTE((SUBSTITUTE(DR13,"TF","")),"TM",""))*10/2,0),IF('Eval-Avant action écologique'!$A$766=CS9,LEN(SUBSTITUTE((SUBSTITUTE(DR14,"TF","")),"TM",""))*10/2,0),IF('Eval-Avant action écologique'!$A$767=CS9,LEN(SUBSTITUTE((SUBSTITUTE(DR15,"TF","")),"TM",""))*10/2,0),IF('Eval-Avant action écologique'!$A$768=CS9,LEN(SUBSTITUTE((SUBSTITUTE(DR16,"TF","")),"TM",""))*10/2,0),IF('Eval-Avant action écologique'!$A$769=CS9,LEN(SUBSTITUTE((SUBSTITUTE(DR17,"TF","")),"TM",""))*10/2,0),IF('Eval-Avant action écologique'!$A$770=CS9,LEN(SUBSTITUTE((SUBSTITUTE(DR18,"TF","")),"TM",""))*10/2,0),IF('Eval-Avant action écologique'!$A$771=CS9,LEN(SUBSTITUTE((SUBSTITUTE(DR19,"TF","")),"TM",""))*10/2,0),IF('Eval-Avant action écologique'!$A$772=CS9,LEN(SUBSTITUTE((SUBSTITUTE(DR20,"TF","")),"TM",""))*10/2,0),IF('Eval-Avant action écologique'!$A$773=CS9,LEN(SUBSTITUTE((SUBSTITUTE(DR21,"TF","")),"TM",""))*10/2,0),IF('Eval-Avant action écologique'!$A$774=CS9,LEN(SUBSTITUTE((SUBSTITUTE(DR22,"TF","")),"TM",""))*10/2,0),IF('Eval-Avant action écologique'!$A$775=CS9,LEN(SUBSTITUTE((SUBSTITUTE(DR23,"TF","")),"TM",""))*10/2,0),IF('Eval-Avant action écologique'!$A$776=CS9,LEN(SUBSTITUTE((SUBSTITUTE(DR24,"TF","")),"TM",""))*10/2,0),IF('Eval-Avant action écologique'!$A$777=CS9,LEN(SUBSTITUTE((SUBSTITUTE(DR25,"TF","")),"TM",""))*10/2,0),IF('Eval-Avant action écologique'!$A$778=CS9,LEN(SUBSTITUTE((SUBSTITUTE(DR26,"TF","")),"TM",""))*10/2,0),IF('Eval-Avant action écologique'!$A$779=CS9,LEN(SUBSTITUTE((SUBSTITUTE(DR27,"TF","")),"TM",""))*10/2,0),IF('Eval-Avant action écologique'!$A$780=CS9,LEN(SUBSTITUTE((SUBSTITUTE(DR28,"TF","")),"TM",""))*10/2,0))/COUNTIF('Eval-Avant action écologique'!$A$761:$A$780,CS9),"")</f>
        <v/>
      </c>
      <c r="DF9" s="211" t="str">
        <f>IF(COUNTIF('Eval-Avant action écologique'!$A$761:$A$780,CS9)&gt;0,SUM(IF('Eval-Avant action écologique'!$A$761=CS9,LEN(SUBSTITUTE((SUBSTITUTE(DS9,"TM","")),"TS",""))*10/2,0),IF('Eval-Avant action écologique'!$A$762=CS9,LEN(SUBSTITUTE((SUBSTITUTE(DS10,"TM","")),"TS",""))*10/2,0),IF('Eval-Avant action écologique'!$A$763=CS9,LEN(SUBSTITUTE((SUBSTITUTE(DS11,"TM","")),"TS",""))*10/2,0),IF('Eval-Avant action écologique'!$A$764=CS9,LEN(SUBSTITUTE((SUBSTITUTE(DS12,"TM","")),"TS",""))*10/2,0),IF('Eval-Avant action écologique'!$A$765=CS9,LEN(SUBSTITUTE((SUBSTITUTE(DS13,"TM","")),"TS",""))*10/2,0),IF('Eval-Avant action écologique'!$A$766=CS9,LEN(SUBSTITUTE((SUBSTITUTE(DS14,"TM","")),"TS",""))*10/2,0),IF('Eval-Avant action écologique'!$A$767=CS9,LEN(SUBSTITUTE((SUBSTITUTE(DS15,"TM","")),"TS",""))*10/2,0),IF('Eval-Avant action écologique'!$A$768=CS9,LEN(SUBSTITUTE((SUBSTITUTE(DS16,"TM","")),"TS",""))*10/2,0),IF('Eval-Avant action écologique'!$A$769=CS9,LEN(SUBSTITUTE((SUBSTITUTE(DS17,"TM","")),"TS",""))*10/2,0),IF('Eval-Avant action écologique'!$A$770=CS9,LEN(SUBSTITUTE((SUBSTITUTE(DS18,"TM","")),"TS",""))*10/2,0),IF('Eval-Avant action écologique'!$A$771=CS9,LEN(SUBSTITUTE((SUBSTITUTE(DS19,"TM","")),"TS",""))*10/2,0),IF('Eval-Avant action écologique'!$A$772=CS9,LEN(SUBSTITUTE((SUBSTITUTE(DS20,"TM","")),"TS",""))*10/2,0),IF('Eval-Avant action écologique'!$A$773=CS9,LEN(SUBSTITUTE((SUBSTITUTE(DS21,"TM","")),"TS",""))*10/2,0),IF('Eval-Avant action écologique'!$A$774=CS9,LEN(SUBSTITUTE((SUBSTITUTE(DS22,"TM","")),"TS",""))*10/2,0),IF('Eval-Avant action écologique'!$A$775=CS9,LEN(SUBSTITUTE((SUBSTITUTE(DS23,"TM","")),"TS",""))*10/2,0),IF('Eval-Avant action écologique'!$A$776=CS9,LEN(SUBSTITUTE((SUBSTITUTE(DS24,"TM","")),"TS",""))*10/2,0),IF('Eval-Avant action écologique'!$A$777=CS9,LEN(SUBSTITUTE((SUBSTITUTE(DS25,"TM","")),"TS",""))*10/2,0),IF('Eval-Avant action écologique'!$A$778=CS9,LEN(SUBSTITUTE((SUBSTITUTE(DS26,"TM","")),"TS",""))*10/2,0),IF('Eval-Avant action écologique'!$A$779=CS9,LEN(SUBSTITUTE((SUBSTITUTE(DS27,"TM","")),"TS",""))*10/2,0),IF('Eval-Avant action écologique'!$A$780=CS9,LEN(SUBSTITUTE((SUBSTITUTE(DS28,"TM","")),"TS",""))*10/2,0))/COUNTIF('Eval-Avant action écologique'!$A$761:$A$780,CS9),"")</f>
        <v/>
      </c>
      <c r="DG9" s="211" t="str">
        <f>IF(COUNTIF('Eval-Avant action écologique'!$A$761:$A$780,CS9)&gt;0,SUM(IF('Eval-Avant action écologique'!$A$761=CS9,LEN(SUBSTITUTE((SUBSTITUTE(DS9,"TF","")),"TS",""))*10/2,0),IF('Eval-Avant action écologique'!$A$762=CS9,LEN(SUBSTITUTE((SUBSTITUTE(DS10,"TF","")),"TS",""))*10/2,0),IF('Eval-Avant action écologique'!$A$763=CS9,LEN(SUBSTITUTE((SUBSTITUTE(DS11,"TF","")),"TS",""))*10/2,0),IF('Eval-Avant action écologique'!$A$764=CS9,LEN(SUBSTITUTE((SUBSTITUTE(DS12,"TF","")),"TS",""))*10/2,0),IF('Eval-Avant action écologique'!$A$765=CS9,LEN(SUBSTITUTE((SUBSTITUTE(DS13,"TF","")),"TS",""))*10/2,0),IF('Eval-Avant action écologique'!$A$766=CS9,LEN(SUBSTITUTE((SUBSTITUTE(DS14,"TF","")),"TS",""))*10/2,0),IF('Eval-Avant action écologique'!$A$767=CS9,LEN(SUBSTITUTE((SUBSTITUTE(DS15,"TF","")),"TS",""))*10/2,0),IF('Eval-Avant action écologique'!$A$768=CS9,LEN(SUBSTITUTE((SUBSTITUTE(DS16,"TF","")),"TS",""))*10/2,0),IF('Eval-Avant action écologique'!$A$769=CS9,LEN(SUBSTITUTE((SUBSTITUTE(DS17,"TF","")),"TS",""))*10/2,0),IF('Eval-Avant action écologique'!$A$770=CS9,LEN(SUBSTITUTE((SUBSTITUTE(DS18,"TF","")),"TS",""))*10/2,0),IF('Eval-Avant action écologique'!$A$771=CS9,LEN(SUBSTITUTE((SUBSTITUTE(DS19,"TF","")),"TS",""))*10/2,0),IF('Eval-Avant action écologique'!$A$772=CS9,LEN(SUBSTITUTE((SUBSTITUTE(DS20,"TF","")),"TS",""))*10/2,0),IF('Eval-Avant action écologique'!$A$773=CS9,LEN(SUBSTITUTE((SUBSTITUTE(DS21,"TF","")),"TS",""))*10/2,0),IF('Eval-Avant action écologique'!$A$774=CS9,LEN(SUBSTITUTE((SUBSTITUTE(DS22,"TF","")),"TS",""))*10/2,0),IF('Eval-Avant action écologique'!$A$775=CS9,LEN(SUBSTITUTE((SUBSTITUTE(DS23,"TF","")),"TS",""))*10/2,0),IF('Eval-Avant action écologique'!$A$776=CS9,LEN(SUBSTITUTE((SUBSTITUTE(DS24,"TF","")),"TS",""))*10/2,0),IF('Eval-Avant action écologique'!$A$777=CS9,LEN(SUBSTITUTE((SUBSTITUTE(DS25,"TF","")),"TS",""))*10/2,0),IF('Eval-Avant action écologique'!$A$778=CS9,LEN(SUBSTITUTE((SUBSTITUTE(DS26,"TF","")),"TS",""))*10/2,0),IF('Eval-Avant action écologique'!$A$779=CS9,LEN(SUBSTITUTE((SUBSTITUTE(DS27,"TF","")),"TS",""))*10/2,0),IF('Eval-Avant action écologique'!$A$780=CS9,LEN(SUBSTITUTE((SUBSTITUTE(DS28,"TF","")),"TS",""))*10/2,0))/COUNTIF('Eval-Avant action écologique'!$A$761:$A$780,CS9),"")</f>
        <v/>
      </c>
      <c r="DH9" s="211" t="str">
        <f>IF(COUNTIF('Eval-Avant action écologique'!$A$761:$A$780,CS9)&gt;0,SUM(IF('Eval-Avant action écologique'!$A$761=CS9,LEN(SUBSTITUTE((SUBSTITUTE(DS9,"TF","")),"TM",""))*10/2,0),IF('Eval-Avant action écologique'!$A$762=CS9,LEN(SUBSTITUTE((SUBSTITUTE(DS10,"TF","")),"TM",""))*10/2,0),IF('Eval-Avant action écologique'!$A$763=CS9,LEN(SUBSTITUTE((SUBSTITUTE(DS11,"TF","")),"TM",""))*10/2,0),IF('Eval-Avant action écologique'!$A$764=CS9,LEN(SUBSTITUTE((SUBSTITUTE(DS12,"TF","")),"TM",""))*10/2,0),IF('Eval-Avant action écologique'!$A$765=CS9,LEN(SUBSTITUTE((SUBSTITUTE(DS13,"TF","")),"TM",""))*10/2,0),IF('Eval-Avant action écologique'!$A$766=CS9,LEN(SUBSTITUTE((SUBSTITUTE(DS14,"TF","")),"TM",""))*10/2,0),IF('Eval-Avant action écologique'!$A$767=CS9,LEN(SUBSTITUTE((SUBSTITUTE(DS15,"TF","")),"TM",""))*10/2,0),IF('Eval-Avant action écologique'!$A$768=CS9,LEN(SUBSTITUTE((SUBSTITUTE(DS16,"TF","")),"TM",""))*10/2,0),IF('Eval-Avant action écologique'!$A$769=CS9,LEN(SUBSTITUTE((SUBSTITUTE(DS17,"TF","")),"TM",""))*10/2,0),IF('Eval-Avant action écologique'!$A$770=CS9,LEN(SUBSTITUTE((SUBSTITUTE(DS18,"TF","")),"TM",""))*10/2,0),IF('Eval-Avant action écologique'!$A$771=CS9,LEN(SUBSTITUTE((SUBSTITUTE(DS19,"TF","")),"TM",""))*10/2,0),IF('Eval-Avant action écologique'!$A$772=CS9,LEN(SUBSTITUTE((SUBSTITUTE(DS20,"TF","")),"TM",""))*10/2,0),IF('Eval-Avant action écologique'!$A$773=CS9,LEN(SUBSTITUTE((SUBSTITUTE(DS21,"TF","")),"TM",""))*10/2,0),IF('Eval-Avant action écologique'!$A$774=CS9,LEN(SUBSTITUTE((SUBSTITUTE(DS22,"TF","")),"TM",""))*10/2,0),IF('Eval-Avant action écologique'!$A$775=CS9,LEN(SUBSTITUTE((SUBSTITUTE(DS23,"TF","")),"TM",""))*10/2,0),IF('Eval-Avant action écologique'!$A$776=CS9,LEN(SUBSTITUTE((SUBSTITUTE(DS24,"TF","")),"TM",""))*10/2,0),IF('Eval-Avant action écologique'!$A$777=CS9,LEN(SUBSTITUTE((SUBSTITUTE(DS25,"TF","")),"TM",""))*10/2,0),IF('Eval-Avant action écologique'!$A$778=CS9,LEN(SUBSTITUTE((SUBSTITUTE(DS26,"TF","")),"TM",""))*10/2,0),IF('Eval-Avant action écologique'!$A$779=CS9,LEN(SUBSTITUTE((SUBSTITUTE(DS27,"TF","")),"TM",""))*10/2,0),IF('Eval-Avant action écologique'!$A$780=CS9,LEN(SUBSTITUTE((SUBSTITUTE(DS28,"TF","")),"TM",""))*10/2,0))/COUNTIF('Eval-Avant action écologique'!$A$761:$A$780,CS9),"")</f>
        <v/>
      </c>
      <c r="DI9" s="211" t="str">
        <f>IF(COUNTIF('Eval-Avant action écologique'!$A$761:$A$780,CS9)&gt;0,IF(OR(AND('Eval-Avant action écologique'!$A$761=CS9,DP9&lt;30),AND('Eval-Avant action écologique'!$A$762=CS9,DP10&lt;30),AND('Eval-Avant action écologique'!$A$763=CS9,DP11&lt;30),AND('Eval-Avant action écologique'!$A$764=CS9,DP12&lt;30),AND('Eval-Avant action écologique'!$A$765=CS9,DP13&lt;30),AND('Eval-Avant action écologique'!$A$766=CS9,DP14&lt;30),AND('Eval-Avant action écologique'!$A$767=CS9,DP15&lt;30),AND('Eval-Avant action écologique'!$A$768=CS9,DP16&lt;30),AND('Eval-Avant action écologique'!$A$769=CS9,DP17&lt;30),AND('Eval-Avant action écologique'!$A$770=CS9,DP18&lt;30),AND('Eval-Avant action écologique'!$A$771=CS9,DP19&lt;30),AND('Eval-Avant action écologique'!$A$772=CS9,DP20&lt;30),AND('Eval-Avant action écologique'!$A$773=CS9,DP21&lt;30),AND('Eval-Avant action écologique'!$A$774=CS9,DP22&lt;30),AND('Eval-Avant action écologique'!$A$775=CS9,DP23&lt;30),AND('Eval-Avant action écologique'!$A$776=CS9,DP24&lt;30),AND('Eval-Avant action écologique'!$A$777=CS9,DP25&lt;30),AND('Eval-Avant action écologique'!$A$778=CS9,DP26&lt;30),AND('Eval-Avant action écologique'!$A$779=CS9,DP27&lt;30),AND('Eval-Avant action écologique'!$A$780=CS9,DP28&lt;30)),"",SUM(0.1*(SUMPRODUCT(('Eval-Avant action écologique'!$A$761:$A$780=CS9)*('Eval-Avant action écologique'!$N$761:$P$780="A"))+ SUMPRODUCT(('Eval-Avant action écologique'!$A$761:$A$780=CS9)*('Eval-Avant action écologique'!$N$761:$P$780="AL"))),0.7*(SUMPRODUCT(('Eval-Avant action écologique'!$A$761:$A$780=CS9)*('Eval-Avant action écologique'!$N$761:$P$780="TF"))+SUMPRODUCT(('Eval-Avant action écologique'!$A$761:$A$780=CS9)*('Eval-Avant action écologique'!$N$761:$P$780="TM"))+SUMPRODUCT(('Eval-Avant action écologique'!$A$761:$A$780=CS9)*('Eval-Avant action écologique'!$N$761:$P$780="TS"))),0.4*(SUMPRODUCT(('Eval-Avant action écologique'!$A$761:$A$780=CS9)*('Eval-Avant action écologique'!$N$761:$P$780="LA"))+SUMPRODUCT(('Eval-Avant action écologique'!$A$761:$A$780=CS9)*('Eval-Avant action écologique'!$N$761:$P$780="L"))+SUMPRODUCT(('Eval-Avant action écologique'!$A$761:$A$780=CS9)*('Eval-Avant action écologique'!$N$761:$P$780="LS"))),1*(SUMPRODUCT(('Eval-Avant action écologique'!$A$761:$A$780=CS9)*('Eval-Avant action écologique'!$N$761:$P$780="SL"))+ SUMPRODUCT(('Eval-Avant action écologique'!$A$761:$A$780=CS9)*('Eval-Avant action écologique'!$N$761:$P$780="S"))))/(3*COUNTIF('Eval-Avant action écologique'!$A$761:$A$780,CS9))),"")</f>
        <v/>
      </c>
      <c r="DJ9" s="211" t="str">
        <f>IF(COUNTIF('Eval-Avant action écologique'!$A$761:$A$780,CS9)&gt;0,IF(OR(AND('Eval-Avant action écologique'!$A$761=CS9,DP9&lt;120),AND('Eval-Avant action écologique'!$A$762=CS9,DP10&lt;120),AND('Eval-Avant action écologique'!$A$763=CS9,DP11&lt;120),AND('Eval-Avant action écologique'!$A$764=CS9,DP12&lt;120),AND('Eval-Avant action écologique'!$A$765=CS9,DP13&lt;120),AND('Eval-Avant action écologique'!$A$766=CS9,DP14&lt;120),AND('Eval-Avant action écologique'!$A$767=CS9,DP15&lt;120),AND('Eval-Avant action écologique'!$A$768=CS9,DP16&lt;120),AND('Eval-Avant action écologique'!$A$769=CS9,DP17&lt;120),AND('Eval-Avant action écologique'!$A$770=CS9,DP18&lt;120),AND('Eval-Avant action écologique'!$A$771=CS9,DP19&lt;120),AND('Eval-Avant action écologique'!$A$772=CS9,DP20&lt;120),AND('Eval-Avant action écologique'!$A$773=CS9,DP21&lt;120),AND('Eval-Avant action écologique'!$A$774=CS9,DP22&lt;120),AND('Eval-Avant action écologique'!$A$775=CS9,DP23&lt;120),AND('Eval-Avant action écologique'!$A$776=CS9,DP24&lt;120),AND('Eval-Avant action écologique'!$A$777=CS9,DP25&lt;120),AND('Eval-Avant action écologique'!$A$778=CS9,DP26&lt;120),AND('Eval-Avant action écologique'!$A$779=CS9,DP27&lt;120),AND('Eval-Avant action écologique'!$A$780=CS9,DP28&lt;120)),"",SUM(0.1*(SUMPRODUCT(('Eval-Avant action écologique'!$A$761:$A$780=CS9)*('Eval-Avant action écologique'!$Q$761:$Y$780="A"))+ SUMPRODUCT(('Eval-Avant action écologique'!$A$761:$A$780=CS9)*('Eval-Avant action écologique'!$Q$761:$Y$780="AL"))),0.7*(SUMPRODUCT(('Eval-Avant action écologique'!$A$761:$A$780=CS9)*('Eval-Avant action écologique'!$Q$761:$Y$780="TF"))+SUMPRODUCT(('Eval-Avant action écologique'!$A$761:$A$780=CS9)*('Eval-Avant action écologique'!$Q$761:$Y$780="TM"))+SUMPRODUCT(('Eval-Avant action écologique'!$A$761:$A$780=CS9)*('Eval-Avant action écologique'!$Q$761:$Y$780="TS"))),0.4*(SUMPRODUCT(('Eval-Avant action écologique'!$A$761:$A$780=CS9)*('Eval-Avant action écologique'!$Q$761:$Y$780="LA"))+SUMPRODUCT(('Eval-Avant action écologique'!$A$761:$A$780=CS9)*('Eval-Avant action écologique'!$Q$761:$Y$780="L"))+SUMPRODUCT(('Eval-Avant action écologique'!$A$761:$A$780=CS9)*('Eval-Avant action écologique'!$Q$761:$Y$780="LS"))),1*(SUMPRODUCT(('Eval-Avant action écologique'!$A$761:$A$780=CS9)*('Eval-Avant action écologique'!$Q$761:$Y$780="SL"))+ SUMPRODUCT(('Eval-Avant action écologique'!$A$761:$A$780=CS9)*('Eval-Avant action écologique'!$Q$761:$Y$780="S"))))/(9*COUNTIF('Eval-Avant action écologique'!$A$761:$A$780,CS9))),"")</f>
        <v/>
      </c>
      <c r="DK9" s="211" t="str">
        <f>IF(COUNTIF('Eval-Avant action écologique'!$A$761:$A$780,CS9)&gt;0,IF(OR(AND('Eval-Avant action écologique'!$A$761=CS9,OR(COUNTIF('Eval-Avant action écologique'!$N$761:$P$761,"*T*")&gt;0,DP9&lt;30)),AND('Eval-Avant action écologique'!$A$762=CS9,OR(COUNTIF('Eval-Avant action écologique'!$N$762:$P$762,"*T*")&gt;0,DP10&lt;30)),AND('Eval-Avant action écologique'!$A$763=CS9,OR(COUNTIF('Eval-Avant action écologique'!$N$763:$P$763,"*T*")&gt;0,DP11&lt;30)),AND('Eval-Avant action écologique'!$A$764=CS9,OR(COUNTIF('Eval-Avant action écologique'!$N$764:$P$764,"*T*")&gt;0,DP12&lt;30)),AND('Eval-Avant action écologique'!$A$765=CS9,OR(COUNTIF('Eval-Avant action écologique'!$N$765:$P$765,"*T*")&gt;0,DP13&lt;30)),AND('Eval-Avant action écologique'!$A$766=CS9,OR(COUNTIF('Eval-Avant action écologique'!$N$766:$P$766,"*T*")&gt;0,DP14&lt;30)),AND('Eval-Avant action écologique'!$A$767=CS9,OR(COUNTIF('Eval-Avant action écologique'!$N$767:$P$767,"*T*")&gt;0,DP15&lt;30)),AND('Eval-Avant action écologique'!$A$768=CS9,OR(COUNTIF('Eval-Avant action écologique'!$N$768:$P$768,"*T*")&gt;0,DP16&lt;30)),AND('Eval-Avant action écologique'!$A$769=CS9,OR(COUNTIF('Eval-Avant action écologique'!$N$769:$P$769,"*T*")&gt;0,DP17&lt;30)),AND('Eval-Avant action écologique'!$A$770=CS9,OR(COUNTIF('Eval-Avant action écologique'!$N$770:$P$770,"*T*")&gt;0,DP18&lt;30)),AND('Eval-Avant action écologique'!$A$771=CS9,OR(COUNTIF('Eval-Avant action écologique'!$N$771:$P$771,"*T*")&gt;0,DP19&lt;30)),AND('Eval-Avant action écologique'!$A$772=CS9,OR(COUNTIF('Eval-Avant action écologique'!$N$772:$P$772,"*T*")&gt;0,DP20&lt;30)),AND('Eval-Avant action écologique'!$A$773=CS9,OR(COUNTIF('Eval-Avant action écologique'!$N$773:$P$773,"*T*")&gt;0,DP21&lt;30)),AND('Eval-Avant action écologique'!$A$774=CS9,OR(COUNTIF('Eval-Avant action écologique'!$N$774:$P$774,"*T*")&gt;0,DP22&lt;30)),AND('Eval-Avant action écologique'!$A$775=CS9,OR(COUNTIF('Eval-Avant action écologique'!$N$775:$P$775,"*T*")&gt;0,DP23&lt;30)),AND('Eval-Avant action écologique'!$A$776=CS9,OR(COUNTIF('Eval-Avant action écologique'!$N$776:$P$776,"*T*")&gt;0,DP24&lt;30)),AND('Eval-Avant action écologique'!$A$777=CS9,OR(COUNTIF('Eval-Avant action écologique'!$N$777:$P$777,"*T*")&gt;0,DP25&lt;30)),AND('Eval-Avant action écologique'!$A$778=CS9,OR(COUNTIF('Eval-Avant action écologique'!$N$778:$P$778,"*T*")&gt;0,DP26&lt;30)),AND('Eval-Avant action écologique'!$A$779=CS9,OR(COUNTIF('Eval-Avant action écologique'!$N$779:$P$779,"*T*")&gt;0,DP27&lt;30)),AND('Eval-Avant action écologique'!$A$780=CS9,OR(COUNTIF('Eval-Avant action écologique'!$N$780:$P$780,"*T*")&gt;0,DP28&lt;30))),"",SUM(0.1*(SUMPRODUCT(('Eval-Avant action écologique'!$A$761:$A$780=CS9)*('Eval-Avant action écologique'!$N$761:$P$780="L"))),0.4*(SUMPRODUCT(('Eval-Avant action écologique'!$A$761:$A$780=CS9)*('Eval-Avant action écologique'!$N$761:$P$780="LA"))+SUMPRODUCT(('Eval-Avant action écologique'!$A$761:$A$780=CS9)*('Eval-Avant action écologique'!$N$761:$P$780="LS"))),0.7*(SUMPRODUCT(('Eval-Avant action écologique'!$A$761:$A$780=CS9)*('Eval-Avant action écologique'!$N$761:$P$780="AL"))+SUMPRODUCT(('Eval-Avant action écologique'!$A$761:$A$780=CS9)*('Eval-Avant action écologique'!$N$761:$P$780="SL"))),1*(SUMPRODUCT(('Eval-Avant action écologique'!$A$761:$A$780=CS9)*('Eval-Avant action écologique'!$N$761:$P$780="S"))+ SUMPRODUCT(('Eval-Avant action écologique'!$A$761:$A$780=CS9)*('Eval-Avant action écologique'!$N$761:$P$780="A"))))/(3*COUNTIF('Eval-Avant action écologique'!$A$761:$A$780,CS9))),"")</f>
        <v/>
      </c>
      <c r="DL9" s="211" t="str">
        <f>IF(COUNTIF('Eval-Avant action écologique'!$A$761:$A$780,CS9)&gt;0,IF(OR(AND('Eval-Avant action écologique'!$A$761=CS9,OR(COUNTIF('Eval-Avant action écologique'!$N$761:$P$761,"*T*")&gt;0,DP9&lt;30)),AND('Eval-Avant action écologique'!$A$762=CS9,OR(COUNTIF('Eval-Avant action écologique'!$N$762:$P$762,"*T*")&gt;0,DP10&lt;30)),AND('Eval-Avant action écologique'!$A$763=CS9,OR(COUNTIF('Eval-Avant action écologique'!$N$763:$P$763,"*T*")&gt;0,DP11&lt;30)),AND('Eval-Avant action écologique'!$A$764=CS9,OR(COUNTIF('Eval-Avant action écologique'!$N$764:$P$764,"*T*")&gt;0,DP12&lt;30)),AND('Eval-Avant action écologique'!$A$765=CS9,OR(COUNTIF('Eval-Avant action écologique'!$N$765:$P$765,"*T*")&gt;0,DP13&lt;30)),AND('Eval-Avant action écologique'!$A$766=CS9,OR(COUNTIF('Eval-Avant action écologique'!$N$766:$P$766,"*T*")&gt;0,DP14&lt;30)),AND('Eval-Avant action écologique'!$A$767=CS9,OR(COUNTIF('Eval-Avant action écologique'!$N$767:$P$767,"*T*")&gt;0,DP15&lt;30)),AND('Eval-Avant action écologique'!$A$768=CS9,OR(COUNTIF('Eval-Avant action écologique'!$N$768:$P$768,"*T*")&gt;0,DP16&lt;30)),AND('Eval-Avant action écologique'!$A$769=CS9,OR(COUNTIF('Eval-Avant action écologique'!$N$769:$P$769,"*T*")&gt;0,DP17&lt;30)),AND('Eval-Avant action écologique'!$A$770=CS9,OR(COUNTIF('Eval-Avant action écologique'!$N$770:$P$770,"*T*")&gt;0,DP18&lt;30)),AND('Eval-Avant action écologique'!$A$771=CS9,OR(COUNTIF('Eval-Avant action écologique'!$N$771:$P$771,"*T*")&gt;0,DP19&lt;30)),AND('Eval-Avant action écologique'!$A$772=CS9,OR(COUNTIF('Eval-Avant action écologique'!$N$772:$P$772,"*T*")&gt;0,DP20&lt;30)),AND('Eval-Avant action écologique'!$A$773=CS9,OR(COUNTIF('Eval-Avant action écologique'!$N$773:$P$773,"*T*")&gt;0,DP21&lt;30)),AND('Eval-Avant action écologique'!$A$774=CS9,OR(COUNTIF('Eval-Avant action écologique'!$N$774:$P$774,"*T*")&gt;0,DP22&lt;30)),AND('Eval-Avant action écologique'!$A$775=CS9,OR(COUNTIF('Eval-Avant action écologique'!$N$775:$P$775,"*T*")&gt;0,DP23&lt;30)),AND('Eval-Avant action écologique'!$A$776=CS9,OR(COUNTIF('Eval-Avant action écologique'!$N$776:$P$776,"*T*")&gt;0,DP24&lt;30)),AND('Eval-Avant action écologique'!$A$777=CS9,OR(COUNTIF('Eval-Avant action écologique'!$N$777:$P$777,"*T*")&gt;0,DP25&lt;30)),AND('Eval-Avant action écologique'!$A$778=CS9,OR(COUNTIF('Eval-Avant action écologique'!$N$778:$P$778,"*T*")&gt;0,DP26&lt;30)),AND('Eval-Avant action écologique'!$A$779=CS9,OR(COUNTIF('Eval-Avant action écologique'!$N$779:$P$779,"*T*")&gt;0,DP27&lt;30)),AND('Eval-Avant action écologique'!$A$780=CS9,OR(COUNTIF('Eval-Avant action écologique'!$N$780:$P$780,"*T*")&gt;0,DP28&lt;30))),"",SUM(1*(SUMPRODUCT(('Eval-Avant action écologique'!$A$761:$A$780=CS9)*('Eval-Avant action écologique'!$N$761:$P$780="A"))),0.85*(SUMPRODUCT(('Eval-Avant action écologique'!$A$761:$A$780=CS9)*('Eval-Avant action écologique'!$N$761:$P$780="AL"))),0.7*(SUMPRODUCT(('Eval-Avant action écologique'!$A$761:$A$780=CS9)*('Eval-Avant action écologique'!$N$761:$P$780="LA"))),0.55*(SUMPRODUCT(('Eval-Avant action écologique'!$A$761:$A$780=CS9)*('Eval-Avant action écologique'!$N$761:$P$780="L"))),0.4*(SUMPRODUCT(('Eval-Avant action écologique'!$A$761:$A$780=CS9)*('Eval-Avant action écologique'!$N$761:$P$780="LS"))),0.25*(SUMPRODUCT(('Eval-Avant action écologique'!$A$761:$A$780=CS9)*('Eval-Avant action écologique'!$N$761:$P$780="SL"))),0.1*(SUMPRODUCT(('Eval-Avant action écologique'!$A$761:$A$780=CS9)*('Eval-Avant action écologique'!$N$761:$P$780="S"))))/(3*COUNTIF('Eval-Avant action écologique'!$A$761:$A$780,CS9))),"")</f>
        <v/>
      </c>
      <c r="DM9" s="214" t="str">
        <f>IF(COUNTIF('Eval-Avant action écologique'!$A$761:$A$780,CS9)&gt;0,IF(OR(AND('Eval-Avant action écologique'!$A$761=CS9,OR(COUNTIF('Eval-Avant action écologique'!$Q$761:$Y$761,"*T*")&gt;0,DP9&lt;120)),AND('Eval-Avant action écologique'!$A$762=CS9,OR(COUNTIF('Eval-Avant action écologique'!$Q$762:$Y$762,"*T*")&gt;0,DP10&lt;120)),AND('Eval-Avant action écologique'!$A$763=CS9,OR(COUNTIF('Eval-Avant action écologique'!$Q$763:$Y$763,"*T*")&gt;0,DP11&lt;120)),AND('Eval-Avant action écologique'!$A$764=CS9,OR(COUNTIF('Eval-Avant action écologique'!$Q$764:$Y$764,"*T*")&gt;0,DP12&lt;120)),AND('Eval-Avant action écologique'!$A$765=CS9,OR(COUNTIF('Eval-Avant action écologique'!$Q$765:$Y$765,"*T*")&gt;0,DP13&lt;120)),AND('Eval-Avant action écologique'!$A$766=CS9,OR(COUNTIF('Eval-Avant action écologique'!$Q$766:$Y$766,"*T*")&gt;0,DP14&lt;120)),AND('Eval-Avant action écologique'!$A$767=CS9,OR(COUNTIF('Eval-Avant action écologique'!$Q$767:$Y$767,"*T*")&gt;0,DP15&lt;120)),AND('Eval-Avant action écologique'!$A$768=CS9,OR(COUNTIF('Eval-Avant action écologique'!$Q$768:$Y$768,"*T*")&gt;0,DP16&lt;120)),AND('Eval-Avant action écologique'!$A$769=CS9,OR(COUNTIF('Eval-Avant action écologique'!$Q$769:$Y$769,"*T*")&gt;0,DP17&lt;120)),AND('Eval-Avant action écologique'!$A$770=CS9,OR(COUNTIF('Eval-Avant action écologique'!$Q$770:$Y$770,"*T*")&gt;0,DP18&lt;120)),AND('Eval-Avant action écologique'!$A$771=CS9,OR(COUNTIF('Eval-Avant action écologique'!$Q$771:$Y$771,"*T*")&gt;0,DP19&lt;120)),AND('Eval-Avant action écologique'!$A$772=CS9,OR(COUNTIF('Eval-Avant action écologique'!$Q$772:$Y$772,"*T*")&gt;0,DP20&lt;120)),AND('Eval-Avant action écologique'!$A$773=CS9,OR(COUNTIF('Eval-Avant action écologique'!$Q$773:$Y$773,"*T*")&gt;0,DP21&lt;120)),AND('Eval-Avant action écologique'!$A$774=CS9,OR(COUNTIF('Eval-Avant action écologique'!$Q$774:$Y$774,"*T*")&gt;0,DP22&lt;120)),AND('Eval-Avant action écologique'!$A$775=CS9,OR(COUNTIF('Eval-Avant action écologique'!$Q$775:$Y$775,"*T*")&gt;0,DP23&lt;120)),AND('Eval-Avant action écologique'!$A$776=CS9,OR(COUNTIF('Eval-Avant action écologique'!$Q$776:$Y$776,"*T*")&gt;0,DP24&lt;120)),AND('Eval-Avant action écologique'!$A$777=CS9,OR(COUNTIF('Eval-Avant action écologique'!$Q$777:$Y$777,"*T*")&gt;0,DP25&lt;120)),AND('Eval-Avant action écologique'!$A$778=CS9,OR(COUNTIF('Eval-Avant action écologique'!$Q$778:$Y$778,"*T*")&gt;0,DP26&lt;120)),AND('Eval-Avant action écologique'!$A$779=CS9,OR(COUNTIF('Eval-Avant action écologique'!$Q$779:$Y$779,"*T*")&gt;0,DP27&lt;120)),AND('Eval-Avant action écologique'!$A$780=CS9,OR(COUNTIF('Eval-Avant action écologique'!$Q$780:$Y$780,"*T*")&gt;0,DP28&lt;120))),"",SUM(1*(SUMPRODUCT(('Eval-Avant action écologique'!$A$761:$A$780=CS9)*('Eval-Avant action écologique'!$Q$761:$Y$780="A"))),0.85*(SUMPRODUCT(('Eval-Avant action écologique'!$A$761:$A$780=CS9)*('Eval-Avant action écologique'!$Q$761:$Y$780="AL"))),0.7*(SUMPRODUCT(('Eval-Avant action écologique'!$A$761:$A$780=CS9)*('Eval-Avant action écologique'!$Q$761:$Y$780="LA"))),0.55*(SUMPRODUCT(('Eval-Avant action écologique'!$A$761:$A$780=CS9)*('Eval-Avant action écologique'!$Q$761:$Y$780="L"))),0.4*(SUMPRODUCT(('Eval-Avant action écologique'!$A$761:$A$780=CS9)*('Eval-Avant action écologique'!$Q$761:$Y$780="LS"))),0.25*(SUMPRODUCT(('Eval-Avant action écologique'!$A$761:$A$780=CS9)*('Eval-Avant action écologique'!$Q$761:$Y$780="SL"))),0.1*(SUMPRODUCT(('Eval-Avant action écologique'!$A$761:$A$780=CS9)*('Eval-Avant action écologique'!$Q$761:$Y$780="S"))))/(9*COUNTIF('Eval-Avant action écologique'!$A$761:$A$780,CS9))),"")</f>
        <v/>
      </c>
      <c r="DN9" s="215"/>
      <c r="DO9" s="216">
        <f>'Eval-Avant action écologique'!$D$761</f>
        <v>1</v>
      </c>
      <c r="DP9" s="217" t="str">
        <f>IF(DQ9="C",0,IF(IF(COUNTIF('Eval-Avant action écologique'!$N$761:$Y$761,"=C")&gt;0,(COUNTA('Eval-Avant action écologique'!$N$761:$Y$761)-1)*10,COUNTA('Eval-Avant action écologique'!$N$761:$Y$761)*10)=0,"",IF(COUNTIF('Eval-Avant action écologique'!$N$761:$Y$761,"=C")&gt;0,(COUNTA('Eval-Avant action écologique'!$N$761:$Y$761)-1)*10,COUNTA('Eval-Avant action écologique'!$N$761:$Y$761)*10)))</f>
        <v/>
      </c>
      <c r="DQ9" s="217" t="str">
        <f>CONCATENATE('Eval-Avant action écologique'!$N$761,'Eval-Avant action écologique'!$O$761,'Eval-Avant action écologique'!$P$761,'Eval-Avant action écologique'!$Q$761,'Eval-Avant action écologique'!$R$761,'Eval-Avant action écologique'!$S$761,'Eval-Avant action écologique'!$T$761,'Eval-Avant action écologique'!$U$761,'Eval-Avant action écologique'!$V$761,'Eval-Avant action écologique'!$W$761,'Eval-Avant action écologique'!$X$761,'Eval-Avant action écologique'!$Y$761)</f>
        <v/>
      </c>
      <c r="DR9" s="217" t="str">
        <f t="shared" ref="DR9:DR28" si="12">IF(LEFT(DQ9,1)="S","",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f>
        <v/>
      </c>
      <c r="DS9" s="217" t="str">
        <f t="shared" ref="DS9:DS28" si="13">CONCATENATE(IF(LEFT(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1)="S",RIGHT(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LEN(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-1),""),SUBSTITUTE(SUBSTITUTE(SUBSTITUTE(SUBSTITUTE(SUBSTITUTE(SUBSTITUTE(SUBSTITUTE(SUBSTITUTE(SUBSTITUTE(SUBSTITUTE(RIGHT(DQ9,LEN(DQ9)-LEN(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TS","X"),"S",""),"SL",""),"LS",""),"L",""),"LA",""),"AL",""),"A",""),"C",""),"X","TS"))</f>
        <v/>
      </c>
      <c r="DT9" s="217" t="str">
        <f>IF(COUNTIF('Eval-Avant action écologique'!$N$761:$Y$761,"=C")&gt;0,"X","")</f>
        <v/>
      </c>
      <c r="DU9" s="217" t="str">
        <f t="shared" ref="DU9:DU28" si="14">IF(AND(DP9&lt;120,DT9&lt;&gt;"X"),"X","")</f>
        <v/>
      </c>
      <c r="DV9" s="218" t="str">
        <f t="shared" ref="DV9:DV28" si="15">IF(LEN(DQ9)=0,"",IF(DP9=0,"",IF(AND(LEN(DR9)/2*10=DP9,DU9="X"),"X","")))</f>
        <v/>
      </c>
      <c r="DW9" s="197"/>
      <c r="DY9" s="210">
        <v>1</v>
      </c>
      <c r="DZ9" s="211" t="str">
        <f>IF(COUNTIF('Eval-Avec act. écol. envisagée'!$A$761:$A$780,DY9)&gt;0,SUM(IF('Eval-Avec act. écol. envisagée'!$A$761=DY9,'Eval-Avec act. écol. envisagée'!$B$761,0),IF('Eval-Avec act. écol. envisagée'!$A$762=DY9, 'Eval-Avec act. écol. envisagée'!$B$762,0),IF('Eval-Avec act. écol. envisagée'!$A$763=DY9, 'Eval-Avec act. écol. envisagée'!$B$763,0),IF('Eval-Avec act. écol. envisagée'!$A$764=DY9, 'Eval-Avec act. écol. envisagée'!$B$764,0),IF('Eval-Avec act. écol. envisagée'!$A$765=DY9, 'Eval-Avec act. écol. envisagée'!$B$765,0),IF('Eval-Avec act. écol. envisagée'!$A$766=DY9, 'Eval-Avec act. écol. envisagée'!$B$766,0),IF('Eval-Avec act. écol. envisagée'!$A$767=DY9, 'Eval-Avec act. écol. envisagée'!$B$767,0),IF('Eval-Avec act. écol. envisagée'!$A$768=DY9, 'Eval-Avec act. écol. envisagée'!$B$768,0),IF('Eval-Avec act. écol. envisagée'!$A$769=DY9, 'Eval-Avec act. écol. envisagée'!$B$769,0),IF('Eval-Avec act. écol. envisagée'!$A$770=DY9, 'Eval-Avec act. écol. envisagée'!$B$770,0),IF('Eval-Avec act. écol. envisagée'!$A$771=DY9, 'Eval-Avec act. écol. envisagée'!$B$771,0),IF('Eval-Avec act. écol. envisagée'!$A$772=DY9, 'Eval-Avec act. écol. envisagée'!$B$772,0),IF('Eval-Avec act. écol. envisagée'!$A$773=DY9, 'Eval-Avec act. écol. envisagée'!$B$773,0),IF('Eval-Avec act. écol. envisagée'!$A$774=DY9, 'Eval-Avec act. écol. envisagée'!$B$774,0),IF('Eval-Avec act. écol. envisagée'!$A$775=DY9, 'Eval-Avec act. écol. envisagée'!$B$775,0),IF('Eval-Avec act. écol. envisagée'!$A$776=DY9, 'Eval-Avec act. écol. envisagée'!$B$776,0),IF('Eval-Avec act. écol. envisagée'!$A$777=DY9, 'Eval-Avec act. écol. envisagée'!$B$777,0),IF('Eval-Avec act. écol. envisagée'!$A$778=DY9, 'Eval-Avec act. écol. envisagée'!$B$778,0),IF('Eval-Avec act. écol. envisagée'!$A$779=DY9, 'Eval-Avec act. écol. envisagée'!$B$779,0),IF('Eval-Avec act. écol. envisagée'!$A$780=DY9, 'Eval-Avec act. écol. envisagée'!$B$780,0))/COUNTIF('Eval-Avec act. écol. envisagée'!$A$761:$A$780,DY9),"")</f>
        <v/>
      </c>
      <c r="EA9" s="212" t="str">
        <f>IF(COUNTIF('Eval-Avec act. écol. envisagée'!$A$761:$A$780,DY9)&gt;0,COUNTIF('Eval-Avec act. écol. envisagée'!$A$761:$A$780,DY9),"")</f>
        <v/>
      </c>
      <c r="EB9" s="211" t="str">
        <f>IF(COUNTIF('Eval-Avec act. écol. envisagée'!$A$761:$A$780,DY9)&gt;0,IF(OR(AND('Eval-Avec act. écol. envisagée'!$A$761=DY9, 'Eval-Avec act. écol. envisagée'!$G$761=""),AND('Eval-Avec act. écol. envisagée'!$A$762=DY9, 'Eval-Avec act. écol. envisagée'!$G$762=""),AND('Eval-Avec act. écol. envisagée'!$A$763=DY9, 'Eval-Avec act. écol. envisagée'!$G$763=""),AND('Eval-Avec act. écol. envisagée'!$A$764=DY9, 'Eval-Avec act. écol. envisagée'!$G$764=""),AND('Eval-Avec act. écol. envisagée'!$A$765=DY9, 'Eval-Avec act. écol. envisagée'!$G$765=""),AND('Eval-Avec act. écol. envisagée'!$A$766=DY9, 'Eval-Avec act. écol. envisagée'!$G$766=""),AND('Eval-Avec act. écol. envisagée'!$A$767=DY9, 'Eval-Avec act. écol. envisagée'!$G$767=""),AND('Eval-Avec act. écol. envisagée'!$A$768=DY9, 'Eval-Avec act. écol. envisagée'!$G$768=""),AND('Eval-Avec act. écol. envisagée'!$A$769=DY9, 'Eval-Avec act. écol. envisagée'!$G$769=""),AND('Eval-Avec act. écol. envisagée'!$A$770=DY9, 'Eval-Avec act. écol. envisagée'!$G$770=""),AND('Eval-Avec act. écol. envisagée'!$A$771=DY9, 'Eval-Avec act. écol. envisagée'!$G$771=""),AND('Eval-Avec act. écol. envisagée'!$A$772=DY9, 'Eval-Avec act. écol. envisagée'!$G$772=""),AND('Eval-Avec act. écol. envisagée'!$A$773=DY9, 'Eval-Avec act. écol. envisagée'!$G$773=""),AND('Eval-Avec act. écol. envisagée'!$A$774=DY9, 'Eval-Avec act. écol. envisagée'!$G$774=""),AND('Eval-Avec act. écol. envisagée'!$A$775=DY9, 'Eval-Avec act. écol. envisagée'!$G$775=""),AND('Eval-Avec act. écol. envisagée'!$A$776=DY9, 'Eval-Avec act. écol. envisagée'!$G$776=""),AND('Eval-Avec act. écol. envisagée'!$A$777=DY9, 'Eval-Avec act. écol. envisagée'!$G$777=""),AND('Eval-Avec act. écol. envisagée'!$A$778=DY9, 'Eval-Avec act. écol. envisagée'!$G$778=""),AND('Eval-Avec act. écol. envisagée'!$A$779=DY9, 'Eval-Avec act. écol. envisagée'!$G$779=""),AND('Eval-Avec act. écol. envisagée'!$A$780=DY9, 'Eval-Avec act. écol. envisagée'!$G$780="")),"",SUM(IF('Eval-Avec act. écol. envisagée'!$A$761=DY9,'Eval-Avec act. écol. envisagée'!$G$761,0),IF('Eval-Avec act. écol. envisagée'!$A$762=DY9,'Eval-Avec act. écol. envisagée'!$G$762,0),IF('Eval-Avec act. écol. envisagée'!$A$763=DY9,'Eval-Avec act. écol. envisagée'!$G$763,0),IF('Eval-Avec act. écol. envisagée'!$A$764=DY9,'Eval-Avec act. écol. envisagée'!$G$764,0),IF('Eval-Avec act. écol. envisagée'!$A$765=DY9,'Eval-Avec act. écol. envisagée'!$G$765,0),IF('Eval-Avec act. écol. envisagée'!$A$766=DY9,'Eval-Avec act. écol. envisagée'!$G$766,0),IF('Eval-Avec act. écol. envisagée'!$A$767=DY9,'Eval-Avec act. écol. envisagée'!$G$767,0),IF('Eval-Avec act. écol. envisagée'!$A$768=DY9,'Eval-Avec act. écol. envisagée'!$G$768,0),IF('Eval-Avec act. écol. envisagée'!$A$769=DY9,'Eval-Avec act. écol. envisagée'!$G$769,0),IF('Eval-Avec act. écol. envisagée'!$A$770=DY9,'Eval-Avec act. écol. envisagée'!$G$770,0),IF('Eval-Avec act. écol. envisagée'!$A$771=DY9,'Eval-Avec act. écol. envisagée'!$G$771,0),IF('Eval-Avec act. écol. envisagée'!$A$772=DY9,'Eval-Avec act. écol. envisagée'!$G$772,0),IF('Eval-Avec act. écol. envisagée'!$A$773=DY9,'Eval-Avec act. écol. envisagée'!$G$773,0),IF('Eval-Avec act. écol. envisagée'!$A$774=DY9,'Eval-Avec act. écol. envisagée'!$G$774,0),IF('Eval-Avec act. écol. envisagée'!$A$775=DY9,'Eval-Avec act. écol. envisagée'!$G$775,0), IF('Eval-Avec act. écol. envisagée'!$A$776=DY9,'Eval-Avec act. écol. envisagée'!$G$776,0), IF('Eval-Avec act. écol. envisagée'!$A$777=DY9,'Eval-Avec act. écol. envisagée'!$G$777,0), IF('Eval-Avec act. écol. envisagée'!$A$778=DY9,'Eval-Avec act. écol. envisagée'!$G$778,0), IF('Eval-Avec act. écol. envisagée'!$A$779=DY9,'Eval-Avec act. écol. envisagée'!$G$779,0), IF('Eval-Avec act. écol. envisagée'!$A$780=DY9,'Eval-Avec act. écol. envisagée'!$G$780,0))/ COUNTIF('Eval-Avec act. écol. envisagée'!$A$761:$A$780,DY9)),"")</f>
        <v/>
      </c>
      <c r="EC9" s="212" t="str">
        <f>IF(COUNTIF('Eval-Avec act. écol. envisagée'!$A$761:$A$780,DY9)&gt;0,IF(SUM(IF('Eval-Avec act. écol. envisagée'!$A$761=DY9,COUNTA('Eval-Avec act. écol. envisagée'!$H$761),0),IF('Eval-Avec act. écol. envisagée'!$A$762=DY9,COUNTA('Eval-Avec act. écol. envisagée'!$H$762),0),IF('Eval-Avec act. écol. envisagée'!$A$763=DY9,COUNTA('Eval-Avec act. écol. envisagée'!$H$763),0),IF('Eval-Avec act. écol. envisagée'!$A$764=DY9,COUNTA('Eval-Avec act. écol. envisagée'!$H$764),0),IF('Eval-Avec act. écol. envisagée'!$A$765=DY9,COUNTA('Eval-Avec act. écol. envisagée'!$H$765),0),IF('Eval-Avec act. écol. envisagée'!$A$766=DY9,COUNTA('Eval-Avec act. écol. envisagée'!$H$766),0),IF('Eval-Avec act. écol. envisagée'!$A$767=DY9,COUNTA('Eval-Avec act. écol. envisagée'!$H$767),0),IF('Eval-Avec act. écol. envisagée'!$A$768=DY9,COUNTA('Eval-Avec act. écol. envisagée'!$H$768),0),IF('Eval-Avec act. écol. envisagée'!$A$769=DY9,COUNTA('Eval-Avec act. écol. envisagée'!$H$769),0),IF('Eval-Avec act. écol. envisagée'!$A$770=DY9,COUNTA('Eval-Avec act. écol. envisagée'!$H$770),0),IF('Eval-Avec act. écol. envisagée'!$A$771=DY9,COUNTA('Eval-Avec act. écol. envisagée'!$H$771),0),IF('Eval-Avec act. écol. envisagée'!$A$772=DY9,COUNTA('Eval-Avec act. écol. envisagée'!$H$772),0),IF('Eval-Avec act. écol. envisagée'!$A$773=DY9,COUNTA('Eval-Avec act. écol. envisagée'!$H$773),0),IF('Eval-Avec act. écol. envisagée'!$A$774=DY9,COUNTA('Eval-Avec act. écol. envisagée'!$H$774),0),IF('Eval-Avec act. écol. envisagée'!$A$775=DY9,COUNTA('Eval-Avec act. écol. envisagée'!$H$775),0),IF('Eval-Avec act. écol. envisagée'!$A$776=DY9,COUNTA('Eval-Avec act. écol. envisagée'!$H$776),0),IF('Eval-Avec act. écol. envisagée'!$A$777=DY9,COUNTA('Eval-Avec act. écol. envisagée'!$H$777),0),IF('Eval-Avec act. écol. envisagée'!$A$778=DY9,COUNTA('Eval-Avec act. écol. envisagée'!$H$778),0),IF('Eval-Avec act. écol. envisagée'!$A$779=DY9,COUNTA('Eval-Avec act. écol. envisagée'!$H$779),0),IF('Eval-Avec act. écol. envisagée'!$A$780=DY9,COUNTA('Eval-Avec act. écol. envisagée'!$H$780),0))&gt;0,"X",0),"")</f>
        <v/>
      </c>
      <c r="ED9" s="213" t="str">
        <f>IF(COUNTIF('Eval-Avec act. écol. envisagée'!$A$761:$A$780,DY9)&gt;0,IF(SUM(IF('Eval-Avec act. écol. envisagée'!$A$761=DY9,COUNTA('Eval-Avec act. écol. envisagée'!$I$761),0),IF('Eval-Avec act. écol. envisagée'!$A$762=DY9,COUNTA('Eval-Avec act. écol. envisagée'!$I$762),0),IF('Eval-Avec act. écol. envisagée'!$A$763=DY9,COUNTA('Eval-Avec act. écol. envisagée'!$I$763),0),IF('Eval-Avec act. écol. envisagée'!$A$764=DY9,COUNTA('Eval-Avec act. écol. envisagée'!$I$764),0),IF('Eval-Avec act. écol. envisagée'!$A$765=DY9,COUNTA('Eval-Avec act. écol. envisagée'!$I$765),0),IF('Eval-Avec act. écol. envisagée'!$A$766=DY9,COUNTA('Eval-Avec act. écol. envisagée'!$I$766),0),IF('Eval-Avec act. écol. envisagée'!$A$767=DY9,COUNTA('Eval-Avec act. écol. envisagée'!$I$767),0),IF('Eval-Avec act. écol. envisagée'!$A$768=DY9,COUNTA('Eval-Avec act. écol. envisagée'!$I$768),0),IF('Eval-Avec act. écol. envisagée'!$A$769=DY9,COUNTA('Eval-Avec act. écol. envisagée'!$I$769),0),IF('Eval-Avec act. écol. envisagée'!$A$770=DY9,COUNTA('Eval-Avec act. écol. envisagée'!$I$770),0),IF('Eval-Avec act. écol. envisagée'!$A$771=DY9,COUNTA('Eval-Avec act. écol. envisagée'!$I$771),0),IF('Eval-Avec act. écol. envisagée'!$A$772=DY9,COUNTA('Eval-Avec act. écol. envisagée'!$I$772),0),IF('Eval-Avec act. écol. envisagée'!$A$773=DY9,COUNTA('Eval-Avec act. écol. envisagée'!$I$773),0),IF('Eval-Avec act. écol. envisagée'!$A$774=DY9,COUNTA('Eval-Avec act. écol. envisagée'!$I$774),0),IF('Eval-Avec act. écol. envisagée'!$A$775=DY9,COUNTA('Eval-Avec act. écol. envisagée'!$I$775),0),IF('Eval-Avec act. écol. envisagée'!$A$776=DY9,COUNTA('Eval-Avec act. écol. envisagée'!$I$776),0),IF('Eval-Avec act. écol. envisagée'!$A$777=DY9,COUNTA('Eval-Avec act. écol. envisagée'!$I$777),0),IF('Eval-Avec act. écol. envisagée'!$A$778=DY9,COUNTA('Eval-Avec act. écol. envisagée'!$I$778),0),IF('Eval-Avec act. écol. envisagée'!$A$779=DY9,COUNTA('Eval-Avec act. écol. envisagée'!$I$779),0),IF('Eval-Avec act. écol. envisagée'!$A$780=DY9,COUNTA('Eval-Avec act. écol. envisagée'!$I$780),0))&gt;0,"X",0),"")</f>
        <v/>
      </c>
      <c r="EE9" s="213" t="str">
        <f>IF(COUNTIF('Eval-Avec act. écol. envisagée'!$A$761:$A$780,DY9)&gt;0,IF(SUM(IF('Eval-Avec act. écol. envisagée'!$A$761=DY9,COUNTA('Eval-Avec act. écol. envisagée'!$J$761),0),IF('Eval-Avec act. écol. envisagée'!$A$762=DY9,COUNTA('Eval-Avec act. écol. envisagée'!$J$762),0),IF('Eval-Avec act. écol. envisagée'!$A$763=DY9,COUNTA('Eval-Avec act. écol. envisagée'!$J$763),0),IF('Eval-Avec act. écol. envisagée'!$A$764=DY9,COUNTA('Eval-Avec act. écol. envisagée'!$J$764),0),IF('Eval-Avec act. écol. envisagée'!$A$765=DY9,COUNTA('Eval-Avec act. écol. envisagée'!$J$765),0),IF('Eval-Avec act. écol. envisagée'!$A$766=DY9,COUNTA('Eval-Avec act. écol. envisagée'!$J$766),0),IF('Eval-Avec act. écol. envisagée'!$A$767=DY9,COUNTA('Eval-Avec act. écol. envisagée'!$J$767),0),IF('Eval-Avec act. écol. envisagée'!$A$768=DY9,COUNTA('Eval-Avec act. écol. envisagée'!$J$768),0),IF('Eval-Avec act. écol. envisagée'!$A$769=DY9,COUNTA('Eval-Avec act. écol. envisagée'!$J$769),0),IF('Eval-Avec act. écol. envisagée'!$A$770=DY9,COUNTA('Eval-Avec act. écol. envisagée'!$J$770),0),IF('Eval-Avec act. écol. envisagée'!$A$771=DY9,COUNTA('Eval-Avec act. écol. envisagée'!$J$771),0),IF('Eval-Avec act. écol. envisagée'!$A$772=DY9,COUNTA('Eval-Avec act. écol. envisagée'!$J$772),0),IF('Eval-Avec act. écol. envisagée'!$A$773=DY9,COUNTA('Eval-Avec act. écol. envisagée'!$J$773),0),IF('Eval-Avec act. écol. envisagée'!$A$774=DY9,COUNTA('Eval-Avec act. écol. envisagée'!$J$774),0),IF('Eval-Avec act. écol. envisagée'!$A$775=DY9,COUNTA('Eval-Avec act. écol. envisagée'!$J$775),0),IF('Eval-Avec act. écol. envisagée'!$A$776=DY9,COUNTA('Eval-Avec act. écol. envisagée'!$J$776),0),IF('Eval-Avec act. écol. envisagée'!$A$777=DY9,COUNTA('Eval-Avec act. écol. envisagée'!$J$777),0),IF('Eval-Avec act. écol. envisagée'!$A$778=DY9,COUNTA('Eval-Avec act. écol. envisagée'!$J$778),0),IF('Eval-Avec act. écol. envisagée'!$A$779=DY9,COUNTA('Eval-Avec act. écol. envisagée'!$J$779),0),IF('Eval-Avec act. écol. envisagée'!$A$780=DY9,COUNTA('Eval-Avec act. écol. envisagée'!$J$780),0))&gt;0,"X",0),"")</f>
        <v/>
      </c>
      <c r="EF9" s="213" t="str">
        <f>IF(COUNTIF('Eval-Avec act. écol. envisagée'!$A$761:$A$780,DY9)&gt;0,IF(SUM(IF('Eval-Avec act. écol. envisagée'!$A$761=DY9,COUNTA('Eval-Avec act. écol. envisagée'!$K$761),0),IF('Eval-Avec act. écol. envisagée'!$A$762=DY9,COUNTA('Eval-Avec act. écol. envisagée'!$K$762),0),IF('Eval-Avec act. écol. envisagée'!$A$763=DY9,COUNTA('Eval-Avec act. écol. envisagée'!$K$763),0),IF('Eval-Avec act. écol. envisagée'!$A$764=DY9,COUNTA('Eval-Avec act. écol. envisagée'!$K$764),0),IF('Eval-Avec act. écol. envisagée'!$A$765=DY9,COUNTA('Eval-Avec act. écol. envisagée'!$K$765),0),IF('Eval-Avec act. écol. envisagée'!$A$766=DY9,COUNTA('Eval-Avec act. écol. envisagée'!$K$766),0),IF('Eval-Avec act. écol. envisagée'!$A$767=DY9,COUNTA('Eval-Avec act. écol. envisagée'!$K$767),0),IF('Eval-Avec act. écol. envisagée'!$A$768=DY9,COUNTA('Eval-Avec act. écol. envisagée'!$K$768),0),IF('Eval-Avec act. écol. envisagée'!$A$769=DY9,COUNTA('Eval-Avec act. écol. envisagée'!$K$769),0),IF('Eval-Avec act. écol. envisagée'!$A$770=DY9,COUNTA('Eval-Avec act. écol. envisagée'!$K$770),0),IF('Eval-Avec act. écol. envisagée'!$A$771=DY9,COUNTA('Eval-Avec act. écol. envisagée'!$K$771),0),IF('Eval-Avec act. écol. envisagée'!$A$772=DY9,COUNTA('Eval-Avec act. écol. envisagée'!$K$772),0),IF('Eval-Avec act. écol. envisagée'!$A$773=DY9,COUNTA('Eval-Avec act. écol. envisagée'!$K$773),0),IF('Eval-Avec act. écol. envisagée'!$A$774=DY9,COUNTA('Eval-Avec act. écol. envisagée'!$K$774),0),IF('Eval-Avec act. écol. envisagée'!$A$775=DY9,COUNTA('Eval-Avec act. écol. envisagée'!$K$775),0),IF('Eval-Avec act. écol. envisagée'!$A$776=DY9,COUNTA('Eval-Avec act. écol. envisagée'!$K$776),0),IF('Eval-Avec act. écol. envisagée'!$A$777=DY9,COUNTA('Eval-Avec act. écol. envisagée'!$K$777),0),IF('Eval-Avec act. écol. envisagée'!$A$778=DY9,COUNTA('Eval-Avec act. écol. envisagée'!$K$778),0),IF('Eval-Avec act. écol. envisagée'!$A$779=DY9,COUNTA('Eval-Avec act. écol. envisagée'!$K$779),0),IF('Eval-Avec act. écol. envisagée'!$A$780=DY9,COUNTA('Eval-Avec act. écol. envisagée'!$K$780),0))&gt;0,"X",0),"")</f>
        <v/>
      </c>
      <c r="EG9" s="211" t="str">
        <f>IF(COUNTIF('Eval-Avec act. écol. envisagée'!$A$761:$A$780,DY9)&gt;0,IF(OR(AND('Eval-Avec act. écol. envisagée'!$A$761=DY9,'Eval-Avec act. écol. envisagée'!$L$761&lt;120,'Eval-Avec act. écol. envisagée'!$L$761&gt;=EV9),AND('Eval-Avec act. écol. envisagée'!$A$762=DY9,'Eval-Avec act. écol. envisagée'!$L$762&lt;120,'Eval-Avec act. écol. envisagée'!$L$762&gt;=EV10),AND('Eval-Avec act. écol. envisagée'!$A$763=DY9,'Eval-Avec act. écol. envisagée'!$L$763&lt;120,'Eval-Avec act. écol. envisagée'!$L$763&gt;=EV11),AND('Eval-Avec act. écol. envisagée'!$A$764=DY9,'Eval-Avec act. écol. envisagée'!$L$764&lt;120,'Eval-Avec act. écol. envisagée'!$L$764&gt;=EV12),AND('Eval-Avec act. écol. envisagée'!$A$765=DY9,'Eval-Avec act. écol. envisagée'!$L$765&lt;120,'Eval-Avec act. écol. envisagée'!$L$765&gt;=EV13),AND('Eval-Avec act. écol. envisagée'!$A$766=DY9,'Eval-Avec act. écol. envisagée'!$L$766&lt;120,'Eval-Avec act. écol. envisagée'!$L$766&gt;=EV14),AND('Eval-Avec act. écol. envisagée'!$A$767=DY9,'Eval-Avec act. écol. envisagée'!$L$767&lt;120,'Eval-Avec act. écol. envisagée'!$L$767&gt;=EV15),AND('Eval-Avec act. écol. envisagée'!$A$768=DY9,'Eval-Avec act. écol. envisagée'!$L$768&lt;120,'Eval-Avec act. écol. envisagée'!$L$768&gt;=EV16),AND('Eval-Avec act. écol. envisagée'!$A$769=DY9,'Eval-Avec act. écol. envisagée'!$L$769&lt;120,'Eval-Avec act. écol. envisagée'!$L$769&gt;=EV17),AND('Eval-Avec act. écol. envisagée'!$A$770=DY9,'Eval-Avec act. écol. envisagée'!$L$770&lt;120,'Eval-Avec act. écol. envisagée'!$L$770&gt;=EV18),AND('Eval-Avec act. écol. envisagée'!$A$771=DY9,'Eval-Avec act. écol. envisagée'!$L$771&lt;120,'Eval-Avec act. écol. envisagée'!$L$771&gt;=EV19),AND('Eval-Avec act. écol. envisagée'!$A$772=DY9,'Eval-Avec act. écol. envisagée'!$L$772&lt;120,'Eval-Avec act. écol. envisagée'!$L$772&gt;=EV20),AND('Eval-Avec act. écol. envisagée'!$A$773=DY9,'Eval-Avec act. écol. envisagée'!$L$773&lt;120,'Eval-Avec act. écol. envisagée'!$L$773&gt;=EV21),AND('Eval-Avec act. écol. envisagée'!$A$774=DY9,'Eval-Avec act. écol. envisagée'!$L$774&lt;120,'Eval-Avec act. écol. envisagée'!$L$774&gt;=EV22),AND('Eval-Avec act. écol. envisagée'!$A$775=DY9,'Eval-Avec act. écol. envisagée'!$L$775&lt;120,'Eval-Avec act. écol. envisagée'!$L$775&gt;=EV23),AND('Eval-Avec act. écol. envisagée'!$A$776=DY9,'Eval-Avec act. écol. envisagée'!$L$776&lt;120,'Eval-Avec act. écol. envisagée'!$L$776&gt;=EV24),AND('Eval-Avec act. écol. envisagée'!$A$777=DY9,'Eval-Avec act. écol. envisagée'!$L$777&lt;120,'Eval-Avec act. écol. envisagée'!$L$777&gt;=EV25),AND('Eval-Avec act. écol. envisagée'!$A$778=DY9,'Eval-Avec act. écol. envisagée'!$L$778&lt;120,'Eval-Avec act. écol. envisagée'!$L$778&gt;=EV26),AND('Eval-Avec act. écol. envisagée'!$A$779=DY9,'Eval-Avec act. écol. envisagée'!$L$779&lt;120,'Eval-Avec act. écol. envisagée'!$L$779&gt;=EV27),AND('Eval-Avec act. écol. envisagée'!$A$780=DY9,'Eval-Avec act. écol. envisagée'!$L$780&lt;120,'Eval-Avec act. écol. envisagée'!$L$780&gt;=EV28)),"",SUM(IF('Eval-Avec act. écol. envisagée'!$A$761=DY9,'Eval-Avec act. écol. envisagée'!$L$761,0),IF('Eval-Avec act. écol. envisagée'!$A$762=DY9,'Eval-Avec act. écol. envisagée'!$L$762,0),IF('Eval-Avec act. écol. envisagée'!$A$763=DY9,'Eval-Avec act. écol. envisagée'!$L$763,0),IF('Eval-Avec act. écol. envisagée'!$A$764=DY9,'Eval-Avec act. écol. envisagée'!$L$764,0),IF('Eval-Avec act. écol. envisagée'!$A$765=DY9,'Eval-Avec act. écol. envisagée'!$L$765,0),IF('Eval-Avec act. écol. envisagée'!$A$766=DY9,'Eval-Avec act. écol. envisagée'!$L$766,0),IF('Eval-Avec act. écol. envisagée'!$A$767=DY9,'Eval-Avec act. écol. envisagée'!$L$767,0),IF('Eval-Avec act. écol. envisagée'!$A$768=DY9,'Eval-Avec act. écol. envisagée'!$L$768,0),IF('Eval-Avec act. écol. envisagée'!$A$769=DY9,'Eval-Avec act. écol. envisagée'!$L$769,0),IF('Eval-Avec act. écol. envisagée'!$A$770=DY9,'Eval-Avec act. écol. envisagée'!$L$770,0),IF('Eval-Avec act. écol. envisagée'!$A$771=DY9,'Eval-Avec act. écol. envisagée'!$L$771,0),IF('Eval-Avec act. écol. envisagée'!$A$772=DY9,'Eval-Avec act. écol. envisagée'!$L$772,0),IF('Eval-Avec act. écol. envisagée'!$A$773=DY9,'Eval-Avec act. écol. envisagée'!$L$773,0),IF('Eval-Avec act. écol. envisagée'!$A$774=DY9,'Eval-Avec act. écol. envisagée'!$L$774,0),IF('Eval-Avec act. écol. envisagée'!$A$775=DY9,'Eval-Avec act. écol. envisagée'!$L$775,0),IF('Eval-Avec act. écol. envisagée'!$A$776=DY9,'Eval-Avec act. écol. envisagée'!$L$776,0),IF('Eval-Avec act. écol. envisagée'!$A$777=DY9,'Eval-Avec act. écol. envisagée'!$L$777,0),IF('Eval-Avec act. écol. envisagée'!$A$778=DY9,'Eval-Avec act. écol. envisagée'!$L$778,0),IF('Eval-Avec act. écol. envisagée'!$A$779=DY9,'Eval-Avec act. écol. envisagée'!$L$779,0),IF('Eval-Avec act. écol. envisagée'!$A$780=DY9,'Eval-Avec act. écol. envisagée'!$L$780,0))/ COUNTIF('Eval-Avec act. écol. envisagée'!$A$761:$A$780,DY9)),"")</f>
        <v/>
      </c>
      <c r="EH9" s="211" t="str">
        <f>IF(COUNTIF('Eval-Avec act. écol. envisagée'!$A$761:$A$780,DY9)&gt;0,IF(OR(AND('Eval-Avec act. écol. envisagée'!$A$761=DY9, EV9&lt;120),AND(EV10&lt;120),AND(EV11&lt;120),AND(EV12&lt;120),AND(EV13&lt;120),AND(EV14&lt;120),AND(EV15&lt;120),AND(EV16&lt;120),AND(EV17&lt;120),AND(EV18&lt;120),AND(EV19&lt;120),AND(EV20&lt;120),AND(EV21&lt;120),AND(EV22&lt;120),AND(EV23&lt;120),AND(EV24&lt;120),AND(EV25&lt;120),AND(EV26&lt;120),AND(EV27&lt;120),AND(EV28&lt;120)),"",SUM(IF('Eval-Avec act. écol. envisagée'!$A$761=DY9,'Eval-Avec act. écol. envisagée'!$M$761,0),IF('Eval-Avec act. écol. envisagée'!$A$762=DY9,'Eval-Avec act. écol. envisagée'!$M$762,0),IF('Eval-Avec act. écol. envisagée'!$A$763=DY9,'Eval-Avec act. écol. envisagée'!$M$763,0),IF('Eval-Avec act. écol. envisagée'!$A$764=DY9,'Eval-Avec act. écol. envisagée'!$M$764,0),IF('Eval-Avec act. écol. envisagée'!$A$765=DY9,'Eval-Avec act. écol. envisagée'!$M$765,0),IF('Eval-Avec act. écol. envisagée'!$A$766=DY9,'Eval-Avec act. écol. envisagée'!$M$766,0),IF('Eval-Avec act. écol. envisagée'!$A$767=DY9,'Eval-Avec act. écol. envisagée'!$M$767,0),IF('Eval-Avec act. écol. envisagée'!$A$768=DY9,'Eval-Avec act. écol. envisagée'!$M$768,0),IF('Eval-Avec act. écol. envisagée'!$A$769=DY9,'Eval-Avec act. écol. envisagée'!$M$769,0),IF('Eval-Avec act. écol. envisagée'!$A$770=DY9,'Eval-Avec act. écol. envisagée'!$M$770,0),IF('Eval-Avec act. écol. envisagée'!$A$771=DY9,'Eval-Avec act. écol. envisagée'!$M$771,0),IF('Eval-Avec act. écol. envisagée'!$A$772=DY9,'Eval-Avec act. écol. envisagée'!$M$772,0),IF('Eval-Avec act. écol. envisagée'!$A$773=DY9,'Eval-Avec act. écol. envisagée'!$M$773,0),IF('Eval-Avec act. écol. envisagée'!$A$774=DY9,'Eval-Avec act. écol. envisagée'!$M$774,0),IF('Eval-Avec act. écol. envisagée'!$A$775=DY9,'Eval-Avec act. écol. envisagée'!$M$775,0), IF('Eval-Avec act. écol. envisagée'!$A$776=DY9,'Eval-Avec act. écol. envisagée'!$M$776,0), IF('Eval-Avec act. écol. envisagée'!$A$777=DY9,'Eval-Avec act. écol. envisagée'!$M$777,0), IF('Eval-Avec act. écol. envisagée'!$A$778=DY9,'Eval-Avec act. écol. envisagée'!$M$778,0), IF('Eval-Avec act. écol. envisagée'!$A$779=DY9,'Eval-Avec act. écol. envisagée'!$M$779,0), IF('Eval-Avec act. écol. envisagée'!$A$780=DY9,'Eval-Avec act. écol. envisagée'!$M$780,0))/COUNTIF('Eval-Avec act. écol. envisagée'!$A$761:$A$780,DY9)),"")</f>
        <v/>
      </c>
      <c r="EI9" s="211" t="str">
        <f>IF(COUNTIF('Eval-Avec act. écol. envisagée'!$A$761:$A$780,DY9)&gt;0,SUM(IF('Eval-Avec act. écol. envisagée'!$A$761=DY9,LEN(SUBSTITUTE((SUBSTITUTE(EX9,"TM","")),"TS",""))*10/2,0),IF('Eval-Avec act. écol. envisagée'!$A$762=DY9,LEN(SUBSTITUTE((SUBSTITUTE(EX10,"TM","")),"TS",""))*10/2,0),IF('Eval-Avec act. écol. envisagée'!$A$763=DY9,LEN(SUBSTITUTE((SUBSTITUTE(EX11,"TM","")),"TS",""))*10/2,0),IF('Eval-Avec act. écol. envisagée'!$A$764=DY9,LEN(SUBSTITUTE((SUBSTITUTE(EX12,"TM","")),"TS",""))*10/2,0),IF('Eval-Avec act. écol. envisagée'!$A$765=DY9,LEN(SUBSTITUTE((SUBSTITUTE(EX13,"TM","")),"TS",""))*10/2,0),IF('Eval-Avec act. écol. envisagée'!$A$766=DY9,LEN(SUBSTITUTE((SUBSTITUTE(EX14,"TM","")),"TS",""))*10/2,0),IF('Eval-Avec act. écol. envisagée'!$A$767=DY9,LEN(SUBSTITUTE((SUBSTITUTE(EX15,"TM","")),"TS",""))*10/2,0),IF('Eval-Avec act. écol. envisagée'!$A$768=DY9,LEN(SUBSTITUTE((SUBSTITUTE(EX16,"TM","")),"TS",""))*10/2,0),IF('Eval-Avec act. écol. envisagée'!$A$769=DY9,LEN(SUBSTITUTE((SUBSTITUTE(EX17,"TM","")),"TS",""))*10/2,0),IF('Eval-Avec act. écol. envisagée'!$A$770=DY9,LEN(SUBSTITUTE((SUBSTITUTE(EX18,"TM","")),"TS",""))*10/2,0),IF('Eval-Avec act. écol. envisagée'!$A$771=DY9,LEN(SUBSTITUTE((SUBSTITUTE(EX19,"TM","")),"TS",""))*10/2,0),IF('Eval-Avec act. écol. envisagée'!$A$772=DY9,LEN(SUBSTITUTE((SUBSTITUTE(EX20,"TM","")),"TS",""))*10/2,0),IF('Eval-Avec act. écol. envisagée'!$A$773=DY9,LEN(SUBSTITUTE((SUBSTITUTE(EX21,"TM","")),"TS",""))*10/2,0),IF('Eval-Avec act. écol. envisagée'!$A$774=DY9,LEN(SUBSTITUTE((SUBSTITUTE(EX22,"TM","")),"TS",""))*10/2,0),IF('Eval-Avec act. écol. envisagée'!$A$775=DY9,LEN(SUBSTITUTE((SUBSTITUTE(EX23,"TM","")),"TS",""))*10/2,0),IF('Eval-Avec act. écol. envisagée'!$A$776=DY9,LEN(SUBSTITUTE((SUBSTITUTE(EX24,"TM","")),"TS",""))*10/2,0),IF('Eval-Avec act. écol. envisagée'!$A$777=DY9,LEN(SUBSTITUTE((SUBSTITUTE(EX25,"TM","")),"TS",""))*10/2,0),IF('Eval-Avec act. écol. envisagée'!$A$778=DY9,LEN(SUBSTITUTE((SUBSTITUTE(EX26,"TM","")),"TS",""))*10/2,0),IF('Eval-Avec act. écol. envisagée'!$A$779=DY9,LEN(SUBSTITUTE((SUBSTITUTE(EX27,"TM","")),"TS",""))*10/2,0),IF('Eval-Avec act. écol. envisagée'!$A$780=DY9,LEN(SUBSTITUTE((SUBSTITUTE(EX28,"TM","")),"TS",""))*10/2,0))/COUNTIF('Eval-Avec act. écol. envisagée'!$A$761:$A$780,DY9),"")</f>
        <v/>
      </c>
      <c r="EJ9" s="211" t="str">
        <f>IF(COUNTIF('Eval-Avec act. écol. envisagée'!$A$761:$A$780,DY9)&gt;0,SUM(IF('Eval-Avec act. écol. envisagée'!$A$761=DY9,LEN(SUBSTITUTE((SUBSTITUTE(EX9,"TF","")),"TS",""))*10/2,0),IF('Eval-Avec act. écol. envisagée'!$A$762=DY9,LEN(SUBSTITUTE((SUBSTITUTE(EX10,"TF","")),"TS",""))*10/2,0),IF('Eval-Avec act. écol. envisagée'!$A$763=DY9,LEN(SUBSTITUTE((SUBSTITUTE(EX11,"TF","")),"TS",""))*10/2,0),IF('Eval-Avec act. écol. envisagée'!$A$764=DY9,LEN(SUBSTITUTE((SUBSTITUTE(EX12,"TF","")),"TS",""))*10/2,0),IF('Eval-Avec act. écol. envisagée'!$A$765=DY9,LEN(SUBSTITUTE((SUBSTITUTE(EX13,"TF","")),"TS",""))*10/2,0),IF('Eval-Avec act. écol. envisagée'!$A$766=DY9,LEN(SUBSTITUTE((SUBSTITUTE(EX14,"TF","")),"TS",""))*10/2,0),IF('Eval-Avec act. écol. envisagée'!$A$767=DY9,LEN(SUBSTITUTE((SUBSTITUTE(EX15,"TF","")),"TS",""))*10/2,0),IF('Eval-Avec act. écol. envisagée'!$A$768=DY9,LEN(SUBSTITUTE((SUBSTITUTE(EX16,"TF","")),"TS",""))*10/2,0),IF('Eval-Avec act. écol. envisagée'!$A$769=DY9,LEN(SUBSTITUTE((SUBSTITUTE(EX17,"TF","")),"TS",""))*10/2,0),IF('Eval-Avec act. écol. envisagée'!$A$770=DY9,LEN(SUBSTITUTE((SUBSTITUTE(EX18,"TF","")),"TS",""))*10/2,0),IF('Eval-Avec act. écol. envisagée'!$A$771=DY9,LEN(SUBSTITUTE((SUBSTITUTE(EX19,"TF","")),"TS",""))*10/2,0),IF('Eval-Avec act. écol. envisagée'!$A$772=DY9,LEN(SUBSTITUTE((SUBSTITUTE(EX20,"TF","")),"TS",""))*10/2,0),IF('Eval-Avec act. écol. envisagée'!$A$773=DY9,LEN(SUBSTITUTE((SUBSTITUTE(EX21,"TF","")),"TS",""))*10/2,0),IF('Eval-Avec act. écol. envisagée'!$A$774=DY9,LEN(SUBSTITUTE((SUBSTITUTE(EX22,"TF","")),"TS",""))*10/2,0),IF('Eval-Avec act. écol. envisagée'!$A$775=DY9,LEN(SUBSTITUTE((SUBSTITUTE(EX23,"TF","")),"TS",""))*10/2,0),IF('Eval-Avec act. écol. envisagée'!$A$776=DY9,LEN(SUBSTITUTE((SUBSTITUTE(EX24,"TF","")),"TS",""))*10/2,0),IF('Eval-Avec act. écol. envisagée'!$A$777=DY9,LEN(SUBSTITUTE((SUBSTITUTE(EX25,"TF","")),"TS",""))*10/2,0),IF('Eval-Avec act. écol. envisagée'!$A$778=DY9,LEN(SUBSTITUTE((SUBSTITUTE(EX26,"TF","")),"TS",""))*10/2,0),IF('Eval-Avec act. écol. envisagée'!$A$779=DY9,LEN(SUBSTITUTE((SUBSTITUTE(EX27,"TF","")),"TS",""))*10/2,0),IF('Eval-Avec act. écol. envisagée'!$A$780=DY9,LEN(SUBSTITUTE((SUBSTITUTE(EX28,"TF","")),"TS",""))*10/2,0))/COUNTIF('Eval-Avec act. écol. envisagée'!$A$761:$A$780,DY9),"")</f>
        <v/>
      </c>
      <c r="EK9" s="211" t="str">
        <f>IF(COUNTIF('Eval-Avec act. écol. envisagée'!$A$761:$A$780,DY9)&gt;0,SUM(IF('Eval-Avec act. écol. envisagée'!$A$761=DY9,LEN(SUBSTITUTE((SUBSTITUTE(EX9,"TF","")),"TM",""))*10/2,0),IF('Eval-Avec act. écol. envisagée'!$A$762=DY9,LEN(SUBSTITUTE((SUBSTITUTE(EX10,"TF","")),"TM",""))*10/2,0),IF('Eval-Avec act. écol. envisagée'!$A$763=DY9,LEN(SUBSTITUTE((SUBSTITUTE(EX11,"TF","")),"TM",""))*10/2,0),IF('Eval-Avec act. écol. envisagée'!$A$764=DY9,LEN(SUBSTITUTE((SUBSTITUTE(EX12,"TF","")),"TM",""))*10/2,0),IF('Eval-Avec act. écol. envisagée'!$A$765=DY9,LEN(SUBSTITUTE((SUBSTITUTE(EX13,"TF","")),"TM",""))*10/2,0),IF('Eval-Avec act. écol. envisagée'!$A$766=DY9,LEN(SUBSTITUTE((SUBSTITUTE(EX14,"TF","")),"TM",""))*10/2,0),IF('Eval-Avec act. écol. envisagée'!$A$767=DY9,LEN(SUBSTITUTE((SUBSTITUTE(EX15,"TF","")),"TM",""))*10/2,0),IF('Eval-Avec act. écol. envisagée'!$A$768=DY9,LEN(SUBSTITUTE((SUBSTITUTE(EX16,"TF","")),"TM",""))*10/2,0),IF('Eval-Avec act. écol. envisagée'!$A$769=DY9,LEN(SUBSTITUTE((SUBSTITUTE(EX17,"TF","")),"TM",""))*10/2,0),IF('Eval-Avec act. écol. envisagée'!$A$770=DY9,LEN(SUBSTITUTE((SUBSTITUTE(EX18,"TF","")),"TM",""))*10/2,0),IF('Eval-Avec act. écol. envisagée'!$A$771=DY9,LEN(SUBSTITUTE((SUBSTITUTE(EX19,"TF","")),"TM",""))*10/2,0),IF('Eval-Avec act. écol. envisagée'!$A$772=DY9,LEN(SUBSTITUTE((SUBSTITUTE(EX20,"TF","")),"TM",""))*10/2,0),IF('Eval-Avec act. écol. envisagée'!$A$773=DY9,LEN(SUBSTITUTE((SUBSTITUTE(EX21,"TF","")),"TM",""))*10/2,0),IF('Eval-Avec act. écol. envisagée'!$A$774=DY9,LEN(SUBSTITUTE((SUBSTITUTE(EX22,"TF","")),"TM",""))*10/2,0),IF('Eval-Avec act. écol. envisagée'!$A$775=DY9,LEN(SUBSTITUTE((SUBSTITUTE(EX23,"TF","")),"TM",""))*10/2,0),IF('Eval-Avec act. écol. envisagée'!$A$776=DY9,LEN(SUBSTITUTE((SUBSTITUTE(EX24,"TF","")),"TM",""))*10/2,0),IF('Eval-Avec act. écol. envisagée'!$A$777=DY9,LEN(SUBSTITUTE((SUBSTITUTE(EX25,"TF","")),"TM",""))*10/2,0),IF('Eval-Avec act. écol. envisagée'!$A$778=DY9,LEN(SUBSTITUTE((SUBSTITUTE(EX26,"TF","")),"TM",""))*10/2,0),IF('Eval-Avec act. écol. envisagée'!$A$779=DY9,LEN(SUBSTITUTE((SUBSTITUTE(EX27,"TF","")),"TM",""))*10/2,0),IF('Eval-Avec act. écol. envisagée'!$A$780=DY9,LEN(SUBSTITUTE((SUBSTITUTE(EX28,"TF","")),"TM",""))*10/2,0))/COUNTIF('Eval-Avec act. écol. envisagée'!$A$761:$A$780,DY9),"")</f>
        <v/>
      </c>
      <c r="EL9" s="211" t="str">
        <f>IF(COUNTIF('Eval-Avec act. écol. envisagée'!$A$761:$A$780,DY9)&gt;0,SUM(IF('Eval-Avec act. écol. envisagée'!$A$761=DY9,LEN(SUBSTITUTE((SUBSTITUTE(EY9,"TM","")),"TS",""))*10/2,0),IF('Eval-Avec act. écol. envisagée'!$A$762=DY9,LEN(SUBSTITUTE((SUBSTITUTE(EY10,"TM","")),"TS",""))*10/2,0),IF('Eval-Avec act. écol. envisagée'!$A$763=DY9,LEN(SUBSTITUTE((SUBSTITUTE(EY11,"TM","")),"TS",""))*10/2,0),IF('Eval-Avec act. écol. envisagée'!$A$764=DY9,LEN(SUBSTITUTE((SUBSTITUTE(EY12,"TM","")),"TS",""))*10/2,0),IF('Eval-Avec act. écol. envisagée'!$A$765=DY9,LEN(SUBSTITUTE((SUBSTITUTE(EY13,"TM","")),"TS",""))*10/2,0),IF('Eval-Avec act. écol. envisagée'!$A$766=DY9,LEN(SUBSTITUTE((SUBSTITUTE(EY14,"TM","")),"TS",""))*10/2,0),IF('Eval-Avec act. écol. envisagée'!$A$767=DY9,LEN(SUBSTITUTE((SUBSTITUTE(EY15,"TM","")),"TS",""))*10/2,0),IF('Eval-Avec act. écol. envisagée'!$A$768=DY9,LEN(SUBSTITUTE((SUBSTITUTE(EY16,"TM","")),"TS",""))*10/2,0),IF('Eval-Avec act. écol. envisagée'!$A$769=DY9,LEN(SUBSTITUTE((SUBSTITUTE(EY17,"TM","")),"TS",""))*10/2,0),IF('Eval-Avec act. écol. envisagée'!$A$770=DY9,LEN(SUBSTITUTE((SUBSTITUTE(EY18,"TM","")),"TS",""))*10/2,0),IF('Eval-Avec act. écol. envisagée'!$A$771=DY9,LEN(SUBSTITUTE((SUBSTITUTE(EY19,"TM","")),"TS",""))*10/2,0),IF('Eval-Avec act. écol. envisagée'!$A$772=DY9,LEN(SUBSTITUTE((SUBSTITUTE(EY20,"TM","")),"TS",""))*10/2,0),IF('Eval-Avec act. écol. envisagée'!$A$773=DY9,LEN(SUBSTITUTE((SUBSTITUTE(EY21,"TM","")),"TS",""))*10/2,0),IF('Eval-Avec act. écol. envisagée'!$A$774=DY9,LEN(SUBSTITUTE((SUBSTITUTE(EY22,"TM","")),"TS",""))*10/2,0),IF('Eval-Avec act. écol. envisagée'!$A$775=DY9,LEN(SUBSTITUTE((SUBSTITUTE(EY23,"TM","")),"TS",""))*10/2,0),IF('Eval-Avec act. écol. envisagée'!$A$776=DY9,LEN(SUBSTITUTE((SUBSTITUTE(EY24,"TM","")),"TS",""))*10/2,0),IF('Eval-Avec act. écol. envisagée'!$A$777=DY9,LEN(SUBSTITUTE((SUBSTITUTE(EY25,"TM","")),"TS",""))*10/2,0),IF('Eval-Avec act. écol. envisagée'!$A$778=DY9,LEN(SUBSTITUTE((SUBSTITUTE(EY26,"TM","")),"TS",""))*10/2,0),IF('Eval-Avec act. écol. envisagée'!$A$779=DY9,LEN(SUBSTITUTE((SUBSTITUTE(EY27,"TM","")),"TS",""))*10/2,0),IF('Eval-Avec act. écol. envisagée'!$A$780=DY9,LEN(SUBSTITUTE((SUBSTITUTE(EY28,"TM","")),"TS",""))*10/2,0))/COUNTIF('Eval-Avec act. écol. envisagée'!$A$761:$A$780,DY9),"")</f>
        <v/>
      </c>
      <c r="EM9" s="211" t="str">
        <f>IF(COUNTIF('Eval-Avec act. écol. envisagée'!$A$761:$A$780,DY9)&gt;0,SUM(IF('Eval-Avec act. écol. envisagée'!$A$761=DY9,LEN(SUBSTITUTE((SUBSTITUTE(EY9,"TF","")),"TS",""))*10/2,0),IF('Eval-Avec act. écol. envisagée'!$A$762=DY9,LEN(SUBSTITUTE((SUBSTITUTE(EY10,"TF","")),"TS",""))*10/2,0),IF('Eval-Avec act. écol. envisagée'!$A$763=DY9,LEN(SUBSTITUTE((SUBSTITUTE(EY11,"TF","")),"TS",""))*10/2,0),IF('Eval-Avec act. écol. envisagée'!$A$764=DY9,LEN(SUBSTITUTE((SUBSTITUTE(EY12,"TF","")),"TS",""))*10/2,0),IF('Eval-Avec act. écol. envisagée'!$A$765=DY9,LEN(SUBSTITUTE((SUBSTITUTE(EY13,"TF","")),"TS",""))*10/2,0),IF('Eval-Avec act. écol. envisagée'!$A$766=DY9,LEN(SUBSTITUTE((SUBSTITUTE(EY14,"TF","")),"TS",""))*10/2,0),IF('Eval-Avec act. écol. envisagée'!$A$767=DY9,LEN(SUBSTITUTE((SUBSTITUTE(EY15,"TF","")),"TS",""))*10/2,0),IF('Eval-Avec act. écol. envisagée'!$A$768=DY9,LEN(SUBSTITUTE((SUBSTITUTE(EY16,"TF","")),"TS",""))*10/2,0),IF('Eval-Avec act. écol. envisagée'!$A$769=DY9,LEN(SUBSTITUTE((SUBSTITUTE(EY17,"TF","")),"TS",""))*10/2,0),IF('Eval-Avec act. écol. envisagée'!$A$770=DY9,LEN(SUBSTITUTE((SUBSTITUTE(EY18,"TF","")),"TS",""))*10/2,0),IF('Eval-Avec act. écol. envisagée'!$A$771=DY9,LEN(SUBSTITUTE((SUBSTITUTE(EY19,"TF","")),"TS",""))*10/2,0),IF('Eval-Avec act. écol. envisagée'!$A$772=DY9,LEN(SUBSTITUTE((SUBSTITUTE(EY20,"TF","")),"TS",""))*10/2,0),IF('Eval-Avec act. écol. envisagée'!$A$773=DY9,LEN(SUBSTITUTE((SUBSTITUTE(EY21,"TF","")),"TS",""))*10/2,0),IF('Eval-Avec act. écol. envisagée'!$A$774=DY9,LEN(SUBSTITUTE((SUBSTITUTE(EY22,"TF","")),"TS",""))*10/2,0),IF('Eval-Avec act. écol. envisagée'!$A$775=DY9,LEN(SUBSTITUTE((SUBSTITUTE(EY23,"TF","")),"TS",""))*10/2,0),IF('Eval-Avec act. écol. envisagée'!$A$776=DY9,LEN(SUBSTITUTE((SUBSTITUTE(EY24,"TF","")),"TS",""))*10/2,0),IF('Eval-Avec act. écol. envisagée'!$A$777=DY9,LEN(SUBSTITUTE((SUBSTITUTE(EY25,"TF","")),"TS",""))*10/2,0),IF('Eval-Avec act. écol. envisagée'!$A$778=DY9,LEN(SUBSTITUTE((SUBSTITUTE(EY26,"TF","")),"TS",""))*10/2,0),IF('Eval-Avec act. écol. envisagée'!$A$779=DY9,LEN(SUBSTITUTE((SUBSTITUTE(EY27,"TF","")),"TS",""))*10/2,0),IF('Eval-Avec act. écol. envisagée'!$A$780=DY9,LEN(SUBSTITUTE((SUBSTITUTE(EY28,"TF","")),"TS",""))*10/2,0))/COUNTIF('Eval-Avec act. écol. envisagée'!$A$761:$A$780,DY9),"")</f>
        <v/>
      </c>
      <c r="EN9" s="211" t="str">
        <f>IF(COUNTIF('Eval-Avec act. écol. envisagée'!$A$761:$A$780,DY9)&gt;0,SUM(IF('Eval-Avec act. écol. envisagée'!$A$761=DY9,LEN(SUBSTITUTE((SUBSTITUTE(EY9,"TF","")),"TM",""))*10/2,0),IF('Eval-Avec act. écol. envisagée'!$A$762=DY9,LEN(SUBSTITUTE((SUBSTITUTE(EY10,"TF","")),"TM",""))*10/2,0),IF('Eval-Avec act. écol. envisagée'!$A$763=DY9,LEN(SUBSTITUTE((SUBSTITUTE(EY11,"TF","")),"TM",""))*10/2,0),IF('Eval-Avec act. écol. envisagée'!$A$764=DY9,LEN(SUBSTITUTE((SUBSTITUTE(EY12,"TF","")),"TM",""))*10/2,0),IF('Eval-Avec act. écol. envisagée'!$A$765=DY9,LEN(SUBSTITUTE((SUBSTITUTE(EY13,"TF","")),"TM",""))*10/2,0),IF('Eval-Avec act. écol. envisagée'!$A$766=DY9,LEN(SUBSTITUTE((SUBSTITUTE(EY14,"TF","")),"TM",""))*10/2,0),IF('Eval-Avec act. écol. envisagée'!$A$767=DY9,LEN(SUBSTITUTE((SUBSTITUTE(EY15,"TF","")),"TM",""))*10/2,0),IF('Eval-Avec act. écol. envisagée'!$A$768=DY9,LEN(SUBSTITUTE((SUBSTITUTE(EY16,"TF","")),"TM",""))*10/2,0),IF('Eval-Avec act. écol. envisagée'!$A$769=DY9,LEN(SUBSTITUTE((SUBSTITUTE(EY17,"TF","")),"TM",""))*10/2,0),IF('Eval-Avec act. écol. envisagée'!$A$770=DY9,LEN(SUBSTITUTE((SUBSTITUTE(EY18,"TF","")),"TM",""))*10/2,0),IF('Eval-Avec act. écol. envisagée'!$A$771=DY9,LEN(SUBSTITUTE((SUBSTITUTE(EY19,"TF","")),"TM",""))*10/2,0),IF('Eval-Avec act. écol. envisagée'!$A$772=DY9,LEN(SUBSTITUTE((SUBSTITUTE(EY20,"TF","")),"TM",""))*10/2,0),IF('Eval-Avec act. écol. envisagée'!$A$773=DY9,LEN(SUBSTITUTE((SUBSTITUTE(EY21,"TF","")),"TM",""))*10/2,0),IF('Eval-Avec act. écol. envisagée'!$A$774=DY9,LEN(SUBSTITUTE((SUBSTITUTE(EY22,"TF","")),"TM",""))*10/2,0),IF('Eval-Avec act. écol. envisagée'!$A$775=DY9,LEN(SUBSTITUTE((SUBSTITUTE(EY23,"TF","")),"TM",""))*10/2,0),IF('Eval-Avec act. écol. envisagée'!$A$776=DY9,LEN(SUBSTITUTE((SUBSTITUTE(EY24,"TF","")),"TM",""))*10/2,0),IF('Eval-Avec act. écol. envisagée'!$A$777=DY9,LEN(SUBSTITUTE((SUBSTITUTE(EY25,"TF","")),"TM",""))*10/2,0),IF('Eval-Avec act. écol. envisagée'!$A$778=DY9,LEN(SUBSTITUTE((SUBSTITUTE(EY26,"TF","")),"TM",""))*10/2,0),IF('Eval-Avec act. écol. envisagée'!$A$779=DY9,LEN(SUBSTITUTE((SUBSTITUTE(EY27,"TF","")),"TM",""))*10/2,0),IF('Eval-Avec act. écol. envisagée'!$A$780=DY9,LEN(SUBSTITUTE((SUBSTITUTE(EY28,"TF","")),"TM",""))*10/2,0))/COUNTIF('Eval-Avec act. écol. envisagée'!$A$761:$A$780,DY9),"")</f>
        <v/>
      </c>
      <c r="EO9" s="211" t="str">
        <f>IF(COUNTIF('Eval-Avec act. écol. envisagée'!$A$761:$A$780,DY9)&gt;0,IF(OR(AND('Eval-Avec act. écol. envisagée'!$A$761=DY9,EV9&lt;30),AND('Eval-Avec act. écol. envisagée'!$A$762=DY9,EV10&lt;30),AND('Eval-Avec act. écol. envisagée'!$A$763=DY9,EV11&lt;30),AND('Eval-Avec act. écol. envisagée'!$A$764=DY9,EV12&lt;30),AND('Eval-Avec act. écol. envisagée'!$A$765=DY9,EV13&lt;30),AND('Eval-Avec act. écol. envisagée'!$A$766=DY9,EV14&lt;30),AND('Eval-Avec act. écol. envisagée'!$A$767=DY9,EV15&lt;30),AND('Eval-Avec act. écol. envisagée'!$A$768=DY9,EV16&lt;30),AND('Eval-Avec act. écol. envisagée'!$A$769=DY9,EV17&lt;30),AND('Eval-Avec act. écol. envisagée'!$A$770=DY9,EV18&lt;30),AND('Eval-Avec act. écol. envisagée'!$A$771=DY9,EV19&lt;30),AND('Eval-Avec act. écol. envisagée'!$A$772=DY9,EV20&lt;30),AND('Eval-Avec act. écol. envisagée'!$A$773=DY9,EV21&lt;30),AND('Eval-Avec act. écol. envisagée'!$A$774=DY9,EV22&lt;30),AND('Eval-Avec act. écol. envisagée'!$A$775=DY9,EV23&lt;30),AND('Eval-Avec act. écol. envisagée'!$A$776=DY9,EV24&lt;30),AND('Eval-Avec act. écol. envisagée'!$A$777=DY9,EV25&lt;30),AND('Eval-Avec act. écol. envisagée'!$A$778=DY9,EV26&lt;30),AND('Eval-Avec act. écol. envisagée'!$A$779=DY9,EV27&lt;30),AND('Eval-Avec act. écol. envisagée'!$A$780=DY9,EV28&lt;30)),"",SUM(0.1*(SUMPRODUCT(('Eval-Avec act. écol. envisagée'!$A$761:$A$780=DY9)*('Eval-Avec act. écol. envisagée'!$N$761:$P$780="A"))+ SUMPRODUCT(('Eval-Avec act. écol. envisagée'!$A$761:$A$780=DY9)*('Eval-Avec act. écol. envisagée'!$N$761:$P$780="AL"))),0.7*(SUMPRODUCT(('Eval-Avec act. écol. envisagée'!$A$761:$A$780=DY9)*('Eval-Avec act. écol. envisagée'!$N$761:$P$780="TF"))+SUMPRODUCT(('Eval-Avec act. écol. envisagée'!$A$761:$A$780=DY9)*('Eval-Avec act. écol. envisagée'!$N$761:$P$780="TM"))+SUMPRODUCT(('Eval-Avec act. écol. envisagée'!$A$761:$A$780=DY9)*('Eval-Avec act. écol. envisagée'!$N$761:$P$780="TS"))),0.4*(SUMPRODUCT(('Eval-Avec act. écol. envisagée'!$A$761:$A$780=DY9)*('Eval-Avec act. écol. envisagée'!$N$761:$P$780="LA"))+SUMPRODUCT(('Eval-Avec act. écol. envisagée'!$A$761:$A$780=DY9)*('Eval-Avec act. écol. envisagée'!$N$761:$P$780="L"))+SUMPRODUCT(('Eval-Avec act. écol. envisagée'!$A$761:$A$780=DY9)*('Eval-Avec act. écol. envisagée'!$N$761:$P$780="LS"))),1*(SUMPRODUCT(('Eval-Avec act. écol. envisagée'!$A$761:$A$780=DY9)*('Eval-Avec act. écol. envisagée'!$N$761:$P$780="SL"))+ SUMPRODUCT(('Eval-Avec act. écol. envisagée'!$A$761:$A$780=DY9)*('Eval-Avec act. écol. envisagée'!$N$761:$P$780="S"))))/(3*COUNTIF('Eval-Avec act. écol. envisagée'!$A$761:$A$780,DY9))),"")</f>
        <v/>
      </c>
      <c r="EP9" s="211" t="str">
        <f>IF(COUNTIF('Eval-Avec act. écol. envisagée'!$A$761:$A$780,DY9)&gt;0,IF(OR(AND('Eval-Avec act. écol. envisagée'!$A$761=DY9,EV9&lt;120),AND('Eval-Avec act. écol. envisagée'!$A$762=DY9,EV10&lt;120),AND('Eval-Avec act. écol. envisagée'!$A$763=DY9,EV11&lt;120),AND('Eval-Avec act. écol. envisagée'!$A$764=DY9,EV12&lt;120),AND('Eval-Avec act. écol. envisagée'!$A$765=DY9,EV13&lt;120),AND('Eval-Avec act. écol. envisagée'!$A$766=DY9,EV14&lt;120),AND('Eval-Avec act. écol. envisagée'!$A$767=DY9,EV15&lt;120),AND('Eval-Avec act. écol. envisagée'!$A$768=DY9,EV16&lt;120),AND('Eval-Avec act. écol. envisagée'!$A$769=DY9,EV17&lt;120),AND('Eval-Avec act. écol. envisagée'!$A$770=DY9,EV18&lt;120),AND('Eval-Avec act. écol. envisagée'!$A$771=DY9,EV19&lt;120),AND('Eval-Avec act. écol. envisagée'!$A$772=DY9,EV20&lt;120),AND('Eval-Avec act. écol. envisagée'!$A$773=DY9,EV21&lt;120),AND('Eval-Avec act. écol. envisagée'!$A$774=DY9,EV22&lt;120),AND('Eval-Avec act. écol. envisagée'!$A$775=DY9,EV23&lt;120),AND('Eval-Avec act. écol. envisagée'!$A$776=DY9,EV24&lt;120),AND('Eval-Avec act. écol. envisagée'!$A$777=DY9,EV25&lt;120),AND('Eval-Avec act. écol. envisagée'!$A$778=DY9,EV26&lt;120),AND('Eval-Avec act. écol. envisagée'!$A$779=DY9,EV27&lt;120),AND('Eval-Avec act. écol. envisagée'!$A$780=DY9,EV28&lt;120)),"",SUM(0.1*(SUMPRODUCT(('Eval-Avec act. écol. envisagée'!$A$761:$A$780=DY9)*('Eval-Avec act. écol. envisagée'!$Q$761:$Y$780="A"))+ SUMPRODUCT(('Eval-Avec act. écol. envisagée'!$A$761:$A$780=DY9)*('Eval-Avec act. écol. envisagée'!$Q$761:$Y$780="AL"))),0.7*(SUMPRODUCT(('Eval-Avec act. écol. envisagée'!$A$761:$A$780=DY9)*('Eval-Avec act. écol. envisagée'!$Q$761:$Y$780="TF"))+SUMPRODUCT(('Eval-Avec act. écol. envisagée'!$A$761:$A$780=DY9)*('Eval-Avec act. écol. envisagée'!$Q$761:$Y$780="TM"))+SUMPRODUCT(('Eval-Avec act. écol. envisagée'!$A$761:$A$780=DY9)*('Eval-Avec act. écol. envisagée'!$Q$761:$Y$780="TS"))),0.4*(SUMPRODUCT(('Eval-Avec act. écol. envisagée'!$A$761:$A$780=DY9)*('Eval-Avec act. écol. envisagée'!$Q$761:$Y$780="LA"))+SUMPRODUCT(('Eval-Avec act. écol. envisagée'!$A$761:$A$780=DY9)*('Eval-Avec act. écol. envisagée'!$Q$761:$Y$780="L"))+SUMPRODUCT(('Eval-Avec act. écol. envisagée'!$A$761:$A$780=DY9)*('Eval-Avec act. écol. envisagée'!$Q$761:$Y$780="LS"))),1*(SUMPRODUCT(('Eval-Avec act. écol. envisagée'!$A$761:$A$780=DY9)*('Eval-Avec act. écol. envisagée'!$Q$761:$Y$780="SL"))+ SUMPRODUCT(('Eval-Avec act. écol. envisagée'!$A$761:$A$780=DY9)*('Eval-Avec act. écol. envisagée'!$Q$761:$Y$780="S"))))/(9*COUNTIF('Eval-Avec act. écol. envisagée'!$A$761:$A$780,DY9))),"")</f>
        <v/>
      </c>
      <c r="EQ9" s="211" t="str">
        <f>IF(COUNTIF('Eval-Avec act. écol. envisagée'!$A$761:$A$780,DY9)&gt;0,IF(OR(AND('Eval-Avec act. écol. envisagée'!$A$761=DY9,OR(COUNTIF('Eval-Avec act. écol. envisagée'!$N$761:$P$761,"*T*")&gt;0,EV9&lt;30)),AND('Eval-Avec act. écol. envisagée'!$A$762=DY9,OR(COUNTIF('Eval-Avec act. écol. envisagée'!$N$762:$P$762,"*T*")&gt;0,EV10&lt;30)),AND('Eval-Avec act. écol. envisagée'!$A$763=DY9,OR(COUNTIF('Eval-Avec act. écol. envisagée'!$N$763:$P$763,"*T*")&gt;0,EV11&lt;30)),AND('Eval-Avec act. écol. envisagée'!$A$764=DY9,OR(COUNTIF('Eval-Avec act. écol. envisagée'!$N$764:$P$764,"*T*")&gt;0,EV12&lt;30)),AND('Eval-Avec act. écol. envisagée'!$A$765=DY9,OR(COUNTIF('Eval-Avec act. écol. envisagée'!$N$765:$P$765,"*T*")&gt;0,EV13&lt;30)),AND('Eval-Avec act. écol. envisagée'!$A$766=DY9,OR(COUNTIF('Eval-Avec act. écol. envisagée'!$N$766:$P$766,"*T*")&gt;0,EV14&lt;30)),AND('Eval-Avec act. écol. envisagée'!$A$767=DY9,OR(COUNTIF('Eval-Avec act. écol. envisagée'!$N$767:$P$767,"*T*")&gt;0,EV15&lt;30)),AND('Eval-Avec act. écol. envisagée'!$A$768=DY9,OR(COUNTIF('Eval-Avec act. écol. envisagée'!$N$768:$P$768,"*T*")&gt;0,EV16&lt;30)),AND('Eval-Avec act. écol. envisagée'!$A$769=DY9,OR(COUNTIF('Eval-Avec act. écol. envisagée'!$N$769:$P$769,"*T*")&gt;0,EV17&lt;30)),AND('Eval-Avec act. écol. envisagée'!$A$770=DY9,OR(COUNTIF('Eval-Avec act. écol. envisagée'!$N$770:$P$770,"*T*")&gt;0,EV18&lt;30)),AND('Eval-Avec act. écol. envisagée'!$A$771=DY9,OR(COUNTIF('Eval-Avec act. écol. envisagée'!$N$771:$P$771,"*T*")&gt;0,EV19&lt;30)),AND('Eval-Avec act. écol. envisagée'!$A$772=DY9,OR(COUNTIF('Eval-Avec act. écol. envisagée'!$N$772:$P$772,"*T*")&gt;0,EV20&lt;30)),AND('Eval-Avec act. écol. envisagée'!$A$773=DY9,OR(COUNTIF('Eval-Avec act. écol. envisagée'!$N$773:$P$773,"*T*")&gt;0,EV21&lt;30)),AND('Eval-Avec act. écol. envisagée'!$A$774=DY9,OR(COUNTIF('Eval-Avec act. écol. envisagée'!$N$774:$P$774,"*T*")&gt;0,EV22&lt;30)),AND('Eval-Avec act. écol. envisagée'!$A$775=DY9,OR(COUNTIF('Eval-Avec act. écol. envisagée'!$N$775:$P$775,"*T*")&gt;0,EV23&lt;30)),AND('Eval-Avec act. écol. envisagée'!$A$776=DY9,OR(COUNTIF('Eval-Avec act. écol. envisagée'!$N$776:$P$776,"*T*")&gt;0,EV24&lt;30)),AND('Eval-Avec act. écol. envisagée'!$A$777=DY9,OR(COUNTIF('Eval-Avec act. écol. envisagée'!$N$777:$P$777,"*T*")&gt;0,EV25&lt;30)),AND('Eval-Avec act. écol. envisagée'!$A$778=DY9,OR(COUNTIF('Eval-Avec act. écol. envisagée'!$N$778:$P$778,"*T*")&gt;0,EV26&lt;30)),AND('Eval-Avec act. écol. envisagée'!$A$779=DY9,OR(COUNTIF('Eval-Avec act. écol. envisagée'!$N$779:$P$779,"*T*")&gt;0,EV27&lt;30)),AND('Eval-Avec act. écol. envisagée'!$A$780=DY9,OR(COUNTIF('Eval-Avec act. écol. envisagée'!$N$780:$P$780,"*T*")&gt;0,EV28&lt;30))),"",SUM(0.1*(SUMPRODUCT(('Eval-Avec act. écol. envisagée'!$A$761:$A$780=DY9)*('Eval-Avec act. écol. envisagée'!$N$761:$P$780="L"))),0.4*(SUMPRODUCT(('Eval-Avec act. écol. envisagée'!$A$761:$A$780=DY9)*('Eval-Avec act. écol. envisagée'!$N$761:$P$780="LA"))+SUMPRODUCT(('Eval-Avec act. écol. envisagée'!$A$761:$A$780=DY9)*('Eval-Avec act. écol. envisagée'!$N$761:$P$780="LS"))),0.7*(SUMPRODUCT(('Eval-Avec act. écol. envisagée'!$A$761:$A$780=DY9)*('Eval-Avec act. écol. envisagée'!$N$761:$P$780="AL"))+SUMPRODUCT(('Eval-Avec act. écol. envisagée'!$A$761:$A$780=DY9)*('Eval-Avec act. écol. envisagée'!$N$761:$P$780="SL"))),1*(SUMPRODUCT(('Eval-Avec act. écol. envisagée'!$A$761:$A$780=DY9)*('Eval-Avec act. écol. envisagée'!$N$761:$P$780="S"))+ SUMPRODUCT(('Eval-Avec act. écol. envisagée'!$A$761:$A$780=DY9)*('Eval-Avec act. écol. envisagée'!$N$761:$P$780="A"))))/(3*COUNTIF('Eval-Avec act. écol. envisagée'!$A$761:$A$780,DY9))),"")</f>
        <v/>
      </c>
      <c r="ER9" s="211" t="str">
        <f>IF(COUNTIF('Eval-Avec act. écol. envisagée'!$A$761:$A$780,DY9)&gt;0,IF(OR(AND('Eval-Avec act. écol. envisagée'!$A$761=DY9,OR(COUNTIF('Eval-Avec act. écol. envisagée'!$N$761:$P$761,"*T*")&gt;0,EV9&lt;30)),AND('Eval-Avec act. écol. envisagée'!$A$762=DY9,OR(COUNTIF('Eval-Avec act. écol. envisagée'!$N$762:$P$762,"*T*")&gt;0,EV10&lt;30)),AND('Eval-Avec act. écol. envisagée'!$A$763=DY9,OR(COUNTIF('Eval-Avec act. écol. envisagée'!$N$763:$P$763,"*T*")&gt;0,EV11&lt;30)),AND('Eval-Avec act. écol. envisagée'!$A$764=DY9,OR(COUNTIF('Eval-Avec act. écol. envisagée'!$N$764:$P$764,"*T*")&gt;0,EV12&lt;30)),AND('Eval-Avec act. écol. envisagée'!$A$765=DY9,OR(COUNTIF('Eval-Avec act. écol. envisagée'!$N$765:$P$765,"*T*")&gt;0,EV13&lt;30)),AND('Eval-Avec act. écol. envisagée'!$A$766=DY9,OR(COUNTIF('Eval-Avec act. écol. envisagée'!$N$766:$P$766,"*T*")&gt;0,EV14&lt;30)),AND('Eval-Avec act. écol. envisagée'!$A$767=DY9,OR(COUNTIF('Eval-Avec act. écol. envisagée'!$N$767:$P$767,"*T*")&gt;0,EV15&lt;30)),AND('Eval-Avec act. écol. envisagée'!$A$768=DY9,OR(COUNTIF('Eval-Avec act. écol. envisagée'!$N$768:$P$768,"*T*")&gt;0,EV16&lt;30)),AND('Eval-Avec act. écol. envisagée'!$A$769=DY9,OR(COUNTIF('Eval-Avec act. écol. envisagée'!$N$769:$P$769,"*T*")&gt;0,EV17&lt;30)),AND('Eval-Avec act. écol. envisagée'!$A$770=DY9,OR(COUNTIF('Eval-Avec act. écol. envisagée'!$N$770:$P$770,"*T*")&gt;0,EV18&lt;30)),AND('Eval-Avec act. écol. envisagée'!$A$771=DY9,OR(COUNTIF('Eval-Avec act. écol. envisagée'!$N$771:$P$771,"*T*")&gt;0,EV19&lt;30)),AND('Eval-Avec act. écol. envisagée'!$A$772=DY9,OR(COUNTIF('Eval-Avec act. écol. envisagée'!$N$772:$P$772,"*T*")&gt;0,EV20&lt;30)),AND('Eval-Avec act. écol. envisagée'!$A$773=DY9,OR(COUNTIF('Eval-Avec act. écol. envisagée'!$N$773:$P$773,"*T*")&gt;0,EV21&lt;30)),AND('Eval-Avec act. écol. envisagée'!$A$774=DY9,OR(COUNTIF('Eval-Avec act. écol. envisagée'!$N$774:$P$774,"*T*")&gt;0,EV22&lt;30)),AND('Eval-Avec act. écol. envisagée'!$A$775=DY9,OR(COUNTIF('Eval-Avec act. écol. envisagée'!$N$775:$P$775,"*T*")&gt;0,EV23&lt;30)),AND('Eval-Avec act. écol. envisagée'!$A$776=DY9,OR(COUNTIF('Eval-Avec act. écol. envisagée'!$N$776:$P$776,"*T*")&gt;0,EV24&lt;30)),AND('Eval-Avec act. écol. envisagée'!$A$777=DY9,OR(COUNTIF('Eval-Avec act. écol. envisagée'!$N$777:$P$777,"*T*")&gt;0,EV25&lt;30)),AND('Eval-Avec act. écol. envisagée'!$A$778=DY9,OR(COUNTIF('Eval-Avec act. écol. envisagée'!$N$778:$P$778,"*T*")&gt;0,EV26&lt;30)),AND('Eval-Avec act. écol. envisagée'!$A$779=DY9,OR(COUNTIF('Eval-Avec act. écol. envisagée'!$N$779:$P$779,"*T*")&gt;0,EV27&lt;30)),AND('Eval-Avec act. écol. envisagée'!$A$780=DY9,OR(COUNTIF('Eval-Avec act. écol. envisagée'!$N$780:$P$780,"*T*")&gt;0,EV28&lt;30))),"",SUM(1*(SUMPRODUCT(('Eval-Avec act. écol. envisagée'!$A$761:$A$780=DY9)*('Eval-Avec act. écol. envisagée'!$N$761:$P$780="A"))),0.85*(SUMPRODUCT(('Eval-Avec act. écol. envisagée'!$A$761:$A$780=DY9)*('Eval-Avec act. écol. envisagée'!$N$761:$P$780="AL"))),0.7*(SUMPRODUCT(('Eval-Avec act. écol. envisagée'!$A$761:$A$780=DY9)*('Eval-Avec act. écol. envisagée'!$N$761:$P$780="LA"))),0.55*(SUMPRODUCT(('Eval-Avec act. écol. envisagée'!$A$761:$A$780=DY9)*('Eval-Avec act. écol. envisagée'!$N$761:$P$780="L"))),0.4*(SUMPRODUCT(('Eval-Avec act. écol. envisagée'!$A$761:$A$780=DY9)*('Eval-Avec act. écol. envisagée'!$N$761:$P$780="LS"))),0.25*(SUMPRODUCT(('Eval-Avec act. écol. envisagée'!$A$761:$A$780=DY9)*('Eval-Avec act. écol. envisagée'!$N$761:$P$780="SL"))),0.1*(SUMPRODUCT(('Eval-Avec act. écol. envisagée'!$A$761:$A$780=DY9)*('Eval-Avec act. écol. envisagée'!$N$761:$P$780="S"))))/(3*COUNTIF('Eval-Avec act. écol. envisagée'!$A$761:$A$780,DY9))),"")</f>
        <v/>
      </c>
      <c r="ES9" s="214" t="str">
        <f>IF(COUNTIF('Eval-Avec act. écol. envisagée'!$A$761:$A$780,DY9)&gt;0,IF(OR(AND('Eval-Avec act. écol. envisagée'!$A$761=DY9,OR(COUNTIF('Eval-Avec act. écol. envisagée'!$Q$761:$Y$761,"*T*")&gt;0,EV9&lt;120)),AND('Eval-Avec act. écol. envisagée'!$A$762=DY9,OR(COUNTIF('Eval-Avec act. écol. envisagée'!$Q$762:$Y$762,"*T*")&gt;0,EV10&lt;120)),AND('Eval-Avec act. écol. envisagée'!$A$763=DY9,OR(COUNTIF('Eval-Avec act. écol. envisagée'!$Q$763:$Y$763,"*T*")&gt;0,EV11&lt;120)),AND('Eval-Avec act. écol. envisagée'!$A$764=DY9,OR(COUNTIF('Eval-Avec act. écol. envisagée'!$Q$764:$Y$764,"*T*")&gt;0,EV12&lt;120)),AND('Eval-Avec act. écol. envisagée'!$A$765=DY9,OR(COUNTIF('Eval-Avec act. écol. envisagée'!$Q$765:$Y$765,"*T*")&gt;0,EV13&lt;120)),AND('Eval-Avec act. écol. envisagée'!$A$766=DY9,OR(COUNTIF('Eval-Avec act. écol. envisagée'!$Q$766:$Y$766,"*T*")&gt;0,EV14&lt;120)),AND('Eval-Avec act. écol. envisagée'!$A$767=DY9,OR(COUNTIF('Eval-Avec act. écol. envisagée'!$Q$767:$Y$767,"*T*")&gt;0,EV15&lt;120)),AND('Eval-Avec act. écol. envisagée'!$A$768=DY9,OR(COUNTIF('Eval-Avec act. écol. envisagée'!$Q$768:$Y$768,"*T*")&gt;0,EV16&lt;120)),AND('Eval-Avec act. écol. envisagée'!$A$769=DY9,OR(COUNTIF('Eval-Avec act. écol. envisagée'!$Q$769:$Y$769,"*T*")&gt;0,EV17&lt;120)),AND('Eval-Avec act. écol. envisagée'!$A$770=DY9,OR(COUNTIF('Eval-Avec act. écol. envisagée'!$Q$770:$Y$770,"*T*")&gt;0,EV18&lt;120)),AND('Eval-Avec act. écol. envisagée'!$A$771=DY9,OR(COUNTIF('Eval-Avec act. écol. envisagée'!$Q$771:$Y$771,"*T*")&gt;0,EV19&lt;120)),AND('Eval-Avec act. écol. envisagée'!$A$772=DY9,OR(COUNTIF('Eval-Avec act. écol. envisagée'!$Q$772:$Y$772,"*T*")&gt;0,EV20&lt;120)),AND('Eval-Avec act. écol. envisagée'!$A$773=DY9,OR(COUNTIF('Eval-Avec act. écol. envisagée'!$Q$773:$Y$773,"*T*")&gt;0,EV21&lt;120)),AND('Eval-Avec act. écol. envisagée'!$A$774=DY9,OR(COUNTIF('Eval-Avec act. écol. envisagée'!$Q$774:$Y$774,"*T*")&gt;0,EV22&lt;120)),AND('Eval-Avec act. écol. envisagée'!$A$775=DY9,OR(COUNTIF('Eval-Avec act. écol. envisagée'!$Q$775:$Y$775,"*T*")&gt;0,EV23&lt;120)),AND('Eval-Avec act. écol. envisagée'!$A$776=DY9,OR(COUNTIF('Eval-Avec act. écol. envisagée'!$Q$776:$Y$776,"*T*")&gt;0,EV24&lt;120)),AND('Eval-Avec act. écol. envisagée'!$A$777=DY9,OR(COUNTIF('Eval-Avec act. écol. envisagée'!$Q$777:$Y$777,"*T*")&gt;0,EV25&lt;120)),AND('Eval-Avec act. écol. envisagée'!$A$778=DY9,OR(COUNTIF('Eval-Avec act. écol. envisagée'!$Q$778:$Y$778,"*T*")&gt;0,EV26&lt;120)),AND('Eval-Avec act. écol. envisagée'!$A$779=DY9,OR(COUNTIF('Eval-Avec act. écol. envisagée'!$Q$779:$Y$779,"*T*")&gt;0,EV27&lt;120)),AND('Eval-Avec act. écol. envisagée'!$A$780=DY9,OR(COUNTIF('Eval-Avec act. écol. envisagée'!$Q$780:$Y$780,"*T*")&gt;0,EV28&lt;120))),"",SUM(1*(SUMPRODUCT(('Eval-Avec act. écol. envisagée'!$A$761:$A$780=DY9)*('Eval-Avec act. écol. envisagée'!$Q$761:$Y$780="A"))),0.85*(SUMPRODUCT(('Eval-Avec act. écol. envisagée'!$A$761:$A$780=DY9)*('Eval-Avec act. écol. envisagée'!$Q$761:$Y$780="AL"))),0.7*(SUMPRODUCT(('Eval-Avec act. écol. envisagée'!$A$761:$A$780=DY9)*('Eval-Avec act. écol. envisagée'!$Q$761:$Y$780="LA"))),0.55*(SUMPRODUCT(('Eval-Avec act. écol. envisagée'!$A$761:$A$780=DY9)*('Eval-Avec act. écol. envisagée'!$Q$761:$Y$780="L"))),0.4*(SUMPRODUCT(('Eval-Avec act. écol. envisagée'!$A$761:$A$780=DY9)*('Eval-Avec act. écol. envisagée'!$Q$761:$Y$780="LS"))),0.25*(SUMPRODUCT(('Eval-Avec act. écol. envisagée'!$A$761:$A$780=DY9)*('Eval-Avec act. écol. envisagée'!$Q$761:$Y$780="SL"))),0.1*(SUMPRODUCT(('Eval-Avec act. écol. envisagée'!$A$761:$A$780=DY9)*('Eval-Avec act. écol. envisagée'!$Q$761:$Y$780="S"))))/(9*COUNTIF('Eval-Avec act. écol. envisagée'!$A$761:$A$780,DY9))),"")</f>
        <v/>
      </c>
      <c r="ET9" s="215"/>
      <c r="EU9" s="216">
        <f>'Eval-Avec act. écol. envisagée'!$D$761</f>
        <v>1</v>
      </c>
      <c r="EV9" s="217" t="str">
        <f>IF(EW9="C",0,IF(IF(COUNTIF('Eval-Avec act. écol. envisagée'!$N$761:$Y$761,"=C")&gt;0,(COUNTA('Eval-Avec act. écol. envisagée'!$N$761:$Y$761)-1)*10,COUNTA('Eval-Avec act. écol. envisagée'!$N$761:$Y$761)*10)=0,"",IF(COUNTIF('Eval-Avec act. écol. envisagée'!$N$761:$Y$761,"=C")&gt;0,(COUNTA('Eval-Avec act. écol. envisagée'!$N$761:$Y$761)-1)*10,COUNTA('Eval-Avec act. écol. envisagée'!$N$761:$Y$761)*10)))</f>
        <v/>
      </c>
      <c r="EW9" s="217" t="str">
        <f>CONCATENATE('Eval-Avec act. écol. envisagée'!$N$761,'Eval-Avec act. écol. envisagée'!$O$761,'Eval-Avec act. écol. envisagée'!$P$761,'Eval-Avec act. écol. envisagée'!$Q$761,'Eval-Avec act. écol. envisagée'!$R$761,'Eval-Avec act. écol. envisagée'!$S$761,'Eval-Avec act. écol. envisagée'!$T$761,'Eval-Avec act. écol. envisagée'!$U$761,'Eval-Avec act. écol. envisagée'!$V$761,'Eval-Avec act. écol. envisagée'!$W$761,'Eval-Avec act. écol. envisagée'!$X$761,'Eval-Avec act. écol. envisagée'!$Y$761)</f>
        <v/>
      </c>
      <c r="EX9" s="217" t="str">
        <f t="shared" ref="EX9:EX28" si="16">IF(LEFT(EW9,1)="S","",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f>
        <v/>
      </c>
      <c r="EY9" s="217" t="str">
        <f t="shared" ref="EY9:EY28" si="17">CONCATENATE(IF(LEFT(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1)="S",RIGHT(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LEN(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-1),""),SUBSTITUTE(SUBSTITUTE(SUBSTITUTE(SUBSTITUTE(SUBSTITUTE(SUBSTITUTE(SUBSTITUTE(SUBSTITUTE(SUBSTITUTE(SUBSTITUTE(RIGHT(EW9,LEN(EW9)-LEN(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TS","X"),"S",""),"SL",""),"LS",""),"L",""),"LA",""),"AL",""),"A",""),"C",""),"X","TS"))</f>
        <v/>
      </c>
      <c r="EZ9" s="217" t="str">
        <f>IF(COUNTIF('Eval-Avec act. écol. envisagée'!$N$761:$Y$761,"=C")&gt;0,"X","")</f>
        <v/>
      </c>
      <c r="FA9" s="217" t="str">
        <f t="shared" ref="FA9:FA28" si="18">IF(AND(EV9&lt;120,EZ9&lt;&gt;"X"),"X","")</f>
        <v/>
      </c>
      <c r="FB9" s="218" t="str">
        <f t="shared" ref="FB9:FB28" si="19">IF(LEN(EW9)=0,"",IF(EV9=0,"",IF(AND(LEN(EX9)/2*10=EV9,FA9="X"),"X","")))</f>
        <v/>
      </c>
      <c r="FC9" s="197"/>
      <c r="FE9" s="210">
        <v>1</v>
      </c>
      <c r="FF9" s="211" t="str">
        <f>IF(COUNTIF('Eval-Après action écologique'!$A$761:$A$780,FE9)&gt;0,SUM(IF('Eval-Après action écologique'!$A$761=FE9,'Eval-Après action écologique'!$B$761,0),IF('Eval-Après action écologique'!$A$762=FE9, 'Eval-Après action écologique'!$B$762,0),IF('Eval-Après action écologique'!$A$763=FE9, 'Eval-Après action écologique'!$B$763,0),IF('Eval-Après action écologique'!$A$764=FE9, 'Eval-Après action écologique'!$B$764,0),IF('Eval-Après action écologique'!$A$765=FE9, 'Eval-Après action écologique'!$B$765,0),IF('Eval-Après action écologique'!$A$766=FE9, 'Eval-Après action écologique'!$B$766,0),IF('Eval-Après action écologique'!$A$767=FE9, 'Eval-Après action écologique'!$B$767,0),IF('Eval-Après action écologique'!$A$768=FE9, 'Eval-Après action écologique'!$B$768,0),IF('Eval-Après action écologique'!$A$769=FE9, 'Eval-Après action écologique'!$B$769,0),IF('Eval-Après action écologique'!$A$770=FE9, 'Eval-Après action écologique'!$B$770,0),IF('Eval-Après action écologique'!$A$771=FE9, 'Eval-Après action écologique'!$B$771,0),IF('Eval-Après action écologique'!$A$772=FE9, 'Eval-Après action écologique'!$B$772,0),IF('Eval-Après action écologique'!$A$773=FE9, 'Eval-Après action écologique'!$B$773,0),IF('Eval-Après action écologique'!$A$774=FE9, 'Eval-Après action écologique'!$B$774,0),IF('Eval-Après action écologique'!$A$775=FE9, 'Eval-Après action écologique'!$B$775,0),IF('Eval-Après action écologique'!$A$776=FE9, 'Eval-Après action écologique'!$B$776,0),IF('Eval-Après action écologique'!$A$777=FE9, 'Eval-Après action écologique'!$B$777,0),IF('Eval-Après action écologique'!$A$778=FE9, 'Eval-Après action écologique'!$B$778,0),IF('Eval-Après action écologique'!$A$779=FE9, 'Eval-Après action écologique'!$B$779,0),IF('Eval-Après action écologique'!$A$780=FE9, 'Eval-Après action écologique'!$B$780,0))/COUNTIF('Eval-Après action écologique'!$A$761:$A$780,FE9),"")</f>
        <v/>
      </c>
      <c r="FG9" s="212" t="str">
        <f>IF(COUNTIF('Eval-Après action écologique'!$A$761:$A$780,FE9)&gt;0,COUNTIF('Eval-Après action écologique'!$A$761:$A$780,FE9),"")</f>
        <v/>
      </c>
      <c r="FH9" s="211" t="str">
        <f>IF(COUNTIF('Eval-Après action écologique'!$A$761:$A$780,FE9)&gt;0,IF(OR(AND('Eval-Après action écologique'!$A$761=FE9, 'Eval-Après action écologique'!$G$761=""),AND('Eval-Après action écologique'!$A$762=FE9, 'Eval-Après action écologique'!$G$762=""),AND('Eval-Après action écologique'!$A$763=FE9, 'Eval-Après action écologique'!$G$763=""),AND('Eval-Après action écologique'!$A$764=FE9, 'Eval-Après action écologique'!$G$764=""),AND('Eval-Après action écologique'!$A$765=FE9, 'Eval-Après action écologique'!$G$765=""),AND('Eval-Après action écologique'!$A$766=FE9, 'Eval-Après action écologique'!$G$766=""),AND('Eval-Après action écologique'!$A$767=FE9, 'Eval-Après action écologique'!$G$767=""),AND('Eval-Après action écologique'!$A$768=FE9, 'Eval-Après action écologique'!$G$768=""),AND('Eval-Après action écologique'!$A$769=FE9, 'Eval-Après action écologique'!$G$769=""),AND('Eval-Après action écologique'!$A$770=FE9, 'Eval-Après action écologique'!$G$770=""),AND('Eval-Après action écologique'!$A$771=FE9, 'Eval-Après action écologique'!$G$771=""),AND('Eval-Après action écologique'!$A$772=FE9, 'Eval-Après action écologique'!$G$772=""),AND('Eval-Après action écologique'!$A$773=FE9, 'Eval-Après action écologique'!$G$773=""),AND('Eval-Après action écologique'!$A$774=FE9, 'Eval-Après action écologique'!$G$774=""),AND('Eval-Après action écologique'!$A$775=FE9, 'Eval-Après action écologique'!$G$775=""),AND('Eval-Après action écologique'!$A$776=FE9, 'Eval-Après action écologique'!$G$776=""),AND('Eval-Après action écologique'!$A$777=FE9, 'Eval-Après action écologique'!$G$777=""),AND('Eval-Après action écologique'!$A$778=FE9, 'Eval-Après action écologique'!$G$778=""),AND('Eval-Après action écologique'!$A$779=FE9, 'Eval-Après action écologique'!$G$779=""),AND('Eval-Après action écologique'!$A$780=FE9, 'Eval-Après action écologique'!$G$780="")),"",SUM(IF('Eval-Après action écologique'!$A$761=FE9,'Eval-Après action écologique'!$G$761,0),IF('Eval-Après action écologique'!$A$762=FE9,'Eval-Après action écologique'!$G$762,0),IF('Eval-Après action écologique'!$A$763=FE9,'Eval-Après action écologique'!$G$763,0),IF('Eval-Après action écologique'!$A$764=FE9,'Eval-Après action écologique'!$G$764,0),IF('Eval-Après action écologique'!$A$765=FE9,'Eval-Après action écologique'!$G$765,0),IF('Eval-Après action écologique'!$A$766=FE9,'Eval-Après action écologique'!$G$766,0),IF('Eval-Après action écologique'!$A$767=FE9,'Eval-Après action écologique'!$G$767,0),IF('Eval-Après action écologique'!$A$768=FE9,'Eval-Après action écologique'!$G$768,0),IF('Eval-Après action écologique'!$A$769=FE9,'Eval-Après action écologique'!$G$769,0),IF('Eval-Après action écologique'!$A$770=FE9,'Eval-Après action écologique'!$G$770,0),IF('Eval-Après action écologique'!$A$771=FE9,'Eval-Après action écologique'!$G$771,0),IF('Eval-Après action écologique'!$A$772=FE9,'Eval-Après action écologique'!$G$772,0),IF('Eval-Après action écologique'!$A$773=FE9,'Eval-Après action écologique'!$G$773,0),IF('Eval-Après action écologique'!$A$774=FE9,'Eval-Après action écologique'!$G$774,0),IF('Eval-Après action écologique'!$A$775=FE9,'Eval-Après action écologique'!$G$775,0), IF('Eval-Après action écologique'!$A$776=FE9,'Eval-Après action écologique'!$G$776,0), IF('Eval-Après action écologique'!$A$777=FE9,'Eval-Après action écologique'!$G$777,0), IF('Eval-Après action écologique'!$A$778=FE9,'Eval-Après action écologique'!$G$778,0), IF('Eval-Après action écologique'!$A$779=FE9,'Eval-Après action écologique'!$G$779,0), IF('Eval-Après action écologique'!$A$780=FE9,'Eval-Après action écologique'!$G$780,0))/ COUNTIF('Eval-Après action écologique'!$A$761:$A$780,FE9)),"")</f>
        <v/>
      </c>
      <c r="FI9" s="212" t="str">
        <f>IF(COUNTIF('Eval-Après action écologique'!$A$761:$A$780,FE9)&gt;0,IF(SUM(IF('Eval-Après action écologique'!$A$761=FE9,COUNTA('Eval-Après action écologique'!$H$761),0),IF('Eval-Après action écologique'!$A$762=FE9,COUNTA('Eval-Après action écologique'!$H$762),0),IF('Eval-Après action écologique'!$A$763=FE9,COUNTA('Eval-Après action écologique'!$H$763),0),IF('Eval-Après action écologique'!$A$764=FE9,COUNTA('Eval-Après action écologique'!$H$764),0),IF('Eval-Après action écologique'!$A$765=FE9,COUNTA('Eval-Après action écologique'!$H$765),0),IF('Eval-Après action écologique'!$A$766=FE9,COUNTA('Eval-Après action écologique'!$H$766),0),IF('Eval-Après action écologique'!$A$767=FE9,COUNTA('Eval-Après action écologique'!$H$767),0),IF('Eval-Après action écologique'!$A$768=FE9,COUNTA('Eval-Après action écologique'!$H$768),0),IF('Eval-Après action écologique'!$A$769=FE9,COUNTA('Eval-Après action écologique'!$H$769),0),IF('Eval-Après action écologique'!$A$770=FE9,COUNTA('Eval-Après action écologique'!$H$770),0),IF('Eval-Après action écologique'!$A$771=FE9,COUNTA('Eval-Après action écologique'!$H$771),0),IF('Eval-Après action écologique'!$A$772=FE9,COUNTA('Eval-Après action écologique'!$H$772),0),IF('Eval-Après action écologique'!$A$773=FE9,COUNTA('Eval-Après action écologique'!$H$773),0),IF('Eval-Après action écologique'!$A$774=FE9,COUNTA('Eval-Après action écologique'!$H$774),0),IF('Eval-Après action écologique'!$A$775=FE9,COUNTA('Eval-Après action écologique'!$H$775),0),IF('Eval-Après action écologique'!$A$776=FE9,COUNTA('Eval-Après action écologique'!$H$776),0),IF('Eval-Après action écologique'!$A$777=FE9,COUNTA('Eval-Après action écologique'!$H$777),0),IF('Eval-Après action écologique'!$A$778=FE9,COUNTA('Eval-Après action écologique'!$H$778),0),IF('Eval-Après action écologique'!$A$779=FE9,COUNTA('Eval-Après action écologique'!$H$779),0),IF('Eval-Après action écologique'!$A$780=FE9,COUNTA('Eval-Après action écologique'!$H$780),0))&gt;0,"X",0),"")</f>
        <v/>
      </c>
      <c r="FJ9" s="213" t="str">
        <f>IF(COUNTIF('Eval-Après action écologique'!$A$761:$A$780,FE9)&gt;0,IF(SUM(IF('Eval-Après action écologique'!$A$761=FE9,COUNTA('Eval-Après action écologique'!$I$761),0),IF('Eval-Après action écologique'!$A$762=FE9,COUNTA('Eval-Après action écologique'!$I$762),0),IF('Eval-Après action écologique'!$A$763=FE9,COUNTA('Eval-Après action écologique'!$I$763),0),IF('Eval-Après action écologique'!$A$764=FE9,COUNTA('Eval-Après action écologique'!$I$764),0),IF('Eval-Après action écologique'!$A$765=FE9,COUNTA('Eval-Après action écologique'!$I$765),0),IF('Eval-Après action écologique'!$A$766=FE9,COUNTA('Eval-Après action écologique'!$I$766),0),IF('Eval-Après action écologique'!$A$767=FE9,COUNTA('Eval-Après action écologique'!$I$767),0),IF('Eval-Après action écologique'!$A$768=FE9,COUNTA('Eval-Après action écologique'!$I$768),0),IF('Eval-Après action écologique'!$A$769=FE9,COUNTA('Eval-Après action écologique'!$I$769),0),IF('Eval-Après action écologique'!$A$770=FE9,COUNTA('Eval-Après action écologique'!$I$770),0),IF('Eval-Après action écologique'!$A$771=FE9,COUNTA('Eval-Après action écologique'!$I$771),0),IF('Eval-Après action écologique'!$A$772=FE9,COUNTA('Eval-Après action écologique'!$I$772),0),IF('Eval-Après action écologique'!$A$773=FE9,COUNTA('Eval-Après action écologique'!$I$773),0),IF('Eval-Après action écologique'!$A$774=FE9,COUNTA('Eval-Après action écologique'!$I$774),0),IF('Eval-Après action écologique'!$A$775=FE9,COUNTA('Eval-Après action écologique'!$I$775),0),IF('Eval-Après action écologique'!$A$776=FE9,COUNTA('Eval-Après action écologique'!$I$776),0),IF('Eval-Après action écologique'!$A$777=FE9,COUNTA('Eval-Après action écologique'!$I$777),0),IF('Eval-Après action écologique'!$A$778=FE9,COUNTA('Eval-Après action écologique'!$I$778),0),IF('Eval-Après action écologique'!$A$779=FE9,COUNTA('Eval-Après action écologique'!$I$779),0),IF('Eval-Après action écologique'!$A$780=FE9,COUNTA('Eval-Après action écologique'!$I$780),0))&gt;0,"X",0),"")</f>
        <v/>
      </c>
      <c r="FK9" s="213" t="str">
        <f>IF(COUNTIF('Eval-Après action écologique'!$A$761:$A$780,FE9)&gt;0,IF(SUM(IF('Eval-Après action écologique'!$A$761=FE9,COUNTA('Eval-Après action écologique'!$J$761),0),IF('Eval-Après action écologique'!$A$762=FE9,COUNTA('Eval-Après action écologique'!$J$762),0),IF('Eval-Après action écologique'!$A$763=FE9,COUNTA('Eval-Après action écologique'!$J$763),0),IF('Eval-Après action écologique'!$A$764=FE9,COUNTA('Eval-Après action écologique'!$J$764),0),IF('Eval-Après action écologique'!$A$765=FE9,COUNTA('Eval-Après action écologique'!$J$765),0),IF('Eval-Après action écologique'!$A$766=FE9,COUNTA('Eval-Après action écologique'!$J$766),0),IF('Eval-Après action écologique'!$A$767=FE9,COUNTA('Eval-Après action écologique'!$J$767),0),IF('Eval-Après action écologique'!$A$768=FE9,COUNTA('Eval-Après action écologique'!$J$768),0),IF('Eval-Après action écologique'!$A$769=FE9,COUNTA('Eval-Après action écologique'!$J$769),0),IF('Eval-Après action écologique'!$A$770=FE9,COUNTA('Eval-Après action écologique'!$J$770),0),IF('Eval-Après action écologique'!$A$771=FE9,COUNTA('Eval-Après action écologique'!$J$771),0),IF('Eval-Après action écologique'!$A$772=FE9,COUNTA('Eval-Après action écologique'!$J$772),0),IF('Eval-Après action écologique'!$A$773=FE9,COUNTA('Eval-Après action écologique'!$J$773),0),IF('Eval-Après action écologique'!$A$774=FE9,COUNTA('Eval-Après action écologique'!$J$774),0),IF('Eval-Après action écologique'!$A$775=FE9,COUNTA('Eval-Après action écologique'!$J$775),0),IF('Eval-Après action écologique'!$A$776=FE9,COUNTA('Eval-Après action écologique'!$J$776),0),IF('Eval-Après action écologique'!$A$777=FE9,COUNTA('Eval-Après action écologique'!$J$777),0),IF('Eval-Après action écologique'!$A$778=FE9,COUNTA('Eval-Après action écologique'!$J$778),0),IF('Eval-Après action écologique'!$A$779=FE9,COUNTA('Eval-Après action écologique'!$J$779),0),IF('Eval-Après action écologique'!$A$780=FE9,COUNTA('Eval-Après action écologique'!$J$780),0))&gt;0,"X",0),"")</f>
        <v/>
      </c>
      <c r="FL9" s="213" t="str">
        <f>IF(COUNTIF('Eval-Après action écologique'!$A$761:$A$780,FE9)&gt;0,IF(SUM(IF('Eval-Après action écologique'!$A$761=FE9,COUNTA('Eval-Après action écologique'!$K$761),0),IF('Eval-Après action écologique'!$A$762=FE9,COUNTA('Eval-Après action écologique'!$K$762),0),IF('Eval-Après action écologique'!$A$763=FE9,COUNTA('Eval-Après action écologique'!$K$763),0),IF('Eval-Après action écologique'!$A$764=FE9,COUNTA('Eval-Après action écologique'!$K$764),0),IF('Eval-Après action écologique'!$A$765=FE9,COUNTA('Eval-Après action écologique'!$K$765),0),IF('Eval-Après action écologique'!$A$766=FE9,COUNTA('Eval-Après action écologique'!$K$766),0),IF('Eval-Après action écologique'!$A$767=FE9,COUNTA('Eval-Après action écologique'!$K$767),0),IF('Eval-Après action écologique'!$A$768=FE9,COUNTA('Eval-Après action écologique'!$K$768),0),IF('Eval-Après action écologique'!$A$769=FE9,COUNTA('Eval-Après action écologique'!$K$769),0),IF('Eval-Après action écologique'!$A$770=FE9,COUNTA('Eval-Après action écologique'!$K$770),0),IF('Eval-Après action écologique'!$A$771=FE9,COUNTA('Eval-Après action écologique'!$K$771),0),IF('Eval-Après action écologique'!$A$772=FE9,COUNTA('Eval-Après action écologique'!$K$772),0),IF('Eval-Après action écologique'!$A$773=FE9,COUNTA('Eval-Après action écologique'!$K$773),0),IF('Eval-Après action écologique'!$A$774=FE9,COUNTA('Eval-Après action écologique'!$K$774),0),IF('Eval-Après action écologique'!$A$775=FE9,COUNTA('Eval-Après action écologique'!$K$775),0),IF('Eval-Après action écologique'!$A$776=FE9,COUNTA('Eval-Après action écologique'!$K$776),0),IF('Eval-Après action écologique'!$A$777=FE9,COUNTA('Eval-Après action écologique'!$K$777),0),IF('Eval-Après action écologique'!$A$778=FE9,COUNTA('Eval-Après action écologique'!$K$778),0),IF('Eval-Après action écologique'!$A$779=FE9,COUNTA('Eval-Après action écologique'!$K$779),0),IF('Eval-Après action écologique'!$A$780=FE9,COUNTA('Eval-Après action écologique'!$K$780),0))&gt;0,"X",0),"")</f>
        <v/>
      </c>
      <c r="FM9" s="211" t="str">
        <f>IF(COUNTIF('Eval-Après action écologique'!$A$761:$A$780,FE9)&gt;0,IF(OR(AND('Eval-Après action écologique'!$A$761=FE9,'Eval-Après action écologique'!$L$761&lt;120,'Eval-Après action écologique'!$L$761&gt;=GB9),AND('Eval-Après action écologique'!$A$762=FE9,'Eval-Après action écologique'!$L$762&lt;120,'Eval-Après action écologique'!$L$762&gt;=GB10),AND('Eval-Après action écologique'!$A$763=FE9,'Eval-Après action écologique'!$L$763&lt;120,'Eval-Après action écologique'!$L$763&gt;=GB11),AND('Eval-Après action écologique'!$A$764=FE9,'Eval-Après action écologique'!$L$764&lt;120,'Eval-Après action écologique'!$L$764&gt;=GB12),AND('Eval-Après action écologique'!$A$765=FE9,'Eval-Après action écologique'!$L$765&lt;120,'Eval-Après action écologique'!$L$765&gt;=GB13),AND('Eval-Après action écologique'!$A$766=FE9,'Eval-Après action écologique'!$L$766&lt;120,'Eval-Après action écologique'!$L$766&gt;=GB14),AND('Eval-Après action écologique'!$A$767=FE9,'Eval-Après action écologique'!$L$767&lt;120,'Eval-Après action écologique'!$L$767&gt;=GB15),AND('Eval-Après action écologique'!$A$768=FE9,'Eval-Après action écologique'!$L$768&lt;120,'Eval-Après action écologique'!$L$768&gt;=GB16),AND('Eval-Après action écologique'!$A$769=FE9,'Eval-Après action écologique'!$L$769&lt;120,'Eval-Après action écologique'!$L$769&gt;=GB17),AND('Eval-Après action écologique'!$A$770=FE9,'Eval-Après action écologique'!$L$770&lt;120,'Eval-Après action écologique'!$L$770&gt;=GB18),AND('Eval-Après action écologique'!$A$771=FE9,'Eval-Après action écologique'!$L$771&lt;120,'Eval-Après action écologique'!$L$771&gt;=GB19),AND('Eval-Après action écologique'!$A$772=FE9,'Eval-Après action écologique'!$L$772&lt;120,'Eval-Après action écologique'!$L$772&gt;=GB20),AND('Eval-Après action écologique'!$A$773=FE9,'Eval-Après action écologique'!$L$773&lt;120,'Eval-Après action écologique'!$L$773&gt;=GB21),AND('Eval-Après action écologique'!$A$774=FE9,'Eval-Après action écologique'!$L$774&lt;120,'Eval-Après action écologique'!$L$774&gt;=GB22),AND('Eval-Après action écologique'!$A$775=FE9,'Eval-Après action écologique'!$L$775&lt;120,'Eval-Après action écologique'!$L$775&gt;=GB23),AND('Eval-Après action écologique'!$A$776=FE9,'Eval-Après action écologique'!$L$776&lt;120,'Eval-Après action écologique'!$L$776&gt;=GB24),AND('Eval-Après action écologique'!$A$777=FE9,'Eval-Après action écologique'!$L$777&lt;120,'Eval-Après action écologique'!$L$777&gt;=GB25),AND('Eval-Après action écologique'!$A$778=FE9,'Eval-Après action écologique'!$L$778&lt;120,'Eval-Après action écologique'!$L$778&gt;=GB26),AND('Eval-Après action écologique'!$A$779=FE9,'Eval-Après action écologique'!$L$779&lt;120,'Eval-Après action écologique'!$L$779&gt;=GB27),AND('Eval-Après action écologique'!$A$780=FE9,'Eval-Après action écologique'!$L$780&lt;120,'Eval-Après action écologique'!$L$780&gt;=GB28)),"",SUM(IF('Eval-Après action écologique'!$A$761=FE9,'Eval-Après action écologique'!$L$761,0),IF('Eval-Après action écologique'!$A$762=FE9,'Eval-Après action écologique'!$L$762,0),IF('Eval-Après action écologique'!$A$763=FE9,'Eval-Après action écologique'!$L$763,0),IF('Eval-Après action écologique'!$A$764=FE9,'Eval-Après action écologique'!$L$764,0),IF('Eval-Après action écologique'!$A$765=FE9,'Eval-Après action écologique'!$L$765,0),IF('Eval-Après action écologique'!$A$766=FE9,'Eval-Après action écologique'!$L$766,0),IF('Eval-Après action écologique'!$A$767=FE9,'Eval-Après action écologique'!$L$767,0),IF('Eval-Après action écologique'!$A$768=FE9,'Eval-Après action écologique'!$L$768,0),IF('Eval-Après action écologique'!$A$769=FE9,'Eval-Après action écologique'!$L$769,0),IF('Eval-Après action écologique'!$A$770=FE9,'Eval-Après action écologique'!$L$770,0),IF('Eval-Après action écologique'!$A$771=FE9,'Eval-Après action écologique'!$L$771,0),IF('Eval-Après action écologique'!$A$772=FE9,'Eval-Après action écologique'!$L$772,0),IF('Eval-Après action écologique'!$A$773=FE9,'Eval-Après action écologique'!$L$773,0),IF('Eval-Après action écologique'!$A$774=FE9,'Eval-Après action écologique'!$L$774,0),IF('Eval-Après action écologique'!$A$775=FE9,'Eval-Après action écologique'!$L$775,0),IF('Eval-Après action écologique'!$A$776=FE9,'Eval-Après action écologique'!$L$776,0),IF('Eval-Après action écologique'!$A$777=FE9,'Eval-Après action écologique'!$L$777,0),IF('Eval-Après action écologique'!$A$778=FE9,'Eval-Après action écologique'!$L$778,0),IF('Eval-Après action écologique'!$A$779=FE9,'Eval-Après action écologique'!$L$779,0),IF('Eval-Après action écologique'!$A$780=FE9,'Eval-Après action écologique'!$L$780,0))/ COUNTIF('Eval-Après action écologique'!$A$761:$A$780,FE9)),"")</f>
        <v/>
      </c>
      <c r="FN9" s="211" t="str">
        <f>IF(COUNTIF('Eval-Après action écologique'!$A$761:$A$780,FE9)&gt;0,IF(OR(AND('Eval-Après action écologique'!$A$761=FE9, GB9&lt;120),AND(GB10&lt;120),AND(GB11&lt;120),AND(GB12&lt;120),AND(GB13&lt;120),AND(GB14&lt;120),AND(GB15&lt;120),AND(GB16&lt;120),AND(GB17&lt;120),AND(GB18&lt;120),AND(GB19&lt;120),AND(GB20&lt;120),AND(GB21&lt;120),AND(GB22&lt;120),AND(GB23&lt;120),AND(GB24&lt;120),AND(GB25&lt;120),AND(GB26&lt;120),AND(GB27&lt;120),AND(GB28&lt;120)),"",SUM(IF('Eval-Après action écologique'!$A$761=FE9,'Eval-Après action écologique'!$M$761,0),IF('Eval-Après action écologique'!$A$762=FE9,'Eval-Après action écologique'!$M$762,0),IF('Eval-Après action écologique'!$A$763=FE9,'Eval-Après action écologique'!$M$763,0),IF('Eval-Après action écologique'!$A$764=FE9,'Eval-Après action écologique'!$M$764,0),IF('Eval-Après action écologique'!$A$765=FE9,'Eval-Après action écologique'!$M$765,0),IF('Eval-Après action écologique'!$A$766=FE9,'Eval-Après action écologique'!$M$766,0),IF('Eval-Après action écologique'!$A$767=FE9,'Eval-Après action écologique'!$M$767,0),IF('Eval-Après action écologique'!$A$768=FE9,'Eval-Après action écologique'!$M$768,0),IF('Eval-Après action écologique'!$A$769=FE9,'Eval-Après action écologique'!$M$769,0),IF('Eval-Après action écologique'!$A$770=FE9,'Eval-Après action écologique'!$M$770,0),IF('Eval-Après action écologique'!$A$771=FE9,'Eval-Après action écologique'!$M$771,0),IF('Eval-Après action écologique'!$A$772=FE9,'Eval-Après action écologique'!$M$772,0),IF('Eval-Après action écologique'!$A$773=FE9,'Eval-Après action écologique'!$M$773,0),IF('Eval-Après action écologique'!$A$774=FE9,'Eval-Après action écologique'!$M$774,0),IF('Eval-Après action écologique'!$A$775=FE9,'Eval-Après action écologique'!$M$775,0), IF('Eval-Après action écologique'!$A$776=FE9,'Eval-Après action écologique'!$M$776,0), IF('Eval-Après action écologique'!$A$777=FE9,'Eval-Après action écologique'!$M$777,0), IF('Eval-Après action écologique'!$A$778=FE9,'Eval-Après action écologique'!$M$778,0), IF('Eval-Après action écologique'!$A$779=FE9,'Eval-Après action écologique'!$M$779,0), IF('Eval-Après action écologique'!$A$780=FE9,'Eval-Après action écologique'!$M$780,0))/COUNTIF('Eval-Après action écologique'!$A$761:$A$780,FE9)),"")</f>
        <v/>
      </c>
      <c r="FO9" s="211" t="str">
        <f>IF(COUNTIF('Eval-Après action écologique'!$A$761:$A$780,FE9)&gt;0,SUM(IF('Eval-Après action écologique'!$A$761=FE9,LEN(SUBSTITUTE((SUBSTITUTE(GD9,"TM","")),"TS",""))*10/2,0),IF('Eval-Après action écologique'!$A$762=FE9,LEN(SUBSTITUTE((SUBSTITUTE(GD10,"TM","")),"TS",""))*10/2,0),IF('Eval-Après action écologique'!$A$763=FE9,LEN(SUBSTITUTE((SUBSTITUTE(GD11,"TM","")),"TS",""))*10/2,0),IF('Eval-Après action écologique'!$A$764=FE9,LEN(SUBSTITUTE((SUBSTITUTE(GD12,"TM","")),"TS",""))*10/2,0),IF('Eval-Après action écologique'!$A$765=FE9,LEN(SUBSTITUTE((SUBSTITUTE(GD13,"TM","")),"TS",""))*10/2,0),IF('Eval-Après action écologique'!$A$766=FE9,LEN(SUBSTITUTE((SUBSTITUTE(GD14,"TM","")),"TS",""))*10/2,0),IF('Eval-Après action écologique'!$A$767=FE9,LEN(SUBSTITUTE((SUBSTITUTE(GD15,"TM","")),"TS",""))*10/2,0),IF('Eval-Après action écologique'!$A$768=FE9,LEN(SUBSTITUTE((SUBSTITUTE(GD16,"TM","")),"TS",""))*10/2,0),IF('Eval-Après action écologique'!$A$769=FE9,LEN(SUBSTITUTE((SUBSTITUTE(GD17,"TM","")),"TS",""))*10/2,0),IF('Eval-Après action écologique'!$A$770=FE9,LEN(SUBSTITUTE((SUBSTITUTE(GD18,"TM","")),"TS",""))*10/2,0),IF('Eval-Après action écologique'!$A$771=FE9,LEN(SUBSTITUTE((SUBSTITUTE(GD19,"TM","")),"TS",""))*10/2,0),IF('Eval-Après action écologique'!$A$772=FE9,LEN(SUBSTITUTE((SUBSTITUTE(GD20,"TM","")),"TS",""))*10/2,0),IF('Eval-Après action écologique'!$A$773=FE9,LEN(SUBSTITUTE((SUBSTITUTE(GD21,"TM","")),"TS",""))*10/2,0),IF('Eval-Après action écologique'!$A$774=FE9,LEN(SUBSTITUTE((SUBSTITUTE(GD22,"TM","")),"TS",""))*10/2,0),IF('Eval-Après action écologique'!$A$775=FE9,LEN(SUBSTITUTE((SUBSTITUTE(GD23,"TM","")),"TS",""))*10/2,0),IF('Eval-Après action écologique'!$A$776=FE9,LEN(SUBSTITUTE((SUBSTITUTE(GD24,"TM","")),"TS",""))*10/2,0),IF('Eval-Après action écologique'!$A$777=FE9,LEN(SUBSTITUTE((SUBSTITUTE(GD25,"TM","")),"TS",""))*10/2,0),IF('Eval-Après action écologique'!$A$778=FE9,LEN(SUBSTITUTE((SUBSTITUTE(GD26,"TM","")),"TS",""))*10/2,0),IF('Eval-Après action écologique'!$A$779=FE9,LEN(SUBSTITUTE((SUBSTITUTE(GD27,"TM","")),"TS",""))*10/2,0),IF('Eval-Après action écologique'!$A$780=FE9,LEN(SUBSTITUTE((SUBSTITUTE(GD28,"TM","")),"TS",""))*10/2,0))/COUNTIF('Eval-Après action écologique'!$A$761:$A$780,FE9),"")</f>
        <v/>
      </c>
      <c r="FP9" s="211" t="str">
        <f>IF(COUNTIF('Eval-Après action écologique'!$A$761:$A$780,FE9)&gt;0,SUM(IF('Eval-Après action écologique'!$A$761=FE9,LEN(SUBSTITUTE((SUBSTITUTE(GD9,"TF","")),"TS",""))*10/2,0),IF('Eval-Après action écologique'!$A$762=FE9,LEN(SUBSTITUTE((SUBSTITUTE(GD10,"TF","")),"TS",""))*10/2,0),IF('Eval-Après action écologique'!$A$763=FE9,LEN(SUBSTITUTE((SUBSTITUTE(GD11,"TF","")),"TS",""))*10/2,0),IF('Eval-Après action écologique'!$A$764=FE9,LEN(SUBSTITUTE((SUBSTITUTE(GD12,"TF","")),"TS",""))*10/2,0),IF('Eval-Après action écologique'!$A$765=FE9,LEN(SUBSTITUTE((SUBSTITUTE(GD13,"TF","")),"TS",""))*10/2,0),IF('Eval-Après action écologique'!$A$766=FE9,LEN(SUBSTITUTE((SUBSTITUTE(GD14,"TF","")),"TS",""))*10/2,0),IF('Eval-Après action écologique'!$A$767=FE9,LEN(SUBSTITUTE((SUBSTITUTE(GD15,"TF","")),"TS",""))*10/2,0),IF('Eval-Après action écologique'!$A$768=FE9,LEN(SUBSTITUTE((SUBSTITUTE(GD16,"TF","")),"TS",""))*10/2,0),IF('Eval-Après action écologique'!$A$769=FE9,LEN(SUBSTITUTE((SUBSTITUTE(GD17,"TF","")),"TS",""))*10/2,0),IF('Eval-Après action écologique'!$A$770=FE9,LEN(SUBSTITUTE((SUBSTITUTE(GD18,"TF","")),"TS",""))*10/2,0),IF('Eval-Après action écologique'!$A$771=FE9,LEN(SUBSTITUTE((SUBSTITUTE(GD19,"TF","")),"TS",""))*10/2,0),IF('Eval-Après action écologique'!$A$772=FE9,LEN(SUBSTITUTE((SUBSTITUTE(GD20,"TF","")),"TS",""))*10/2,0),IF('Eval-Après action écologique'!$A$773=FE9,LEN(SUBSTITUTE((SUBSTITUTE(GD21,"TF","")),"TS",""))*10/2,0),IF('Eval-Après action écologique'!$A$774=FE9,LEN(SUBSTITUTE((SUBSTITUTE(GD22,"TF","")),"TS",""))*10/2,0),IF('Eval-Après action écologique'!$A$775=FE9,LEN(SUBSTITUTE((SUBSTITUTE(GD23,"TF","")),"TS",""))*10/2,0),IF('Eval-Après action écologique'!$A$776=FE9,LEN(SUBSTITUTE((SUBSTITUTE(GD24,"TF","")),"TS",""))*10/2,0),IF('Eval-Après action écologique'!$A$777=FE9,LEN(SUBSTITUTE((SUBSTITUTE(GD25,"TF","")),"TS",""))*10/2,0),IF('Eval-Après action écologique'!$A$778=FE9,LEN(SUBSTITUTE((SUBSTITUTE(GD26,"TF","")),"TS",""))*10/2,0),IF('Eval-Après action écologique'!$A$779=FE9,LEN(SUBSTITUTE((SUBSTITUTE(GD27,"TF","")),"TS",""))*10/2,0),IF('Eval-Après action écologique'!$A$780=FE9,LEN(SUBSTITUTE((SUBSTITUTE(GD28,"TF","")),"TS",""))*10/2,0))/COUNTIF('Eval-Après action écologique'!$A$761:$A$780,FE9),"")</f>
        <v/>
      </c>
      <c r="FQ9" s="211" t="str">
        <f>IF(COUNTIF('Eval-Après action écologique'!$A$761:$A$780,FE9)&gt;0,SUM(IF('Eval-Après action écologique'!$A$761=FE9,LEN(SUBSTITUTE((SUBSTITUTE(GD9,"TF","")),"TM",""))*10/2,0),IF('Eval-Après action écologique'!$A$762=FE9,LEN(SUBSTITUTE((SUBSTITUTE(GD10,"TF","")),"TM",""))*10/2,0),IF('Eval-Après action écologique'!$A$763=FE9,LEN(SUBSTITUTE((SUBSTITUTE(GD11,"TF","")),"TM",""))*10/2,0),IF('Eval-Après action écologique'!$A$764=FE9,LEN(SUBSTITUTE((SUBSTITUTE(GD12,"TF","")),"TM",""))*10/2,0),IF('Eval-Après action écologique'!$A$765=FE9,LEN(SUBSTITUTE((SUBSTITUTE(GD13,"TF","")),"TM",""))*10/2,0),IF('Eval-Après action écologique'!$A$766=FE9,LEN(SUBSTITUTE((SUBSTITUTE(GD14,"TF","")),"TM",""))*10/2,0),IF('Eval-Après action écologique'!$A$767=FE9,LEN(SUBSTITUTE((SUBSTITUTE(GD15,"TF","")),"TM",""))*10/2,0),IF('Eval-Après action écologique'!$A$768=FE9,LEN(SUBSTITUTE((SUBSTITUTE(GD16,"TF","")),"TM",""))*10/2,0),IF('Eval-Après action écologique'!$A$769=FE9,LEN(SUBSTITUTE((SUBSTITUTE(GD17,"TF","")),"TM",""))*10/2,0),IF('Eval-Après action écologique'!$A$770=FE9,LEN(SUBSTITUTE((SUBSTITUTE(GD18,"TF","")),"TM",""))*10/2,0),IF('Eval-Après action écologique'!$A$771=FE9,LEN(SUBSTITUTE((SUBSTITUTE(GD19,"TF","")),"TM",""))*10/2,0),IF('Eval-Après action écologique'!$A$772=FE9,LEN(SUBSTITUTE((SUBSTITUTE(GD20,"TF","")),"TM",""))*10/2,0),IF('Eval-Après action écologique'!$A$773=FE9,LEN(SUBSTITUTE((SUBSTITUTE(GD21,"TF","")),"TM",""))*10/2,0),IF('Eval-Après action écologique'!$A$774=FE9,LEN(SUBSTITUTE((SUBSTITUTE(GD22,"TF","")),"TM",""))*10/2,0),IF('Eval-Après action écologique'!$A$775=FE9,LEN(SUBSTITUTE((SUBSTITUTE(GD23,"TF","")),"TM",""))*10/2,0),IF('Eval-Après action écologique'!$A$776=FE9,LEN(SUBSTITUTE((SUBSTITUTE(GD24,"TF","")),"TM",""))*10/2,0),IF('Eval-Après action écologique'!$A$777=FE9,LEN(SUBSTITUTE((SUBSTITUTE(GD25,"TF","")),"TM",""))*10/2,0),IF('Eval-Après action écologique'!$A$778=FE9,LEN(SUBSTITUTE((SUBSTITUTE(GD26,"TF","")),"TM",""))*10/2,0),IF('Eval-Après action écologique'!$A$779=FE9,LEN(SUBSTITUTE((SUBSTITUTE(GD27,"TF","")),"TM",""))*10/2,0),IF('Eval-Après action écologique'!$A$780=FE9,LEN(SUBSTITUTE((SUBSTITUTE(GD28,"TF","")),"TM",""))*10/2,0))/COUNTIF('Eval-Après action écologique'!$A$761:$A$780,FE9),"")</f>
        <v/>
      </c>
      <c r="FR9" s="211" t="str">
        <f>IF(COUNTIF('Eval-Après action écologique'!$A$761:$A$780,FE9)&gt;0,SUM(IF('Eval-Après action écologique'!$A$761=FE9,LEN(SUBSTITUTE((SUBSTITUTE(GE9,"TM","")),"TS",""))*10/2,0),IF('Eval-Après action écologique'!$A$762=FE9,LEN(SUBSTITUTE((SUBSTITUTE(GE10,"TM","")),"TS",""))*10/2,0),IF('Eval-Après action écologique'!$A$763=FE9,LEN(SUBSTITUTE((SUBSTITUTE(GE11,"TM","")),"TS",""))*10/2,0),IF('Eval-Après action écologique'!$A$764=FE9,LEN(SUBSTITUTE((SUBSTITUTE(GE12,"TM","")),"TS",""))*10/2,0),IF('Eval-Après action écologique'!$A$765=FE9,LEN(SUBSTITUTE((SUBSTITUTE(GE13,"TM","")),"TS",""))*10/2,0),IF('Eval-Après action écologique'!$A$766=FE9,LEN(SUBSTITUTE((SUBSTITUTE(GE14,"TM","")),"TS",""))*10/2,0),IF('Eval-Après action écologique'!$A$767=FE9,LEN(SUBSTITUTE((SUBSTITUTE(GE15,"TM","")),"TS",""))*10/2,0),IF('Eval-Après action écologique'!$A$768=FE9,LEN(SUBSTITUTE((SUBSTITUTE(GE16,"TM","")),"TS",""))*10/2,0),IF('Eval-Après action écologique'!$A$769=FE9,LEN(SUBSTITUTE((SUBSTITUTE(GE17,"TM","")),"TS",""))*10/2,0),IF('Eval-Après action écologique'!$A$770=FE9,LEN(SUBSTITUTE((SUBSTITUTE(GE18,"TM","")),"TS",""))*10/2,0),IF('Eval-Après action écologique'!$A$771=FE9,LEN(SUBSTITUTE((SUBSTITUTE(GE19,"TM","")),"TS",""))*10/2,0),IF('Eval-Après action écologique'!$A$772=FE9,LEN(SUBSTITUTE((SUBSTITUTE(GE20,"TM","")),"TS",""))*10/2,0),IF('Eval-Après action écologique'!$A$773=FE9,LEN(SUBSTITUTE((SUBSTITUTE(GE21,"TM","")),"TS",""))*10/2,0),IF('Eval-Après action écologique'!$A$774=FE9,LEN(SUBSTITUTE((SUBSTITUTE(GE22,"TM","")),"TS",""))*10/2,0),IF('Eval-Après action écologique'!$A$775=FE9,LEN(SUBSTITUTE((SUBSTITUTE(GE23,"TM","")),"TS",""))*10/2,0),IF('Eval-Après action écologique'!$A$776=FE9,LEN(SUBSTITUTE((SUBSTITUTE(GE24,"TM","")),"TS",""))*10/2,0),IF('Eval-Après action écologique'!$A$777=FE9,LEN(SUBSTITUTE((SUBSTITUTE(GE25,"TM","")),"TS",""))*10/2,0),IF('Eval-Après action écologique'!$A$778=FE9,LEN(SUBSTITUTE((SUBSTITUTE(GE26,"TM","")),"TS",""))*10/2,0),IF('Eval-Après action écologique'!$A$779=FE9,LEN(SUBSTITUTE((SUBSTITUTE(GE27,"TM","")),"TS",""))*10/2,0),IF('Eval-Après action écologique'!$A$780=FE9,LEN(SUBSTITUTE((SUBSTITUTE(GE28,"TM","")),"TS",""))*10/2,0))/COUNTIF('Eval-Après action écologique'!$A$761:$A$780,FE9),"")</f>
        <v/>
      </c>
      <c r="FS9" s="211" t="str">
        <f>IF(COUNTIF('Eval-Après action écologique'!$A$761:$A$780,FE9)&gt;0,SUM(IF('Eval-Après action écologique'!$A$761=FE9,LEN(SUBSTITUTE((SUBSTITUTE(GE9,"TF","")),"TS",""))*10/2,0),IF('Eval-Après action écologique'!$A$762=FE9,LEN(SUBSTITUTE((SUBSTITUTE(GE10,"TF","")),"TS",""))*10/2,0),IF('Eval-Après action écologique'!$A$763=FE9,LEN(SUBSTITUTE((SUBSTITUTE(GE11,"TF","")),"TS",""))*10/2,0),IF('Eval-Après action écologique'!$A$764=FE9,LEN(SUBSTITUTE((SUBSTITUTE(GE12,"TF","")),"TS",""))*10/2,0),IF('Eval-Après action écologique'!$A$765=FE9,LEN(SUBSTITUTE((SUBSTITUTE(GE13,"TF","")),"TS",""))*10/2,0),IF('Eval-Après action écologique'!$A$766=FE9,LEN(SUBSTITUTE((SUBSTITUTE(GE14,"TF","")),"TS",""))*10/2,0),IF('Eval-Après action écologique'!$A$767=FE9,LEN(SUBSTITUTE((SUBSTITUTE(GE15,"TF","")),"TS",""))*10/2,0),IF('Eval-Après action écologique'!$A$768=FE9,LEN(SUBSTITUTE((SUBSTITUTE(GE16,"TF","")),"TS",""))*10/2,0),IF('Eval-Après action écologique'!$A$769=FE9,LEN(SUBSTITUTE((SUBSTITUTE(GE17,"TF","")),"TS",""))*10/2,0),IF('Eval-Après action écologique'!$A$770=FE9,LEN(SUBSTITUTE((SUBSTITUTE(GE18,"TF","")),"TS",""))*10/2,0),IF('Eval-Après action écologique'!$A$771=FE9,LEN(SUBSTITUTE((SUBSTITUTE(GE19,"TF","")),"TS",""))*10/2,0),IF('Eval-Après action écologique'!$A$772=FE9,LEN(SUBSTITUTE((SUBSTITUTE(GE20,"TF","")),"TS",""))*10/2,0),IF('Eval-Après action écologique'!$A$773=FE9,LEN(SUBSTITUTE((SUBSTITUTE(GE21,"TF","")),"TS",""))*10/2,0),IF('Eval-Après action écologique'!$A$774=FE9,LEN(SUBSTITUTE((SUBSTITUTE(GE22,"TF","")),"TS",""))*10/2,0),IF('Eval-Après action écologique'!$A$775=FE9,LEN(SUBSTITUTE((SUBSTITUTE(GE23,"TF","")),"TS",""))*10/2,0),IF('Eval-Après action écologique'!$A$776=FE9,LEN(SUBSTITUTE((SUBSTITUTE(GE24,"TF","")),"TS",""))*10/2,0),IF('Eval-Après action écologique'!$A$777=FE9,LEN(SUBSTITUTE((SUBSTITUTE(GE25,"TF","")),"TS",""))*10/2,0),IF('Eval-Après action écologique'!$A$778=FE9,LEN(SUBSTITUTE((SUBSTITUTE(GE26,"TF","")),"TS",""))*10/2,0),IF('Eval-Après action écologique'!$A$779=FE9,LEN(SUBSTITUTE((SUBSTITUTE(GE27,"TF","")),"TS",""))*10/2,0),IF('Eval-Après action écologique'!$A$780=FE9,LEN(SUBSTITUTE((SUBSTITUTE(GE28,"TF","")),"TS",""))*10/2,0))/COUNTIF('Eval-Après action écologique'!$A$761:$A$780,FE9),"")</f>
        <v/>
      </c>
      <c r="FT9" s="211" t="str">
        <f>IF(COUNTIF('Eval-Après action écologique'!$A$761:$A$780,FE9)&gt;0,SUM(IF('Eval-Après action écologique'!$A$761=FE9,LEN(SUBSTITUTE((SUBSTITUTE(GE9,"TF","")),"TM",""))*10/2,0),IF('Eval-Après action écologique'!$A$762=FE9,LEN(SUBSTITUTE((SUBSTITUTE(GE10,"TF","")),"TM",""))*10/2,0),IF('Eval-Après action écologique'!$A$763=FE9,LEN(SUBSTITUTE((SUBSTITUTE(GE11,"TF","")),"TM",""))*10/2,0),IF('Eval-Après action écologique'!$A$764=FE9,LEN(SUBSTITUTE((SUBSTITUTE(GE12,"TF","")),"TM",""))*10/2,0),IF('Eval-Après action écologique'!$A$765=FE9,LEN(SUBSTITUTE((SUBSTITUTE(GE13,"TF","")),"TM",""))*10/2,0),IF('Eval-Après action écologique'!$A$766=FE9,LEN(SUBSTITUTE((SUBSTITUTE(GE14,"TF","")),"TM",""))*10/2,0),IF('Eval-Après action écologique'!$A$767=FE9,LEN(SUBSTITUTE((SUBSTITUTE(GE15,"TF","")),"TM",""))*10/2,0),IF('Eval-Après action écologique'!$A$768=FE9,LEN(SUBSTITUTE((SUBSTITUTE(GE16,"TF","")),"TM",""))*10/2,0),IF('Eval-Après action écologique'!$A$769=FE9,LEN(SUBSTITUTE((SUBSTITUTE(GE17,"TF","")),"TM",""))*10/2,0),IF('Eval-Après action écologique'!$A$770=FE9,LEN(SUBSTITUTE((SUBSTITUTE(GE18,"TF","")),"TM",""))*10/2,0),IF('Eval-Après action écologique'!$A$771=FE9,LEN(SUBSTITUTE((SUBSTITUTE(GE19,"TF","")),"TM",""))*10/2,0),IF('Eval-Après action écologique'!$A$772=FE9,LEN(SUBSTITUTE((SUBSTITUTE(GE20,"TF","")),"TM",""))*10/2,0),IF('Eval-Après action écologique'!$A$773=FE9,LEN(SUBSTITUTE((SUBSTITUTE(GE21,"TF","")),"TM",""))*10/2,0),IF('Eval-Après action écologique'!$A$774=FE9,LEN(SUBSTITUTE((SUBSTITUTE(GE22,"TF","")),"TM",""))*10/2,0),IF('Eval-Après action écologique'!$A$775=FE9,LEN(SUBSTITUTE((SUBSTITUTE(GE23,"TF","")),"TM",""))*10/2,0),IF('Eval-Après action écologique'!$A$776=FE9,LEN(SUBSTITUTE((SUBSTITUTE(GE24,"TF","")),"TM",""))*10/2,0),IF('Eval-Après action écologique'!$A$777=FE9,LEN(SUBSTITUTE((SUBSTITUTE(GE25,"TF","")),"TM",""))*10/2,0),IF('Eval-Après action écologique'!$A$778=FE9,LEN(SUBSTITUTE((SUBSTITUTE(GE26,"TF","")),"TM",""))*10/2,0),IF('Eval-Après action écologique'!$A$779=FE9,LEN(SUBSTITUTE((SUBSTITUTE(GE27,"TF","")),"TM",""))*10/2,0),IF('Eval-Après action écologique'!$A$780=FE9,LEN(SUBSTITUTE((SUBSTITUTE(GE28,"TF","")),"TM",""))*10/2,0))/COUNTIF('Eval-Après action écologique'!$A$761:$A$780,FE9),"")</f>
        <v/>
      </c>
      <c r="FU9" s="211" t="str">
        <f>IF(COUNTIF('Eval-Après action écologique'!$A$761:$A$780,FE9)&gt;0,IF(OR(AND('Eval-Après action écologique'!$A$761=FE9,GB9&lt;30),AND('Eval-Après action écologique'!$A$762=FE9,GB10&lt;30),AND('Eval-Après action écologique'!$A$763=FE9,GB11&lt;30),AND('Eval-Après action écologique'!$A$764=FE9,GB12&lt;30),AND('Eval-Après action écologique'!$A$765=FE9,GB13&lt;30),AND('Eval-Après action écologique'!$A$766=FE9,GB14&lt;30),AND('Eval-Après action écologique'!$A$767=FE9,GB15&lt;30),AND('Eval-Après action écologique'!$A$768=FE9,GB16&lt;30),AND('Eval-Après action écologique'!$A$769=FE9,GB17&lt;30),AND('Eval-Après action écologique'!$A$770=FE9,GB18&lt;30),AND('Eval-Après action écologique'!$A$771=FE9,GB19&lt;30),AND('Eval-Après action écologique'!$A$772=FE9,GB20&lt;30),AND('Eval-Après action écologique'!$A$773=FE9,GB21&lt;30),AND('Eval-Après action écologique'!$A$774=FE9,GB22&lt;30),AND('Eval-Après action écologique'!$A$775=FE9,GB23&lt;30),AND('Eval-Après action écologique'!$A$776=FE9,GB24&lt;30),AND('Eval-Après action écologique'!$A$777=FE9,GB25&lt;30),AND('Eval-Après action écologique'!$A$778=FE9,GB26&lt;30),AND('Eval-Après action écologique'!$A$779=FE9,GB27&lt;30),AND('Eval-Après action écologique'!$A$780=FE9,GB28&lt;30)),"",SUM(0.1*(SUMPRODUCT(('Eval-Après action écologique'!$A$761:$A$780=FE9)*('Eval-Après action écologique'!$N$761:$P$780="A"))+ SUMPRODUCT(('Eval-Après action écologique'!$A$761:$A$780=FE9)*('Eval-Après action écologique'!$N$761:$P$780="AL"))),0.7*(SUMPRODUCT(('Eval-Après action écologique'!$A$761:$A$780=FE9)*('Eval-Après action écologique'!$N$761:$P$780="TF"))+SUMPRODUCT(('Eval-Après action écologique'!$A$761:$A$780=FE9)*('Eval-Après action écologique'!$N$761:$P$780="TM"))+SUMPRODUCT(('Eval-Après action écologique'!$A$761:$A$780=FE9)*('Eval-Après action écologique'!$N$761:$P$780="TS"))),0.4*(SUMPRODUCT(('Eval-Après action écologique'!$A$761:$A$780=FE9)*('Eval-Après action écologique'!$N$761:$P$780="LA"))+SUMPRODUCT(('Eval-Après action écologique'!$A$761:$A$780=FE9)*('Eval-Après action écologique'!$N$761:$P$780="L"))+SUMPRODUCT(('Eval-Après action écologique'!$A$761:$A$780=FE9)*('Eval-Après action écologique'!$N$761:$P$780="LS"))),1*(SUMPRODUCT(('Eval-Après action écologique'!$A$761:$A$780=FE9)*('Eval-Après action écologique'!$N$761:$P$780="SL"))+ SUMPRODUCT(('Eval-Après action écologique'!$A$761:$A$780=FE9)*('Eval-Après action écologique'!$N$761:$P$780="S"))))/(3*COUNTIF('Eval-Après action écologique'!$A$761:$A$780,FE9))),"")</f>
        <v/>
      </c>
      <c r="FV9" s="211" t="str">
        <f>IF(COUNTIF('Eval-Après action écologique'!$A$761:$A$780,FE9)&gt;0,IF(OR(AND('Eval-Après action écologique'!$A$761=FE9,GB9&lt;120),AND('Eval-Après action écologique'!$A$762=FE9,GB10&lt;120),AND('Eval-Après action écologique'!$A$763=FE9,GB11&lt;120),AND('Eval-Après action écologique'!$A$764=FE9,GB12&lt;120),AND('Eval-Après action écologique'!$A$765=FE9,GB13&lt;120),AND('Eval-Après action écologique'!$A$766=FE9,GB14&lt;120),AND('Eval-Après action écologique'!$A$767=FE9,GB15&lt;120),AND('Eval-Après action écologique'!$A$768=FE9,GB16&lt;120),AND('Eval-Après action écologique'!$A$769=FE9,GB17&lt;120),AND('Eval-Après action écologique'!$A$770=FE9,GB18&lt;120),AND('Eval-Après action écologique'!$A$771=FE9,GB19&lt;120),AND('Eval-Après action écologique'!$A$772=FE9,GB20&lt;120),AND('Eval-Après action écologique'!$A$773=FE9,GB21&lt;120),AND('Eval-Après action écologique'!$A$774=FE9,GB22&lt;120),AND('Eval-Après action écologique'!$A$775=FE9,GB23&lt;120),AND('Eval-Après action écologique'!$A$776=FE9,GB24&lt;120),AND('Eval-Après action écologique'!$A$777=FE9,GB25&lt;120),AND('Eval-Après action écologique'!$A$778=FE9,GB26&lt;120),AND('Eval-Après action écologique'!$A$779=FE9,GB27&lt;120),AND('Eval-Après action écologique'!$A$780=FE9,GB28&lt;120)),"",SUM(0.1*(SUMPRODUCT(('Eval-Après action écologique'!$A$761:$A$780=FE9)*('Eval-Après action écologique'!$Q$761:$Y$780="A"))+ SUMPRODUCT(('Eval-Après action écologique'!$A$761:$A$780=FE9)*('Eval-Après action écologique'!$Q$761:$Y$780="AL"))),0.7*(SUMPRODUCT(('Eval-Après action écologique'!$A$761:$A$780=FE9)*('Eval-Après action écologique'!$Q$761:$Y$780="TF"))+SUMPRODUCT(('Eval-Après action écologique'!$A$761:$A$780=FE9)*('Eval-Après action écologique'!$Q$761:$Y$780="TM"))+SUMPRODUCT(('Eval-Après action écologique'!$A$761:$A$780=FE9)*('Eval-Après action écologique'!$Q$761:$Y$780="TS"))),0.4*(SUMPRODUCT(('Eval-Après action écologique'!$A$761:$A$780=FE9)*('Eval-Après action écologique'!$Q$761:$Y$780="LA"))+SUMPRODUCT(('Eval-Après action écologique'!$A$761:$A$780=FE9)*('Eval-Après action écologique'!$Q$761:$Y$780="L"))+SUMPRODUCT(('Eval-Après action écologique'!$A$761:$A$780=FE9)*('Eval-Après action écologique'!$Q$761:$Y$780="LS"))),1*(SUMPRODUCT(('Eval-Après action écologique'!$A$761:$A$780=FE9)*('Eval-Après action écologique'!$Q$761:$Y$780="SL"))+ SUMPRODUCT(('Eval-Après action écologique'!$A$761:$A$780=FE9)*('Eval-Après action écologique'!$Q$761:$Y$780="S"))))/(9*COUNTIF('Eval-Après action écologique'!$A$761:$A$780,FE9))),"")</f>
        <v/>
      </c>
      <c r="FW9" s="211" t="str">
        <f>IF(COUNTIF('Eval-Après action écologique'!$A$761:$A$780,FE9)&gt;0,IF(OR(AND('Eval-Après action écologique'!$A$761=FE9,OR(COUNTIF('Eval-Après action écologique'!$N$761:$P$761,"*T*")&gt;0,GB9&lt;30)),AND('Eval-Après action écologique'!$A$762=FE9,OR(COUNTIF('Eval-Après action écologique'!$N$762:$P$762,"*T*")&gt;0,GB10&lt;30)),AND('Eval-Après action écologique'!$A$763=FE9,OR(COUNTIF('Eval-Après action écologique'!$N$763:$P$763,"*T*")&gt;0,GB11&lt;30)),AND('Eval-Après action écologique'!$A$764=FE9,OR(COUNTIF('Eval-Après action écologique'!$N$764:$P$764,"*T*")&gt;0,GB12&lt;30)),AND('Eval-Après action écologique'!$A$765=FE9,OR(COUNTIF('Eval-Après action écologique'!$N$765:$P$765,"*T*")&gt;0,GB13&lt;30)),AND('Eval-Après action écologique'!$A$766=FE9,OR(COUNTIF('Eval-Après action écologique'!$N$766:$P$766,"*T*")&gt;0,GB14&lt;30)),AND('Eval-Après action écologique'!$A$767=FE9,OR(COUNTIF('Eval-Après action écologique'!$N$767:$P$767,"*T*")&gt;0,GB15&lt;30)),AND('Eval-Après action écologique'!$A$768=FE9,OR(COUNTIF('Eval-Après action écologique'!$N$768:$P$768,"*T*")&gt;0,GB16&lt;30)),AND('Eval-Après action écologique'!$A$769=FE9,OR(COUNTIF('Eval-Après action écologique'!$N$769:$P$769,"*T*")&gt;0,GB17&lt;30)),AND('Eval-Après action écologique'!$A$770=FE9,OR(COUNTIF('Eval-Après action écologique'!$N$770:$P$770,"*T*")&gt;0,GB18&lt;30)),AND('Eval-Après action écologique'!$A$771=FE9,OR(COUNTIF('Eval-Après action écologique'!$N$771:$P$771,"*T*")&gt;0,GB19&lt;30)),AND('Eval-Après action écologique'!$A$772=FE9,OR(COUNTIF('Eval-Après action écologique'!$N$772:$P$772,"*T*")&gt;0,GB20&lt;30)),AND('Eval-Après action écologique'!$A$773=FE9,OR(COUNTIF('Eval-Après action écologique'!$N$773:$P$773,"*T*")&gt;0,GB21&lt;30)),AND('Eval-Après action écologique'!$A$774=FE9,OR(COUNTIF('Eval-Après action écologique'!$N$774:$P$774,"*T*")&gt;0,GB22&lt;30)),AND('Eval-Après action écologique'!$A$775=FE9,OR(COUNTIF('Eval-Après action écologique'!$N$775:$P$775,"*T*")&gt;0,GB23&lt;30)),AND('Eval-Après action écologique'!$A$776=FE9,OR(COUNTIF('Eval-Après action écologique'!$N$776:$P$776,"*T*")&gt;0,GB24&lt;30)),AND('Eval-Après action écologique'!$A$777=FE9,OR(COUNTIF('Eval-Après action écologique'!$N$777:$P$777,"*T*")&gt;0,GB25&lt;30)),AND('Eval-Après action écologique'!$A$778=FE9,OR(COUNTIF('Eval-Après action écologique'!$N$778:$P$778,"*T*")&gt;0,GB26&lt;30)),AND('Eval-Après action écologique'!$A$779=FE9,OR(COUNTIF('Eval-Après action écologique'!$N$779:$P$779,"*T*")&gt;0,GB27&lt;30)),AND('Eval-Après action écologique'!$A$780=FE9,OR(COUNTIF('Eval-Après action écologique'!$N$780:$P$780,"*T*")&gt;0,GB28&lt;30))),"",SUM(0.1*(SUMPRODUCT(('Eval-Après action écologique'!$A$761:$A$780=FE9)*('Eval-Après action écologique'!$N$761:$P$780="L"))),0.4*(SUMPRODUCT(('Eval-Après action écologique'!$A$761:$A$780=FE9)*('Eval-Après action écologique'!$N$761:$P$780="LA"))+SUMPRODUCT(('Eval-Après action écologique'!$A$761:$A$780=FE9)*('Eval-Après action écologique'!$N$761:$P$780="LS"))),0.7*(SUMPRODUCT(('Eval-Après action écologique'!$A$761:$A$780=FE9)*('Eval-Après action écologique'!$N$761:$P$780="AL"))+SUMPRODUCT(('Eval-Après action écologique'!$A$761:$A$780=FE9)*('Eval-Après action écologique'!$N$761:$P$780="SL"))),1*(SUMPRODUCT(('Eval-Après action écologique'!$A$761:$A$780=FE9)*('Eval-Après action écologique'!$N$761:$P$780="S"))+ SUMPRODUCT(('Eval-Après action écologique'!$A$761:$A$780=FE9)*('Eval-Après action écologique'!$N$761:$P$780="A"))))/(3*COUNTIF('Eval-Après action écologique'!$A$761:$A$780,FE9))),"")</f>
        <v/>
      </c>
      <c r="FX9" s="211" t="str">
        <f>IF(COUNTIF('Eval-Après action écologique'!$A$761:$A$780,FE9)&gt;0,IF(OR(AND('Eval-Après action écologique'!$A$761=FE9,OR(COUNTIF('Eval-Après action écologique'!$N$761:$P$761,"*T*")&gt;0,GB9&lt;30)),AND('Eval-Après action écologique'!$A$762=FE9,OR(COUNTIF('Eval-Après action écologique'!$N$762:$P$762,"*T*")&gt;0,GB10&lt;30)),AND('Eval-Après action écologique'!$A$763=FE9,OR(COUNTIF('Eval-Après action écologique'!$N$763:$P$763,"*T*")&gt;0,GB11&lt;30)),AND('Eval-Après action écologique'!$A$764=FE9,OR(COUNTIF('Eval-Après action écologique'!$N$764:$P$764,"*T*")&gt;0,GB12&lt;30)),AND('Eval-Après action écologique'!$A$765=FE9,OR(COUNTIF('Eval-Après action écologique'!$N$765:$P$765,"*T*")&gt;0,GB13&lt;30)),AND('Eval-Après action écologique'!$A$766=FE9,OR(COUNTIF('Eval-Après action écologique'!$N$766:$P$766,"*T*")&gt;0,GB14&lt;30)),AND('Eval-Après action écologique'!$A$767=FE9,OR(COUNTIF('Eval-Après action écologique'!$N$767:$P$767,"*T*")&gt;0,GB15&lt;30)),AND('Eval-Après action écologique'!$A$768=FE9,OR(COUNTIF('Eval-Après action écologique'!$N$768:$P$768,"*T*")&gt;0,GB16&lt;30)),AND('Eval-Après action écologique'!$A$769=FE9,OR(COUNTIF('Eval-Après action écologique'!$N$769:$P$769,"*T*")&gt;0,GB17&lt;30)),AND('Eval-Après action écologique'!$A$770=FE9,OR(COUNTIF('Eval-Après action écologique'!$N$770:$P$770,"*T*")&gt;0,GB18&lt;30)),AND('Eval-Après action écologique'!$A$771=FE9,OR(COUNTIF('Eval-Après action écologique'!$N$771:$P$771,"*T*")&gt;0,GB19&lt;30)),AND('Eval-Après action écologique'!$A$772=FE9,OR(COUNTIF('Eval-Après action écologique'!$N$772:$P$772,"*T*")&gt;0,GB20&lt;30)),AND('Eval-Après action écologique'!$A$773=FE9,OR(COUNTIF('Eval-Après action écologique'!$N$773:$P$773,"*T*")&gt;0,GB21&lt;30)),AND('Eval-Après action écologique'!$A$774=FE9,OR(COUNTIF('Eval-Après action écologique'!$N$774:$P$774,"*T*")&gt;0,GB22&lt;30)),AND('Eval-Après action écologique'!$A$775=FE9,OR(COUNTIF('Eval-Après action écologique'!$N$775:$P$775,"*T*")&gt;0,GB23&lt;30)),AND('Eval-Après action écologique'!$A$776=FE9,OR(COUNTIF('Eval-Après action écologique'!$N$776:$P$776,"*T*")&gt;0,GB24&lt;30)),AND('Eval-Après action écologique'!$A$777=FE9,OR(COUNTIF('Eval-Après action écologique'!$N$777:$P$777,"*T*")&gt;0,GB25&lt;30)),AND('Eval-Après action écologique'!$A$778=FE9,OR(COUNTIF('Eval-Après action écologique'!$N$778:$P$778,"*T*")&gt;0,GB26&lt;30)),AND('Eval-Après action écologique'!$A$779=FE9,OR(COUNTIF('Eval-Après action écologique'!$N$779:$P$779,"*T*")&gt;0,GB27&lt;30)),AND('Eval-Après action écologique'!$A$780=FE9,OR(COUNTIF('Eval-Après action écologique'!$N$780:$P$780,"*T*")&gt;0,GB28&lt;30))),"",SUM(1*(SUMPRODUCT(('Eval-Après action écologique'!$A$761:$A$780=FE9)*('Eval-Après action écologique'!$N$761:$P$780="A"))),0.85*(SUMPRODUCT(('Eval-Après action écologique'!$A$761:$A$780=FE9)*('Eval-Après action écologique'!$N$761:$P$780="AL"))),0.7*(SUMPRODUCT(('Eval-Après action écologique'!$A$761:$A$780=FE9)*('Eval-Après action écologique'!$N$761:$P$780="LA"))),0.55*(SUMPRODUCT(('Eval-Après action écologique'!$A$761:$A$780=FE9)*('Eval-Après action écologique'!$N$761:$P$780="L"))),0.4*(SUMPRODUCT(('Eval-Après action écologique'!$A$761:$A$780=FE9)*('Eval-Après action écologique'!$N$761:$P$780="LS"))),0.25*(SUMPRODUCT(('Eval-Après action écologique'!$A$761:$A$780=FE9)*('Eval-Après action écologique'!$N$761:$P$780="SL"))),0.1*(SUMPRODUCT(('Eval-Après action écologique'!$A$761:$A$780=FE9)*('Eval-Après action écologique'!$N$761:$P$780="S"))))/(3*COUNTIF('Eval-Après action écologique'!$A$761:$A$780,FE9))),"")</f>
        <v/>
      </c>
      <c r="FY9" s="214" t="str">
        <f>IF(COUNTIF('Eval-Après action écologique'!$A$761:$A$780,FE9)&gt;0,IF(OR(AND('Eval-Après action écologique'!$A$761=FE9,OR(COUNTIF('Eval-Après action écologique'!$Q$761:$Y$761,"*T*")&gt;0,GB9&lt;120)),AND('Eval-Après action écologique'!$A$762=FE9,OR(COUNTIF('Eval-Après action écologique'!$Q$762:$Y$762,"*T*")&gt;0,GB10&lt;120)),AND('Eval-Après action écologique'!$A$763=FE9,OR(COUNTIF('Eval-Après action écologique'!$Q$763:$Y$763,"*T*")&gt;0,GB11&lt;120)),AND('Eval-Après action écologique'!$A$764=FE9,OR(COUNTIF('Eval-Après action écologique'!$Q$764:$Y$764,"*T*")&gt;0,GB12&lt;120)),AND('Eval-Après action écologique'!$A$765=FE9,OR(COUNTIF('Eval-Après action écologique'!$Q$765:$Y$765,"*T*")&gt;0,GB13&lt;120)),AND('Eval-Après action écologique'!$A$766=FE9,OR(COUNTIF('Eval-Après action écologique'!$Q$766:$Y$766,"*T*")&gt;0,GB14&lt;120)),AND('Eval-Après action écologique'!$A$767=FE9,OR(COUNTIF('Eval-Après action écologique'!$Q$767:$Y$767,"*T*")&gt;0,GB15&lt;120)),AND('Eval-Après action écologique'!$A$768=FE9,OR(COUNTIF('Eval-Après action écologique'!$Q$768:$Y$768,"*T*")&gt;0,GB16&lt;120)),AND('Eval-Après action écologique'!$A$769=FE9,OR(COUNTIF('Eval-Après action écologique'!$Q$769:$Y$769,"*T*")&gt;0,GB17&lt;120)),AND('Eval-Après action écologique'!$A$770=FE9,OR(COUNTIF('Eval-Après action écologique'!$Q$770:$Y$770,"*T*")&gt;0,GB18&lt;120)),AND('Eval-Après action écologique'!$A$771=FE9,OR(COUNTIF('Eval-Après action écologique'!$Q$771:$Y$771,"*T*")&gt;0,GB19&lt;120)),AND('Eval-Après action écologique'!$A$772=FE9,OR(COUNTIF('Eval-Après action écologique'!$Q$772:$Y$772,"*T*")&gt;0,GB20&lt;120)),AND('Eval-Après action écologique'!$A$773=FE9,OR(COUNTIF('Eval-Après action écologique'!$Q$773:$Y$773,"*T*")&gt;0,GB21&lt;120)),AND('Eval-Après action écologique'!$A$774=FE9,OR(COUNTIF('Eval-Après action écologique'!$Q$774:$Y$774,"*T*")&gt;0,GB22&lt;120)),AND('Eval-Après action écologique'!$A$775=FE9,OR(COUNTIF('Eval-Après action écologique'!$Q$775:$Y$775,"*T*")&gt;0,GB23&lt;120)),AND('Eval-Après action écologique'!$A$776=FE9,OR(COUNTIF('Eval-Après action écologique'!$Q$776:$Y$776,"*T*")&gt;0,GB24&lt;120)),AND('Eval-Après action écologique'!$A$777=FE9,OR(COUNTIF('Eval-Après action écologique'!$Q$777:$Y$777,"*T*")&gt;0,GB25&lt;120)),AND('Eval-Après action écologique'!$A$778=FE9,OR(COUNTIF('Eval-Après action écologique'!$Q$778:$Y$778,"*T*")&gt;0,GB26&lt;120)),AND('Eval-Après action écologique'!$A$779=FE9,OR(COUNTIF('Eval-Après action écologique'!$Q$779:$Y$779,"*T*")&gt;0,GB27&lt;120)),AND('Eval-Après action écologique'!$A$780=FE9,OR(COUNTIF('Eval-Après action écologique'!$Q$780:$Y$780,"*T*")&gt;0,GB28&lt;120))),"",SUM(1*(SUMPRODUCT(('Eval-Après action écologique'!$A$761:$A$780=FE9)*('Eval-Après action écologique'!$Q$761:$Y$780="A"))),0.85*(SUMPRODUCT(('Eval-Après action écologique'!$A$761:$A$780=FE9)*('Eval-Après action écologique'!$Q$761:$Y$780="AL"))),0.7*(SUMPRODUCT(('Eval-Après action écologique'!$A$761:$A$780=FE9)*('Eval-Après action écologique'!$Q$761:$Y$780="LA"))),0.55*(SUMPRODUCT(('Eval-Après action écologique'!$A$761:$A$780=FE9)*('Eval-Après action écologique'!$Q$761:$Y$780="L"))),0.4*(SUMPRODUCT(('Eval-Après action écologique'!$A$761:$A$780=FE9)*('Eval-Après action écologique'!$Q$761:$Y$780="LS"))),0.25*(SUMPRODUCT(('Eval-Après action écologique'!$A$761:$A$780=FE9)*('Eval-Après action écologique'!$Q$761:$Y$780="SL"))),0.1*(SUMPRODUCT(('Eval-Après action écologique'!$A$761:$A$780=FE9)*('Eval-Après action écologique'!$Q$761:$Y$780="S"))))/(9*COUNTIF('Eval-Après action écologique'!$A$761:$A$780,FE9))),"")</f>
        <v/>
      </c>
      <c r="FZ9" s="215"/>
      <c r="GA9" s="216">
        <f>'Eval-Après action écologique'!$D$761</f>
        <v>1</v>
      </c>
      <c r="GB9" s="217" t="str">
        <f>IF(GC9="C",0,IF(IF(COUNTIF('Eval-Après action écologique'!$N$761:$Y$761,"=C")&gt;0,(COUNTA('Eval-Après action écologique'!$N$761:$Y$761)-1)*10,COUNTA('Eval-Après action écologique'!$N$761:$Y$761)*10)=0,"",IF(COUNTIF('Eval-Après action écologique'!$N$761:$Y$761,"=C")&gt;0,(COUNTA('Eval-Après action écologique'!$N$761:$Y$761)-1)*10,COUNTA('Eval-Après action écologique'!$N$761:$Y$761)*10)))</f>
        <v/>
      </c>
      <c r="GC9" s="217" t="str">
        <f>CONCATENATE('Eval-Après action écologique'!$N$761,'Eval-Après action écologique'!$O$761,'Eval-Après action écologique'!$P$761,'Eval-Après action écologique'!$Q$761,'Eval-Après action écologique'!$R$761,'Eval-Après action écologique'!$S$761,'Eval-Après action écologique'!$T$761,'Eval-Après action écologique'!$U$761,'Eval-Après action écologique'!$V$761,'Eval-Après action écologique'!$W$761,'Eval-Après action écologique'!$X$761,'Eval-Après action écologique'!$Y$761)</f>
        <v/>
      </c>
      <c r="GD9" s="217" t="str">
        <f t="shared" ref="GD9:GD28" si="20">IF(LEFT(GC9,1)="S","",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f>
        <v/>
      </c>
      <c r="GE9" s="217" t="str">
        <f t="shared" ref="GE9:GE28" si="21">CONCATENATE(IF(LEFT(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1)="S",RIGHT(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LEN(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-1),""),SUBSTITUTE(SUBSTITUTE(SUBSTITUTE(SUBSTITUTE(SUBSTITUTE(SUBSTITUTE(SUBSTITUTE(SUBSTITUTE(SUBSTITUTE(SUBSTITUTE(RIGHT(GC9,LEN(GC9)-LEN(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TS","X"),"S",""),"SL",""),"LS",""),"L",""),"LA",""),"AL",""),"A",""),"C",""),"X","TS"))</f>
        <v/>
      </c>
      <c r="GF9" s="217" t="str">
        <f>IF(COUNTIF('Eval-Après action écologique'!$N$761:$Y$761,"=C")&gt;0,"X","")</f>
        <v/>
      </c>
      <c r="GG9" s="217" t="str">
        <f t="shared" ref="GG9:GG28" si="22">IF(AND(GB9&lt;120,GF9&lt;&gt;"X"),"X","")</f>
        <v/>
      </c>
      <c r="GH9" s="218" t="str">
        <f t="shared" ref="GH9:GH28" si="23">IF(LEN(GC9)=0,"",IF(GB9=0,"",IF(AND(LEN(GD9)/2*10=GB9,GG9="X"),"X","")))</f>
        <v/>
      </c>
      <c r="GI9" s="197"/>
    </row>
    <row r="10" spans="1:191" ht="18" customHeight="1" x14ac:dyDescent="0.2">
      <c r="A10" s="210">
        <v>2</v>
      </c>
      <c r="B10" s="211" t="str">
        <f>IF(COUNTIF('Eval-Avant impact'!$A$761:$A$780,A10)&gt;0,SUM(IF('Eval-Avant impact'!$A$761=A10,'Eval-Avant impact'!$B$761,0),IF('Eval-Avant impact'!$A$762=A10, 'Eval-Avant impact'!$B$762,0),IF('Eval-Avant impact'!$A$763=A10, 'Eval-Avant impact'!$B$763,0),IF('Eval-Avant impact'!$A$764=A10, 'Eval-Avant impact'!$B$764,0),IF('Eval-Avant impact'!$A$765=A10, 'Eval-Avant impact'!$B$765,0),IF('Eval-Avant impact'!$A$766=A10, 'Eval-Avant impact'!$B$766,0),IF('Eval-Avant impact'!$A$767=A10, 'Eval-Avant impact'!$B$767,0),IF('Eval-Avant impact'!$A$768=A10, 'Eval-Avant impact'!$B$768,0),IF('Eval-Avant impact'!$A$769=A10, 'Eval-Avant impact'!$B$769,0),IF('Eval-Avant impact'!$A$770=A10, 'Eval-Avant impact'!$B$770,0),IF('Eval-Avant impact'!$A$771=A10, 'Eval-Avant impact'!$B$771,0),IF('Eval-Avant impact'!$A$772=A10, 'Eval-Avant impact'!$B$772,0),IF('Eval-Avant impact'!$A$773=A10, 'Eval-Avant impact'!$B$773,0),IF('Eval-Avant impact'!$A$774=A10, 'Eval-Avant impact'!$B$774,0),IF('Eval-Avant impact'!$A$775=A10, 'Eval-Avant impact'!$B$775,0),IF('Eval-Avant impact'!$A$776=A10, 'Eval-Avant impact'!$B$776,0),IF('Eval-Avant impact'!$A$777=A10, 'Eval-Avant impact'!$B$777,0),IF('Eval-Avant impact'!$A$778=A10, 'Eval-Avant impact'!$B$778,0),IF('Eval-Avant impact'!$A$779=A10, 'Eval-Avant impact'!$B$779,0),IF('Eval-Avant impact'!$A$780=A10, 'Eval-Avant impact'!$B$780,0))/COUNTIF('Eval-Avant impact'!$A$761:$A$780,A10),"")</f>
        <v/>
      </c>
      <c r="C10" s="212" t="str">
        <f>IF(COUNTIF('Eval-Avant impact'!$A$761:$A$780,A10)&gt;0,COUNTIF('Eval-Avant impact'!$A$761:$A$780,A10),"")</f>
        <v/>
      </c>
      <c r="D10" s="211" t="str">
        <f>IF(COUNTIF('Eval-Avant impact'!$A$761:$A$780,A10)&gt;0,IF(OR(AND('Eval-Avant impact'!$A$761=A10, 'Eval-Avant impact'!$G$761=""),AND('Eval-Avant impact'!$A$762=A10, 'Eval-Avant impact'!$G$762=""),AND('Eval-Avant impact'!$A$763=A10, 'Eval-Avant impact'!$G$763=""),AND('Eval-Avant impact'!$A$764=A10, 'Eval-Avant impact'!$G$764=""),AND('Eval-Avant impact'!$A$765=A10, 'Eval-Avant impact'!$G$765=""),AND('Eval-Avant impact'!$A$766=A10, 'Eval-Avant impact'!$G$766=""),AND('Eval-Avant impact'!$A$767=A10, 'Eval-Avant impact'!$G$767=""),AND('Eval-Avant impact'!$A$768=A10, 'Eval-Avant impact'!$G$768=""),AND('Eval-Avant impact'!$A$769=A10, 'Eval-Avant impact'!$G$769=""),AND('Eval-Avant impact'!$A$770=A10, 'Eval-Avant impact'!$G$770=""),AND('Eval-Avant impact'!$A$771=A10, 'Eval-Avant impact'!$G$771=""),AND('Eval-Avant impact'!$A$772=A10, 'Eval-Avant impact'!$G$772=""),AND('Eval-Avant impact'!$A$773=A10, 'Eval-Avant impact'!$G$773=""),AND('Eval-Avant impact'!$A$774=A10, 'Eval-Avant impact'!$G$774=""),AND('Eval-Avant impact'!$A$775=A10, 'Eval-Avant impact'!$G$775=""),AND('Eval-Avant impact'!$A$776=A10, 'Eval-Avant impact'!$G$776=""),AND('Eval-Avant impact'!$A$777=A10, 'Eval-Avant impact'!$G$777=""),AND('Eval-Avant impact'!$A$778=A10, 'Eval-Avant impact'!$G$778=""),AND('Eval-Avant impact'!$A$779=A10, 'Eval-Avant impact'!$G$779=""),AND('Eval-Avant impact'!$A$780=A10, 'Eval-Avant impact'!$G$780="")),"",SUM(IF('Eval-Avant impact'!$A$761=A10,'Eval-Avant impact'!$G$761,0),IF('Eval-Avant impact'!$A$762=A10,'Eval-Avant impact'!$G$762,0),IF('Eval-Avant impact'!$A$763=A10,'Eval-Avant impact'!$G$763,0),IF('Eval-Avant impact'!$A$764=A10,'Eval-Avant impact'!$G$764,0),IF('Eval-Avant impact'!$A$765=A10,'Eval-Avant impact'!$G$765,0),IF('Eval-Avant impact'!$A$766=A10,'Eval-Avant impact'!$G$766,0),IF('Eval-Avant impact'!$A$767=A10,'Eval-Avant impact'!$G$767,0),IF('Eval-Avant impact'!$A$768=A10,'Eval-Avant impact'!$G$768,0),IF('Eval-Avant impact'!$A$769=A10,'Eval-Avant impact'!$G$769,0),IF('Eval-Avant impact'!$A$770=A10,'Eval-Avant impact'!$G$770,0),IF('Eval-Avant impact'!$A$771=A10,'Eval-Avant impact'!$G$771,0),IF('Eval-Avant impact'!$A$772=A10,'Eval-Avant impact'!$G$772,0),IF('Eval-Avant impact'!$A$773=A10,'Eval-Avant impact'!$G$773,0),IF('Eval-Avant impact'!$A$774=A10,'Eval-Avant impact'!$G$774,0),IF('Eval-Avant impact'!$A$775=A10,'Eval-Avant impact'!$G$775,0), IF('Eval-Avant impact'!$A$776=A10,'Eval-Avant impact'!$G$776,0), IF('Eval-Avant impact'!$A$777=A10,'Eval-Avant impact'!$G$777,0), IF('Eval-Avant impact'!$A$778=A10,'Eval-Avant impact'!$G$778,0), IF('Eval-Avant impact'!$A$779=A10,'Eval-Avant impact'!$G$779,0), IF('Eval-Avant impact'!$A$780=A10,'Eval-Avant impact'!$G$780,0))/ COUNTIF('Eval-Avant impact'!$A$761:$A$780,A10)),"")</f>
        <v/>
      </c>
      <c r="E10" s="212" t="str">
        <f>IF(COUNTIF('Eval-Avant impact'!$A$761:$A$780,A10)&gt;0,IF(SUM(IF('Eval-Avant impact'!$A$761=A10,COUNTA('Eval-Avant impact'!$H$761),0),IF('Eval-Avant impact'!$A$762=A10,COUNTA('Eval-Avant impact'!$H$762),0),IF('Eval-Avant impact'!$A$763=A10,COUNTA('Eval-Avant impact'!$H$763),0),IF('Eval-Avant impact'!$A$764=A10,COUNTA('Eval-Avant impact'!$H$764),0),IF('Eval-Avant impact'!$A$765=A10,COUNTA('Eval-Avant impact'!$H$765),0),IF('Eval-Avant impact'!$A$766=A10,COUNTA('Eval-Avant impact'!$H$766),0),IF('Eval-Avant impact'!$A$767=A10,COUNTA('Eval-Avant impact'!$H$767),0),IF('Eval-Avant impact'!$A$768=A10,COUNTA('Eval-Avant impact'!$H$768),0),IF('Eval-Avant impact'!$A$769=A10,COUNTA('Eval-Avant impact'!$H$769),0),IF('Eval-Avant impact'!$A$770=A10,COUNTA('Eval-Avant impact'!$H$770),0),IF('Eval-Avant impact'!$A$771=A10,COUNTA('Eval-Avant impact'!$H$771),0),IF('Eval-Avant impact'!$A$772=A10,COUNTA('Eval-Avant impact'!$H$772),0),IF('Eval-Avant impact'!$A$773=A10,COUNTA('Eval-Avant impact'!$H$773),0),IF('Eval-Avant impact'!$A$774=A10,COUNTA('Eval-Avant impact'!$H$774),0),IF('Eval-Avant impact'!$A$775=A10,COUNTA('Eval-Avant impact'!$H$775),0),IF('Eval-Avant impact'!$A$776=A10,COUNTA('Eval-Avant impact'!$H$776),0),IF('Eval-Avant impact'!$A$777=A10,COUNTA('Eval-Avant impact'!$H$777),0),IF('Eval-Avant impact'!$A$778=A10,COUNTA('Eval-Avant impact'!$H$778),0),IF('Eval-Avant impact'!$A$779=A10,COUNTA('Eval-Avant impact'!$H$779),0),IF('Eval-Avant impact'!$A$780=A10,COUNTA('Eval-Avant impact'!$H$780),0))&gt;0,"X",0),"")</f>
        <v/>
      </c>
      <c r="F10" s="213" t="str">
        <f>IF(COUNTIF('Eval-Avant impact'!$A$761:$A$780,A10)&gt;0,IF(SUM(IF('Eval-Avant impact'!$A$761=A10,COUNTA('Eval-Avant impact'!$I$761),0),IF('Eval-Avant impact'!$A$762=A10,COUNTA('Eval-Avant impact'!$I$762),0),IF('Eval-Avant impact'!$A$763=A10,COUNTA('Eval-Avant impact'!$I$763),0),IF('Eval-Avant impact'!$A$764=A10,COUNTA('Eval-Avant impact'!$I$764),0),IF('Eval-Avant impact'!$A$765=A10,COUNTA('Eval-Avant impact'!$I$765),0),IF('Eval-Avant impact'!$A$766=A10,COUNTA('Eval-Avant impact'!$I$766),0),IF('Eval-Avant impact'!$A$767=A10,COUNTA('Eval-Avant impact'!$I$767),0),IF('Eval-Avant impact'!$A$768=A10,COUNTA('Eval-Avant impact'!$I$768),0),IF('Eval-Avant impact'!$A$769=A10,COUNTA('Eval-Avant impact'!$I$769),0),IF('Eval-Avant impact'!$A$770=A10,COUNTA('Eval-Avant impact'!$I$770),0),IF('Eval-Avant impact'!$A$771=A10,COUNTA('Eval-Avant impact'!$I$771),0),IF('Eval-Avant impact'!$A$772=A10,COUNTA('Eval-Avant impact'!$I$772),0),IF('Eval-Avant impact'!$A$773=A10,COUNTA('Eval-Avant impact'!$I$773),0),IF('Eval-Avant impact'!$A$774=A10,COUNTA('Eval-Avant impact'!$I$774),0),IF('Eval-Avant impact'!$A$775=A10,COUNTA('Eval-Avant impact'!$I$775),0),IF('Eval-Avant impact'!$A$776=A10,COUNTA('Eval-Avant impact'!$I$776),0),IF('Eval-Avant impact'!$A$777=A10,COUNTA('Eval-Avant impact'!$I$777),0),IF('Eval-Avant impact'!$A$778=A10,COUNTA('Eval-Avant impact'!$I$778),0),IF('Eval-Avant impact'!$A$779=A10,COUNTA('Eval-Avant impact'!$I$779),0),IF('Eval-Avant impact'!$A$780=A10,COUNTA('Eval-Avant impact'!$I$780),0))&gt;0,"X",0),"")</f>
        <v/>
      </c>
      <c r="G10" s="213" t="str">
        <f>IF(COUNTIF('Eval-Avant impact'!$A$761:$A$780,A10)&gt;0,IF(SUM(IF('Eval-Avant impact'!$A$761=A10,COUNTA('Eval-Avant impact'!$J$761),0),IF('Eval-Avant impact'!$A$762=A10,COUNTA('Eval-Avant impact'!$J$762),0),IF('Eval-Avant impact'!$A$763=A10,COUNTA('Eval-Avant impact'!$J$763),0),IF('Eval-Avant impact'!$A$764=A10,COUNTA('Eval-Avant impact'!$J$764),0),IF('Eval-Avant impact'!$A$765=A10,COUNTA('Eval-Avant impact'!$J$765),0),IF('Eval-Avant impact'!$A$766=A10,COUNTA('Eval-Avant impact'!$J$766),0),IF('Eval-Avant impact'!$A$767=A10,COUNTA('Eval-Avant impact'!$J$767),0),IF('Eval-Avant impact'!$A$768=A10,COUNTA('Eval-Avant impact'!$J$768),0),IF('Eval-Avant impact'!$A$769=A10,COUNTA('Eval-Avant impact'!$J$769),0),IF('Eval-Avant impact'!$A$770=A10,COUNTA('Eval-Avant impact'!$J$770),0),IF('Eval-Avant impact'!$A$771=A10,COUNTA('Eval-Avant impact'!$J$771),0),IF('Eval-Avant impact'!$A$772=A10,COUNTA('Eval-Avant impact'!$J$772),0),IF('Eval-Avant impact'!$A$773=A10,COUNTA('Eval-Avant impact'!$J$773),0),IF('Eval-Avant impact'!$A$774=A10,COUNTA('Eval-Avant impact'!$J$774),0),IF('Eval-Avant impact'!$A$775=A10,COUNTA('Eval-Avant impact'!$J$775),0),IF('Eval-Avant impact'!$A$776=A10,COUNTA('Eval-Avant impact'!$J$776),0),IF('Eval-Avant impact'!$A$777=A10,COUNTA('Eval-Avant impact'!$J$777),0),IF('Eval-Avant impact'!$A$778=A10,COUNTA('Eval-Avant impact'!$J$778),0),IF('Eval-Avant impact'!$A$779=A10,COUNTA('Eval-Avant impact'!$J$779),0),IF('Eval-Avant impact'!$A$780=A10,COUNTA('Eval-Avant impact'!$J$780),0))&gt;0,"X",0),"")</f>
        <v/>
      </c>
      <c r="H10" s="213" t="str">
        <f>IF(COUNTIF('Eval-Avant impact'!$A$761:$A$780,A10)&gt;0,IF(SUM(IF('Eval-Avant impact'!$A$761=A10,COUNTA('Eval-Avant impact'!$K$761),0),IF('Eval-Avant impact'!$A$762=A10,COUNTA('Eval-Avant impact'!$K$762),0),IF('Eval-Avant impact'!$A$763=A10,COUNTA('Eval-Avant impact'!$K$763),0),IF('Eval-Avant impact'!$A$764=A10,COUNTA('Eval-Avant impact'!$K$764),0),IF('Eval-Avant impact'!$A$765=A10,COUNTA('Eval-Avant impact'!$K$765),0),IF('Eval-Avant impact'!$A$766=A10,COUNTA('Eval-Avant impact'!$K$766),0),IF('Eval-Avant impact'!$A$767=A10,COUNTA('Eval-Avant impact'!$K$767),0),IF('Eval-Avant impact'!$A$768=A10,COUNTA('Eval-Avant impact'!$K$768),0),IF('Eval-Avant impact'!$A$769=A10,COUNTA('Eval-Avant impact'!$K$769),0),IF('Eval-Avant impact'!$A$770=A10,COUNTA('Eval-Avant impact'!$K$770),0),IF('Eval-Avant impact'!$A$771=A10,COUNTA('Eval-Avant impact'!$K$771),0),IF('Eval-Avant impact'!$A$772=A10,COUNTA('Eval-Avant impact'!$K$772),0),IF('Eval-Avant impact'!$A$773=A10,COUNTA('Eval-Avant impact'!$K$773),0),IF('Eval-Avant impact'!$A$774=A10,COUNTA('Eval-Avant impact'!$K$774),0),IF('Eval-Avant impact'!$A$775=A10,COUNTA('Eval-Avant impact'!$K$775),0),IF('Eval-Avant impact'!$A$776=A10,COUNTA('Eval-Avant impact'!$K$776),0),IF('Eval-Avant impact'!$A$777=A10,COUNTA('Eval-Avant impact'!$K$777),0),IF('Eval-Avant impact'!$A$778=A10,COUNTA('Eval-Avant impact'!$K$778),0),IF('Eval-Avant impact'!$A$779=A10,COUNTA('Eval-Avant impact'!$K$779),0),IF('Eval-Avant impact'!$A$780=A10,COUNTA('Eval-Avant impact'!$K$780),0))&gt;0,"X",0),"")</f>
        <v/>
      </c>
      <c r="I10" s="211" t="str">
        <f>IF(COUNTIF('Eval-Avant impact'!$A$761:$A$780,A10)&gt;0,IF(OR(AND('Eval-Avant impact'!$A$761=A10,'Eval-Avant impact'!$L$761&lt;120,'Eval-Avant impact'!$L$761&gt;=X9),AND('Eval-Avant impact'!$A$762=A10,'Eval-Avant impact'!$L$762&lt;120,'Eval-Avant impact'!$L$762&gt;=X10),AND('Eval-Avant impact'!$A$763=A10,'Eval-Avant impact'!$L$763&lt;120,'Eval-Avant impact'!$L$763&gt;=X11),AND('Eval-Avant impact'!$A$764=A10,'Eval-Avant impact'!$L$764&lt;120,'Eval-Avant impact'!$L$764&gt;=X12),AND('Eval-Avant impact'!$A$765=A10,'Eval-Avant impact'!$L$765&lt;120,'Eval-Avant impact'!$L$765&gt;=X13),AND('Eval-Avant impact'!$A$766=A10,'Eval-Avant impact'!$L$766&lt;120,'Eval-Avant impact'!$L$766&gt;=X14),AND('Eval-Avant impact'!$A$767=A10,'Eval-Avant impact'!$L$767&lt;120,'Eval-Avant impact'!$L$767&gt;=X15),AND('Eval-Avant impact'!$A$768=A10,'Eval-Avant impact'!$L$768&lt;120,'Eval-Avant impact'!$L$768&gt;=X16),AND('Eval-Avant impact'!$A$769=A10,'Eval-Avant impact'!$L$769&lt;120,'Eval-Avant impact'!$L$769&gt;=X17),AND('Eval-Avant impact'!$A$770=A10,'Eval-Avant impact'!$L$770&lt;120,'Eval-Avant impact'!$L$770&gt;=X18),AND('Eval-Avant impact'!$A$771=A10,'Eval-Avant impact'!$L$771&lt;120,'Eval-Avant impact'!$L$771&gt;=X19),AND('Eval-Avant impact'!$A$772=A10,'Eval-Avant impact'!$L$772&lt;120,'Eval-Avant impact'!$L$772&gt;=X20),AND('Eval-Avant impact'!$A$773=A10,'Eval-Avant impact'!$L$773&lt;120,'Eval-Avant impact'!$L$773&gt;=X21),AND('Eval-Avant impact'!$A$774=A10,'Eval-Avant impact'!$L$774&lt;120,'Eval-Avant impact'!$L$774&gt;=X22),AND('Eval-Avant impact'!$A$775=A10,'Eval-Avant impact'!$L$775&lt;120,'Eval-Avant impact'!$L$775&gt;=X23),AND('Eval-Avant impact'!$A$776=A10,'Eval-Avant impact'!$L$776&lt;120,'Eval-Avant impact'!$L$776&gt;=X24),AND('Eval-Avant impact'!$A$777=A10,'Eval-Avant impact'!$L$777&lt;120,'Eval-Avant impact'!$L$777&gt;=X25),AND('Eval-Avant impact'!$A$778=A10,'Eval-Avant impact'!$L$778&lt;120,'Eval-Avant impact'!$L$778&gt;=X26),AND('Eval-Avant impact'!$A$779=A10,'Eval-Avant impact'!$L$779&lt;120,'Eval-Avant impact'!$L$779&gt;=X27),AND('Eval-Avant impact'!$A$780=A10,'Eval-Avant impact'!$L$780&lt;120,'Eval-Avant impact'!$L$780&gt;=X28)),"",SUM(IF('Eval-Avant impact'!$A$761=A10,'Eval-Avant impact'!$L$761,0),IF('Eval-Avant impact'!$A$762=A10,'Eval-Avant impact'!$L$762,0),IF('Eval-Avant impact'!$A$763=A10,'Eval-Avant impact'!$L$763,0),IF('Eval-Avant impact'!$A$764=A10,'Eval-Avant impact'!$L$764,0),IF('Eval-Avant impact'!$A$765=A10,'Eval-Avant impact'!$L$765,0),IF('Eval-Avant impact'!$A$766=A10,'Eval-Avant impact'!$L$766,0),IF('Eval-Avant impact'!$A$767=A10,'Eval-Avant impact'!$L$767,0),IF('Eval-Avant impact'!$A$768=A10,'Eval-Avant impact'!$L$768,0),IF('Eval-Avant impact'!$A$769=A10,'Eval-Avant impact'!$L$769,0),IF('Eval-Avant impact'!$A$770=A10,'Eval-Avant impact'!$L$770,0),IF('Eval-Avant impact'!$A$771=A10,'Eval-Avant impact'!$L$771,0),IF('Eval-Avant impact'!$A$772=A10,'Eval-Avant impact'!$L$772,0),IF('Eval-Avant impact'!$A$773=A10,'Eval-Avant impact'!$L$773,0),IF('Eval-Avant impact'!$A$774=A10,'Eval-Avant impact'!$L$774,0),IF('Eval-Avant impact'!$A$775=A10,'Eval-Avant impact'!$L$775,0),IF('Eval-Avant impact'!$A$776=A10,'Eval-Avant impact'!$L$776,0),IF('Eval-Avant impact'!$A$777=A10,'Eval-Avant impact'!$L$777,0),IF('Eval-Avant impact'!$A$778=A10,'Eval-Avant impact'!$L$778,0),IF('Eval-Avant impact'!$A$779=A10,'Eval-Avant impact'!$L$779,0),IF('Eval-Avant impact'!$A$780=A10,'Eval-Avant impact'!$L$780,0))/ COUNTIF('Eval-Avant impact'!$A$761:$A$780,A10)),"")</f>
        <v/>
      </c>
      <c r="J10" s="211" t="str">
        <f>IF(COUNTIF('Eval-Avant impact'!$A$761:$A$780,A10)&gt;0,IF(OR(AND('Eval-Avant impact'!$A$761=A10, X9&lt;120),AND(X10&lt;120),AND(X11&lt;120),AND(X12&lt;120),AND(X13&lt;120),AND(X14&lt;120),AND(X15&lt;120),AND(X16&lt;120),AND(X17&lt;120),AND(X18&lt;120),AND(X19&lt;120),AND(X20&lt;120),AND(X21&lt;120),AND(X22&lt;120),AND(X23&lt;120),AND(X24&lt;120),AND(X25&lt;120),AND(X26&lt;120),AND(X27&lt;120),AND(X28&lt;120)),"",SUM(IF('Eval-Avant impact'!$A$761=A10,'Eval-Avant impact'!$M$761,0),IF('Eval-Avant impact'!$A$762=A10,'Eval-Avant impact'!$M$762,0),IF('Eval-Avant impact'!$A$763=A10,'Eval-Avant impact'!$M$763,0),IF('Eval-Avant impact'!$A$764=A10,'Eval-Avant impact'!$M$764,0),IF('Eval-Avant impact'!$A$765=A10,'Eval-Avant impact'!$M$765,0),IF('Eval-Avant impact'!$A$766=A10,'Eval-Avant impact'!$M$766,0),IF('Eval-Avant impact'!$A$767=A10,'Eval-Avant impact'!$M$767,0),IF('Eval-Avant impact'!$A$768=A10,'Eval-Avant impact'!$M$768,0),IF('Eval-Avant impact'!$A$769=A10,'Eval-Avant impact'!$M$769,0),IF('Eval-Avant impact'!$A$770=A10,'Eval-Avant impact'!$M$770,0),IF('Eval-Avant impact'!$A$771=A10,'Eval-Avant impact'!$M$771,0),IF('Eval-Avant impact'!$A$772=A10,'Eval-Avant impact'!$M$772,0),IF('Eval-Avant impact'!$A$773=A10,'Eval-Avant impact'!$M$773,0),IF('Eval-Avant impact'!$A$774=A10,'Eval-Avant impact'!$M$774,0),IF('Eval-Avant impact'!$A$775=A10,'Eval-Avant impact'!$M$775,0), IF('Eval-Avant impact'!$A$776=A10,'Eval-Avant impact'!$M$776,0), IF('Eval-Avant impact'!$A$777=A10,'Eval-Avant impact'!$M$777,0), IF('Eval-Avant impact'!$A$778=A10,'Eval-Avant impact'!$M$778,0), IF('Eval-Avant impact'!$A$779=A10,'Eval-Avant impact'!$M$779,0), IF('Eval-Avant impact'!$A$780=A10,'Eval-Avant impact'!$M$780,0))/COUNTIF('Eval-Avant impact'!$A$761:$A$780,A10)),"")</f>
        <v/>
      </c>
      <c r="K10" s="211" t="str">
        <f>IF(COUNTIF('Eval-Avant impact'!$A$761:$A$780,A10)&gt;0,SUM(IF('Eval-Avant impact'!$A$761=A10,LEN(SUBSTITUTE((SUBSTITUTE(Z9,"TM","")),"TS",""))*10/2,0),IF('Eval-Avant impact'!$A$762=A10,LEN(SUBSTITUTE((SUBSTITUTE(Z10,"TM","")),"TS",""))*10/2,0),IF('Eval-Avant impact'!$A$763=A10,LEN(SUBSTITUTE((SUBSTITUTE(Z11,"TM","")),"TS",""))*10/2,0),IF('Eval-Avant impact'!$A$764=A10,LEN(SUBSTITUTE((SUBSTITUTE(Z12,"TM","")),"TS",""))*10/2,0),IF('Eval-Avant impact'!$A$765=A10,LEN(SUBSTITUTE((SUBSTITUTE(Z13,"TM","")),"TS",""))*10/2,0),IF('Eval-Avant impact'!$A$766=A10,LEN(SUBSTITUTE((SUBSTITUTE(Z14,"TM","")),"TS",""))*10/2,0),IF('Eval-Avant impact'!$A$767=A10,LEN(SUBSTITUTE((SUBSTITUTE(Z15,"TM","")),"TS",""))*10/2,0),IF('Eval-Avant impact'!$A$768=A10,LEN(SUBSTITUTE((SUBSTITUTE(Z16,"TM","")),"TS",""))*10/2,0),IF('Eval-Avant impact'!$A$769=A10,LEN(SUBSTITUTE((SUBSTITUTE(Z17,"TM","")),"TS",""))*10/2,0),IF('Eval-Avant impact'!$A$770=A10,LEN(SUBSTITUTE((SUBSTITUTE(Z18,"TM","")),"TS",""))*10/2,0),IF('Eval-Avant impact'!$A$771=A10,LEN(SUBSTITUTE((SUBSTITUTE(Z19,"TM","")),"TS",""))*10/2,0),IF('Eval-Avant impact'!$A$772=A10,LEN(SUBSTITUTE((SUBSTITUTE(Z20,"TM","")),"TS",""))*10/2,0),IF('Eval-Avant impact'!$A$773=A10,LEN(SUBSTITUTE((SUBSTITUTE(Z21,"TM","")),"TS",""))*10/2,0),IF('Eval-Avant impact'!$A$774=A10,LEN(SUBSTITUTE((SUBSTITUTE(Z22,"TM","")),"TS",""))*10/2,0),IF('Eval-Avant impact'!$A$775=A10,LEN(SUBSTITUTE((SUBSTITUTE(Z23,"TM","")),"TS",""))*10/2,0),IF('Eval-Avant impact'!$A$776=A10,LEN(SUBSTITUTE((SUBSTITUTE(Z24,"TM","")),"TS",""))*10/2,0),IF('Eval-Avant impact'!$A$777=A10,LEN(SUBSTITUTE((SUBSTITUTE(Z25,"TM","")),"TS",""))*10/2,0),IF('Eval-Avant impact'!$A$778=A10,LEN(SUBSTITUTE((SUBSTITUTE(Z26,"TM","")),"TS",""))*10/2,0),IF('Eval-Avant impact'!$A$779=A10,LEN(SUBSTITUTE((SUBSTITUTE(Z27,"TM","")),"TS",""))*10/2,0),IF('Eval-Avant impact'!$A$780=A10,LEN(SUBSTITUTE((SUBSTITUTE(Z28,"TM","")),"TS",""))*10/2,0))/COUNTIF('Eval-Avant impact'!$A$761:$A$780,A10),"")</f>
        <v/>
      </c>
      <c r="L10" s="211" t="str">
        <f>IF(COUNTIF('Eval-Avant impact'!$A$761:$A$780,A10)&gt;0,SUM(IF('Eval-Avant impact'!$A$761=A10,LEN(SUBSTITUTE((SUBSTITUTE(Z9,"TF","")),"TS",""))*10/2,0),IF('Eval-Avant impact'!$A$762=A10,LEN(SUBSTITUTE((SUBSTITUTE(Z10,"TF","")),"TS",""))*10/2,0),IF('Eval-Avant impact'!$A$763=A10,LEN(SUBSTITUTE((SUBSTITUTE(Z11,"TF","")),"TS",""))*10/2,0),IF('Eval-Avant impact'!$A$764=A10,LEN(SUBSTITUTE((SUBSTITUTE(Z12,"TF","")),"TS",""))*10/2,0),IF('Eval-Avant impact'!$A$765=A10,LEN(SUBSTITUTE((SUBSTITUTE(Z13,"TF","")),"TS",""))*10/2,0),IF('Eval-Avant impact'!$A$766=A10,LEN(SUBSTITUTE((SUBSTITUTE(Z14,"TF","")),"TS",""))*10/2,0),IF('Eval-Avant impact'!$A$767=A10,LEN(SUBSTITUTE((SUBSTITUTE(Z15,"TF","")),"TS",""))*10/2,0),IF('Eval-Avant impact'!$A$768=A10,LEN(SUBSTITUTE((SUBSTITUTE(Z16,"TF","")),"TS",""))*10/2,0),IF('Eval-Avant impact'!$A$769=A10,LEN(SUBSTITUTE((SUBSTITUTE(Z17,"TF","")),"TS",""))*10/2,0),IF('Eval-Avant impact'!$A$770=A10,LEN(SUBSTITUTE((SUBSTITUTE(Z18,"TF","")),"TS",""))*10/2,0),IF('Eval-Avant impact'!$A$771=A10,LEN(SUBSTITUTE((SUBSTITUTE(Z19,"TF","")),"TS",""))*10/2,0),IF('Eval-Avant impact'!$A$772=A10,LEN(SUBSTITUTE((SUBSTITUTE(Z20,"TF","")),"TS",""))*10/2,0),IF('Eval-Avant impact'!$A$773=A10,LEN(SUBSTITUTE((SUBSTITUTE(Z21,"TF","")),"TS",""))*10/2,0),IF('Eval-Avant impact'!$A$774=A10,LEN(SUBSTITUTE((SUBSTITUTE(Z22,"TF","")),"TS",""))*10/2,0),IF('Eval-Avant impact'!$A$775=A10,LEN(SUBSTITUTE((SUBSTITUTE(Z23,"TF","")),"TS",""))*10/2,0),IF('Eval-Avant impact'!$A$776=A10,LEN(SUBSTITUTE((SUBSTITUTE(Z24,"TF","")),"TS",""))*10/2,0),IF('Eval-Avant impact'!$A$777=A10,LEN(SUBSTITUTE((SUBSTITUTE(Z25,"TF","")),"TS",""))*10/2,0),IF('Eval-Avant impact'!$A$778=A10,LEN(SUBSTITUTE((SUBSTITUTE(Z26,"TF","")),"TS",""))*10/2,0),IF('Eval-Avant impact'!$A$779=A10,LEN(SUBSTITUTE((SUBSTITUTE(Z27,"TF","")),"TS",""))*10/2,0),IF('Eval-Avant impact'!$A$780=A10,LEN(SUBSTITUTE((SUBSTITUTE(Z28,"TF","")),"TS",""))*10/2,0))/COUNTIF('Eval-Avant impact'!$A$761:$A$780,A10),"")</f>
        <v/>
      </c>
      <c r="M10" s="211" t="str">
        <f>IF(COUNTIF('Eval-Avant impact'!$A$761:$A$780,A10)&gt;0,SUM(IF('Eval-Avant impact'!$A$761=A10,LEN(SUBSTITUTE((SUBSTITUTE(Z9,"TF","")),"TM",""))*10/2,0),IF('Eval-Avant impact'!$A$762=A10,LEN(SUBSTITUTE((SUBSTITUTE(Z10,"TF","")),"TM",""))*10/2,0),IF('Eval-Avant impact'!$A$763=A10,LEN(SUBSTITUTE((SUBSTITUTE(Z11,"TF","")),"TM",""))*10/2,0),IF('Eval-Avant impact'!$A$764=A10,LEN(SUBSTITUTE((SUBSTITUTE(Z12,"TF","")),"TM",""))*10/2,0),IF('Eval-Avant impact'!$A$765=A10,LEN(SUBSTITUTE((SUBSTITUTE(Z13,"TF","")),"TM",""))*10/2,0),IF('Eval-Avant impact'!$A$766=A10,LEN(SUBSTITUTE((SUBSTITUTE(Z14,"TF","")),"TM",""))*10/2,0),IF('Eval-Avant impact'!$A$767=A10,LEN(SUBSTITUTE((SUBSTITUTE(Z15,"TF","")),"TM",""))*10/2,0),IF('Eval-Avant impact'!$A$768=A10,LEN(SUBSTITUTE((SUBSTITUTE(Z16,"TF","")),"TM",""))*10/2,0),IF('Eval-Avant impact'!$A$769=A10,LEN(SUBSTITUTE((SUBSTITUTE(Z17,"TF","")),"TM",""))*10/2,0),IF('Eval-Avant impact'!$A$770=A10,LEN(SUBSTITUTE((SUBSTITUTE(Z18,"TF","")),"TM",""))*10/2,0),IF('Eval-Avant impact'!$A$771=A10,LEN(SUBSTITUTE((SUBSTITUTE(Z19,"TF","")),"TM",""))*10/2,0),IF('Eval-Avant impact'!$A$772=A10,LEN(SUBSTITUTE((SUBSTITUTE(Z20,"TF","")),"TM",""))*10/2,0),IF('Eval-Avant impact'!$A$773=A10,LEN(SUBSTITUTE((SUBSTITUTE(Z21,"TF","")),"TM",""))*10/2,0),IF('Eval-Avant impact'!$A$774=A10,LEN(SUBSTITUTE((SUBSTITUTE(Z22,"TF","")),"TM",""))*10/2,0),IF('Eval-Avant impact'!$A$775=A10,LEN(SUBSTITUTE((SUBSTITUTE(Z23,"TF","")),"TM",""))*10/2,0),IF('Eval-Avant impact'!$A$776=A10,LEN(SUBSTITUTE((SUBSTITUTE(Z24,"TF","")),"TM",""))*10/2,0),IF('Eval-Avant impact'!$A$777=A10,LEN(SUBSTITUTE((SUBSTITUTE(Z25,"TF","")),"TM",""))*10/2,0),IF('Eval-Avant impact'!$A$778=A10,LEN(SUBSTITUTE((SUBSTITUTE(Z26,"TF","")),"TM",""))*10/2,0),IF('Eval-Avant impact'!$A$779=A10,LEN(SUBSTITUTE((SUBSTITUTE(Z27,"TF","")),"TM",""))*10/2,0),IF('Eval-Avant impact'!$A$780=A10,LEN(SUBSTITUTE((SUBSTITUTE(Z28,"TF","")),"TM",""))*10/2,0))/COUNTIF('Eval-Avant impact'!$A$761:$A$780,A10),"")</f>
        <v/>
      </c>
      <c r="N10" s="211" t="str">
        <f>IF(COUNTIF('Eval-Avant impact'!$A$761:$A$780,A10)&gt;0,SUM(IF('Eval-Avant impact'!$A$761=A10,LEN(SUBSTITUTE((SUBSTITUTE(AA9,"TM","")),"TS",""))*10/2,0),IF('Eval-Avant impact'!$A$762=A10,LEN(SUBSTITUTE((SUBSTITUTE(AA10,"TM","")),"TS",""))*10/2,0),IF('Eval-Avant impact'!$A$763=A10,LEN(SUBSTITUTE((SUBSTITUTE(AA11,"TM","")),"TS",""))*10/2,0),IF('Eval-Avant impact'!$A$764=A10,LEN(SUBSTITUTE((SUBSTITUTE(AA12,"TM","")),"TS",""))*10/2,0),IF('Eval-Avant impact'!$A$765=A10,LEN(SUBSTITUTE((SUBSTITUTE(AA13,"TM","")),"TS",""))*10/2,0),IF('Eval-Avant impact'!$A$766=A10,LEN(SUBSTITUTE((SUBSTITUTE(AA14,"TM","")),"TS",""))*10/2,0),IF('Eval-Avant impact'!$A$767=A10,LEN(SUBSTITUTE((SUBSTITUTE(AA15,"TM","")),"TS",""))*10/2,0),IF('Eval-Avant impact'!$A$768=A10,LEN(SUBSTITUTE((SUBSTITUTE(AA16,"TM","")),"TS",""))*10/2,0),IF('Eval-Avant impact'!$A$769=A10,LEN(SUBSTITUTE((SUBSTITUTE(AA17,"TM","")),"TS",""))*10/2,0),IF('Eval-Avant impact'!$A$770=A10,LEN(SUBSTITUTE((SUBSTITUTE(AA18,"TM","")),"TS",""))*10/2,0),IF('Eval-Avant impact'!$A$771=A10,LEN(SUBSTITUTE((SUBSTITUTE(AA19,"TM","")),"TS",""))*10/2,0),IF('Eval-Avant impact'!$A$772=A10,LEN(SUBSTITUTE((SUBSTITUTE(AA20,"TM","")),"TS",""))*10/2,0),IF('Eval-Avant impact'!$A$773=A10,LEN(SUBSTITUTE((SUBSTITUTE(AA21,"TM","")),"TS",""))*10/2,0),IF('Eval-Avant impact'!$A$774=A10,LEN(SUBSTITUTE((SUBSTITUTE(AA22,"TM","")),"TS",""))*10/2,0),IF('Eval-Avant impact'!$A$775=A10,LEN(SUBSTITUTE((SUBSTITUTE(AA23,"TM","")),"TS",""))*10/2,0),IF('Eval-Avant impact'!$A$776=A10,LEN(SUBSTITUTE((SUBSTITUTE(AA24,"TM","")),"TS",""))*10/2,0),IF('Eval-Avant impact'!$A$777=A10,LEN(SUBSTITUTE((SUBSTITUTE(AA25,"TM","")),"TS",""))*10/2,0),IF('Eval-Avant impact'!$A$778=A10,LEN(SUBSTITUTE((SUBSTITUTE(AA26,"TM","")),"TS",""))*10/2,0),IF('Eval-Avant impact'!$A$779=A10,LEN(SUBSTITUTE((SUBSTITUTE(AA27,"TM","")),"TS",""))*10/2,0),IF('Eval-Avant impact'!$A$780=A10,LEN(SUBSTITUTE((SUBSTITUTE(AA28,"TM","")),"TS",""))*10/2,0))/COUNTIF('Eval-Avant impact'!$A$761:$A$780,A10),"")</f>
        <v/>
      </c>
      <c r="O10" s="211" t="str">
        <f>IF(COUNTIF('Eval-Avant impact'!$A$761:$A$780,A10)&gt;0,SUM(IF('Eval-Avant impact'!$A$761=A10,LEN(SUBSTITUTE((SUBSTITUTE(AA9,"TF","")),"TS",""))*10/2,0),IF('Eval-Avant impact'!$A$762=A10,LEN(SUBSTITUTE((SUBSTITUTE(AA10,"TF","")),"TS",""))*10/2,0),IF('Eval-Avant impact'!$A$763=A10,LEN(SUBSTITUTE((SUBSTITUTE(AA11,"TF","")),"TS",""))*10/2,0),IF('Eval-Avant impact'!$A$764=A10,LEN(SUBSTITUTE((SUBSTITUTE(AA12,"TF","")),"TS",""))*10/2,0),IF('Eval-Avant impact'!$A$765=A10,LEN(SUBSTITUTE((SUBSTITUTE(AA13,"TF","")),"TS",""))*10/2,0),IF('Eval-Avant impact'!$A$766=A10,LEN(SUBSTITUTE((SUBSTITUTE(AA14,"TF","")),"TS",""))*10/2,0),IF('Eval-Avant impact'!$A$767=A10,LEN(SUBSTITUTE((SUBSTITUTE(AA15,"TF","")),"TS",""))*10/2,0),IF('Eval-Avant impact'!$A$768=A10,LEN(SUBSTITUTE((SUBSTITUTE(AA16,"TF","")),"TS",""))*10/2,0),IF('Eval-Avant impact'!$A$769=A10,LEN(SUBSTITUTE((SUBSTITUTE(AA17,"TF","")),"TS",""))*10/2,0),IF('Eval-Avant impact'!$A$770=A10,LEN(SUBSTITUTE((SUBSTITUTE(AA18,"TF","")),"TS",""))*10/2,0),IF('Eval-Avant impact'!$A$771=A10,LEN(SUBSTITUTE((SUBSTITUTE(AA19,"TF","")),"TS",""))*10/2,0),IF('Eval-Avant impact'!$A$772=A10,LEN(SUBSTITUTE((SUBSTITUTE(AA20,"TF","")),"TS",""))*10/2,0),IF('Eval-Avant impact'!$A$773=A10,LEN(SUBSTITUTE((SUBSTITUTE(AA21,"TF","")),"TS",""))*10/2,0),IF('Eval-Avant impact'!$A$774=A10,LEN(SUBSTITUTE((SUBSTITUTE(AA22,"TF","")),"TS",""))*10/2,0),IF('Eval-Avant impact'!$A$775=A10,LEN(SUBSTITUTE((SUBSTITUTE(AA23,"TF","")),"TS",""))*10/2,0),IF('Eval-Avant impact'!$A$776=A10,LEN(SUBSTITUTE((SUBSTITUTE(AA24,"TF","")),"TS",""))*10/2,0),IF('Eval-Avant impact'!$A$777=A10,LEN(SUBSTITUTE((SUBSTITUTE(AA25,"TF","")),"TS",""))*10/2,0),IF('Eval-Avant impact'!$A$778=A10,LEN(SUBSTITUTE((SUBSTITUTE(AA26,"TF","")),"TS",""))*10/2,0),IF('Eval-Avant impact'!$A$779=A10,LEN(SUBSTITUTE((SUBSTITUTE(AA27,"TF","")),"TS",""))*10/2,0),IF('Eval-Avant impact'!$A$780=A10,LEN(SUBSTITUTE((SUBSTITUTE(AA28,"TF","")),"TS",""))*10/2,0))/COUNTIF('Eval-Avant impact'!$A$761:$A$780,A10),"")</f>
        <v/>
      </c>
      <c r="P10" s="211" t="str">
        <f>IF(COUNTIF('Eval-Avant impact'!$A$761:$A$780,A10)&gt;0,SUM(IF('Eval-Avant impact'!$A$761=A10,LEN(SUBSTITUTE((SUBSTITUTE(AA9,"TF","")),"TM",""))*10/2,0),IF('Eval-Avant impact'!$A$762=A10,LEN(SUBSTITUTE((SUBSTITUTE(AA10,"TF","")),"TM",""))*10/2,0),IF('Eval-Avant impact'!$A$763=A10,LEN(SUBSTITUTE((SUBSTITUTE(AA11,"TF","")),"TM",""))*10/2,0),IF('Eval-Avant impact'!$A$764=A10,LEN(SUBSTITUTE((SUBSTITUTE(AA12,"TF","")),"TM",""))*10/2,0),IF('Eval-Avant impact'!$A$765=A10,LEN(SUBSTITUTE((SUBSTITUTE(AA13,"TF","")),"TM",""))*10/2,0),IF('Eval-Avant impact'!$A$766=A10,LEN(SUBSTITUTE((SUBSTITUTE(AA14,"TF","")),"TM",""))*10/2,0),IF('Eval-Avant impact'!$A$767=A10,LEN(SUBSTITUTE((SUBSTITUTE(AA15,"TF","")),"TM",""))*10/2,0),IF('Eval-Avant impact'!$A$768=A10,LEN(SUBSTITUTE((SUBSTITUTE(AA16,"TF","")),"TM",""))*10/2,0),IF('Eval-Avant impact'!$A$769=A10,LEN(SUBSTITUTE((SUBSTITUTE(AA17,"TF","")),"TM",""))*10/2,0),IF('Eval-Avant impact'!$A$770=A10,LEN(SUBSTITUTE((SUBSTITUTE(AA18,"TF","")),"TM",""))*10/2,0),IF('Eval-Avant impact'!$A$771=A10,LEN(SUBSTITUTE((SUBSTITUTE(AA19,"TF","")),"TM",""))*10/2,0),IF('Eval-Avant impact'!$A$772=A10,LEN(SUBSTITUTE((SUBSTITUTE(AA20,"TF","")),"TM",""))*10/2,0),IF('Eval-Avant impact'!$A$773=A10,LEN(SUBSTITUTE((SUBSTITUTE(AA21,"TF","")),"TM",""))*10/2,0),IF('Eval-Avant impact'!$A$774=A10,LEN(SUBSTITUTE((SUBSTITUTE(AA22,"TF","")),"TM",""))*10/2,0),IF('Eval-Avant impact'!$A$775=A10,LEN(SUBSTITUTE((SUBSTITUTE(AA23,"TF","")),"TM",""))*10/2,0),IF('Eval-Avant impact'!$A$776=A10,LEN(SUBSTITUTE((SUBSTITUTE(AA24,"TF","")),"TM",""))*10/2,0),IF('Eval-Avant impact'!$A$777=A10,LEN(SUBSTITUTE((SUBSTITUTE(AA25,"TF","")),"TM",""))*10/2,0),IF('Eval-Avant impact'!$A$778=A10,LEN(SUBSTITUTE((SUBSTITUTE(AA26,"TF","")),"TM",""))*10/2,0),IF('Eval-Avant impact'!$A$779=A10,LEN(SUBSTITUTE((SUBSTITUTE(AA27,"TF","")),"TM",""))*10/2,0),IF('Eval-Avant impact'!$A$780=A10,LEN(SUBSTITUTE((SUBSTITUTE(AA28,"TF","")),"TM",""))*10/2,0))/COUNTIF('Eval-Avant impact'!$A$761:$A$780,A10),"")</f>
        <v/>
      </c>
      <c r="Q10" s="211" t="str">
        <f>IF(COUNTIF('Eval-Avant impact'!$A$761:$A$780,A10)&gt;0,IF(OR(AND('Eval-Avant impact'!$A$761=A10,X9&lt;30),AND('Eval-Avant impact'!$A$762=A10,X10&lt;30),AND('Eval-Avant impact'!$A$763=A10,X11&lt;30),AND('Eval-Avant impact'!$A$764=A10,X12&lt;30),AND('Eval-Avant impact'!$A$765=A10,X13&lt;30),AND('Eval-Avant impact'!$A$766=A10,X14&lt;30),AND('Eval-Avant impact'!$A$767=A10,X15&lt;30),AND('Eval-Avant impact'!$A$768=A10,X16&lt;30),AND('Eval-Avant impact'!$A$769=A10,X17&lt;30),AND('Eval-Avant impact'!$A$770=A10,X18&lt;30),AND('Eval-Avant impact'!$A$771=A10,X19&lt;30),AND('Eval-Avant impact'!$A$772=A10,X20&lt;30),AND('Eval-Avant impact'!$A$773=A10,X21&lt;30),AND('Eval-Avant impact'!$A$774=A10,X22&lt;30),AND('Eval-Avant impact'!$A$775=A10,X23&lt;30),AND('Eval-Avant impact'!$A$776=A10,X24&lt;30),AND('Eval-Avant impact'!$A$777=A10,X25&lt;30),AND('Eval-Avant impact'!$A$778=A10,X26&lt;30),AND('Eval-Avant impact'!$A$779=A10,X27&lt;30),AND('Eval-Avant impact'!$A$780=A10,X28&lt;30)),"",SUM(0.1*(SUMPRODUCT(('Eval-Avant impact'!$A$761:$A$780=A10)*('Eval-Avant impact'!$N$761:$P$780="A"))+ SUMPRODUCT(('Eval-Avant impact'!$A$761:$A$780=A10)*('Eval-Avant impact'!$N$761:$P$780="AL"))),0.7*(SUMPRODUCT(('Eval-Avant impact'!$A$761:$A$780=A10)*('Eval-Avant impact'!$N$761:$P$780="TF"))+SUMPRODUCT(('Eval-Avant impact'!$A$761:$A$780=A10)*('Eval-Avant impact'!$N$761:$P$780="TM"))+SUMPRODUCT(('Eval-Avant impact'!$A$761:$A$780=A10)*('Eval-Avant impact'!$N$761:$P$780="TS"))),0.4*(SUMPRODUCT(('Eval-Avant impact'!$A$761:$A$780=A10)*('Eval-Avant impact'!$N$761:$P$780="LA"))+SUMPRODUCT(('Eval-Avant impact'!$A$761:$A$780=A10)*('Eval-Avant impact'!$N$761:$P$780="L"))+SUMPRODUCT(('Eval-Avant impact'!$A$761:$A$780=A10)*('Eval-Avant impact'!$N$761:$P$780="LS"))),1*(SUMPRODUCT(('Eval-Avant impact'!$A$761:$A$780=A10)*('Eval-Avant impact'!$N$761:$P$780="SL"))+ SUMPRODUCT(('Eval-Avant impact'!$A$761:$A$780=A10)*('Eval-Avant impact'!$N$761:$P$780="S"))))/(3*COUNTIF('Eval-Avant impact'!$A$761:$A$780,A10))),"")</f>
        <v/>
      </c>
      <c r="R10" s="211" t="str">
        <f>IF(COUNTIF('Eval-Avant impact'!$A$761:$A$780,A10)&gt;0,IF(OR(AND('Eval-Avant impact'!$A$761=A10,X9&lt;120),AND('Eval-Avant impact'!$A$762=A10,X10&lt;120),AND('Eval-Avant impact'!$A$763=A10,X11&lt;120),AND('Eval-Avant impact'!$A$764=A10,X12&lt;120),AND('Eval-Avant impact'!$A$765=A10,X13&lt;120),AND('Eval-Avant impact'!$A$766=A10,X14&lt;120),AND('Eval-Avant impact'!$A$767=A10,X15&lt;120),AND('Eval-Avant impact'!$A$768=A10,X16&lt;120),AND('Eval-Avant impact'!$A$769=A10,X17&lt;120),AND('Eval-Avant impact'!$A$770=A10,X18&lt;120),AND('Eval-Avant impact'!$A$771=A10,X19&lt;120),AND('Eval-Avant impact'!$A$772=A10,X20&lt;120),AND('Eval-Avant impact'!$A$773=A10,X21&lt;120),AND('Eval-Avant impact'!$A$774=A10,X22&lt;120),AND('Eval-Avant impact'!$A$775=A10,X23&lt;120),AND('Eval-Avant impact'!$A$776=A10,X24&lt;120),AND('Eval-Avant impact'!$A$777=A10,X25&lt;120),AND('Eval-Avant impact'!$A$778=A10,X26&lt;120),AND('Eval-Avant impact'!$A$779=A10,X27&lt;120),AND('Eval-Avant impact'!$A$780=A10,X28&lt;120)),"",SUM(0.1*(SUMPRODUCT(('Eval-Avant impact'!$A$761:$A$780=A10)*('Eval-Avant impact'!$Q$761:$Y$780="A"))+ SUMPRODUCT(('Eval-Avant impact'!$A$761:$A$780=A10)*('Eval-Avant impact'!$Q$761:$Y$780="AL"))),0.7*(SUMPRODUCT(('Eval-Avant impact'!$A$761:$A$780=A10)*('Eval-Avant impact'!$Q$761:$Y$780="TF"))+SUMPRODUCT(('Eval-Avant impact'!$A$761:$A$780=A10)*('Eval-Avant impact'!$Q$761:$Y$780="TM"))+SUMPRODUCT(('Eval-Avant impact'!$A$761:$A$780=A10)*('Eval-Avant impact'!$Q$761:$Y$780="TS"))),0.4*(SUMPRODUCT(('Eval-Avant impact'!$A$761:$A$780=A10)*('Eval-Avant impact'!$Q$761:$Y$780="LA"))+SUMPRODUCT(('Eval-Avant impact'!$A$761:$A$780=A10)*('Eval-Avant impact'!$Q$761:$Y$780="L"))+SUMPRODUCT(('Eval-Avant impact'!$A$761:$A$780=A10)*('Eval-Avant impact'!$Q$761:$Y$780="LS"))),1*(SUMPRODUCT(('Eval-Avant impact'!$A$761:$A$780=A10)*('Eval-Avant impact'!$Q$761:$Y$780="SL"))+ SUMPRODUCT(('Eval-Avant impact'!$A$761:$A$780=A10)*('Eval-Avant impact'!$Q$761:$Y$780="S"))))/(9*COUNTIF('Eval-Avant impact'!$A$761:$A$780,A10))),"")</f>
        <v/>
      </c>
      <c r="S10" s="211" t="str">
        <f>IF(COUNTIF('Eval-Avant impact'!$A$761:$A$780,A10)&gt;0,IF(OR(AND('Eval-Avant impact'!$A$761=A10,OR(COUNTIF('Eval-Avant impact'!$N$761:$P$761,"*T*")&gt;0,X9&lt;30)),AND('Eval-Avant impact'!$A$762=A10,OR(COUNTIF('Eval-Avant impact'!$N$762:$P$762,"*T*")&gt;0,X10&lt;30)),AND('Eval-Avant impact'!$A$763=A10,OR(COUNTIF('Eval-Avant impact'!$N$763:$P$763,"*T*")&gt;0,X11&lt;30)),AND('Eval-Avant impact'!$A$764=A10,OR(COUNTIF('Eval-Avant impact'!$N$764:$P$764,"*T*")&gt;0,X12&lt;30)),AND('Eval-Avant impact'!$A$765=A10,OR(COUNTIF('Eval-Avant impact'!$N$765:$P$765,"*T*")&gt;0,X13&lt;30)),AND('Eval-Avant impact'!$A$766=A10,OR(COUNTIF('Eval-Avant impact'!$N$766:$P$766,"*T*")&gt;0,X14&lt;30)),AND('Eval-Avant impact'!$A$767=A10,OR(COUNTIF('Eval-Avant impact'!$N$767:$P$767,"*T*")&gt;0,X15&lt;30)),AND('Eval-Avant impact'!$A$768=A10,OR(COUNTIF('Eval-Avant impact'!$N$768:$P$768,"*T*")&gt;0,X16&lt;30)),AND('Eval-Avant impact'!$A$769=A10,OR(COUNTIF('Eval-Avant impact'!$N$769:$P$769,"*T*")&gt;0,X17&lt;30)),AND('Eval-Avant impact'!$A$770=A10,OR(COUNTIF('Eval-Avant impact'!$N$770:$P$770,"*T*")&gt;0,X18&lt;30)),AND('Eval-Avant impact'!$A$771=A10,OR(COUNTIF('Eval-Avant impact'!$N$771:$P$771,"*T*")&gt;0,X19&lt;30)),AND('Eval-Avant impact'!$A$772=A10,OR(COUNTIF('Eval-Avant impact'!$N$772:$P$772,"*T*")&gt;0,X20&lt;30)),AND('Eval-Avant impact'!$A$773=A10,OR(COUNTIF('Eval-Avant impact'!$N$773:$P$773,"*T*")&gt;0,X21&lt;30)),AND('Eval-Avant impact'!$A$774=A10,OR(COUNTIF('Eval-Avant impact'!$N$774:$P$774,"*T*")&gt;0,X22&lt;30)),AND('Eval-Avant impact'!$A$775=A10,OR(COUNTIF('Eval-Avant impact'!$N$775:$P$775,"*T*")&gt;0,X23&lt;30)),AND('Eval-Avant impact'!$A$776=A10,OR(COUNTIF('Eval-Avant impact'!$N$776:$P$776,"*T*")&gt;0,X24&lt;30)),AND('Eval-Avant impact'!$A$777=A10,OR(COUNTIF('Eval-Avant impact'!$N$777:$P$777,"*T*")&gt;0,X25&lt;30)),AND('Eval-Avant impact'!$A$778=A10,OR(COUNTIF('Eval-Avant impact'!$N$778:$P$778,"*T*")&gt;0,X26&lt;30)),AND('Eval-Avant impact'!$A$779=A10,OR(COUNTIF('Eval-Avant impact'!$N$779:$P$779,"*T*")&gt;0,X27&lt;30)),AND('Eval-Avant impact'!$A$780=A10,OR(COUNTIF('Eval-Avant impact'!$N$780:$P$780,"*T*")&gt;0,X28&lt;30))),"",SUM(0.1*(SUMPRODUCT(('Eval-Avant impact'!$A$761:$A$780=A10)*('Eval-Avant impact'!$N$761:$P$780="L"))),0.4*(SUMPRODUCT(('Eval-Avant impact'!$A$761:$A$780=A10)*('Eval-Avant impact'!$N$761:$P$780="LA"))+SUMPRODUCT(('Eval-Avant impact'!$A$761:$A$780=A10)*('Eval-Avant impact'!$N$761:$P$780="LS"))),0.7*(SUMPRODUCT(('Eval-Avant impact'!$A$761:$A$780=A10)*('Eval-Avant impact'!$N$761:$P$780="AL"))+SUMPRODUCT(('Eval-Avant impact'!$A$761:$A$780=A10)*('Eval-Avant impact'!$N$761:$P$780="SL"))),1*(SUMPRODUCT(('Eval-Avant impact'!$A$761:$A$780=A10)*('Eval-Avant impact'!$N$761:$P$780="S"))+ SUMPRODUCT(('Eval-Avant impact'!$A$761:$A$780=A10)*('Eval-Avant impact'!$N$761:$P$780="A"))))/(3*COUNTIF('Eval-Avant impact'!$A$761:$A$780,A10))),"")</f>
        <v/>
      </c>
      <c r="T10" s="211" t="str">
        <f>IF(COUNTIF('Eval-Avant impact'!$A$761:$A$780,A10)&gt;0,IF(OR(AND('Eval-Avant impact'!$A$761=A10,OR(COUNTIF('Eval-Avant impact'!$N$761:$P$761,"*T*")&gt;0,X9&lt;30)),AND('Eval-Avant impact'!$A$762=A10,OR(COUNTIF('Eval-Avant impact'!$N$762:$P$762,"*T*")&gt;0,X10&lt;30)),AND('Eval-Avant impact'!$A$763=A10,OR(COUNTIF('Eval-Avant impact'!$N$763:$P$763,"*T*")&gt;0,X11&lt;30)),AND('Eval-Avant impact'!$A$764=A10,OR(COUNTIF('Eval-Avant impact'!$N$764:$P$764,"*T*")&gt;0,X12&lt;30)),AND('Eval-Avant impact'!$A$765=A10,OR(COUNTIF('Eval-Avant impact'!$N$765:$P$765,"*T*")&gt;0,X13&lt;30)),AND('Eval-Avant impact'!$A$766=A10,OR(COUNTIF('Eval-Avant impact'!$N$766:$P$766,"*T*")&gt;0,X14&lt;30)),AND('Eval-Avant impact'!$A$767=A10,OR(COUNTIF('Eval-Avant impact'!$N$767:$P$767,"*T*")&gt;0,X15&lt;30)),AND('Eval-Avant impact'!$A$768=A10,OR(COUNTIF('Eval-Avant impact'!$N$768:$P$768,"*T*")&gt;0,X16&lt;30)),AND('Eval-Avant impact'!$A$769=A10,OR(COUNTIF('Eval-Avant impact'!$N$769:$P$769,"*T*")&gt;0,X17&lt;30)),AND('Eval-Avant impact'!$A$770=A10,OR(COUNTIF('Eval-Avant impact'!$N$770:$P$770,"*T*")&gt;0,X18&lt;30)),AND('Eval-Avant impact'!$A$771=A10,OR(COUNTIF('Eval-Avant impact'!$N$771:$P$771,"*T*")&gt;0,X19&lt;30)),AND('Eval-Avant impact'!$A$772=A10,OR(COUNTIF('Eval-Avant impact'!$N$772:$P$772,"*T*")&gt;0,X20&lt;30)),AND('Eval-Avant impact'!$A$773=A10,OR(COUNTIF('Eval-Avant impact'!$N$773:$P$773,"*T*")&gt;0,X21&lt;30)),AND('Eval-Avant impact'!$A$774=A10,OR(COUNTIF('Eval-Avant impact'!$N$774:$P$774,"*T*")&gt;0,X22&lt;30)),AND('Eval-Avant impact'!$A$775=A10,OR(COUNTIF('Eval-Avant impact'!$N$775:$P$775,"*T*")&gt;0,X23&lt;30)),AND('Eval-Avant impact'!$A$776=A10,OR(COUNTIF('Eval-Avant impact'!$N$776:$P$776,"*T*")&gt;0,X24&lt;30)),AND('Eval-Avant impact'!$A$777=A10,OR(COUNTIF('Eval-Avant impact'!$N$777:$P$777,"*T*")&gt;0,X25&lt;30)),AND('Eval-Avant impact'!$A$778=A10,OR(COUNTIF('Eval-Avant impact'!$N$778:$P$778,"*T*")&gt;0,X26&lt;30)),AND('Eval-Avant impact'!$A$779=A10,OR(COUNTIF('Eval-Avant impact'!$N$779:$P$779,"*T*")&gt;0,X27&lt;30)),AND('Eval-Avant impact'!$A$780=A10,OR(COUNTIF('Eval-Avant impact'!$N$780:$P$780,"*T*")&gt;0,X28&lt;30))),"",SUM(1*(SUMPRODUCT(('Eval-Avant impact'!$A$761:$A$780=A10)*('Eval-Avant impact'!$N$761:$P$780="A"))),0.85*(SUMPRODUCT(('Eval-Avant impact'!$A$761:$A$780=A10)*('Eval-Avant impact'!$N$761:$P$780="AL"))),0.7*(SUMPRODUCT(('Eval-Avant impact'!$A$761:$A$780=A10)*('Eval-Avant impact'!$N$761:$P$780="LA"))),0.55*(SUMPRODUCT(('Eval-Avant impact'!$A$761:$A$780=A10)*('Eval-Avant impact'!$N$761:$P$780="L"))),0.4*(SUMPRODUCT(('Eval-Avant impact'!$A$761:$A$780=A10)*('Eval-Avant impact'!$N$761:$P$780="LS"))),0.25*(SUMPRODUCT(('Eval-Avant impact'!$A$761:$A$780=A10)*('Eval-Avant impact'!$N$761:$P$780="SL"))),0.1*(SUMPRODUCT(('Eval-Avant impact'!$A$761:$A$780=A10)*('Eval-Avant impact'!$N$761:$P$780="S"))))/(3*COUNTIF('Eval-Avant impact'!$A$761:$A$780,A10))),"")</f>
        <v/>
      </c>
      <c r="U10" s="214" t="str">
        <f>IF(COUNTIF('Eval-Avant impact'!$A$761:$A$780,A10)&gt;0,IF(OR(AND('Eval-Avant impact'!$A$761=A10,OR(COUNTIF('Eval-Avant impact'!$Q$761:$Y$761,"*T*")&gt;0,X9&lt;120)),AND('Eval-Avant impact'!$A$762=A10,OR(COUNTIF('Eval-Avant impact'!$Q$762:$Y$762,"*T*")&gt;0,X10&lt;120)),AND('Eval-Avant impact'!$A$763=A10,OR(COUNTIF('Eval-Avant impact'!$Q$763:$Y$763,"*T*")&gt;0,X11&lt;120)),AND('Eval-Avant impact'!$A$764=A10,OR(COUNTIF('Eval-Avant impact'!$Q$764:$Y$764,"*T*")&gt;0,X12&lt;120)),AND('Eval-Avant impact'!$A$765=A10,OR(COUNTIF('Eval-Avant impact'!$Q$765:$Y$765,"*T*")&gt;0,X13&lt;120)),AND('Eval-Avant impact'!$A$766=A10,OR(COUNTIF('Eval-Avant impact'!$Q$766:$Y$766,"*T*")&gt;0,X14&lt;120)),AND('Eval-Avant impact'!$A$767=A10,OR(COUNTIF('Eval-Avant impact'!$Q$767:$Y$767,"*T*")&gt;0,X15&lt;120)),AND('Eval-Avant impact'!$A$768=A10,OR(COUNTIF('Eval-Avant impact'!$Q$768:$Y$768,"*T*")&gt;0,X16&lt;120)),AND('Eval-Avant impact'!$A$769=A10,OR(COUNTIF('Eval-Avant impact'!$Q$769:$Y$769,"*T*")&gt;0,X17&lt;120)),AND('Eval-Avant impact'!$A$770=A10,OR(COUNTIF('Eval-Avant impact'!$Q$770:$Y$770,"*T*")&gt;0,X18&lt;120)),AND('Eval-Avant impact'!$A$771=A10,OR(COUNTIF('Eval-Avant impact'!$Q$771:$Y$771,"*T*")&gt;0,X19&lt;120)),AND('Eval-Avant impact'!$A$772=A10,OR(COUNTIF('Eval-Avant impact'!$Q$772:$Y$772,"*T*")&gt;0,X20&lt;120)),AND('Eval-Avant impact'!$A$773=A10,OR(COUNTIF('Eval-Avant impact'!$Q$773:$Y$773,"*T*")&gt;0,X21&lt;120)),AND('Eval-Avant impact'!$A$774=A10,OR(COUNTIF('Eval-Avant impact'!$Q$774:$Y$774,"*T*")&gt;0,X22&lt;120)),AND('Eval-Avant impact'!$A$775=A10,OR(COUNTIF('Eval-Avant impact'!$Q$775:$Y$775,"*T*")&gt;0,X23&lt;120)),AND('Eval-Avant impact'!$A$776=A10,OR(COUNTIF('Eval-Avant impact'!$Q$776:$Y$776,"*T*")&gt;0,X24&lt;120)),AND('Eval-Avant impact'!$A$777=A10,OR(COUNTIF('Eval-Avant impact'!$Q$777:$Y$777,"*T*")&gt;0,X25&lt;120)),AND('Eval-Avant impact'!$A$778=A10,OR(COUNTIF('Eval-Avant impact'!$Q$778:$Y$778,"*T*")&gt;0,X26&lt;120)),AND('Eval-Avant impact'!$A$779=A10,OR(COUNTIF('Eval-Avant impact'!$Q$779:$Y$779,"*T*")&gt;0,X27&lt;120)),AND('Eval-Avant impact'!$A$780=A10,OR(COUNTIF('Eval-Avant impact'!$Q$780:$Y$780,"*T*")&gt;0,X28&lt;120))),"",SUM(1*(SUMPRODUCT(('Eval-Avant impact'!$A$761:$A$780=A10)*('Eval-Avant impact'!$Q$761:$Y$780="A"))),0.85*(SUMPRODUCT(('Eval-Avant impact'!$A$761:$A$780=A10)*('Eval-Avant impact'!$Q$761:$Y$780="AL"))),0.7*(SUMPRODUCT(('Eval-Avant impact'!$A$761:$A$780=A10)*('Eval-Avant impact'!$Q$761:$Y$780="LA"))),0.55*(SUMPRODUCT(('Eval-Avant impact'!$A$761:$A$780=A10)*('Eval-Avant impact'!$Q$761:$Y$780="L"))),0.4*(SUMPRODUCT(('Eval-Avant impact'!$A$761:$A$780=A10)*('Eval-Avant impact'!$Q$761:$Y$780="LS"))),0.25*(SUMPRODUCT(('Eval-Avant impact'!$A$761:$A$780=A10)*('Eval-Avant impact'!$Q$761:$Y$780="SL"))),0.1*(SUMPRODUCT(('Eval-Avant impact'!$A$761:$A$780=A10)*('Eval-Avant impact'!$Q$761:$Y$780="S"))))/(9*COUNTIF('Eval-Avant impact'!$A$761:$A$780,A10))),"")</f>
        <v/>
      </c>
      <c r="V10" s="215"/>
      <c r="W10" s="216">
        <f>'Eval-Avant impact'!$D$762</f>
        <v>2</v>
      </c>
      <c r="X10" s="217" t="str">
        <f>IF(Y10="C",0,IF(IF(COUNTIF('Eval-Avant impact'!$N$762:$Y$762,"=C")&gt;0,(COUNTA('Eval-Avant impact'!$N$762:$Y$762)-1)*10,COUNTA('Eval-Avant impact'!$N$762:$Y$762)*10)=0,"",IF(COUNTIF('Eval-Avant impact'!$N$762:$Y$762,"=C")&gt;0,(COUNTA('Eval-Avant impact'!$N$762:$Y$762)-1)*10,COUNTA('Eval-Avant impact'!$N$762:$Y$762)*10)))</f>
        <v/>
      </c>
      <c r="Y10" s="217" t="str">
        <f>CONCATENATE('Eval-Avant impact'!$N$762,'Eval-Avant impact'!$O$762,'Eval-Avant impact'!$P$762,'Eval-Avant impact'!$Q$762,'Eval-Avant impact'!$R$762,'Eval-Avant impact'!$S$762,'Eval-Avant impact'!$T$762,'Eval-Avant impact'!$U$762,'Eval-Avant impact'!$V$762,'Eval-Avant impact'!$W$762,'Eval-Avant impact'!$X$762,'Eval-Avant impact'!$Y$762)</f>
        <v/>
      </c>
      <c r="Z10" s="217" t="str">
        <f t="shared" si="0"/>
        <v/>
      </c>
      <c r="AA10" s="217" t="str">
        <f t="shared" si="1"/>
        <v/>
      </c>
      <c r="AB10" s="217" t="str">
        <f>IF(COUNTIF('Eval-Avant impact'!$N$762:$Y$762,"=C")&gt;0,"X","")</f>
        <v/>
      </c>
      <c r="AC10" s="217" t="str">
        <f t="shared" si="2"/>
        <v/>
      </c>
      <c r="AD10" s="218" t="str">
        <f t="shared" si="3"/>
        <v/>
      </c>
      <c r="AE10" s="197"/>
      <c r="AG10" s="210">
        <v>2</v>
      </c>
      <c r="AH10" s="211" t="str">
        <f>IF(COUNTIF('Eval-Avec impact envisagé'!$A$761:$A$780,AG10)&gt;0,SUM(IF('Eval-Avec impact envisagé'!$A$761=AG10,'Eval-Avec impact envisagé'!$B$761,0),IF('Eval-Avec impact envisagé'!$A$762=AG10, 'Eval-Avec impact envisagé'!$B$762,0),IF('Eval-Avec impact envisagé'!$A$763=AG10, 'Eval-Avec impact envisagé'!$B$763,0),IF('Eval-Avec impact envisagé'!$A$764=AG10, 'Eval-Avec impact envisagé'!$B$764,0),IF('Eval-Avec impact envisagé'!$A$765=AG10, 'Eval-Avec impact envisagé'!$B$765,0),IF('Eval-Avec impact envisagé'!$A$766=AG10, 'Eval-Avec impact envisagé'!$B$766,0),IF('Eval-Avec impact envisagé'!$A$767=AG10, 'Eval-Avec impact envisagé'!$B$767,0),IF('Eval-Avec impact envisagé'!$A$768=AG10, 'Eval-Avec impact envisagé'!$B$768,0),IF('Eval-Avec impact envisagé'!$A$769=AG10, 'Eval-Avec impact envisagé'!$B$769,0),IF('Eval-Avec impact envisagé'!$A$770=AG10, 'Eval-Avec impact envisagé'!$B$770,0),IF('Eval-Avec impact envisagé'!$A$771=AG10, 'Eval-Avec impact envisagé'!$B$771,0),IF('Eval-Avec impact envisagé'!$A$772=AG10, 'Eval-Avec impact envisagé'!$B$772,0),IF('Eval-Avec impact envisagé'!$A$773=AG10, 'Eval-Avec impact envisagé'!$B$773,0),IF('Eval-Avec impact envisagé'!$A$774=AG10, 'Eval-Avec impact envisagé'!$B$774,0),IF('Eval-Avec impact envisagé'!$A$775=AG10, 'Eval-Avec impact envisagé'!$B$775,0),IF('Eval-Avec impact envisagé'!$A$776=AG10, 'Eval-Avec impact envisagé'!$B$776,0),IF('Eval-Avec impact envisagé'!$A$777=AG10, 'Eval-Avec impact envisagé'!$B$777,0),IF('Eval-Avec impact envisagé'!$A$778=AG10, 'Eval-Avec impact envisagé'!$B$778,0),IF('Eval-Avec impact envisagé'!$A$779=AG10, 'Eval-Avec impact envisagé'!$B$779,0),IF('Eval-Avec impact envisagé'!$A$780=AG10, 'Eval-Avec impact envisagé'!$B$780,0))/COUNTIF('Eval-Avec impact envisagé'!$A$761:$A$780,AG10),"")</f>
        <v/>
      </c>
      <c r="AI10" s="212" t="str">
        <f>IF(COUNTIF('Eval-Avec impact envisagé'!$A$761:$A$780,AG10)&gt;0,COUNTIF('Eval-Avec impact envisagé'!$A$761:$A$780,AG10),"")</f>
        <v/>
      </c>
      <c r="AJ10" s="211" t="str">
        <f>IF(COUNTIF('Eval-Avec impact envisagé'!$A$761:$A$780,AG10)&gt;0,IF(OR(AND('Eval-Avec impact envisagé'!$A$761=AG10, 'Eval-Avec impact envisagé'!$G$761=""),AND('Eval-Avec impact envisagé'!$A$762=AG10, 'Eval-Avec impact envisagé'!$G$762=""),AND('Eval-Avec impact envisagé'!$A$763=AG10, 'Eval-Avec impact envisagé'!$G$763=""),AND('Eval-Avec impact envisagé'!$A$764=AG10, 'Eval-Avec impact envisagé'!$G$764=""),AND('Eval-Avec impact envisagé'!$A$765=AG10, 'Eval-Avec impact envisagé'!$G$765=""),AND('Eval-Avec impact envisagé'!$A$766=AG10, 'Eval-Avec impact envisagé'!$G$766=""),AND('Eval-Avec impact envisagé'!$A$767=AG10, 'Eval-Avec impact envisagé'!$G$767=""),AND('Eval-Avec impact envisagé'!$A$768=AG10, 'Eval-Avec impact envisagé'!$G$768=""),AND('Eval-Avec impact envisagé'!$A$769=AG10, 'Eval-Avec impact envisagé'!$G$769=""),AND('Eval-Avec impact envisagé'!$A$770=AG10, 'Eval-Avec impact envisagé'!$G$770=""),AND('Eval-Avec impact envisagé'!$A$771=AG10, 'Eval-Avec impact envisagé'!$G$771=""),AND('Eval-Avec impact envisagé'!$A$772=AG10, 'Eval-Avec impact envisagé'!$G$772=""),AND('Eval-Avec impact envisagé'!$A$773=AG10, 'Eval-Avec impact envisagé'!$G$773=""),AND('Eval-Avec impact envisagé'!$A$774=AG10, 'Eval-Avec impact envisagé'!$G$774=""),AND('Eval-Avec impact envisagé'!$A$775=AG10, 'Eval-Avec impact envisagé'!$G$775=""),AND('Eval-Avec impact envisagé'!$A$776=AG10, 'Eval-Avec impact envisagé'!$G$776=""),AND('Eval-Avec impact envisagé'!$A$777=AG10, 'Eval-Avec impact envisagé'!$G$777=""),AND('Eval-Avec impact envisagé'!$A$778=AG10, 'Eval-Avec impact envisagé'!$G$778=""),AND('Eval-Avec impact envisagé'!$A$779=AG10, 'Eval-Avec impact envisagé'!$G$779=""),AND('Eval-Avec impact envisagé'!$A$780=AG10, 'Eval-Avec impact envisagé'!$G$780="")),"",SUM(IF('Eval-Avec impact envisagé'!$A$761=AG10,'Eval-Avec impact envisagé'!$G$761,0),IF('Eval-Avec impact envisagé'!$A$762=AG10,'Eval-Avec impact envisagé'!$G$762,0),IF('Eval-Avec impact envisagé'!$A$763=AG10,'Eval-Avec impact envisagé'!$G$763,0),IF('Eval-Avec impact envisagé'!$A$764=AG10,'Eval-Avec impact envisagé'!$G$764,0),IF('Eval-Avec impact envisagé'!$A$765=AG10,'Eval-Avec impact envisagé'!$G$765,0),IF('Eval-Avec impact envisagé'!$A$766=AG10,'Eval-Avec impact envisagé'!$G$766,0),IF('Eval-Avec impact envisagé'!$A$767=AG10,'Eval-Avec impact envisagé'!$G$767,0),IF('Eval-Avec impact envisagé'!$A$768=AG10,'Eval-Avec impact envisagé'!$G$768,0),IF('Eval-Avec impact envisagé'!$A$769=AG10,'Eval-Avec impact envisagé'!$G$769,0),IF('Eval-Avec impact envisagé'!$A$770=AG10,'Eval-Avec impact envisagé'!$G$770,0),IF('Eval-Avec impact envisagé'!$A$771=AG10,'Eval-Avec impact envisagé'!$G$771,0),IF('Eval-Avec impact envisagé'!$A$772=AG10,'Eval-Avec impact envisagé'!$G$772,0),IF('Eval-Avec impact envisagé'!$A$773=AG10,'Eval-Avec impact envisagé'!$G$773,0),IF('Eval-Avec impact envisagé'!$A$774=AG10,'Eval-Avec impact envisagé'!$G$774,0),IF('Eval-Avec impact envisagé'!$A$775=AG10,'Eval-Avec impact envisagé'!$G$775,0), IF('Eval-Avec impact envisagé'!$A$776=AG10,'Eval-Avec impact envisagé'!$G$776,0), IF('Eval-Avec impact envisagé'!$A$777=AG10,'Eval-Avec impact envisagé'!$G$777,0), IF('Eval-Avec impact envisagé'!$A$778=AG10,'Eval-Avec impact envisagé'!$G$778,0), IF('Eval-Avec impact envisagé'!$A$779=AG10,'Eval-Avec impact envisagé'!$G$779,0), IF('Eval-Avec impact envisagé'!$A$780=AG10,'Eval-Avec impact envisagé'!$G$780,0))/ COUNTIF('Eval-Avec impact envisagé'!$A$761:$A$780,AG10)),"")</f>
        <v/>
      </c>
      <c r="AK10" s="212" t="str">
        <f>IF(COUNTIF('Eval-Avec impact envisagé'!$A$761:$A$780,AG10)&gt;0,IF(SUM(IF('Eval-Avec impact envisagé'!$A$761=AG10,COUNTA('Eval-Avec impact envisagé'!$H$761),0),IF('Eval-Avec impact envisagé'!$A$762=AG10,COUNTA('Eval-Avec impact envisagé'!$H$762),0),IF('Eval-Avec impact envisagé'!$A$763=AG10,COUNTA('Eval-Avec impact envisagé'!$H$763),0),IF('Eval-Avec impact envisagé'!$A$764=AG10,COUNTA('Eval-Avec impact envisagé'!$H$764),0),IF('Eval-Avec impact envisagé'!$A$765=AG10,COUNTA('Eval-Avec impact envisagé'!$H$765),0),IF('Eval-Avec impact envisagé'!$A$766=AG10,COUNTA('Eval-Avec impact envisagé'!$H$766),0),IF('Eval-Avec impact envisagé'!$A$767=AG10,COUNTA('Eval-Avec impact envisagé'!$H$767),0),IF('Eval-Avec impact envisagé'!$A$768=AG10,COUNTA('Eval-Avec impact envisagé'!$H$768),0),IF('Eval-Avec impact envisagé'!$A$769=AG10,COUNTA('Eval-Avec impact envisagé'!$H$769),0),IF('Eval-Avec impact envisagé'!$A$770=AG10,COUNTA('Eval-Avec impact envisagé'!$H$770),0),IF('Eval-Avec impact envisagé'!$A$771=AG10,COUNTA('Eval-Avec impact envisagé'!$H$771),0),IF('Eval-Avec impact envisagé'!$A$772=AG10,COUNTA('Eval-Avec impact envisagé'!$H$772),0),IF('Eval-Avec impact envisagé'!$A$773=AG10,COUNTA('Eval-Avec impact envisagé'!$H$773),0),IF('Eval-Avec impact envisagé'!$A$774=AG10,COUNTA('Eval-Avec impact envisagé'!$H$774),0),IF('Eval-Avec impact envisagé'!$A$775=AG10,COUNTA('Eval-Avec impact envisagé'!$H$775),0),IF('Eval-Avec impact envisagé'!$A$776=AG10,COUNTA('Eval-Avec impact envisagé'!$H$776),0),IF('Eval-Avec impact envisagé'!$A$777=AG10,COUNTA('Eval-Avec impact envisagé'!$H$777),0),IF('Eval-Avec impact envisagé'!$A$778=AG10,COUNTA('Eval-Avec impact envisagé'!$H$778),0),IF('Eval-Avec impact envisagé'!$A$779=AG10,COUNTA('Eval-Avec impact envisagé'!$H$779),0),IF('Eval-Avec impact envisagé'!$A$780=AG10,COUNTA('Eval-Avec impact envisagé'!$H$780),0))&gt;0,"X",0),"")</f>
        <v/>
      </c>
      <c r="AL10" s="213" t="str">
        <f>IF(COUNTIF('Eval-Avec impact envisagé'!$A$761:$A$780,AG10)&gt;0,IF(SUM(IF('Eval-Avec impact envisagé'!$A$761=AG10,COUNTA('Eval-Avec impact envisagé'!$I$761),0),IF('Eval-Avec impact envisagé'!$A$762=AG10,COUNTA('Eval-Avec impact envisagé'!$I$762),0),IF('Eval-Avec impact envisagé'!$A$763=AG10,COUNTA('Eval-Avec impact envisagé'!$I$763),0),IF('Eval-Avec impact envisagé'!$A$764=AG10,COUNTA('Eval-Avec impact envisagé'!$I$764),0),IF('Eval-Avec impact envisagé'!$A$765=AG10,COUNTA('Eval-Avec impact envisagé'!$I$765),0),IF('Eval-Avec impact envisagé'!$A$766=AG10,COUNTA('Eval-Avec impact envisagé'!$I$766),0),IF('Eval-Avec impact envisagé'!$A$767=AG10,COUNTA('Eval-Avec impact envisagé'!$I$767),0),IF('Eval-Avec impact envisagé'!$A$768=AG10,COUNTA('Eval-Avec impact envisagé'!$I$768),0),IF('Eval-Avec impact envisagé'!$A$769=AG10,COUNTA('Eval-Avec impact envisagé'!$I$769),0),IF('Eval-Avec impact envisagé'!$A$770=AG10,COUNTA('Eval-Avec impact envisagé'!$I$770),0),IF('Eval-Avec impact envisagé'!$A$771=AG10,COUNTA('Eval-Avec impact envisagé'!$I$771),0),IF('Eval-Avec impact envisagé'!$A$772=AG10,COUNTA('Eval-Avec impact envisagé'!$I$772),0),IF('Eval-Avec impact envisagé'!$A$773=AG10,COUNTA('Eval-Avec impact envisagé'!$I$773),0),IF('Eval-Avec impact envisagé'!$A$774=AG10,COUNTA('Eval-Avec impact envisagé'!$I$774),0),IF('Eval-Avec impact envisagé'!$A$775=AG10,COUNTA('Eval-Avec impact envisagé'!$I$775),0),IF('Eval-Avec impact envisagé'!$A$776=AG10,COUNTA('Eval-Avec impact envisagé'!$I$776),0),IF('Eval-Avec impact envisagé'!$A$777=AG10,COUNTA('Eval-Avec impact envisagé'!$I$777),0),IF('Eval-Avec impact envisagé'!$A$778=AG10,COUNTA('Eval-Avec impact envisagé'!$I$778),0),IF('Eval-Avec impact envisagé'!$A$779=AG10,COUNTA('Eval-Avec impact envisagé'!$I$779),0),IF('Eval-Avec impact envisagé'!$A$780=AG10,COUNTA('Eval-Avec impact envisagé'!$I$780),0))&gt;0,"X",0),"")</f>
        <v/>
      </c>
      <c r="AM10" s="213" t="str">
        <f>IF(COUNTIF('Eval-Avec impact envisagé'!$A$761:$A$780,AG10)&gt;0,IF(SUM(IF('Eval-Avec impact envisagé'!$A$761=AG10,COUNTA('Eval-Avec impact envisagé'!$J$761),0),IF('Eval-Avec impact envisagé'!$A$762=AG10,COUNTA('Eval-Avec impact envisagé'!$J$762),0),IF('Eval-Avec impact envisagé'!$A$763=AG10,COUNTA('Eval-Avec impact envisagé'!$J$763),0),IF('Eval-Avec impact envisagé'!$A$764=AG10,COUNTA('Eval-Avec impact envisagé'!$J$764),0),IF('Eval-Avec impact envisagé'!$A$765=AG10,COUNTA('Eval-Avec impact envisagé'!$J$765),0),IF('Eval-Avec impact envisagé'!$A$766=AG10,COUNTA('Eval-Avec impact envisagé'!$J$766),0),IF('Eval-Avec impact envisagé'!$A$767=AG10,COUNTA('Eval-Avec impact envisagé'!$J$767),0),IF('Eval-Avec impact envisagé'!$A$768=AG10,COUNTA('Eval-Avec impact envisagé'!$J$768),0),IF('Eval-Avec impact envisagé'!$A$769=AG10,COUNTA('Eval-Avec impact envisagé'!$J$769),0),IF('Eval-Avec impact envisagé'!$A$770=AG10,COUNTA('Eval-Avec impact envisagé'!$J$770),0),IF('Eval-Avec impact envisagé'!$A$771=AG10,COUNTA('Eval-Avec impact envisagé'!$J$771),0),IF('Eval-Avec impact envisagé'!$A$772=AG10,COUNTA('Eval-Avec impact envisagé'!$J$772),0),IF('Eval-Avec impact envisagé'!$A$773=AG10,COUNTA('Eval-Avec impact envisagé'!$J$773),0),IF('Eval-Avec impact envisagé'!$A$774=AG10,COUNTA('Eval-Avec impact envisagé'!$J$774),0),IF('Eval-Avec impact envisagé'!$A$775=AG10,COUNTA('Eval-Avec impact envisagé'!$J$775),0),IF('Eval-Avec impact envisagé'!$A$776=AG10,COUNTA('Eval-Avec impact envisagé'!$J$776),0),IF('Eval-Avec impact envisagé'!$A$777=AG10,COUNTA('Eval-Avec impact envisagé'!$J$777),0),IF('Eval-Avec impact envisagé'!$A$778=AG10,COUNTA('Eval-Avec impact envisagé'!$J$778),0),IF('Eval-Avec impact envisagé'!$A$779=AG10,COUNTA('Eval-Avec impact envisagé'!$J$779),0),IF('Eval-Avec impact envisagé'!$A$780=AG10,COUNTA('Eval-Avec impact envisagé'!$J$780),0))&gt;0,"X",0),"")</f>
        <v/>
      </c>
      <c r="AN10" s="213" t="str">
        <f>IF(COUNTIF('Eval-Avec impact envisagé'!$A$761:$A$780,AG10)&gt;0,IF(SUM(IF('Eval-Avec impact envisagé'!$A$761=AG10,COUNTA('Eval-Avec impact envisagé'!$K$761),0),IF('Eval-Avec impact envisagé'!$A$762=AG10,COUNTA('Eval-Avec impact envisagé'!$K$762),0),IF('Eval-Avec impact envisagé'!$A$763=AG10,COUNTA('Eval-Avec impact envisagé'!$K$763),0),IF('Eval-Avec impact envisagé'!$A$764=AG10,COUNTA('Eval-Avec impact envisagé'!$K$764),0),IF('Eval-Avec impact envisagé'!$A$765=AG10,COUNTA('Eval-Avec impact envisagé'!$K$765),0),IF('Eval-Avec impact envisagé'!$A$766=AG10,COUNTA('Eval-Avec impact envisagé'!$K$766),0),IF('Eval-Avec impact envisagé'!$A$767=AG10,COUNTA('Eval-Avec impact envisagé'!$K$767),0),IF('Eval-Avec impact envisagé'!$A$768=AG10,COUNTA('Eval-Avec impact envisagé'!$K$768),0),IF('Eval-Avec impact envisagé'!$A$769=AG10,COUNTA('Eval-Avec impact envisagé'!$K$769),0),IF('Eval-Avec impact envisagé'!$A$770=AG10,COUNTA('Eval-Avec impact envisagé'!$K$770),0),IF('Eval-Avec impact envisagé'!$A$771=AG10,COUNTA('Eval-Avec impact envisagé'!$K$771),0),IF('Eval-Avec impact envisagé'!$A$772=AG10,COUNTA('Eval-Avec impact envisagé'!$K$772),0),IF('Eval-Avec impact envisagé'!$A$773=AG10,COUNTA('Eval-Avec impact envisagé'!$K$773),0),IF('Eval-Avec impact envisagé'!$A$774=AG10,COUNTA('Eval-Avec impact envisagé'!$K$774),0),IF('Eval-Avec impact envisagé'!$A$775=AG10,COUNTA('Eval-Avec impact envisagé'!$K$775),0),IF('Eval-Avec impact envisagé'!$A$776=AG10,COUNTA('Eval-Avec impact envisagé'!$K$776),0),IF('Eval-Avec impact envisagé'!$A$777=AG10,COUNTA('Eval-Avec impact envisagé'!$K$777),0),IF('Eval-Avec impact envisagé'!$A$778=AG10,COUNTA('Eval-Avec impact envisagé'!$K$778),0),IF('Eval-Avec impact envisagé'!$A$779=AG10,COUNTA('Eval-Avec impact envisagé'!$K$779),0),IF('Eval-Avec impact envisagé'!$A$780=AG10,COUNTA('Eval-Avec impact envisagé'!$K$780),0))&gt;0,"X",0),"")</f>
        <v/>
      </c>
      <c r="AO10" s="211" t="str">
        <f>IF(COUNTIF('Eval-Avec impact envisagé'!$A$761:$A$780,AG10)&gt;0,IF(OR(AND('Eval-Avec impact envisagé'!$A$761=AG10,'Eval-Avec impact envisagé'!$L$761&lt;120,'Eval-Avec impact envisagé'!$L$761&gt;=BD9),AND('Eval-Avec impact envisagé'!$A$762=AG10,'Eval-Avec impact envisagé'!$L$762&lt;120,'Eval-Avec impact envisagé'!$L$762&gt;=BD10),AND('Eval-Avec impact envisagé'!$A$763=AG10,'Eval-Avec impact envisagé'!$L$763&lt;120,'Eval-Avec impact envisagé'!$L$763&gt;=BD11),AND('Eval-Avec impact envisagé'!$A$764=AG10,'Eval-Avec impact envisagé'!$L$764&lt;120,'Eval-Avec impact envisagé'!$L$764&gt;=BD12),AND('Eval-Avec impact envisagé'!$A$765=AG10,'Eval-Avec impact envisagé'!$L$765&lt;120,'Eval-Avec impact envisagé'!$L$765&gt;=BD13),AND('Eval-Avec impact envisagé'!$A$766=AG10,'Eval-Avec impact envisagé'!$L$766&lt;120,'Eval-Avec impact envisagé'!$L$766&gt;=BD14),AND('Eval-Avec impact envisagé'!$A$767=AG10,'Eval-Avec impact envisagé'!$L$767&lt;120,'Eval-Avec impact envisagé'!$L$767&gt;=BD15),AND('Eval-Avec impact envisagé'!$A$768=AG10,'Eval-Avec impact envisagé'!$L$768&lt;120,'Eval-Avec impact envisagé'!$L$768&gt;=BD16),AND('Eval-Avec impact envisagé'!$A$769=AG10,'Eval-Avec impact envisagé'!$L$769&lt;120,'Eval-Avec impact envisagé'!$L$769&gt;=BD17),AND('Eval-Avec impact envisagé'!$A$770=AG10,'Eval-Avec impact envisagé'!$L$770&lt;120,'Eval-Avec impact envisagé'!$L$770&gt;=BD18),AND('Eval-Avec impact envisagé'!$A$771=AG10,'Eval-Avec impact envisagé'!$L$771&lt;120,'Eval-Avec impact envisagé'!$L$771&gt;=BD19),AND('Eval-Avec impact envisagé'!$A$772=AG10,'Eval-Avec impact envisagé'!$L$772&lt;120,'Eval-Avec impact envisagé'!$L$772&gt;=BD20),AND('Eval-Avec impact envisagé'!$A$773=AG10,'Eval-Avec impact envisagé'!$L$773&lt;120,'Eval-Avec impact envisagé'!$L$773&gt;=BD21),AND('Eval-Avec impact envisagé'!$A$774=AG10,'Eval-Avec impact envisagé'!$L$774&lt;120,'Eval-Avec impact envisagé'!$L$774&gt;=BD22),AND('Eval-Avec impact envisagé'!$A$775=AG10,'Eval-Avec impact envisagé'!$L$775&lt;120,'Eval-Avec impact envisagé'!$L$775&gt;=BD23),AND('Eval-Avec impact envisagé'!$A$776=AG10,'Eval-Avec impact envisagé'!$L$776&lt;120,'Eval-Avec impact envisagé'!$L$776&gt;=BD24),AND('Eval-Avec impact envisagé'!$A$777=AG10,'Eval-Avec impact envisagé'!$L$777&lt;120,'Eval-Avec impact envisagé'!$L$777&gt;=BD25),AND('Eval-Avec impact envisagé'!$A$778=AG10,'Eval-Avec impact envisagé'!$L$778&lt;120,'Eval-Avec impact envisagé'!$L$778&gt;=BD26),AND('Eval-Avec impact envisagé'!$A$779=AG10,'Eval-Avec impact envisagé'!$L$779&lt;120,'Eval-Avec impact envisagé'!$L$779&gt;=BD27),AND('Eval-Avec impact envisagé'!$A$780=AG10,'Eval-Avec impact envisagé'!$L$780&lt;120,'Eval-Avec impact envisagé'!$L$780&gt;=BD28)),"",SUM(IF('Eval-Avec impact envisagé'!$A$761=AG10,'Eval-Avec impact envisagé'!$L$761,0),IF('Eval-Avec impact envisagé'!$A$762=AG10,'Eval-Avec impact envisagé'!$L$762,0),IF('Eval-Avec impact envisagé'!$A$763=AG10,'Eval-Avec impact envisagé'!$L$763,0),IF('Eval-Avec impact envisagé'!$A$764=AG10,'Eval-Avec impact envisagé'!$L$764,0),IF('Eval-Avec impact envisagé'!$A$765=AG10,'Eval-Avec impact envisagé'!$L$765,0),IF('Eval-Avec impact envisagé'!$A$766=AG10,'Eval-Avec impact envisagé'!$L$766,0),IF('Eval-Avec impact envisagé'!$A$767=AG10,'Eval-Avec impact envisagé'!$L$767,0),IF('Eval-Avec impact envisagé'!$A$768=AG10,'Eval-Avec impact envisagé'!$L$768,0),IF('Eval-Avec impact envisagé'!$A$769=AG10,'Eval-Avec impact envisagé'!$L$769,0),IF('Eval-Avec impact envisagé'!$A$770=AG10,'Eval-Avec impact envisagé'!$L$770,0),IF('Eval-Avec impact envisagé'!$A$771=AG10,'Eval-Avec impact envisagé'!$L$771,0),IF('Eval-Avec impact envisagé'!$A$772=AG10,'Eval-Avec impact envisagé'!$L$772,0),IF('Eval-Avec impact envisagé'!$A$773=AG10,'Eval-Avec impact envisagé'!$L$773,0),IF('Eval-Avec impact envisagé'!$A$774=AG10,'Eval-Avec impact envisagé'!$L$774,0),IF('Eval-Avec impact envisagé'!$A$775=AG10,'Eval-Avec impact envisagé'!$L$775,0),IF('Eval-Avec impact envisagé'!$A$776=AG10,'Eval-Avec impact envisagé'!$L$776,0),IF('Eval-Avec impact envisagé'!$A$777=AG10,'Eval-Avec impact envisagé'!$L$777,0),IF('Eval-Avec impact envisagé'!$A$778=AG10,'Eval-Avec impact envisagé'!$L$778,0),IF('Eval-Avec impact envisagé'!$A$779=AG10,'Eval-Avec impact envisagé'!$L$779,0),IF('Eval-Avec impact envisagé'!$A$780=AG10,'Eval-Avec impact envisagé'!$L$780,0))/ COUNTIF('Eval-Avec impact envisagé'!$A$761:$A$780,AG10)),"")</f>
        <v/>
      </c>
      <c r="AP10" s="211" t="str">
        <f>IF(COUNTIF('Eval-Avec impact envisagé'!$A$761:$A$780,AG10)&gt;0,IF(OR(AND('Eval-Avec impact envisagé'!$A$761=AG10, BD9&lt;120),AND(BD10&lt;120),AND(BD11&lt;120),AND(BD12&lt;120),AND(BD13&lt;120),AND(BD14&lt;120),AND(BD15&lt;120),AND(BD16&lt;120),AND(BD17&lt;120),AND(BD18&lt;120),AND(BD19&lt;120),AND(BD20&lt;120),AND(BD21&lt;120),AND(BD22&lt;120),AND(BD23&lt;120),AND(BD24&lt;120),AND(BD25&lt;120),AND(BD26&lt;120),AND(BD27&lt;120),AND(BD28&lt;120)),"",SUM(IF('Eval-Avec impact envisagé'!$A$761=AG10,'Eval-Avec impact envisagé'!$M$761,0),IF('Eval-Avec impact envisagé'!$A$762=AG10,'Eval-Avec impact envisagé'!$M$762,0),IF('Eval-Avec impact envisagé'!$A$763=AG10,'Eval-Avec impact envisagé'!$M$763,0),IF('Eval-Avec impact envisagé'!$A$764=AG10,'Eval-Avec impact envisagé'!$M$764,0),IF('Eval-Avec impact envisagé'!$A$765=AG10,'Eval-Avec impact envisagé'!$M$765,0),IF('Eval-Avec impact envisagé'!$A$766=AG10,'Eval-Avec impact envisagé'!$M$766,0),IF('Eval-Avec impact envisagé'!$A$767=AG10,'Eval-Avec impact envisagé'!$M$767,0),IF('Eval-Avec impact envisagé'!$A$768=AG10,'Eval-Avec impact envisagé'!$M$768,0),IF('Eval-Avec impact envisagé'!$A$769=AG10,'Eval-Avec impact envisagé'!$M$769,0),IF('Eval-Avec impact envisagé'!$A$770=AG10,'Eval-Avec impact envisagé'!$M$770,0),IF('Eval-Avec impact envisagé'!$A$771=AG10,'Eval-Avec impact envisagé'!$M$771,0),IF('Eval-Avec impact envisagé'!$A$772=AG10,'Eval-Avec impact envisagé'!$M$772,0),IF('Eval-Avec impact envisagé'!$A$773=AG10,'Eval-Avec impact envisagé'!$M$773,0),IF('Eval-Avec impact envisagé'!$A$774=AG10,'Eval-Avec impact envisagé'!$M$774,0),IF('Eval-Avec impact envisagé'!$A$775=AG10,'Eval-Avec impact envisagé'!$M$775,0), IF('Eval-Avec impact envisagé'!$A$776=AG10,'Eval-Avec impact envisagé'!$M$776,0), IF('Eval-Avec impact envisagé'!$A$777=AG10,'Eval-Avec impact envisagé'!$M$777,0), IF('Eval-Avec impact envisagé'!$A$778=AG10,'Eval-Avec impact envisagé'!$M$778,0), IF('Eval-Avec impact envisagé'!$A$779=AG10,'Eval-Avec impact envisagé'!$M$779,0), IF('Eval-Avec impact envisagé'!$A$780=AG10,'Eval-Avec impact envisagé'!$M$780,0))/COUNTIF('Eval-Avec impact envisagé'!$A$761:$A$780,AG10)),"")</f>
        <v/>
      </c>
      <c r="AQ10" s="211" t="str">
        <f>IF(COUNTIF('Eval-Avec impact envisagé'!$A$761:$A$780,AG10)&gt;0,SUM(IF('Eval-Avec impact envisagé'!$A$761=AG10,LEN(SUBSTITUTE((SUBSTITUTE(BF9,"TM","")),"TS",""))*10/2,0),IF('Eval-Avec impact envisagé'!$A$762=AG10,LEN(SUBSTITUTE((SUBSTITUTE(BF10,"TM","")),"TS",""))*10/2,0),IF('Eval-Avec impact envisagé'!$A$763=AG10,LEN(SUBSTITUTE((SUBSTITUTE(BF11,"TM","")),"TS",""))*10/2,0),IF('Eval-Avec impact envisagé'!$A$764=AG10,LEN(SUBSTITUTE((SUBSTITUTE(BF12,"TM","")),"TS",""))*10/2,0),IF('Eval-Avec impact envisagé'!$A$765=AG10,LEN(SUBSTITUTE((SUBSTITUTE(BF13,"TM","")),"TS",""))*10/2,0),IF('Eval-Avec impact envisagé'!$A$766=AG10,LEN(SUBSTITUTE((SUBSTITUTE(BF14,"TM","")),"TS",""))*10/2,0),IF('Eval-Avec impact envisagé'!$A$767=AG10,LEN(SUBSTITUTE((SUBSTITUTE(BF15,"TM","")),"TS",""))*10/2,0),IF('Eval-Avec impact envisagé'!$A$768=AG10,LEN(SUBSTITUTE((SUBSTITUTE(BF16,"TM","")),"TS",""))*10/2,0),IF('Eval-Avec impact envisagé'!$A$769=AG10,LEN(SUBSTITUTE((SUBSTITUTE(BF17,"TM","")),"TS",""))*10/2,0),IF('Eval-Avec impact envisagé'!$A$770=AG10,LEN(SUBSTITUTE((SUBSTITUTE(BF18,"TM","")),"TS",""))*10/2,0),IF('Eval-Avec impact envisagé'!$A$771=AG10,LEN(SUBSTITUTE((SUBSTITUTE(BF19,"TM","")),"TS",""))*10/2,0),IF('Eval-Avec impact envisagé'!$A$772=AG10,LEN(SUBSTITUTE((SUBSTITUTE(BF20,"TM","")),"TS",""))*10/2,0),IF('Eval-Avec impact envisagé'!$A$773=AG10,LEN(SUBSTITUTE((SUBSTITUTE(BF21,"TM","")),"TS",""))*10/2,0),IF('Eval-Avec impact envisagé'!$A$774=AG10,LEN(SUBSTITUTE((SUBSTITUTE(BF22,"TM","")),"TS",""))*10/2,0),IF('Eval-Avec impact envisagé'!$A$775=AG10,LEN(SUBSTITUTE((SUBSTITUTE(BF23,"TM","")),"TS",""))*10/2,0),IF('Eval-Avec impact envisagé'!$A$776=AG10,LEN(SUBSTITUTE((SUBSTITUTE(BF24,"TM","")),"TS",""))*10/2,0),IF('Eval-Avec impact envisagé'!$A$777=AG10,LEN(SUBSTITUTE((SUBSTITUTE(BF25,"TM","")),"TS",""))*10/2,0),IF('Eval-Avec impact envisagé'!$A$778=AG10,LEN(SUBSTITUTE((SUBSTITUTE(BF26,"TM","")),"TS",""))*10/2,0),IF('Eval-Avec impact envisagé'!$A$779=AG10,LEN(SUBSTITUTE((SUBSTITUTE(BF27,"TM","")),"TS",""))*10/2,0),IF('Eval-Avec impact envisagé'!$A$780=AG10,LEN(SUBSTITUTE((SUBSTITUTE(BF28,"TM","")),"TS",""))*10/2,0))/COUNTIF('Eval-Avec impact envisagé'!$A$761:$A$780,AG10),"")</f>
        <v/>
      </c>
      <c r="AR10" s="211" t="str">
        <f>IF(COUNTIF('Eval-Avec impact envisagé'!$A$761:$A$780,AG10)&gt;0,SUM(IF('Eval-Avec impact envisagé'!$A$761=AG10,LEN(SUBSTITUTE((SUBSTITUTE(BF9,"TF","")),"TS",""))*10/2,0),IF('Eval-Avec impact envisagé'!$A$762=AG10,LEN(SUBSTITUTE((SUBSTITUTE(BF10,"TF","")),"TS",""))*10/2,0),IF('Eval-Avec impact envisagé'!$A$763=AG10,LEN(SUBSTITUTE((SUBSTITUTE(BF11,"TF","")),"TS",""))*10/2,0),IF('Eval-Avec impact envisagé'!$A$764=AG10,LEN(SUBSTITUTE((SUBSTITUTE(BF12,"TF","")),"TS",""))*10/2,0),IF('Eval-Avec impact envisagé'!$A$765=AG10,LEN(SUBSTITUTE((SUBSTITUTE(BF13,"TF","")),"TS",""))*10/2,0),IF('Eval-Avec impact envisagé'!$A$766=AG10,LEN(SUBSTITUTE((SUBSTITUTE(BF14,"TF","")),"TS",""))*10/2,0),IF('Eval-Avec impact envisagé'!$A$767=AG10,LEN(SUBSTITUTE((SUBSTITUTE(BF15,"TF","")),"TS",""))*10/2,0),IF('Eval-Avec impact envisagé'!$A$768=AG10,LEN(SUBSTITUTE((SUBSTITUTE(BF16,"TF","")),"TS",""))*10/2,0),IF('Eval-Avec impact envisagé'!$A$769=AG10,LEN(SUBSTITUTE((SUBSTITUTE(BF17,"TF","")),"TS",""))*10/2,0),IF('Eval-Avec impact envisagé'!$A$770=AG10,LEN(SUBSTITUTE((SUBSTITUTE(BF18,"TF","")),"TS",""))*10/2,0),IF('Eval-Avec impact envisagé'!$A$771=AG10,LEN(SUBSTITUTE((SUBSTITUTE(BF19,"TF","")),"TS",""))*10/2,0),IF('Eval-Avec impact envisagé'!$A$772=AG10,LEN(SUBSTITUTE((SUBSTITUTE(BF20,"TF","")),"TS",""))*10/2,0),IF('Eval-Avec impact envisagé'!$A$773=AG10,LEN(SUBSTITUTE((SUBSTITUTE(BF21,"TF","")),"TS",""))*10/2,0),IF('Eval-Avec impact envisagé'!$A$774=AG10,LEN(SUBSTITUTE((SUBSTITUTE(BF22,"TF","")),"TS",""))*10/2,0),IF('Eval-Avec impact envisagé'!$A$775=AG10,LEN(SUBSTITUTE((SUBSTITUTE(BF23,"TF","")),"TS",""))*10/2,0),IF('Eval-Avec impact envisagé'!$A$776=AG10,LEN(SUBSTITUTE((SUBSTITUTE(BF24,"TF","")),"TS",""))*10/2,0),IF('Eval-Avec impact envisagé'!$A$777=AG10,LEN(SUBSTITUTE((SUBSTITUTE(BF25,"TF","")),"TS",""))*10/2,0),IF('Eval-Avec impact envisagé'!$A$778=AG10,LEN(SUBSTITUTE((SUBSTITUTE(BF26,"TF","")),"TS",""))*10/2,0),IF('Eval-Avec impact envisagé'!$A$779=AG10,LEN(SUBSTITUTE((SUBSTITUTE(BF27,"TF","")),"TS",""))*10/2,0),IF('Eval-Avec impact envisagé'!$A$780=AG10,LEN(SUBSTITUTE((SUBSTITUTE(BF28,"TF","")),"TS",""))*10/2,0))/COUNTIF('Eval-Avec impact envisagé'!$A$761:$A$780,AG10),"")</f>
        <v/>
      </c>
      <c r="AS10" s="211" t="str">
        <f>IF(COUNTIF('Eval-Avec impact envisagé'!$A$761:$A$780,AG10)&gt;0,SUM(IF('Eval-Avec impact envisagé'!$A$761=AG10,LEN(SUBSTITUTE((SUBSTITUTE(BF9,"TF","")),"TM",""))*10/2,0),IF('Eval-Avec impact envisagé'!$A$762=AG10,LEN(SUBSTITUTE((SUBSTITUTE(BF10,"TF","")),"TM",""))*10/2,0),IF('Eval-Avec impact envisagé'!$A$763=AG10,LEN(SUBSTITUTE((SUBSTITUTE(BF11,"TF","")),"TM",""))*10/2,0),IF('Eval-Avec impact envisagé'!$A$764=AG10,LEN(SUBSTITUTE((SUBSTITUTE(BF12,"TF","")),"TM",""))*10/2,0),IF('Eval-Avec impact envisagé'!$A$765=AG10,LEN(SUBSTITUTE((SUBSTITUTE(BF13,"TF","")),"TM",""))*10/2,0),IF('Eval-Avec impact envisagé'!$A$766=AG10,LEN(SUBSTITUTE((SUBSTITUTE(BF14,"TF","")),"TM",""))*10/2,0),IF('Eval-Avec impact envisagé'!$A$767=AG10,LEN(SUBSTITUTE((SUBSTITUTE(BF15,"TF","")),"TM",""))*10/2,0),IF('Eval-Avec impact envisagé'!$A$768=AG10,LEN(SUBSTITUTE((SUBSTITUTE(BF16,"TF","")),"TM",""))*10/2,0),IF('Eval-Avec impact envisagé'!$A$769=AG10,LEN(SUBSTITUTE((SUBSTITUTE(BF17,"TF","")),"TM",""))*10/2,0),IF('Eval-Avec impact envisagé'!$A$770=AG10,LEN(SUBSTITUTE((SUBSTITUTE(BF18,"TF","")),"TM",""))*10/2,0),IF('Eval-Avec impact envisagé'!$A$771=AG10,LEN(SUBSTITUTE((SUBSTITUTE(BF19,"TF","")),"TM",""))*10/2,0),IF('Eval-Avec impact envisagé'!$A$772=AG10,LEN(SUBSTITUTE((SUBSTITUTE(BF20,"TF","")),"TM",""))*10/2,0),IF('Eval-Avec impact envisagé'!$A$773=AG10,LEN(SUBSTITUTE((SUBSTITUTE(BF21,"TF","")),"TM",""))*10/2,0),IF('Eval-Avec impact envisagé'!$A$774=AG10,LEN(SUBSTITUTE((SUBSTITUTE(BF22,"TF","")),"TM",""))*10/2,0),IF('Eval-Avec impact envisagé'!$A$775=AG10,LEN(SUBSTITUTE((SUBSTITUTE(BF23,"TF","")),"TM",""))*10/2,0),IF('Eval-Avec impact envisagé'!$A$776=AG10,LEN(SUBSTITUTE((SUBSTITUTE(BF24,"TF","")),"TM",""))*10/2,0),IF('Eval-Avec impact envisagé'!$A$777=AG10,LEN(SUBSTITUTE((SUBSTITUTE(BF25,"TF","")),"TM",""))*10/2,0),IF('Eval-Avec impact envisagé'!$A$778=AG10,LEN(SUBSTITUTE((SUBSTITUTE(BF26,"TF","")),"TM",""))*10/2,0),IF('Eval-Avec impact envisagé'!$A$779=AG10,LEN(SUBSTITUTE((SUBSTITUTE(BF27,"TF","")),"TM",""))*10/2,0),IF('Eval-Avec impact envisagé'!$A$780=AG10,LEN(SUBSTITUTE((SUBSTITUTE(BF28,"TF","")),"TM",""))*10/2,0))/COUNTIF('Eval-Avec impact envisagé'!$A$761:$A$780,AG10),"")</f>
        <v/>
      </c>
      <c r="AT10" s="211" t="str">
        <f>IF(COUNTIF('Eval-Avec impact envisagé'!$A$761:$A$780,AG10)&gt;0,SUM(IF('Eval-Avec impact envisagé'!$A$761=AG10,LEN(SUBSTITUTE((SUBSTITUTE(BG9,"TM","")),"TS",""))*10/2,0),IF('Eval-Avec impact envisagé'!$A$762=AG10,LEN(SUBSTITUTE((SUBSTITUTE(BG10,"TM","")),"TS",""))*10/2,0),IF('Eval-Avec impact envisagé'!$A$763=AG10,LEN(SUBSTITUTE((SUBSTITUTE(BG11,"TM","")),"TS",""))*10/2,0),IF('Eval-Avec impact envisagé'!$A$764=AG10,LEN(SUBSTITUTE((SUBSTITUTE(BG12,"TM","")),"TS",""))*10/2,0),IF('Eval-Avec impact envisagé'!$A$765=AG10,LEN(SUBSTITUTE((SUBSTITUTE(BG13,"TM","")),"TS",""))*10/2,0),IF('Eval-Avec impact envisagé'!$A$766=AG10,LEN(SUBSTITUTE((SUBSTITUTE(BG14,"TM","")),"TS",""))*10/2,0),IF('Eval-Avec impact envisagé'!$A$767=AG10,LEN(SUBSTITUTE((SUBSTITUTE(BG15,"TM","")),"TS",""))*10/2,0),IF('Eval-Avec impact envisagé'!$A$768=AG10,LEN(SUBSTITUTE((SUBSTITUTE(BG16,"TM","")),"TS",""))*10/2,0),IF('Eval-Avec impact envisagé'!$A$769=AG10,LEN(SUBSTITUTE((SUBSTITUTE(BG17,"TM","")),"TS",""))*10/2,0),IF('Eval-Avec impact envisagé'!$A$770=AG10,LEN(SUBSTITUTE((SUBSTITUTE(BG18,"TM","")),"TS",""))*10/2,0),IF('Eval-Avec impact envisagé'!$A$771=AG10,LEN(SUBSTITUTE((SUBSTITUTE(BG19,"TM","")),"TS",""))*10/2,0),IF('Eval-Avec impact envisagé'!$A$772=AG10,LEN(SUBSTITUTE((SUBSTITUTE(BG20,"TM","")),"TS",""))*10/2,0),IF('Eval-Avec impact envisagé'!$A$773=AG10,LEN(SUBSTITUTE((SUBSTITUTE(BG21,"TM","")),"TS",""))*10/2,0),IF('Eval-Avec impact envisagé'!$A$774=AG10,LEN(SUBSTITUTE((SUBSTITUTE(BG22,"TM","")),"TS",""))*10/2,0),IF('Eval-Avec impact envisagé'!$A$775=AG10,LEN(SUBSTITUTE((SUBSTITUTE(BG23,"TM","")),"TS",""))*10/2,0),IF('Eval-Avec impact envisagé'!$A$776=AG10,LEN(SUBSTITUTE((SUBSTITUTE(BG24,"TM","")),"TS",""))*10/2,0),IF('Eval-Avec impact envisagé'!$A$777=AG10,LEN(SUBSTITUTE((SUBSTITUTE(BG25,"TM","")),"TS",""))*10/2,0),IF('Eval-Avec impact envisagé'!$A$778=AG10,LEN(SUBSTITUTE((SUBSTITUTE(BG26,"TM","")),"TS",""))*10/2,0),IF('Eval-Avec impact envisagé'!$A$779=AG10,LEN(SUBSTITUTE((SUBSTITUTE(BG27,"TM","")),"TS",""))*10/2,0),IF('Eval-Avec impact envisagé'!$A$780=AG10,LEN(SUBSTITUTE((SUBSTITUTE(BG28,"TM","")),"TS",""))*10/2,0))/COUNTIF('Eval-Avec impact envisagé'!$A$761:$A$780,AG10),"")</f>
        <v/>
      </c>
      <c r="AU10" s="211" t="str">
        <f>IF(COUNTIF('Eval-Avec impact envisagé'!$A$761:$A$780,AG10)&gt;0,SUM(IF('Eval-Avec impact envisagé'!$A$761=AG10,LEN(SUBSTITUTE((SUBSTITUTE(BG9,"TF","")),"TS",""))*10/2,0),IF('Eval-Avec impact envisagé'!$A$762=AG10,LEN(SUBSTITUTE((SUBSTITUTE(BG10,"TF","")),"TS",""))*10/2,0),IF('Eval-Avec impact envisagé'!$A$763=AG10,LEN(SUBSTITUTE((SUBSTITUTE(BG11,"TF","")),"TS",""))*10/2,0),IF('Eval-Avec impact envisagé'!$A$764=AG10,LEN(SUBSTITUTE((SUBSTITUTE(BG12,"TF","")),"TS",""))*10/2,0),IF('Eval-Avec impact envisagé'!$A$765=AG10,LEN(SUBSTITUTE((SUBSTITUTE(BG13,"TF","")),"TS",""))*10/2,0),IF('Eval-Avec impact envisagé'!$A$766=AG10,LEN(SUBSTITUTE((SUBSTITUTE(BG14,"TF","")),"TS",""))*10/2,0),IF('Eval-Avec impact envisagé'!$A$767=AG10,LEN(SUBSTITUTE((SUBSTITUTE(BG15,"TF","")),"TS",""))*10/2,0),IF('Eval-Avec impact envisagé'!$A$768=AG10,LEN(SUBSTITUTE((SUBSTITUTE(BG16,"TF","")),"TS",""))*10/2,0),IF('Eval-Avec impact envisagé'!$A$769=AG10,LEN(SUBSTITUTE((SUBSTITUTE(BG17,"TF","")),"TS",""))*10/2,0),IF('Eval-Avec impact envisagé'!$A$770=AG10,LEN(SUBSTITUTE((SUBSTITUTE(BG18,"TF","")),"TS",""))*10/2,0),IF('Eval-Avec impact envisagé'!$A$771=AG10,LEN(SUBSTITUTE((SUBSTITUTE(BG19,"TF","")),"TS",""))*10/2,0),IF('Eval-Avec impact envisagé'!$A$772=AG10,LEN(SUBSTITUTE((SUBSTITUTE(BG20,"TF","")),"TS",""))*10/2,0),IF('Eval-Avec impact envisagé'!$A$773=AG10,LEN(SUBSTITUTE((SUBSTITUTE(BG21,"TF","")),"TS",""))*10/2,0),IF('Eval-Avec impact envisagé'!$A$774=AG10,LEN(SUBSTITUTE((SUBSTITUTE(BG22,"TF","")),"TS",""))*10/2,0),IF('Eval-Avec impact envisagé'!$A$775=AG10,LEN(SUBSTITUTE((SUBSTITUTE(BG23,"TF","")),"TS",""))*10/2,0),IF('Eval-Avec impact envisagé'!$A$776=AG10,LEN(SUBSTITUTE((SUBSTITUTE(BG24,"TF","")),"TS",""))*10/2,0),IF('Eval-Avec impact envisagé'!$A$777=AG10,LEN(SUBSTITUTE((SUBSTITUTE(BG25,"TF","")),"TS",""))*10/2,0),IF('Eval-Avec impact envisagé'!$A$778=AG10,LEN(SUBSTITUTE((SUBSTITUTE(BG26,"TF","")),"TS",""))*10/2,0),IF('Eval-Avec impact envisagé'!$A$779=AG10,LEN(SUBSTITUTE((SUBSTITUTE(BG27,"TF","")),"TS",""))*10/2,0),IF('Eval-Avec impact envisagé'!$A$780=AG10,LEN(SUBSTITUTE((SUBSTITUTE(BG28,"TF","")),"TS",""))*10/2,0))/COUNTIF('Eval-Avec impact envisagé'!$A$761:$A$780,AG10),"")</f>
        <v/>
      </c>
      <c r="AV10" s="211" t="str">
        <f>IF(COUNTIF('Eval-Avec impact envisagé'!$A$761:$A$780,AG10)&gt;0,SUM(IF('Eval-Avec impact envisagé'!$A$761=AG10,LEN(SUBSTITUTE((SUBSTITUTE(BG9,"TF","")),"TM",""))*10/2,0),IF('Eval-Avec impact envisagé'!$A$762=AG10,LEN(SUBSTITUTE((SUBSTITUTE(BG10,"TF","")),"TM",""))*10/2,0),IF('Eval-Avec impact envisagé'!$A$763=AG10,LEN(SUBSTITUTE((SUBSTITUTE(BG11,"TF","")),"TM",""))*10/2,0),IF('Eval-Avec impact envisagé'!$A$764=AG10,LEN(SUBSTITUTE((SUBSTITUTE(BG12,"TF","")),"TM",""))*10/2,0),IF('Eval-Avec impact envisagé'!$A$765=AG10,LEN(SUBSTITUTE((SUBSTITUTE(BG13,"TF","")),"TM",""))*10/2,0),IF('Eval-Avec impact envisagé'!$A$766=AG10,LEN(SUBSTITUTE((SUBSTITUTE(BG14,"TF","")),"TM",""))*10/2,0),IF('Eval-Avec impact envisagé'!$A$767=AG10,LEN(SUBSTITUTE((SUBSTITUTE(BG15,"TF","")),"TM",""))*10/2,0),IF('Eval-Avec impact envisagé'!$A$768=AG10,LEN(SUBSTITUTE((SUBSTITUTE(BG16,"TF","")),"TM",""))*10/2,0),IF('Eval-Avec impact envisagé'!$A$769=AG10,LEN(SUBSTITUTE((SUBSTITUTE(BG17,"TF","")),"TM",""))*10/2,0),IF('Eval-Avec impact envisagé'!$A$770=AG10,LEN(SUBSTITUTE((SUBSTITUTE(BG18,"TF","")),"TM",""))*10/2,0),IF('Eval-Avec impact envisagé'!$A$771=AG10,LEN(SUBSTITUTE((SUBSTITUTE(BG19,"TF","")),"TM",""))*10/2,0),IF('Eval-Avec impact envisagé'!$A$772=AG10,LEN(SUBSTITUTE((SUBSTITUTE(BG20,"TF","")),"TM",""))*10/2,0),IF('Eval-Avec impact envisagé'!$A$773=AG10,LEN(SUBSTITUTE((SUBSTITUTE(BG21,"TF","")),"TM",""))*10/2,0),IF('Eval-Avec impact envisagé'!$A$774=AG10,LEN(SUBSTITUTE((SUBSTITUTE(BG22,"TF","")),"TM",""))*10/2,0),IF('Eval-Avec impact envisagé'!$A$775=AG10,LEN(SUBSTITUTE((SUBSTITUTE(BG23,"TF","")),"TM",""))*10/2,0),IF('Eval-Avec impact envisagé'!$A$776=AG10,LEN(SUBSTITUTE((SUBSTITUTE(BG24,"TF","")),"TM",""))*10/2,0),IF('Eval-Avec impact envisagé'!$A$777=AG10,LEN(SUBSTITUTE((SUBSTITUTE(BG25,"TF","")),"TM",""))*10/2,0),IF('Eval-Avec impact envisagé'!$A$778=AG10,LEN(SUBSTITUTE((SUBSTITUTE(BG26,"TF","")),"TM",""))*10/2,0),IF('Eval-Avec impact envisagé'!$A$779=AG10,LEN(SUBSTITUTE((SUBSTITUTE(BG27,"TF","")),"TM",""))*10/2,0),IF('Eval-Avec impact envisagé'!$A$780=AG10,LEN(SUBSTITUTE((SUBSTITUTE(BG28,"TF","")),"TM",""))*10/2,0))/COUNTIF('Eval-Avec impact envisagé'!$A$761:$A$780,AG10),"")</f>
        <v/>
      </c>
      <c r="AW10" s="211" t="str">
        <f>IF(COUNTIF('Eval-Avec impact envisagé'!$A$761:$A$780,AG10)&gt;0,IF(OR(AND('Eval-Avec impact envisagé'!$A$761=AG10,BD9&lt;30),AND('Eval-Avec impact envisagé'!$A$762=AG10,BD10&lt;30),AND('Eval-Avec impact envisagé'!$A$763=AG10,BD11&lt;30),AND('Eval-Avec impact envisagé'!$A$764=AG10,BD12&lt;30),AND('Eval-Avec impact envisagé'!$A$765=AG10,BD13&lt;30),AND('Eval-Avec impact envisagé'!$A$766=AG10,BD14&lt;30),AND('Eval-Avec impact envisagé'!$A$767=AG10,BD15&lt;30),AND('Eval-Avec impact envisagé'!$A$768=AG10,BD16&lt;30),AND('Eval-Avec impact envisagé'!$A$769=AG10,BD17&lt;30),AND('Eval-Avec impact envisagé'!$A$770=AG10,BD18&lt;30),AND('Eval-Avec impact envisagé'!$A$771=AG10,BD19&lt;30),AND('Eval-Avec impact envisagé'!$A$772=AG10,BD20&lt;30),AND('Eval-Avec impact envisagé'!$A$773=AG10,BD21&lt;30),AND('Eval-Avec impact envisagé'!$A$774=AG10,BD22&lt;30),AND('Eval-Avec impact envisagé'!$A$775=AG10,BD23&lt;30),AND('Eval-Avec impact envisagé'!$A$776=AG10,BD24&lt;30),AND('Eval-Avec impact envisagé'!$A$777=AG10,BD25&lt;30),AND('Eval-Avec impact envisagé'!$A$778=AG10,BD26&lt;30),AND('Eval-Avec impact envisagé'!$A$779=AG10,BD27&lt;30),AND('Eval-Avec impact envisagé'!$A$780=AG10,BD28&lt;30)),"",SUM(0.1*(SUMPRODUCT(('Eval-Avec impact envisagé'!$A$761:$A$780=AG10)*('Eval-Avec impact envisagé'!$N$761:$P$780="A"))+ SUMPRODUCT(('Eval-Avec impact envisagé'!$A$761:$A$780=AG10)*('Eval-Avec impact envisagé'!$N$761:$P$780="AL"))),0.7*(SUMPRODUCT(('Eval-Avec impact envisagé'!$A$761:$A$780=AG10)*('Eval-Avec impact envisagé'!$N$761:$P$780="TF"))+SUMPRODUCT(('Eval-Avec impact envisagé'!$A$761:$A$780=AG10)*('Eval-Avec impact envisagé'!$N$761:$P$780="TM"))+SUMPRODUCT(('Eval-Avec impact envisagé'!$A$761:$A$780=AG10)*('Eval-Avec impact envisagé'!$N$761:$P$780="TS"))),0.4*(SUMPRODUCT(('Eval-Avec impact envisagé'!$A$761:$A$780=AG10)*('Eval-Avec impact envisagé'!$N$761:$P$780="LA"))+SUMPRODUCT(('Eval-Avec impact envisagé'!$A$761:$A$780=AG10)*('Eval-Avec impact envisagé'!$N$761:$P$780="L"))+SUMPRODUCT(('Eval-Avec impact envisagé'!$A$761:$A$780=AG10)*('Eval-Avec impact envisagé'!$N$761:$P$780="LS"))),1*(SUMPRODUCT(('Eval-Avec impact envisagé'!$A$761:$A$780=AG10)*('Eval-Avec impact envisagé'!$N$761:$P$780="SL"))+ SUMPRODUCT(('Eval-Avec impact envisagé'!$A$761:$A$780=AG10)*('Eval-Avec impact envisagé'!$N$761:$P$780="S"))))/(3*COUNTIF('Eval-Avec impact envisagé'!$A$761:$A$780,AG10))),"")</f>
        <v/>
      </c>
      <c r="AX10" s="211" t="str">
        <f>IF(COUNTIF('Eval-Avec impact envisagé'!$A$761:$A$780,AG10)&gt;0,IF(OR(AND('Eval-Avec impact envisagé'!$A$761=AG10,BD9&lt;120),AND('Eval-Avec impact envisagé'!$A$762=AG10,BD10&lt;120),AND('Eval-Avec impact envisagé'!$A$763=AG10,BD11&lt;120),AND('Eval-Avec impact envisagé'!$A$764=AG10,BD12&lt;120),AND('Eval-Avec impact envisagé'!$A$765=AG10,BD13&lt;120),AND('Eval-Avec impact envisagé'!$A$766=AG10,BD14&lt;120),AND('Eval-Avec impact envisagé'!$A$767=AG10,BD15&lt;120),AND('Eval-Avec impact envisagé'!$A$768=AG10,BD16&lt;120),AND('Eval-Avec impact envisagé'!$A$769=AG10,BD17&lt;120),AND('Eval-Avec impact envisagé'!$A$770=AG10,BD18&lt;120),AND('Eval-Avec impact envisagé'!$A$771=AG10,BD19&lt;120),AND('Eval-Avec impact envisagé'!$A$772=AG10,BD20&lt;120),AND('Eval-Avec impact envisagé'!$A$773=AG10,BD21&lt;120),AND('Eval-Avec impact envisagé'!$A$774=AG10,BD22&lt;120),AND('Eval-Avec impact envisagé'!$A$775=AG10,BD23&lt;120),AND('Eval-Avec impact envisagé'!$A$776=AG10,BD24&lt;120),AND('Eval-Avec impact envisagé'!$A$777=AG10,BD25&lt;120),AND('Eval-Avec impact envisagé'!$A$778=AG10,BD26&lt;120),AND('Eval-Avec impact envisagé'!$A$779=AG10,BD27&lt;120),AND('Eval-Avec impact envisagé'!$A$780=AG10,BD28&lt;120)),"",SUM(0.1*(SUMPRODUCT(('Eval-Avec impact envisagé'!$A$761:$A$780=AG10)*('Eval-Avec impact envisagé'!$Q$761:$Y$780="A"))+ SUMPRODUCT(('Eval-Avec impact envisagé'!$A$761:$A$780=AG10)*('Eval-Avec impact envisagé'!$Q$761:$Y$780="AL"))),0.7*(SUMPRODUCT(('Eval-Avec impact envisagé'!$A$761:$A$780=AG10)*('Eval-Avec impact envisagé'!$Q$761:$Y$780="TF"))+SUMPRODUCT(('Eval-Avec impact envisagé'!$A$761:$A$780=AG10)*('Eval-Avec impact envisagé'!$Q$761:$Y$780="TM"))+SUMPRODUCT(('Eval-Avec impact envisagé'!$A$761:$A$780=AG10)*('Eval-Avec impact envisagé'!$Q$761:$Y$780="TS"))),0.4*(SUMPRODUCT(('Eval-Avec impact envisagé'!$A$761:$A$780=AG10)*('Eval-Avec impact envisagé'!$Q$761:$Y$780="LA"))+SUMPRODUCT(('Eval-Avec impact envisagé'!$A$761:$A$780=AG10)*('Eval-Avec impact envisagé'!$Q$761:$Y$780="L"))+SUMPRODUCT(('Eval-Avec impact envisagé'!$A$761:$A$780=AG10)*('Eval-Avec impact envisagé'!$Q$761:$Y$780="LS"))),1*(SUMPRODUCT(('Eval-Avec impact envisagé'!$A$761:$A$780=AG10)*('Eval-Avec impact envisagé'!$Q$761:$Y$780="SL"))+ SUMPRODUCT(('Eval-Avec impact envisagé'!$A$761:$A$780=AG10)*('Eval-Avec impact envisagé'!$Q$761:$Y$780="S"))))/(9*COUNTIF('Eval-Avec impact envisagé'!$A$761:$A$780,AG10))),"")</f>
        <v/>
      </c>
      <c r="AY10" s="211" t="str">
        <f>IF(COUNTIF('Eval-Avec impact envisagé'!$A$761:$A$780,AG10)&gt;0,IF(OR(AND('Eval-Avec impact envisagé'!$A$761=AG10,OR(COUNTIF('Eval-Avec impact envisagé'!$N$761:$P$761,"*T*")&gt;0,BD9&lt;30)),AND('Eval-Avec impact envisagé'!$A$762=AG10,OR(COUNTIF('Eval-Avec impact envisagé'!$N$762:$P$762,"*T*")&gt;0,BD10&lt;30)),AND('Eval-Avec impact envisagé'!$A$763=AG10,OR(COUNTIF('Eval-Avec impact envisagé'!$N$763:$P$763,"*T*")&gt;0,BD11&lt;30)),AND('Eval-Avec impact envisagé'!$A$764=AG10,OR(COUNTIF('Eval-Avec impact envisagé'!$N$764:$P$764,"*T*")&gt;0,BD12&lt;30)),AND('Eval-Avec impact envisagé'!$A$765=AG10,OR(COUNTIF('Eval-Avec impact envisagé'!$N$765:$P$765,"*T*")&gt;0,BD13&lt;30)),AND('Eval-Avec impact envisagé'!$A$766=AG10,OR(COUNTIF('Eval-Avec impact envisagé'!$N$766:$P$766,"*T*")&gt;0,BD14&lt;30)),AND('Eval-Avec impact envisagé'!$A$767=AG10,OR(COUNTIF('Eval-Avec impact envisagé'!$N$767:$P$767,"*T*")&gt;0,BD15&lt;30)),AND('Eval-Avec impact envisagé'!$A$768=AG10,OR(COUNTIF('Eval-Avec impact envisagé'!$N$768:$P$768,"*T*")&gt;0,BD16&lt;30)),AND('Eval-Avec impact envisagé'!$A$769=AG10,OR(COUNTIF('Eval-Avec impact envisagé'!$N$769:$P$769,"*T*")&gt;0,BD17&lt;30)),AND('Eval-Avec impact envisagé'!$A$770=AG10,OR(COUNTIF('Eval-Avec impact envisagé'!$N$770:$P$770,"*T*")&gt;0,BD18&lt;30)),AND('Eval-Avec impact envisagé'!$A$771=AG10,OR(COUNTIF('Eval-Avec impact envisagé'!$N$771:$P$771,"*T*")&gt;0,BD19&lt;30)),AND('Eval-Avec impact envisagé'!$A$772=AG10,OR(COUNTIF('Eval-Avec impact envisagé'!$N$772:$P$772,"*T*")&gt;0,BD20&lt;30)),AND('Eval-Avec impact envisagé'!$A$773=AG10,OR(COUNTIF('Eval-Avec impact envisagé'!$N$773:$P$773,"*T*")&gt;0,BD21&lt;30)),AND('Eval-Avec impact envisagé'!$A$774=AG10,OR(COUNTIF('Eval-Avec impact envisagé'!$N$774:$P$774,"*T*")&gt;0,BD22&lt;30)),AND('Eval-Avec impact envisagé'!$A$775=AG10,OR(COUNTIF('Eval-Avec impact envisagé'!$N$775:$P$775,"*T*")&gt;0,BD23&lt;30)),AND('Eval-Avec impact envisagé'!$A$776=AG10,OR(COUNTIF('Eval-Avec impact envisagé'!$N$776:$P$776,"*T*")&gt;0,BD24&lt;30)),AND('Eval-Avec impact envisagé'!$A$777=AG10,OR(COUNTIF('Eval-Avec impact envisagé'!$N$777:$P$777,"*T*")&gt;0,BD25&lt;30)),AND('Eval-Avec impact envisagé'!$A$778=AG10,OR(COUNTIF('Eval-Avec impact envisagé'!$N$778:$P$778,"*T*")&gt;0,BD26&lt;30)),AND('Eval-Avec impact envisagé'!$A$779=AG10,OR(COUNTIF('Eval-Avec impact envisagé'!$N$779:$P$779,"*T*")&gt;0,BD27&lt;30)),AND('Eval-Avec impact envisagé'!$A$780=AG10,OR(COUNTIF('Eval-Avec impact envisagé'!$N$780:$P$780,"*T*")&gt;0,BD28&lt;30))),"",SUM(0.1*(SUMPRODUCT(('Eval-Avec impact envisagé'!$A$761:$A$780=AG10)*('Eval-Avec impact envisagé'!$N$761:$P$780="L"))),0.4*(SUMPRODUCT(('Eval-Avec impact envisagé'!$A$761:$A$780=AG10)*('Eval-Avec impact envisagé'!$N$761:$P$780="LA"))+SUMPRODUCT(('Eval-Avec impact envisagé'!$A$761:$A$780=AG10)*('Eval-Avec impact envisagé'!$N$761:$P$780="LS"))),0.7*(SUMPRODUCT(('Eval-Avec impact envisagé'!$A$761:$A$780=AG10)*('Eval-Avec impact envisagé'!$N$761:$P$780="AL"))+SUMPRODUCT(('Eval-Avec impact envisagé'!$A$761:$A$780=AG10)*('Eval-Avec impact envisagé'!$N$761:$P$780="SL"))),1*(SUMPRODUCT(('Eval-Avec impact envisagé'!$A$761:$A$780=AG10)*('Eval-Avec impact envisagé'!$N$761:$P$780="S"))+ SUMPRODUCT(('Eval-Avec impact envisagé'!$A$761:$A$780=AG10)*('Eval-Avec impact envisagé'!$N$761:$P$780="A"))))/(3*COUNTIF('Eval-Avec impact envisagé'!$A$761:$A$780,AG10))),"")</f>
        <v/>
      </c>
      <c r="AZ10" s="211" t="str">
        <f>IF(COUNTIF('Eval-Avec impact envisagé'!$A$761:$A$780,AG10)&gt;0,IF(OR(AND('Eval-Avec impact envisagé'!$A$761=AG10,OR(COUNTIF('Eval-Avec impact envisagé'!$N$761:$P$761,"*T*")&gt;0,BD9&lt;30)),AND('Eval-Avec impact envisagé'!$A$762=AG10,OR(COUNTIF('Eval-Avec impact envisagé'!$N$762:$P$762,"*T*")&gt;0,BD10&lt;30)),AND('Eval-Avec impact envisagé'!$A$763=AG10,OR(COUNTIF('Eval-Avec impact envisagé'!$N$763:$P$763,"*T*")&gt;0,BD11&lt;30)),AND('Eval-Avec impact envisagé'!$A$764=AG10,OR(COUNTIF('Eval-Avec impact envisagé'!$N$764:$P$764,"*T*")&gt;0,BD12&lt;30)),AND('Eval-Avec impact envisagé'!$A$765=AG10,OR(COUNTIF('Eval-Avec impact envisagé'!$N$765:$P$765,"*T*")&gt;0,BD13&lt;30)),AND('Eval-Avec impact envisagé'!$A$766=AG10,OR(COUNTIF('Eval-Avec impact envisagé'!$N$766:$P$766,"*T*")&gt;0,BD14&lt;30)),AND('Eval-Avec impact envisagé'!$A$767=AG10,OR(COUNTIF('Eval-Avec impact envisagé'!$N$767:$P$767,"*T*")&gt;0,BD15&lt;30)),AND('Eval-Avec impact envisagé'!$A$768=AG10,OR(COUNTIF('Eval-Avec impact envisagé'!$N$768:$P$768,"*T*")&gt;0,BD16&lt;30)),AND('Eval-Avec impact envisagé'!$A$769=AG10,OR(COUNTIF('Eval-Avec impact envisagé'!$N$769:$P$769,"*T*")&gt;0,BD17&lt;30)),AND('Eval-Avec impact envisagé'!$A$770=AG10,OR(COUNTIF('Eval-Avec impact envisagé'!$N$770:$P$770,"*T*")&gt;0,BD18&lt;30)),AND('Eval-Avec impact envisagé'!$A$771=AG10,OR(COUNTIF('Eval-Avec impact envisagé'!$N$771:$P$771,"*T*")&gt;0,BD19&lt;30)),AND('Eval-Avec impact envisagé'!$A$772=AG10,OR(COUNTIF('Eval-Avec impact envisagé'!$N$772:$P$772,"*T*")&gt;0,BD20&lt;30)),AND('Eval-Avec impact envisagé'!$A$773=AG10,OR(COUNTIF('Eval-Avec impact envisagé'!$N$773:$P$773,"*T*")&gt;0,BD21&lt;30)),AND('Eval-Avec impact envisagé'!$A$774=AG10,OR(COUNTIF('Eval-Avec impact envisagé'!$N$774:$P$774,"*T*")&gt;0,BD22&lt;30)),AND('Eval-Avec impact envisagé'!$A$775=AG10,OR(COUNTIF('Eval-Avec impact envisagé'!$N$775:$P$775,"*T*")&gt;0,BD23&lt;30)),AND('Eval-Avec impact envisagé'!$A$776=AG10,OR(COUNTIF('Eval-Avec impact envisagé'!$N$776:$P$776,"*T*")&gt;0,BD24&lt;30)),AND('Eval-Avec impact envisagé'!$A$777=AG10,OR(COUNTIF('Eval-Avec impact envisagé'!$N$777:$P$777,"*T*")&gt;0,BD25&lt;30)),AND('Eval-Avec impact envisagé'!$A$778=AG10,OR(COUNTIF('Eval-Avec impact envisagé'!$N$778:$P$778,"*T*")&gt;0,BD26&lt;30)),AND('Eval-Avec impact envisagé'!$A$779=AG10,OR(COUNTIF('Eval-Avec impact envisagé'!$N$779:$P$779,"*T*")&gt;0,BD27&lt;30)),AND('Eval-Avec impact envisagé'!$A$780=AG10,OR(COUNTIF('Eval-Avec impact envisagé'!$N$780:$P$780,"*T*")&gt;0,BD28&lt;30))),"",SUM(1*(SUMPRODUCT(('Eval-Avec impact envisagé'!$A$761:$A$780=AG10)*('Eval-Avec impact envisagé'!$N$761:$P$780="A"))),0.85*(SUMPRODUCT(('Eval-Avec impact envisagé'!$A$761:$A$780=AG10)*('Eval-Avec impact envisagé'!$N$761:$P$780="AL"))),0.7*(SUMPRODUCT(('Eval-Avec impact envisagé'!$A$761:$A$780=AG10)*('Eval-Avec impact envisagé'!$N$761:$P$780="LA"))),0.55*(SUMPRODUCT(('Eval-Avec impact envisagé'!$A$761:$A$780=AG10)*('Eval-Avec impact envisagé'!$N$761:$P$780="L"))),0.4*(SUMPRODUCT(('Eval-Avec impact envisagé'!$A$761:$A$780=AG10)*('Eval-Avec impact envisagé'!$N$761:$P$780="LS"))),0.25*(SUMPRODUCT(('Eval-Avec impact envisagé'!$A$761:$A$780=AG10)*('Eval-Avec impact envisagé'!$N$761:$P$780="SL"))),0.1*(SUMPRODUCT(('Eval-Avec impact envisagé'!$A$761:$A$780=AG10)*('Eval-Avec impact envisagé'!$N$761:$P$780="S"))))/(3*COUNTIF('Eval-Avec impact envisagé'!$A$761:$A$780,AG10))),"")</f>
        <v/>
      </c>
      <c r="BA10" s="214" t="str">
        <f>IF(COUNTIF('Eval-Avec impact envisagé'!$A$761:$A$780,AG10)&gt;0,IF(OR(AND('Eval-Avec impact envisagé'!$A$761=AG10,OR(COUNTIF('Eval-Avec impact envisagé'!$Q$761:$Y$761,"*T*")&gt;0,BD9&lt;120)),AND('Eval-Avec impact envisagé'!$A$762=AG10,OR(COUNTIF('Eval-Avec impact envisagé'!$Q$762:$Y$762,"*T*")&gt;0,BD10&lt;120)),AND('Eval-Avec impact envisagé'!$A$763=AG10,OR(COUNTIF('Eval-Avec impact envisagé'!$Q$763:$Y$763,"*T*")&gt;0,BD11&lt;120)),AND('Eval-Avec impact envisagé'!$A$764=AG10,OR(COUNTIF('Eval-Avec impact envisagé'!$Q$764:$Y$764,"*T*")&gt;0,BD12&lt;120)),AND('Eval-Avec impact envisagé'!$A$765=AG10,OR(COUNTIF('Eval-Avec impact envisagé'!$Q$765:$Y$765,"*T*")&gt;0,BD13&lt;120)),AND('Eval-Avec impact envisagé'!$A$766=AG10,OR(COUNTIF('Eval-Avec impact envisagé'!$Q$766:$Y$766,"*T*")&gt;0,BD14&lt;120)),AND('Eval-Avec impact envisagé'!$A$767=AG10,OR(COUNTIF('Eval-Avec impact envisagé'!$Q$767:$Y$767,"*T*")&gt;0,BD15&lt;120)),AND('Eval-Avec impact envisagé'!$A$768=AG10,OR(COUNTIF('Eval-Avec impact envisagé'!$Q$768:$Y$768,"*T*")&gt;0,BD16&lt;120)),AND('Eval-Avec impact envisagé'!$A$769=AG10,OR(COUNTIF('Eval-Avec impact envisagé'!$Q$769:$Y$769,"*T*")&gt;0,BD17&lt;120)),AND('Eval-Avec impact envisagé'!$A$770=AG10,OR(COUNTIF('Eval-Avec impact envisagé'!$Q$770:$Y$770,"*T*")&gt;0,BD18&lt;120)),AND('Eval-Avec impact envisagé'!$A$771=AG10,OR(COUNTIF('Eval-Avec impact envisagé'!$Q$771:$Y$771,"*T*")&gt;0,BD19&lt;120)),AND('Eval-Avec impact envisagé'!$A$772=AG10,OR(COUNTIF('Eval-Avec impact envisagé'!$Q$772:$Y$772,"*T*")&gt;0,BD20&lt;120)),AND('Eval-Avec impact envisagé'!$A$773=AG10,OR(COUNTIF('Eval-Avec impact envisagé'!$Q$773:$Y$773,"*T*")&gt;0,BD21&lt;120)),AND('Eval-Avec impact envisagé'!$A$774=AG10,OR(COUNTIF('Eval-Avec impact envisagé'!$Q$774:$Y$774,"*T*")&gt;0,BD22&lt;120)),AND('Eval-Avec impact envisagé'!$A$775=AG10,OR(COUNTIF('Eval-Avec impact envisagé'!$Q$775:$Y$775,"*T*")&gt;0,BD23&lt;120)),AND('Eval-Avec impact envisagé'!$A$776=AG10,OR(COUNTIF('Eval-Avec impact envisagé'!$Q$776:$Y$776,"*T*")&gt;0,BD24&lt;120)),AND('Eval-Avec impact envisagé'!$A$777=AG10,OR(COUNTIF('Eval-Avec impact envisagé'!$Q$777:$Y$777,"*T*")&gt;0,BD25&lt;120)),AND('Eval-Avec impact envisagé'!$A$778=AG10,OR(COUNTIF('Eval-Avec impact envisagé'!$Q$778:$Y$778,"*T*")&gt;0,BD26&lt;120)),AND('Eval-Avec impact envisagé'!$A$779=AG10,OR(COUNTIF('Eval-Avec impact envisagé'!$Q$779:$Y$779,"*T*")&gt;0,BD27&lt;120)),AND('Eval-Avec impact envisagé'!$A$780=AG10,OR(COUNTIF('Eval-Avec impact envisagé'!$Q$780:$Y$780,"*T*")&gt;0,BD28&lt;120))),"",SUM(1*(SUMPRODUCT(('Eval-Avec impact envisagé'!$A$761:$A$780=AG10)*('Eval-Avec impact envisagé'!$Q$761:$Y$780="A"))),0.85*(SUMPRODUCT(('Eval-Avec impact envisagé'!$A$761:$A$780=AG10)*('Eval-Avec impact envisagé'!$Q$761:$Y$780="AL"))),0.7*(SUMPRODUCT(('Eval-Avec impact envisagé'!$A$761:$A$780=AG10)*('Eval-Avec impact envisagé'!$Q$761:$Y$780="LA"))),0.55*(SUMPRODUCT(('Eval-Avec impact envisagé'!$A$761:$A$780=AG10)*('Eval-Avec impact envisagé'!$Q$761:$Y$780="L"))),0.4*(SUMPRODUCT(('Eval-Avec impact envisagé'!$A$761:$A$780=AG10)*('Eval-Avec impact envisagé'!$Q$761:$Y$780="LS"))),0.25*(SUMPRODUCT(('Eval-Avec impact envisagé'!$A$761:$A$780=AG10)*('Eval-Avec impact envisagé'!$Q$761:$Y$780="SL"))),0.1*(SUMPRODUCT(('Eval-Avec impact envisagé'!$A$761:$A$780=AG10)*('Eval-Avec impact envisagé'!$Q$761:$Y$780="S"))))/(9*COUNTIF('Eval-Avec impact envisagé'!$A$761:$A$780,AG10))),"")</f>
        <v/>
      </c>
      <c r="BB10" s="215"/>
      <c r="BC10" s="216">
        <f>'Eval-Avec impact envisagé'!$D$762</f>
        <v>2</v>
      </c>
      <c r="BD10" s="217" t="str">
        <f>IF(BE10="C",0,IF(IF(COUNTIF('Eval-Avec impact envisagé'!$N$762:$Y$762,"=C")&gt;0,(COUNTA('Eval-Avec impact envisagé'!$N$762:$Y$762)-1)*10,COUNTA('Eval-Avec impact envisagé'!$N$762:$Y$762)*10)=0,"",IF(COUNTIF('Eval-Avec impact envisagé'!$N$762:$Y$762,"=C")&gt;0,(COUNTA('Eval-Avec impact envisagé'!$N$762:$Y$762)-1)*10,COUNTA('Eval-Avec impact envisagé'!$N$762:$Y$762)*10)))</f>
        <v/>
      </c>
      <c r="BE10" s="217" t="str">
        <f>CONCATENATE('Eval-Avec impact envisagé'!$N$762,'Eval-Avec impact envisagé'!$O$762,'Eval-Avec impact envisagé'!$P$762,'Eval-Avec impact envisagé'!$Q$762,'Eval-Avec impact envisagé'!$R$762,'Eval-Avec impact envisagé'!$S$762,'Eval-Avec impact envisagé'!$T$762,'Eval-Avec impact envisagé'!$U$762,'Eval-Avec impact envisagé'!$V$762,'Eval-Avec impact envisagé'!$W$762,'Eval-Avec impact envisagé'!$X$762,'Eval-Avec impact envisagé'!$Y$762)</f>
        <v/>
      </c>
      <c r="BF10" s="217" t="str">
        <f t="shared" si="4"/>
        <v/>
      </c>
      <c r="BG10" s="217" t="str">
        <f t="shared" si="5"/>
        <v/>
      </c>
      <c r="BH10" s="217" t="str">
        <f>IF(COUNTIF('Eval-Avec impact envisagé'!$N$762:$Y$762,"=C")&gt;0,"X","")</f>
        <v/>
      </c>
      <c r="BI10" s="217" t="str">
        <f t="shared" si="6"/>
        <v/>
      </c>
      <c r="BJ10" s="218" t="str">
        <f t="shared" si="7"/>
        <v/>
      </c>
      <c r="BK10" s="197"/>
      <c r="BM10" s="210">
        <v>2</v>
      </c>
      <c r="BN10" s="211" t="str">
        <f>IF(COUNTIF('Eval-Après impact'!$A$761:$A$780,BM10)&gt;0,SUM(IF('Eval-Après impact'!$A$761=BM10,'Eval-Après impact'!$B$761,0),IF('Eval-Après impact'!$A$762=BM10, 'Eval-Après impact'!$B$762,0),IF('Eval-Après impact'!$A$763=BM10, 'Eval-Après impact'!$B$763,0),IF('Eval-Après impact'!$A$764=BM10, 'Eval-Après impact'!$B$764,0),IF('Eval-Après impact'!$A$765=BM10, 'Eval-Après impact'!$B$765,0),IF('Eval-Après impact'!$A$766=BM10, 'Eval-Après impact'!$B$766,0),IF('Eval-Après impact'!$A$767=BM10, 'Eval-Après impact'!$B$767,0),IF('Eval-Après impact'!$A$768=BM10, 'Eval-Après impact'!$B$768,0),IF('Eval-Après impact'!$A$769=BM10, 'Eval-Après impact'!$B$769,0),IF('Eval-Après impact'!$A$770=BM10, 'Eval-Après impact'!$B$770,0),IF('Eval-Après impact'!$A$771=BM10, 'Eval-Après impact'!$B$771,0),IF('Eval-Après impact'!$A$772=BM10, 'Eval-Après impact'!$B$772,0),IF('Eval-Après impact'!$A$773=BM10, 'Eval-Après impact'!$B$773,0),IF('Eval-Après impact'!$A$774=BM10, 'Eval-Après impact'!$B$774,0),IF('Eval-Après impact'!$A$775=BM10, 'Eval-Après impact'!$B$775,0),IF('Eval-Après impact'!$A$776=BM10, 'Eval-Après impact'!$B$776,0),IF('Eval-Après impact'!$A$777=BM10, 'Eval-Après impact'!$B$777,0),IF('Eval-Après impact'!$A$778=BM10, 'Eval-Après impact'!$B$778,0),IF('Eval-Après impact'!$A$779=BM10, 'Eval-Après impact'!$B$779,0),IF('Eval-Après impact'!$A$780=BM10, 'Eval-Après impact'!$B$780,0))/COUNTIF('Eval-Après impact'!$A$761:$A$780,BM10),"")</f>
        <v/>
      </c>
      <c r="BO10" s="212" t="str">
        <f>IF(COUNTIF('Eval-Après impact'!$A$761:$A$780,BM10)&gt;0,COUNTIF('Eval-Après impact'!$A$761:$A$780,BM10),"")</f>
        <v/>
      </c>
      <c r="BP10" s="211" t="str">
        <f>IF(COUNTIF('Eval-Après impact'!$A$761:$A$780,BM10)&gt;0,IF(OR(AND('Eval-Après impact'!$A$761=BM10, 'Eval-Après impact'!$G$761=""),AND('Eval-Après impact'!$A$762=BM10, 'Eval-Après impact'!$G$762=""),AND('Eval-Après impact'!$A$763=BM10, 'Eval-Après impact'!$G$763=""),AND('Eval-Après impact'!$A$764=BM10, 'Eval-Après impact'!$G$764=""),AND('Eval-Après impact'!$A$765=BM10, 'Eval-Après impact'!$G$765=""),AND('Eval-Après impact'!$A$766=BM10, 'Eval-Après impact'!$G$766=""),AND('Eval-Après impact'!$A$767=BM10, 'Eval-Après impact'!$G$767=""),AND('Eval-Après impact'!$A$768=BM10, 'Eval-Après impact'!$G$768=""),AND('Eval-Après impact'!$A$769=BM10, 'Eval-Après impact'!$G$769=""),AND('Eval-Après impact'!$A$770=BM10, 'Eval-Après impact'!$G$770=""),AND('Eval-Après impact'!$A$771=BM10, 'Eval-Après impact'!$G$771=""),AND('Eval-Après impact'!$A$772=BM10, 'Eval-Après impact'!$G$772=""),AND('Eval-Après impact'!$A$773=BM10, 'Eval-Après impact'!$G$773=""),AND('Eval-Après impact'!$A$774=BM10, 'Eval-Après impact'!$G$774=""),AND('Eval-Après impact'!$A$775=BM10, 'Eval-Après impact'!$G$775=""),AND('Eval-Après impact'!$A$776=BM10, 'Eval-Après impact'!$G$776=""),AND('Eval-Après impact'!$A$777=BM10, 'Eval-Après impact'!$G$777=""),AND('Eval-Après impact'!$A$778=BM10, 'Eval-Après impact'!$G$778=""),AND('Eval-Après impact'!$A$779=BM10, 'Eval-Après impact'!$G$779=""),AND('Eval-Après impact'!$A$780=BM10, 'Eval-Après impact'!$G$780="")),"",SUM(IF('Eval-Après impact'!$A$761=BM10,'Eval-Après impact'!$G$761,0),IF('Eval-Après impact'!$A$762=BM10,'Eval-Après impact'!$G$762,0),IF('Eval-Après impact'!$A$763=BM10,'Eval-Après impact'!$G$763,0),IF('Eval-Après impact'!$A$764=BM10,'Eval-Après impact'!$G$764,0),IF('Eval-Après impact'!$A$765=BM10,'Eval-Après impact'!$G$765,0),IF('Eval-Après impact'!$A$766=BM10,'Eval-Après impact'!$G$766,0),IF('Eval-Après impact'!$A$767=BM10,'Eval-Après impact'!$G$767,0),IF('Eval-Après impact'!$A$768=BM10,'Eval-Après impact'!$G$768,0),IF('Eval-Après impact'!$A$769=BM10,'Eval-Après impact'!$G$769,0),IF('Eval-Après impact'!$A$770=BM10,'Eval-Après impact'!$G$770,0),IF('Eval-Après impact'!$A$771=BM10,'Eval-Après impact'!$G$771,0),IF('Eval-Après impact'!$A$772=BM10,'Eval-Après impact'!$G$772,0),IF('Eval-Après impact'!$A$773=BM10,'Eval-Après impact'!$G$773,0),IF('Eval-Après impact'!$A$774=BM10,'Eval-Après impact'!$G$774,0),IF('Eval-Après impact'!$A$775=BM10,'Eval-Après impact'!$G$775,0), IF('Eval-Après impact'!$A$776=BM10,'Eval-Après impact'!$G$776,0), IF('Eval-Après impact'!$A$777=BM10,'Eval-Après impact'!$G$777,0), IF('Eval-Après impact'!$A$778=BM10,'Eval-Après impact'!$G$778,0), IF('Eval-Après impact'!$A$779=BM10,'Eval-Après impact'!$G$779,0), IF('Eval-Après impact'!$A$780=BM10,'Eval-Après impact'!$G$780,0))/ COUNTIF('Eval-Après impact'!$A$761:$A$780,BM10)),"")</f>
        <v/>
      </c>
      <c r="BQ10" s="212" t="str">
        <f>IF(COUNTIF('Eval-Après impact'!$A$761:$A$780,BM10)&gt;0,IF(SUM(IF('Eval-Après impact'!$A$761=BM10,COUNTA('Eval-Après impact'!$H$761),0),IF('Eval-Après impact'!$A$762=BM10,COUNTA('Eval-Après impact'!$H$762),0),IF('Eval-Après impact'!$A$763=BM10,COUNTA('Eval-Après impact'!$H$763),0),IF('Eval-Après impact'!$A$764=BM10,COUNTA('Eval-Après impact'!$H$764),0),IF('Eval-Après impact'!$A$765=BM10,COUNTA('Eval-Après impact'!$H$765),0),IF('Eval-Après impact'!$A$766=BM10,COUNTA('Eval-Après impact'!$H$766),0),IF('Eval-Après impact'!$A$767=BM10,COUNTA('Eval-Après impact'!$H$767),0),IF('Eval-Après impact'!$A$768=BM10,COUNTA('Eval-Après impact'!$H$768),0),IF('Eval-Après impact'!$A$769=BM10,COUNTA('Eval-Après impact'!$H$769),0),IF('Eval-Après impact'!$A$770=BM10,COUNTA('Eval-Après impact'!$H$770),0),IF('Eval-Après impact'!$A$771=BM10,COUNTA('Eval-Après impact'!$H$771),0),IF('Eval-Après impact'!$A$772=BM10,COUNTA('Eval-Après impact'!$H$772),0),IF('Eval-Après impact'!$A$773=BM10,COUNTA('Eval-Après impact'!$H$773),0),IF('Eval-Après impact'!$A$774=BM10,COUNTA('Eval-Après impact'!$H$774),0),IF('Eval-Après impact'!$A$775=BM10,COUNTA('Eval-Après impact'!$H$775),0),IF('Eval-Après impact'!$A$776=BM10,COUNTA('Eval-Après impact'!$H$776),0),IF('Eval-Après impact'!$A$777=BM10,COUNTA('Eval-Après impact'!$H$777),0),IF('Eval-Après impact'!$A$778=BM10,COUNTA('Eval-Après impact'!$H$778),0),IF('Eval-Après impact'!$A$779=BM10,COUNTA('Eval-Après impact'!$H$779),0),IF('Eval-Après impact'!$A$780=BM10,COUNTA('Eval-Après impact'!$H$780),0))&gt;0,"X",0),"")</f>
        <v/>
      </c>
      <c r="BR10" s="213" t="str">
        <f>IF(COUNTIF('Eval-Après impact'!$A$761:$A$780,BM10)&gt;0,IF(SUM(IF('Eval-Après impact'!$A$761=BM10,COUNTA('Eval-Après impact'!$I$761),0),IF('Eval-Après impact'!$A$762=BM10,COUNTA('Eval-Après impact'!$I$762),0),IF('Eval-Après impact'!$A$763=BM10,COUNTA('Eval-Après impact'!$I$763),0),IF('Eval-Après impact'!$A$764=BM10,COUNTA('Eval-Après impact'!$I$764),0),IF('Eval-Après impact'!$A$765=BM10,COUNTA('Eval-Après impact'!$I$765),0),IF('Eval-Après impact'!$A$766=BM10,COUNTA('Eval-Après impact'!$I$766),0),IF('Eval-Après impact'!$A$767=BM10,COUNTA('Eval-Après impact'!$I$767),0),IF('Eval-Après impact'!$A$768=BM10,COUNTA('Eval-Après impact'!$I$768),0),IF('Eval-Après impact'!$A$769=BM10,COUNTA('Eval-Après impact'!$I$769),0),IF('Eval-Après impact'!$A$770=BM10,COUNTA('Eval-Après impact'!$I$770),0),IF('Eval-Après impact'!$A$771=BM10,COUNTA('Eval-Après impact'!$I$771),0),IF('Eval-Après impact'!$A$772=BM10,COUNTA('Eval-Après impact'!$I$772),0),IF('Eval-Après impact'!$A$773=BM10,COUNTA('Eval-Après impact'!$I$773),0),IF('Eval-Après impact'!$A$774=BM10,COUNTA('Eval-Après impact'!$I$774),0),IF('Eval-Après impact'!$A$775=BM10,COUNTA('Eval-Après impact'!$I$775),0),IF('Eval-Après impact'!$A$776=BM10,COUNTA('Eval-Après impact'!$I$776),0),IF('Eval-Après impact'!$A$777=BM10,COUNTA('Eval-Après impact'!$I$777),0),IF('Eval-Après impact'!$A$778=BM10,COUNTA('Eval-Après impact'!$I$778),0),IF('Eval-Après impact'!$A$779=BM10,COUNTA('Eval-Après impact'!$I$779),0),IF('Eval-Après impact'!$A$780=BM10,COUNTA('Eval-Après impact'!$I$780),0))&gt;0,"X",0),"")</f>
        <v/>
      </c>
      <c r="BS10" s="213" t="str">
        <f>IF(COUNTIF('Eval-Après impact'!$A$761:$A$780,BM10)&gt;0,IF(SUM(IF('Eval-Après impact'!$A$761=BM10,COUNTA('Eval-Après impact'!$J$761),0),IF('Eval-Après impact'!$A$762=BM10,COUNTA('Eval-Après impact'!$J$762),0),IF('Eval-Après impact'!$A$763=BM10,COUNTA('Eval-Après impact'!$J$763),0),IF('Eval-Après impact'!$A$764=BM10,COUNTA('Eval-Après impact'!$J$764),0),IF('Eval-Après impact'!$A$765=BM10,COUNTA('Eval-Après impact'!$J$765),0),IF('Eval-Après impact'!$A$766=BM10,COUNTA('Eval-Après impact'!$J$766),0),IF('Eval-Après impact'!$A$767=BM10,COUNTA('Eval-Après impact'!$J$767),0),IF('Eval-Après impact'!$A$768=BM10,COUNTA('Eval-Après impact'!$J$768),0),IF('Eval-Après impact'!$A$769=BM10,COUNTA('Eval-Après impact'!$J$769),0),IF('Eval-Après impact'!$A$770=BM10,COUNTA('Eval-Après impact'!$J$770),0),IF('Eval-Après impact'!$A$771=BM10,COUNTA('Eval-Après impact'!$J$771),0),IF('Eval-Après impact'!$A$772=BM10,COUNTA('Eval-Après impact'!$J$772),0),IF('Eval-Après impact'!$A$773=BM10,COUNTA('Eval-Après impact'!$J$773),0),IF('Eval-Après impact'!$A$774=BM10,COUNTA('Eval-Après impact'!$J$774),0),IF('Eval-Après impact'!$A$775=BM10,COUNTA('Eval-Après impact'!$J$775),0),IF('Eval-Après impact'!$A$776=BM10,COUNTA('Eval-Après impact'!$J$776),0),IF('Eval-Après impact'!$A$777=BM10,COUNTA('Eval-Après impact'!$J$777),0),IF('Eval-Après impact'!$A$778=BM10,COUNTA('Eval-Après impact'!$J$778),0),IF('Eval-Après impact'!$A$779=BM10,COUNTA('Eval-Après impact'!$J$779),0),IF('Eval-Après impact'!$A$780=BM10,COUNTA('Eval-Après impact'!$J$780),0))&gt;0,"X",0),"")</f>
        <v/>
      </c>
      <c r="BT10" s="213" t="str">
        <f>IF(COUNTIF('Eval-Après impact'!$A$761:$A$780,BM10)&gt;0,IF(SUM(IF('Eval-Après impact'!$A$761=BM10,COUNTA('Eval-Après impact'!$K$761),0),IF('Eval-Après impact'!$A$762=BM10,COUNTA('Eval-Après impact'!$K$762),0),IF('Eval-Après impact'!$A$763=BM10,COUNTA('Eval-Après impact'!$K$763),0),IF('Eval-Après impact'!$A$764=BM10,COUNTA('Eval-Après impact'!$K$764),0),IF('Eval-Après impact'!$A$765=BM10,COUNTA('Eval-Après impact'!$K$765),0),IF('Eval-Après impact'!$A$766=BM10,COUNTA('Eval-Après impact'!$K$766),0),IF('Eval-Après impact'!$A$767=BM10,COUNTA('Eval-Après impact'!$K$767),0),IF('Eval-Après impact'!$A$768=BM10,COUNTA('Eval-Après impact'!$K$768),0),IF('Eval-Après impact'!$A$769=BM10,COUNTA('Eval-Après impact'!$K$769),0),IF('Eval-Après impact'!$A$770=BM10,COUNTA('Eval-Après impact'!$K$770),0),IF('Eval-Après impact'!$A$771=BM10,COUNTA('Eval-Après impact'!$K$771),0),IF('Eval-Après impact'!$A$772=BM10,COUNTA('Eval-Après impact'!$K$772),0),IF('Eval-Après impact'!$A$773=BM10,COUNTA('Eval-Après impact'!$K$773),0),IF('Eval-Après impact'!$A$774=BM10,COUNTA('Eval-Après impact'!$K$774),0),IF('Eval-Après impact'!$A$775=BM10,COUNTA('Eval-Après impact'!$K$775),0),IF('Eval-Après impact'!$A$776=BM10,COUNTA('Eval-Après impact'!$K$776),0),IF('Eval-Après impact'!$A$777=BM10,COUNTA('Eval-Après impact'!$K$777),0),IF('Eval-Après impact'!$A$778=BM10,COUNTA('Eval-Après impact'!$K$778),0),IF('Eval-Après impact'!$A$779=BM10,COUNTA('Eval-Après impact'!$K$779),0),IF('Eval-Après impact'!$A$780=BM10,COUNTA('Eval-Après impact'!$K$780),0))&gt;0,"X",0),"")</f>
        <v/>
      </c>
      <c r="BU10" s="211" t="str">
        <f>IF(COUNTIF('Eval-Après impact'!$A$761:$A$780,BM10)&gt;0,IF(OR(AND('Eval-Après impact'!$A$761=BM10,'Eval-Après impact'!$L$761&lt;120,'Eval-Après impact'!$L$761&gt;=CJ9),AND('Eval-Après impact'!$A$762=BM10,'Eval-Après impact'!$L$762&lt;120,'Eval-Après impact'!$L$762&gt;=CJ10),AND('Eval-Après impact'!$A$763=BM10,'Eval-Après impact'!$L$763&lt;120,'Eval-Après impact'!$L$763&gt;=CJ11),AND('Eval-Après impact'!$A$764=BM10,'Eval-Après impact'!$L$764&lt;120,'Eval-Après impact'!$L$764&gt;=CJ12),AND('Eval-Après impact'!$A$765=BM10,'Eval-Après impact'!$L$765&lt;120,'Eval-Après impact'!$L$765&gt;=CJ13),AND('Eval-Après impact'!$A$766=BM10,'Eval-Après impact'!$L$766&lt;120,'Eval-Après impact'!$L$766&gt;=CJ14),AND('Eval-Après impact'!$A$767=BM10,'Eval-Après impact'!$L$767&lt;120,'Eval-Après impact'!$L$767&gt;=CJ15),AND('Eval-Après impact'!$A$768=BM10,'Eval-Après impact'!$L$768&lt;120,'Eval-Après impact'!$L$768&gt;=CJ16),AND('Eval-Après impact'!$A$769=BM10,'Eval-Après impact'!$L$769&lt;120,'Eval-Après impact'!$L$769&gt;=CJ17),AND('Eval-Après impact'!$A$770=BM10,'Eval-Après impact'!$L$770&lt;120,'Eval-Après impact'!$L$770&gt;=CJ18),AND('Eval-Après impact'!$A$771=BM10,'Eval-Après impact'!$L$771&lt;120,'Eval-Après impact'!$L$771&gt;=CJ19),AND('Eval-Après impact'!$A$772=BM10,'Eval-Après impact'!$L$772&lt;120,'Eval-Après impact'!$L$772&gt;=CJ20),AND('Eval-Après impact'!$A$773=BM10,'Eval-Après impact'!$L$773&lt;120,'Eval-Après impact'!$L$773&gt;=CJ21),AND('Eval-Après impact'!$A$774=BM10,'Eval-Après impact'!$L$774&lt;120,'Eval-Après impact'!$L$774&gt;=CJ22),AND('Eval-Après impact'!$A$775=BM10,'Eval-Après impact'!$L$775&lt;120,'Eval-Après impact'!$L$775&gt;=CJ23),AND('Eval-Après impact'!$A$776=BM10,'Eval-Après impact'!$L$776&lt;120,'Eval-Après impact'!$L$776&gt;=CJ24),AND('Eval-Après impact'!$A$777=BM10,'Eval-Après impact'!$L$777&lt;120,'Eval-Après impact'!$L$777&gt;=CJ25),AND('Eval-Après impact'!$A$778=BM10,'Eval-Après impact'!$L$778&lt;120,'Eval-Après impact'!$L$778&gt;=CJ26),AND('Eval-Après impact'!$A$779=BM10,'Eval-Après impact'!$L$779&lt;120,'Eval-Après impact'!$L$779&gt;=CJ27),AND('Eval-Après impact'!$A$780=BM10,'Eval-Après impact'!$L$780&lt;120,'Eval-Après impact'!$L$780&gt;=CJ28)),"",SUM(IF('Eval-Après impact'!$A$761=BM10,'Eval-Après impact'!$L$761,0),IF('Eval-Après impact'!$A$762=BM10,'Eval-Après impact'!$L$762,0),IF('Eval-Après impact'!$A$763=BM10,'Eval-Après impact'!$L$763,0),IF('Eval-Après impact'!$A$764=BM10,'Eval-Après impact'!$L$764,0),IF('Eval-Après impact'!$A$765=BM10,'Eval-Après impact'!$L$765,0),IF('Eval-Après impact'!$A$766=BM10,'Eval-Après impact'!$L$766,0),IF('Eval-Après impact'!$A$767=BM10,'Eval-Après impact'!$L$767,0),IF('Eval-Après impact'!$A$768=BM10,'Eval-Après impact'!$L$768,0),IF('Eval-Après impact'!$A$769=BM10,'Eval-Après impact'!$L$769,0),IF('Eval-Après impact'!$A$770=BM10,'Eval-Après impact'!$L$770,0),IF('Eval-Après impact'!$A$771=BM10,'Eval-Après impact'!$L$771,0),IF('Eval-Après impact'!$A$772=BM10,'Eval-Après impact'!$L$772,0),IF('Eval-Après impact'!$A$773=BM10,'Eval-Après impact'!$L$773,0),IF('Eval-Après impact'!$A$774=BM10,'Eval-Après impact'!$L$774,0),IF('Eval-Après impact'!$A$775=BM10,'Eval-Après impact'!$L$775,0),IF('Eval-Après impact'!$A$776=BM10,'Eval-Après impact'!$L$776,0),IF('Eval-Après impact'!$A$777=BM10,'Eval-Après impact'!$L$777,0),IF('Eval-Après impact'!$A$778=BM10,'Eval-Après impact'!$L$778,0),IF('Eval-Après impact'!$A$779=BM10,'Eval-Après impact'!$L$779,0),IF('Eval-Après impact'!$A$780=BM10,'Eval-Après impact'!$L$780,0))/ COUNTIF('Eval-Après impact'!$A$761:$A$780,BM10)),"")</f>
        <v/>
      </c>
      <c r="BV10" s="211" t="str">
        <f>IF(COUNTIF('Eval-Après impact'!$A$761:$A$780,BM10)&gt;0,IF(OR(AND('Eval-Après impact'!$A$761=BM10, CJ9&lt;120),AND(CJ10&lt;120),AND(CJ11&lt;120),AND(CJ12&lt;120),AND(CJ13&lt;120),AND(CJ14&lt;120),AND(CJ15&lt;120),AND(CJ16&lt;120),AND(CJ17&lt;120),AND(CJ18&lt;120),AND(CJ19&lt;120),AND(CJ20&lt;120),AND(CJ21&lt;120),AND(CJ22&lt;120),AND(CJ23&lt;120),AND(CJ24&lt;120),AND(CJ25&lt;120),AND(CJ26&lt;120),AND(CJ27&lt;120),AND(CJ28&lt;120)),"",SUM(IF('Eval-Après impact'!$A$761=BM10,'Eval-Après impact'!$M$761,0),IF('Eval-Après impact'!$A$762=BM10,'Eval-Après impact'!$M$762,0),IF('Eval-Après impact'!$A$763=BM10,'Eval-Après impact'!$M$763,0),IF('Eval-Après impact'!$A$764=BM10,'Eval-Après impact'!$M$764,0),IF('Eval-Après impact'!$A$765=BM10,'Eval-Après impact'!$M$765,0),IF('Eval-Après impact'!$A$766=BM10,'Eval-Après impact'!$M$766,0),IF('Eval-Après impact'!$A$767=BM10,'Eval-Après impact'!$M$767,0),IF('Eval-Après impact'!$A$768=BM10,'Eval-Après impact'!$M$768,0),IF('Eval-Après impact'!$A$769=BM10,'Eval-Après impact'!$M$769,0),IF('Eval-Après impact'!$A$770=BM10,'Eval-Après impact'!$M$770,0),IF('Eval-Après impact'!$A$771=BM10,'Eval-Après impact'!$M$771,0),IF('Eval-Après impact'!$A$772=BM10,'Eval-Après impact'!$M$772,0),IF('Eval-Après impact'!$A$773=BM10,'Eval-Après impact'!$M$773,0),IF('Eval-Après impact'!$A$774=BM10,'Eval-Après impact'!$M$774,0),IF('Eval-Après impact'!$A$775=BM10,'Eval-Après impact'!$M$775,0), IF('Eval-Après impact'!$A$776=BM10,'Eval-Après impact'!$M$776,0), IF('Eval-Après impact'!$A$777=BM10,'Eval-Après impact'!$M$777,0), IF('Eval-Après impact'!$A$778=BM10,'Eval-Après impact'!$M$778,0), IF('Eval-Après impact'!$A$779=BM10,'Eval-Après impact'!$M$779,0), IF('Eval-Après impact'!$A$780=BM10,'Eval-Après impact'!$M$780,0))/COUNTIF('Eval-Après impact'!$A$761:$A$780,BM10)),"")</f>
        <v/>
      </c>
      <c r="BW10" s="211" t="str">
        <f>IF(COUNTIF('Eval-Après impact'!$A$761:$A$780,BM10)&gt;0,SUM(IF('Eval-Après impact'!$A$761=BM10,LEN(SUBSTITUTE((SUBSTITUTE(CL9,"TM","")),"TS",""))*10/2,0),IF('Eval-Après impact'!$A$762=BM10,LEN(SUBSTITUTE((SUBSTITUTE(CL10,"TM","")),"TS",""))*10/2,0),IF('Eval-Après impact'!$A$763=BM10,LEN(SUBSTITUTE((SUBSTITUTE(CL11,"TM","")),"TS",""))*10/2,0),IF('Eval-Après impact'!$A$764=BM10,LEN(SUBSTITUTE((SUBSTITUTE(CL12,"TM","")),"TS",""))*10/2,0),IF('Eval-Après impact'!$A$765=BM10,LEN(SUBSTITUTE((SUBSTITUTE(CL13,"TM","")),"TS",""))*10/2,0),IF('Eval-Après impact'!$A$766=BM10,LEN(SUBSTITUTE((SUBSTITUTE(CL14,"TM","")),"TS",""))*10/2,0),IF('Eval-Après impact'!$A$767=BM10,LEN(SUBSTITUTE((SUBSTITUTE(CL15,"TM","")),"TS",""))*10/2,0),IF('Eval-Après impact'!$A$768=BM10,LEN(SUBSTITUTE((SUBSTITUTE(CL16,"TM","")),"TS",""))*10/2,0),IF('Eval-Après impact'!$A$769=BM10,LEN(SUBSTITUTE((SUBSTITUTE(CL17,"TM","")),"TS",""))*10/2,0),IF('Eval-Après impact'!$A$770=BM10,LEN(SUBSTITUTE((SUBSTITUTE(CL18,"TM","")),"TS",""))*10/2,0),IF('Eval-Après impact'!$A$771=BM10,LEN(SUBSTITUTE((SUBSTITUTE(CL19,"TM","")),"TS",""))*10/2,0),IF('Eval-Après impact'!$A$772=BM10,LEN(SUBSTITUTE((SUBSTITUTE(CL20,"TM","")),"TS",""))*10/2,0),IF('Eval-Après impact'!$A$773=BM10,LEN(SUBSTITUTE((SUBSTITUTE(CL21,"TM","")),"TS",""))*10/2,0),IF('Eval-Après impact'!$A$774=BM10,LEN(SUBSTITUTE((SUBSTITUTE(CL22,"TM","")),"TS",""))*10/2,0),IF('Eval-Après impact'!$A$775=BM10,LEN(SUBSTITUTE((SUBSTITUTE(CL23,"TM","")),"TS",""))*10/2,0),IF('Eval-Après impact'!$A$776=BM10,LEN(SUBSTITUTE((SUBSTITUTE(CL24,"TM","")),"TS",""))*10/2,0),IF('Eval-Après impact'!$A$777=BM10,LEN(SUBSTITUTE((SUBSTITUTE(CL25,"TM","")),"TS",""))*10/2,0),IF('Eval-Après impact'!$A$778=BM10,LEN(SUBSTITUTE((SUBSTITUTE(CL26,"TM","")),"TS",""))*10/2,0),IF('Eval-Après impact'!$A$779=BM10,LEN(SUBSTITUTE((SUBSTITUTE(CL27,"TM","")),"TS",""))*10/2,0),IF('Eval-Après impact'!$A$780=BM10,LEN(SUBSTITUTE((SUBSTITUTE(CL28,"TM","")),"TS",""))*10/2,0))/COUNTIF('Eval-Après impact'!$A$761:$A$780,BM10),"")</f>
        <v/>
      </c>
      <c r="BX10" s="211" t="str">
        <f>IF(COUNTIF('Eval-Après impact'!$A$761:$A$780,BM10)&gt;0,SUM(IF('Eval-Après impact'!$A$761=BM10,LEN(SUBSTITUTE((SUBSTITUTE(CL9,"TF","")),"TS",""))*10/2,0),IF('Eval-Après impact'!$A$762=BM10,LEN(SUBSTITUTE((SUBSTITUTE(CL10,"TF","")),"TS",""))*10/2,0),IF('Eval-Après impact'!$A$763=BM10,LEN(SUBSTITUTE((SUBSTITUTE(CL11,"TF","")),"TS",""))*10/2,0),IF('Eval-Après impact'!$A$764=BM10,LEN(SUBSTITUTE((SUBSTITUTE(CL12,"TF","")),"TS",""))*10/2,0),IF('Eval-Après impact'!$A$765=BM10,LEN(SUBSTITUTE((SUBSTITUTE(CL13,"TF","")),"TS",""))*10/2,0),IF('Eval-Après impact'!$A$766=BM10,LEN(SUBSTITUTE((SUBSTITUTE(CL14,"TF","")),"TS",""))*10/2,0),IF('Eval-Après impact'!$A$767=BM10,LEN(SUBSTITUTE((SUBSTITUTE(CL15,"TF","")),"TS",""))*10/2,0),IF('Eval-Après impact'!$A$768=BM10,LEN(SUBSTITUTE((SUBSTITUTE(CL16,"TF","")),"TS",""))*10/2,0),IF('Eval-Après impact'!$A$769=BM10,LEN(SUBSTITUTE((SUBSTITUTE(CL17,"TF","")),"TS",""))*10/2,0),IF('Eval-Après impact'!$A$770=BM10,LEN(SUBSTITUTE((SUBSTITUTE(CL18,"TF","")),"TS",""))*10/2,0),IF('Eval-Après impact'!$A$771=BM10,LEN(SUBSTITUTE((SUBSTITUTE(CL19,"TF","")),"TS",""))*10/2,0),IF('Eval-Après impact'!$A$772=BM10,LEN(SUBSTITUTE((SUBSTITUTE(CL20,"TF","")),"TS",""))*10/2,0),IF('Eval-Après impact'!$A$773=BM10,LEN(SUBSTITUTE((SUBSTITUTE(CL21,"TF","")),"TS",""))*10/2,0),IF('Eval-Après impact'!$A$774=BM10,LEN(SUBSTITUTE((SUBSTITUTE(CL22,"TF","")),"TS",""))*10/2,0),IF('Eval-Après impact'!$A$775=BM10,LEN(SUBSTITUTE((SUBSTITUTE(CL23,"TF","")),"TS",""))*10/2,0),IF('Eval-Après impact'!$A$776=BM10,LEN(SUBSTITUTE((SUBSTITUTE(CL24,"TF","")),"TS",""))*10/2,0),IF('Eval-Après impact'!$A$777=BM10,LEN(SUBSTITUTE((SUBSTITUTE(CL25,"TF","")),"TS",""))*10/2,0),IF('Eval-Après impact'!$A$778=BM10,LEN(SUBSTITUTE((SUBSTITUTE(CL26,"TF","")),"TS",""))*10/2,0),IF('Eval-Après impact'!$A$779=BM10,LEN(SUBSTITUTE((SUBSTITUTE(CL27,"TF","")),"TS",""))*10/2,0),IF('Eval-Après impact'!$A$780=BM10,LEN(SUBSTITUTE((SUBSTITUTE(CL28,"TF","")),"TS",""))*10/2,0))/COUNTIF('Eval-Après impact'!$A$761:$A$780,BM10),"")</f>
        <v/>
      </c>
      <c r="BY10" s="211" t="str">
        <f>IF(COUNTIF('Eval-Après impact'!$A$761:$A$780,BM10)&gt;0,SUM(IF('Eval-Après impact'!$A$761=BM10,LEN(SUBSTITUTE((SUBSTITUTE(CL9,"TF","")),"TM",""))*10/2,0),IF('Eval-Après impact'!$A$762=BM10,LEN(SUBSTITUTE((SUBSTITUTE(CL10,"TF","")),"TM",""))*10/2,0),IF('Eval-Après impact'!$A$763=BM10,LEN(SUBSTITUTE((SUBSTITUTE(CL11,"TF","")),"TM",""))*10/2,0),IF('Eval-Après impact'!$A$764=BM10,LEN(SUBSTITUTE((SUBSTITUTE(CL12,"TF","")),"TM",""))*10/2,0),IF('Eval-Après impact'!$A$765=BM10,LEN(SUBSTITUTE((SUBSTITUTE(CL13,"TF","")),"TM",""))*10/2,0),IF('Eval-Après impact'!$A$766=BM10,LEN(SUBSTITUTE((SUBSTITUTE(CL14,"TF","")),"TM",""))*10/2,0),IF('Eval-Après impact'!$A$767=BM10,LEN(SUBSTITUTE((SUBSTITUTE(CL15,"TF","")),"TM",""))*10/2,0),IF('Eval-Après impact'!$A$768=BM10,LEN(SUBSTITUTE((SUBSTITUTE(CL16,"TF","")),"TM",""))*10/2,0),IF('Eval-Après impact'!$A$769=BM10,LEN(SUBSTITUTE((SUBSTITUTE(CL17,"TF","")),"TM",""))*10/2,0),IF('Eval-Après impact'!$A$770=BM10,LEN(SUBSTITUTE((SUBSTITUTE(CL18,"TF","")),"TM",""))*10/2,0),IF('Eval-Après impact'!$A$771=BM10,LEN(SUBSTITUTE((SUBSTITUTE(CL19,"TF","")),"TM",""))*10/2,0),IF('Eval-Après impact'!$A$772=BM10,LEN(SUBSTITUTE((SUBSTITUTE(CL20,"TF","")),"TM",""))*10/2,0),IF('Eval-Après impact'!$A$773=BM10,LEN(SUBSTITUTE((SUBSTITUTE(CL21,"TF","")),"TM",""))*10/2,0),IF('Eval-Après impact'!$A$774=BM10,LEN(SUBSTITUTE((SUBSTITUTE(CL22,"TF","")),"TM",""))*10/2,0),IF('Eval-Après impact'!$A$775=BM10,LEN(SUBSTITUTE((SUBSTITUTE(CL23,"TF","")),"TM",""))*10/2,0),IF('Eval-Après impact'!$A$776=BM10,LEN(SUBSTITUTE((SUBSTITUTE(CL24,"TF","")),"TM",""))*10/2,0),IF('Eval-Après impact'!$A$777=BM10,LEN(SUBSTITUTE((SUBSTITUTE(CL25,"TF","")),"TM",""))*10/2,0),IF('Eval-Après impact'!$A$778=BM10,LEN(SUBSTITUTE((SUBSTITUTE(CL26,"TF","")),"TM",""))*10/2,0),IF('Eval-Après impact'!$A$779=BM10,LEN(SUBSTITUTE((SUBSTITUTE(CL27,"TF","")),"TM",""))*10/2,0),IF('Eval-Après impact'!$A$780=BM10,LEN(SUBSTITUTE((SUBSTITUTE(CL28,"TF","")),"TM",""))*10/2,0))/COUNTIF('Eval-Après impact'!$A$761:$A$780,BM10),"")</f>
        <v/>
      </c>
      <c r="BZ10" s="211" t="str">
        <f>IF(COUNTIF('Eval-Après impact'!$A$761:$A$780,BM10)&gt;0,SUM(IF('Eval-Après impact'!$A$761=BM10,LEN(SUBSTITUTE((SUBSTITUTE(CM9,"TM","")),"TS",""))*10/2,0),IF('Eval-Après impact'!$A$762=BM10,LEN(SUBSTITUTE((SUBSTITUTE(CM10,"TM","")),"TS",""))*10/2,0),IF('Eval-Après impact'!$A$763=BM10,LEN(SUBSTITUTE((SUBSTITUTE(CM11,"TM","")),"TS",""))*10/2,0),IF('Eval-Après impact'!$A$764=BM10,LEN(SUBSTITUTE((SUBSTITUTE(CM12,"TM","")),"TS",""))*10/2,0),IF('Eval-Après impact'!$A$765=BM10,LEN(SUBSTITUTE((SUBSTITUTE(CM13,"TM","")),"TS",""))*10/2,0),IF('Eval-Après impact'!$A$766=BM10,LEN(SUBSTITUTE((SUBSTITUTE(CM14,"TM","")),"TS",""))*10/2,0),IF('Eval-Après impact'!$A$767=BM10,LEN(SUBSTITUTE((SUBSTITUTE(CM15,"TM","")),"TS",""))*10/2,0),IF('Eval-Après impact'!$A$768=BM10,LEN(SUBSTITUTE((SUBSTITUTE(CM16,"TM","")),"TS",""))*10/2,0),IF('Eval-Après impact'!$A$769=BM10,LEN(SUBSTITUTE((SUBSTITUTE(CM17,"TM","")),"TS",""))*10/2,0),IF('Eval-Après impact'!$A$770=BM10,LEN(SUBSTITUTE((SUBSTITUTE(CM18,"TM","")),"TS",""))*10/2,0),IF('Eval-Après impact'!$A$771=BM10,LEN(SUBSTITUTE((SUBSTITUTE(CM19,"TM","")),"TS",""))*10/2,0),IF('Eval-Après impact'!$A$772=BM10,LEN(SUBSTITUTE((SUBSTITUTE(CM20,"TM","")),"TS",""))*10/2,0),IF('Eval-Après impact'!$A$773=BM10,LEN(SUBSTITUTE((SUBSTITUTE(CM21,"TM","")),"TS",""))*10/2,0),IF('Eval-Après impact'!$A$774=BM10,LEN(SUBSTITUTE((SUBSTITUTE(CM22,"TM","")),"TS",""))*10/2,0),IF('Eval-Après impact'!$A$775=BM10,LEN(SUBSTITUTE((SUBSTITUTE(CM23,"TM","")),"TS",""))*10/2,0),IF('Eval-Après impact'!$A$776=BM10,LEN(SUBSTITUTE((SUBSTITUTE(CM24,"TM","")),"TS",""))*10/2,0),IF('Eval-Après impact'!$A$777=BM10,LEN(SUBSTITUTE((SUBSTITUTE(CM25,"TM","")),"TS",""))*10/2,0),IF('Eval-Après impact'!$A$778=BM10,LEN(SUBSTITUTE((SUBSTITUTE(CM26,"TM","")),"TS",""))*10/2,0),IF('Eval-Après impact'!$A$779=BM10,LEN(SUBSTITUTE((SUBSTITUTE(CM27,"TM","")),"TS",""))*10/2,0),IF('Eval-Après impact'!$A$780=BM10,LEN(SUBSTITUTE((SUBSTITUTE(CM28,"TM","")),"TS",""))*10/2,0))/COUNTIF('Eval-Après impact'!$A$761:$A$780,BM10),"")</f>
        <v/>
      </c>
      <c r="CA10" s="211" t="str">
        <f>IF(COUNTIF('Eval-Après impact'!$A$761:$A$780,BM10)&gt;0,SUM(IF('Eval-Après impact'!$A$761=BM10,LEN(SUBSTITUTE((SUBSTITUTE(CM9,"TF","")),"TS",""))*10/2,0),IF('Eval-Après impact'!$A$762=BM10,LEN(SUBSTITUTE((SUBSTITUTE(CM10,"TF","")),"TS",""))*10/2,0),IF('Eval-Après impact'!$A$763=BM10,LEN(SUBSTITUTE((SUBSTITUTE(CM11,"TF","")),"TS",""))*10/2,0),IF('Eval-Après impact'!$A$764=BM10,LEN(SUBSTITUTE((SUBSTITUTE(CM12,"TF","")),"TS",""))*10/2,0),IF('Eval-Après impact'!$A$765=BM10,LEN(SUBSTITUTE((SUBSTITUTE(CM13,"TF","")),"TS",""))*10/2,0),IF('Eval-Après impact'!$A$766=BM10,LEN(SUBSTITUTE((SUBSTITUTE(CM14,"TF","")),"TS",""))*10/2,0),IF('Eval-Après impact'!$A$767=BM10,LEN(SUBSTITUTE((SUBSTITUTE(CM15,"TF","")),"TS",""))*10/2,0),IF('Eval-Après impact'!$A$768=BM10,LEN(SUBSTITUTE((SUBSTITUTE(CM16,"TF","")),"TS",""))*10/2,0),IF('Eval-Après impact'!$A$769=BM10,LEN(SUBSTITUTE((SUBSTITUTE(CM17,"TF","")),"TS",""))*10/2,0),IF('Eval-Après impact'!$A$770=BM10,LEN(SUBSTITUTE((SUBSTITUTE(CM18,"TF","")),"TS",""))*10/2,0),IF('Eval-Après impact'!$A$771=BM10,LEN(SUBSTITUTE((SUBSTITUTE(CM19,"TF","")),"TS",""))*10/2,0),IF('Eval-Après impact'!$A$772=BM10,LEN(SUBSTITUTE((SUBSTITUTE(CM20,"TF","")),"TS",""))*10/2,0),IF('Eval-Après impact'!$A$773=BM10,LEN(SUBSTITUTE((SUBSTITUTE(CM21,"TF","")),"TS",""))*10/2,0),IF('Eval-Après impact'!$A$774=BM10,LEN(SUBSTITUTE((SUBSTITUTE(CM22,"TF","")),"TS",""))*10/2,0),IF('Eval-Après impact'!$A$775=BM10,LEN(SUBSTITUTE((SUBSTITUTE(CM23,"TF","")),"TS",""))*10/2,0),IF('Eval-Après impact'!$A$776=BM10,LEN(SUBSTITUTE((SUBSTITUTE(CM24,"TF","")),"TS",""))*10/2,0),IF('Eval-Après impact'!$A$777=BM10,LEN(SUBSTITUTE((SUBSTITUTE(CM25,"TF","")),"TS",""))*10/2,0),IF('Eval-Après impact'!$A$778=BM10,LEN(SUBSTITUTE((SUBSTITUTE(CM26,"TF","")),"TS",""))*10/2,0),IF('Eval-Après impact'!$A$779=BM10,LEN(SUBSTITUTE((SUBSTITUTE(CM27,"TF","")),"TS",""))*10/2,0),IF('Eval-Après impact'!$A$780=BM10,LEN(SUBSTITUTE((SUBSTITUTE(CM28,"TF","")),"TS",""))*10/2,0))/COUNTIF('Eval-Après impact'!$A$761:$A$780,BM10),"")</f>
        <v/>
      </c>
      <c r="CB10" s="211" t="str">
        <f>IF(COUNTIF('Eval-Après impact'!$A$761:$A$780,BM10)&gt;0,SUM(IF('Eval-Après impact'!$A$761=BM10,LEN(SUBSTITUTE((SUBSTITUTE(CM9,"TF","")),"TM",""))*10/2,0),IF('Eval-Après impact'!$A$762=BM10,LEN(SUBSTITUTE((SUBSTITUTE(CM10,"TF","")),"TM",""))*10/2,0),IF('Eval-Après impact'!$A$763=BM10,LEN(SUBSTITUTE((SUBSTITUTE(CM11,"TF","")),"TM",""))*10/2,0),IF('Eval-Après impact'!$A$764=BM10,LEN(SUBSTITUTE((SUBSTITUTE(CM12,"TF","")),"TM",""))*10/2,0),IF('Eval-Après impact'!$A$765=BM10,LEN(SUBSTITUTE((SUBSTITUTE(CM13,"TF","")),"TM",""))*10/2,0),IF('Eval-Après impact'!$A$766=BM10,LEN(SUBSTITUTE((SUBSTITUTE(CM14,"TF","")),"TM",""))*10/2,0),IF('Eval-Après impact'!$A$767=BM10,LEN(SUBSTITUTE((SUBSTITUTE(CM15,"TF","")),"TM",""))*10/2,0),IF('Eval-Après impact'!$A$768=BM10,LEN(SUBSTITUTE((SUBSTITUTE(CM16,"TF","")),"TM",""))*10/2,0),IF('Eval-Après impact'!$A$769=BM10,LEN(SUBSTITUTE((SUBSTITUTE(CM17,"TF","")),"TM",""))*10/2,0),IF('Eval-Après impact'!$A$770=BM10,LEN(SUBSTITUTE((SUBSTITUTE(CM18,"TF","")),"TM",""))*10/2,0),IF('Eval-Après impact'!$A$771=BM10,LEN(SUBSTITUTE((SUBSTITUTE(CM19,"TF","")),"TM",""))*10/2,0),IF('Eval-Après impact'!$A$772=BM10,LEN(SUBSTITUTE((SUBSTITUTE(CM20,"TF","")),"TM",""))*10/2,0),IF('Eval-Après impact'!$A$773=BM10,LEN(SUBSTITUTE((SUBSTITUTE(CM21,"TF","")),"TM",""))*10/2,0),IF('Eval-Après impact'!$A$774=BM10,LEN(SUBSTITUTE((SUBSTITUTE(CM22,"TF","")),"TM",""))*10/2,0),IF('Eval-Après impact'!$A$775=BM10,LEN(SUBSTITUTE((SUBSTITUTE(CM23,"TF","")),"TM",""))*10/2,0),IF('Eval-Après impact'!$A$776=BM10,LEN(SUBSTITUTE((SUBSTITUTE(CM24,"TF","")),"TM",""))*10/2,0),IF('Eval-Après impact'!$A$777=BM10,LEN(SUBSTITUTE((SUBSTITUTE(CM25,"TF","")),"TM",""))*10/2,0),IF('Eval-Après impact'!$A$778=BM10,LEN(SUBSTITUTE((SUBSTITUTE(CM26,"TF","")),"TM",""))*10/2,0),IF('Eval-Après impact'!$A$779=BM10,LEN(SUBSTITUTE((SUBSTITUTE(CM27,"TF","")),"TM",""))*10/2,0),IF('Eval-Après impact'!$A$780=BM10,LEN(SUBSTITUTE((SUBSTITUTE(CM28,"TF","")),"TM",""))*10/2,0))/COUNTIF('Eval-Après impact'!$A$761:$A$780,BM10),"")</f>
        <v/>
      </c>
      <c r="CC10" s="211" t="str">
        <f>IF(COUNTIF('Eval-Après impact'!$A$761:$A$780,BM10)&gt;0,IF(OR(AND('Eval-Après impact'!$A$761=BM10,CJ9&lt;30),AND('Eval-Après impact'!$A$762=BM10,CJ10&lt;30),AND('Eval-Après impact'!$A$763=BM10,CJ11&lt;30),AND('Eval-Après impact'!$A$764=BM10,CJ12&lt;30),AND('Eval-Après impact'!$A$765=BM10,CJ13&lt;30),AND('Eval-Après impact'!$A$766=BM10,CJ14&lt;30),AND('Eval-Après impact'!$A$767=BM10,CJ15&lt;30),AND('Eval-Après impact'!$A$768=BM10,CJ16&lt;30),AND('Eval-Après impact'!$A$769=BM10,CJ17&lt;30),AND('Eval-Après impact'!$A$770=BM10,CJ18&lt;30),AND('Eval-Après impact'!$A$771=BM10,CJ19&lt;30),AND('Eval-Après impact'!$A$772=BM10,CJ20&lt;30),AND('Eval-Après impact'!$A$773=BM10,CJ21&lt;30),AND('Eval-Après impact'!$A$774=BM10,CJ22&lt;30),AND('Eval-Après impact'!$A$775=BM10,CJ23&lt;30),AND('Eval-Après impact'!$A$776=BM10,CJ24&lt;30),AND('Eval-Après impact'!$A$777=BM10,CJ25&lt;30),AND('Eval-Après impact'!$A$778=BM10,CJ26&lt;30),AND('Eval-Après impact'!$A$779=BM10,CJ27&lt;30),AND('Eval-Après impact'!$A$780=BM10,CJ28&lt;30)),"",SUM(0.1*(SUMPRODUCT(('Eval-Après impact'!$A$761:$A$780=BM10)*('Eval-Après impact'!$N$761:$P$780="A"))+ SUMPRODUCT(('Eval-Après impact'!$A$761:$A$780=BM10)*('Eval-Après impact'!$N$761:$P$780="AL"))),0.7*(SUMPRODUCT(('Eval-Après impact'!$A$761:$A$780=BM10)*('Eval-Après impact'!$N$761:$P$780="TF"))+SUMPRODUCT(('Eval-Après impact'!$A$761:$A$780=BM10)*('Eval-Après impact'!$N$761:$P$780="TM"))+SUMPRODUCT(('Eval-Après impact'!$A$761:$A$780=BM10)*('Eval-Après impact'!$N$761:$P$780="TS"))),0.4*(SUMPRODUCT(('Eval-Après impact'!$A$761:$A$780=BM10)*('Eval-Après impact'!$N$761:$P$780="LA"))+SUMPRODUCT(('Eval-Après impact'!$A$761:$A$780=BM10)*('Eval-Après impact'!$N$761:$P$780="L"))+SUMPRODUCT(('Eval-Après impact'!$A$761:$A$780=BM10)*('Eval-Après impact'!$N$761:$P$780="LS"))),1*(SUMPRODUCT(('Eval-Après impact'!$A$761:$A$780=BM10)*('Eval-Après impact'!$N$761:$P$780="SL"))+ SUMPRODUCT(('Eval-Après impact'!$A$761:$A$780=BM10)*('Eval-Après impact'!$N$761:$P$780="S"))))/(3*COUNTIF('Eval-Après impact'!$A$761:$A$780,BM10))),"")</f>
        <v/>
      </c>
      <c r="CD10" s="211" t="str">
        <f>IF(COUNTIF('Eval-Après impact'!$A$761:$A$780,BM10)&gt;0,IF(OR(AND('Eval-Après impact'!$A$761=BM10,CJ9&lt;120),AND('Eval-Après impact'!$A$762=BM10,CJ10&lt;120),AND('Eval-Après impact'!$A$763=BM10,CJ11&lt;120),AND('Eval-Après impact'!$A$764=BM10,CJ12&lt;120),AND('Eval-Après impact'!$A$765=BM10,CJ13&lt;120),AND('Eval-Après impact'!$A$766=BM10,CJ14&lt;120),AND('Eval-Après impact'!$A$767=BM10,CJ15&lt;120),AND('Eval-Après impact'!$A$768=BM10,CJ16&lt;120),AND('Eval-Après impact'!$A$769=BM10,CJ17&lt;120),AND('Eval-Après impact'!$A$770=BM10,CJ18&lt;120),AND('Eval-Après impact'!$A$771=BM10,CJ19&lt;120),AND('Eval-Après impact'!$A$772=BM10,CJ20&lt;120),AND('Eval-Après impact'!$A$773=BM10,CJ21&lt;120),AND('Eval-Après impact'!$A$774=BM10,CJ22&lt;120),AND('Eval-Après impact'!$A$775=BM10,CJ23&lt;120),AND('Eval-Après impact'!$A$776=BM10,CJ24&lt;120),AND('Eval-Après impact'!$A$777=BM10,CJ25&lt;120),AND('Eval-Après impact'!$A$778=BM10,CJ26&lt;120),AND('Eval-Après impact'!$A$779=BM10,CJ27&lt;120),AND('Eval-Après impact'!$A$780=BM10,CJ28&lt;120)),"",SUM(0.1*(SUMPRODUCT(('Eval-Après impact'!$A$761:$A$780=BM10)*('Eval-Après impact'!$Q$761:$Y$780="A"))+ SUMPRODUCT(('Eval-Après impact'!$A$761:$A$780=BM10)*('Eval-Après impact'!$Q$761:$Y$780="AL"))),0.7*(SUMPRODUCT(('Eval-Après impact'!$A$761:$A$780=BM10)*('Eval-Après impact'!$Q$761:$Y$780="TF"))+SUMPRODUCT(('Eval-Après impact'!$A$761:$A$780=BM10)*('Eval-Après impact'!$Q$761:$Y$780="TM"))+SUMPRODUCT(('Eval-Après impact'!$A$761:$A$780=BM10)*('Eval-Après impact'!$Q$761:$Y$780="TS"))),0.4*(SUMPRODUCT(('Eval-Après impact'!$A$761:$A$780=BM10)*('Eval-Après impact'!$Q$761:$Y$780="LA"))+SUMPRODUCT(('Eval-Après impact'!$A$761:$A$780=BM10)*('Eval-Après impact'!$Q$761:$Y$780="L"))+SUMPRODUCT(('Eval-Après impact'!$A$761:$A$780=BM10)*('Eval-Après impact'!$Q$761:$Y$780="LS"))),1*(SUMPRODUCT(('Eval-Après impact'!$A$761:$A$780=BM10)*('Eval-Après impact'!$Q$761:$Y$780="SL"))+ SUMPRODUCT(('Eval-Après impact'!$A$761:$A$780=BM10)*('Eval-Après impact'!$Q$761:$Y$780="S"))))/(9*COUNTIF('Eval-Après impact'!$A$761:$A$780,BM10))),"")</f>
        <v/>
      </c>
      <c r="CE10" s="211" t="str">
        <f>IF(COUNTIF('Eval-Après impact'!$A$761:$A$780,BM10)&gt;0,IF(OR(AND('Eval-Après impact'!$A$761=BM10,OR(COUNTIF('Eval-Après impact'!$N$761:$P$761,"*T*")&gt;0,CJ9&lt;30)),AND('Eval-Après impact'!$A$762=BM10,OR(COUNTIF('Eval-Après impact'!$N$762:$P$762,"*T*")&gt;0,CJ10&lt;30)),AND('Eval-Après impact'!$A$763=BM10,OR(COUNTIF('Eval-Après impact'!$N$763:$P$763,"*T*")&gt;0,CJ11&lt;30)),AND('Eval-Après impact'!$A$764=BM10,OR(COUNTIF('Eval-Après impact'!$N$764:$P$764,"*T*")&gt;0,CJ12&lt;30)),AND('Eval-Après impact'!$A$765=BM10,OR(COUNTIF('Eval-Après impact'!$N$765:$P$765,"*T*")&gt;0,CJ13&lt;30)),AND('Eval-Après impact'!$A$766=BM10,OR(COUNTIF('Eval-Après impact'!$N$766:$P$766,"*T*")&gt;0,CJ14&lt;30)),AND('Eval-Après impact'!$A$767=BM10,OR(COUNTIF('Eval-Après impact'!$N$767:$P$767,"*T*")&gt;0,CJ15&lt;30)),AND('Eval-Après impact'!$A$768=BM10,OR(COUNTIF('Eval-Après impact'!$N$768:$P$768,"*T*")&gt;0,CJ16&lt;30)),AND('Eval-Après impact'!$A$769=BM10,OR(COUNTIF('Eval-Après impact'!$N$769:$P$769,"*T*")&gt;0,CJ17&lt;30)),AND('Eval-Après impact'!$A$770=BM10,OR(COUNTIF('Eval-Après impact'!$N$770:$P$770,"*T*")&gt;0,CJ18&lt;30)),AND('Eval-Après impact'!$A$771=BM10,OR(COUNTIF('Eval-Après impact'!$N$771:$P$771,"*T*")&gt;0,CJ19&lt;30)),AND('Eval-Après impact'!$A$772=BM10,OR(COUNTIF('Eval-Après impact'!$N$772:$P$772,"*T*")&gt;0,CJ20&lt;30)),AND('Eval-Après impact'!$A$773=BM10,OR(COUNTIF('Eval-Après impact'!$N$773:$P$773,"*T*")&gt;0,CJ21&lt;30)),AND('Eval-Après impact'!$A$774=BM10,OR(COUNTIF('Eval-Après impact'!$N$774:$P$774,"*T*")&gt;0,CJ22&lt;30)),AND('Eval-Après impact'!$A$775=BM10,OR(COUNTIF('Eval-Après impact'!$N$775:$P$775,"*T*")&gt;0,CJ23&lt;30)),AND('Eval-Après impact'!$A$776=BM10,OR(COUNTIF('Eval-Après impact'!$N$776:$P$776,"*T*")&gt;0,CJ24&lt;30)),AND('Eval-Après impact'!$A$777=BM10,OR(COUNTIF('Eval-Après impact'!$N$777:$P$777,"*T*")&gt;0,CJ25&lt;30)),AND('Eval-Après impact'!$A$778=BM10,OR(COUNTIF('Eval-Après impact'!$N$778:$P$778,"*T*")&gt;0,CJ26&lt;30)),AND('Eval-Après impact'!$A$779=BM10,OR(COUNTIF('Eval-Après impact'!$N$779:$P$779,"*T*")&gt;0,CJ27&lt;30)),AND('Eval-Après impact'!$A$780=BM10,OR(COUNTIF('Eval-Après impact'!$N$780:$P$780,"*T*")&gt;0,CJ28&lt;30))),"",SUM(0.1*(SUMPRODUCT(('Eval-Après impact'!$A$761:$A$780=BM10)*('Eval-Après impact'!$N$761:$P$780="L"))),0.4*(SUMPRODUCT(('Eval-Après impact'!$A$761:$A$780=BM10)*('Eval-Après impact'!$N$761:$P$780="LA"))+SUMPRODUCT(('Eval-Après impact'!$A$761:$A$780=BM10)*('Eval-Après impact'!$N$761:$P$780="LS"))),0.7*(SUMPRODUCT(('Eval-Après impact'!$A$761:$A$780=BM10)*('Eval-Après impact'!$N$761:$P$780="AL"))+SUMPRODUCT(('Eval-Après impact'!$A$761:$A$780=BM10)*('Eval-Après impact'!$N$761:$P$780="SL"))),1*(SUMPRODUCT(('Eval-Après impact'!$A$761:$A$780=BM10)*('Eval-Après impact'!$N$761:$P$780="S"))+ SUMPRODUCT(('Eval-Après impact'!$A$761:$A$780=BM10)*('Eval-Après impact'!$N$761:$P$780="A"))))/(3*COUNTIF('Eval-Après impact'!$A$761:$A$780,BM10))),"")</f>
        <v/>
      </c>
      <c r="CF10" s="211" t="str">
        <f>IF(COUNTIF('Eval-Après impact'!$A$761:$A$780,BM10)&gt;0,IF(OR(AND('Eval-Après impact'!$A$761=BM10,OR(COUNTIF('Eval-Après impact'!$N$761:$P$761,"*T*")&gt;0,CJ9&lt;30)),AND('Eval-Après impact'!$A$762=BM10,OR(COUNTIF('Eval-Après impact'!$N$762:$P$762,"*T*")&gt;0,CJ10&lt;30)),AND('Eval-Après impact'!$A$763=BM10,OR(COUNTIF('Eval-Après impact'!$N$763:$P$763,"*T*")&gt;0,CJ11&lt;30)),AND('Eval-Après impact'!$A$764=BM10,OR(COUNTIF('Eval-Après impact'!$N$764:$P$764,"*T*")&gt;0,CJ12&lt;30)),AND('Eval-Après impact'!$A$765=BM10,OR(COUNTIF('Eval-Après impact'!$N$765:$P$765,"*T*")&gt;0,CJ13&lt;30)),AND('Eval-Après impact'!$A$766=BM10,OR(COUNTIF('Eval-Après impact'!$N$766:$P$766,"*T*")&gt;0,CJ14&lt;30)),AND('Eval-Après impact'!$A$767=BM10,OR(COUNTIF('Eval-Après impact'!$N$767:$P$767,"*T*")&gt;0,CJ15&lt;30)),AND('Eval-Après impact'!$A$768=BM10,OR(COUNTIF('Eval-Après impact'!$N$768:$P$768,"*T*")&gt;0,CJ16&lt;30)),AND('Eval-Après impact'!$A$769=BM10,OR(COUNTIF('Eval-Après impact'!$N$769:$P$769,"*T*")&gt;0,CJ17&lt;30)),AND('Eval-Après impact'!$A$770=BM10,OR(COUNTIF('Eval-Après impact'!$N$770:$P$770,"*T*")&gt;0,CJ18&lt;30)),AND('Eval-Après impact'!$A$771=BM10,OR(COUNTIF('Eval-Après impact'!$N$771:$P$771,"*T*")&gt;0,CJ19&lt;30)),AND('Eval-Après impact'!$A$772=BM10,OR(COUNTIF('Eval-Après impact'!$N$772:$P$772,"*T*")&gt;0,CJ20&lt;30)),AND('Eval-Après impact'!$A$773=BM10,OR(COUNTIF('Eval-Après impact'!$N$773:$P$773,"*T*")&gt;0,CJ21&lt;30)),AND('Eval-Après impact'!$A$774=BM10,OR(COUNTIF('Eval-Après impact'!$N$774:$P$774,"*T*")&gt;0,CJ22&lt;30)),AND('Eval-Après impact'!$A$775=BM10,OR(COUNTIF('Eval-Après impact'!$N$775:$P$775,"*T*")&gt;0,CJ23&lt;30)),AND('Eval-Après impact'!$A$776=BM10,OR(COUNTIF('Eval-Après impact'!$N$776:$P$776,"*T*")&gt;0,CJ24&lt;30)),AND('Eval-Après impact'!$A$777=BM10,OR(COUNTIF('Eval-Après impact'!$N$777:$P$777,"*T*")&gt;0,CJ25&lt;30)),AND('Eval-Après impact'!$A$778=BM10,OR(COUNTIF('Eval-Après impact'!$N$778:$P$778,"*T*")&gt;0,CJ26&lt;30)),AND('Eval-Après impact'!$A$779=BM10,OR(COUNTIF('Eval-Après impact'!$N$779:$P$779,"*T*")&gt;0,CJ27&lt;30)),AND('Eval-Après impact'!$A$780=BM10,OR(COUNTIF('Eval-Après impact'!$N$780:$P$780,"*T*")&gt;0,CJ28&lt;30))),"",SUM(1*(SUMPRODUCT(('Eval-Après impact'!$A$761:$A$780=BM10)*('Eval-Après impact'!$N$761:$P$780="A"))),0.85*(SUMPRODUCT(('Eval-Après impact'!$A$761:$A$780=BM10)*('Eval-Après impact'!$N$761:$P$780="AL"))),0.7*(SUMPRODUCT(('Eval-Après impact'!$A$761:$A$780=BM10)*('Eval-Après impact'!$N$761:$P$780="LA"))),0.55*(SUMPRODUCT(('Eval-Après impact'!$A$761:$A$780=BM10)*('Eval-Après impact'!$N$761:$P$780="L"))),0.4*(SUMPRODUCT(('Eval-Après impact'!$A$761:$A$780=BM10)*('Eval-Après impact'!$N$761:$P$780="LS"))),0.25*(SUMPRODUCT(('Eval-Après impact'!$A$761:$A$780=BM10)*('Eval-Après impact'!$N$761:$P$780="SL"))),0.1*(SUMPRODUCT(('Eval-Après impact'!$A$761:$A$780=BM10)*('Eval-Après impact'!$N$761:$P$780="S"))))/(3*COUNTIF('Eval-Après impact'!$A$761:$A$780,BM10))),"")</f>
        <v/>
      </c>
      <c r="CG10" s="214" t="str">
        <f>IF(COUNTIF('Eval-Après impact'!$A$761:$A$780,BM10)&gt;0,IF(OR(AND('Eval-Après impact'!$A$761=BM10,OR(COUNTIF('Eval-Après impact'!$Q$761:$Y$761,"*T*")&gt;0,CJ9&lt;120)),AND('Eval-Après impact'!$A$762=BM10,OR(COUNTIF('Eval-Après impact'!$Q$762:$Y$762,"*T*")&gt;0,CJ10&lt;120)),AND('Eval-Après impact'!$A$763=BM10,OR(COUNTIF('Eval-Après impact'!$Q$763:$Y$763,"*T*")&gt;0,CJ11&lt;120)),AND('Eval-Après impact'!$A$764=BM10,OR(COUNTIF('Eval-Après impact'!$Q$764:$Y$764,"*T*")&gt;0,CJ12&lt;120)),AND('Eval-Après impact'!$A$765=BM10,OR(COUNTIF('Eval-Après impact'!$Q$765:$Y$765,"*T*")&gt;0,CJ13&lt;120)),AND('Eval-Après impact'!$A$766=BM10,OR(COUNTIF('Eval-Après impact'!$Q$766:$Y$766,"*T*")&gt;0,CJ14&lt;120)),AND('Eval-Après impact'!$A$767=BM10,OR(COUNTIF('Eval-Après impact'!$Q$767:$Y$767,"*T*")&gt;0,CJ15&lt;120)),AND('Eval-Après impact'!$A$768=BM10,OR(COUNTIF('Eval-Après impact'!$Q$768:$Y$768,"*T*")&gt;0,CJ16&lt;120)),AND('Eval-Après impact'!$A$769=BM10,OR(COUNTIF('Eval-Après impact'!$Q$769:$Y$769,"*T*")&gt;0,CJ17&lt;120)),AND('Eval-Après impact'!$A$770=BM10,OR(COUNTIF('Eval-Après impact'!$Q$770:$Y$770,"*T*")&gt;0,CJ18&lt;120)),AND('Eval-Après impact'!$A$771=BM10,OR(COUNTIF('Eval-Après impact'!$Q$771:$Y$771,"*T*")&gt;0,CJ19&lt;120)),AND('Eval-Après impact'!$A$772=BM10,OR(COUNTIF('Eval-Après impact'!$Q$772:$Y$772,"*T*")&gt;0,CJ20&lt;120)),AND('Eval-Après impact'!$A$773=BM10,OR(COUNTIF('Eval-Après impact'!$Q$773:$Y$773,"*T*")&gt;0,CJ21&lt;120)),AND('Eval-Après impact'!$A$774=BM10,OR(COUNTIF('Eval-Après impact'!$Q$774:$Y$774,"*T*")&gt;0,CJ22&lt;120)),AND('Eval-Après impact'!$A$775=BM10,OR(COUNTIF('Eval-Après impact'!$Q$775:$Y$775,"*T*")&gt;0,CJ23&lt;120)),AND('Eval-Après impact'!$A$776=BM10,OR(COUNTIF('Eval-Après impact'!$Q$776:$Y$776,"*T*")&gt;0,CJ24&lt;120)),AND('Eval-Après impact'!$A$777=BM10,OR(COUNTIF('Eval-Après impact'!$Q$777:$Y$777,"*T*")&gt;0,CJ25&lt;120)),AND('Eval-Après impact'!$A$778=BM10,OR(COUNTIF('Eval-Après impact'!$Q$778:$Y$778,"*T*")&gt;0,CJ26&lt;120)),AND('Eval-Après impact'!$A$779=BM10,OR(COUNTIF('Eval-Après impact'!$Q$779:$Y$779,"*T*")&gt;0,CJ27&lt;120)),AND('Eval-Après impact'!$A$780=BM10,OR(COUNTIF('Eval-Après impact'!$Q$780:$Y$780,"*T*")&gt;0,CJ28&lt;120))),"",SUM(1*(SUMPRODUCT(('Eval-Après impact'!$A$761:$A$780=BM10)*('Eval-Après impact'!$Q$761:$Y$780="A"))),0.85*(SUMPRODUCT(('Eval-Après impact'!$A$761:$A$780=BM10)*('Eval-Après impact'!$Q$761:$Y$780="AL"))),0.7*(SUMPRODUCT(('Eval-Après impact'!$A$761:$A$780=BM10)*('Eval-Après impact'!$Q$761:$Y$780="LA"))),0.55*(SUMPRODUCT(('Eval-Après impact'!$A$761:$A$780=BM10)*('Eval-Après impact'!$Q$761:$Y$780="L"))),0.4*(SUMPRODUCT(('Eval-Après impact'!$A$761:$A$780=BM10)*('Eval-Après impact'!$Q$761:$Y$780="LS"))),0.25*(SUMPRODUCT(('Eval-Après impact'!$A$761:$A$780=BM10)*('Eval-Après impact'!$Q$761:$Y$780="SL"))),0.1*(SUMPRODUCT(('Eval-Après impact'!$A$761:$A$780=BM10)*('Eval-Après impact'!$Q$761:$Y$780="S"))))/(9*COUNTIF('Eval-Après impact'!$A$761:$A$780,BM10))),"")</f>
        <v/>
      </c>
      <c r="CH10" s="215"/>
      <c r="CI10" s="216">
        <f>'Eval-Après impact'!$D$762</f>
        <v>2</v>
      </c>
      <c r="CJ10" s="217" t="str">
        <f>IF(CK10="C",0,IF(IF(COUNTIF('Eval-Après impact'!$N$762:$Y$762,"=C")&gt;0,(COUNTA('Eval-Après impact'!$N$762:$Y$762)-1)*10,COUNTA('Eval-Après impact'!$N$762:$Y$762)*10)=0,"",IF(COUNTIF('Eval-Après impact'!$N$762:$Y$762,"=C")&gt;0,(COUNTA('Eval-Après impact'!$N$762:$Y$762)-1)*10,COUNTA('Eval-Après impact'!$N$762:$Y$762)*10)))</f>
        <v/>
      </c>
      <c r="CK10" s="217" t="str">
        <f>CONCATENATE('Eval-Après impact'!$N$762,'Eval-Après impact'!$O$762,'Eval-Après impact'!$P$762,'Eval-Après impact'!$Q$762,'Eval-Après impact'!$R$762,'Eval-Après impact'!$S$762,'Eval-Après impact'!$T$762,'Eval-Après impact'!$U$762,'Eval-Après impact'!$V$762,'Eval-Après impact'!$W$762,'Eval-Après impact'!$X$762,'Eval-Après impact'!$Y$762)</f>
        <v/>
      </c>
      <c r="CL10" s="217" t="str">
        <f t="shared" si="8"/>
        <v/>
      </c>
      <c r="CM10" s="217" t="str">
        <f t="shared" si="9"/>
        <v/>
      </c>
      <c r="CN10" s="217" t="str">
        <f>IF(COUNTIF('Eval-Après impact'!$N$762:$Y$762,"=C")&gt;0,"X","")</f>
        <v/>
      </c>
      <c r="CO10" s="217" t="str">
        <f t="shared" si="10"/>
        <v/>
      </c>
      <c r="CP10" s="218" t="str">
        <f t="shared" si="11"/>
        <v/>
      </c>
      <c r="CQ10" s="197"/>
      <c r="CS10" s="210">
        <v>2</v>
      </c>
      <c r="CT10" s="211" t="str">
        <f>IF(COUNTIF('Eval-Avant action écologique'!$A$761:$A$780,CS10)&gt;0,SUM(IF('Eval-Avant action écologique'!$A$761=CS10,'Eval-Avant action écologique'!$B$761,0),IF('Eval-Avant action écologique'!$A$762=CS10, 'Eval-Avant action écologique'!$B$762,0),IF('Eval-Avant action écologique'!$A$763=CS10, 'Eval-Avant action écologique'!$B$763,0),IF('Eval-Avant action écologique'!$A$764=CS10, 'Eval-Avant action écologique'!$B$764,0),IF('Eval-Avant action écologique'!$A$765=CS10, 'Eval-Avant action écologique'!$B$765,0),IF('Eval-Avant action écologique'!$A$766=CS10, 'Eval-Avant action écologique'!$B$766,0),IF('Eval-Avant action écologique'!$A$767=CS10, 'Eval-Avant action écologique'!$B$767,0),IF('Eval-Avant action écologique'!$A$768=CS10, 'Eval-Avant action écologique'!$B$768,0),IF('Eval-Avant action écologique'!$A$769=CS10, 'Eval-Avant action écologique'!$B$769,0),IF('Eval-Avant action écologique'!$A$770=CS10, 'Eval-Avant action écologique'!$B$770,0),IF('Eval-Avant action écologique'!$A$771=CS10, 'Eval-Avant action écologique'!$B$771,0),IF('Eval-Avant action écologique'!$A$772=CS10, 'Eval-Avant action écologique'!$B$772,0),IF('Eval-Avant action écologique'!$A$773=CS10, 'Eval-Avant action écologique'!$B$773,0),IF('Eval-Avant action écologique'!$A$774=CS10, 'Eval-Avant action écologique'!$B$774,0),IF('Eval-Avant action écologique'!$A$775=CS10, 'Eval-Avant action écologique'!$B$775,0),IF('Eval-Avant action écologique'!$A$776=CS10, 'Eval-Avant action écologique'!$B$776,0),IF('Eval-Avant action écologique'!$A$777=CS10, 'Eval-Avant action écologique'!$B$777,0),IF('Eval-Avant action écologique'!$A$778=CS10, 'Eval-Avant action écologique'!$B$778,0),IF('Eval-Avant action écologique'!$A$779=CS10, 'Eval-Avant action écologique'!$B$779,0),IF('Eval-Avant action écologique'!$A$780=CS10, 'Eval-Avant action écologique'!$B$780,0))/COUNTIF('Eval-Avant action écologique'!$A$761:$A$780,CS10),"")</f>
        <v/>
      </c>
      <c r="CU10" s="212" t="str">
        <f>IF(COUNTIF('Eval-Avant action écologique'!$A$761:$A$780,CS10)&gt;0,COUNTIF('Eval-Avant action écologique'!$A$761:$A$780,CS10),"")</f>
        <v/>
      </c>
      <c r="CV10" s="211" t="str">
        <f>IF(COUNTIF('Eval-Avant action écologique'!$A$761:$A$780,CS10)&gt;0,IF(OR(AND('Eval-Avant action écologique'!$A$761=CS10, 'Eval-Avant action écologique'!$G$761=""),AND('Eval-Avant action écologique'!$A$762=CS10, 'Eval-Avant action écologique'!$G$762=""),AND('Eval-Avant action écologique'!$A$763=CS10, 'Eval-Avant action écologique'!$G$763=""),AND('Eval-Avant action écologique'!$A$764=CS10, 'Eval-Avant action écologique'!$G$764=""),AND('Eval-Avant action écologique'!$A$765=CS10, 'Eval-Avant action écologique'!$G$765=""),AND('Eval-Avant action écologique'!$A$766=CS10, 'Eval-Avant action écologique'!$G$766=""),AND('Eval-Avant action écologique'!$A$767=CS10, 'Eval-Avant action écologique'!$G$767=""),AND('Eval-Avant action écologique'!$A$768=CS10, 'Eval-Avant action écologique'!$G$768=""),AND('Eval-Avant action écologique'!$A$769=CS10, 'Eval-Avant action écologique'!$G$769=""),AND('Eval-Avant action écologique'!$A$770=CS10, 'Eval-Avant action écologique'!$G$770=""),AND('Eval-Avant action écologique'!$A$771=CS10, 'Eval-Avant action écologique'!$G$771=""),AND('Eval-Avant action écologique'!$A$772=CS10, 'Eval-Avant action écologique'!$G$772=""),AND('Eval-Avant action écologique'!$A$773=CS10, 'Eval-Avant action écologique'!$G$773=""),AND('Eval-Avant action écologique'!$A$774=CS10, 'Eval-Avant action écologique'!$G$774=""),AND('Eval-Avant action écologique'!$A$775=CS10, 'Eval-Avant action écologique'!$G$775=""),AND('Eval-Avant action écologique'!$A$776=CS10, 'Eval-Avant action écologique'!$G$776=""),AND('Eval-Avant action écologique'!$A$777=CS10, 'Eval-Avant action écologique'!$G$777=""),AND('Eval-Avant action écologique'!$A$778=CS10, 'Eval-Avant action écologique'!$G$778=""),AND('Eval-Avant action écologique'!$A$779=CS10, 'Eval-Avant action écologique'!$G$779=""),AND('Eval-Avant action écologique'!$A$780=CS10, 'Eval-Avant action écologique'!$G$780="")),"",SUM(IF('Eval-Avant action écologique'!$A$761=CS10,'Eval-Avant action écologique'!$G$761,0),IF('Eval-Avant action écologique'!$A$762=CS10,'Eval-Avant action écologique'!$G$762,0),IF('Eval-Avant action écologique'!$A$763=CS10,'Eval-Avant action écologique'!$G$763,0),IF('Eval-Avant action écologique'!$A$764=CS10,'Eval-Avant action écologique'!$G$764,0),IF('Eval-Avant action écologique'!$A$765=CS10,'Eval-Avant action écologique'!$G$765,0),IF('Eval-Avant action écologique'!$A$766=CS10,'Eval-Avant action écologique'!$G$766,0),IF('Eval-Avant action écologique'!$A$767=CS10,'Eval-Avant action écologique'!$G$767,0),IF('Eval-Avant action écologique'!$A$768=CS10,'Eval-Avant action écologique'!$G$768,0),IF('Eval-Avant action écologique'!$A$769=CS10,'Eval-Avant action écologique'!$G$769,0),IF('Eval-Avant action écologique'!$A$770=CS10,'Eval-Avant action écologique'!$G$770,0),IF('Eval-Avant action écologique'!$A$771=CS10,'Eval-Avant action écologique'!$G$771,0),IF('Eval-Avant action écologique'!$A$772=CS10,'Eval-Avant action écologique'!$G$772,0),IF('Eval-Avant action écologique'!$A$773=CS10,'Eval-Avant action écologique'!$G$773,0),IF('Eval-Avant action écologique'!$A$774=CS10,'Eval-Avant action écologique'!$G$774,0),IF('Eval-Avant action écologique'!$A$775=CS10,'Eval-Avant action écologique'!$G$775,0), IF('Eval-Avant action écologique'!$A$776=CS10,'Eval-Avant action écologique'!$G$776,0), IF('Eval-Avant action écologique'!$A$777=CS10,'Eval-Avant action écologique'!$G$777,0), IF('Eval-Avant action écologique'!$A$778=CS10,'Eval-Avant action écologique'!$G$778,0), IF('Eval-Avant action écologique'!$A$779=CS10,'Eval-Avant action écologique'!$G$779,0), IF('Eval-Avant action écologique'!$A$780=CS10,'Eval-Avant action écologique'!$G$780,0))/ COUNTIF('Eval-Avant action écologique'!$A$761:$A$780,CS10)),"")</f>
        <v/>
      </c>
      <c r="CW10" s="212" t="str">
        <f>IF(COUNTIF('Eval-Avant action écologique'!$A$761:$A$780,CS10)&gt;0,IF(SUM(IF('Eval-Avant action écologique'!$A$761=CS10,COUNTA('Eval-Avant action écologique'!$H$761),0),IF('Eval-Avant action écologique'!$A$762=CS10,COUNTA('Eval-Avant action écologique'!$H$762),0),IF('Eval-Avant action écologique'!$A$763=CS10,COUNTA('Eval-Avant action écologique'!$H$763),0),IF('Eval-Avant action écologique'!$A$764=CS10,COUNTA('Eval-Avant action écologique'!$H$764),0),IF('Eval-Avant action écologique'!$A$765=CS10,COUNTA('Eval-Avant action écologique'!$H$765),0),IF('Eval-Avant action écologique'!$A$766=CS10,COUNTA('Eval-Avant action écologique'!$H$766),0),IF('Eval-Avant action écologique'!$A$767=CS10,COUNTA('Eval-Avant action écologique'!$H$767),0),IF('Eval-Avant action écologique'!$A$768=CS10,COUNTA('Eval-Avant action écologique'!$H$768),0),IF('Eval-Avant action écologique'!$A$769=CS10,COUNTA('Eval-Avant action écologique'!$H$769),0),IF('Eval-Avant action écologique'!$A$770=CS10,COUNTA('Eval-Avant action écologique'!$H$770),0),IF('Eval-Avant action écologique'!$A$771=CS10,COUNTA('Eval-Avant action écologique'!$H$771),0),IF('Eval-Avant action écologique'!$A$772=CS10,COUNTA('Eval-Avant action écologique'!$H$772),0),IF('Eval-Avant action écologique'!$A$773=CS10,COUNTA('Eval-Avant action écologique'!$H$773),0),IF('Eval-Avant action écologique'!$A$774=CS10,COUNTA('Eval-Avant action écologique'!$H$774),0),IF('Eval-Avant action écologique'!$A$775=CS10,COUNTA('Eval-Avant action écologique'!$H$775),0),IF('Eval-Avant action écologique'!$A$776=CS10,COUNTA('Eval-Avant action écologique'!$H$776),0),IF('Eval-Avant action écologique'!$A$777=CS10,COUNTA('Eval-Avant action écologique'!$H$777),0),IF('Eval-Avant action écologique'!$A$778=CS10,COUNTA('Eval-Avant action écologique'!$H$778),0),IF('Eval-Avant action écologique'!$A$779=CS10,COUNTA('Eval-Avant action écologique'!$H$779),0),IF('Eval-Avant action écologique'!$A$780=CS10,COUNTA('Eval-Avant action écologique'!$H$780),0))&gt;0,"X",0),"")</f>
        <v/>
      </c>
      <c r="CX10" s="213" t="str">
        <f>IF(COUNTIF('Eval-Avant action écologique'!$A$761:$A$780,CS10)&gt;0,IF(SUM(IF('Eval-Avant action écologique'!$A$761=CS10,COUNTA('Eval-Avant action écologique'!$I$761),0),IF('Eval-Avant action écologique'!$A$762=CS10,COUNTA('Eval-Avant action écologique'!$I$762),0),IF('Eval-Avant action écologique'!$A$763=CS10,COUNTA('Eval-Avant action écologique'!$I$763),0),IF('Eval-Avant action écologique'!$A$764=CS10,COUNTA('Eval-Avant action écologique'!$I$764),0),IF('Eval-Avant action écologique'!$A$765=CS10,COUNTA('Eval-Avant action écologique'!$I$765),0),IF('Eval-Avant action écologique'!$A$766=CS10,COUNTA('Eval-Avant action écologique'!$I$766),0),IF('Eval-Avant action écologique'!$A$767=CS10,COUNTA('Eval-Avant action écologique'!$I$767),0),IF('Eval-Avant action écologique'!$A$768=CS10,COUNTA('Eval-Avant action écologique'!$I$768),0),IF('Eval-Avant action écologique'!$A$769=CS10,COUNTA('Eval-Avant action écologique'!$I$769),0),IF('Eval-Avant action écologique'!$A$770=CS10,COUNTA('Eval-Avant action écologique'!$I$770),0),IF('Eval-Avant action écologique'!$A$771=CS10,COUNTA('Eval-Avant action écologique'!$I$771),0),IF('Eval-Avant action écologique'!$A$772=CS10,COUNTA('Eval-Avant action écologique'!$I$772),0),IF('Eval-Avant action écologique'!$A$773=CS10,COUNTA('Eval-Avant action écologique'!$I$773),0),IF('Eval-Avant action écologique'!$A$774=CS10,COUNTA('Eval-Avant action écologique'!$I$774),0),IF('Eval-Avant action écologique'!$A$775=CS10,COUNTA('Eval-Avant action écologique'!$I$775),0),IF('Eval-Avant action écologique'!$A$776=CS10,COUNTA('Eval-Avant action écologique'!$I$776),0),IF('Eval-Avant action écologique'!$A$777=CS10,COUNTA('Eval-Avant action écologique'!$I$777),0),IF('Eval-Avant action écologique'!$A$778=CS10,COUNTA('Eval-Avant action écologique'!$I$778),0),IF('Eval-Avant action écologique'!$A$779=CS10,COUNTA('Eval-Avant action écologique'!$I$779),0),IF('Eval-Avant action écologique'!$A$780=CS10,COUNTA('Eval-Avant action écologique'!$I$780),0))&gt;0,"X",0),"")</f>
        <v/>
      </c>
      <c r="CY10" s="213" t="str">
        <f>IF(COUNTIF('Eval-Avant action écologique'!$A$761:$A$780,CS10)&gt;0,IF(SUM(IF('Eval-Avant action écologique'!$A$761=CS10,COUNTA('Eval-Avant action écologique'!$J$761),0),IF('Eval-Avant action écologique'!$A$762=CS10,COUNTA('Eval-Avant action écologique'!$J$762),0),IF('Eval-Avant action écologique'!$A$763=CS10,COUNTA('Eval-Avant action écologique'!$J$763),0),IF('Eval-Avant action écologique'!$A$764=CS10,COUNTA('Eval-Avant action écologique'!$J$764),0),IF('Eval-Avant action écologique'!$A$765=CS10,COUNTA('Eval-Avant action écologique'!$J$765),0),IF('Eval-Avant action écologique'!$A$766=CS10,COUNTA('Eval-Avant action écologique'!$J$766),0),IF('Eval-Avant action écologique'!$A$767=CS10,COUNTA('Eval-Avant action écologique'!$J$767),0),IF('Eval-Avant action écologique'!$A$768=CS10,COUNTA('Eval-Avant action écologique'!$J$768),0),IF('Eval-Avant action écologique'!$A$769=CS10,COUNTA('Eval-Avant action écologique'!$J$769),0),IF('Eval-Avant action écologique'!$A$770=CS10,COUNTA('Eval-Avant action écologique'!$J$770),0),IF('Eval-Avant action écologique'!$A$771=CS10,COUNTA('Eval-Avant action écologique'!$J$771),0),IF('Eval-Avant action écologique'!$A$772=CS10,COUNTA('Eval-Avant action écologique'!$J$772),0),IF('Eval-Avant action écologique'!$A$773=CS10,COUNTA('Eval-Avant action écologique'!$J$773),0),IF('Eval-Avant action écologique'!$A$774=CS10,COUNTA('Eval-Avant action écologique'!$J$774),0),IF('Eval-Avant action écologique'!$A$775=CS10,COUNTA('Eval-Avant action écologique'!$J$775),0),IF('Eval-Avant action écologique'!$A$776=CS10,COUNTA('Eval-Avant action écologique'!$J$776),0),IF('Eval-Avant action écologique'!$A$777=CS10,COUNTA('Eval-Avant action écologique'!$J$777),0),IF('Eval-Avant action écologique'!$A$778=CS10,COUNTA('Eval-Avant action écologique'!$J$778),0),IF('Eval-Avant action écologique'!$A$779=CS10,COUNTA('Eval-Avant action écologique'!$J$779),0),IF('Eval-Avant action écologique'!$A$780=CS10,COUNTA('Eval-Avant action écologique'!$J$780),0))&gt;0,"X",0),"")</f>
        <v/>
      </c>
      <c r="CZ10" s="213" t="str">
        <f>IF(COUNTIF('Eval-Avant action écologique'!$A$761:$A$780,CS10)&gt;0,IF(SUM(IF('Eval-Avant action écologique'!$A$761=CS10,COUNTA('Eval-Avant action écologique'!$K$761),0),IF('Eval-Avant action écologique'!$A$762=CS10,COUNTA('Eval-Avant action écologique'!$K$762),0),IF('Eval-Avant action écologique'!$A$763=CS10,COUNTA('Eval-Avant action écologique'!$K$763),0),IF('Eval-Avant action écologique'!$A$764=CS10,COUNTA('Eval-Avant action écologique'!$K$764),0),IF('Eval-Avant action écologique'!$A$765=CS10,COUNTA('Eval-Avant action écologique'!$K$765),0),IF('Eval-Avant action écologique'!$A$766=CS10,COUNTA('Eval-Avant action écologique'!$K$766),0),IF('Eval-Avant action écologique'!$A$767=CS10,COUNTA('Eval-Avant action écologique'!$K$767),0),IF('Eval-Avant action écologique'!$A$768=CS10,COUNTA('Eval-Avant action écologique'!$K$768),0),IF('Eval-Avant action écologique'!$A$769=CS10,COUNTA('Eval-Avant action écologique'!$K$769),0),IF('Eval-Avant action écologique'!$A$770=CS10,COUNTA('Eval-Avant action écologique'!$K$770),0),IF('Eval-Avant action écologique'!$A$771=CS10,COUNTA('Eval-Avant action écologique'!$K$771),0),IF('Eval-Avant action écologique'!$A$772=CS10,COUNTA('Eval-Avant action écologique'!$K$772),0),IF('Eval-Avant action écologique'!$A$773=CS10,COUNTA('Eval-Avant action écologique'!$K$773),0),IF('Eval-Avant action écologique'!$A$774=CS10,COUNTA('Eval-Avant action écologique'!$K$774),0),IF('Eval-Avant action écologique'!$A$775=CS10,COUNTA('Eval-Avant action écologique'!$K$775),0),IF('Eval-Avant action écologique'!$A$776=CS10,COUNTA('Eval-Avant action écologique'!$K$776),0),IF('Eval-Avant action écologique'!$A$777=CS10,COUNTA('Eval-Avant action écologique'!$K$777),0),IF('Eval-Avant action écologique'!$A$778=CS10,COUNTA('Eval-Avant action écologique'!$K$778),0),IF('Eval-Avant action écologique'!$A$779=CS10,COUNTA('Eval-Avant action écologique'!$K$779),0),IF('Eval-Avant action écologique'!$A$780=CS10,COUNTA('Eval-Avant action écologique'!$K$780),0))&gt;0,"X",0),"")</f>
        <v/>
      </c>
      <c r="DA10" s="211" t="str">
        <f>IF(COUNTIF('Eval-Avant action écologique'!$A$761:$A$780,CS10)&gt;0,IF(OR(AND('Eval-Avant action écologique'!$A$761=CS10,'Eval-Avant action écologique'!$L$761&lt;120,'Eval-Avant action écologique'!$L$761&gt;=DP9),AND('Eval-Avant action écologique'!$A$762=CS10,'Eval-Avant action écologique'!$L$762&lt;120,'Eval-Avant action écologique'!$L$762&gt;=DP10),AND('Eval-Avant action écologique'!$A$763=CS10,'Eval-Avant action écologique'!$L$763&lt;120,'Eval-Avant action écologique'!$L$763&gt;=DP11),AND('Eval-Avant action écologique'!$A$764=CS10,'Eval-Avant action écologique'!$L$764&lt;120,'Eval-Avant action écologique'!$L$764&gt;=DP12),AND('Eval-Avant action écologique'!$A$765=CS10,'Eval-Avant action écologique'!$L$765&lt;120,'Eval-Avant action écologique'!$L$765&gt;=DP13),AND('Eval-Avant action écologique'!$A$766=CS10,'Eval-Avant action écologique'!$L$766&lt;120,'Eval-Avant action écologique'!$L$766&gt;=DP14),AND('Eval-Avant action écologique'!$A$767=CS10,'Eval-Avant action écologique'!$L$767&lt;120,'Eval-Avant action écologique'!$L$767&gt;=DP15),AND('Eval-Avant action écologique'!$A$768=CS10,'Eval-Avant action écologique'!$L$768&lt;120,'Eval-Avant action écologique'!$L$768&gt;=DP16),AND('Eval-Avant action écologique'!$A$769=CS10,'Eval-Avant action écologique'!$L$769&lt;120,'Eval-Avant action écologique'!$L$769&gt;=DP17),AND('Eval-Avant action écologique'!$A$770=CS10,'Eval-Avant action écologique'!$L$770&lt;120,'Eval-Avant action écologique'!$L$770&gt;=DP18),AND('Eval-Avant action écologique'!$A$771=CS10,'Eval-Avant action écologique'!$L$771&lt;120,'Eval-Avant action écologique'!$L$771&gt;=DP19),AND('Eval-Avant action écologique'!$A$772=CS10,'Eval-Avant action écologique'!$L$772&lt;120,'Eval-Avant action écologique'!$L$772&gt;=DP20),AND('Eval-Avant action écologique'!$A$773=CS10,'Eval-Avant action écologique'!$L$773&lt;120,'Eval-Avant action écologique'!$L$773&gt;=DP21),AND('Eval-Avant action écologique'!$A$774=CS10,'Eval-Avant action écologique'!$L$774&lt;120,'Eval-Avant action écologique'!$L$774&gt;=DP22),AND('Eval-Avant action écologique'!$A$775=CS10,'Eval-Avant action écologique'!$L$775&lt;120,'Eval-Avant action écologique'!$L$775&gt;=DP23),AND('Eval-Avant action écologique'!$A$776=CS10,'Eval-Avant action écologique'!$L$776&lt;120,'Eval-Avant action écologique'!$L$776&gt;=DP24),AND('Eval-Avant action écologique'!$A$777=CS10,'Eval-Avant action écologique'!$L$777&lt;120,'Eval-Avant action écologique'!$L$777&gt;=DP25),AND('Eval-Avant action écologique'!$A$778=CS10,'Eval-Avant action écologique'!$L$778&lt;120,'Eval-Avant action écologique'!$L$778&gt;=DP26),AND('Eval-Avant action écologique'!$A$779=CS10,'Eval-Avant action écologique'!$L$779&lt;120,'Eval-Avant action écologique'!$L$779&gt;=DP27),AND('Eval-Avant action écologique'!$A$780=CS10,'Eval-Avant action écologique'!$L$780&lt;120,'Eval-Avant action écologique'!$L$780&gt;=DP28)),"",SUM(IF('Eval-Avant action écologique'!$A$761=CS10,'Eval-Avant action écologique'!$L$761,0),IF('Eval-Avant action écologique'!$A$762=CS10,'Eval-Avant action écologique'!$L$762,0),IF('Eval-Avant action écologique'!$A$763=CS10,'Eval-Avant action écologique'!$L$763,0),IF('Eval-Avant action écologique'!$A$764=CS10,'Eval-Avant action écologique'!$L$764,0),IF('Eval-Avant action écologique'!$A$765=CS10,'Eval-Avant action écologique'!$L$765,0),IF('Eval-Avant action écologique'!$A$766=CS10,'Eval-Avant action écologique'!$L$766,0),IF('Eval-Avant action écologique'!$A$767=CS10,'Eval-Avant action écologique'!$L$767,0),IF('Eval-Avant action écologique'!$A$768=CS10,'Eval-Avant action écologique'!$L$768,0),IF('Eval-Avant action écologique'!$A$769=CS10,'Eval-Avant action écologique'!$L$769,0),IF('Eval-Avant action écologique'!$A$770=CS10,'Eval-Avant action écologique'!$L$770,0),IF('Eval-Avant action écologique'!$A$771=CS10,'Eval-Avant action écologique'!$L$771,0),IF('Eval-Avant action écologique'!$A$772=CS10,'Eval-Avant action écologique'!$L$772,0),IF('Eval-Avant action écologique'!$A$773=CS10,'Eval-Avant action écologique'!$L$773,0),IF('Eval-Avant action écologique'!$A$774=CS10,'Eval-Avant action écologique'!$L$774,0),IF('Eval-Avant action écologique'!$A$775=CS10,'Eval-Avant action écologique'!$L$775,0),IF('Eval-Avant action écologique'!$A$776=CS10,'Eval-Avant action écologique'!$L$776,0),IF('Eval-Avant action écologique'!$A$777=CS10,'Eval-Avant action écologique'!$L$777,0),IF('Eval-Avant action écologique'!$A$778=CS10,'Eval-Avant action écologique'!$L$778,0),IF('Eval-Avant action écologique'!$A$779=CS10,'Eval-Avant action écologique'!$L$779,0),IF('Eval-Avant action écologique'!$A$780=CS10,'Eval-Avant action écologique'!$L$780,0))/ COUNTIF('Eval-Avant action écologique'!$A$761:$A$780,CS10)),"")</f>
        <v/>
      </c>
      <c r="DB10" s="211" t="str">
        <f>IF(COUNTIF('Eval-Avant action écologique'!$A$761:$A$780,CS10)&gt;0,IF(OR(AND('Eval-Avant action écologique'!$A$761=CS10, DP9&lt;120),AND(DP10&lt;120),AND(DP11&lt;120),AND(DP12&lt;120),AND(DP13&lt;120),AND(DP14&lt;120),AND(DP15&lt;120),AND(DP16&lt;120),AND(DP17&lt;120),AND(DP18&lt;120),AND(DP19&lt;120),AND(DP20&lt;120),AND(DP21&lt;120),AND(DP22&lt;120),AND(DP23&lt;120),AND(DP24&lt;120),AND(DP25&lt;120),AND(DP26&lt;120),AND(DP27&lt;120),AND(DP28&lt;120)),"",SUM(IF('Eval-Avant action écologique'!$A$761=CS10,'Eval-Avant action écologique'!$M$761,0),IF('Eval-Avant action écologique'!$A$762=CS10,'Eval-Avant action écologique'!$M$762,0),IF('Eval-Avant action écologique'!$A$763=CS10,'Eval-Avant action écologique'!$M$763,0),IF('Eval-Avant action écologique'!$A$764=CS10,'Eval-Avant action écologique'!$M$764,0),IF('Eval-Avant action écologique'!$A$765=CS10,'Eval-Avant action écologique'!$M$765,0),IF('Eval-Avant action écologique'!$A$766=CS10,'Eval-Avant action écologique'!$M$766,0),IF('Eval-Avant action écologique'!$A$767=CS10,'Eval-Avant action écologique'!$M$767,0),IF('Eval-Avant action écologique'!$A$768=CS10,'Eval-Avant action écologique'!$M$768,0),IF('Eval-Avant action écologique'!$A$769=CS10,'Eval-Avant action écologique'!$M$769,0),IF('Eval-Avant action écologique'!$A$770=CS10,'Eval-Avant action écologique'!$M$770,0),IF('Eval-Avant action écologique'!$A$771=CS10,'Eval-Avant action écologique'!$M$771,0),IF('Eval-Avant action écologique'!$A$772=CS10,'Eval-Avant action écologique'!$M$772,0),IF('Eval-Avant action écologique'!$A$773=CS10,'Eval-Avant action écologique'!$M$773,0),IF('Eval-Avant action écologique'!$A$774=CS10,'Eval-Avant action écologique'!$M$774,0),IF('Eval-Avant action écologique'!$A$775=CS10,'Eval-Avant action écologique'!$M$775,0), IF('Eval-Avant action écologique'!$A$776=CS10,'Eval-Avant action écologique'!$M$776,0), IF('Eval-Avant action écologique'!$A$777=CS10,'Eval-Avant action écologique'!$M$777,0), IF('Eval-Avant action écologique'!$A$778=CS10,'Eval-Avant action écologique'!$M$778,0), IF('Eval-Avant action écologique'!$A$779=CS10,'Eval-Avant action écologique'!$M$779,0), IF('Eval-Avant action écologique'!$A$780=CS10,'Eval-Avant action écologique'!$M$780,0))/COUNTIF('Eval-Avant action écologique'!$A$761:$A$780,CS10)),"")</f>
        <v/>
      </c>
      <c r="DC10" s="211" t="str">
        <f>IF(COUNTIF('Eval-Avant action écologique'!$A$761:$A$780,CS10)&gt;0,SUM(IF('Eval-Avant action écologique'!$A$761=CS10,LEN(SUBSTITUTE((SUBSTITUTE(DR9,"TM","")),"TS",""))*10/2,0),IF('Eval-Avant action écologique'!$A$762=CS10,LEN(SUBSTITUTE((SUBSTITUTE(DR10,"TM","")),"TS",""))*10/2,0),IF('Eval-Avant action écologique'!$A$763=CS10,LEN(SUBSTITUTE((SUBSTITUTE(DR11,"TM","")),"TS",""))*10/2,0),IF('Eval-Avant action écologique'!$A$764=CS10,LEN(SUBSTITUTE((SUBSTITUTE(DR12,"TM","")),"TS",""))*10/2,0),IF('Eval-Avant action écologique'!$A$765=CS10,LEN(SUBSTITUTE((SUBSTITUTE(DR13,"TM","")),"TS",""))*10/2,0),IF('Eval-Avant action écologique'!$A$766=CS10,LEN(SUBSTITUTE((SUBSTITUTE(DR14,"TM","")),"TS",""))*10/2,0),IF('Eval-Avant action écologique'!$A$767=CS10,LEN(SUBSTITUTE((SUBSTITUTE(DR15,"TM","")),"TS",""))*10/2,0),IF('Eval-Avant action écologique'!$A$768=CS10,LEN(SUBSTITUTE((SUBSTITUTE(DR16,"TM","")),"TS",""))*10/2,0),IF('Eval-Avant action écologique'!$A$769=CS10,LEN(SUBSTITUTE((SUBSTITUTE(DR17,"TM","")),"TS",""))*10/2,0),IF('Eval-Avant action écologique'!$A$770=CS10,LEN(SUBSTITUTE((SUBSTITUTE(DR18,"TM","")),"TS",""))*10/2,0),IF('Eval-Avant action écologique'!$A$771=CS10,LEN(SUBSTITUTE((SUBSTITUTE(DR19,"TM","")),"TS",""))*10/2,0),IF('Eval-Avant action écologique'!$A$772=CS10,LEN(SUBSTITUTE((SUBSTITUTE(DR20,"TM","")),"TS",""))*10/2,0),IF('Eval-Avant action écologique'!$A$773=CS10,LEN(SUBSTITUTE((SUBSTITUTE(DR21,"TM","")),"TS",""))*10/2,0),IF('Eval-Avant action écologique'!$A$774=CS10,LEN(SUBSTITUTE((SUBSTITUTE(DR22,"TM","")),"TS",""))*10/2,0),IF('Eval-Avant action écologique'!$A$775=CS10,LEN(SUBSTITUTE((SUBSTITUTE(DR23,"TM","")),"TS",""))*10/2,0),IF('Eval-Avant action écologique'!$A$776=CS10,LEN(SUBSTITUTE((SUBSTITUTE(DR24,"TM","")),"TS",""))*10/2,0),IF('Eval-Avant action écologique'!$A$777=CS10,LEN(SUBSTITUTE((SUBSTITUTE(DR25,"TM","")),"TS",""))*10/2,0),IF('Eval-Avant action écologique'!$A$778=CS10,LEN(SUBSTITUTE((SUBSTITUTE(DR26,"TM","")),"TS",""))*10/2,0),IF('Eval-Avant action écologique'!$A$779=CS10,LEN(SUBSTITUTE((SUBSTITUTE(DR27,"TM","")),"TS",""))*10/2,0),IF('Eval-Avant action écologique'!$A$780=CS10,LEN(SUBSTITUTE((SUBSTITUTE(DR28,"TM","")),"TS",""))*10/2,0))/COUNTIF('Eval-Avant action écologique'!$A$761:$A$780,CS10),"")</f>
        <v/>
      </c>
      <c r="DD10" s="211" t="str">
        <f>IF(COUNTIF('Eval-Avant action écologique'!$A$761:$A$780,CS10)&gt;0,SUM(IF('Eval-Avant action écologique'!$A$761=CS10,LEN(SUBSTITUTE((SUBSTITUTE(DR9,"TF","")),"TS",""))*10/2,0),IF('Eval-Avant action écologique'!$A$762=CS10,LEN(SUBSTITUTE((SUBSTITUTE(DR10,"TF","")),"TS",""))*10/2,0),IF('Eval-Avant action écologique'!$A$763=CS10,LEN(SUBSTITUTE((SUBSTITUTE(DR11,"TF","")),"TS",""))*10/2,0),IF('Eval-Avant action écologique'!$A$764=CS10,LEN(SUBSTITUTE((SUBSTITUTE(DR12,"TF","")),"TS",""))*10/2,0),IF('Eval-Avant action écologique'!$A$765=CS10,LEN(SUBSTITUTE((SUBSTITUTE(DR13,"TF","")),"TS",""))*10/2,0),IF('Eval-Avant action écologique'!$A$766=CS10,LEN(SUBSTITUTE((SUBSTITUTE(DR14,"TF","")),"TS",""))*10/2,0),IF('Eval-Avant action écologique'!$A$767=CS10,LEN(SUBSTITUTE((SUBSTITUTE(DR15,"TF","")),"TS",""))*10/2,0),IF('Eval-Avant action écologique'!$A$768=CS10,LEN(SUBSTITUTE((SUBSTITUTE(DR16,"TF","")),"TS",""))*10/2,0),IF('Eval-Avant action écologique'!$A$769=CS10,LEN(SUBSTITUTE((SUBSTITUTE(DR17,"TF","")),"TS",""))*10/2,0),IF('Eval-Avant action écologique'!$A$770=CS10,LEN(SUBSTITUTE((SUBSTITUTE(DR18,"TF","")),"TS",""))*10/2,0),IF('Eval-Avant action écologique'!$A$771=CS10,LEN(SUBSTITUTE((SUBSTITUTE(DR19,"TF","")),"TS",""))*10/2,0),IF('Eval-Avant action écologique'!$A$772=CS10,LEN(SUBSTITUTE((SUBSTITUTE(DR20,"TF","")),"TS",""))*10/2,0),IF('Eval-Avant action écologique'!$A$773=CS10,LEN(SUBSTITUTE((SUBSTITUTE(DR21,"TF","")),"TS",""))*10/2,0),IF('Eval-Avant action écologique'!$A$774=CS10,LEN(SUBSTITUTE((SUBSTITUTE(DR22,"TF","")),"TS",""))*10/2,0),IF('Eval-Avant action écologique'!$A$775=CS10,LEN(SUBSTITUTE((SUBSTITUTE(DR23,"TF","")),"TS",""))*10/2,0),IF('Eval-Avant action écologique'!$A$776=CS10,LEN(SUBSTITUTE((SUBSTITUTE(DR24,"TF","")),"TS",""))*10/2,0),IF('Eval-Avant action écologique'!$A$777=CS10,LEN(SUBSTITUTE((SUBSTITUTE(DR25,"TF","")),"TS",""))*10/2,0),IF('Eval-Avant action écologique'!$A$778=CS10,LEN(SUBSTITUTE((SUBSTITUTE(DR26,"TF","")),"TS",""))*10/2,0),IF('Eval-Avant action écologique'!$A$779=CS10,LEN(SUBSTITUTE((SUBSTITUTE(DR27,"TF","")),"TS",""))*10/2,0),IF('Eval-Avant action écologique'!$A$780=CS10,LEN(SUBSTITUTE((SUBSTITUTE(DR28,"TF","")),"TS",""))*10/2,0))/COUNTIF('Eval-Avant action écologique'!$A$761:$A$780,CS10),"")</f>
        <v/>
      </c>
      <c r="DE10" s="211" t="str">
        <f>IF(COUNTIF('Eval-Avant action écologique'!$A$761:$A$780,CS10)&gt;0,SUM(IF('Eval-Avant action écologique'!$A$761=CS10,LEN(SUBSTITUTE((SUBSTITUTE(DR9,"TF","")),"TM",""))*10/2,0),IF('Eval-Avant action écologique'!$A$762=CS10,LEN(SUBSTITUTE((SUBSTITUTE(DR10,"TF","")),"TM",""))*10/2,0),IF('Eval-Avant action écologique'!$A$763=CS10,LEN(SUBSTITUTE((SUBSTITUTE(DR11,"TF","")),"TM",""))*10/2,0),IF('Eval-Avant action écologique'!$A$764=CS10,LEN(SUBSTITUTE((SUBSTITUTE(DR12,"TF","")),"TM",""))*10/2,0),IF('Eval-Avant action écologique'!$A$765=CS10,LEN(SUBSTITUTE((SUBSTITUTE(DR13,"TF","")),"TM",""))*10/2,0),IF('Eval-Avant action écologique'!$A$766=CS10,LEN(SUBSTITUTE((SUBSTITUTE(DR14,"TF","")),"TM",""))*10/2,0),IF('Eval-Avant action écologique'!$A$767=CS10,LEN(SUBSTITUTE((SUBSTITUTE(DR15,"TF","")),"TM",""))*10/2,0),IF('Eval-Avant action écologique'!$A$768=CS10,LEN(SUBSTITUTE((SUBSTITUTE(DR16,"TF","")),"TM",""))*10/2,0),IF('Eval-Avant action écologique'!$A$769=CS10,LEN(SUBSTITUTE((SUBSTITUTE(DR17,"TF","")),"TM",""))*10/2,0),IF('Eval-Avant action écologique'!$A$770=CS10,LEN(SUBSTITUTE((SUBSTITUTE(DR18,"TF","")),"TM",""))*10/2,0),IF('Eval-Avant action écologique'!$A$771=CS10,LEN(SUBSTITUTE((SUBSTITUTE(DR19,"TF","")),"TM",""))*10/2,0),IF('Eval-Avant action écologique'!$A$772=CS10,LEN(SUBSTITUTE((SUBSTITUTE(DR20,"TF","")),"TM",""))*10/2,0),IF('Eval-Avant action écologique'!$A$773=CS10,LEN(SUBSTITUTE((SUBSTITUTE(DR21,"TF","")),"TM",""))*10/2,0),IF('Eval-Avant action écologique'!$A$774=CS10,LEN(SUBSTITUTE((SUBSTITUTE(DR22,"TF","")),"TM",""))*10/2,0),IF('Eval-Avant action écologique'!$A$775=CS10,LEN(SUBSTITUTE((SUBSTITUTE(DR23,"TF","")),"TM",""))*10/2,0),IF('Eval-Avant action écologique'!$A$776=CS10,LEN(SUBSTITUTE((SUBSTITUTE(DR24,"TF","")),"TM",""))*10/2,0),IF('Eval-Avant action écologique'!$A$777=CS10,LEN(SUBSTITUTE((SUBSTITUTE(DR25,"TF","")),"TM",""))*10/2,0),IF('Eval-Avant action écologique'!$A$778=CS10,LEN(SUBSTITUTE((SUBSTITUTE(DR26,"TF","")),"TM",""))*10/2,0),IF('Eval-Avant action écologique'!$A$779=CS10,LEN(SUBSTITUTE((SUBSTITUTE(DR27,"TF","")),"TM",""))*10/2,0),IF('Eval-Avant action écologique'!$A$780=CS10,LEN(SUBSTITUTE((SUBSTITUTE(DR28,"TF","")),"TM",""))*10/2,0))/COUNTIF('Eval-Avant action écologique'!$A$761:$A$780,CS10),"")</f>
        <v/>
      </c>
      <c r="DF10" s="211" t="str">
        <f>IF(COUNTIF('Eval-Avant action écologique'!$A$761:$A$780,CS10)&gt;0,SUM(IF('Eval-Avant action écologique'!$A$761=CS10,LEN(SUBSTITUTE((SUBSTITUTE(DS9,"TM","")),"TS",""))*10/2,0),IF('Eval-Avant action écologique'!$A$762=CS10,LEN(SUBSTITUTE((SUBSTITUTE(DS10,"TM","")),"TS",""))*10/2,0),IF('Eval-Avant action écologique'!$A$763=CS10,LEN(SUBSTITUTE((SUBSTITUTE(DS11,"TM","")),"TS",""))*10/2,0),IF('Eval-Avant action écologique'!$A$764=CS10,LEN(SUBSTITUTE((SUBSTITUTE(DS12,"TM","")),"TS",""))*10/2,0),IF('Eval-Avant action écologique'!$A$765=CS10,LEN(SUBSTITUTE((SUBSTITUTE(DS13,"TM","")),"TS",""))*10/2,0),IF('Eval-Avant action écologique'!$A$766=CS10,LEN(SUBSTITUTE((SUBSTITUTE(DS14,"TM","")),"TS",""))*10/2,0),IF('Eval-Avant action écologique'!$A$767=CS10,LEN(SUBSTITUTE((SUBSTITUTE(DS15,"TM","")),"TS",""))*10/2,0),IF('Eval-Avant action écologique'!$A$768=CS10,LEN(SUBSTITUTE((SUBSTITUTE(DS16,"TM","")),"TS",""))*10/2,0),IF('Eval-Avant action écologique'!$A$769=CS10,LEN(SUBSTITUTE((SUBSTITUTE(DS17,"TM","")),"TS",""))*10/2,0),IF('Eval-Avant action écologique'!$A$770=CS10,LEN(SUBSTITUTE((SUBSTITUTE(DS18,"TM","")),"TS",""))*10/2,0),IF('Eval-Avant action écologique'!$A$771=CS10,LEN(SUBSTITUTE((SUBSTITUTE(DS19,"TM","")),"TS",""))*10/2,0),IF('Eval-Avant action écologique'!$A$772=CS10,LEN(SUBSTITUTE((SUBSTITUTE(DS20,"TM","")),"TS",""))*10/2,0),IF('Eval-Avant action écologique'!$A$773=CS10,LEN(SUBSTITUTE((SUBSTITUTE(DS21,"TM","")),"TS",""))*10/2,0),IF('Eval-Avant action écologique'!$A$774=CS10,LEN(SUBSTITUTE((SUBSTITUTE(DS22,"TM","")),"TS",""))*10/2,0),IF('Eval-Avant action écologique'!$A$775=CS10,LEN(SUBSTITUTE((SUBSTITUTE(DS23,"TM","")),"TS",""))*10/2,0),IF('Eval-Avant action écologique'!$A$776=CS10,LEN(SUBSTITUTE((SUBSTITUTE(DS24,"TM","")),"TS",""))*10/2,0),IF('Eval-Avant action écologique'!$A$777=CS10,LEN(SUBSTITUTE((SUBSTITUTE(DS25,"TM","")),"TS",""))*10/2,0),IF('Eval-Avant action écologique'!$A$778=CS10,LEN(SUBSTITUTE((SUBSTITUTE(DS26,"TM","")),"TS",""))*10/2,0),IF('Eval-Avant action écologique'!$A$779=CS10,LEN(SUBSTITUTE((SUBSTITUTE(DS27,"TM","")),"TS",""))*10/2,0),IF('Eval-Avant action écologique'!$A$780=CS10,LEN(SUBSTITUTE((SUBSTITUTE(DS28,"TM","")),"TS",""))*10/2,0))/COUNTIF('Eval-Avant action écologique'!$A$761:$A$780,CS10),"")</f>
        <v/>
      </c>
      <c r="DG10" s="211" t="str">
        <f>IF(COUNTIF('Eval-Avant action écologique'!$A$761:$A$780,CS10)&gt;0,SUM(IF('Eval-Avant action écologique'!$A$761=CS10,LEN(SUBSTITUTE((SUBSTITUTE(DS9,"TF","")),"TS",""))*10/2,0),IF('Eval-Avant action écologique'!$A$762=CS10,LEN(SUBSTITUTE((SUBSTITUTE(DS10,"TF","")),"TS",""))*10/2,0),IF('Eval-Avant action écologique'!$A$763=CS10,LEN(SUBSTITUTE((SUBSTITUTE(DS11,"TF","")),"TS",""))*10/2,0),IF('Eval-Avant action écologique'!$A$764=CS10,LEN(SUBSTITUTE((SUBSTITUTE(DS12,"TF","")),"TS",""))*10/2,0),IF('Eval-Avant action écologique'!$A$765=CS10,LEN(SUBSTITUTE((SUBSTITUTE(DS13,"TF","")),"TS",""))*10/2,0),IF('Eval-Avant action écologique'!$A$766=CS10,LEN(SUBSTITUTE((SUBSTITUTE(DS14,"TF","")),"TS",""))*10/2,0),IF('Eval-Avant action écologique'!$A$767=CS10,LEN(SUBSTITUTE((SUBSTITUTE(DS15,"TF","")),"TS",""))*10/2,0),IF('Eval-Avant action écologique'!$A$768=CS10,LEN(SUBSTITUTE((SUBSTITUTE(DS16,"TF","")),"TS",""))*10/2,0),IF('Eval-Avant action écologique'!$A$769=CS10,LEN(SUBSTITUTE((SUBSTITUTE(DS17,"TF","")),"TS",""))*10/2,0),IF('Eval-Avant action écologique'!$A$770=CS10,LEN(SUBSTITUTE((SUBSTITUTE(DS18,"TF","")),"TS",""))*10/2,0),IF('Eval-Avant action écologique'!$A$771=CS10,LEN(SUBSTITUTE((SUBSTITUTE(DS19,"TF","")),"TS",""))*10/2,0),IF('Eval-Avant action écologique'!$A$772=CS10,LEN(SUBSTITUTE((SUBSTITUTE(DS20,"TF","")),"TS",""))*10/2,0),IF('Eval-Avant action écologique'!$A$773=CS10,LEN(SUBSTITUTE((SUBSTITUTE(DS21,"TF","")),"TS",""))*10/2,0),IF('Eval-Avant action écologique'!$A$774=CS10,LEN(SUBSTITUTE((SUBSTITUTE(DS22,"TF","")),"TS",""))*10/2,0),IF('Eval-Avant action écologique'!$A$775=CS10,LEN(SUBSTITUTE((SUBSTITUTE(DS23,"TF","")),"TS",""))*10/2,0),IF('Eval-Avant action écologique'!$A$776=CS10,LEN(SUBSTITUTE((SUBSTITUTE(DS24,"TF","")),"TS",""))*10/2,0),IF('Eval-Avant action écologique'!$A$777=CS10,LEN(SUBSTITUTE((SUBSTITUTE(DS25,"TF","")),"TS",""))*10/2,0),IF('Eval-Avant action écologique'!$A$778=CS10,LEN(SUBSTITUTE((SUBSTITUTE(DS26,"TF","")),"TS",""))*10/2,0),IF('Eval-Avant action écologique'!$A$779=CS10,LEN(SUBSTITUTE((SUBSTITUTE(DS27,"TF","")),"TS",""))*10/2,0),IF('Eval-Avant action écologique'!$A$780=CS10,LEN(SUBSTITUTE((SUBSTITUTE(DS28,"TF","")),"TS",""))*10/2,0))/COUNTIF('Eval-Avant action écologique'!$A$761:$A$780,CS10),"")</f>
        <v/>
      </c>
      <c r="DH10" s="211" t="str">
        <f>IF(COUNTIF('Eval-Avant action écologique'!$A$761:$A$780,CS10)&gt;0,SUM(IF('Eval-Avant action écologique'!$A$761=CS10,LEN(SUBSTITUTE((SUBSTITUTE(DS9,"TF","")),"TM",""))*10/2,0),IF('Eval-Avant action écologique'!$A$762=CS10,LEN(SUBSTITUTE((SUBSTITUTE(DS10,"TF","")),"TM",""))*10/2,0),IF('Eval-Avant action écologique'!$A$763=CS10,LEN(SUBSTITUTE((SUBSTITUTE(DS11,"TF","")),"TM",""))*10/2,0),IF('Eval-Avant action écologique'!$A$764=CS10,LEN(SUBSTITUTE((SUBSTITUTE(DS12,"TF","")),"TM",""))*10/2,0),IF('Eval-Avant action écologique'!$A$765=CS10,LEN(SUBSTITUTE((SUBSTITUTE(DS13,"TF","")),"TM",""))*10/2,0),IF('Eval-Avant action écologique'!$A$766=CS10,LEN(SUBSTITUTE((SUBSTITUTE(DS14,"TF","")),"TM",""))*10/2,0),IF('Eval-Avant action écologique'!$A$767=CS10,LEN(SUBSTITUTE((SUBSTITUTE(DS15,"TF","")),"TM",""))*10/2,0),IF('Eval-Avant action écologique'!$A$768=CS10,LEN(SUBSTITUTE((SUBSTITUTE(DS16,"TF","")),"TM",""))*10/2,0),IF('Eval-Avant action écologique'!$A$769=CS10,LEN(SUBSTITUTE((SUBSTITUTE(DS17,"TF","")),"TM",""))*10/2,0),IF('Eval-Avant action écologique'!$A$770=CS10,LEN(SUBSTITUTE((SUBSTITUTE(DS18,"TF","")),"TM",""))*10/2,0),IF('Eval-Avant action écologique'!$A$771=CS10,LEN(SUBSTITUTE((SUBSTITUTE(DS19,"TF","")),"TM",""))*10/2,0),IF('Eval-Avant action écologique'!$A$772=CS10,LEN(SUBSTITUTE((SUBSTITUTE(DS20,"TF","")),"TM",""))*10/2,0),IF('Eval-Avant action écologique'!$A$773=CS10,LEN(SUBSTITUTE((SUBSTITUTE(DS21,"TF","")),"TM",""))*10/2,0),IF('Eval-Avant action écologique'!$A$774=CS10,LEN(SUBSTITUTE((SUBSTITUTE(DS22,"TF","")),"TM",""))*10/2,0),IF('Eval-Avant action écologique'!$A$775=CS10,LEN(SUBSTITUTE((SUBSTITUTE(DS23,"TF","")),"TM",""))*10/2,0),IF('Eval-Avant action écologique'!$A$776=CS10,LEN(SUBSTITUTE((SUBSTITUTE(DS24,"TF","")),"TM",""))*10/2,0),IF('Eval-Avant action écologique'!$A$777=CS10,LEN(SUBSTITUTE((SUBSTITUTE(DS25,"TF","")),"TM",""))*10/2,0),IF('Eval-Avant action écologique'!$A$778=CS10,LEN(SUBSTITUTE((SUBSTITUTE(DS26,"TF","")),"TM",""))*10/2,0),IF('Eval-Avant action écologique'!$A$779=CS10,LEN(SUBSTITUTE((SUBSTITUTE(DS27,"TF","")),"TM",""))*10/2,0),IF('Eval-Avant action écologique'!$A$780=CS10,LEN(SUBSTITUTE((SUBSTITUTE(DS28,"TF","")),"TM",""))*10/2,0))/COUNTIF('Eval-Avant action écologique'!$A$761:$A$780,CS10),"")</f>
        <v/>
      </c>
      <c r="DI10" s="211" t="str">
        <f>IF(COUNTIF('Eval-Avant action écologique'!$A$761:$A$780,CS10)&gt;0,IF(OR(AND('Eval-Avant action écologique'!$A$761=CS10,DP9&lt;30),AND('Eval-Avant action écologique'!$A$762=CS10,DP10&lt;30),AND('Eval-Avant action écologique'!$A$763=CS10,DP11&lt;30),AND('Eval-Avant action écologique'!$A$764=CS10,DP12&lt;30),AND('Eval-Avant action écologique'!$A$765=CS10,DP13&lt;30),AND('Eval-Avant action écologique'!$A$766=CS10,DP14&lt;30),AND('Eval-Avant action écologique'!$A$767=CS10,DP15&lt;30),AND('Eval-Avant action écologique'!$A$768=CS10,DP16&lt;30),AND('Eval-Avant action écologique'!$A$769=CS10,DP17&lt;30),AND('Eval-Avant action écologique'!$A$770=CS10,DP18&lt;30),AND('Eval-Avant action écologique'!$A$771=CS10,DP19&lt;30),AND('Eval-Avant action écologique'!$A$772=CS10,DP20&lt;30),AND('Eval-Avant action écologique'!$A$773=CS10,DP21&lt;30),AND('Eval-Avant action écologique'!$A$774=CS10,DP22&lt;30),AND('Eval-Avant action écologique'!$A$775=CS10,DP23&lt;30),AND('Eval-Avant action écologique'!$A$776=CS10,DP24&lt;30),AND('Eval-Avant action écologique'!$A$777=CS10,DP25&lt;30),AND('Eval-Avant action écologique'!$A$778=CS10,DP26&lt;30),AND('Eval-Avant action écologique'!$A$779=CS10,DP27&lt;30),AND('Eval-Avant action écologique'!$A$780=CS10,DP28&lt;30)),"",SUM(0.1*(SUMPRODUCT(('Eval-Avant action écologique'!$A$761:$A$780=CS10)*('Eval-Avant action écologique'!$N$761:$P$780="A"))+ SUMPRODUCT(('Eval-Avant action écologique'!$A$761:$A$780=CS10)*('Eval-Avant action écologique'!$N$761:$P$780="AL"))),0.7*(SUMPRODUCT(('Eval-Avant action écologique'!$A$761:$A$780=CS10)*('Eval-Avant action écologique'!$N$761:$P$780="TF"))+SUMPRODUCT(('Eval-Avant action écologique'!$A$761:$A$780=CS10)*('Eval-Avant action écologique'!$N$761:$P$780="TM"))+SUMPRODUCT(('Eval-Avant action écologique'!$A$761:$A$780=CS10)*('Eval-Avant action écologique'!$N$761:$P$780="TS"))),0.4*(SUMPRODUCT(('Eval-Avant action écologique'!$A$761:$A$780=CS10)*('Eval-Avant action écologique'!$N$761:$P$780="LA"))+SUMPRODUCT(('Eval-Avant action écologique'!$A$761:$A$780=CS10)*('Eval-Avant action écologique'!$N$761:$P$780="L"))+SUMPRODUCT(('Eval-Avant action écologique'!$A$761:$A$780=CS10)*('Eval-Avant action écologique'!$N$761:$P$780="LS"))),1*(SUMPRODUCT(('Eval-Avant action écologique'!$A$761:$A$780=CS10)*('Eval-Avant action écologique'!$N$761:$P$780="SL"))+ SUMPRODUCT(('Eval-Avant action écologique'!$A$761:$A$780=CS10)*('Eval-Avant action écologique'!$N$761:$P$780="S"))))/(3*COUNTIF('Eval-Avant action écologique'!$A$761:$A$780,CS10))),"")</f>
        <v/>
      </c>
      <c r="DJ10" s="211" t="str">
        <f>IF(COUNTIF('Eval-Avant action écologique'!$A$761:$A$780,CS10)&gt;0,IF(OR(AND('Eval-Avant action écologique'!$A$761=CS10,DP9&lt;120),AND('Eval-Avant action écologique'!$A$762=CS10,DP10&lt;120),AND('Eval-Avant action écologique'!$A$763=CS10,DP11&lt;120),AND('Eval-Avant action écologique'!$A$764=CS10,DP12&lt;120),AND('Eval-Avant action écologique'!$A$765=CS10,DP13&lt;120),AND('Eval-Avant action écologique'!$A$766=CS10,DP14&lt;120),AND('Eval-Avant action écologique'!$A$767=CS10,DP15&lt;120),AND('Eval-Avant action écologique'!$A$768=CS10,DP16&lt;120),AND('Eval-Avant action écologique'!$A$769=CS10,DP17&lt;120),AND('Eval-Avant action écologique'!$A$770=CS10,DP18&lt;120),AND('Eval-Avant action écologique'!$A$771=CS10,DP19&lt;120),AND('Eval-Avant action écologique'!$A$772=CS10,DP20&lt;120),AND('Eval-Avant action écologique'!$A$773=CS10,DP21&lt;120),AND('Eval-Avant action écologique'!$A$774=CS10,DP22&lt;120),AND('Eval-Avant action écologique'!$A$775=CS10,DP23&lt;120),AND('Eval-Avant action écologique'!$A$776=CS10,DP24&lt;120),AND('Eval-Avant action écologique'!$A$777=CS10,DP25&lt;120),AND('Eval-Avant action écologique'!$A$778=CS10,DP26&lt;120),AND('Eval-Avant action écologique'!$A$779=CS10,DP27&lt;120),AND('Eval-Avant action écologique'!$A$780=CS10,DP28&lt;120)),"",SUM(0.1*(SUMPRODUCT(('Eval-Avant action écologique'!$A$761:$A$780=CS10)*('Eval-Avant action écologique'!$Q$761:$Y$780="A"))+ SUMPRODUCT(('Eval-Avant action écologique'!$A$761:$A$780=CS10)*('Eval-Avant action écologique'!$Q$761:$Y$780="AL"))),0.7*(SUMPRODUCT(('Eval-Avant action écologique'!$A$761:$A$780=CS10)*('Eval-Avant action écologique'!$Q$761:$Y$780="TF"))+SUMPRODUCT(('Eval-Avant action écologique'!$A$761:$A$780=CS10)*('Eval-Avant action écologique'!$Q$761:$Y$780="TM"))+SUMPRODUCT(('Eval-Avant action écologique'!$A$761:$A$780=CS10)*('Eval-Avant action écologique'!$Q$761:$Y$780="TS"))),0.4*(SUMPRODUCT(('Eval-Avant action écologique'!$A$761:$A$780=CS10)*('Eval-Avant action écologique'!$Q$761:$Y$780="LA"))+SUMPRODUCT(('Eval-Avant action écologique'!$A$761:$A$780=CS10)*('Eval-Avant action écologique'!$Q$761:$Y$780="L"))+SUMPRODUCT(('Eval-Avant action écologique'!$A$761:$A$780=CS10)*('Eval-Avant action écologique'!$Q$761:$Y$780="LS"))),1*(SUMPRODUCT(('Eval-Avant action écologique'!$A$761:$A$780=CS10)*('Eval-Avant action écologique'!$Q$761:$Y$780="SL"))+ SUMPRODUCT(('Eval-Avant action écologique'!$A$761:$A$780=CS10)*('Eval-Avant action écologique'!$Q$761:$Y$780="S"))))/(9*COUNTIF('Eval-Avant action écologique'!$A$761:$A$780,CS10))),"")</f>
        <v/>
      </c>
      <c r="DK10" s="211" t="str">
        <f>IF(COUNTIF('Eval-Avant action écologique'!$A$761:$A$780,CS10)&gt;0,IF(OR(AND('Eval-Avant action écologique'!$A$761=CS10,OR(COUNTIF('Eval-Avant action écologique'!$N$761:$P$761,"*T*")&gt;0,DP9&lt;30)),AND('Eval-Avant action écologique'!$A$762=CS10,OR(COUNTIF('Eval-Avant action écologique'!$N$762:$P$762,"*T*")&gt;0,DP10&lt;30)),AND('Eval-Avant action écologique'!$A$763=CS10,OR(COUNTIF('Eval-Avant action écologique'!$N$763:$P$763,"*T*")&gt;0,DP11&lt;30)),AND('Eval-Avant action écologique'!$A$764=CS10,OR(COUNTIF('Eval-Avant action écologique'!$N$764:$P$764,"*T*")&gt;0,DP12&lt;30)),AND('Eval-Avant action écologique'!$A$765=CS10,OR(COUNTIF('Eval-Avant action écologique'!$N$765:$P$765,"*T*")&gt;0,DP13&lt;30)),AND('Eval-Avant action écologique'!$A$766=CS10,OR(COUNTIF('Eval-Avant action écologique'!$N$766:$P$766,"*T*")&gt;0,DP14&lt;30)),AND('Eval-Avant action écologique'!$A$767=CS10,OR(COUNTIF('Eval-Avant action écologique'!$N$767:$P$767,"*T*")&gt;0,DP15&lt;30)),AND('Eval-Avant action écologique'!$A$768=CS10,OR(COUNTIF('Eval-Avant action écologique'!$N$768:$P$768,"*T*")&gt;0,DP16&lt;30)),AND('Eval-Avant action écologique'!$A$769=CS10,OR(COUNTIF('Eval-Avant action écologique'!$N$769:$P$769,"*T*")&gt;0,DP17&lt;30)),AND('Eval-Avant action écologique'!$A$770=CS10,OR(COUNTIF('Eval-Avant action écologique'!$N$770:$P$770,"*T*")&gt;0,DP18&lt;30)),AND('Eval-Avant action écologique'!$A$771=CS10,OR(COUNTIF('Eval-Avant action écologique'!$N$771:$P$771,"*T*")&gt;0,DP19&lt;30)),AND('Eval-Avant action écologique'!$A$772=CS10,OR(COUNTIF('Eval-Avant action écologique'!$N$772:$P$772,"*T*")&gt;0,DP20&lt;30)),AND('Eval-Avant action écologique'!$A$773=CS10,OR(COUNTIF('Eval-Avant action écologique'!$N$773:$P$773,"*T*")&gt;0,DP21&lt;30)),AND('Eval-Avant action écologique'!$A$774=CS10,OR(COUNTIF('Eval-Avant action écologique'!$N$774:$P$774,"*T*")&gt;0,DP22&lt;30)),AND('Eval-Avant action écologique'!$A$775=CS10,OR(COUNTIF('Eval-Avant action écologique'!$N$775:$P$775,"*T*")&gt;0,DP23&lt;30)),AND('Eval-Avant action écologique'!$A$776=CS10,OR(COUNTIF('Eval-Avant action écologique'!$N$776:$P$776,"*T*")&gt;0,DP24&lt;30)),AND('Eval-Avant action écologique'!$A$777=CS10,OR(COUNTIF('Eval-Avant action écologique'!$N$777:$P$777,"*T*")&gt;0,DP25&lt;30)),AND('Eval-Avant action écologique'!$A$778=CS10,OR(COUNTIF('Eval-Avant action écologique'!$N$778:$P$778,"*T*")&gt;0,DP26&lt;30)),AND('Eval-Avant action écologique'!$A$779=CS10,OR(COUNTIF('Eval-Avant action écologique'!$N$779:$P$779,"*T*")&gt;0,DP27&lt;30)),AND('Eval-Avant action écologique'!$A$780=CS10,OR(COUNTIF('Eval-Avant action écologique'!$N$780:$P$780,"*T*")&gt;0,DP28&lt;30))),"",SUM(0.1*(SUMPRODUCT(('Eval-Avant action écologique'!$A$761:$A$780=CS10)*('Eval-Avant action écologique'!$N$761:$P$780="L"))),0.4*(SUMPRODUCT(('Eval-Avant action écologique'!$A$761:$A$780=CS10)*('Eval-Avant action écologique'!$N$761:$P$780="LA"))+SUMPRODUCT(('Eval-Avant action écologique'!$A$761:$A$780=CS10)*('Eval-Avant action écologique'!$N$761:$P$780="LS"))),0.7*(SUMPRODUCT(('Eval-Avant action écologique'!$A$761:$A$780=CS10)*('Eval-Avant action écologique'!$N$761:$P$780="AL"))+SUMPRODUCT(('Eval-Avant action écologique'!$A$761:$A$780=CS10)*('Eval-Avant action écologique'!$N$761:$P$780="SL"))),1*(SUMPRODUCT(('Eval-Avant action écologique'!$A$761:$A$780=CS10)*('Eval-Avant action écologique'!$N$761:$P$780="S"))+ SUMPRODUCT(('Eval-Avant action écologique'!$A$761:$A$780=CS10)*('Eval-Avant action écologique'!$N$761:$P$780="A"))))/(3*COUNTIF('Eval-Avant action écologique'!$A$761:$A$780,CS10))),"")</f>
        <v/>
      </c>
      <c r="DL10" s="211" t="str">
        <f>IF(COUNTIF('Eval-Avant action écologique'!$A$761:$A$780,CS10)&gt;0,IF(OR(AND('Eval-Avant action écologique'!$A$761=CS10,OR(COUNTIF('Eval-Avant action écologique'!$N$761:$P$761,"*T*")&gt;0,DP9&lt;30)),AND('Eval-Avant action écologique'!$A$762=CS10,OR(COUNTIF('Eval-Avant action écologique'!$N$762:$P$762,"*T*")&gt;0,DP10&lt;30)),AND('Eval-Avant action écologique'!$A$763=CS10,OR(COUNTIF('Eval-Avant action écologique'!$N$763:$P$763,"*T*")&gt;0,DP11&lt;30)),AND('Eval-Avant action écologique'!$A$764=CS10,OR(COUNTIF('Eval-Avant action écologique'!$N$764:$P$764,"*T*")&gt;0,DP12&lt;30)),AND('Eval-Avant action écologique'!$A$765=CS10,OR(COUNTIF('Eval-Avant action écologique'!$N$765:$P$765,"*T*")&gt;0,DP13&lt;30)),AND('Eval-Avant action écologique'!$A$766=CS10,OR(COUNTIF('Eval-Avant action écologique'!$N$766:$P$766,"*T*")&gt;0,DP14&lt;30)),AND('Eval-Avant action écologique'!$A$767=CS10,OR(COUNTIF('Eval-Avant action écologique'!$N$767:$P$767,"*T*")&gt;0,DP15&lt;30)),AND('Eval-Avant action écologique'!$A$768=CS10,OR(COUNTIF('Eval-Avant action écologique'!$N$768:$P$768,"*T*")&gt;0,DP16&lt;30)),AND('Eval-Avant action écologique'!$A$769=CS10,OR(COUNTIF('Eval-Avant action écologique'!$N$769:$P$769,"*T*")&gt;0,DP17&lt;30)),AND('Eval-Avant action écologique'!$A$770=CS10,OR(COUNTIF('Eval-Avant action écologique'!$N$770:$P$770,"*T*")&gt;0,DP18&lt;30)),AND('Eval-Avant action écologique'!$A$771=CS10,OR(COUNTIF('Eval-Avant action écologique'!$N$771:$P$771,"*T*")&gt;0,DP19&lt;30)),AND('Eval-Avant action écologique'!$A$772=CS10,OR(COUNTIF('Eval-Avant action écologique'!$N$772:$P$772,"*T*")&gt;0,DP20&lt;30)),AND('Eval-Avant action écologique'!$A$773=CS10,OR(COUNTIF('Eval-Avant action écologique'!$N$773:$P$773,"*T*")&gt;0,DP21&lt;30)),AND('Eval-Avant action écologique'!$A$774=CS10,OR(COUNTIF('Eval-Avant action écologique'!$N$774:$P$774,"*T*")&gt;0,DP22&lt;30)),AND('Eval-Avant action écologique'!$A$775=CS10,OR(COUNTIF('Eval-Avant action écologique'!$N$775:$P$775,"*T*")&gt;0,DP23&lt;30)),AND('Eval-Avant action écologique'!$A$776=CS10,OR(COUNTIF('Eval-Avant action écologique'!$N$776:$P$776,"*T*")&gt;0,DP24&lt;30)),AND('Eval-Avant action écologique'!$A$777=CS10,OR(COUNTIF('Eval-Avant action écologique'!$N$777:$P$777,"*T*")&gt;0,DP25&lt;30)),AND('Eval-Avant action écologique'!$A$778=CS10,OR(COUNTIF('Eval-Avant action écologique'!$N$778:$P$778,"*T*")&gt;0,DP26&lt;30)),AND('Eval-Avant action écologique'!$A$779=CS10,OR(COUNTIF('Eval-Avant action écologique'!$N$779:$P$779,"*T*")&gt;0,DP27&lt;30)),AND('Eval-Avant action écologique'!$A$780=CS10,OR(COUNTIF('Eval-Avant action écologique'!$N$780:$P$780,"*T*")&gt;0,DP28&lt;30))),"",SUM(1*(SUMPRODUCT(('Eval-Avant action écologique'!$A$761:$A$780=CS10)*('Eval-Avant action écologique'!$N$761:$P$780="A"))),0.85*(SUMPRODUCT(('Eval-Avant action écologique'!$A$761:$A$780=CS10)*('Eval-Avant action écologique'!$N$761:$P$780="AL"))),0.7*(SUMPRODUCT(('Eval-Avant action écologique'!$A$761:$A$780=CS10)*('Eval-Avant action écologique'!$N$761:$P$780="LA"))),0.55*(SUMPRODUCT(('Eval-Avant action écologique'!$A$761:$A$780=CS10)*('Eval-Avant action écologique'!$N$761:$P$780="L"))),0.4*(SUMPRODUCT(('Eval-Avant action écologique'!$A$761:$A$780=CS10)*('Eval-Avant action écologique'!$N$761:$P$780="LS"))),0.25*(SUMPRODUCT(('Eval-Avant action écologique'!$A$761:$A$780=CS10)*('Eval-Avant action écologique'!$N$761:$P$780="SL"))),0.1*(SUMPRODUCT(('Eval-Avant action écologique'!$A$761:$A$780=CS10)*('Eval-Avant action écologique'!$N$761:$P$780="S"))))/(3*COUNTIF('Eval-Avant action écologique'!$A$761:$A$780,CS10))),"")</f>
        <v/>
      </c>
      <c r="DM10" s="214" t="str">
        <f>IF(COUNTIF('Eval-Avant action écologique'!$A$761:$A$780,CS10)&gt;0,IF(OR(AND('Eval-Avant action écologique'!$A$761=CS10,OR(COUNTIF('Eval-Avant action écologique'!$Q$761:$Y$761,"*T*")&gt;0,DP9&lt;120)),AND('Eval-Avant action écologique'!$A$762=CS10,OR(COUNTIF('Eval-Avant action écologique'!$Q$762:$Y$762,"*T*")&gt;0,DP10&lt;120)),AND('Eval-Avant action écologique'!$A$763=CS10,OR(COUNTIF('Eval-Avant action écologique'!$Q$763:$Y$763,"*T*")&gt;0,DP11&lt;120)),AND('Eval-Avant action écologique'!$A$764=CS10,OR(COUNTIF('Eval-Avant action écologique'!$Q$764:$Y$764,"*T*")&gt;0,DP12&lt;120)),AND('Eval-Avant action écologique'!$A$765=CS10,OR(COUNTIF('Eval-Avant action écologique'!$Q$765:$Y$765,"*T*")&gt;0,DP13&lt;120)),AND('Eval-Avant action écologique'!$A$766=CS10,OR(COUNTIF('Eval-Avant action écologique'!$Q$766:$Y$766,"*T*")&gt;0,DP14&lt;120)),AND('Eval-Avant action écologique'!$A$767=CS10,OR(COUNTIF('Eval-Avant action écologique'!$Q$767:$Y$767,"*T*")&gt;0,DP15&lt;120)),AND('Eval-Avant action écologique'!$A$768=CS10,OR(COUNTIF('Eval-Avant action écologique'!$Q$768:$Y$768,"*T*")&gt;0,DP16&lt;120)),AND('Eval-Avant action écologique'!$A$769=CS10,OR(COUNTIF('Eval-Avant action écologique'!$Q$769:$Y$769,"*T*")&gt;0,DP17&lt;120)),AND('Eval-Avant action écologique'!$A$770=CS10,OR(COUNTIF('Eval-Avant action écologique'!$Q$770:$Y$770,"*T*")&gt;0,DP18&lt;120)),AND('Eval-Avant action écologique'!$A$771=CS10,OR(COUNTIF('Eval-Avant action écologique'!$Q$771:$Y$771,"*T*")&gt;0,DP19&lt;120)),AND('Eval-Avant action écologique'!$A$772=CS10,OR(COUNTIF('Eval-Avant action écologique'!$Q$772:$Y$772,"*T*")&gt;0,DP20&lt;120)),AND('Eval-Avant action écologique'!$A$773=CS10,OR(COUNTIF('Eval-Avant action écologique'!$Q$773:$Y$773,"*T*")&gt;0,DP21&lt;120)),AND('Eval-Avant action écologique'!$A$774=CS10,OR(COUNTIF('Eval-Avant action écologique'!$Q$774:$Y$774,"*T*")&gt;0,DP22&lt;120)),AND('Eval-Avant action écologique'!$A$775=CS10,OR(COUNTIF('Eval-Avant action écologique'!$Q$775:$Y$775,"*T*")&gt;0,DP23&lt;120)),AND('Eval-Avant action écologique'!$A$776=CS10,OR(COUNTIF('Eval-Avant action écologique'!$Q$776:$Y$776,"*T*")&gt;0,DP24&lt;120)),AND('Eval-Avant action écologique'!$A$777=CS10,OR(COUNTIF('Eval-Avant action écologique'!$Q$777:$Y$777,"*T*")&gt;0,DP25&lt;120)),AND('Eval-Avant action écologique'!$A$778=CS10,OR(COUNTIF('Eval-Avant action écologique'!$Q$778:$Y$778,"*T*")&gt;0,DP26&lt;120)),AND('Eval-Avant action écologique'!$A$779=CS10,OR(COUNTIF('Eval-Avant action écologique'!$Q$779:$Y$779,"*T*")&gt;0,DP27&lt;120)),AND('Eval-Avant action écologique'!$A$780=CS10,OR(COUNTIF('Eval-Avant action écologique'!$Q$780:$Y$780,"*T*")&gt;0,DP28&lt;120))),"",SUM(1*(SUMPRODUCT(('Eval-Avant action écologique'!$A$761:$A$780=CS10)*('Eval-Avant action écologique'!$Q$761:$Y$780="A"))),0.85*(SUMPRODUCT(('Eval-Avant action écologique'!$A$761:$A$780=CS10)*('Eval-Avant action écologique'!$Q$761:$Y$780="AL"))),0.7*(SUMPRODUCT(('Eval-Avant action écologique'!$A$761:$A$780=CS10)*('Eval-Avant action écologique'!$Q$761:$Y$780="LA"))),0.55*(SUMPRODUCT(('Eval-Avant action écologique'!$A$761:$A$780=CS10)*('Eval-Avant action écologique'!$Q$761:$Y$780="L"))),0.4*(SUMPRODUCT(('Eval-Avant action écologique'!$A$761:$A$780=CS10)*('Eval-Avant action écologique'!$Q$761:$Y$780="LS"))),0.25*(SUMPRODUCT(('Eval-Avant action écologique'!$A$761:$A$780=CS10)*('Eval-Avant action écologique'!$Q$761:$Y$780="SL"))),0.1*(SUMPRODUCT(('Eval-Avant action écologique'!$A$761:$A$780=CS10)*('Eval-Avant action écologique'!$Q$761:$Y$780="S"))))/(9*COUNTIF('Eval-Avant action écologique'!$A$761:$A$780,CS10))),"")</f>
        <v/>
      </c>
      <c r="DN10" s="215"/>
      <c r="DO10" s="216">
        <f>'Eval-Avant action écologique'!$D$762</f>
        <v>2</v>
      </c>
      <c r="DP10" s="217" t="str">
        <f>IF(DQ10="C",0,IF(IF(COUNTIF('Eval-Avant action écologique'!$N$762:$Y$762,"=C")&gt;0,(COUNTA('Eval-Avant action écologique'!$N$762:$Y$762)-1)*10,COUNTA('Eval-Avant action écologique'!$N$762:$Y$762)*10)=0,"",IF(COUNTIF('Eval-Avant action écologique'!$N$762:$Y$762,"=C")&gt;0,(COUNTA('Eval-Avant action écologique'!$N$762:$Y$762)-1)*10,COUNTA('Eval-Avant action écologique'!$N$762:$Y$762)*10)))</f>
        <v/>
      </c>
      <c r="DQ10" s="217" t="str">
        <f>CONCATENATE('Eval-Avant action écologique'!$N$762,'Eval-Avant action écologique'!$O$762,'Eval-Avant action écologique'!$P$762,'Eval-Avant action écologique'!$Q$762,'Eval-Avant action écologique'!$R$762,'Eval-Avant action écologique'!$S$762,'Eval-Avant action écologique'!$T$762,'Eval-Avant action écologique'!$U$762,'Eval-Avant action écologique'!$V$762,'Eval-Avant action écologique'!$W$762,'Eval-Avant action écologique'!$X$762,'Eval-Avant action écologique'!$Y$762)</f>
        <v/>
      </c>
      <c r="DR10" s="217" t="str">
        <f t="shared" si="12"/>
        <v/>
      </c>
      <c r="DS10" s="217" t="str">
        <f t="shared" si="13"/>
        <v/>
      </c>
      <c r="DT10" s="217" t="str">
        <f>IF(COUNTIF('Eval-Avant action écologique'!$N$762:$Y$762,"=C")&gt;0,"X","")</f>
        <v/>
      </c>
      <c r="DU10" s="217" t="str">
        <f t="shared" si="14"/>
        <v/>
      </c>
      <c r="DV10" s="218" t="str">
        <f t="shared" si="15"/>
        <v/>
      </c>
      <c r="DW10" s="197"/>
      <c r="DY10" s="210">
        <v>2</v>
      </c>
      <c r="DZ10" s="211" t="str">
        <f>IF(COUNTIF('Eval-Avec act. écol. envisagée'!$A$761:$A$780,DY10)&gt;0,SUM(IF('Eval-Avec act. écol. envisagée'!$A$761=DY10,'Eval-Avec act. écol. envisagée'!$B$761,0),IF('Eval-Avec act. écol. envisagée'!$A$762=DY10, 'Eval-Avec act. écol. envisagée'!$B$762,0),IF('Eval-Avec act. écol. envisagée'!$A$763=DY10, 'Eval-Avec act. écol. envisagée'!$B$763,0),IF('Eval-Avec act. écol. envisagée'!$A$764=DY10, 'Eval-Avec act. écol. envisagée'!$B$764,0),IF('Eval-Avec act. écol. envisagée'!$A$765=DY10, 'Eval-Avec act. écol. envisagée'!$B$765,0),IF('Eval-Avec act. écol. envisagée'!$A$766=DY10, 'Eval-Avec act. écol. envisagée'!$B$766,0),IF('Eval-Avec act. écol. envisagée'!$A$767=DY10, 'Eval-Avec act. écol. envisagée'!$B$767,0),IF('Eval-Avec act. écol. envisagée'!$A$768=DY10, 'Eval-Avec act. écol. envisagée'!$B$768,0),IF('Eval-Avec act. écol. envisagée'!$A$769=DY10, 'Eval-Avec act. écol. envisagée'!$B$769,0),IF('Eval-Avec act. écol. envisagée'!$A$770=DY10, 'Eval-Avec act. écol. envisagée'!$B$770,0),IF('Eval-Avec act. écol. envisagée'!$A$771=DY10, 'Eval-Avec act. écol. envisagée'!$B$771,0),IF('Eval-Avec act. écol. envisagée'!$A$772=DY10, 'Eval-Avec act. écol. envisagée'!$B$772,0),IF('Eval-Avec act. écol. envisagée'!$A$773=DY10, 'Eval-Avec act. écol. envisagée'!$B$773,0),IF('Eval-Avec act. écol. envisagée'!$A$774=DY10, 'Eval-Avec act. écol. envisagée'!$B$774,0),IF('Eval-Avec act. écol. envisagée'!$A$775=DY10, 'Eval-Avec act. écol. envisagée'!$B$775,0),IF('Eval-Avec act. écol. envisagée'!$A$776=DY10, 'Eval-Avec act. écol. envisagée'!$B$776,0),IF('Eval-Avec act. écol. envisagée'!$A$777=DY10, 'Eval-Avec act. écol. envisagée'!$B$777,0),IF('Eval-Avec act. écol. envisagée'!$A$778=DY10, 'Eval-Avec act. écol. envisagée'!$B$778,0),IF('Eval-Avec act. écol. envisagée'!$A$779=DY10, 'Eval-Avec act. écol. envisagée'!$B$779,0),IF('Eval-Avec act. écol. envisagée'!$A$780=DY10, 'Eval-Avec act. écol. envisagée'!$B$780,0))/COUNTIF('Eval-Avec act. écol. envisagée'!$A$761:$A$780,DY10),"")</f>
        <v/>
      </c>
      <c r="EA10" s="212" t="str">
        <f>IF(COUNTIF('Eval-Avec act. écol. envisagée'!$A$761:$A$780,DY10)&gt;0,COUNTIF('Eval-Avec act. écol. envisagée'!$A$761:$A$780,DY10),"")</f>
        <v/>
      </c>
      <c r="EB10" s="211" t="str">
        <f>IF(COUNTIF('Eval-Avec act. écol. envisagée'!$A$761:$A$780,DY10)&gt;0,IF(OR(AND('Eval-Avec act. écol. envisagée'!$A$761=DY10, 'Eval-Avec act. écol. envisagée'!$G$761=""),AND('Eval-Avec act. écol. envisagée'!$A$762=DY10, 'Eval-Avec act. écol. envisagée'!$G$762=""),AND('Eval-Avec act. écol. envisagée'!$A$763=DY10, 'Eval-Avec act. écol. envisagée'!$G$763=""),AND('Eval-Avec act. écol. envisagée'!$A$764=DY10, 'Eval-Avec act. écol. envisagée'!$G$764=""),AND('Eval-Avec act. écol. envisagée'!$A$765=DY10, 'Eval-Avec act. écol. envisagée'!$G$765=""),AND('Eval-Avec act. écol. envisagée'!$A$766=DY10, 'Eval-Avec act. écol. envisagée'!$G$766=""),AND('Eval-Avec act. écol. envisagée'!$A$767=DY10, 'Eval-Avec act. écol. envisagée'!$G$767=""),AND('Eval-Avec act. écol. envisagée'!$A$768=DY10, 'Eval-Avec act. écol. envisagée'!$G$768=""),AND('Eval-Avec act. écol. envisagée'!$A$769=DY10, 'Eval-Avec act. écol. envisagée'!$G$769=""),AND('Eval-Avec act. écol. envisagée'!$A$770=DY10, 'Eval-Avec act. écol. envisagée'!$G$770=""),AND('Eval-Avec act. écol. envisagée'!$A$771=DY10, 'Eval-Avec act. écol. envisagée'!$G$771=""),AND('Eval-Avec act. écol. envisagée'!$A$772=DY10, 'Eval-Avec act. écol. envisagée'!$G$772=""),AND('Eval-Avec act. écol. envisagée'!$A$773=DY10, 'Eval-Avec act. écol. envisagée'!$G$773=""),AND('Eval-Avec act. écol. envisagée'!$A$774=DY10, 'Eval-Avec act. écol. envisagée'!$G$774=""),AND('Eval-Avec act. écol. envisagée'!$A$775=DY10, 'Eval-Avec act. écol. envisagée'!$G$775=""),AND('Eval-Avec act. écol. envisagée'!$A$776=DY10, 'Eval-Avec act. écol. envisagée'!$G$776=""),AND('Eval-Avec act. écol. envisagée'!$A$777=DY10, 'Eval-Avec act. écol. envisagée'!$G$777=""),AND('Eval-Avec act. écol. envisagée'!$A$778=DY10, 'Eval-Avec act. écol. envisagée'!$G$778=""),AND('Eval-Avec act. écol. envisagée'!$A$779=DY10, 'Eval-Avec act. écol. envisagée'!$G$779=""),AND('Eval-Avec act. écol. envisagée'!$A$780=DY10, 'Eval-Avec act. écol. envisagée'!$G$780="")),"",SUM(IF('Eval-Avec act. écol. envisagée'!$A$761=DY10,'Eval-Avec act. écol. envisagée'!$G$761,0),IF('Eval-Avec act. écol. envisagée'!$A$762=DY10,'Eval-Avec act. écol. envisagée'!$G$762,0),IF('Eval-Avec act. écol. envisagée'!$A$763=DY10,'Eval-Avec act. écol. envisagée'!$G$763,0),IF('Eval-Avec act. écol. envisagée'!$A$764=DY10,'Eval-Avec act. écol. envisagée'!$G$764,0),IF('Eval-Avec act. écol. envisagée'!$A$765=DY10,'Eval-Avec act. écol. envisagée'!$G$765,0),IF('Eval-Avec act. écol. envisagée'!$A$766=DY10,'Eval-Avec act. écol. envisagée'!$G$766,0),IF('Eval-Avec act. écol. envisagée'!$A$767=DY10,'Eval-Avec act. écol. envisagée'!$G$767,0),IF('Eval-Avec act. écol. envisagée'!$A$768=DY10,'Eval-Avec act. écol. envisagée'!$G$768,0),IF('Eval-Avec act. écol. envisagée'!$A$769=DY10,'Eval-Avec act. écol. envisagée'!$G$769,0),IF('Eval-Avec act. écol. envisagée'!$A$770=DY10,'Eval-Avec act. écol. envisagée'!$G$770,0),IF('Eval-Avec act. écol. envisagée'!$A$771=DY10,'Eval-Avec act. écol. envisagée'!$G$771,0),IF('Eval-Avec act. écol. envisagée'!$A$772=DY10,'Eval-Avec act. écol. envisagée'!$G$772,0),IF('Eval-Avec act. écol. envisagée'!$A$773=DY10,'Eval-Avec act. écol. envisagée'!$G$773,0),IF('Eval-Avec act. écol. envisagée'!$A$774=DY10,'Eval-Avec act. écol. envisagée'!$G$774,0),IF('Eval-Avec act. écol. envisagée'!$A$775=DY10,'Eval-Avec act. écol. envisagée'!$G$775,0), IF('Eval-Avec act. écol. envisagée'!$A$776=DY10,'Eval-Avec act. écol. envisagée'!$G$776,0), IF('Eval-Avec act. écol. envisagée'!$A$777=DY10,'Eval-Avec act. écol. envisagée'!$G$777,0), IF('Eval-Avec act. écol. envisagée'!$A$778=DY10,'Eval-Avec act. écol. envisagée'!$G$778,0), IF('Eval-Avec act. écol. envisagée'!$A$779=DY10,'Eval-Avec act. écol. envisagée'!$G$779,0), IF('Eval-Avec act. écol. envisagée'!$A$780=DY10,'Eval-Avec act. écol. envisagée'!$G$780,0))/ COUNTIF('Eval-Avec act. écol. envisagée'!$A$761:$A$780,DY10)),"")</f>
        <v/>
      </c>
      <c r="EC10" s="212" t="str">
        <f>IF(COUNTIF('Eval-Avec act. écol. envisagée'!$A$761:$A$780,DY10)&gt;0,IF(SUM(IF('Eval-Avec act. écol. envisagée'!$A$761=DY10,COUNTA('Eval-Avec act. écol. envisagée'!$H$761),0),IF('Eval-Avec act. écol. envisagée'!$A$762=DY10,COUNTA('Eval-Avec act. écol. envisagée'!$H$762),0),IF('Eval-Avec act. écol. envisagée'!$A$763=DY10,COUNTA('Eval-Avec act. écol. envisagée'!$H$763),0),IF('Eval-Avec act. écol. envisagée'!$A$764=DY10,COUNTA('Eval-Avec act. écol. envisagée'!$H$764),0),IF('Eval-Avec act. écol. envisagée'!$A$765=DY10,COUNTA('Eval-Avec act. écol. envisagée'!$H$765),0),IF('Eval-Avec act. écol. envisagée'!$A$766=DY10,COUNTA('Eval-Avec act. écol. envisagée'!$H$766),0),IF('Eval-Avec act. écol. envisagée'!$A$767=DY10,COUNTA('Eval-Avec act. écol. envisagée'!$H$767),0),IF('Eval-Avec act. écol. envisagée'!$A$768=DY10,COUNTA('Eval-Avec act. écol. envisagée'!$H$768),0),IF('Eval-Avec act. écol. envisagée'!$A$769=DY10,COUNTA('Eval-Avec act. écol. envisagée'!$H$769),0),IF('Eval-Avec act. écol. envisagée'!$A$770=DY10,COUNTA('Eval-Avec act. écol. envisagée'!$H$770),0),IF('Eval-Avec act. écol. envisagée'!$A$771=DY10,COUNTA('Eval-Avec act. écol. envisagée'!$H$771),0),IF('Eval-Avec act. écol. envisagée'!$A$772=DY10,COUNTA('Eval-Avec act. écol. envisagée'!$H$772),0),IF('Eval-Avec act. écol. envisagée'!$A$773=DY10,COUNTA('Eval-Avec act. écol. envisagée'!$H$773),0),IF('Eval-Avec act. écol. envisagée'!$A$774=DY10,COUNTA('Eval-Avec act. écol. envisagée'!$H$774),0),IF('Eval-Avec act. écol. envisagée'!$A$775=DY10,COUNTA('Eval-Avec act. écol. envisagée'!$H$775),0),IF('Eval-Avec act. écol. envisagée'!$A$776=DY10,COUNTA('Eval-Avec act. écol. envisagée'!$H$776),0),IF('Eval-Avec act. écol. envisagée'!$A$777=DY10,COUNTA('Eval-Avec act. écol. envisagée'!$H$777),0),IF('Eval-Avec act. écol. envisagée'!$A$778=DY10,COUNTA('Eval-Avec act. écol. envisagée'!$H$778),0),IF('Eval-Avec act. écol. envisagée'!$A$779=DY10,COUNTA('Eval-Avec act. écol. envisagée'!$H$779),0),IF('Eval-Avec act. écol. envisagée'!$A$780=DY10,COUNTA('Eval-Avec act. écol. envisagée'!$H$780),0))&gt;0,"X",0),"")</f>
        <v/>
      </c>
      <c r="ED10" s="213" t="str">
        <f>IF(COUNTIF('Eval-Avec act. écol. envisagée'!$A$761:$A$780,DY10)&gt;0,IF(SUM(IF('Eval-Avec act. écol. envisagée'!$A$761=DY10,COUNTA('Eval-Avec act. écol. envisagée'!$I$761),0),IF('Eval-Avec act. écol. envisagée'!$A$762=DY10,COUNTA('Eval-Avec act. écol. envisagée'!$I$762),0),IF('Eval-Avec act. écol. envisagée'!$A$763=DY10,COUNTA('Eval-Avec act. écol. envisagée'!$I$763),0),IF('Eval-Avec act. écol. envisagée'!$A$764=DY10,COUNTA('Eval-Avec act. écol. envisagée'!$I$764),0),IF('Eval-Avec act. écol. envisagée'!$A$765=DY10,COUNTA('Eval-Avec act. écol. envisagée'!$I$765),0),IF('Eval-Avec act. écol. envisagée'!$A$766=DY10,COUNTA('Eval-Avec act. écol. envisagée'!$I$766),0),IF('Eval-Avec act. écol. envisagée'!$A$767=DY10,COUNTA('Eval-Avec act. écol. envisagée'!$I$767),0),IF('Eval-Avec act. écol. envisagée'!$A$768=DY10,COUNTA('Eval-Avec act. écol. envisagée'!$I$768),0),IF('Eval-Avec act. écol. envisagée'!$A$769=DY10,COUNTA('Eval-Avec act. écol. envisagée'!$I$769),0),IF('Eval-Avec act. écol. envisagée'!$A$770=DY10,COUNTA('Eval-Avec act. écol. envisagée'!$I$770),0),IF('Eval-Avec act. écol. envisagée'!$A$771=DY10,COUNTA('Eval-Avec act. écol. envisagée'!$I$771),0),IF('Eval-Avec act. écol. envisagée'!$A$772=DY10,COUNTA('Eval-Avec act. écol. envisagée'!$I$772),0),IF('Eval-Avec act. écol. envisagée'!$A$773=DY10,COUNTA('Eval-Avec act. écol. envisagée'!$I$773),0),IF('Eval-Avec act. écol. envisagée'!$A$774=DY10,COUNTA('Eval-Avec act. écol. envisagée'!$I$774),0),IF('Eval-Avec act. écol. envisagée'!$A$775=DY10,COUNTA('Eval-Avec act. écol. envisagée'!$I$775),0),IF('Eval-Avec act. écol. envisagée'!$A$776=DY10,COUNTA('Eval-Avec act. écol. envisagée'!$I$776),0),IF('Eval-Avec act. écol. envisagée'!$A$777=DY10,COUNTA('Eval-Avec act. écol. envisagée'!$I$777),0),IF('Eval-Avec act. écol. envisagée'!$A$778=DY10,COUNTA('Eval-Avec act. écol. envisagée'!$I$778),0),IF('Eval-Avec act. écol. envisagée'!$A$779=DY10,COUNTA('Eval-Avec act. écol. envisagée'!$I$779),0),IF('Eval-Avec act. écol. envisagée'!$A$780=DY10,COUNTA('Eval-Avec act. écol. envisagée'!$I$780),0))&gt;0,"X",0),"")</f>
        <v/>
      </c>
      <c r="EE10" s="213" t="str">
        <f>IF(COUNTIF('Eval-Avec act. écol. envisagée'!$A$761:$A$780,DY10)&gt;0,IF(SUM(IF('Eval-Avec act. écol. envisagée'!$A$761=DY10,COUNTA('Eval-Avec act. écol. envisagée'!$J$761),0),IF('Eval-Avec act. écol. envisagée'!$A$762=DY10,COUNTA('Eval-Avec act. écol. envisagée'!$J$762),0),IF('Eval-Avec act. écol. envisagée'!$A$763=DY10,COUNTA('Eval-Avec act. écol. envisagée'!$J$763),0),IF('Eval-Avec act. écol. envisagée'!$A$764=DY10,COUNTA('Eval-Avec act. écol. envisagée'!$J$764),0),IF('Eval-Avec act. écol. envisagée'!$A$765=DY10,COUNTA('Eval-Avec act. écol. envisagée'!$J$765),0),IF('Eval-Avec act. écol. envisagée'!$A$766=DY10,COUNTA('Eval-Avec act. écol. envisagée'!$J$766),0),IF('Eval-Avec act. écol. envisagée'!$A$767=DY10,COUNTA('Eval-Avec act. écol. envisagée'!$J$767),0),IF('Eval-Avec act. écol. envisagée'!$A$768=DY10,COUNTA('Eval-Avec act. écol. envisagée'!$J$768),0),IF('Eval-Avec act. écol. envisagée'!$A$769=DY10,COUNTA('Eval-Avec act. écol. envisagée'!$J$769),0),IF('Eval-Avec act. écol. envisagée'!$A$770=DY10,COUNTA('Eval-Avec act. écol. envisagée'!$J$770),0),IF('Eval-Avec act. écol. envisagée'!$A$771=DY10,COUNTA('Eval-Avec act. écol. envisagée'!$J$771),0),IF('Eval-Avec act. écol. envisagée'!$A$772=DY10,COUNTA('Eval-Avec act. écol. envisagée'!$J$772),0),IF('Eval-Avec act. écol. envisagée'!$A$773=DY10,COUNTA('Eval-Avec act. écol. envisagée'!$J$773),0),IF('Eval-Avec act. écol. envisagée'!$A$774=DY10,COUNTA('Eval-Avec act. écol. envisagée'!$J$774),0),IF('Eval-Avec act. écol. envisagée'!$A$775=DY10,COUNTA('Eval-Avec act. écol. envisagée'!$J$775),0),IF('Eval-Avec act. écol. envisagée'!$A$776=DY10,COUNTA('Eval-Avec act. écol. envisagée'!$J$776),0),IF('Eval-Avec act. écol. envisagée'!$A$777=DY10,COUNTA('Eval-Avec act. écol. envisagée'!$J$777),0),IF('Eval-Avec act. écol. envisagée'!$A$778=DY10,COUNTA('Eval-Avec act. écol. envisagée'!$J$778),0),IF('Eval-Avec act. écol. envisagée'!$A$779=DY10,COUNTA('Eval-Avec act. écol. envisagée'!$J$779),0),IF('Eval-Avec act. écol. envisagée'!$A$780=DY10,COUNTA('Eval-Avec act. écol. envisagée'!$J$780),0))&gt;0,"X",0),"")</f>
        <v/>
      </c>
      <c r="EF10" s="213" t="str">
        <f>IF(COUNTIF('Eval-Avec act. écol. envisagée'!$A$761:$A$780,DY10)&gt;0,IF(SUM(IF('Eval-Avec act. écol. envisagée'!$A$761=DY10,COUNTA('Eval-Avec act. écol. envisagée'!$K$761),0),IF('Eval-Avec act. écol. envisagée'!$A$762=DY10,COUNTA('Eval-Avec act. écol. envisagée'!$K$762),0),IF('Eval-Avec act. écol. envisagée'!$A$763=DY10,COUNTA('Eval-Avec act. écol. envisagée'!$K$763),0),IF('Eval-Avec act. écol. envisagée'!$A$764=DY10,COUNTA('Eval-Avec act. écol. envisagée'!$K$764),0),IF('Eval-Avec act. écol. envisagée'!$A$765=DY10,COUNTA('Eval-Avec act. écol. envisagée'!$K$765),0),IF('Eval-Avec act. écol. envisagée'!$A$766=DY10,COUNTA('Eval-Avec act. écol. envisagée'!$K$766),0),IF('Eval-Avec act. écol. envisagée'!$A$767=DY10,COUNTA('Eval-Avec act. écol. envisagée'!$K$767),0),IF('Eval-Avec act. écol. envisagée'!$A$768=DY10,COUNTA('Eval-Avec act. écol. envisagée'!$K$768),0),IF('Eval-Avec act. écol. envisagée'!$A$769=DY10,COUNTA('Eval-Avec act. écol. envisagée'!$K$769),0),IF('Eval-Avec act. écol. envisagée'!$A$770=DY10,COUNTA('Eval-Avec act. écol. envisagée'!$K$770),0),IF('Eval-Avec act. écol. envisagée'!$A$771=DY10,COUNTA('Eval-Avec act. écol. envisagée'!$K$771),0),IF('Eval-Avec act. écol. envisagée'!$A$772=DY10,COUNTA('Eval-Avec act. écol. envisagée'!$K$772),0),IF('Eval-Avec act. écol. envisagée'!$A$773=DY10,COUNTA('Eval-Avec act. écol. envisagée'!$K$773),0),IF('Eval-Avec act. écol. envisagée'!$A$774=DY10,COUNTA('Eval-Avec act. écol. envisagée'!$K$774),0),IF('Eval-Avec act. écol. envisagée'!$A$775=DY10,COUNTA('Eval-Avec act. écol. envisagée'!$K$775),0),IF('Eval-Avec act. écol. envisagée'!$A$776=DY10,COUNTA('Eval-Avec act. écol. envisagée'!$K$776),0),IF('Eval-Avec act. écol. envisagée'!$A$777=DY10,COUNTA('Eval-Avec act. écol. envisagée'!$K$777),0),IF('Eval-Avec act. écol. envisagée'!$A$778=DY10,COUNTA('Eval-Avec act. écol. envisagée'!$K$778),0),IF('Eval-Avec act. écol. envisagée'!$A$779=DY10,COUNTA('Eval-Avec act. écol. envisagée'!$K$779),0),IF('Eval-Avec act. écol. envisagée'!$A$780=DY10,COUNTA('Eval-Avec act. écol. envisagée'!$K$780),0))&gt;0,"X",0),"")</f>
        <v/>
      </c>
      <c r="EG10" s="211" t="str">
        <f>IF(COUNTIF('Eval-Avec act. écol. envisagée'!$A$761:$A$780,DY10)&gt;0,IF(OR(AND('Eval-Avec act. écol. envisagée'!$A$761=DY10,'Eval-Avec act. écol. envisagée'!$L$761&lt;120,'Eval-Avec act. écol. envisagée'!$L$761&gt;=EV9),AND('Eval-Avec act. écol. envisagée'!$A$762=DY10,'Eval-Avec act. écol. envisagée'!$L$762&lt;120,'Eval-Avec act. écol. envisagée'!$L$762&gt;=EV10),AND('Eval-Avec act. écol. envisagée'!$A$763=DY10,'Eval-Avec act. écol. envisagée'!$L$763&lt;120,'Eval-Avec act. écol. envisagée'!$L$763&gt;=EV11),AND('Eval-Avec act. écol. envisagée'!$A$764=DY10,'Eval-Avec act. écol. envisagée'!$L$764&lt;120,'Eval-Avec act. écol. envisagée'!$L$764&gt;=EV12),AND('Eval-Avec act. écol. envisagée'!$A$765=DY10,'Eval-Avec act. écol. envisagée'!$L$765&lt;120,'Eval-Avec act. écol. envisagée'!$L$765&gt;=EV13),AND('Eval-Avec act. écol. envisagée'!$A$766=DY10,'Eval-Avec act. écol. envisagée'!$L$766&lt;120,'Eval-Avec act. écol. envisagée'!$L$766&gt;=EV14),AND('Eval-Avec act. écol. envisagée'!$A$767=DY10,'Eval-Avec act. écol. envisagée'!$L$767&lt;120,'Eval-Avec act. écol. envisagée'!$L$767&gt;=EV15),AND('Eval-Avec act. écol. envisagée'!$A$768=DY10,'Eval-Avec act. écol. envisagée'!$L$768&lt;120,'Eval-Avec act. écol. envisagée'!$L$768&gt;=EV16),AND('Eval-Avec act. écol. envisagée'!$A$769=DY10,'Eval-Avec act. écol. envisagée'!$L$769&lt;120,'Eval-Avec act. écol. envisagée'!$L$769&gt;=EV17),AND('Eval-Avec act. écol. envisagée'!$A$770=DY10,'Eval-Avec act. écol. envisagée'!$L$770&lt;120,'Eval-Avec act. écol. envisagée'!$L$770&gt;=EV18),AND('Eval-Avec act. écol. envisagée'!$A$771=DY10,'Eval-Avec act. écol. envisagée'!$L$771&lt;120,'Eval-Avec act. écol. envisagée'!$L$771&gt;=EV19),AND('Eval-Avec act. écol. envisagée'!$A$772=DY10,'Eval-Avec act. écol. envisagée'!$L$772&lt;120,'Eval-Avec act. écol. envisagée'!$L$772&gt;=EV20),AND('Eval-Avec act. écol. envisagée'!$A$773=DY10,'Eval-Avec act. écol. envisagée'!$L$773&lt;120,'Eval-Avec act. écol. envisagée'!$L$773&gt;=EV21),AND('Eval-Avec act. écol. envisagée'!$A$774=DY10,'Eval-Avec act. écol. envisagée'!$L$774&lt;120,'Eval-Avec act. écol. envisagée'!$L$774&gt;=EV22),AND('Eval-Avec act. écol. envisagée'!$A$775=DY10,'Eval-Avec act. écol. envisagée'!$L$775&lt;120,'Eval-Avec act. écol. envisagée'!$L$775&gt;=EV23),AND('Eval-Avec act. écol. envisagée'!$A$776=DY10,'Eval-Avec act. écol. envisagée'!$L$776&lt;120,'Eval-Avec act. écol. envisagée'!$L$776&gt;=EV24),AND('Eval-Avec act. écol. envisagée'!$A$777=DY10,'Eval-Avec act. écol. envisagée'!$L$777&lt;120,'Eval-Avec act. écol. envisagée'!$L$777&gt;=EV25),AND('Eval-Avec act. écol. envisagée'!$A$778=DY10,'Eval-Avec act. écol. envisagée'!$L$778&lt;120,'Eval-Avec act. écol. envisagée'!$L$778&gt;=EV26),AND('Eval-Avec act. écol. envisagée'!$A$779=DY10,'Eval-Avec act. écol. envisagée'!$L$779&lt;120,'Eval-Avec act. écol. envisagée'!$L$779&gt;=EV27),AND('Eval-Avec act. écol. envisagée'!$A$780=DY10,'Eval-Avec act. écol. envisagée'!$L$780&lt;120,'Eval-Avec act. écol. envisagée'!$L$780&gt;=EV28)),"",SUM(IF('Eval-Avec act. écol. envisagée'!$A$761=DY10,'Eval-Avec act. écol. envisagée'!$L$761,0),IF('Eval-Avec act. écol. envisagée'!$A$762=DY10,'Eval-Avec act. écol. envisagée'!$L$762,0),IF('Eval-Avec act. écol. envisagée'!$A$763=DY10,'Eval-Avec act. écol. envisagée'!$L$763,0),IF('Eval-Avec act. écol. envisagée'!$A$764=DY10,'Eval-Avec act. écol. envisagée'!$L$764,0),IF('Eval-Avec act. écol. envisagée'!$A$765=DY10,'Eval-Avec act. écol. envisagée'!$L$765,0),IF('Eval-Avec act. écol. envisagée'!$A$766=DY10,'Eval-Avec act. écol. envisagée'!$L$766,0),IF('Eval-Avec act. écol. envisagée'!$A$767=DY10,'Eval-Avec act. écol. envisagée'!$L$767,0),IF('Eval-Avec act. écol. envisagée'!$A$768=DY10,'Eval-Avec act. écol. envisagée'!$L$768,0),IF('Eval-Avec act. écol. envisagée'!$A$769=DY10,'Eval-Avec act. écol. envisagée'!$L$769,0),IF('Eval-Avec act. écol. envisagée'!$A$770=DY10,'Eval-Avec act. écol. envisagée'!$L$770,0),IF('Eval-Avec act. écol. envisagée'!$A$771=DY10,'Eval-Avec act. écol. envisagée'!$L$771,0),IF('Eval-Avec act. écol. envisagée'!$A$772=DY10,'Eval-Avec act. écol. envisagée'!$L$772,0),IF('Eval-Avec act. écol. envisagée'!$A$773=DY10,'Eval-Avec act. écol. envisagée'!$L$773,0),IF('Eval-Avec act. écol. envisagée'!$A$774=DY10,'Eval-Avec act. écol. envisagée'!$L$774,0),IF('Eval-Avec act. écol. envisagée'!$A$775=DY10,'Eval-Avec act. écol. envisagée'!$L$775,0),IF('Eval-Avec act. écol. envisagée'!$A$776=DY10,'Eval-Avec act. écol. envisagée'!$L$776,0),IF('Eval-Avec act. écol. envisagée'!$A$777=DY10,'Eval-Avec act. écol. envisagée'!$L$777,0),IF('Eval-Avec act. écol. envisagée'!$A$778=DY10,'Eval-Avec act. écol. envisagée'!$L$778,0),IF('Eval-Avec act. écol. envisagée'!$A$779=DY10,'Eval-Avec act. écol. envisagée'!$L$779,0),IF('Eval-Avec act. écol. envisagée'!$A$780=DY10,'Eval-Avec act. écol. envisagée'!$L$780,0))/ COUNTIF('Eval-Avec act. écol. envisagée'!$A$761:$A$780,DY10)),"")</f>
        <v/>
      </c>
      <c r="EH10" s="211" t="str">
        <f>IF(COUNTIF('Eval-Avec act. écol. envisagée'!$A$761:$A$780,DY10)&gt;0,IF(OR(AND('Eval-Avec act. écol. envisagée'!$A$761=DY10, EV9&lt;120),AND(EV10&lt;120),AND(EV11&lt;120),AND(EV12&lt;120),AND(EV13&lt;120),AND(EV14&lt;120),AND(EV15&lt;120),AND(EV16&lt;120),AND(EV17&lt;120),AND(EV18&lt;120),AND(EV19&lt;120),AND(EV20&lt;120),AND(EV21&lt;120),AND(EV22&lt;120),AND(EV23&lt;120),AND(EV24&lt;120),AND(EV25&lt;120),AND(EV26&lt;120),AND(EV27&lt;120),AND(EV28&lt;120)),"",SUM(IF('Eval-Avec act. écol. envisagée'!$A$761=DY10,'Eval-Avec act. écol. envisagée'!$M$761,0),IF('Eval-Avec act. écol. envisagée'!$A$762=DY10,'Eval-Avec act. écol. envisagée'!$M$762,0),IF('Eval-Avec act. écol. envisagée'!$A$763=DY10,'Eval-Avec act. écol. envisagée'!$M$763,0),IF('Eval-Avec act. écol. envisagée'!$A$764=DY10,'Eval-Avec act. écol. envisagée'!$M$764,0),IF('Eval-Avec act. écol. envisagée'!$A$765=DY10,'Eval-Avec act. écol. envisagée'!$M$765,0),IF('Eval-Avec act. écol. envisagée'!$A$766=DY10,'Eval-Avec act. écol. envisagée'!$M$766,0),IF('Eval-Avec act. écol. envisagée'!$A$767=DY10,'Eval-Avec act. écol. envisagée'!$M$767,0),IF('Eval-Avec act. écol. envisagée'!$A$768=DY10,'Eval-Avec act. écol. envisagée'!$M$768,0),IF('Eval-Avec act. écol. envisagée'!$A$769=DY10,'Eval-Avec act. écol. envisagée'!$M$769,0),IF('Eval-Avec act. écol. envisagée'!$A$770=DY10,'Eval-Avec act. écol. envisagée'!$M$770,0),IF('Eval-Avec act. écol. envisagée'!$A$771=DY10,'Eval-Avec act. écol. envisagée'!$M$771,0),IF('Eval-Avec act. écol. envisagée'!$A$772=DY10,'Eval-Avec act. écol. envisagée'!$M$772,0),IF('Eval-Avec act. écol. envisagée'!$A$773=DY10,'Eval-Avec act. écol. envisagée'!$M$773,0),IF('Eval-Avec act. écol. envisagée'!$A$774=DY10,'Eval-Avec act. écol. envisagée'!$M$774,0),IF('Eval-Avec act. écol. envisagée'!$A$775=DY10,'Eval-Avec act. écol. envisagée'!$M$775,0), IF('Eval-Avec act. écol. envisagée'!$A$776=DY10,'Eval-Avec act. écol. envisagée'!$M$776,0), IF('Eval-Avec act. écol. envisagée'!$A$777=DY10,'Eval-Avec act. écol. envisagée'!$M$777,0), IF('Eval-Avec act. écol. envisagée'!$A$778=DY10,'Eval-Avec act. écol. envisagée'!$M$778,0), IF('Eval-Avec act. écol. envisagée'!$A$779=DY10,'Eval-Avec act. écol. envisagée'!$M$779,0), IF('Eval-Avec act. écol. envisagée'!$A$780=DY10,'Eval-Avec act. écol. envisagée'!$M$780,0))/COUNTIF('Eval-Avec act. écol. envisagée'!$A$761:$A$780,DY10)),"")</f>
        <v/>
      </c>
      <c r="EI10" s="211" t="str">
        <f>IF(COUNTIF('Eval-Avec act. écol. envisagée'!$A$761:$A$780,DY10)&gt;0,SUM(IF('Eval-Avec act. écol. envisagée'!$A$761=DY10,LEN(SUBSTITUTE((SUBSTITUTE(EX9,"TM","")),"TS",""))*10/2,0),IF('Eval-Avec act. écol. envisagée'!$A$762=DY10,LEN(SUBSTITUTE((SUBSTITUTE(EX10,"TM","")),"TS",""))*10/2,0),IF('Eval-Avec act. écol. envisagée'!$A$763=DY10,LEN(SUBSTITUTE((SUBSTITUTE(EX11,"TM","")),"TS",""))*10/2,0),IF('Eval-Avec act. écol. envisagée'!$A$764=DY10,LEN(SUBSTITUTE((SUBSTITUTE(EX12,"TM","")),"TS",""))*10/2,0),IF('Eval-Avec act. écol. envisagée'!$A$765=DY10,LEN(SUBSTITUTE((SUBSTITUTE(EX13,"TM","")),"TS",""))*10/2,0),IF('Eval-Avec act. écol. envisagée'!$A$766=DY10,LEN(SUBSTITUTE((SUBSTITUTE(EX14,"TM","")),"TS",""))*10/2,0),IF('Eval-Avec act. écol. envisagée'!$A$767=DY10,LEN(SUBSTITUTE((SUBSTITUTE(EX15,"TM","")),"TS",""))*10/2,0),IF('Eval-Avec act. écol. envisagée'!$A$768=DY10,LEN(SUBSTITUTE((SUBSTITUTE(EX16,"TM","")),"TS",""))*10/2,0),IF('Eval-Avec act. écol. envisagée'!$A$769=DY10,LEN(SUBSTITUTE((SUBSTITUTE(EX17,"TM","")),"TS",""))*10/2,0),IF('Eval-Avec act. écol. envisagée'!$A$770=DY10,LEN(SUBSTITUTE((SUBSTITUTE(EX18,"TM","")),"TS",""))*10/2,0),IF('Eval-Avec act. écol. envisagée'!$A$771=DY10,LEN(SUBSTITUTE((SUBSTITUTE(EX19,"TM","")),"TS",""))*10/2,0),IF('Eval-Avec act. écol. envisagée'!$A$772=DY10,LEN(SUBSTITUTE((SUBSTITUTE(EX20,"TM","")),"TS",""))*10/2,0),IF('Eval-Avec act. écol. envisagée'!$A$773=DY10,LEN(SUBSTITUTE((SUBSTITUTE(EX21,"TM","")),"TS",""))*10/2,0),IF('Eval-Avec act. écol. envisagée'!$A$774=DY10,LEN(SUBSTITUTE((SUBSTITUTE(EX22,"TM","")),"TS",""))*10/2,0),IF('Eval-Avec act. écol. envisagée'!$A$775=DY10,LEN(SUBSTITUTE((SUBSTITUTE(EX23,"TM","")),"TS",""))*10/2,0),IF('Eval-Avec act. écol. envisagée'!$A$776=DY10,LEN(SUBSTITUTE((SUBSTITUTE(EX24,"TM","")),"TS",""))*10/2,0),IF('Eval-Avec act. écol. envisagée'!$A$777=DY10,LEN(SUBSTITUTE((SUBSTITUTE(EX25,"TM","")),"TS",""))*10/2,0),IF('Eval-Avec act. écol. envisagée'!$A$778=DY10,LEN(SUBSTITUTE((SUBSTITUTE(EX26,"TM","")),"TS",""))*10/2,0),IF('Eval-Avec act. écol. envisagée'!$A$779=DY10,LEN(SUBSTITUTE((SUBSTITUTE(EX27,"TM","")),"TS",""))*10/2,0),IF('Eval-Avec act. écol. envisagée'!$A$780=DY10,LEN(SUBSTITUTE((SUBSTITUTE(EX28,"TM","")),"TS",""))*10/2,0))/COUNTIF('Eval-Avec act. écol. envisagée'!$A$761:$A$780,DY10),"")</f>
        <v/>
      </c>
      <c r="EJ10" s="211" t="str">
        <f>IF(COUNTIF('Eval-Avec act. écol. envisagée'!$A$761:$A$780,DY10)&gt;0,SUM(IF('Eval-Avec act. écol. envisagée'!$A$761=DY10,LEN(SUBSTITUTE((SUBSTITUTE(EX9,"TF","")),"TS",""))*10/2,0),IF('Eval-Avec act. écol. envisagée'!$A$762=DY10,LEN(SUBSTITUTE((SUBSTITUTE(EX10,"TF","")),"TS",""))*10/2,0),IF('Eval-Avec act. écol. envisagée'!$A$763=DY10,LEN(SUBSTITUTE((SUBSTITUTE(EX11,"TF","")),"TS",""))*10/2,0),IF('Eval-Avec act. écol. envisagée'!$A$764=DY10,LEN(SUBSTITUTE((SUBSTITUTE(EX12,"TF","")),"TS",""))*10/2,0),IF('Eval-Avec act. écol. envisagée'!$A$765=DY10,LEN(SUBSTITUTE((SUBSTITUTE(EX13,"TF","")),"TS",""))*10/2,0),IF('Eval-Avec act. écol. envisagée'!$A$766=DY10,LEN(SUBSTITUTE((SUBSTITUTE(EX14,"TF","")),"TS",""))*10/2,0),IF('Eval-Avec act. écol. envisagée'!$A$767=DY10,LEN(SUBSTITUTE((SUBSTITUTE(EX15,"TF","")),"TS",""))*10/2,0),IF('Eval-Avec act. écol. envisagée'!$A$768=DY10,LEN(SUBSTITUTE((SUBSTITUTE(EX16,"TF","")),"TS",""))*10/2,0),IF('Eval-Avec act. écol. envisagée'!$A$769=DY10,LEN(SUBSTITUTE((SUBSTITUTE(EX17,"TF","")),"TS",""))*10/2,0),IF('Eval-Avec act. écol. envisagée'!$A$770=DY10,LEN(SUBSTITUTE((SUBSTITUTE(EX18,"TF","")),"TS",""))*10/2,0),IF('Eval-Avec act. écol. envisagée'!$A$771=DY10,LEN(SUBSTITUTE((SUBSTITUTE(EX19,"TF","")),"TS",""))*10/2,0),IF('Eval-Avec act. écol. envisagée'!$A$772=DY10,LEN(SUBSTITUTE((SUBSTITUTE(EX20,"TF","")),"TS",""))*10/2,0),IF('Eval-Avec act. écol. envisagée'!$A$773=DY10,LEN(SUBSTITUTE((SUBSTITUTE(EX21,"TF","")),"TS",""))*10/2,0),IF('Eval-Avec act. écol. envisagée'!$A$774=DY10,LEN(SUBSTITUTE((SUBSTITUTE(EX22,"TF","")),"TS",""))*10/2,0),IF('Eval-Avec act. écol. envisagée'!$A$775=DY10,LEN(SUBSTITUTE((SUBSTITUTE(EX23,"TF","")),"TS",""))*10/2,0),IF('Eval-Avec act. écol. envisagée'!$A$776=DY10,LEN(SUBSTITUTE((SUBSTITUTE(EX24,"TF","")),"TS",""))*10/2,0),IF('Eval-Avec act. écol. envisagée'!$A$777=DY10,LEN(SUBSTITUTE((SUBSTITUTE(EX25,"TF","")),"TS",""))*10/2,0),IF('Eval-Avec act. écol. envisagée'!$A$778=DY10,LEN(SUBSTITUTE((SUBSTITUTE(EX26,"TF","")),"TS",""))*10/2,0),IF('Eval-Avec act. écol. envisagée'!$A$779=DY10,LEN(SUBSTITUTE((SUBSTITUTE(EX27,"TF","")),"TS",""))*10/2,0),IF('Eval-Avec act. écol. envisagée'!$A$780=DY10,LEN(SUBSTITUTE((SUBSTITUTE(EX28,"TF","")),"TS",""))*10/2,0))/COUNTIF('Eval-Avec act. écol. envisagée'!$A$761:$A$780,DY10),"")</f>
        <v/>
      </c>
      <c r="EK10" s="211" t="str">
        <f>IF(COUNTIF('Eval-Avec act. écol. envisagée'!$A$761:$A$780,DY10)&gt;0,SUM(IF('Eval-Avec act. écol. envisagée'!$A$761=DY10,LEN(SUBSTITUTE((SUBSTITUTE(EX9,"TF","")),"TM",""))*10/2,0),IF('Eval-Avec act. écol. envisagée'!$A$762=DY10,LEN(SUBSTITUTE((SUBSTITUTE(EX10,"TF","")),"TM",""))*10/2,0),IF('Eval-Avec act. écol. envisagée'!$A$763=DY10,LEN(SUBSTITUTE((SUBSTITUTE(EX11,"TF","")),"TM",""))*10/2,0),IF('Eval-Avec act. écol. envisagée'!$A$764=DY10,LEN(SUBSTITUTE((SUBSTITUTE(EX12,"TF","")),"TM",""))*10/2,0),IF('Eval-Avec act. écol. envisagée'!$A$765=DY10,LEN(SUBSTITUTE((SUBSTITUTE(EX13,"TF","")),"TM",""))*10/2,0),IF('Eval-Avec act. écol. envisagée'!$A$766=DY10,LEN(SUBSTITUTE((SUBSTITUTE(EX14,"TF","")),"TM",""))*10/2,0),IF('Eval-Avec act. écol. envisagée'!$A$767=DY10,LEN(SUBSTITUTE((SUBSTITUTE(EX15,"TF","")),"TM",""))*10/2,0),IF('Eval-Avec act. écol. envisagée'!$A$768=DY10,LEN(SUBSTITUTE((SUBSTITUTE(EX16,"TF","")),"TM",""))*10/2,0),IF('Eval-Avec act. écol. envisagée'!$A$769=DY10,LEN(SUBSTITUTE((SUBSTITUTE(EX17,"TF","")),"TM",""))*10/2,0),IF('Eval-Avec act. écol. envisagée'!$A$770=DY10,LEN(SUBSTITUTE((SUBSTITUTE(EX18,"TF","")),"TM",""))*10/2,0),IF('Eval-Avec act. écol. envisagée'!$A$771=DY10,LEN(SUBSTITUTE((SUBSTITUTE(EX19,"TF","")),"TM",""))*10/2,0),IF('Eval-Avec act. écol. envisagée'!$A$772=DY10,LEN(SUBSTITUTE((SUBSTITUTE(EX20,"TF","")),"TM",""))*10/2,0),IF('Eval-Avec act. écol. envisagée'!$A$773=DY10,LEN(SUBSTITUTE((SUBSTITUTE(EX21,"TF","")),"TM",""))*10/2,0),IF('Eval-Avec act. écol. envisagée'!$A$774=DY10,LEN(SUBSTITUTE((SUBSTITUTE(EX22,"TF","")),"TM",""))*10/2,0),IF('Eval-Avec act. écol. envisagée'!$A$775=DY10,LEN(SUBSTITUTE((SUBSTITUTE(EX23,"TF","")),"TM",""))*10/2,0),IF('Eval-Avec act. écol. envisagée'!$A$776=DY10,LEN(SUBSTITUTE((SUBSTITUTE(EX24,"TF","")),"TM",""))*10/2,0),IF('Eval-Avec act. écol. envisagée'!$A$777=DY10,LEN(SUBSTITUTE((SUBSTITUTE(EX25,"TF","")),"TM",""))*10/2,0),IF('Eval-Avec act. écol. envisagée'!$A$778=DY10,LEN(SUBSTITUTE((SUBSTITUTE(EX26,"TF","")),"TM",""))*10/2,0),IF('Eval-Avec act. écol. envisagée'!$A$779=DY10,LEN(SUBSTITUTE((SUBSTITUTE(EX27,"TF","")),"TM",""))*10/2,0),IF('Eval-Avec act. écol. envisagée'!$A$780=DY10,LEN(SUBSTITUTE((SUBSTITUTE(EX28,"TF","")),"TM",""))*10/2,0))/COUNTIF('Eval-Avec act. écol. envisagée'!$A$761:$A$780,DY10),"")</f>
        <v/>
      </c>
      <c r="EL10" s="211" t="str">
        <f>IF(COUNTIF('Eval-Avec act. écol. envisagée'!$A$761:$A$780,DY10)&gt;0,SUM(IF('Eval-Avec act. écol. envisagée'!$A$761=DY10,LEN(SUBSTITUTE((SUBSTITUTE(EY9,"TM","")),"TS",""))*10/2,0),IF('Eval-Avec act. écol. envisagée'!$A$762=DY10,LEN(SUBSTITUTE((SUBSTITUTE(EY10,"TM","")),"TS",""))*10/2,0),IF('Eval-Avec act. écol. envisagée'!$A$763=DY10,LEN(SUBSTITUTE((SUBSTITUTE(EY11,"TM","")),"TS",""))*10/2,0),IF('Eval-Avec act. écol. envisagée'!$A$764=DY10,LEN(SUBSTITUTE((SUBSTITUTE(EY12,"TM","")),"TS",""))*10/2,0),IF('Eval-Avec act. écol. envisagée'!$A$765=DY10,LEN(SUBSTITUTE((SUBSTITUTE(EY13,"TM","")),"TS",""))*10/2,0),IF('Eval-Avec act. écol. envisagée'!$A$766=DY10,LEN(SUBSTITUTE((SUBSTITUTE(EY14,"TM","")),"TS",""))*10/2,0),IF('Eval-Avec act. écol. envisagée'!$A$767=DY10,LEN(SUBSTITUTE((SUBSTITUTE(EY15,"TM","")),"TS",""))*10/2,0),IF('Eval-Avec act. écol. envisagée'!$A$768=DY10,LEN(SUBSTITUTE((SUBSTITUTE(EY16,"TM","")),"TS",""))*10/2,0),IF('Eval-Avec act. écol. envisagée'!$A$769=DY10,LEN(SUBSTITUTE((SUBSTITUTE(EY17,"TM","")),"TS",""))*10/2,0),IF('Eval-Avec act. écol. envisagée'!$A$770=DY10,LEN(SUBSTITUTE((SUBSTITUTE(EY18,"TM","")),"TS",""))*10/2,0),IF('Eval-Avec act. écol. envisagée'!$A$771=DY10,LEN(SUBSTITUTE((SUBSTITUTE(EY19,"TM","")),"TS",""))*10/2,0),IF('Eval-Avec act. écol. envisagée'!$A$772=DY10,LEN(SUBSTITUTE((SUBSTITUTE(EY20,"TM","")),"TS",""))*10/2,0),IF('Eval-Avec act. écol. envisagée'!$A$773=DY10,LEN(SUBSTITUTE((SUBSTITUTE(EY21,"TM","")),"TS",""))*10/2,0),IF('Eval-Avec act. écol. envisagée'!$A$774=DY10,LEN(SUBSTITUTE((SUBSTITUTE(EY22,"TM","")),"TS",""))*10/2,0),IF('Eval-Avec act. écol. envisagée'!$A$775=DY10,LEN(SUBSTITUTE((SUBSTITUTE(EY23,"TM","")),"TS",""))*10/2,0),IF('Eval-Avec act. écol. envisagée'!$A$776=DY10,LEN(SUBSTITUTE((SUBSTITUTE(EY24,"TM","")),"TS",""))*10/2,0),IF('Eval-Avec act. écol. envisagée'!$A$777=DY10,LEN(SUBSTITUTE((SUBSTITUTE(EY25,"TM","")),"TS",""))*10/2,0),IF('Eval-Avec act. écol. envisagée'!$A$778=DY10,LEN(SUBSTITUTE((SUBSTITUTE(EY26,"TM","")),"TS",""))*10/2,0),IF('Eval-Avec act. écol. envisagée'!$A$779=DY10,LEN(SUBSTITUTE((SUBSTITUTE(EY27,"TM","")),"TS",""))*10/2,0),IF('Eval-Avec act. écol. envisagée'!$A$780=DY10,LEN(SUBSTITUTE((SUBSTITUTE(EY28,"TM","")),"TS",""))*10/2,0))/COUNTIF('Eval-Avec act. écol. envisagée'!$A$761:$A$780,DY10),"")</f>
        <v/>
      </c>
      <c r="EM10" s="211" t="str">
        <f>IF(COUNTIF('Eval-Avec act. écol. envisagée'!$A$761:$A$780,DY10)&gt;0,SUM(IF('Eval-Avec act. écol. envisagée'!$A$761=DY10,LEN(SUBSTITUTE((SUBSTITUTE(EY9,"TF","")),"TS",""))*10/2,0),IF('Eval-Avec act. écol. envisagée'!$A$762=DY10,LEN(SUBSTITUTE((SUBSTITUTE(EY10,"TF","")),"TS",""))*10/2,0),IF('Eval-Avec act. écol. envisagée'!$A$763=DY10,LEN(SUBSTITUTE((SUBSTITUTE(EY11,"TF","")),"TS",""))*10/2,0),IF('Eval-Avec act. écol. envisagée'!$A$764=DY10,LEN(SUBSTITUTE((SUBSTITUTE(EY12,"TF","")),"TS",""))*10/2,0),IF('Eval-Avec act. écol. envisagée'!$A$765=DY10,LEN(SUBSTITUTE((SUBSTITUTE(EY13,"TF","")),"TS",""))*10/2,0),IF('Eval-Avec act. écol. envisagée'!$A$766=DY10,LEN(SUBSTITUTE((SUBSTITUTE(EY14,"TF","")),"TS",""))*10/2,0),IF('Eval-Avec act. écol. envisagée'!$A$767=DY10,LEN(SUBSTITUTE((SUBSTITUTE(EY15,"TF","")),"TS",""))*10/2,0),IF('Eval-Avec act. écol. envisagée'!$A$768=DY10,LEN(SUBSTITUTE((SUBSTITUTE(EY16,"TF","")),"TS",""))*10/2,0),IF('Eval-Avec act. écol. envisagée'!$A$769=DY10,LEN(SUBSTITUTE((SUBSTITUTE(EY17,"TF","")),"TS",""))*10/2,0),IF('Eval-Avec act. écol. envisagée'!$A$770=DY10,LEN(SUBSTITUTE((SUBSTITUTE(EY18,"TF","")),"TS",""))*10/2,0),IF('Eval-Avec act. écol. envisagée'!$A$771=DY10,LEN(SUBSTITUTE((SUBSTITUTE(EY19,"TF","")),"TS",""))*10/2,0),IF('Eval-Avec act. écol. envisagée'!$A$772=DY10,LEN(SUBSTITUTE((SUBSTITUTE(EY20,"TF","")),"TS",""))*10/2,0),IF('Eval-Avec act. écol. envisagée'!$A$773=DY10,LEN(SUBSTITUTE((SUBSTITUTE(EY21,"TF","")),"TS",""))*10/2,0),IF('Eval-Avec act. écol. envisagée'!$A$774=DY10,LEN(SUBSTITUTE((SUBSTITUTE(EY22,"TF","")),"TS",""))*10/2,0),IF('Eval-Avec act. écol. envisagée'!$A$775=DY10,LEN(SUBSTITUTE((SUBSTITUTE(EY23,"TF","")),"TS",""))*10/2,0),IF('Eval-Avec act. écol. envisagée'!$A$776=DY10,LEN(SUBSTITUTE((SUBSTITUTE(EY24,"TF","")),"TS",""))*10/2,0),IF('Eval-Avec act. écol. envisagée'!$A$777=DY10,LEN(SUBSTITUTE((SUBSTITUTE(EY25,"TF","")),"TS",""))*10/2,0),IF('Eval-Avec act. écol. envisagée'!$A$778=DY10,LEN(SUBSTITUTE((SUBSTITUTE(EY26,"TF","")),"TS",""))*10/2,0),IF('Eval-Avec act. écol. envisagée'!$A$779=DY10,LEN(SUBSTITUTE((SUBSTITUTE(EY27,"TF","")),"TS",""))*10/2,0),IF('Eval-Avec act. écol. envisagée'!$A$780=DY10,LEN(SUBSTITUTE((SUBSTITUTE(EY28,"TF","")),"TS",""))*10/2,0))/COUNTIF('Eval-Avec act. écol. envisagée'!$A$761:$A$780,DY10),"")</f>
        <v/>
      </c>
      <c r="EN10" s="211" t="str">
        <f>IF(COUNTIF('Eval-Avec act. écol. envisagée'!$A$761:$A$780,DY10)&gt;0,SUM(IF('Eval-Avec act. écol. envisagée'!$A$761=DY10,LEN(SUBSTITUTE((SUBSTITUTE(EY9,"TF","")),"TM",""))*10/2,0),IF('Eval-Avec act. écol. envisagée'!$A$762=DY10,LEN(SUBSTITUTE((SUBSTITUTE(EY10,"TF","")),"TM",""))*10/2,0),IF('Eval-Avec act. écol. envisagée'!$A$763=DY10,LEN(SUBSTITUTE((SUBSTITUTE(EY11,"TF","")),"TM",""))*10/2,0),IF('Eval-Avec act. écol. envisagée'!$A$764=DY10,LEN(SUBSTITUTE((SUBSTITUTE(EY12,"TF","")),"TM",""))*10/2,0),IF('Eval-Avec act. écol. envisagée'!$A$765=DY10,LEN(SUBSTITUTE((SUBSTITUTE(EY13,"TF","")),"TM",""))*10/2,0),IF('Eval-Avec act. écol. envisagée'!$A$766=DY10,LEN(SUBSTITUTE((SUBSTITUTE(EY14,"TF","")),"TM",""))*10/2,0),IF('Eval-Avec act. écol. envisagée'!$A$767=DY10,LEN(SUBSTITUTE((SUBSTITUTE(EY15,"TF","")),"TM",""))*10/2,0),IF('Eval-Avec act. écol. envisagée'!$A$768=DY10,LEN(SUBSTITUTE((SUBSTITUTE(EY16,"TF","")),"TM",""))*10/2,0),IF('Eval-Avec act. écol. envisagée'!$A$769=DY10,LEN(SUBSTITUTE((SUBSTITUTE(EY17,"TF","")),"TM",""))*10/2,0),IF('Eval-Avec act. écol. envisagée'!$A$770=DY10,LEN(SUBSTITUTE((SUBSTITUTE(EY18,"TF","")),"TM",""))*10/2,0),IF('Eval-Avec act. écol. envisagée'!$A$771=DY10,LEN(SUBSTITUTE((SUBSTITUTE(EY19,"TF","")),"TM",""))*10/2,0),IF('Eval-Avec act. écol. envisagée'!$A$772=DY10,LEN(SUBSTITUTE((SUBSTITUTE(EY20,"TF","")),"TM",""))*10/2,0),IF('Eval-Avec act. écol. envisagée'!$A$773=DY10,LEN(SUBSTITUTE((SUBSTITUTE(EY21,"TF","")),"TM",""))*10/2,0),IF('Eval-Avec act. écol. envisagée'!$A$774=DY10,LEN(SUBSTITUTE((SUBSTITUTE(EY22,"TF","")),"TM",""))*10/2,0),IF('Eval-Avec act. écol. envisagée'!$A$775=DY10,LEN(SUBSTITUTE((SUBSTITUTE(EY23,"TF","")),"TM",""))*10/2,0),IF('Eval-Avec act. écol. envisagée'!$A$776=DY10,LEN(SUBSTITUTE((SUBSTITUTE(EY24,"TF","")),"TM",""))*10/2,0),IF('Eval-Avec act. écol. envisagée'!$A$777=DY10,LEN(SUBSTITUTE((SUBSTITUTE(EY25,"TF","")),"TM",""))*10/2,0),IF('Eval-Avec act. écol. envisagée'!$A$778=DY10,LEN(SUBSTITUTE((SUBSTITUTE(EY26,"TF","")),"TM",""))*10/2,0),IF('Eval-Avec act. écol. envisagée'!$A$779=DY10,LEN(SUBSTITUTE((SUBSTITUTE(EY27,"TF","")),"TM",""))*10/2,0),IF('Eval-Avec act. écol. envisagée'!$A$780=DY10,LEN(SUBSTITUTE((SUBSTITUTE(EY28,"TF","")),"TM",""))*10/2,0))/COUNTIF('Eval-Avec act. écol. envisagée'!$A$761:$A$780,DY10),"")</f>
        <v/>
      </c>
      <c r="EO10" s="211" t="str">
        <f>IF(COUNTIF('Eval-Avec act. écol. envisagée'!$A$761:$A$780,DY10)&gt;0,IF(OR(AND('Eval-Avec act. écol. envisagée'!$A$761=DY10,EV9&lt;30),AND('Eval-Avec act. écol. envisagée'!$A$762=DY10,EV10&lt;30),AND('Eval-Avec act. écol. envisagée'!$A$763=DY10,EV11&lt;30),AND('Eval-Avec act. écol. envisagée'!$A$764=DY10,EV12&lt;30),AND('Eval-Avec act. écol. envisagée'!$A$765=DY10,EV13&lt;30),AND('Eval-Avec act. écol. envisagée'!$A$766=DY10,EV14&lt;30),AND('Eval-Avec act. écol. envisagée'!$A$767=DY10,EV15&lt;30),AND('Eval-Avec act. écol. envisagée'!$A$768=DY10,EV16&lt;30),AND('Eval-Avec act. écol. envisagée'!$A$769=DY10,EV17&lt;30),AND('Eval-Avec act. écol. envisagée'!$A$770=DY10,EV18&lt;30),AND('Eval-Avec act. écol. envisagée'!$A$771=DY10,EV19&lt;30),AND('Eval-Avec act. écol. envisagée'!$A$772=DY10,EV20&lt;30),AND('Eval-Avec act. écol. envisagée'!$A$773=DY10,EV21&lt;30),AND('Eval-Avec act. écol. envisagée'!$A$774=DY10,EV22&lt;30),AND('Eval-Avec act. écol. envisagée'!$A$775=DY10,EV23&lt;30),AND('Eval-Avec act. écol. envisagée'!$A$776=DY10,EV24&lt;30),AND('Eval-Avec act. écol. envisagée'!$A$777=DY10,EV25&lt;30),AND('Eval-Avec act. écol. envisagée'!$A$778=DY10,EV26&lt;30),AND('Eval-Avec act. écol. envisagée'!$A$779=DY10,EV27&lt;30),AND('Eval-Avec act. écol. envisagée'!$A$780=DY10,EV28&lt;30)),"",SUM(0.1*(SUMPRODUCT(('Eval-Avec act. écol. envisagée'!$A$761:$A$780=DY10)*('Eval-Avec act. écol. envisagée'!$N$761:$P$780="A"))+ SUMPRODUCT(('Eval-Avec act. écol. envisagée'!$A$761:$A$780=DY10)*('Eval-Avec act. écol. envisagée'!$N$761:$P$780="AL"))),0.7*(SUMPRODUCT(('Eval-Avec act. écol. envisagée'!$A$761:$A$780=DY10)*('Eval-Avec act. écol. envisagée'!$N$761:$P$780="TF"))+SUMPRODUCT(('Eval-Avec act. écol. envisagée'!$A$761:$A$780=DY10)*('Eval-Avec act. écol. envisagée'!$N$761:$P$780="TM"))+SUMPRODUCT(('Eval-Avec act. écol. envisagée'!$A$761:$A$780=DY10)*('Eval-Avec act. écol. envisagée'!$N$761:$P$780="TS"))),0.4*(SUMPRODUCT(('Eval-Avec act. écol. envisagée'!$A$761:$A$780=DY10)*('Eval-Avec act. écol. envisagée'!$N$761:$P$780="LA"))+SUMPRODUCT(('Eval-Avec act. écol. envisagée'!$A$761:$A$780=DY10)*('Eval-Avec act. écol. envisagée'!$N$761:$P$780="L"))+SUMPRODUCT(('Eval-Avec act. écol. envisagée'!$A$761:$A$780=DY10)*('Eval-Avec act. écol. envisagée'!$N$761:$P$780="LS"))),1*(SUMPRODUCT(('Eval-Avec act. écol. envisagée'!$A$761:$A$780=DY10)*('Eval-Avec act. écol. envisagée'!$N$761:$P$780="SL"))+ SUMPRODUCT(('Eval-Avec act. écol. envisagée'!$A$761:$A$780=DY10)*('Eval-Avec act. écol. envisagée'!$N$761:$P$780="S"))))/(3*COUNTIF('Eval-Avec act. écol. envisagée'!$A$761:$A$780,DY10))),"")</f>
        <v/>
      </c>
      <c r="EP10" s="211" t="str">
        <f>IF(COUNTIF('Eval-Avec act. écol. envisagée'!$A$761:$A$780,DY10)&gt;0,IF(OR(AND('Eval-Avec act. écol. envisagée'!$A$761=DY10,EV9&lt;120),AND('Eval-Avec act. écol. envisagée'!$A$762=DY10,EV10&lt;120),AND('Eval-Avec act. écol. envisagée'!$A$763=DY10,EV11&lt;120),AND('Eval-Avec act. écol. envisagée'!$A$764=DY10,EV12&lt;120),AND('Eval-Avec act. écol. envisagée'!$A$765=DY10,EV13&lt;120),AND('Eval-Avec act. écol. envisagée'!$A$766=DY10,EV14&lt;120),AND('Eval-Avec act. écol. envisagée'!$A$767=DY10,EV15&lt;120),AND('Eval-Avec act. écol. envisagée'!$A$768=DY10,EV16&lt;120),AND('Eval-Avec act. écol. envisagée'!$A$769=DY10,EV17&lt;120),AND('Eval-Avec act. écol. envisagée'!$A$770=DY10,EV18&lt;120),AND('Eval-Avec act. écol. envisagée'!$A$771=DY10,EV19&lt;120),AND('Eval-Avec act. écol. envisagée'!$A$772=DY10,EV20&lt;120),AND('Eval-Avec act. écol. envisagée'!$A$773=DY10,EV21&lt;120),AND('Eval-Avec act. écol. envisagée'!$A$774=DY10,EV22&lt;120),AND('Eval-Avec act. écol. envisagée'!$A$775=DY10,EV23&lt;120),AND('Eval-Avec act. écol. envisagée'!$A$776=DY10,EV24&lt;120),AND('Eval-Avec act. écol. envisagée'!$A$777=DY10,EV25&lt;120),AND('Eval-Avec act. écol. envisagée'!$A$778=DY10,EV26&lt;120),AND('Eval-Avec act. écol. envisagée'!$A$779=DY10,EV27&lt;120),AND('Eval-Avec act. écol. envisagée'!$A$780=DY10,EV28&lt;120)),"",SUM(0.1*(SUMPRODUCT(('Eval-Avec act. écol. envisagée'!$A$761:$A$780=DY10)*('Eval-Avec act. écol. envisagée'!$Q$761:$Y$780="A"))+ SUMPRODUCT(('Eval-Avec act. écol. envisagée'!$A$761:$A$780=DY10)*('Eval-Avec act. écol. envisagée'!$Q$761:$Y$780="AL"))),0.7*(SUMPRODUCT(('Eval-Avec act. écol. envisagée'!$A$761:$A$780=DY10)*('Eval-Avec act. écol. envisagée'!$Q$761:$Y$780="TF"))+SUMPRODUCT(('Eval-Avec act. écol. envisagée'!$A$761:$A$780=DY10)*('Eval-Avec act. écol. envisagée'!$Q$761:$Y$780="TM"))+SUMPRODUCT(('Eval-Avec act. écol. envisagée'!$A$761:$A$780=DY10)*('Eval-Avec act. écol. envisagée'!$Q$761:$Y$780="TS"))),0.4*(SUMPRODUCT(('Eval-Avec act. écol. envisagée'!$A$761:$A$780=DY10)*('Eval-Avec act. écol. envisagée'!$Q$761:$Y$780="LA"))+SUMPRODUCT(('Eval-Avec act. écol. envisagée'!$A$761:$A$780=DY10)*('Eval-Avec act. écol. envisagée'!$Q$761:$Y$780="L"))+SUMPRODUCT(('Eval-Avec act. écol. envisagée'!$A$761:$A$780=DY10)*('Eval-Avec act. écol. envisagée'!$Q$761:$Y$780="LS"))),1*(SUMPRODUCT(('Eval-Avec act. écol. envisagée'!$A$761:$A$780=DY10)*('Eval-Avec act. écol. envisagée'!$Q$761:$Y$780="SL"))+ SUMPRODUCT(('Eval-Avec act. écol. envisagée'!$A$761:$A$780=DY10)*('Eval-Avec act. écol. envisagée'!$Q$761:$Y$780="S"))))/(9*COUNTIF('Eval-Avec act. écol. envisagée'!$A$761:$A$780,DY10))),"")</f>
        <v/>
      </c>
      <c r="EQ10" s="211" t="str">
        <f>IF(COUNTIF('Eval-Avec act. écol. envisagée'!$A$761:$A$780,DY10)&gt;0,IF(OR(AND('Eval-Avec act. écol. envisagée'!$A$761=DY10,OR(COUNTIF('Eval-Avec act. écol. envisagée'!$N$761:$P$761,"*T*")&gt;0,EV9&lt;30)),AND('Eval-Avec act. écol. envisagée'!$A$762=DY10,OR(COUNTIF('Eval-Avec act. écol. envisagée'!$N$762:$P$762,"*T*")&gt;0,EV10&lt;30)),AND('Eval-Avec act. écol. envisagée'!$A$763=DY10,OR(COUNTIF('Eval-Avec act. écol. envisagée'!$N$763:$P$763,"*T*")&gt;0,EV11&lt;30)),AND('Eval-Avec act. écol. envisagée'!$A$764=DY10,OR(COUNTIF('Eval-Avec act. écol. envisagée'!$N$764:$P$764,"*T*")&gt;0,EV12&lt;30)),AND('Eval-Avec act. écol. envisagée'!$A$765=DY10,OR(COUNTIF('Eval-Avec act. écol. envisagée'!$N$765:$P$765,"*T*")&gt;0,EV13&lt;30)),AND('Eval-Avec act. écol. envisagée'!$A$766=DY10,OR(COUNTIF('Eval-Avec act. écol. envisagée'!$N$766:$P$766,"*T*")&gt;0,EV14&lt;30)),AND('Eval-Avec act. écol. envisagée'!$A$767=DY10,OR(COUNTIF('Eval-Avec act. écol. envisagée'!$N$767:$P$767,"*T*")&gt;0,EV15&lt;30)),AND('Eval-Avec act. écol. envisagée'!$A$768=DY10,OR(COUNTIF('Eval-Avec act. écol. envisagée'!$N$768:$P$768,"*T*")&gt;0,EV16&lt;30)),AND('Eval-Avec act. écol. envisagée'!$A$769=DY10,OR(COUNTIF('Eval-Avec act. écol. envisagée'!$N$769:$P$769,"*T*")&gt;0,EV17&lt;30)),AND('Eval-Avec act. écol. envisagée'!$A$770=DY10,OR(COUNTIF('Eval-Avec act. écol. envisagée'!$N$770:$P$770,"*T*")&gt;0,EV18&lt;30)),AND('Eval-Avec act. écol. envisagée'!$A$771=DY10,OR(COUNTIF('Eval-Avec act. écol. envisagée'!$N$771:$P$771,"*T*")&gt;0,EV19&lt;30)),AND('Eval-Avec act. écol. envisagée'!$A$772=DY10,OR(COUNTIF('Eval-Avec act. écol. envisagée'!$N$772:$P$772,"*T*")&gt;0,EV20&lt;30)),AND('Eval-Avec act. écol. envisagée'!$A$773=DY10,OR(COUNTIF('Eval-Avec act. écol. envisagée'!$N$773:$P$773,"*T*")&gt;0,EV21&lt;30)),AND('Eval-Avec act. écol. envisagée'!$A$774=DY10,OR(COUNTIF('Eval-Avec act. écol. envisagée'!$N$774:$P$774,"*T*")&gt;0,EV22&lt;30)),AND('Eval-Avec act. écol. envisagée'!$A$775=DY10,OR(COUNTIF('Eval-Avec act. écol. envisagée'!$N$775:$P$775,"*T*")&gt;0,EV23&lt;30)),AND('Eval-Avec act. écol. envisagée'!$A$776=DY10,OR(COUNTIF('Eval-Avec act. écol. envisagée'!$N$776:$P$776,"*T*")&gt;0,EV24&lt;30)),AND('Eval-Avec act. écol. envisagée'!$A$777=DY10,OR(COUNTIF('Eval-Avec act. écol. envisagée'!$N$777:$P$777,"*T*")&gt;0,EV25&lt;30)),AND('Eval-Avec act. écol. envisagée'!$A$778=DY10,OR(COUNTIF('Eval-Avec act. écol. envisagée'!$N$778:$P$778,"*T*")&gt;0,EV26&lt;30)),AND('Eval-Avec act. écol. envisagée'!$A$779=DY10,OR(COUNTIF('Eval-Avec act. écol. envisagée'!$N$779:$P$779,"*T*")&gt;0,EV27&lt;30)),AND('Eval-Avec act. écol. envisagée'!$A$780=DY10,OR(COUNTIF('Eval-Avec act. écol. envisagée'!$N$780:$P$780,"*T*")&gt;0,EV28&lt;30))),"",SUM(0.1*(SUMPRODUCT(('Eval-Avec act. écol. envisagée'!$A$761:$A$780=DY10)*('Eval-Avec act. écol. envisagée'!$N$761:$P$780="L"))),0.4*(SUMPRODUCT(('Eval-Avec act. écol. envisagée'!$A$761:$A$780=DY10)*('Eval-Avec act. écol. envisagée'!$N$761:$P$780="LA"))+SUMPRODUCT(('Eval-Avec act. écol. envisagée'!$A$761:$A$780=DY10)*('Eval-Avec act. écol. envisagée'!$N$761:$P$780="LS"))),0.7*(SUMPRODUCT(('Eval-Avec act. écol. envisagée'!$A$761:$A$780=DY10)*('Eval-Avec act. écol. envisagée'!$N$761:$P$780="AL"))+SUMPRODUCT(('Eval-Avec act. écol. envisagée'!$A$761:$A$780=DY10)*('Eval-Avec act. écol. envisagée'!$N$761:$P$780="SL"))),1*(SUMPRODUCT(('Eval-Avec act. écol. envisagée'!$A$761:$A$780=DY10)*('Eval-Avec act. écol. envisagée'!$N$761:$P$780="S"))+ SUMPRODUCT(('Eval-Avec act. écol. envisagée'!$A$761:$A$780=DY10)*('Eval-Avec act. écol. envisagée'!$N$761:$P$780="A"))))/(3*COUNTIF('Eval-Avec act. écol. envisagée'!$A$761:$A$780,DY10))),"")</f>
        <v/>
      </c>
      <c r="ER10" s="211" t="str">
        <f>IF(COUNTIF('Eval-Avec act. écol. envisagée'!$A$761:$A$780,DY10)&gt;0,IF(OR(AND('Eval-Avec act. écol. envisagée'!$A$761=DY10,OR(COUNTIF('Eval-Avec act. écol. envisagée'!$N$761:$P$761,"*T*")&gt;0,EV9&lt;30)),AND('Eval-Avec act. écol. envisagée'!$A$762=DY10,OR(COUNTIF('Eval-Avec act. écol. envisagée'!$N$762:$P$762,"*T*")&gt;0,EV10&lt;30)),AND('Eval-Avec act. écol. envisagée'!$A$763=DY10,OR(COUNTIF('Eval-Avec act. écol. envisagée'!$N$763:$P$763,"*T*")&gt;0,EV11&lt;30)),AND('Eval-Avec act. écol. envisagée'!$A$764=DY10,OR(COUNTIF('Eval-Avec act. écol. envisagée'!$N$764:$P$764,"*T*")&gt;0,EV12&lt;30)),AND('Eval-Avec act. écol. envisagée'!$A$765=DY10,OR(COUNTIF('Eval-Avec act. écol. envisagée'!$N$765:$P$765,"*T*")&gt;0,EV13&lt;30)),AND('Eval-Avec act. écol. envisagée'!$A$766=DY10,OR(COUNTIF('Eval-Avec act. écol. envisagée'!$N$766:$P$766,"*T*")&gt;0,EV14&lt;30)),AND('Eval-Avec act. écol. envisagée'!$A$767=DY10,OR(COUNTIF('Eval-Avec act. écol. envisagée'!$N$767:$P$767,"*T*")&gt;0,EV15&lt;30)),AND('Eval-Avec act. écol. envisagée'!$A$768=DY10,OR(COUNTIF('Eval-Avec act. écol. envisagée'!$N$768:$P$768,"*T*")&gt;0,EV16&lt;30)),AND('Eval-Avec act. écol. envisagée'!$A$769=DY10,OR(COUNTIF('Eval-Avec act. écol. envisagée'!$N$769:$P$769,"*T*")&gt;0,EV17&lt;30)),AND('Eval-Avec act. écol. envisagée'!$A$770=DY10,OR(COUNTIF('Eval-Avec act. écol. envisagée'!$N$770:$P$770,"*T*")&gt;0,EV18&lt;30)),AND('Eval-Avec act. écol. envisagée'!$A$771=DY10,OR(COUNTIF('Eval-Avec act. écol. envisagée'!$N$771:$P$771,"*T*")&gt;0,EV19&lt;30)),AND('Eval-Avec act. écol. envisagée'!$A$772=DY10,OR(COUNTIF('Eval-Avec act. écol. envisagée'!$N$772:$P$772,"*T*")&gt;0,EV20&lt;30)),AND('Eval-Avec act. écol. envisagée'!$A$773=DY10,OR(COUNTIF('Eval-Avec act. écol. envisagée'!$N$773:$P$773,"*T*")&gt;0,EV21&lt;30)),AND('Eval-Avec act. écol. envisagée'!$A$774=DY10,OR(COUNTIF('Eval-Avec act. écol. envisagée'!$N$774:$P$774,"*T*")&gt;0,EV22&lt;30)),AND('Eval-Avec act. écol. envisagée'!$A$775=DY10,OR(COUNTIF('Eval-Avec act. écol. envisagée'!$N$775:$P$775,"*T*")&gt;0,EV23&lt;30)),AND('Eval-Avec act. écol. envisagée'!$A$776=DY10,OR(COUNTIF('Eval-Avec act. écol. envisagée'!$N$776:$P$776,"*T*")&gt;0,EV24&lt;30)),AND('Eval-Avec act. écol. envisagée'!$A$777=DY10,OR(COUNTIF('Eval-Avec act. écol. envisagée'!$N$777:$P$777,"*T*")&gt;0,EV25&lt;30)),AND('Eval-Avec act. écol. envisagée'!$A$778=DY10,OR(COUNTIF('Eval-Avec act. écol. envisagée'!$N$778:$P$778,"*T*")&gt;0,EV26&lt;30)),AND('Eval-Avec act. écol. envisagée'!$A$779=DY10,OR(COUNTIF('Eval-Avec act. écol. envisagée'!$N$779:$P$779,"*T*")&gt;0,EV27&lt;30)),AND('Eval-Avec act. écol. envisagée'!$A$780=DY10,OR(COUNTIF('Eval-Avec act. écol. envisagée'!$N$780:$P$780,"*T*")&gt;0,EV28&lt;30))),"",SUM(1*(SUMPRODUCT(('Eval-Avec act. écol. envisagée'!$A$761:$A$780=DY10)*('Eval-Avec act. écol. envisagée'!$N$761:$P$780="A"))),0.85*(SUMPRODUCT(('Eval-Avec act. écol. envisagée'!$A$761:$A$780=DY10)*('Eval-Avec act. écol. envisagée'!$N$761:$P$780="AL"))),0.7*(SUMPRODUCT(('Eval-Avec act. écol. envisagée'!$A$761:$A$780=DY10)*('Eval-Avec act. écol. envisagée'!$N$761:$P$780="LA"))),0.55*(SUMPRODUCT(('Eval-Avec act. écol. envisagée'!$A$761:$A$780=DY10)*('Eval-Avec act. écol. envisagée'!$N$761:$P$780="L"))),0.4*(SUMPRODUCT(('Eval-Avec act. écol. envisagée'!$A$761:$A$780=DY10)*('Eval-Avec act. écol. envisagée'!$N$761:$P$780="LS"))),0.25*(SUMPRODUCT(('Eval-Avec act. écol. envisagée'!$A$761:$A$780=DY10)*('Eval-Avec act. écol. envisagée'!$N$761:$P$780="SL"))),0.1*(SUMPRODUCT(('Eval-Avec act. écol. envisagée'!$A$761:$A$780=DY10)*('Eval-Avec act. écol. envisagée'!$N$761:$P$780="S"))))/(3*COUNTIF('Eval-Avec act. écol. envisagée'!$A$761:$A$780,DY10))),"")</f>
        <v/>
      </c>
      <c r="ES10" s="214" t="str">
        <f>IF(COUNTIF('Eval-Avec act. écol. envisagée'!$A$761:$A$780,DY10)&gt;0,IF(OR(AND('Eval-Avec act. écol. envisagée'!$A$761=DY10,OR(COUNTIF('Eval-Avec act. écol. envisagée'!$Q$761:$Y$761,"*T*")&gt;0,EV9&lt;120)),AND('Eval-Avec act. écol. envisagée'!$A$762=DY10,OR(COUNTIF('Eval-Avec act. écol. envisagée'!$Q$762:$Y$762,"*T*")&gt;0,EV10&lt;120)),AND('Eval-Avec act. écol. envisagée'!$A$763=DY10,OR(COUNTIF('Eval-Avec act. écol. envisagée'!$Q$763:$Y$763,"*T*")&gt;0,EV11&lt;120)),AND('Eval-Avec act. écol. envisagée'!$A$764=DY10,OR(COUNTIF('Eval-Avec act. écol. envisagée'!$Q$764:$Y$764,"*T*")&gt;0,EV12&lt;120)),AND('Eval-Avec act. écol. envisagée'!$A$765=DY10,OR(COUNTIF('Eval-Avec act. écol. envisagée'!$Q$765:$Y$765,"*T*")&gt;0,EV13&lt;120)),AND('Eval-Avec act. écol. envisagée'!$A$766=DY10,OR(COUNTIF('Eval-Avec act. écol. envisagée'!$Q$766:$Y$766,"*T*")&gt;0,EV14&lt;120)),AND('Eval-Avec act. écol. envisagée'!$A$767=DY10,OR(COUNTIF('Eval-Avec act. écol. envisagée'!$Q$767:$Y$767,"*T*")&gt;0,EV15&lt;120)),AND('Eval-Avec act. écol. envisagée'!$A$768=DY10,OR(COUNTIF('Eval-Avec act. écol. envisagée'!$Q$768:$Y$768,"*T*")&gt;0,EV16&lt;120)),AND('Eval-Avec act. écol. envisagée'!$A$769=DY10,OR(COUNTIF('Eval-Avec act. écol. envisagée'!$Q$769:$Y$769,"*T*")&gt;0,EV17&lt;120)),AND('Eval-Avec act. écol. envisagée'!$A$770=DY10,OR(COUNTIF('Eval-Avec act. écol. envisagée'!$Q$770:$Y$770,"*T*")&gt;0,EV18&lt;120)),AND('Eval-Avec act. écol. envisagée'!$A$771=DY10,OR(COUNTIF('Eval-Avec act. écol. envisagée'!$Q$771:$Y$771,"*T*")&gt;0,EV19&lt;120)),AND('Eval-Avec act. écol. envisagée'!$A$772=DY10,OR(COUNTIF('Eval-Avec act. écol. envisagée'!$Q$772:$Y$772,"*T*")&gt;0,EV20&lt;120)),AND('Eval-Avec act. écol. envisagée'!$A$773=DY10,OR(COUNTIF('Eval-Avec act. écol. envisagée'!$Q$773:$Y$773,"*T*")&gt;0,EV21&lt;120)),AND('Eval-Avec act. écol. envisagée'!$A$774=DY10,OR(COUNTIF('Eval-Avec act. écol. envisagée'!$Q$774:$Y$774,"*T*")&gt;0,EV22&lt;120)),AND('Eval-Avec act. écol. envisagée'!$A$775=DY10,OR(COUNTIF('Eval-Avec act. écol. envisagée'!$Q$775:$Y$775,"*T*")&gt;0,EV23&lt;120)),AND('Eval-Avec act. écol. envisagée'!$A$776=DY10,OR(COUNTIF('Eval-Avec act. écol. envisagée'!$Q$776:$Y$776,"*T*")&gt;0,EV24&lt;120)),AND('Eval-Avec act. écol. envisagée'!$A$777=DY10,OR(COUNTIF('Eval-Avec act. écol. envisagée'!$Q$777:$Y$777,"*T*")&gt;0,EV25&lt;120)),AND('Eval-Avec act. écol. envisagée'!$A$778=DY10,OR(COUNTIF('Eval-Avec act. écol. envisagée'!$Q$778:$Y$778,"*T*")&gt;0,EV26&lt;120)),AND('Eval-Avec act. écol. envisagée'!$A$779=DY10,OR(COUNTIF('Eval-Avec act. écol. envisagée'!$Q$779:$Y$779,"*T*")&gt;0,EV27&lt;120)),AND('Eval-Avec act. écol. envisagée'!$A$780=DY10,OR(COUNTIF('Eval-Avec act. écol. envisagée'!$Q$780:$Y$780,"*T*")&gt;0,EV28&lt;120))),"",SUM(1*(SUMPRODUCT(('Eval-Avec act. écol. envisagée'!$A$761:$A$780=DY10)*('Eval-Avec act. écol. envisagée'!$Q$761:$Y$780="A"))),0.85*(SUMPRODUCT(('Eval-Avec act. écol. envisagée'!$A$761:$A$780=DY10)*('Eval-Avec act. écol. envisagée'!$Q$761:$Y$780="AL"))),0.7*(SUMPRODUCT(('Eval-Avec act. écol. envisagée'!$A$761:$A$780=DY10)*('Eval-Avec act. écol. envisagée'!$Q$761:$Y$780="LA"))),0.55*(SUMPRODUCT(('Eval-Avec act. écol. envisagée'!$A$761:$A$780=DY10)*('Eval-Avec act. écol. envisagée'!$Q$761:$Y$780="L"))),0.4*(SUMPRODUCT(('Eval-Avec act. écol. envisagée'!$A$761:$A$780=DY10)*('Eval-Avec act. écol. envisagée'!$Q$761:$Y$780="LS"))),0.25*(SUMPRODUCT(('Eval-Avec act. écol. envisagée'!$A$761:$A$780=DY10)*('Eval-Avec act. écol. envisagée'!$Q$761:$Y$780="SL"))),0.1*(SUMPRODUCT(('Eval-Avec act. écol. envisagée'!$A$761:$A$780=DY10)*('Eval-Avec act. écol. envisagée'!$Q$761:$Y$780="S"))))/(9*COUNTIF('Eval-Avec act. écol. envisagée'!$A$761:$A$780,DY10))),"")</f>
        <v/>
      </c>
      <c r="ET10" s="215"/>
      <c r="EU10" s="216">
        <f>'Eval-Avec act. écol. envisagée'!$D$762</f>
        <v>2</v>
      </c>
      <c r="EV10" s="217" t="str">
        <f>IF(EW10="C",0,IF(IF(COUNTIF('Eval-Avec act. écol. envisagée'!$N$762:$Y$762,"=C")&gt;0,(COUNTA('Eval-Avec act. écol. envisagée'!$N$762:$Y$762)-1)*10,COUNTA('Eval-Avec act. écol. envisagée'!$N$762:$Y$762)*10)=0,"",IF(COUNTIF('Eval-Avec act. écol. envisagée'!$N$762:$Y$762,"=C")&gt;0,(COUNTA('Eval-Avec act. écol. envisagée'!$N$762:$Y$762)-1)*10,COUNTA('Eval-Avec act. écol. envisagée'!$N$762:$Y$762)*10)))</f>
        <v/>
      </c>
      <c r="EW10" s="217" t="str">
        <f>CONCATENATE('Eval-Avec act. écol. envisagée'!$N$762,'Eval-Avec act. écol. envisagée'!$O$762,'Eval-Avec act. écol. envisagée'!$P$762,'Eval-Avec act. écol. envisagée'!$Q$762,'Eval-Avec act. écol. envisagée'!$R$762,'Eval-Avec act. écol. envisagée'!$S$762,'Eval-Avec act. écol. envisagée'!$T$762,'Eval-Avec act. écol. envisagée'!$U$762,'Eval-Avec act. écol. envisagée'!$V$762,'Eval-Avec act. écol. envisagée'!$W$762,'Eval-Avec act. écol. envisagée'!$X$762,'Eval-Avec act. écol. envisagée'!$Y$762)</f>
        <v/>
      </c>
      <c r="EX10" s="217" t="str">
        <f t="shared" si="16"/>
        <v/>
      </c>
      <c r="EY10" s="217" t="str">
        <f t="shared" si="17"/>
        <v/>
      </c>
      <c r="EZ10" s="217" t="str">
        <f>IF(COUNTIF('Eval-Avec act. écol. envisagée'!$N$762:$Y$762,"=C")&gt;0,"X","")</f>
        <v/>
      </c>
      <c r="FA10" s="217" t="str">
        <f t="shared" si="18"/>
        <v/>
      </c>
      <c r="FB10" s="218" t="str">
        <f t="shared" si="19"/>
        <v/>
      </c>
      <c r="FC10" s="197"/>
      <c r="FE10" s="210">
        <v>2</v>
      </c>
      <c r="FF10" s="211" t="str">
        <f>IF(COUNTIF('Eval-Après action écologique'!$A$761:$A$780,FE10)&gt;0,SUM(IF('Eval-Après action écologique'!$A$761=FE10,'Eval-Après action écologique'!$B$761,0),IF('Eval-Après action écologique'!$A$762=FE10, 'Eval-Après action écologique'!$B$762,0),IF('Eval-Après action écologique'!$A$763=FE10, 'Eval-Après action écologique'!$B$763,0),IF('Eval-Après action écologique'!$A$764=FE10, 'Eval-Après action écologique'!$B$764,0),IF('Eval-Après action écologique'!$A$765=FE10, 'Eval-Après action écologique'!$B$765,0),IF('Eval-Après action écologique'!$A$766=FE10, 'Eval-Après action écologique'!$B$766,0),IF('Eval-Après action écologique'!$A$767=FE10, 'Eval-Après action écologique'!$B$767,0),IF('Eval-Après action écologique'!$A$768=FE10, 'Eval-Après action écologique'!$B$768,0),IF('Eval-Après action écologique'!$A$769=FE10, 'Eval-Après action écologique'!$B$769,0),IF('Eval-Après action écologique'!$A$770=FE10, 'Eval-Après action écologique'!$B$770,0),IF('Eval-Après action écologique'!$A$771=FE10, 'Eval-Après action écologique'!$B$771,0),IF('Eval-Après action écologique'!$A$772=FE10, 'Eval-Après action écologique'!$B$772,0),IF('Eval-Après action écologique'!$A$773=FE10, 'Eval-Après action écologique'!$B$773,0),IF('Eval-Après action écologique'!$A$774=FE10, 'Eval-Après action écologique'!$B$774,0),IF('Eval-Après action écologique'!$A$775=FE10, 'Eval-Après action écologique'!$B$775,0),IF('Eval-Après action écologique'!$A$776=FE10, 'Eval-Après action écologique'!$B$776,0),IF('Eval-Après action écologique'!$A$777=FE10, 'Eval-Après action écologique'!$B$777,0),IF('Eval-Après action écologique'!$A$778=FE10, 'Eval-Après action écologique'!$B$778,0),IF('Eval-Après action écologique'!$A$779=FE10, 'Eval-Après action écologique'!$B$779,0),IF('Eval-Après action écologique'!$A$780=FE10, 'Eval-Après action écologique'!$B$780,0))/COUNTIF('Eval-Après action écologique'!$A$761:$A$780,FE10),"")</f>
        <v/>
      </c>
      <c r="FG10" s="212" t="str">
        <f>IF(COUNTIF('Eval-Après action écologique'!$A$761:$A$780,FE10)&gt;0,COUNTIF('Eval-Après action écologique'!$A$761:$A$780,FE10),"")</f>
        <v/>
      </c>
      <c r="FH10" s="211" t="str">
        <f>IF(COUNTIF('Eval-Après action écologique'!$A$761:$A$780,FE10)&gt;0,IF(OR(AND('Eval-Après action écologique'!$A$761=FE10, 'Eval-Après action écologique'!$G$761=""),AND('Eval-Après action écologique'!$A$762=FE10, 'Eval-Après action écologique'!$G$762=""),AND('Eval-Après action écologique'!$A$763=FE10, 'Eval-Après action écologique'!$G$763=""),AND('Eval-Après action écologique'!$A$764=FE10, 'Eval-Après action écologique'!$G$764=""),AND('Eval-Après action écologique'!$A$765=FE10, 'Eval-Après action écologique'!$G$765=""),AND('Eval-Après action écologique'!$A$766=FE10, 'Eval-Après action écologique'!$G$766=""),AND('Eval-Après action écologique'!$A$767=FE10, 'Eval-Après action écologique'!$G$767=""),AND('Eval-Après action écologique'!$A$768=FE10, 'Eval-Après action écologique'!$G$768=""),AND('Eval-Après action écologique'!$A$769=FE10, 'Eval-Après action écologique'!$G$769=""),AND('Eval-Après action écologique'!$A$770=FE10, 'Eval-Après action écologique'!$G$770=""),AND('Eval-Après action écologique'!$A$771=FE10, 'Eval-Après action écologique'!$G$771=""),AND('Eval-Après action écologique'!$A$772=FE10, 'Eval-Après action écologique'!$G$772=""),AND('Eval-Après action écologique'!$A$773=FE10, 'Eval-Après action écologique'!$G$773=""),AND('Eval-Après action écologique'!$A$774=FE10, 'Eval-Après action écologique'!$G$774=""),AND('Eval-Après action écologique'!$A$775=FE10, 'Eval-Après action écologique'!$G$775=""),AND('Eval-Après action écologique'!$A$776=FE10, 'Eval-Après action écologique'!$G$776=""),AND('Eval-Après action écologique'!$A$777=FE10, 'Eval-Après action écologique'!$G$777=""),AND('Eval-Après action écologique'!$A$778=FE10, 'Eval-Après action écologique'!$G$778=""),AND('Eval-Après action écologique'!$A$779=FE10, 'Eval-Après action écologique'!$G$779=""),AND('Eval-Après action écologique'!$A$780=FE10, 'Eval-Après action écologique'!$G$780="")),"",SUM(IF('Eval-Après action écologique'!$A$761=FE10,'Eval-Après action écologique'!$G$761,0),IF('Eval-Après action écologique'!$A$762=FE10,'Eval-Après action écologique'!$G$762,0),IF('Eval-Après action écologique'!$A$763=FE10,'Eval-Après action écologique'!$G$763,0),IF('Eval-Après action écologique'!$A$764=FE10,'Eval-Après action écologique'!$G$764,0),IF('Eval-Après action écologique'!$A$765=FE10,'Eval-Après action écologique'!$G$765,0),IF('Eval-Après action écologique'!$A$766=FE10,'Eval-Après action écologique'!$G$766,0),IF('Eval-Après action écologique'!$A$767=FE10,'Eval-Après action écologique'!$G$767,0),IF('Eval-Après action écologique'!$A$768=FE10,'Eval-Après action écologique'!$G$768,0),IF('Eval-Après action écologique'!$A$769=FE10,'Eval-Après action écologique'!$G$769,0),IF('Eval-Après action écologique'!$A$770=FE10,'Eval-Après action écologique'!$G$770,0),IF('Eval-Après action écologique'!$A$771=FE10,'Eval-Après action écologique'!$G$771,0),IF('Eval-Après action écologique'!$A$772=FE10,'Eval-Après action écologique'!$G$772,0),IF('Eval-Après action écologique'!$A$773=FE10,'Eval-Après action écologique'!$G$773,0),IF('Eval-Après action écologique'!$A$774=FE10,'Eval-Après action écologique'!$G$774,0),IF('Eval-Après action écologique'!$A$775=FE10,'Eval-Après action écologique'!$G$775,0), IF('Eval-Après action écologique'!$A$776=FE10,'Eval-Après action écologique'!$G$776,0), IF('Eval-Après action écologique'!$A$777=FE10,'Eval-Après action écologique'!$G$777,0), IF('Eval-Après action écologique'!$A$778=FE10,'Eval-Après action écologique'!$G$778,0), IF('Eval-Après action écologique'!$A$779=FE10,'Eval-Après action écologique'!$G$779,0), IF('Eval-Après action écologique'!$A$780=FE10,'Eval-Après action écologique'!$G$780,0))/ COUNTIF('Eval-Après action écologique'!$A$761:$A$780,FE10)),"")</f>
        <v/>
      </c>
      <c r="FI10" s="212" t="str">
        <f>IF(COUNTIF('Eval-Après action écologique'!$A$761:$A$780,FE10)&gt;0,IF(SUM(IF('Eval-Après action écologique'!$A$761=FE10,COUNTA('Eval-Après action écologique'!$H$761),0),IF('Eval-Après action écologique'!$A$762=FE10,COUNTA('Eval-Après action écologique'!$H$762),0),IF('Eval-Après action écologique'!$A$763=FE10,COUNTA('Eval-Après action écologique'!$H$763),0),IF('Eval-Après action écologique'!$A$764=FE10,COUNTA('Eval-Après action écologique'!$H$764),0),IF('Eval-Après action écologique'!$A$765=FE10,COUNTA('Eval-Après action écologique'!$H$765),0),IF('Eval-Après action écologique'!$A$766=FE10,COUNTA('Eval-Après action écologique'!$H$766),0),IF('Eval-Après action écologique'!$A$767=FE10,COUNTA('Eval-Après action écologique'!$H$767),0),IF('Eval-Après action écologique'!$A$768=FE10,COUNTA('Eval-Après action écologique'!$H$768),0),IF('Eval-Après action écologique'!$A$769=FE10,COUNTA('Eval-Après action écologique'!$H$769),0),IF('Eval-Après action écologique'!$A$770=FE10,COUNTA('Eval-Après action écologique'!$H$770),0),IF('Eval-Après action écologique'!$A$771=FE10,COUNTA('Eval-Après action écologique'!$H$771),0),IF('Eval-Après action écologique'!$A$772=FE10,COUNTA('Eval-Après action écologique'!$H$772),0),IF('Eval-Après action écologique'!$A$773=FE10,COUNTA('Eval-Après action écologique'!$H$773),0),IF('Eval-Après action écologique'!$A$774=FE10,COUNTA('Eval-Après action écologique'!$H$774),0),IF('Eval-Après action écologique'!$A$775=FE10,COUNTA('Eval-Après action écologique'!$H$775),0),IF('Eval-Après action écologique'!$A$776=FE10,COUNTA('Eval-Après action écologique'!$H$776),0),IF('Eval-Après action écologique'!$A$777=FE10,COUNTA('Eval-Après action écologique'!$H$777),0),IF('Eval-Après action écologique'!$A$778=FE10,COUNTA('Eval-Après action écologique'!$H$778),0),IF('Eval-Après action écologique'!$A$779=FE10,COUNTA('Eval-Après action écologique'!$H$779),0),IF('Eval-Après action écologique'!$A$780=FE10,COUNTA('Eval-Après action écologique'!$H$780),0))&gt;0,"X",0),"")</f>
        <v/>
      </c>
      <c r="FJ10" s="213" t="str">
        <f>IF(COUNTIF('Eval-Après action écologique'!$A$761:$A$780,FE10)&gt;0,IF(SUM(IF('Eval-Après action écologique'!$A$761=FE10,COUNTA('Eval-Après action écologique'!$I$761),0),IF('Eval-Après action écologique'!$A$762=FE10,COUNTA('Eval-Après action écologique'!$I$762),0),IF('Eval-Après action écologique'!$A$763=FE10,COUNTA('Eval-Après action écologique'!$I$763),0),IF('Eval-Après action écologique'!$A$764=FE10,COUNTA('Eval-Après action écologique'!$I$764),0),IF('Eval-Après action écologique'!$A$765=FE10,COUNTA('Eval-Après action écologique'!$I$765),0),IF('Eval-Après action écologique'!$A$766=FE10,COUNTA('Eval-Après action écologique'!$I$766),0),IF('Eval-Après action écologique'!$A$767=FE10,COUNTA('Eval-Après action écologique'!$I$767),0),IF('Eval-Après action écologique'!$A$768=FE10,COUNTA('Eval-Après action écologique'!$I$768),0),IF('Eval-Après action écologique'!$A$769=FE10,COUNTA('Eval-Après action écologique'!$I$769),0),IF('Eval-Après action écologique'!$A$770=FE10,COUNTA('Eval-Après action écologique'!$I$770),0),IF('Eval-Après action écologique'!$A$771=FE10,COUNTA('Eval-Après action écologique'!$I$771),0),IF('Eval-Après action écologique'!$A$772=FE10,COUNTA('Eval-Après action écologique'!$I$772),0),IF('Eval-Après action écologique'!$A$773=FE10,COUNTA('Eval-Après action écologique'!$I$773),0),IF('Eval-Après action écologique'!$A$774=FE10,COUNTA('Eval-Après action écologique'!$I$774),0),IF('Eval-Après action écologique'!$A$775=FE10,COUNTA('Eval-Après action écologique'!$I$775),0),IF('Eval-Après action écologique'!$A$776=FE10,COUNTA('Eval-Après action écologique'!$I$776),0),IF('Eval-Après action écologique'!$A$777=FE10,COUNTA('Eval-Après action écologique'!$I$777),0),IF('Eval-Après action écologique'!$A$778=FE10,COUNTA('Eval-Après action écologique'!$I$778),0),IF('Eval-Après action écologique'!$A$779=FE10,COUNTA('Eval-Après action écologique'!$I$779),0),IF('Eval-Après action écologique'!$A$780=FE10,COUNTA('Eval-Après action écologique'!$I$780),0))&gt;0,"X",0),"")</f>
        <v/>
      </c>
      <c r="FK10" s="213" t="str">
        <f>IF(COUNTIF('Eval-Après action écologique'!$A$761:$A$780,FE10)&gt;0,IF(SUM(IF('Eval-Après action écologique'!$A$761=FE10,COUNTA('Eval-Après action écologique'!$J$761),0),IF('Eval-Après action écologique'!$A$762=FE10,COUNTA('Eval-Après action écologique'!$J$762),0),IF('Eval-Après action écologique'!$A$763=FE10,COUNTA('Eval-Après action écologique'!$J$763),0),IF('Eval-Après action écologique'!$A$764=FE10,COUNTA('Eval-Après action écologique'!$J$764),0),IF('Eval-Après action écologique'!$A$765=FE10,COUNTA('Eval-Après action écologique'!$J$765),0),IF('Eval-Après action écologique'!$A$766=FE10,COUNTA('Eval-Après action écologique'!$J$766),0),IF('Eval-Après action écologique'!$A$767=FE10,COUNTA('Eval-Après action écologique'!$J$767),0),IF('Eval-Après action écologique'!$A$768=FE10,COUNTA('Eval-Après action écologique'!$J$768),0),IF('Eval-Après action écologique'!$A$769=FE10,COUNTA('Eval-Après action écologique'!$J$769),0),IF('Eval-Après action écologique'!$A$770=FE10,COUNTA('Eval-Après action écologique'!$J$770),0),IF('Eval-Après action écologique'!$A$771=FE10,COUNTA('Eval-Après action écologique'!$J$771),0),IF('Eval-Après action écologique'!$A$772=FE10,COUNTA('Eval-Après action écologique'!$J$772),0),IF('Eval-Après action écologique'!$A$773=FE10,COUNTA('Eval-Après action écologique'!$J$773),0),IF('Eval-Après action écologique'!$A$774=FE10,COUNTA('Eval-Après action écologique'!$J$774),0),IF('Eval-Après action écologique'!$A$775=FE10,COUNTA('Eval-Après action écologique'!$J$775),0),IF('Eval-Après action écologique'!$A$776=FE10,COUNTA('Eval-Après action écologique'!$J$776),0),IF('Eval-Après action écologique'!$A$777=FE10,COUNTA('Eval-Après action écologique'!$J$777),0),IF('Eval-Après action écologique'!$A$778=FE10,COUNTA('Eval-Après action écologique'!$J$778),0),IF('Eval-Après action écologique'!$A$779=FE10,COUNTA('Eval-Après action écologique'!$J$779),0),IF('Eval-Après action écologique'!$A$780=FE10,COUNTA('Eval-Après action écologique'!$J$780),0))&gt;0,"X",0),"")</f>
        <v/>
      </c>
      <c r="FL10" s="213" t="str">
        <f>IF(COUNTIF('Eval-Après action écologique'!$A$761:$A$780,FE10)&gt;0,IF(SUM(IF('Eval-Après action écologique'!$A$761=FE10,COUNTA('Eval-Après action écologique'!$K$761),0),IF('Eval-Après action écologique'!$A$762=FE10,COUNTA('Eval-Après action écologique'!$K$762),0),IF('Eval-Après action écologique'!$A$763=FE10,COUNTA('Eval-Après action écologique'!$K$763),0),IF('Eval-Après action écologique'!$A$764=FE10,COUNTA('Eval-Après action écologique'!$K$764),0),IF('Eval-Après action écologique'!$A$765=FE10,COUNTA('Eval-Après action écologique'!$K$765),0),IF('Eval-Après action écologique'!$A$766=FE10,COUNTA('Eval-Après action écologique'!$K$766),0),IF('Eval-Après action écologique'!$A$767=FE10,COUNTA('Eval-Après action écologique'!$K$767),0),IF('Eval-Après action écologique'!$A$768=FE10,COUNTA('Eval-Après action écologique'!$K$768),0),IF('Eval-Après action écologique'!$A$769=FE10,COUNTA('Eval-Après action écologique'!$K$769),0),IF('Eval-Après action écologique'!$A$770=FE10,COUNTA('Eval-Après action écologique'!$K$770),0),IF('Eval-Après action écologique'!$A$771=FE10,COUNTA('Eval-Après action écologique'!$K$771),0),IF('Eval-Après action écologique'!$A$772=FE10,COUNTA('Eval-Après action écologique'!$K$772),0),IF('Eval-Après action écologique'!$A$773=FE10,COUNTA('Eval-Après action écologique'!$K$773),0),IF('Eval-Après action écologique'!$A$774=FE10,COUNTA('Eval-Après action écologique'!$K$774),0),IF('Eval-Après action écologique'!$A$775=FE10,COUNTA('Eval-Après action écologique'!$K$775),0),IF('Eval-Après action écologique'!$A$776=FE10,COUNTA('Eval-Après action écologique'!$K$776),0),IF('Eval-Après action écologique'!$A$777=FE10,COUNTA('Eval-Après action écologique'!$K$777),0),IF('Eval-Après action écologique'!$A$778=FE10,COUNTA('Eval-Après action écologique'!$K$778),0),IF('Eval-Après action écologique'!$A$779=FE10,COUNTA('Eval-Après action écologique'!$K$779),0),IF('Eval-Après action écologique'!$A$780=FE10,COUNTA('Eval-Après action écologique'!$K$780),0))&gt;0,"X",0),"")</f>
        <v/>
      </c>
      <c r="FM10" s="211" t="str">
        <f>IF(COUNTIF('Eval-Après action écologique'!$A$761:$A$780,FE10)&gt;0,IF(OR(AND('Eval-Après action écologique'!$A$761=FE10,'Eval-Après action écologique'!$L$761&lt;120,'Eval-Après action écologique'!$L$761&gt;=GB9),AND('Eval-Après action écologique'!$A$762=FE10,'Eval-Après action écologique'!$L$762&lt;120,'Eval-Après action écologique'!$L$762&gt;=GB10),AND('Eval-Après action écologique'!$A$763=FE10,'Eval-Après action écologique'!$L$763&lt;120,'Eval-Après action écologique'!$L$763&gt;=GB11),AND('Eval-Après action écologique'!$A$764=FE10,'Eval-Après action écologique'!$L$764&lt;120,'Eval-Après action écologique'!$L$764&gt;=GB12),AND('Eval-Après action écologique'!$A$765=FE10,'Eval-Après action écologique'!$L$765&lt;120,'Eval-Après action écologique'!$L$765&gt;=GB13),AND('Eval-Après action écologique'!$A$766=FE10,'Eval-Après action écologique'!$L$766&lt;120,'Eval-Après action écologique'!$L$766&gt;=GB14),AND('Eval-Après action écologique'!$A$767=FE10,'Eval-Après action écologique'!$L$767&lt;120,'Eval-Après action écologique'!$L$767&gt;=GB15),AND('Eval-Après action écologique'!$A$768=FE10,'Eval-Après action écologique'!$L$768&lt;120,'Eval-Après action écologique'!$L$768&gt;=GB16),AND('Eval-Après action écologique'!$A$769=FE10,'Eval-Après action écologique'!$L$769&lt;120,'Eval-Après action écologique'!$L$769&gt;=GB17),AND('Eval-Après action écologique'!$A$770=FE10,'Eval-Après action écologique'!$L$770&lt;120,'Eval-Après action écologique'!$L$770&gt;=GB18),AND('Eval-Après action écologique'!$A$771=FE10,'Eval-Après action écologique'!$L$771&lt;120,'Eval-Après action écologique'!$L$771&gt;=GB19),AND('Eval-Après action écologique'!$A$772=FE10,'Eval-Après action écologique'!$L$772&lt;120,'Eval-Après action écologique'!$L$772&gt;=GB20),AND('Eval-Après action écologique'!$A$773=FE10,'Eval-Après action écologique'!$L$773&lt;120,'Eval-Après action écologique'!$L$773&gt;=GB21),AND('Eval-Après action écologique'!$A$774=FE10,'Eval-Après action écologique'!$L$774&lt;120,'Eval-Après action écologique'!$L$774&gt;=GB22),AND('Eval-Après action écologique'!$A$775=FE10,'Eval-Après action écologique'!$L$775&lt;120,'Eval-Après action écologique'!$L$775&gt;=GB23),AND('Eval-Après action écologique'!$A$776=FE10,'Eval-Après action écologique'!$L$776&lt;120,'Eval-Après action écologique'!$L$776&gt;=GB24),AND('Eval-Après action écologique'!$A$777=FE10,'Eval-Après action écologique'!$L$777&lt;120,'Eval-Après action écologique'!$L$777&gt;=GB25),AND('Eval-Après action écologique'!$A$778=FE10,'Eval-Après action écologique'!$L$778&lt;120,'Eval-Après action écologique'!$L$778&gt;=GB26),AND('Eval-Après action écologique'!$A$779=FE10,'Eval-Après action écologique'!$L$779&lt;120,'Eval-Après action écologique'!$L$779&gt;=GB27),AND('Eval-Après action écologique'!$A$780=FE10,'Eval-Après action écologique'!$L$780&lt;120,'Eval-Après action écologique'!$L$780&gt;=GB28)),"",SUM(IF('Eval-Après action écologique'!$A$761=FE10,'Eval-Après action écologique'!$L$761,0),IF('Eval-Après action écologique'!$A$762=FE10,'Eval-Après action écologique'!$L$762,0),IF('Eval-Après action écologique'!$A$763=FE10,'Eval-Après action écologique'!$L$763,0),IF('Eval-Après action écologique'!$A$764=FE10,'Eval-Après action écologique'!$L$764,0),IF('Eval-Après action écologique'!$A$765=FE10,'Eval-Après action écologique'!$L$765,0),IF('Eval-Après action écologique'!$A$766=FE10,'Eval-Après action écologique'!$L$766,0),IF('Eval-Après action écologique'!$A$767=FE10,'Eval-Après action écologique'!$L$767,0),IF('Eval-Après action écologique'!$A$768=FE10,'Eval-Après action écologique'!$L$768,0),IF('Eval-Après action écologique'!$A$769=FE10,'Eval-Après action écologique'!$L$769,0),IF('Eval-Après action écologique'!$A$770=FE10,'Eval-Après action écologique'!$L$770,0),IF('Eval-Après action écologique'!$A$771=FE10,'Eval-Après action écologique'!$L$771,0),IF('Eval-Après action écologique'!$A$772=FE10,'Eval-Après action écologique'!$L$772,0),IF('Eval-Après action écologique'!$A$773=FE10,'Eval-Après action écologique'!$L$773,0),IF('Eval-Après action écologique'!$A$774=FE10,'Eval-Après action écologique'!$L$774,0),IF('Eval-Après action écologique'!$A$775=FE10,'Eval-Après action écologique'!$L$775,0),IF('Eval-Après action écologique'!$A$776=FE10,'Eval-Après action écologique'!$L$776,0),IF('Eval-Après action écologique'!$A$777=FE10,'Eval-Après action écologique'!$L$777,0),IF('Eval-Après action écologique'!$A$778=FE10,'Eval-Après action écologique'!$L$778,0),IF('Eval-Après action écologique'!$A$779=FE10,'Eval-Après action écologique'!$L$779,0),IF('Eval-Après action écologique'!$A$780=FE10,'Eval-Après action écologique'!$L$780,0))/ COUNTIF('Eval-Après action écologique'!$A$761:$A$780,FE10)),"")</f>
        <v/>
      </c>
      <c r="FN10" s="211" t="str">
        <f>IF(COUNTIF('Eval-Après action écologique'!$A$761:$A$780,FE10)&gt;0,IF(OR(AND('Eval-Après action écologique'!$A$761=FE10, GB9&lt;120),AND(GB10&lt;120),AND(GB11&lt;120),AND(GB12&lt;120),AND(GB13&lt;120),AND(GB14&lt;120),AND(GB15&lt;120),AND(GB16&lt;120),AND(GB17&lt;120),AND(GB18&lt;120),AND(GB19&lt;120),AND(GB20&lt;120),AND(GB21&lt;120),AND(GB22&lt;120),AND(GB23&lt;120),AND(GB24&lt;120),AND(GB25&lt;120),AND(GB26&lt;120),AND(GB27&lt;120),AND(GB28&lt;120)),"",SUM(IF('Eval-Après action écologique'!$A$761=FE10,'Eval-Après action écologique'!$M$761,0),IF('Eval-Après action écologique'!$A$762=FE10,'Eval-Après action écologique'!$M$762,0),IF('Eval-Après action écologique'!$A$763=FE10,'Eval-Après action écologique'!$M$763,0),IF('Eval-Après action écologique'!$A$764=FE10,'Eval-Après action écologique'!$M$764,0),IF('Eval-Après action écologique'!$A$765=FE10,'Eval-Après action écologique'!$M$765,0),IF('Eval-Après action écologique'!$A$766=FE10,'Eval-Après action écologique'!$M$766,0),IF('Eval-Après action écologique'!$A$767=FE10,'Eval-Après action écologique'!$M$767,0),IF('Eval-Après action écologique'!$A$768=FE10,'Eval-Après action écologique'!$M$768,0),IF('Eval-Après action écologique'!$A$769=FE10,'Eval-Après action écologique'!$M$769,0),IF('Eval-Après action écologique'!$A$770=FE10,'Eval-Après action écologique'!$M$770,0),IF('Eval-Après action écologique'!$A$771=FE10,'Eval-Après action écologique'!$M$771,0),IF('Eval-Après action écologique'!$A$772=FE10,'Eval-Après action écologique'!$M$772,0),IF('Eval-Après action écologique'!$A$773=FE10,'Eval-Après action écologique'!$M$773,0),IF('Eval-Après action écologique'!$A$774=FE10,'Eval-Après action écologique'!$M$774,0),IF('Eval-Après action écologique'!$A$775=FE10,'Eval-Après action écologique'!$M$775,0), IF('Eval-Après action écologique'!$A$776=FE10,'Eval-Après action écologique'!$M$776,0), IF('Eval-Après action écologique'!$A$777=FE10,'Eval-Après action écologique'!$M$777,0), IF('Eval-Après action écologique'!$A$778=FE10,'Eval-Après action écologique'!$M$778,0), IF('Eval-Après action écologique'!$A$779=FE10,'Eval-Après action écologique'!$M$779,0), IF('Eval-Après action écologique'!$A$780=FE10,'Eval-Après action écologique'!$M$780,0))/COUNTIF('Eval-Après action écologique'!$A$761:$A$780,FE10)),"")</f>
        <v/>
      </c>
      <c r="FO10" s="211" t="str">
        <f>IF(COUNTIF('Eval-Après action écologique'!$A$761:$A$780,FE10)&gt;0,SUM(IF('Eval-Après action écologique'!$A$761=FE10,LEN(SUBSTITUTE((SUBSTITUTE(GD9,"TM","")),"TS",""))*10/2,0),IF('Eval-Après action écologique'!$A$762=FE10,LEN(SUBSTITUTE((SUBSTITUTE(GD10,"TM","")),"TS",""))*10/2,0),IF('Eval-Après action écologique'!$A$763=FE10,LEN(SUBSTITUTE((SUBSTITUTE(GD11,"TM","")),"TS",""))*10/2,0),IF('Eval-Après action écologique'!$A$764=FE10,LEN(SUBSTITUTE((SUBSTITUTE(GD12,"TM","")),"TS",""))*10/2,0),IF('Eval-Après action écologique'!$A$765=FE10,LEN(SUBSTITUTE((SUBSTITUTE(GD13,"TM","")),"TS",""))*10/2,0),IF('Eval-Après action écologique'!$A$766=FE10,LEN(SUBSTITUTE((SUBSTITUTE(GD14,"TM","")),"TS",""))*10/2,0),IF('Eval-Après action écologique'!$A$767=FE10,LEN(SUBSTITUTE((SUBSTITUTE(GD15,"TM","")),"TS",""))*10/2,0),IF('Eval-Après action écologique'!$A$768=FE10,LEN(SUBSTITUTE((SUBSTITUTE(GD16,"TM","")),"TS",""))*10/2,0),IF('Eval-Après action écologique'!$A$769=FE10,LEN(SUBSTITUTE((SUBSTITUTE(GD17,"TM","")),"TS",""))*10/2,0),IF('Eval-Après action écologique'!$A$770=FE10,LEN(SUBSTITUTE((SUBSTITUTE(GD18,"TM","")),"TS",""))*10/2,0),IF('Eval-Après action écologique'!$A$771=FE10,LEN(SUBSTITUTE((SUBSTITUTE(GD19,"TM","")),"TS",""))*10/2,0),IF('Eval-Après action écologique'!$A$772=FE10,LEN(SUBSTITUTE((SUBSTITUTE(GD20,"TM","")),"TS",""))*10/2,0),IF('Eval-Après action écologique'!$A$773=FE10,LEN(SUBSTITUTE((SUBSTITUTE(GD21,"TM","")),"TS",""))*10/2,0),IF('Eval-Après action écologique'!$A$774=FE10,LEN(SUBSTITUTE((SUBSTITUTE(GD22,"TM","")),"TS",""))*10/2,0),IF('Eval-Après action écologique'!$A$775=FE10,LEN(SUBSTITUTE((SUBSTITUTE(GD23,"TM","")),"TS",""))*10/2,0),IF('Eval-Après action écologique'!$A$776=FE10,LEN(SUBSTITUTE((SUBSTITUTE(GD24,"TM","")),"TS",""))*10/2,0),IF('Eval-Après action écologique'!$A$777=FE10,LEN(SUBSTITUTE((SUBSTITUTE(GD25,"TM","")),"TS",""))*10/2,0),IF('Eval-Après action écologique'!$A$778=FE10,LEN(SUBSTITUTE((SUBSTITUTE(GD26,"TM","")),"TS",""))*10/2,0),IF('Eval-Après action écologique'!$A$779=FE10,LEN(SUBSTITUTE((SUBSTITUTE(GD27,"TM","")),"TS",""))*10/2,0),IF('Eval-Après action écologique'!$A$780=FE10,LEN(SUBSTITUTE((SUBSTITUTE(GD28,"TM","")),"TS",""))*10/2,0))/COUNTIF('Eval-Après action écologique'!$A$761:$A$780,FE10),"")</f>
        <v/>
      </c>
      <c r="FP10" s="211" t="str">
        <f>IF(COUNTIF('Eval-Après action écologique'!$A$761:$A$780,FE10)&gt;0,SUM(IF('Eval-Après action écologique'!$A$761=FE10,LEN(SUBSTITUTE((SUBSTITUTE(GD9,"TF","")),"TS",""))*10/2,0),IF('Eval-Après action écologique'!$A$762=FE10,LEN(SUBSTITUTE((SUBSTITUTE(GD10,"TF","")),"TS",""))*10/2,0),IF('Eval-Après action écologique'!$A$763=FE10,LEN(SUBSTITUTE((SUBSTITUTE(GD11,"TF","")),"TS",""))*10/2,0),IF('Eval-Après action écologique'!$A$764=FE10,LEN(SUBSTITUTE((SUBSTITUTE(GD12,"TF","")),"TS",""))*10/2,0),IF('Eval-Après action écologique'!$A$765=FE10,LEN(SUBSTITUTE((SUBSTITUTE(GD13,"TF","")),"TS",""))*10/2,0),IF('Eval-Après action écologique'!$A$766=FE10,LEN(SUBSTITUTE((SUBSTITUTE(GD14,"TF","")),"TS",""))*10/2,0),IF('Eval-Après action écologique'!$A$767=FE10,LEN(SUBSTITUTE((SUBSTITUTE(GD15,"TF","")),"TS",""))*10/2,0),IF('Eval-Après action écologique'!$A$768=FE10,LEN(SUBSTITUTE((SUBSTITUTE(GD16,"TF","")),"TS",""))*10/2,0),IF('Eval-Après action écologique'!$A$769=FE10,LEN(SUBSTITUTE((SUBSTITUTE(GD17,"TF","")),"TS",""))*10/2,0),IF('Eval-Après action écologique'!$A$770=FE10,LEN(SUBSTITUTE((SUBSTITUTE(GD18,"TF","")),"TS",""))*10/2,0),IF('Eval-Après action écologique'!$A$771=FE10,LEN(SUBSTITUTE((SUBSTITUTE(GD19,"TF","")),"TS",""))*10/2,0),IF('Eval-Après action écologique'!$A$772=FE10,LEN(SUBSTITUTE((SUBSTITUTE(GD20,"TF","")),"TS",""))*10/2,0),IF('Eval-Après action écologique'!$A$773=FE10,LEN(SUBSTITUTE((SUBSTITUTE(GD21,"TF","")),"TS",""))*10/2,0),IF('Eval-Après action écologique'!$A$774=FE10,LEN(SUBSTITUTE((SUBSTITUTE(GD22,"TF","")),"TS",""))*10/2,0),IF('Eval-Après action écologique'!$A$775=FE10,LEN(SUBSTITUTE((SUBSTITUTE(GD23,"TF","")),"TS",""))*10/2,0),IF('Eval-Après action écologique'!$A$776=FE10,LEN(SUBSTITUTE((SUBSTITUTE(GD24,"TF","")),"TS",""))*10/2,0),IF('Eval-Après action écologique'!$A$777=FE10,LEN(SUBSTITUTE((SUBSTITUTE(GD25,"TF","")),"TS",""))*10/2,0),IF('Eval-Après action écologique'!$A$778=FE10,LEN(SUBSTITUTE((SUBSTITUTE(GD26,"TF","")),"TS",""))*10/2,0),IF('Eval-Après action écologique'!$A$779=FE10,LEN(SUBSTITUTE((SUBSTITUTE(GD27,"TF","")),"TS",""))*10/2,0),IF('Eval-Après action écologique'!$A$780=FE10,LEN(SUBSTITUTE((SUBSTITUTE(GD28,"TF","")),"TS",""))*10/2,0))/COUNTIF('Eval-Après action écologique'!$A$761:$A$780,FE10),"")</f>
        <v/>
      </c>
      <c r="FQ10" s="211" t="str">
        <f>IF(COUNTIF('Eval-Après action écologique'!$A$761:$A$780,FE10)&gt;0,SUM(IF('Eval-Après action écologique'!$A$761=FE10,LEN(SUBSTITUTE((SUBSTITUTE(GD9,"TF","")),"TM",""))*10/2,0),IF('Eval-Après action écologique'!$A$762=FE10,LEN(SUBSTITUTE((SUBSTITUTE(GD10,"TF","")),"TM",""))*10/2,0),IF('Eval-Après action écologique'!$A$763=FE10,LEN(SUBSTITUTE((SUBSTITUTE(GD11,"TF","")),"TM",""))*10/2,0),IF('Eval-Après action écologique'!$A$764=FE10,LEN(SUBSTITUTE((SUBSTITUTE(GD12,"TF","")),"TM",""))*10/2,0),IF('Eval-Après action écologique'!$A$765=FE10,LEN(SUBSTITUTE((SUBSTITUTE(GD13,"TF","")),"TM",""))*10/2,0),IF('Eval-Après action écologique'!$A$766=FE10,LEN(SUBSTITUTE((SUBSTITUTE(GD14,"TF","")),"TM",""))*10/2,0),IF('Eval-Après action écologique'!$A$767=FE10,LEN(SUBSTITUTE((SUBSTITUTE(GD15,"TF","")),"TM",""))*10/2,0),IF('Eval-Après action écologique'!$A$768=FE10,LEN(SUBSTITUTE((SUBSTITUTE(GD16,"TF","")),"TM",""))*10/2,0),IF('Eval-Après action écologique'!$A$769=FE10,LEN(SUBSTITUTE((SUBSTITUTE(GD17,"TF","")),"TM",""))*10/2,0),IF('Eval-Après action écologique'!$A$770=FE10,LEN(SUBSTITUTE((SUBSTITUTE(GD18,"TF","")),"TM",""))*10/2,0),IF('Eval-Après action écologique'!$A$771=FE10,LEN(SUBSTITUTE((SUBSTITUTE(GD19,"TF","")),"TM",""))*10/2,0),IF('Eval-Après action écologique'!$A$772=FE10,LEN(SUBSTITUTE((SUBSTITUTE(GD20,"TF","")),"TM",""))*10/2,0),IF('Eval-Après action écologique'!$A$773=FE10,LEN(SUBSTITUTE((SUBSTITUTE(GD21,"TF","")),"TM",""))*10/2,0),IF('Eval-Après action écologique'!$A$774=FE10,LEN(SUBSTITUTE((SUBSTITUTE(GD22,"TF","")),"TM",""))*10/2,0),IF('Eval-Après action écologique'!$A$775=FE10,LEN(SUBSTITUTE((SUBSTITUTE(GD23,"TF","")),"TM",""))*10/2,0),IF('Eval-Après action écologique'!$A$776=FE10,LEN(SUBSTITUTE((SUBSTITUTE(GD24,"TF","")),"TM",""))*10/2,0),IF('Eval-Après action écologique'!$A$777=FE10,LEN(SUBSTITUTE((SUBSTITUTE(GD25,"TF","")),"TM",""))*10/2,0),IF('Eval-Après action écologique'!$A$778=FE10,LEN(SUBSTITUTE((SUBSTITUTE(GD26,"TF","")),"TM",""))*10/2,0),IF('Eval-Après action écologique'!$A$779=FE10,LEN(SUBSTITUTE((SUBSTITUTE(GD27,"TF","")),"TM",""))*10/2,0),IF('Eval-Après action écologique'!$A$780=FE10,LEN(SUBSTITUTE((SUBSTITUTE(GD28,"TF","")),"TM",""))*10/2,0))/COUNTIF('Eval-Après action écologique'!$A$761:$A$780,FE10),"")</f>
        <v/>
      </c>
      <c r="FR10" s="211" t="str">
        <f>IF(COUNTIF('Eval-Après action écologique'!$A$761:$A$780,FE10)&gt;0,SUM(IF('Eval-Après action écologique'!$A$761=FE10,LEN(SUBSTITUTE((SUBSTITUTE(GE9,"TM","")),"TS",""))*10/2,0),IF('Eval-Après action écologique'!$A$762=FE10,LEN(SUBSTITUTE((SUBSTITUTE(GE10,"TM","")),"TS",""))*10/2,0),IF('Eval-Après action écologique'!$A$763=FE10,LEN(SUBSTITUTE((SUBSTITUTE(GE11,"TM","")),"TS",""))*10/2,0),IF('Eval-Après action écologique'!$A$764=FE10,LEN(SUBSTITUTE((SUBSTITUTE(GE12,"TM","")),"TS",""))*10/2,0),IF('Eval-Après action écologique'!$A$765=FE10,LEN(SUBSTITUTE((SUBSTITUTE(GE13,"TM","")),"TS",""))*10/2,0),IF('Eval-Après action écologique'!$A$766=FE10,LEN(SUBSTITUTE((SUBSTITUTE(GE14,"TM","")),"TS",""))*10/2,0),IF('Eval-Après action écologique'!$A$767=FE10,LEN(SUBSTITUTE((SUBSTITUTE(GE15,"TM","")),"TS",""))*10/2,0),IF('Eval-Après action écologique'!$A$768=FE10,LEN(SUBSTITUTE((SUBSTITUTE(GE16,"TM","")),"TS",""))*10/2,0),IF('Eval-Après action écologique'!$A$769=FE10,LEN(SUBSTITUTE((SUBSTITUTE(GE17,"TM","")),"TS",""))*10/2,0),IF('Eval-Après action écologique'!$A$770=FE10,LEN(SUBSTITUTE((SUBSTITUTE(GE18,"TM","")),"TS",""))*10/2,0),IF('Eval-Après action écologique'!$A$771=FE10,LEN(SUBSTITUTE((SUBSTITUTE(GE19,"TM","")),"TS",""))*10/2,0),IF('Eval-Après action écologique'!$A$772=FE10,LEN(SUBSTITUTE((SUBSTITUTE(GE20,"TM","")),"TS",""))*10/2,0),IF('Eval-Après action écologique'!$A$773=FE10,LEN(SUBSTITUTE((SUBSTITUTE(GE21,"TM","")),"TS",""))*10/2,0),IF('Eval-Après action écologique'!$A$774=FE10,LEN(SUBSTITUTE((SUBSTITUTE(GE22,"TM","")),"TS",""))*10/2,0),IF('Eval-Après action écologique'!$A$775=FE10,LEN(SUBSTITUTE((SUBSTITUTE(GE23,"TM","")),"TS",""))*10/2,0),IF('Eval-Après action écologique'!$A$776=FE10,LEN(SUBSTITUTE((SUBSTITUTE(GE24,"TM","")),"TS",""))*10/2,0),IF('Eval-Après action écologique'!$A$777=FE10,LEN(SUBSTITUTE((SUBSTITUTE(GE25,"TM","")),"TS",""))*10/2,0),IF('Eval-Après action écologique'!$A$778=FE10,LEN(SUBSTITUTE((SUBSTITUTE(GE26,"TM","")),"TS",""))*10/2,0),IF('Eval-Après action écologique'!$A$779=FE10,LEN(SUBSTITUTE((SUBSTITUTE(GE27,"TM","")),"TS",""))*10/2,0),IF('Eval-Après action écologique'!$A$780=FE10,LEN(SUBSTITUTE((SUBSTITUTE(GE28,"TM","")),"TS",""))*10/2,0))/COUNTIF('Eval-Après action écologique'!$A$761:$A$780,FE10),"")</f>
        <v/>
      </c>
      <c r="FS10" s="211" t="str">
        <f>IF(COUNTIF('Eval-Après action écologique'!$A$761:$A$780,FE10)&gt;0,SUM(IF('Eval-Après action écologique'!$A$761=FE10,LEN(SUBSTITUTE((SUBSTITUTE(GE9,"TF","")),"TS",""))*10/2,0),IF('Eval-Après action écologique'!$A$762=FE10,LEN(SUBSTITUTE((SUBSTITUTE(GE10,"TF","")),"TS",""))*10/2,0),IF('Eval-Après action écologique'!$A$763=FE10,LEN(SUBSTITUTE((SUBSTITUTE(GE11,"TF","")),"TS",""))*10/2,0),IF('Eval-Après action écologique'!$A$764=FE10,LEN(SUBSTITUTE((SUBSTITUTE(GE12,"TF","")),"TS",""))*10/2,0),IF('Eval-Après action écologique'!$A$765=FE10,LEN(SUBSTITUTE((SUBSTITUTE(GE13,"TF","")),"TS",""))*10/2,0),IF('Eval-Après action écologique'!$A$766=FE10,LEN(SUBSTITUTE((SUBSTITUTE(GE14,"TF","")),"TS",""))*10/2,0),IF('Eval-Après action écologique'!$A$767=FE10,LEN(SUBSTITUTE((SUBSTITUTE(GE15,"TF","")),"TS",""))*10/2,0),IF('Eval-Après action écologique'!$A$768=FE10,LEN(SUBSTITUTE((SUBSTITUTE(GE16,"TF","")),"TS",""))*10/2,0),IF('Eval-Après action écologique'!$A$769=FE10,LEN(SUBSTITUTE((SUBSTITUTE(GE17,"TF","")),"TS",""))*10/2,0),IF('Eval-Après action écologique'!$A$770=FE10,LEN(SUBSTITUTE((SUBSTITUTE(GE18,"TF","")),"TS",""))*10/2,0),IF('Eval-Après action écologique'!$A$771=FE10,LEN(SUBSTITUTE((SUBSTITUTE(GE19,"TF","")),"TS",""))*10/2,0),IF('Eval-Après action écologique'!$A$772=FE10,LEN(SUBSTITUTE((SUBSTITUTE(GE20,"TF","")),"TS",""))*10/2,0),IF('Eval-Après action écologique'!$A$773=FE10,LEN(SUBSTITUTE((SUBSTITUTE(GE21,"TF","")),"TS",""))*10/2,0),IF('Eval-Après action écologique'!$A$774=FE10,LEN(SUBSTITUTE((SUBSTITUTE(GE22,"TF","")),"TS",""))*10/2,0),IF('Eval-Après action écologique'!$A$775=FE10,LEN(SUBSTITUTE((SUBSTITUTE(GE23,"TF","")),"TS",""))*10/2,0),IF('Eval-Après action écologique'!$A$776=FE10,LEN(SUBSTITUTE((SUBSTITUTE(GE24,"TF","")),"TS",""))*10/2,0),IF('Eval-Après action écologique'!$A$777=FE10,LEN(SUBSTITUTE((SUBSTITUTE(GE25,"TF","")),"TS",""))*10/2,0),IF('Eval-Après action écologique'!$A$778=FE10,LEN(SUBSTITUTE((SUBSTITUTE(GE26,"TF","")),"TS",""))*10/2,0),IF('Eval-Après action écologique'!$A$779=FE10,LEN(SUBSTITUTE((SUBSTITUTE(GE27,"TF","")),"TS",""))*10/2,0),IF('Eval-Après action écologique'!$A$780=FE10,LEN(SUBSTITUTE((SUBSTITUTE(GE28,"TF","")),"TS",""))*10/2,0))/COUNTIF('Eval-Après action écologique'!$A$761:$A$780,FE10),"")</f>
        <v/>
      </c>
      <c r="FT10" s="211" t="str">
        <f>IF(COUNTIF('Eval-Après action écologique'!$A$761:$A$780,FE10)&gt;0,SUM(IF('Eval-Après action écologique'!$A$761=FE10,LEN(SUBSTITUTE((SUBSTITUTE(GE9,"TF","")),"TM",""))*10/2,0),IF('Eval-Après action écologique'!$A$762=FE10,LEN(SUBSTITUTE((SUBSTITUTE(GE10,"TF","")),"TM",""))*10/2,0),IF('Eval-Après action écologique'!$A$763=FE10,LEN(SUBSTITUTE((SUBSTITUTE(GE11,"TF","")),"TM",""))*10/2,0),IF('Eval-Après action écologique'!$A$764=FE10,LEN(SUBSTITUTE((SUBSTITUTE(GE12,"TF","")),"TM",""))*10/2,0),IF('Eval-Après action écologique'!$A$765=FE10,LEN(SUBSTITUTE((SUBSTITUTE(GE13,"TF","")),"TM",""))*10/2,0),IF('Eval-Après action écologique'!$A$766=FE10,LEN(SUBSTITUTE((SUBSTITUTE(GE14,"TF","")),"TM",""))*10/2,0),IF('Eval-Après action écologique'!$A$767=FE10,LEN(SUBSTITUTE((SUBSTITUTE(GE15,"TF","")),"TM",""))*10/2,0),IF('Eval-Après action écologique'!$A$768=FE10,LEN(SUBSTITUTE((SUBSTITUTE(GE16,"TF","")),"TM",""))*10/2,0),IF('Eval-Après action écologique'!$A$769=FE10,LEN(SUBSTITUTE((SUBSTITUTE(GE17,"TF","")),"TM",""))*10/2,0),IF('Eval-Après action écologique'!$A$770=FE10,LEN(SUBSTITUTE((SUBSTITUTE(GE18,"TF","")),"TM",""))*10/2,0),IF('Eval-Après action écologique'!$A$771=FE10,LEN(SUBSTITUTE((SUBSTITUTE(GE19,"TF","")),"TM",""))*10/2,0),IF('Eval-Après action écologique'!$A$772=FE10,LEN(SUBSTITUTE((SUBSTITUTE(GE20,"TF","")),"TM",""))*10/2,0),IF('Eval-Après action écologique'!$A$773=FE10,LEN(SUBSTITUTE((SUBSTITUTE(GE21,"TF","")),"TM",""))*10/2,0),IF('Eval-Après action écologique'!$A$774=FE10,LEN(SUBSTITUTE((SUBSTITUTE(GE22,"TF","")),"TM",""))*10/2,0),IF('Eval-Après action écologique'!$A$775=FE10,LEN(SUBSTITUTE((SUBSTITUTE(GE23,"TF","")),"TM",""))*10/2,0),IF('Eval-Après action écologique'!$A$776=FE10,LEN(SUBSTITUTE((SUBSTITUTE(GE24,"TF","")),"TM",""))*10/2,0),IF('Eval-Après action écologique'!$A$777=FE10,LEN(SUBSTITUTE((SUBSTITUTE(GE25,"TF","")),"TM",""))*10/2,0),IF('Eval-Après action écologique'!$A$778=FE10,LEN(SUBSTITUTE((SUBSTITUTE(GE26,"TF","")),"TM",""))*10/2,0),IF('Eval-Après action écologique'!$A$779=FE10,LEN(SUBSTITUTE((SUBSTITUTE(GE27,"TF","")),"TM",""))*10/2,0),IF('Eval-Après action écologique'!$A$780=FE10,LEN(SUBSTITUTE((SUBSTITUTE(GE28,"TF","")),"TM",""))*10/2,0))/COUNTIF('Eval-Après action écologique'!$A$761:$A$780,FE10),"")</f>
        <v/>
      </c>
      <c r="FU10" s="211" t="str">
        <f>IF(COUNTIF('Eval-Après action écologique'!$A$761:$A$780,FE10)&gt;0,IF(OR(AND('Eval-Après action écologique'!$A$761=FE10,GB9&lt;30),AND('Eval-Après action écologique'!$A$762=FE10,GB10&lt;30),AND('Eval-Après action écologique'!$A$763=FE10,GB11&lt;30),AND('Eval-Après action écologique'!$A$764=FE10,GB12&lt;30),AND('Eval-Après action écologique'!$A$765=FE10,GB13&lt;30),AND('Eval-Après action écologique'!$A$766=FE10,GB14&lt;30),AND('Eval-Après action écologique'!$A$767=FE10,GB15&lt;30),AND('Eval-Après action écologique'!$A$768=FE10,GB16&lt;30),AND('Eval-Après action écologique'!$A$769=FE10,GB17&lt;30),AND('Eval-Après action écologique'!$A$770=FE10,GB18&lt;30),AND('Eval-Après action écologique'!$A$771=FE10,GB19&lt;30),AND('Eval-Après action écologique'!$A$772=FE10,GB20&lt;30),AND('Eval-Après action écologique'!$A$773=FE10,GB21&lt;30),AND('Eval-Après action écologique'!$A$774=FE10,GB22&lt;30),AND('Eval-Après action écologique'!$A$775=FE10,GB23&lt;30),AND('Eval-Après action écologique'!$A$776=FE10,GB24&lt;30),AND('Eval-Après action écologique'!$A$777=FE10,GB25&lt;30),AND('Eval-Après action écologique'!$A$778=FE10,GB26&lt;30),AND('Eval-Après action écologique'!$A$779=FE10,GB27&lt;30),AND('Eval-Après action écologique'!$A$780=FE10,GB28&lt;30)),"",SUM(0.1*(SUMPRODUCT(('Eval-Après action écologique'!$A$761:$A$780=FE10)*('Eval-Après action écologique'!$N$761:$P$780="A"))+ SUMPRODUCT(('Eval-Après action écologique'!$A$761:$A$780=FE10)*('Eval-Après action écologique'!$N$761:$P$780="AL"))),0.7*(SUMPRODUCT(('Eval-Après action écologique'!$A$761:$A$780=FE10)*('Eval-Après action écologique'!$N$761:$P$780="TF"))+SUMPRODUCT(('Eval-Après action écologique'!$A$761:$A$780=FE10)*('Eval-Après action écologique'!$N$761:$P$780="TM"))+SUMPRODUCT(('Eval-Après action écologique'!$A$761:$A$780=FE10)*('Eval-Après action écologique'!$N$761:$P$780="TS"))),0.4*(SUMPRODUCT(('Eval-Après action écologique'!$A$761:$A$780=FE10)*('Eval-Après action écologique'!$N$761:$P$780="LA"))+SUMPRODUCT(('Eval-Après action écologique'!$A$761:$A$780=FE10)*('Eval-Après action écologique'!$N$761:$P$780="L"))+SUMPRODUCT(('Eval-Après action écologique'!$A$761:$A$780=FE10)*('Eval-Après action écologique'!$N$761:$P$780="LS"))),1*(SUMPRODUCT(('Eval-Après action écologique'!$A$761:$A$780=FE10)*('Eval-Après action écologique'!$N$761:$P$780="SL"))+ SUMPRODUCT(('Eval-Après action écologique'!$A$761:$A$780=FE10)*('Eval-Après action écologique'!$N$761:$P$780="S"))))/(3*COUNTIF('Eval-Après action écologique'!$A$761:$A$780,FE10))),"")</f>
        <v/>
      </c>
      <c r="FV10" s="211" t="str">
        <f>IF(COUNTIF('Eval-Après action écologique'!$A$761:$A$780,FE10)&gt;0,IF(OR(AND('Eval-Après action écologique'!$A$761=FE10,GB9&lt;120),AND('Eval-Après action écologique'!$A$762=FE10,GB10&lt;120),AND('Eval-Après action écologique'!$A$763=FE10,GB11&lt;120),AND('Eval-Après action écologique'!$A$764=FE10,GB12&lt;120),AND('Eval-Après action écologique'!$A$765=FE10,GB13&lt;120),AND('Eval-Après action écologique'!$A$766=FE10,GB14&lt;120),AND('Eval-Après action écologique'!$A$767=FE10,GB15&lt;120),AND('Eval-Après action écologique'!$A$768=FE10,GB16&lt;120),AND('Eval-Après action écologique'!$A$769=FE10,GB17&lt;120),AND('Eval-Après action écologique'!$A$770=FE10,GB18&lt;120),AND('Eval-Après action écologique'!$A$771=FE10,GB19&lt;120),AND('Eval-Après action écologique'!$A$772=FE10,GB20&lt;120),AND('Eval-Après action écologique'!$A$773=FE10,GB21&lt;120),AND('Eval-Après action écologique'!$A$774=FE10,GB22&lt;120),AND('Eval-Après action écologique'!$A$775=FE10,GB23&lt;120),AND('Eval-Après action écologique'!$A$776=FE10,GB24&lt;120),AND('Eval-Après action écologique'!$A$777=FE10,GB25&lt;120),AND('Eval-Après action écologique'!$A$778=FE10,GB26&lt;120),AND('Eval-Après action écologique'!$A$779=FE10,GB27&lt;120),AND('Eval-Après action écologique'!$A$780=FE10,GB28&lt;120)),"",SUM(0.1*(SUMPRODUCT(('Eval-Après action écologique'!$A$761:$A$780=FE10)*('Eval-Après action écologique'!$Q$761:$Y$780="A"))+ SUMPRODUCT(('Eval-Après action écologique'!$A$761:$A$780=FE10)*('Eval-Après action écologique'!$Q$761:$Y$780="AL"))),0.7*(SUMPRODUCT(('Eval-Après action écologique'!$A$761:$A$780=FE10)*('Eval-Après action écologique'!$Q$761:$Y$780="TF"))+SUMPRODUCT(('Eval-Après action écologique'!$A$761:$A$780=FE10)*('Eval-Après action écologique'!$Q$761:$Y$780="TM"))+SUMPRODUCT(('Eval-Après action écologique'!$A$761:$A$780=FE10)*('Eval-Après action écologique'!$Q$761:$Y$780="TS"))),0.4*(SUMPRODUCT(('Eval-Après action écologique'!$A$761:$A$780=FE10)*('Eval-Après action écologique'!$Q$761:$Y$780="LA"))+SUMPRODUCT(('Eval-Après action écologique'!$A$761:$A$780=FE10)*('Eval-Après action écologique'!$Q$761:$Y$780="L"))+SUMPRODUCT(('Eval-Après action écologique'!$A$761:$A$780=FE10)*('Eval-Après action écologique'!$Q$761:$Y$780="LS"))),1*(SUMPRODUCT(('Eval-Après action écologique'!$A$761:$A$780=FE10)*('Eval-Après action écologique'!$Q$761:$Y$780="SL"))+ SUMPRODUCT(('Eval-Après action écologique'!$A$761:$A$780=FE10)*('Eval-Après action écologique'!$Q$761:$Y$780="S"))))/(9*COUNTIF('Eval-Après action écologique'!$A$761:$A$780,FE10))),"")</f>
        <v/>
      </c>
      <c r="FW10" s="211" t="str">
        <f>IF(COUNTIF('Eval-Après action écologique'!$A$761:$A$780,FE10)&gt;0,IF(OR(AND('Eval-Après action écologique'!$A$761=FE10,OR(COUNTIF('Eval-Après action écologique'!$N$761:$P$761,"*T*")&gt;0,GB9&lt;30)),AND('Eval-Après action écologique'!$A$762=FE10,OR(COUNTIF('Eval-Après action écologique'!$N$762:$P$762,"*T*")&gt;0,GB10&lt;30)),AND('Eval-Après action écologique'!$A$763=FE10,OR(COUNTIF('Eval-Après action écologique'!$N$763:$P$763,"*T*")&gt;0,GB11&lt;30)),AND('Eval-Après action écologique'!$A$764=FE10,OR(COUNTIF('Eval-Après action écologique'!$N$764:$P$764,"*T*")&gt;0,GB12&lt;30)),AND('Eval-Après action écologique'!$A$765=FE10,OR(COUNTIF('Eval-Après action écologique'!$N$765:$P$765,"*T*")&gt;0,GB13&lt;30)),AND('Eval-Après action écologique'!$A$766=FE10,OR(COUNTIF('Eval-Après action écologique'!$N$766:$P$766,"*T*")&gt;0,GB14&lt;30)),AND('Eval-Après action écologique'!$A$767=FE10,OR(COUNTIF('Eval-Après action écologique'!$N$767:$P$767,"*T*")&gt;0,GB15&lt;30)),AND('Eval-Après action écologique'!$A$768=FE10,OR(COUNTIF('Eval-Après action écologique'!$N$768:$P$768,"*T*")&gt;0,GB16&lt;30)),AND('Eval-Après action écologique'!$A$769=FE10,OR(COUNTIF('Eval-Après action écologique'!$N$769:$P$769,"*T*")&gt;0,GB17&lt;30)),AND('Eval-Après action écologique'!$A$770=FE10,OR(COUNTIF('Eval-Après action écologique'!$N$770:$P$770,"*T*")&gt;0,GB18&lt;30)),AND('Eval-Après action écologique'!$A$771=FE10,OR(COUNTIF('Eval-Après action écologique'!$N$771:$P$771,"*T*")&gt;0,GB19&lt;30)),AND('Eval-Après action écologique'!$A$772=FE10,OR(COUNTIF('Eval-Après action écologique'!$N$772:$P$772,"*T*")&gt;0,GB20&lt;30)),AND('Eval-Après action écologique'!$A$773=FE10,OR(COUNTIF('Eval-Après action écologique'!$N$773:$P$773,"*T*")&gt;0,GB21&lt;30)),AND('Eval-Après action écologique'!$A$774=FE10,OR(COUNTIF('Eval-Après action écologique'!$N$774:$P$774,"*T*")&gt;0,GB22&lt;30)),AND('Eval-Après action écologique'!$A$775=FE10,OR(COUNTIF('Eval-Après action écologique'!$N$775:$P$775,"*T*")&gt;0,GB23&lt;30)),AND('Eval-Après action écologique'!$A$776=FE10,OR(COUNTIF('Eval-Après action écologique'!$N$776:$P$776,"*T*")&gt;0,GB24&lt;30)),AND('Eval-Après action écologique'!$A$777=FE10,OR(COUNTIF('Eval-Après action écologique'!$N$777:$P$777,"*T*")&gt;0,GB25&lt;30)),AND('Eval-Après action écologique'!$A$778=FE10,OR(COUNTIF('Eval-Après action écologique'!$N$778:$P$778,"*T*")&gt;0,GB26&lt;30)),AND('Eval-Après action écologique'!$A$779=FE10,OR(COUNTIF('Eval-Après action écologique'!$N$779:$P$779,"*T*")&gt;0,GB27&lt;30)),AND('Eval-Après action écologique'!$A$780=FE10,OR(COUNTIF('Eval-Après action écologique'!$N$780:$P$780,"*T*")&gt;0,GB28&lt;30))),"",SUM(0.1*(SUMPRODUCT(('Eval-Après action écologique'!$A$761:$A$780=FE10)*('Eval-Après action écologique'!$N$761:$P$780="L"))),0.4*(SUMPRODUCT(('Eval-Après action écologique'!$A$761:$A$780=FE10)*('Eval-Après action écologique'!$N$761:$P$780="LA"))+SUMPRODUCT(('Eval-Après action écologique'!$A$761:$A$780=FE10)*('Eval-Après action écologique'!$N$761:$P$780="LS"))),0.7*(SUMPRODUCT(('Eval-Après action écologique'!$A$761:$A$780=FE10)*('Eval-Après action écologique'!$N$761:$P$780="AL"))+SUMPRODUCT(('Eval-Après action écologique'!$A$761:$A$780=FE10)*('Eval-Après action écologique'!$N$761:$P$780="SL"))),1*(SUMPRODUCT(('Eval-Après action écologique'!$A$761:$A$780=FE10)*('Eval-Après action écologique'!$N$761:$P$780="S"))+ SUMPRODUCT(('Eval-Après action écologique'!$A$761:$A$780=FE10)*('Eval-Après action écologique'!$N$761:$P$780="A"))))/(3*COUNTIF('Eval-Après action écologique'!$A$761:$A$780,FE10))),"")</f>
        <v/>
      </c>
      <c r="FX10" s="211" t="str">
        <f>IF(COUNTIF('Eval-Après action écologique'!$A$761:$A$780,FE10)&gt;0,IF(OR(AND('Eval-Après action écologique'!$A$761=FE10,OR(COUNTIF('Eval-Après action écologique'!$N$761:$P$761,"*T*")&gt;0,GB9&lt;30)),AND('Eval-Après action écologique'!$A$762=FE10,OR(COUNTIF('Eval-Après action écologique'!$N$762:$P$762,"*T*")&gt;0,GB10&lt;30)),AND('Eval-Après action écologique'!$A$763=FE10,OR(COUNTIF('Eval-Après action écologique'!$N$763:$P$763,"*T*")&gt;0,GB11&lt;30)),AND('Eval-Après action écologique'!$A$764=FE10,OR(COUNTIF('Eval-Après action écologique'!$N$764:$P$764,"*T*")&gt;0,GB12&lt;30)),AND('Eval-Après action écologique'!$A$765=FE10,OR(COUNTIF('Eval-Après action écologique'!$N$765:$P$765,"*T*")&gt;0,GB13&lt;30)),AND('Eval-Après action écologique'!$A$766=FE10,OR(COUNTIF('Eval-Après action écologique'!$N$766:$P$766,"*T*")&gt;0,GB14&lt;30)),AND('Eval-Après action écologique'!$A$767=FE10,OR(COUNTIF('Eval-Après action écologique'!$N$767:$P$767,"*T*")&gt;0,GB15&lt;30)),AND('Eval-Après action écologique'!$A$768=FE10,OR(COUNTIF('Eval-Après action écologique'!$N$768:$P$768,"*T*")&gt;0,GB16&lt;30)),AND('Eval-Après action écologique'!$A$769=FE10,OR(COUNTIF('Eval-Après action écologique'!$N$769:$P$769,"*T*")&gt;0,GB17&lt;30)),AND('Eval-Après action écologique'!$A$770=FE10,OR(COUNTIF('Eval-Après action écologique'!$N$770:$P$770,"*T*")&gt;0,GB18&lt;30)),AND('Eval-Après action écologique'!$A$771=FE10,OR(COUNTIF('Eval-Après action écologique'!$N$771:$P$771,"*T*")&gt;0,GB19&lt;30)),AND('Eval-Après action écologique'!$A$772=FE10,OR(COUNTIF('Eval-Après action écologique'!$N$772:$P$772,"*T*")&gt;0,GB20&lt;30)),AND('Eval-Après action écologique'!$A$773=FE10,OR(COUNTIF('Eval-Après action écologique'!$N$773:$P$773,"*T*")&gt;0,GB21&lt;30)),AND('Eval-Après action écologique'!$A$774=FE10,OR(COUNTIF('Eval-Après action écologique'!$N$774:$P$774,"*T*")&gt;0,GB22&lt;30)),AND('Eval-Après action écologique'!$A$775=FE10,OR(COUNTIF('Eval-Après action écologique'!$N$775:$P$775,"*T*")&gt;0,GB23&lt;30)),AND('Eval-Après action écologique'!$A$776=FE10,OR(COUNTIF('Eval-Après action écologique'!$N$776:$P$776,"*T*")&gt;0,GB24&lt;30)),AND('Eval-Après action écologique'!$A$777=FE10,OR(COUNTIF('Eval-Après action écologique'!$N$777:$P$777,"*T*")&gt;0,GB25&lt;30)),AND('Eval-Après action écologique'!$A$778=FE10,OR(COUNTIF('Eval-Après action écologique'!$N$778:$P$778,"*T*")&gt;0,GB26&lt;30)),AND('Eval-Après action écologique'!$A$779=FE10,OR(COUNTIF('Eval-Après action écologique'!$N$779:$P$779,"*T*")&gt;0,GB27&lt;30)),AND('Eval-Après action écologique'!$A$780=FE10,OR(COUNTIF('Eval-Après action écologique'!$N$780:$P$780,"*T*")&gt;0,GB28&lt;30))),"",SUM(1*(SUMPRODUCT(('Eval-Après action écologique'!$A$761:$A$780=FE10)*('Eval-Après action écologique'!$N$761:$P$780="A"))),0.85*(SUMPRODUCT(('Eval-Après action écologique'!$A$761:$A$780=FE10)*('Eval-Après action écologique'!$N$761:$P$780="AL"))),0.7*(SUMPRODUCT(('Eval-Après action écologique'!$A$761:$A$780=FE10)*('Eval-Après action écologique'!$N$761:$P$780="LA"))),0.55*(SUMPRODUCT(('Eval-Après action écologique'!$A$761:$A$780=FE10)*('Eval-Après action écologique'!$N$761:$P$780="L"))),0.4*(SUMPRODUCT(('Eval-Après action écologique'!$A$761:$A$780=FE10)*('Eval-Après action écologique'!$N$761:$P$780="LS"))),0.25*(SUMPRODUCT(('Eval-Après action écologique'!$A$761:$A$780=FE10)*('Eval-Après action écologique'!$N$761:$P$780="SL"))),0.1*(SUMPRODUCT(('Eval-Après action écologique'!$A$761:$A$780=FE10)*('Eval-Après action écologique'!$N$761:$P$780="S"))))/(3*COUNTIF('Eval-Après action écologique'!$A$761:$A$780,FE10))),"")</f>
        <v/>
      </c>
      <c r="FY10" s="214" t="str">
        <f>IF(COUNTIF('Eval-Après action écologique'!$A$761:$A$780,FE10)&gt;0,IF(OR(AND('Eval-Après action écologique'!$A$761=FE10,OR(COUNTIF('Eval-Après action écologique'!$Q$761:$Y$761,"*T*")&gt;0,GB9&lt;120)),AND('Eval-Après action écologique'!$A$762=FE10,OR(COUNTIF('Eval-Après action écologique'!$Q$762:$Y$762,"*T*")&gt;0,GB10&lt;120)),AND('Eval-Après action écologique'!$A$763=FE10,OR(COUNTIF('Eval-Après action écologique'!$Q$763:$Y$763,"*T*")&gt;0,GB11&lt;120)),AND('Eval-Après action écologique'!$A$764=FE10,OR(COUNTIF('Eval-Après action écologique'!$Q$764:$Y$764,"*T*")&gt;0,GB12&lt;120)),AND('Eval-Après action écologique'!$A$765=FE10,OR(COUNTIF('Eval-Après action écologique'!$Q$765:$Y$765,"*T*")&gt;0,GB13&lt;120)),AND('Eval-Après action écologique'!$A$766=FE10,OR(COUNTIF('Eval-Après action écologique'!$Q$766:$Y$766,"*T*")&gt;0,GB14&lt;120)),AND('Eval-Après action écologique'!$A$767=FE10,OR(COUNTIF('Eval-Après action écologique'!$Q$767:$Y$767,"*T*")&gt;0,GB15&lt;120)),AND('Eval-Après action écologique'!$A$768=FE10,OR(COUNTIF('Eval-Après action écologique'!$Q$768:$Y$768,"*T*")&gt;0,GB16&lt;120)),AND('Eval-Après action écologique'!$A$769=FE10,OR(COUNTIF('Eval-Après action écologique'!$Q$769:$Y$769,"*T*")&gt;0,GB17&lt;120)),AND('Eval-Après action écologique'!$A$770=FE10,OR(COUNTIF('Eval-Après action écologique'!$Q$770:$Y$770,"*T*")&gt;0,GB18&lt;120)),AND('Eval-Après action écologique'!$A$771=FE10,OR(COUNTIF('Eval-Après action écologique'!$Q$771:$Y$771,"*T*")&gt;0,GB19&lt;120)),AND('Eval-Après action écologique'!$A$772=FE10,OR(COUNTIF('Eval-Après action écologique'!$Q$772:$Y$772,"*T*")&gt;0,GB20&lt;120)),AND('Eval-Après action écologique'!$A$773=FE10,OR(COUNTIF('Eval-Après action écologique'!$Q$773:$Y$773,"*T*")&gt;0,GB21&lt;120)),AND('Eval-Après action écologique'!$A$774=FE10,OR(COUNTIF('Eval-Après action écologique'!$Q$774:$Y$774,"*T*")&gt;0,GB22&lt;120)),AND('Eval-Après action écologique'!$A$775=FE10,OR(COUNTIF('Eval-Après action écologique'!$Q$775:$Y$775,"*T*")&gt;0,GB23&lt;120)),AND('Eval-Après action écologique'!$A$776=FE10,OR(COUNTIF('Eval-Après action écologique'!$Q$776:$Y$776,"*T*")&gt;0,GB24&lt;120)),AND('Eval-Après action écologique'!$A$777=FE10,OR(COUNTIF('Eval-Après action écologique'!$Q$777:$Y$777,"*T*")&gt;0,GB25&lt;120)),AND('Eval-Après action écologique'!$A$778=FE10,OR(COUNTIF('Eval-Après action écologique'!$Q$778:$Y$778,"*T*")&gt;0,GB26&lt;120)),AND('Eval-Après action écologique'!$A$779=FE10,OR(COUNTIF('Eval-Après action écologique'!$Q$779:$Y$779,"*T*")&gt;0,GB27&lt;120)),AND('Eval-Après action écologique'!$A$780=FE10,OR(COUNTIF('Eval-Après action écologique'!$Q$780:$Y$780,"*T*")&gt;0,GB28&lt;120))),"",SUM(1*(SUMPRODUCT(('Eval-Après action écologique'!$A$761:$A$780=FE10)*('Eval-Après action écologique'!$Q$761:$Y$780="A"))),0.85*(SUMPRODUCT(('Eval-Après action écologique'!$A$761:$A$780=FE10)*('Eval-Après action écologique'!$Q$761:$Y$780="AL"))),0.7*(SUMPRODUCT(('Eval-Après action écologique'!$A$761:$A$780=FE10)*('Eval-Après action écologique'!$Q$761:$Y$780="LA"))),0.55*(SUMPRODUCT(('Eval-Après action écologique'!$A$761:$A$780=FE10)*('Eval-Après action écologique'!$Q$761:$Y$780="L"))),0.4*(SUMPRODUCT(('Eval-Après action écologique'!$A$761:$A$780=FE10)*('Eval-Après action écologique'!$Q$761:$Y$780="LS"))),0.25*(SUMPRODUCT(('Eval-Après action écologique'!$A$761:$A$780=FE10)*('Eval-Après action écologique'!$Q$761:$Y$780="SL"))),0.1*(SUMPRODUCT(('Eval-Après action écologique'!$A$761:$A$780=FE10)*('Eval-Après action écologique'!$Q$761:$Y$780="S"))))/(9*COUNTIF('Eval-Après action écologique'!$A$761:$A$780,FE10))),"")</f>
        <v/>
      </c>
      <c r="FZ10" s="215"/>
      <c r="GA10" s="216">
        <f>'Eval-Après action écologique'!$D$762</f>
        <v>2</v>
      </c>
      <c r="GB10" s="217" t="str">
        <f>IF(GC10="C",0,IF(IF(COUNTIF('Eval-Après action écologique'!$N$762:$Y$762,"=C")&gt;0,(COUNTA('Eval-Après action écologique'!$N$762:$Y$762)-1)*10,COUNTA('Eval-Après action écologique'!$N$762:$Y$762)*10)=0,"",IF(COUNTIF('Eval-Après action écologique'!$N$762:$Y$762,"=C")&gt;0,(COUNTA('Eval-Après action écologique'!$N$762:$Y$762)-1)*10,COUNTA('Eval-Après action écologique'!$N$762:$Y$762)*10)))</f>
        <v/>
      </c>
      <c r="GC10" s="217" t="str">
        <f>CONCATENATE('Eval-Après action écologique'!$N$762,'Eval-Après action écologique'!$O$762,'Eval-Après action écologique'!$P$762,'Eval-Après action écologique'!$Q$762,'Eval-Après action écologique'!$R$762,'Eval-Après action écologique'!$S$762,'Eval-Après action écologique'!$T$762,'Eval-Après action écologique'!$U$762,'Eval-Après action écologique'!$V$762,'Eval-Après action écologique'!$W$762,'Eval-Après action écologique'!$X$762,'Eval-Après action écologique'!$Y$762)</f>
        <v/>
      </c>
      <c r="GD10" s="217" t="str">
        <f t="shared" si="20"/>
        <v/>
      </c>
      <c r="GE10" s="217" t="str">
        <f t="shared" si="21"/>
        <v/>
      </c>
      <c r="GF10" s="217" t="str">
        <f>IF(COUNTIF('Eval-Après action écologique'!$N$762:$Y$762,"=C")&gt;0,"X","")</f>
        <v/>
      </c>
      <c r="GG10" s="217" t="str">
        <f t="shared" si="22"/>
        <v/>
      </c>
      <c r="GH10" s="218" t="str">
        <f t="shared" si="23"/>
        <v/>
      </c>
      <c r="GI10" s="197"/>
    </row>
    <row r="11" spans="1:191" ht="18" customHeight="1" x14ac:dyDescent="0.2">
      <c r="A11" s="210">
        <v>3</v>
      </c>
      <c r="B11" s="211" t="str">
        <f>IF(COUNTIF('Eval-Avant impact'!$A$761:$A$780,A11)&gt;0,SUM(IF('Eval-Avant impact'!$A$761=A11,'Eval-Avant impact'!$B$761,0),IF('Eval-Avant impact'!$A$762=A11, 'Eval-Avant impact'!$B$762,0),IF('Eval-Avant impact'!$A$763=A11, 'Eval-Avant impact'!$B$763,0),IF('Eval-Avant impact'!$A$764=A11, 'Eval-Avant impact'!$B$764,0),IF('Eval-Avant impact'!$A$765=A11, 'Eval-Avant impact'!$B$765,0),IF('Eval-Avant impact'!$A$766=A11, 'Eval-Avant impact'!$B$766,0),IF('Eval-Avant impact'!$A$767=A11, 'Eval-Avant impact'!$B$767,0),IF('Eval-Avant impact'!$A$768=A11, 'Eval-Avant impact'!$B$768,0),IF('Eval-Avant impact'!$A$769=A11, 'Eval-Avant impact'!$B$769,0),IF('Eval-Avant impact'!$A$770=A11, 'Eval-Avant impact'!$B$770,0),IF('Eval-Avant impact'!$A$771=A11, 'Eval-Avant impact'!$B$771,0),IF('Eval-Avant impact'!$A$772=A11, 'Eval-Avant impact'!$B$772,0),IF('Eval-Avant impact'!$A$773=A11, 'Eval-Avant impact'!$B$773,0),IF('Eval-Avant impact'!$A$774=A11, 'Eval-Avant impact'!$B$774,0),IF('Eval-Avant impact'!$A$775=A11, 'Eval-Avant impact'!$B$775,0),IF('Eval-Avant impact'!$A$776=A11, 'Eval-Avant impact'!$B$776,0),IF('Eval-Avant impact'!$A$777=A11, 'Eval-Avant impact'!$B$777,0),IF('Eval-Avant impact'!$A$778=A11, 'Eval-Avant impact'!$B$778,0),IF('Eval-Avant impact'!$A$779=A11, 'Eval-Avant impact'!$B$779,0),IF('Eval-Avant impact'!$A$780=A11, 'Eval-Avant impact'!$B$780,0))/COUNTIF('Eval-Avant impact'!$A$761:$A$780,A11),"")</f>
        <v/>
      </c>
      <c r="C11" s="212" t="str">
        <f>IF(COUNTIF('Eval-Avant impact'!$A$761:$A$780,A11)&gt;0,COUNTIF('Eval-Avant impact'!$A$761:$A$780,A11),"")</f>
        <v/>
      </c>
      <c r="D11" s="211" t="str">
        <f>IF(COUNTIF('Eval-Avant impact'!$A$761:$A$780,A11)&gt;0,IF(OR(AND('Eval-Avant impact'!$A$761=A11, 'Eval-Avant impact'!$G$761=""),AND('Eval-Avant impact'!$A$762=A11, 'Eval-Avant impact'!$G$762=""),AND('Eval-Avant impact'!$A$763=A11, 'Eval-Avant impact'!$G$763=""),AND('Eval-Avant impact'!$A$764=A11, 'Eval-Avant impact'!$G$764=""),AND('Eval-Avant impact'!$A$765=A11, 'Eval-Avant impact'!$G$765=""),AND('Eval-Avant impact'!$A$766=A11, 'Eval-Avant impact'!$G$766=""),AND('Eval-Avant impact'!$A$767=A11, 'Eval-Avant impact'!$G$767=""),AND('Eval-Avant impact'!$A$768=A11, 'Eval-Avant impact'!$G$768=""),AND('Eval-Avant impact'!$A$769=A11, 'Eval-Avant impact'!$G$769=""),AND('Eval-Avant impact'!$A$770=A11, 'Eval-Avant impact'!$G$770=""),AND('Eval-Avant impact'!$A$771=A11, 'Eval-Avant impact'!$G$771=""),AND('Eval-Avant impact'!$A$772=A11, 'Eval-Avant impact'!$G$772=""),AND('Eval-Avant impact'!$A$773=A11, 'Eval-Avant impact'!$G$773=""),AND('Eval-Avant impact'!$A$774=A11, 'Eval-Avant impact'!$G$774=""),AND('Eval-Avant impact'!$A$775=A11, 'Eval-Avant impact'!$G$775=""),AND('Eval-Avant impact'!$A$776=A11, 'Eval-Avant impact'!$G$776=""),AND('Eval-Avant impact'!$A$777=A11, 'Eval-Avant impact'!$G$777=""),AND('Eval-Avant impact'!$A$778=A11, 'Eval-Avant impact'!$G$778=""),AND('Eval-Avant impact'!$A$779=A11, 'Eval-Avant impact'!$G$779=""),AND('Eval-Avant impact'!$A$780=A11, 'Eval-Avant impact'!$G$780="")),"",SUM(IF('Eval-Avant impact'!$A$761=A11,'Eval-Avant impact'!$G$761,0),IF('Eval-Avant impact'!$A$762=A11,'Eval-Avant impact'!$G$762,0),IF('Eval-Avant impact'!$A$763=A11,'Eval-Avant impact'!$G$763,0),IF('Eval-Avant impact'!$A$764=A11,'Eval-Avant impact'!$G$764,0),IF('Eval-Avant impact'!$A$765=A11,'Eval-Avant impact'!$G$765,0),IF('Eval-Avant impact'!$A$766=A11,'Eval-Avant impact'!$G$766,0),IF('Eval-Avant impact'!$A$767=A11,'Eval-Avant impact'!$G$767,0),IF('Eval-Avant impact'!$A$768=A11,'Eval-Avant impact'!$G$768,0),IF('Eval-Avant impact'!$A$769=A11,'Eval-Avant impact'!$G$769,0),IF('Eval-Avant impact'!$A$770=A11,'Eval-Avant impact'!$G$770,0),IF('Eval-Avant impact'!$A$771=A11,'Eval-Avant impact'!$G$771,0),IF('Eval-Avant impact'!$A$772=A11,'Eval-Avant impact'!$G$772,0),IF('Eval-Avant impact'!$A$773=A11,'Eval-Avant impact'!$G$773,0),IF('Eval-Avant impact'!$A$774=A11,'Eval-Avant impact'!$G$774,0),IF('Eval-Avant impact'!$A$775=A11,'Eval-Avant impact'!$G$775,0), IF('Eval-Avant impact'!$A$776=A11,'Eval-Avant impact'!$G$776,0), IF('Eval-Avant impact'!$A$777=A11,'Eval-Avant impact'!$G$777,0), IF('Eval-Avant impact'!$A$778=A11,'Eval-Avant impact'!$G$778,0), IF('Eval-Avant impact'!$A$779=A11,'Eval-Avant impact'!$G$779,0), IF('Eval-Avant impact'!$A$780=A11,'Eval-Avant impact'!$G$780,0))/ COUNTIF('Eval-Avant impact'!$A$761:$A$780,A11)),"")</f>
        <v/>
      </c>
      <c r="E11" s="212" t="str">
        <f>IF(COUNTIF('Eval-Avant impact'!$A$761:$A$780,A11)&gt;0,IF(SUM(IF('Eval-Avant impact'!$A$761=A11,COUNTA('Eval-Avant impact'!$H$761),0),IF('Eval-Avant impact'!$A$762=A11,COUNTA('Eval-Avant impact'!$H$762),0),IF('Eval-Avant impact'!$A$763=A11,COUNTA('Eval-Avant impact'!$H$763),0),IF('Eval-Avant impact'!$A$764=A11,COUNTA('Eval-Avant impact'!$H$764),0),IF('Eval-Avant impact'!$A$765=A11,COUNTA('Eval-Avant impact'!$H$765),0),IF('Eval-Avant impact'!$A$766=A11,COUNTA('Eval-Avant impact'!$H$766),0),IF('Eval-Avant impact'!$A$767=A11,COUNTA('Eval-Avant impact'!$H$767),0),IF('Eval-Avant impact'!$A$768=A11,COUNTA('Eval-Avant impact'!$H$768),0),IF('Eval-Avant impact'!$A$769=A11,COUNTA('Eval-Avant impact'!$H$769),0),IF('Eval-Avant impact'!$A$770=A11,COUNTA('Eval-Avant impact'!$H$770),0),IF('Eval-Avant impact'!$A$771=A11,COUNTA('Eval-Avant impact'!$H$771),0),IF('Eval-Avant impact'!$A$772=A11,COUNTA('Eval-Avant impact'!$H$772),0),IF('Eval-Avant impact'!$A$773=A11,COUNTA('Eval-Avant impact'!$H$773),0),IF('Eval-Avant impact'!$A$774=A11,COUNTA('Eval-Avant impact'!$H$774),0),IF('Eval-Avant impact'!$A$775=A11,COUNTA('Eval-Avant impact'!$H$775),0),IF('Eval-Avant impact'!$A$776=A11,COUNTA('Eval-Avant impact'!$H$776),0),IF('Eval-Avant impact'!$A$777=A11,COUNTA('Eval-Avant impact'!$H$777),0),IF('Eval-Avant impact'!$A$778=A11,COUNTA('Eval-Avant impact'!$H$778),0),IF('Eval-Avant impact'!$A$779=A11,COUNTA('Eval-Avant impact'!$H$779),0),IF('Eval-Avant impact'!$A$780=A11,COUNTA('Eval-Avant impact'!$H$780),0))&gt;0,"X",0),"")</f>
        <v/>
      </c>
      <c r="F11" s="213" t="str">
        <f>IF(COUNTIF('Eval-Avant impact'!$A$761:$A$780,A11)&gt;0,IF(SUM(IF('Eval-Avant impact'!$A$761=A11,COUNTA('Eval-Avant impact'!$I$761),0),IF('Eval-Avant impact'!$A$762=A11,COUNTA('Eval-Avant impact'!$I$762),0),IF('Eval-Avant impact'!$A$763=A11,COUNTA('Eval-Avant impact'!$I$763),0),IF('Eval-Avant impact'!$A$764=A11,COUNTA('Eval-Avant impact'!$I$764),0),IF('Eval-Avant impact'!$A$765=A11,COUNTA('Eval-Avant impact'!$I$765),0),IF('Eval-Avant impact'!$A$766=A11,COUNTA('Eval-Avant impact'!$I$766),0),IF('Eval-Avant impact'!$A$767=A11,COUNTA('Eval-Avant impact'!$I$767),0),IF('Eval-Avant impact'!$A$768=A11,COUNTA('Eval-Avant impact'!$I$768),0),IF('Eval-Avant impact'!$A$769=A11,COUNTA('Eval-Avant impact'!$I$769),0),IF('Eval-Avant impact'!$A$770=A11,COUNTA('Eval-Avant impact'!$I$770),0),IF('Eval-Avant impact'!$A$771=A11,COUNTA('Eval-Avant impact'!$I$771),0),IF('Eval-Avant impact'!$A$772=A11,COUNTA('Eval-Avant impact'!$I$772),0),IF('Eval-Avant impact'!$A$773=A11,COUNTA('Eval-Avant impact'!$I$773),0),IF('Eval-Avant impact'!$A$774=A11,COUNTA('Eval-Avant impact'!$I$774),0),IF('Eval-Avant impact'!$A$775=A11,COUNTA('Eval-Avant impact'!$I$775),0),IF('Eval-Avant impact'!$A$776=A11,COUNTA('Eval-Avant impact'!$I$776),0),IF('Eval-Avant impact'!$A$777=A11,COUNTA('Eval-Avant impact'!$I$777),0),IF('Eval-Avant impact'!$A$778=A11,COUNTA('Eval-Avant impact'!$I$778),0),IF('Eval-Avant impact'!$A$779=A11,COUNTA('Eval-Avant impact'!$I$779),0),IF('Eval-Avant impact'!$A$780=A11,COUNTA('Eval-Avant impact'!$I$780),0))&gt;0,"X",0),"")</f>
        <v/>
      </c>
      <c r="G11" s="213" t="str">
        <f>IF(COUNTIF('Eval-Avant impact'!$A$761:$A$780,A11)&gt;0,IF(SUM(IF('Eval-Avant impact'!$A$761=A11,COUNTA('Eval-Avant impact'!$J$761),0),IF('Eval-Avant impact'!$A$762=A11,COUNTA('Eval-Avant impact'!$J$762),0),IF('Eval-Avant impact'!$A$763=A11,COUNTA('Eval-Avant impact'!$J$763),0),IF('Eval-Avant impact'!$A$764=A11,COUNTA('Eval-Avant impact'!$J$764),0),IF('Eval-Avant impact'!$A$765=A11,COUNTA('Eval-Avant impact'!$J$765),0),IF('Eval-Avant impact'!$A$766=A11,COUNTA('Eval-Avant impact'!$J$766),0),IF('Eval-Avant impact'!$A$767=A11,COUNTA('Eval-Avant impact'!$J$767),0),IF('Eval-Avant impact'!$A$768=A11,COUNTA('Eval-Avant impact'!$J$768),0),IF('Eval-Avant impact'!$A$769=A11,COUNTA('Eval-Avant impact'!$J$769),0),IF('Eval-Avant impact'!$A$770=A11,COUNTA('Eval-Avant impact'!$J$770),0),IF('Eval-Avant impact'!$A$771=A11,COUNTA('Eval-Avant impact'!$J$771),0),IF('Eval-Avant impact'!$A$772=A11,COUNTA('Eval-Avant impact'!$J$772),0),IF('Eval-Avant impact'!$A$773=A11,COUNTA('Eval-Avant impact'!$J$773),0),IF('Eval-Avant impact'!$A$774=A11,COUNTA('Eval-Avant impact'!$J$774),0),IF('Eval-Avant impact'!$A$775=A11,COUNTA('Eval-Avant impact'!$J$775),0),IF('Eval-Avant impact'!$A$776=A11,COUNTA('Eval-Avant impact'!$J$776),0),IF('Eval-Avant impact'!$A$777=A11,COUNTA('Eval-Avant impact'!$J$777),0),IF('Eval-Avant impact'!$A$778=A11,COUNTA('Eval-Avant impact'!$J$778),0),IF('Eval-Avant impact'!$A$779=A11,COUNTA('Eval-Avant impact'!$J$779),0),IF('Eval-Avant impact'!$A$780=A11,COUNTA('Eval-Avant impact'!$J$780),0))&gt;0,"X",0),"")</f>
        <v/>
      </c>
      <c r="H11" s="213" t="str">
        <f>IF(COUNTIF('Eval-Avant impact'!$A$761:$A$780,A11)&gt;0,IF(SUM(IF('Eval-Avant impact'!$A$761=A11,COUNTA('Eval-Avant impact'!$K$761),0),IF('Eval-Avant impact'!$A$762=A11,COUNTA('Eval-Avant impact'!$K$762),0),IF('Eval-Avant impact'!$A$763=A11,COUNTA('Eval-Avant impact'!$K$763),0),IF('Eval-Avant impact'!$A$764=A11,COUNTA('Eval-Avant impact'!$K$764),0),IF('Eval-Avant impact'!$A$765=A11,COUNTA('Eval-Avant impact'!$K$765),0),IF('Eval-Avant impact'!$A$766=A11,COUNTA('Eval-Avant impact'!$K$766),0),IF('Eval-Avant impact'!$A$767=A11,COUNTA('Eval-Avant impact'!$K$767),0),IF('Eval-Avant impact'!$A$768=A11,COUNTA('Eval-Avant impact'!$K$768),0),IF('Eval-Avant impact'!$A$769=A11,COUNTA('Eval-Avant impact'!$K$769),0),IF('Eval-Avant impact'!$A$770=A11,COUNTA('Eval-Avant impact'!$K$770),0),IF('Eval-Avant impact'!$A$771=A11,COUNTA('Eval-Avant impact'!$K$771),0),IF('Eval-Avant impact'!$A$772=A11,COUNTA('Eval-Avant impact'!$K$772),0),IF('Eval-Avant impact'!$A$773=A11,COUNTA('Eval-Avant impact'!$K$773),0),IF('Eval-Avant impact'!$A$774=A11,COUNTA('Eval-Avant impact'!$K$774),0),IF('Eval-Avant impact'!$A$775=A11,COUNTA('Eval-Avant impact'!$K$775),0),IF('Eval-Avant impact'!$A$776=A11,COUNTA('Eval-Avant impact'!$K$776),0),IF('Eval-Avant impact'!$A$777=A11,COUNTA('Eval-Avant impact'!$K$777),0),IF('Eval-Avant impact'!$A$778=A11,COUNTA('Eval-Avant impact'!$K$778),0),IF('Eval-Avant impact'!$A$779=A11,COUNTA('Eval-Avant impact'!$K$779),0),IF('Eval-Avant impact'!$A$780=A11,COUNTA('Eval-Avant impact'!$K$780),0))&gt;0,"X",0),"")</f>
        <v/>
      </c>
      <c r="I11" s="211" t="str">
        <f>IF(COUNTIF('Eval-Avant impact'!$A$761:$A$780,A11)&gt;0,IF(OR(AND('Eval-Avant impact'!$A$761=A11,'Eval-Avant impact'!$L$761&lt;120,'Eval-Avant impact'!$L$761&gt;=X9),AND('Eval-Avant impact'!$A$762=A11,'Eval-Avant impact'!$L$762&lt;120,'Eval-Avant impact'!$L$762&gt;=X10),AND('Eval-Avant impact'!$A$763=A11,'Eval-Avant impact'!$L$763&lt;120,'Eval-Avant impact'!$L$763&gt;=X11),AND('Eval-Avant impact'!$A$764=A11,'Eval-Avant impact'!$L$764&lt;120,'Eval-Avant impact'!$L$764&gt;=X12),AND('Eval-Avant impact'!$A$765=A11,'Eval-Avant impact'!$L$765&lt;120,'Eval-Avant impact'!$L$765&gt;=X13),AND('Eval-Avant impact'!$A$766=A11,'Eval-Avant impact'!$L$766&lt;120,'Eval-Avant impact'!$L$766&gt;=X14),AND('Eval-Avant impact'!$A$767=A11,'Eval-Avant impact'!$L$767&lt;120,'Eval-Avant impact'!$L$767&gt;=X15),AND('Eval-Avant impact'!$A$768=A11,'Eval-Avant impact'!$L$768&lt;120,'Eval-Avant impact'!$L$768&gt;=X16),AND('Eval-Avant impact'!$A$769=A11,'Eval-Avant impact'!$L$769&lt;120,'Eval-Avant impact'!$L$769&gt;=X17),AND('Eval-Avant impact'!$A$770=A11,'Eval-Avant impact'!$L$770&lt;120,'Eval-Avant impact'!$L$770&gt;=X18),AND('Eval-Avant impact'!$A$771=A11,'Eval-Avant impact'!$L$771&lt;120,'Eval-Avant impact'!$L$771&gt;=X19),AND('Eval-Avant impact'!$A$772=A11,'Eval-Avant impact'!$L$772&lt;120,'Eval-Avant impact'!$L$772&gt;=X20),AND('Eval-Avant impact'!$A$773=A11,'Eval-Avant impact'!$L$773&lt;120,'Eval-Avant impact'!$L$773&gt;=X21),AND('Eval-Avant impact'!$A$774=A11,'Eval-Avant impact'!$L$774&lt;120,'Eval-Avant impact'!$L$774&gt;=X22),AND('Eval-Avant impact'!$A$775=A11,'Eval-Avant impact'!$L$775&lt;120,'Eval-Avant impact'!$L$775&gt;=X23),AND('Eval-Avant impact'!$A$776=A11,'Eval-Avant impact'!$L$776&lt;120,'Eval-Avant impact'!$L$776&gt;=X24),AND('Eval-Avant impact'!$A$777=A11,'Eval-Avant impact'!$L$777&lt;120,'Eval-Avant impact'!$L$777&gt;=X25),AND('Eval-Avant impact'!$A$778=A11,'Eval-Avant impact'!$L$778&lt;120,'Eval-Avant impact'!$L$778&gt;=X26),AND('Eval-Avant impact'!$A$779=A11,'Eval-Avant impact'!$L$779&lt;120,'Eval-Avant impact'!$L$779&gt;=X27),AND('Eval-Avant impact'!$A$780=A11,'Eval-Avant impact'!$L$780&lt;120,'Eval-Avant impact'!$L$780&gt;=X28)),"",SUM(IF('Eval-Avant impact'!$A$761=A11,'Eval-Avant impact'!$L$761,0),IF('Eval-Avant impact'!$A$762=A11,'Eval-Avant impact'!$L$762,0),IF('Eval-Avant impact'!$A$763=A11,'Eval-Avant impact'!$L$763,0),IF('Eval-Avant impact'!$A$764=A11,'Eval-Avant impact'!$L$764,0),IF('Eval-Avant impact'!$A$765=A11,'Eval-Avant impact'!$L$765,0),IF('Eval-Avant impact'!$A$766=A11,'Eval-Avant impact'!$L$766,0),IF('Eval-Avant impact'!$A$767=A11,'Eval-Avant impact'!$L$767,0),IF('Eval-Avant impact'!$A$768=A11,'Eval-Avant impact'!$L$768,0),IF('Eval-Avant impact'!$A$769=A11,'Eval-Avant impact'!$L$769,0),IF('Eval-Avant impact'!$A$770=A11,'Eval-Avant impact'!$L$770,0),IF('Eval-Avant impact'!$A$771=A11,'Eval-Avant impact'!$L$771,0),IF('Eval-Avant impact'!$A$772=A11,'Eval-Avant impact'!$L$772,0),IF('Eval-Avant impact'!$A$773=A11,'Eval-Avant impact'!$L$773,0),IF('Eval-Avant impact'!$A$774=A11,'Eval-Avant impact'!$L$774,0),IF('Eval-Avant impact'!$A$775=A11,'Eval-Avant impact'!$L$775,0),IF('Eval-Avant impact'!$A$776=A11,'Eval-Avant impact'!$L$776,0),IF('Eval-Avant impact'!$A$777=A11,'Eval-Avant impact'!$L$777,0),IF('Eval-Avant impact'!$A$778=A11,'Eval-Avant impact'!$L$778,0),IF('Eval-Avant impact'!$A$779=A11,'Eval-Avant impact'!$L$779,0),IF('Eval-Avant impact'!$A$780=A11,'Eval-Avant impact'!$L$780,0))/ COUNTIF('Eval-Avant impact'!$A$761:$A$780,A11)),"")</f>
        <v/>
      </c>
      <c r="J11" s="211" t="str">
        <f>IF(COUNTIF('Eval-Avant impact'!$A$761:$A$780,A11)&gt;0,IF(OR(AND('Eval-Avant impact'!$A$761=A11, X9&lt;120),AND(X10&lt;120),AND(X11&lt;120),AND(X12&lt;120),AND(X13&lt;120),AND(X14&lt;120),AND(X15&lt;120),AND(X16&lt;120),AND(X17&lt;120),AND(X18&lt;120),AND(X19&lt;120),AND(X20&lt;120),AND(X21&lt;120),AND(X22&lt;120),AND(X23&lt;120),AND(X24&lt;120),AND(X25&lt;120),AND(X26&lt;120),AND(X27&lt;120),AND(X28&lt;120)),"",SUM(IF('Eval-Avant impact'!$A$761=A11,'Eval-Avant impact'!$M$761,0),IF('Eval-Avant impact'!$A$762=A11,'Eval-Avant impact'!$M$762,0),IF('Eval-Avant impact'!$A$763=A11,'Eval-Avant impact'!$M$763,0),IF('Eval-Avant impact'!$A$764=A11,'Eval-Avant impact'!$M$764,0),IF('Eval-Avant impact'!$A$765=A11,'Eval-Avant impact'!$M$765,0),IF('Eval-Avant impact'!$A$766=A11,'Eval-Avant impact'!$M$766,0),IF('Eval-Avant impact'!$A$767=A11,'Eval-Avant impact'!$M$767,0),IF('Eval-Avant impact'!$A$768=A11,'Eval-Avant impact'!$M$768,0),IF('Eval-Avant impact'!$A$769=A11,'Eval-Avant impact'!$M$769,0),IF('Eval-Avant impact'!$A$770=A11,'Eval-Avant impact'!$M$770,0),IF('Eval-Avant impact'!$A$771=A11,'Eval-Avant impact'!$M$771,0),IF('Eval-Avant impact'!$A$772=A11,'Eval-Avant impact'!$M$772,0),IF('Eval-Avant impact'!$A$773=A11,'Eval-Avant impact'!$M$773,0),IF('Eval-Avant impact'!$A$774=A11,'Eval-Avant impact'!$M$774,0),IF('Eval-Avant impact'!$A$775=A11,'Eval-Avant impact'!$M$775,0), IF('Eval-Avant impact'!$A$776=A11,'Eval-Avant impact'!$M$776,0), IF('Eval-Avant impact'!$A$777=A11,'Eval-Avant impact'!$M$777,0), IF('Eval-Avant impact'!$A$778=A11,'Eval-Avant impact'!$M$778,0), IF('Eval-Avant impact'!$A$779=A11,'Eval-Avant impact'!$M$779,0), IF('Eval-Avant impact'!$A$780=A11,'Eval-Avant impact'!$M$780,0))/COUNTIF('Eval-Avant impact'!$A$761:$A$780,A11)),"")</f>
        <v/>
      </c>
      <c r="K11" s="211" t="str">
        <f>IF(COUNTIF('Eval-Avant impact'!$A$761:$A$780,A11)&gt;0,SUM(IF('Eval-Avant impact'!$A$761=A11,LEN(SUBSTITUTE((SUBSTITUTE(Z9,"TM","")),"TS",""))*10/2,0),IF('Eval-Avant impact'!$A$762=A11,LEN(SUBSTITUTE((SUBSTITUTE(Z10,"TM","")),"TS",""))*10/2,0),IF('Eval-Avant impact'!$A$763=A11,LEN(SUBSTITUTE((SUBSTITUTE(Z11,"TM","")),"TS",""))*10/2,0),IF('Eval-Avant impact'!$A$764=A11,LEN(SUBSTITUTE((SUBSTITUTE(Z12,"TM","")),"TS",""))*10/2,0),IF('Eval-Avant impact'!$A$765=A11,LEN(SUBSTITUTE((SUBSTITUTE(Z13,"TM","")),"TS",""))*10/2,0),IF('Eval-Avant impact'!$A$766=A11,LEN(SUBSTITUTE((SUBSTITUTE(Z14,"TM","")),"TS",""))*10/2,0),IF('Eval-Avant impact'!$A$767=A11,LEN(SUBSTITUTE((SUBSTITUTE(Z15,"TM","")),"TS",""))*10/2,0),IF('Eval-Avant impact'!$A$768=A11,LEN(SUBSTITUTE((SUBSTITUTE(Z16,"TM","")),"TS",""))*10/2,0),IF('Eval-Avant impact'!$A$769=A11,LEN(SUBSTITUTE((SUBSTITUTE(Z17,"TM","")),"TS",""))*10/2,0),IF('Eval-Avant impact'!$A$770=A11,LEN(SUBSTITUTE((SUBSTITUTE(Z18,"TM","")),"TS",""))*10/2,0),IF('Eval-Avant impact'!$A$771=A11,LEN(SUBSTITUTE((SUBSTITUTE(Z19,"TM","")),"TS",""))*10/2,0),IF('Eval-Avant impact'!$A$772=A11,LEN(SUBSTITUTE((SUBSTITUTE(Z20,"TM","")),"TS",""))*10/2,0),IF('Eval-Avant impact'!$A$773=A11,LEN(SUBSTITUTE((SUBSTITUTE(Z21,"TM","")),"TS",""))*10/2,0),IF('Eval-Avant impact'!$A$774=A11,LEN(SUBSTITUTE((SUBSTITUTE(Z22,"TM","")),"TS",""))*10/2,0),IF('Eval-Avant impact'!$A$775=A11,LEN(SUBSTITUTE((SUBSTITUTE(Z23,"TM","")),"TS",""))*10/2,0),IF('Eval-Avant impact'!$A$776=A11,LEN(SUBSTITUTE((SUBSTITUTE(Z24,"TM","")),"TS",""))*10/2,0),IF('Eval-Avant impact'!$A$777=A11,LEN(SUBSTITUTE((SUBSTITUTE(Z25,"TM","")),"TS",""))*10/2,0),IF('Eval-Avant impact'!$A$778=A11,LEN(SUBSTITUTE((SUBSTITUTE(Z26,"TM","")),"TS",""))*10/2,0),IF('Eval-Avant impact'!$A$779=A11,LEN(SUBSTITUTE((SUBSTITUTE(Z27,"TM","")),"TS",""))*10/2,0),IF('Eval-Avant impact'!$A$780=A11,LEN(SUBSTITUTE((SUBSTITUTE(Z28,"TM","")),"TS",""))*10/2,0))/COUNTIF('Eval-Avant impact'!$A$761:$A$780,A11),"")</f>
        <v/>
      </c>
      <c r="L11" s="211" t="str">
        <f>IF(COUNTIF('Eval-Avant impact'!$A$761:$A$780,A11)&gt;0,SUM(IF('Eval-Avant impact'!$A$761=A11,LEN(SUBSTITUTE((SUBSTITUTE(Z9,"TF","")),"TS",""))*10/2,0),IF('Eval-Avant impact'!$A$762=A11,LEN(SUBSTITUTE((SUBSTITUTE(Z10,"TF","")),"TS",""))*10/2,0),IF('Eval-Avant impact'!$A$763=A11,LEN(SUBSTITUTE((SUBSTITUTE(Z11,"TF","")),"TS",""))*10/2,0),IF('Eval-Avant impact'!$A$764=A11,LEN(SUBSTITUTE((SUBSTITUTE(Z12,"TF","")),"TS",""))*10/2,0),IF('Eval-Avant impact'!$A$765=A11,LEN(SUBSTITUTE((SUBSTITUTE(Z13,"TF","")),"TS",""))*10/2,0),IF('Eval-Avant impact'!$A$766=A11,LEN(SUBSTITUTE((SUBSTITUTE(Z14,"TF","")),"TS",""))*10/2,0),IF('Eval-Avant impact'!$A$767=A11,LEN(SUBSTITUTE((SUBSTITUTE(Z15,"TF","")),"TS",""))*10/2,0),IF('Eval-Avant impact'!$A$768=A11,LEN(SUBSTITUTE((SUBSTITUTE(Z16,"TF","")),"TS",""))*10/2,0),IF('Eval-Avant impact'!$A$769=A11,LEN(SUBSTITUTE((SUBSTITUTE(Z17,"TF","")),"TS",""))*10/2,0),IF('Eval-Avant impact'!$A$770=A11,LEN(SUBSTITUTE((SUBSTITUTE(Z18,"TF","")),"TS",""))*10/2,0),IF('Eval-Avant impact'!$A$771=A11,LEN(SUBSTITUTE((SUBSTITUTE(Z19,"TF","")),"TS",""))*10/2,0),IF('Eval-Avant impact'!$A$772=A11,LEN(SUBSTITUTE((SUBSTITUTE(Z20,"TF","")),"TS",""))*10/2,0),IF('Eval-Avant impact'!$A$773=A11,LEN(SUBSTITUTE((SUBSTITUTE(Z21,"TF","")),"TS",""))*10/2,0),IF('Eval-Avant impact'!$A$774=A11,LEN(SUBSTITUTE((SUBSTITUTE(Z22,"TF","")),"TS",""))*10/2,0),IF('Eval-Avant impact'!$A$775=A11,LEN(SUBSTITUTE((SUBSTITUTE(Z23,"TF","")),"TS",""))*10/2,0),IF('Eval-Avant impact'!$A$776=A11,LEN(SUBSTITUTE((SUBSTITUTE(Z24,"TF","")),"TS",""))*10/2,0),IF('Eval-Avant impact'!$A$777=A11,LEN(SUBSTITUTE((SUBSTITUTE(Z25,"TF","")),"TS",""))*10/2,0),IF('Eval-Avant impact'!$A$778=A11,LEN(SUBSTITUTE((SUBSTITUTE(Z26,"TF","")),"TS",""))*10/2,0),IF('Eval-Avant impact'!$A$779=A11,LEN(SUBSTITUTE((SUBSTITUTE(Z27,"TF","")),"TS",""))*10/2,0),IF('Eval-Avant impact'!$A$780=A11,LEN(SUBSTITUTE((SUBSTITUTE(Z28,"TF","")),"TS",""))*10/2,0))/COUNTIF('Eval-Avant impact'!$A$761:$A$780,A11),"")</f>
        <v/>
      </c>
      <c r="M11" s="211" t="str">
        <f>IF(COUNTIF('Eval-Avant impact'!$A$761:$A$780,A11)&gt;0,SUM(IF('Eval-Avant impact'!$A$761=A11,LEN(SUBSTITUTE((SUBSTITUTE(Z9,"TF","")),"TM",""))*10/2,0),IF('Eval-Avant impact'!$A$762=A11,LEN(SUBSTITUTE((SUBSTITUTE(Z10,"TF","")),"TM",""))*10/2,0),IF('Eval-Avant impact'!$A$763=A11,LEN(SUBSTITUTE((SUBSTITUTE(Z11,"TF","")),"TM",""))*10/2,0),IF('Eval-Avant impact'!$A$764=A11,LEN(SUBSTITUTE((SUBSTITUTE(Z12,"TF","")),"TM",""))*10/2,0),IF('Eval-Avant impact'!$A$765=A11,LEN(SUBSTITUTE((SUBSTITUTE(Z13,"TF","")),"TM",""))*10/2,0),IF('Eval-Avant impact'!$A$766=A11,LEN(SUBSTITUTE((SUBSTITUTE(Z14,"TF","")),"TM",""))*10/2,0),IF('Eval-Avant impact'!$A$767=A11,LEN(SUBSTITUTE((SUBSTITUTE(Z15,"TF","")),"TM",""))*10/2,0),IF('Eval-Avant impact'!$A$768=A11,LEN(SUBSTITUTE((SUBSTITUTE(Z16,"TF","")),"TM",""))*10/2,0),IF('Eval-Avant impact'!$A$769=A11,LEN(SUBSTITUTE((SUBSTITUTE(Z17,"TF","")),"TM",""))*10/2,0),IF('Eval-Avant impact'!$A$770=A11,LEN(SUBSTITUTE((SUBSTITUTE(Z18,"TF","")),"TM",""))*10/2,0),IF('Eval-Avant impact'!$A$771=A11,LEN(SUBSTITUTE((SUBSTITUTE(Z19,"TF","")),"TM",""))*10/2,0),IF('Eval-Avant impact'!$A$772=A11,LEN(SUBSTITUTE((SUBSTITUTE(Z20,"TF","")),"TM",""))*10/2,0),IF('Eval-Avant impact'!$A$773=A11,LEN(SUBSTITUTE((SUBSTITUTE(Z21,"TF","")),"TM",""))*10/2,0),IF('Eval-Avant impact'!$A$774=A11,LEN(SUBSTITUTE((SUBSTITUTE(Z22,"TF","")),"TM",""))*10/2,0),IF('Eval-Avant impact'!$A$775=A11,LEN(SUBSTITUTE((SUBSTITUTE(Z23,"TF","")),"TM",""))*10/2,0),IF('Eval-Avant impact'!$A$776=A11,LEN(SUBSTITUTE((SUBSTITUTE(Z24,"TF","")),"TM",""))*10/2,0),IF('Eval-Avant impact'!$A$777=A11,LEN(SUBSTITUTE((SUBSTITUTE(Z25,"TF","")),"TM",""))*10/2,0),IF('Eval-Avant impact'!$A$778=A11,LEN(SUBSTITUTE((SUBSTITUTE(Z26,"TF","")),"TM",""))*10/2,0),IF('Eval-Avant impact'!$A$779=A11,LEN(SUBSTITUTE((SUBSTITUTE(Z27,"TF","")),"TM",""))*10/2,0),IF('Eval-Avant impact'!$A$780=A11,LEN(SUBSTITUTE((SUBSTITUTE(Z28,"TF","")),"TM",""))*10/2,0))/COUNTIF('Eval-Avant impact'!$A$761:$A$780,A11),"")</f>
        <v/>
      </c>
      <c r="N11" s="211" t="str">
        <f>IF(COUNTIF('Eval-Avant impact'!$A$761:$A$780,A11)&gt;0,SUM(IF('Eval-Avant impact'!$A$761=A11,LEN(SUBSTITUTE((SUBSTITUTE(AA9,"TM","")),"TS",""))*10/2,0),IF('Eval-Avant impact'!$A$762=A11,LEN(SUBSTITUTE((SUBSTITUTE(AA10,"TM","")),"TS",""))*10/2,0),IF('Eval-Avant impact'!$A$763=A11,LEN(SUBSTITUTE((SUBSTITUTE(AA11,"TM","")),"TS",""))*10/2,0),IF('Eval-Avant impact'!$A$764=A11,LEN(SUBSTITUTE((SUBSTITUTE(AA12,"TM","")),"TS",""))*10/2,0),IF('Eval-Avant impact'!$A$765=A11,LEN(SUBSTITUTE((SUBSTITUTE(AA13,"TM","")),"TS",""))*10/2,0),IF('Eval-Avant impact'!$A$766=A11,LEN(SUBSTITUTE((SUBSTITUTE(AA14,"TM","")),"TS",""))*10/2,0),IF('Eval-Avant impact'!$A$767=A11,LEN(SUBSTITUTE((SUBSTITUTE(AA15,"TM","")),"TS",""))*10/2,0),IF('Eval-Avant impact'!$A$768=A11,LEN(SUBSTITUTE((SUBSTITUTE(AA16,"TM","")),"TS",""))*10/2,0),IF('Eval-Avant impact'!$A$769=A11,LEN(SUBSTITUTE((SUBSTITUTE(AA17,"TM","")),"TS",""))*10/2,0),IF('Eval-Avant impact'!$A$770=A11,LEN(SUBSTITUTE((SUBSTITUTE(AA18,"TM","")),"TS",""))*10/2,0),IF('Eval-Avant impact'!$A$771=A11,LEN(SUBSTITUTE((SUBSTITUTE(AA19,"TM","")),"TS",""))*10/2,0),IF('Eval-Avant impact'!$A$772=A11,LEN(SUBSTITUTE((SUBSTITUTE(AA20,"TM","")),"TS",""))*10/2,0),IF('Eval-Avant impact'!$A$773=A11,LEN(SUBSTITUTE((SUBSTITUTE(AA21,"TM","")),"TS",""))*10/2,0),IF('Eval-Avant impact'!$A$774=A11,LEN(SUBSTITUTE((SUBSTITUTE(AA22,"TM","")),"TS",""))*10/2,0),IF('Eval-Avant impact'!$A$775=A11,LEN(SUBSTITUTE((SUBSTITUTE(AA23,"TM","")),"TS",""))*10/2,0),IF('Eval-Avant impact'!$A$776=A11,LEN(SUBSTITUTE((SUBSTITUTE(AA24,"TM","")),"TS",""))*10/2,0),IF('Eval-Avant impact'!$A$777=A11,LEN(SUBSTITUTE((SUBSTITUTE(AA25,"TM","")),"TS",""))*10/2,0),IF('Eval-Avant impact'!$A$778=A11,LEN(SUBSTITUTE((SUBSTITUTE(AA26,"TM","")),"TS",""))*10/2,0),IF('Eval-Avant impact'!$A$779=A11,LEN(SUBSTITUTE((SUBSTITUTE(AA27,"TM","")),"TS",""))*10/2,0),IF('Eval-Avant impact'!$A$780=A11,LEN(SUBSTITUTE((SUBSTITUTE(AA28,"TM","")),"TS",""))*10/2,0))/COUNTIF('Eval-Avant impact'!$A$761:$A$780,A11),"")</f>
        <v/>
      </c>
      <c r="O11" s="211" t="str">
        <f>IF(COUNTIF('Eval-Avant impact'!$A$761:$A$780,A11)&gt;0,SUM(IF('Eval-Avant impact'!$A$761=A11,LEN(SUBSTITUTE((SUBSTITUTE(AA9,"TF","")),"TS",""))*10/2,0),IF('Eval-Avant impact'!$A$762=A11,LEN(SUBSTITUTE((SUBSTITUTE(AA10,"TF","")),"TS",""))*10/2,0),IF('Eval-Avant impact'!$A$763=A11,LEN(SUBSTITUTE((SUBSTITUTE(AA11,"TF","")),"TS",""))*10/2,0),IF('Eval-Avant impact'!$A$764=A11,LEN(SUBSTITUTE((SUBSTITUTE(AA12,"TF","")),"TS",""))*10/2,0),IF('Eval-Avant impact'!$A$765=A11,LEN(SUBSTITUTE((SUBSTITUTE(AA13,"TF","")),"TS",""))*10/2,0),IF('Eval-Avant impact'!$A$766=A11,LEN(SUBSTITUTE((SUBSTITUTE(AA14,"TF","")),"TS",""))*10/2,0),IF('Eval-Avant impact'!$A$767=A11,LEN(SUBSTITUTE((SUBSTITUTE(AA15,"TF","")),"TS",""))*10/2,0),IF('Eval-Avant impact'!$A$768=A11,LEN(SUBSTITUTE((SUBSTITUTE(AA16,"TF","")),"TS",""))*10/2,0),IF('Eval-Avant impact'!$A$769=A11,LEN(SUBSTITUTE((SUBSTITUTE(AA17,"TF","")),"TS",""))*10/2,0),IF('Eval-Avant impact'!$A$770=A11,LEN(SUBSTITUTE((SUBSTITUTE(AA18,"TF","")),"TS",""))*10/2,0),IF('Eval-Avant impact'!$A$771=A11,LEN(SUBSTITUTE((SUBSTITUTE(AA19,"TF","")),"TS",""))*10/2,0),IF('Eval-Avant impact'!$A$772=A11,LEN(SUBSTITUTE((SUBSTITUTE(AA20,"TF","")),"TS",""))*10/2,0),IF('Eval-Avant impact'!$A$773=A11,LEN(SUBSTITUTE((SUBSTITUTE(AA21,"TF","")),"TS",""))*10/2,0),IF('Eval-Avant impact'!$A$774=A11,LEN(SUBSTITUTE((SUBSTITUTE(AA22,"TF","")),"TS",""))*10/2,0),IF('Eval-Avant impact'!$A$775=A11,LEN(SUBSTITUTE((SUBSTITUTE(AA23,"TF","")),"TS",""))*10/2,0),IF('Eval-Avant impact'!$A$776=A11,LEN(SUBSTITUTE((SUBSTITUTE(AA24,"TF","")),"TS",""))*10/2,0),IF('Eval-Avant impact'!$A$777=A11,LEN(SUBSTITUTE((SUBSTITUTE(AA25,"TF","")),"TS",""))*10/2,0),IF('Eval-Avant impact'!$A$778=A11,LEN(SUBSTITUTE((SUBSTITUTE(AA26,"TF","")),"TS",""))*10/2,0),IF('Eval-Avant impact'!$A$779=A11,LEN(SUBSTITUTE((SUBSTITUTE(AA27,"TF","")),"TS",""))*10/2,0),IF('Eval-Avant impact'!$A$780=A11,LEN(SUBSTITUTE((SUBSTITUTE(AA28,"TF","")),"TS",""))*10/2,0))/COUNTIF('Eval-Avant impact'!$A$761:$A$780,A11),"")</f>
        <v/>
      </c>
      <c r="P11" s="211" t="str">
        <f>IF(COUNTIF('Eval-Avant impact'!$A$761:$A$780,A11)&gt;0,SUM(IF('Eval-Avant impact'!$A$761=A11,LEN(SUBSTITUTE((SUBSTITUTE(AA9,"TF","")),"TM",""))*10/2,0),IF('Eval-Avant impact'!$A$762=A11,LEN(SUBSTITUTE((SUBSTITUTE(AA10,"TF","")),"TM",""))*10/2,0),IF('Eval-Avant impact'!$A$763=A11,LEN(SUBSTITUTE((SUBSTITUTE(AA11,"TF","")),"TM",""))*10/2,0),IF('Eval-Avant impact'!$A$764=A11,LEN(SUBSTITUTE((SUBSTITUTE(AA12,"TF","")),"TM",""))*10/2,0),IF('Eval-Avant impact'!$A$765=A11,LEN(SUBSTITUTE((SUBSTITUTE(AA13,"TF","")),"TM",""))*10/2,0),IF('Eval-Avant impact'!$A$766=A11,LEN(SUBSTITUTE((SUBSTITUTE(AA14,"TF","")),"TM",""))*10/2,0),IF('Eval-Avant impact'!$A$767=A11,LEN(SUBSTITUTE((SUBSTITUTE(AA15,"TF","")),"TM",""))*10/2,0),IF('Eval-Avant impact'!$A$768=A11,LEN(SUBSTITUTE((SUBSTITUTE(AA16,"TF","")),"TM",""))*10/2,0),IF('Eval-Avant impact'!$A$769=A11,LEN(SUBSTITUTE((SUBSTITUTE(AA17,"TF","")),"TM",""))*10/2,0),IF('Eval-Avant impact'!$A$770=A11,LEN(SUBSTITUTE((SUBSTITUTE(AA18,"TF","")),"TM",""))*10/2,0),IF('Eval-Avant impact'!$A$771=A11,LEN(SUBSTITUTE((SUBSTITUTE(AA19,"TF","")),"TM",""))*10/2,0),IF('Eval-Avant impact'!$A$772=A11,LEN(SUBSTITUTE((SUBSTITUTE(AA20,"TF","")),"TM",""))*10/2,0),IF('Eval-Avant impact'!$A$773=A11,LEN(SUBSTITUTE((SUBSTITUTE(AA21,"TF","")),"TM",""))*10/2,0),IF('Eval-Avant impact'!$A$774=A11,LEN(SUBSTITUTE((SUBSTITUTE(AA22,"TF","")),"TM",""))*10/2,0),IF('Eval-Avant impact'!$A$775=A11,LEN(SUBSTITUTE((SUBSTITUTE(AA23,"TF","")),"TM",""))*10/2,0),IF('Eval-Avant impact'!$A$776=A11,LEN(SUBSTITUTE((SUBSTITUTE(AA24,"TF","")),"TM",""))*10/2,0),IF('Eval-Avant impact'!$A$777=A11,LEN(SUBSTITUTE((SUBSTITUTE(AA25,"TF","")),"TM",""))*10/2,0),IF('Eval-Avant impact'!$A$778=A11,LEN(SUBSTITUTE((SUBSTITUTE(AA26,"TF","")),"TM",""))*10/2,0),IF('Eval-Avant impact'!$A$779=A11,LEN(SUBSTITUTE((SUBSTITUTE(AA27,"TF","")),"TM",""))*10/2,0),IF('Eval-Avant impact'!$A$780=A11,LEN(SUBSTITUTE((SUBSTITUTE(AA28,"TF","")),"TM",""))*10/2,0))/COUNTIF('Eval-Avant impact'!$A$761:$A$780,A11),"")</f>
        <v/>
      </c>
      <c r="Q11" s="211" t="str">
        <f>IF(COUNTIF('Eval-Avant impact'!$A$761:$A$780,A11)&gt;0,IF(OR(AND('Eval-Avant impact'!$A$761=A11,X9&lt;30),AND('Eval-Avant impact'!$A$762=A11,X10&lt;30),AND('Eval-Avant impact'!$A$763=A11,X11&lt;30),AND('Eval-Avant impact'!$A$764=A11,X12&lt;30),AND('Eval-Avant impact'!$A$765=A11,X13&lt;30),AND('Eval-Avant impact'!$A$766=A11,X14&lt;30),AND('Eval-Avant impact'!$A$767=A11,X15&lt;30),AND('Eval-Avant impact'!$A$768=A11,X16&lt;30),AND('Eval-Avant impact'!$A$769=A11,X17&lt;30),AND('Eval-Avant impact'!$A$770=A11,X18&lt;30),AND('Eval-Avant impact'!$A$771=A11,X19&lt;30),AND('Eval-Avant impact'!$A$772=A11,X20&lt;30),AND('Eval-Avant impact'!$A$773=A11,X21&lt;30),AND('Eval-Avant impact'!$A$774=A11,X22&lt;30),AND('Eval-Avant impact'!$A$775=A11,X23&lt;30),AND('Eval-Avant impact'!$A$776=A11,X24&lt;30),AND('Eval-Avant impact'!$A$777=A11,X25&lt;30),AND('Eval-Avant impact'!$A$778=A11,X26&lt;30),AND('Eval-Avant impact'!$A$779=A11,X27&lt;30),AND('Eval-Avant impact'!$A$780=A11,X28&lt;30)),"",SUM(0.1*(SUMPRODUCT(('Eval-Avant impact'!$A$761:$A$780=A11)*('Eval-Avant impact'!$N$761:$P$780="A"))+ SUMPRODUCT(('Eval-Avant impact'!$A$761:$A$780=A11)*('Eval-Avant impact'!$N$761:$P$780="AL"))),0.7*(SUMPRODUCT(('Eval-Avant impact'!$A$761:$A$780=A11)*('Eval-Avant impact'!$N$761:$P$780="TF"))+SUMPRODUCT(('Eval-Avant impact'!$A$761:$A$780=A11)*('Eval-Avant impact'!$N$761:$P$780="TM"))+SUMPRODUCT(('Eval-Avant impact'!$A$761:$A$780=A11)*('Eval-Avant impact'!$N$761:$P$780="TS"))),0.4*(SUMPRODUCT(('Eval-Avant impact'!$A$761:$A$780=A11)*('Eval-Avant impact'!$N$761:$P$780="LA"))+SUMPRODUCT(('Eval-Avant impact'!$A$761:$A$780=A11)*('Eval-Avant impact'!$N$761:$P$780="L"))+SUMPRODUCT(('Eval-Avant impact'!$A$761:$A$780=A11)*('Eval-Avant impact'!$N$761:$P$780="LS"))),1*(SUMPRODUCT(('Eval-Avant impact'!$A$761:$A$780=A11)*('Eval-Avant impact'!$N$761:$P$780="SL"))+ SUMPRODUCT(('Eval-Avant impact'!$A$761:$A$780=A11)*('Eval-Avant impact'!$N$761:$P$780="S"))))/(3*COUNTIF('Eval-Avant impact'!$A$761:$A$780,A11))),"")</f>
        <v/>
      </c>
      <c r="R11" s="211" t="str">
        <f>IF(COUNTIF('Eval-Avant impact'!$A$761:$A$780,A11)&gt;0,IF(OR(AND('Eval-Avant impact'!$A$761=A11,X9&lt;120),AND('Eval-Avant impact'!$A$762=A11,X10&lt;120),AND('Eval-Avant impact'!$A$763=A11,X11&lt;120),AND('Eval-Avant impact'!$A$764=A11,X12&lt;120),AND('Eval-Avant impact'!$A$765=A11,X13&lt;120),AND('Eval-Avant impact'!$A$766=A11,X14&lt;120),AND('Eval-Avant impact'!$A$767=A11,X15&lt;120),AND('Eval-Avant impact'!$A$768=A11,X16&lt;120),AND('Eval-Avant impact'!$A$769=A11,X17&lt;120),AND('Eval-Avant impact'!$A$770=A11,X18&lt;120),AND('Eval-Avant impact'!$A$771=A11,X19&lt;120),AND('Eval-Avant impact'!$A$772=A11,X20&lt;120),AND('Eval-Avant impact'!$A$773=A11,X21&lt;120),AND('Eval-Avant impact'!$A$774=A11,X22&lt;120),AND('Eval-Avant impact'!$A$775=A11,X23&lt;120),AND('Eval-Avant impact'!$A$776=A11,X24&lt;120),AND('Eval-Avant impact'!$A$777=A11,X25&lt;120),AND('Eval-Avant impact'!$A$778=A11,X26&lt;120),AND('Eval-Avant impact'!$A$779=A11,X27&lt;120),AND('Eval-Avant impact'!$A$780=A11,X28&lt;120)),"",SUM(0.1*(SUMPRODUCT(('Eval-Avant impact'!$A$761:$A$780=A11)*('Eval-Avant impact'!$Q$761:$Y$780="A"))+ SUMPRODUCT(('Eval-Avant impact'!$A$761:$A$780=A11)*('Eval-Avant impact'!$Q$761:$Y$780="AL"))),0.7*(SUMPRODUCT(('Eval-Avant impact'!$A$761:$A$780=A11)*('Eval-Avant impact'!$Q$761:$Y$780="TF"))+SUMPRODUCT(('Eval-Avant impact'!$A$761:$A$780=A11)*('Eval-Avant impact'!$Q$761:$Y$780="TM"))+SUMPRODUCT(('Eval-Avant impact'!$A$761:$A$780=A11)*('Eval-Avant impact'!$Q$761:$Y$780="TS"))),0.4*(SUMPRODUCT(('Eval-Avant impact'!$A$761:$A$780=A11)*('Eval-Avant impact'!$Q$761:$Y$780="LA"))+SUMPRODUCT(('Eval-Avant impact'!$A$761:$A$780=A11)*('Eval-Avant impact'!$Q$761:$Y$780="L"))+SUMPRODUCT(('Eval-Avant impact'!$A$761:$A$780=A11)*('Eval-Avant impact'!$Q$761:$Y$780="LS"))),1*(SUMPRODUCT(('Eval-Avant impact'!$A$761:$A$780=A11)*('Eval-Avant impact'!$Q$761:$Y$780="SL"))+ SUMPRODUCT(('Eval-Avant impact'!$A$761:$A$780=A11)*('Eval-Avant impact'!$Q$761:$Y$780="S"))))/(9*COUNTIF('Eval-Avant impact'!$A$761:$A$780,A11))),"")</f>
        <v/>
      </c>
      <c r="S11" s="211" t="str">
        <f>IF(COUNTIF('Eval-Avant impact'!$A$761:$A$780,A11)&gt;0,IF(OR(AND('Eval-Avant impact'!$A$761=A11,OR(COUNTIF('Eval-Avant impact'!$N$761:$P$761,"*T*")&gt;0,X9&lt;30)),AND('Eval-Avant impact'!$A$762=A11,OR(COUNTIF('Eval-Avant impact'!$N$762:$P$762,"*T*")&gt;0,X10&lt;30)),AND('Eval-Avant impact'!$A$763=A11,OR(COUNTIF('Eval-Avant impact'!$N$763:$P$763,"*T*")&gt;0,X11&lt;30)),AND('Eval-Avant impact'!$A$764=A11,OR(COUNTIF('Eval-Avant impact'!$N$764:$P$764,"*T*")&gt;0,X12&lt;30)),AND('Eval-Avant impact'!$A$765=A11,OR(COUNTIF('Eval-Avant impact'!$N$765:$P$765,"*T*")&gt;0,X13&lt;30)),AND('Eval-Avant impact'!$A$766=A11,OR(COUNTIF('Eval-Avant impact'!$N$766:$P$766,"*T*")&gt;0,X14&lt;30)),AND('Eval-Avant impact'!$A$767=A11,OR(COUNTIF('Eval-Avant impact'!$N$767:$P$767,"*T*")&gt;0,X15&lt;30)),AND('Eval-Avant impact'!$A$768=A11,OR(COUNTIF('Eval-Avant impact'!$N$768:$P$768,"*T*")&gt;0,X16&lt;30)),AND('Eval-Avant impact'!$A$769=A11,OR(COUNTIF('Eval-Avant impact'!$N$769:$P$769,"*T*")&gt;0,X17&lt;30)),AND('Eval-Avant impact'!$A$770=A11,OR(COUNTIF('Eval-Avant impact'!$N$770:$P$770,"*T*")&gt;0,X18&lt;30)),AND('Eval-Avant impact'!$A$771=A11,OR(COUNTIF('Eval-Avant impact'!$N$771:$P$771,"*T*")&gt;0,X19&lt;30)),AND('Eval-Avant impact'!$A$772=A11,OR(COUNTIF('Eval-Avant impact'!$N$772:$P$772,"*T*")&gt;0,X20&lt;30)),AND('Eval-Avant impact'!$A$773=A11,OR(COUNTIF('Eval-Avant impact'!$N$773:$P$773,"*T*")&gt;0,X21&lt;30)),AND('Eval-Avant impact'!$A$774=A11,OR(COUNTIF('Eval-Avant impact'!$N$774:$P$774,"*T*")&gt;0,X22&lt;30)),AND('Eval-Avant impact'!$A$775=A11,OR(COUNTIF('Eval-Avant impact'!$N$775:$P$775,"*T*")&gt;0,X23&lt;30)),AND('Eval-Avant impact'!$A$776=A11,OR(COUNTIF('Eval-Avant impact'!$N$776:$P$776,"*T*")&gt;0,X24&lt;30)),AND('Eval-Avant impact'!$A$777=A11,OR(COUNTIF('Eval-Avant impact'!$N$777:$P$777,"*T*")&gt;0,X25&lt;30)),AND('Eval-Avant impact'!$A$778=A11,OR(COUNTIF('Eval-Avant impact'!$N$778:$P$778,"*T*")&gt;0,X26&lt;30)),AND('Eval-Avant impact'!$A$779=A11,OR(COUNTIF('Eval-Avant impact'!$N$779:$P$779,"*T*")&gt;0,X27&lt;30)),AND('Eval-Avant impact'!$A$780=A11,OR(COUNTIF('Eval-Avant impact'!$N$780:$P$780,"*T*")&gt;0,X28&lt;30))),"",SUM(0.1*(SUMPRODUCT(('Eval-Avant impact'!$A$761:$A$780=A11)*('Eval-Avant impact'!$N$761:$P$780="L"))),0.4*(SUMPRODUCT(('Eval-Avant impact'!$A$761:$A$780=A11)*('Eval-Avant impact'!$N$761:$P$780="LA"))+SUMPRODUCT(('Eval-Avant impact'!$A$761:$A$780=A11)*('Eval-Avant impact'!$N$761:$P$780="LS"))),0.7*(SUMPRODUCT(('Eval-Avant impact'!$A$761:$A$780=A11)*('Eval-Avant impact'!$N$761:$P$780="AL"))+SUMPRODUCT(('Eval-Avant impact'!$A$761:$A$780=A11)*('Eval-Avant impact'!$N$761:$P$780="SL"))),1*(SUMPRODUCT(('Eval-Avant impact'!$A$761:$A$780=A11)*('Eval-Avant impact'!$N$761:$P$780="S"))+ SUMPRODUCT(('Eval-Avant impact'!$A$761:$A$780=A11)*('Eval-Avant impact'!$N$761:$P$780="A"))))/(3*COUNTIF('Eval-Avant impact'!$A$761:$A$780,A11))),"")</f>
        <v/>
      </c>
      <c r="T11" s="211" t="str">
        <f>IF(COUNTIF('Eval-Avant impact'!$A$761:$A$780,A11)&gt;0,IF(OR(AND('Eval-Avant impact'!$A$761=A11,OR(COUNTIF('Eval-Avant impact'!$N$761:$P$761,"*T*")&gt;0,X9&lt;30)),AND('Eval-Avant impact'!$A$762=A11,OR(COUNTIF('Eval-Avant impact'!$N$762:$P$762,"*T*")&gt;0,X10&lt;30)),AND('Eval-Avant impact'!$A$763=A11,OR(COUNTIF('Eval-Avant impact'!$N$763:$P$763,"*T*")&gt;0,X11&lt;30)),AND('Eval-Avant impact'!$A$764=A11,OR(COUNTIF('Eval-Avant impact'!$N$764:$P$764,"*T*")&gt;0,X12&lt;30)),AND('Eval-Avant impact'!$A$765=A11,OR(COUNTIF('Eval-Avant impact'!$N$765:$P$765,"*T*")&gt;0,X13&lt;30)),AND('Eval-Avant impact'!$A$766=A11,OR(COUNTIF('Eval-Avant impact'!$N$766:$P$766,"*T*")&gt;0,X14&lt;30)),AND('Eval-Avant impact'!$A$767=A11,OR(COUNTIF('Eval-Avant impact'!$N$767:$P$767,"*T*")&gt;0,X15&lt;30)),AND('Eval-Avant impact'!$A$768=A11,OR(COUNTIF('Eval-Avant impact'!$N$768:$P$768,"*T*")&gt;0,X16&lt;30)),AND('Eval-Avant impact'!$A$769=A11,OR(COUNTIF('Eval-Avant impact'!$N$769:$P$769,"*T*")&gt;0,X17&lt;30)),AND('Eval-Avant impact'!$A$770=A11,OR(COUNTIF('Eval-Avant impact'!$N$770:$P$770,"*T*")&gt;0,X18&lt;30)),AND('Eval-Avant impact'!$A$771=A11,OR(COUNTIF('Eval-Avant impact'!$N$771:$P$771,"*T*")&gt;0,X19&lt;30)),AND('Eval-Avant impact'!$A$772=A11,OR(COUNTIF('Eval-Avant impact'!$N$772:$P$772,"*T*")&gt;0,X20&lt;30)),AND('Eval-Avant impact'!$A$773=A11,OR(COUNTIF('Eval-Avant impact'!$N$773:$P$773,"*T*")&gt;0,X21&lt;30)),AND('Eval-Avant impact'!$A$774=A11,OR(COUNTIF('Eval-Avant impact'!$N$774:$P$774,"*T*")&gt;0,X22&lt;30)),AND('Eval-Avant impact'!$A$775=A11,OR(COUNTIF('Eval-Avant impact'!$N$775:$P$775,"*T*")&gt;0,X23&lt;30)),AND('Eval-Avant impact'!$A$776=A11,OR(COUNTIF('Eval-Avant impact'!$N$776:$P$776,"*T*")&gt;0,X24&lt;30)),AND('Eval-Avant impact'!$A$777=A11,OR(COUNTIF('Eval-Avant impact'!$N$777:$P$777,"*T*")&gt;0,X25&lt;30)),AND('Eval-Avant impact'!$A$778=A11,OR(COUNTIF('Eval-Avant impact'!$N$778:$P$778,"*T*")&gt;0,X26&lt;30)),AND('Eval-Avant impact'!$A$779=A11,OR(COUNTIF('Eval-Avant impact'!$N$779:$P$779,"*T*")&gt;0,X27&lt;30)),AND('Eval-Avant impact'!$A$780=A11,OR(COUNTIF('Eval-Avant impact'!$N$780:$P$780,"*T*")&gt;0,X28&lt;30))),"",SUM(1*(SUMPRODUCT(('Eval-Avant impact'!$A$761:$A$780=A11)*('Eval-Avant impact'!$N$761:$P$780="A"))),0.85*(SUMPRODUCT(('Eval-Avant impact'!$A$761:$A$780=A11)*('Eval-Avant impact'!$N$761:$P$780="AL"))),0.7*(SUMPRODUCT(('Eval-Avant impact'!$A$761:$A$780=A11)*('Eval-Avant impact'!$N$761:$P$780="LA"))),0.55*(SUMPRODUCT(('Eval-Avant impact'!$A$761:$A$780=A11)*('Eval-Avant impact'!$N$761:$P$780="L"))),0.4*(SUMPRODUCT(('Eval-Avant impact'!$A$761:$A$780=A11)*('Eval-Avant impact'!$N$761:$P$780="LS"))),0.25*(SUMPRODUCT(('Eval-Avant impact'!$A$761:$A$780=A11)*('Eval-Avant impact'!$N$761:$P$780="SL"))),0.1*(SUMPRODUCT(('Eval-Avant impact'!$A$761:$A$780=A11)*('Eval-Avant impact'!$N$761:$P$780="S"))))/(3*COUNTIF('Eval-Avant impact'!$A$761:$A$780,A11))),"")</f>
        <v/>
      </c>
      <c r="U11" s="214" t="str">
        <f>IF(COUNTIF('Eval-Avant impact'!$A$761:$A$780,A11)&gt;0,IF(OR(AND('Eval-Avant impact'!$A$761=A11,OR(COUNTIF('Eval-Avant impact'!$Q$761:$Y$761,"*T*")&gt;0,X9&lt;120)),AND('Eval-Avant impact'!$A$762=A11,OR(COUNTIF('Eval-Avant impact'!$Q$762:$Y$762,"*T*")&gt;0,X10&lt;120)),AND('Eval-Avant impact'!$A$763=A11,OR(COUNTIF('Eval-Avant impact'!$Q$763:$Y$763,"*T*")&gt;0,X11&lt;120)),AND('Eval-Avant impact'!$A$764=A11,OR(COUNTIF('Eval-Avant impact'!$Q$764:$Y$764,"*T*")&gt;0,X12&lt;120)),AND('Eval-Avant impact'!$A$765=A11,OR(COUNTIF('Eval-Avant impact'!$Q$765:$Y$765,"*T*")&gt;0,X13&lt;120)),AND('Eval-Avant impact'!$A$766=A11,OR(COUNTIF('Eval-Avant impact'!$Q$766:$Y$766,"*T*")&gt;0,X14&lt;120)),AND('Eval-Avant impact'!$A$767=A11,OR(COUNTIF('Eval-Avant impact'!$Q$767:$Y$767,"*T*")&gt;0,X15&lt;120)),AND('Eval-Avant impact'!$A$768=A11,OR(COUNTIF('Eval-Avant impact'!$Q$768:$Y$768,"*T*")&gt;0,X16&lt;120)),AND('Eval-Avant impact'!$A$769=A11,OR(COUNTIF('Eval-Avant impact'!$Q$769:$Y$769,"*T*")&gt;0,X17&lt;120)),AND('Eval-Avant impact'!$A$770=A11,OR(COUNTIF('Eval-Avant impact'!$Q$770:$Y$770,"*T*")&gt;0,X18&lt;120)),AND('Eval-Avant impact'!$A$771=A11,OR(COUNTIF('Eval-Avant impact'!$Q$771:$Y$771,"*T*")&gt;0,X19&lt;120)),AND('Eval-Avant impact'!$A$772=A11,OR(COUNTIF('Eval-Avant impact'!$Q$772:$Y$772,"*T*")&gt;0,X20&lt;120)),AND('Eval-Avant impact'!$A$773=A11,OR(COUNTIF('Eval-Avant impact'!$Q$773:$Y$773,"*T*")&gt;0,X21&lt;120)),AND('Eval-Avant impact'!$A$774=A11,OR(COUNTIF('Eval-Avant impact'!$Q$774:$Y$774,"*T*")&gt;0,X22&lt;120)),AND('Eval-Avant impact'!$A$775=A11,OR(COUNTIF('Eval-Avant impact'!$Q$775:$Y$775,"*T*")&gt;0,X23&lt;120)),AND('Eval-Avant impact'!$A$776=A11,OR(COUNTIF('Eval-Avant impact'!$Q$776:$Y$776,"*T*")&gt;0,X24&lt;120)),AND('Eval-Avant impact'!$A$777=A11,OR(COUNTIF('Eval-Avant impact'!$Q$777:$Y$777,"*T*")&gt;0,X25&lt;120)),AND('Eval-Avant impact'!$A$778=A11,OR(COUNTIF('Eval-Avant impact'!$Q$778:$Y$778,"*T*")&gt;0,X26&lt;120)),AND('Eval-Avant impact'!$A$779=A11,OR(COUNTIF('Eval-Avant impact'!$Q$779:$Y$779,"*T*")&gt;0,X27&lt;120)),AND('Eval-Avant impact'!$A$780=A11,OR(COUNTIF('Eval-Avant impact'!$Q$780:$Y$780,"*T*")&gt;0,X28&lt;120))),"",SUM(1*(SUMPRODUCT(('Eval-Avant impact'!$A$761:$A$780=A11)*('Eval-Avant impact'!$Q$761:$Y$780="A"))),0.85*(SUMPRODUCT(('Eval-Avant impact'!$A$761:$A$780=A11)*('Eval-Avant impact'!$Q$761:$Y$780="AL"))),0.7*(SUMPRODUCT(('Eval-Avant impact'!$A$761:$A$780=A11)*('Eval-Avant impact'!$Q$761:$Y$780="LA"))),0.55*(SUMPRODUCT(('Eval-Avant impact'!$A$761:$A$780=A11)*('Eval-Avant impact'!$Q$761:$Y$780="L"))),0.4*(SUMPRODUCT(('Eval-Avant impact'!$A$761:$A$780=A11)*('Eval-Avant impact'!$Q$761:$Y$780="LS"))),0.25*(SUMPRODUCT(('Eval-Avant impact'!$A$761:$A$780=A11)*('Eval-Avant impact'!$Q$761:$Y$780="SL"))),0.1*(SUMPRODUCT(('Eval-Avant impact'!$A$761:$A$780=A11)*('Eval-Avant impact'!$Q$761:$Y$780="S"))))/(9*COUNTIF('Eval-Avant impact'!$A$761:$A$780,A11))),"")</f>
        <v/>
      </c>
      <c r="V11" s="215"/>
      <c r="W11" s="216">
        <f>'Eval-Avant impact'!$D$763</f>
        <v>3</v>
      </c>
      <c r="X11" s="217" t="str">
        <f>IF(Y11="C",0,IF(IF(COUNTIF('Eval-Avant impact'!$N$763:$Y$763,"=C")&gt;0,(COUNTA('Eval-Avant impact'!$N$763:$Y$763)-1)*10,COUNTA('Eval-Avant impact'!$N$763:$Y$763)*10)=0,"",IF(COUNTIF('Eval-Avant impact'!$N$763:$Y$763,"=C")&gt;0,(COUNTA('Eval-Avant impact'!$N$763:$Y$763)-1)*10,COUNTA('Eval-Avant impact'!$N$763:$Y$763)*10)))</f>
        <v/>
      </c>
      <c r="Y11" s="217" t="str">
        <f>CONCATENATE('Eval-Avant impact'!$N$763,'Eval-Avant impact'!$O$763,'Eval-Avant impact'!$P$763,'Eval-Avant impact'!$Q$763,'Eval-Avant impact'!$R$763,'Eval-Avant impact'!$S$763,'Eval-Avant impact'!$T$763,'Eval-Avant impact'!$U$763,'Eval-Avant impact'!$V$763,'Eval-Avant impact'!$W$763,'Eval-Avant impact'!$X$763,'Eval-Avant impact'!$Y$763)</f>
        <v/>
      </c>
      <c r="Z11" s="217" t="str">
        <f t="shared" si="0"/>
        <v/>
      </c>
      <c r="AA11" s="217" t="str">
        <f t="shared" si="1"/>
        <v/>
      </c>
      <c r="AB11" s="217" t="str">
        <f>IF(COUNTIF('Eval-Avant impact'!$N$763:$Y$763,"=C")&gt;0,"X","")</f>
        <v/>
      </c>
      <c r="AC11" s="217" t="str">
        <f t="shared" si="2"/>
        <v/>
      </c>
      <c r="AD11" s="218" t="str">
        <f t="shared" si="3"/>
        <v/>
      </c>
      <c r="AE11" s="197"/>
      <c r="AG11" s="210">
        <v>3</v>
      </c>
      <c r="AH11" s="211" t="str">
        <f>IF(COUNTIF('Eval-Avec impact envisagé'!$A$761:$A$780,AG11)&gt;0,SUM(IF('Eval-Avec impact envisagé'!$A$761=AG11,'Eval-Avec impact envisagé'!$B$761,0),IF('Eval-Avec impact envisagé'!$A$762=AG11, 'Eval-Avec impact envisagé'!$B$762,0),IF('Eval-Avec impact envisagé'!$A$763=AG11, 'Eval-Avec impact envisagé'!$B$763,0),IF('Eval-Avec impact envisagé'!$A$764=AG11, 'Eval-Avec impact envisagé'!$B$764,0),IF('Eval-Avec impact envisagé'!$A$765=AG11, 'Eval-Avec impact envisagé'!$B$765,0),IF('Eval-Avec impact envisagé'!$A$766=AG11, 'Eval-Avec impact envisagé'!$B$766,0),IF('Eval-Avec impact envisagé'!$A$767=AG11, 'Eval-Avec impact envisagé'!$B$767,0),IF('Eval-Avec impact envisagé'!$A$768=AG11, 'Eval-Avec impact envisagé'!$B$768,0),IF('Eval-Avec impact envisagé'!$A$769=AG11, 'Eval-Avec impact envisagé'!$B$769,0),IF('Eval-Avec impact envisagé'!$A$770=AG11, 'Eval-Avec impact envisagé'!$B$770,0),IF('Eval-Avec impact envisagé'!$A$771=AG11, 'Eval-Avec impact envisagé'!$B$771,0),IF('Eval-Avec impact envisagé'!$A$772=AG11, 'Eval-Avec impact envisagé'!$B$772,0),IF('Eval-Avec impact envisagé'!$A$773=AG11, 'Eval-Avec impact envisagé'!$B$773,0),IF('Eval-Avec impact envisagé'!$A$774=AG11, 'Eval-Avec impact envisagé'!$B$774,0),IF('Eval-Avec impact envisagé'!$A$775=AG11, 'Eval-Avec impact envisagé'!$B$775,0),IF('Eval-Avec impact envisagé'!$A$776=AG11, 'Eval-Avec impact envisagé'!$B$776,0),IF('Eval-Avec impact envisagé'!$A$777=AG11, 'Eval-Avec impact envisagé'!$B$777,0),IF('Eval-Avec impact envisagé'!$A$778=AG11, 'Eval-Avec impact envisagé'!$B$778,0),IF('Eval-Avec impact envisagé'!$A$779=AG11, 'Eval-Avec impact envisagé'!$B$779,0),IF('Eval-Avec impact envisagé'!$A$780=AG11, 'Eval-Avec impact envisagé'!$B$780,0))/COUNTIF('Eval-Avec impact envisagé'!$A$761:$A$780,AG11),"")</f>
        <v/>
      </c>
      <c r="AI11" s="212" t="str">
        <f>IF(COUNTIF('Eval-Avec impact envisagé'!$A$761:$A$780,AG11)&gt;0,COUNTIF('Eval-Avec impact envisagé'!$A$761:$A$780,AG11),"")</f>
        <v/>
      </c>
      <c r="AJ11" s="211" t="str">
        <f>IF(COUNTIF('Eval-Avec impact envisagé'!$A$761:$A$780,AG11)&gt;0,IF(OR(AND('Eval-Avec impact envisagé'!$A$761=AG11, 'Eval-Avec impact envisagé'!$G$761=""),AND('Eval-Avec impact envisagé'!$A$762=AG11, 'Eval-Avec impact envisagé'!$G$762=""),AND('Eval-Avec impact envisagé'!$A$763=AG11, 'Eval-Avec impact envisagé'!$G$763=""),AND('Eval-Avec impact envisagé'!$A$764=AG11, 'Eval-Avec impact envisagé'!$G$764=""),AND('Eval-Avec impact envisagé'!$A$765=AG11, 'Eval-Avec impact envisagé'!$G$765=""),AND('Eval-Avec impact envisagé'!$A$766=AG11, 'Eval-Avec impact envisagé'!$G$766=""),AND('Eval-Avec impact envisagé'!$A$767=AG11, 'Eval-Avec impact envisagé'!$G$767=""),AND('Eval-Avec impact envisagé'!$A$768=AG11, 'Eval-Avec impact envisagé'!$G$768=""),AND('Eval-Avec impact envisagé'!$A$769=AG11, 'Eval-Avec impact envisagé'!$G$769=""),AND('Eval-Avec impact envisagé'!$A$770=AG11, 'Eval-Avec impact envisagé'!$G$770=""),AND('Eval-Avec impact envisagé'!$A$771=AG11, 'Eval-Avec impact envisagé'!$G$771=""),AND('Eval-Avec impact envisagé'!$A$772=AG11, 'Eval-Avec impact envisagé'!$G$772=""),AND('Eval-Avec impact envisagé'!$A$773=AG11, 'Eval-Avec impact envisagé'!$G$773=""),AND('Eval-Avec impact envisagé'!$A$774=AG11, 'Eval-Avec impact envisagé'!$G$774=""),AND('Eval-Avec impact envisagé'!$A$775=AG11, 'Eval-Avec impact envisagé'!$G$775=""),AND('Eval-Avec impact envisagé'!$A$776=AG11, 'Eval-Avec impact envisagé'!$G$776=""),AND('Eval-Avec impact envisagé'!$A$777=AG11, 'Eval-Avec impact envisagé'!$G$777=""),AND('Eval-Avec impact envisagé'!$A$778=AG11, 'Eval-Avec impact envisagé'!$G$778=""),AND('Eval-Avec impact envisagé'!$A$779=AG11, 'Eval-Avec impact envisagé'!$G$779=""),AND('Eval-Avec impact envisagé'!$A$780=AG11, 'Eval-Avec impact envisagé'!$G$780="")),"",SUM(IF('Eval-Avec impact envisagé'!$A$761=AG11,'Eval-Avec impact envisagé'!$G$761,0),IF('Eval-Avec impact envisagé'!$A$762=AG11,'Eval-Avec impact envisagé'!$G$762,0),IF('Eval-Avec impact envisagé'!$A$763=AG11,'Eval-Avec impact envisagé'!$G$763,0),IF('Eval-Avec impact envisagé'!$A$764=AG11,'Eval-Avec impact envisagé'!$G$764,0),IF('Eval-Avec impact envisagé'!$A$765=AG11,'Eval-Avec impact envisagé'!$G$765,0),IF('Eval-Avec impact envisagé'!$A$766=AG11,'Eval-Avec impact envisagé'!$G$766,0),IF('Eval-Avec impact envisagé'!$A$767=AG11,'Eval-Avec impact envisagé'!$G$767,0),IF('Eval-Avec impact envisagé'!$A$768=AG11,'Eval-Avec impact envisagé'!$G$768,0),IF('Eval-Avec impact envisagé'!$A$769=AG11,'Eval-Avec impact envisagé'!$G$769,0),IF('Eval-Avec impact envisagé'!$A$770=AG11,'Eval-Avec impact envisagé'!$G$770,0),IF('Eval-Avec impact envisagé'!$A$771=AG11,'Eval-Avec impact envisagé'!$G$771,0),IF('Eval-Avec impact envisagé'!$A$772=AG11,'Eval-Avec impact envisagé'!$G$772,0),IF('Eval-Avec impact envisagé'!$A$773=AG11,'Eval-Avec impact envisagé'!$G$773,0),IF('Eval-Avec impact envisagé'!$A$774=AG11,'Eval-Avec impact envisagé'!$G$774,0),IF('Eval-Avec impact envisagé'!$A$775=AG11,'Eval-Avec impact envisagé'!$G$775,0), IF('Eval-Avec impact envisagé'!$A$776=AG11,'Eval-Avec impact envisagé'!$G$776,0), IF('Eval-Avec impact envisagé'!$A$777=AG11,'Eval-Avec impact envisagé'!$G$777,0), IF('Eval-Avec impact envisagé'!$A$778=AG11,'Eval-Avec impact envisagé'!$G$778,0), IF('Eval-Avec impact envisagé'!$A$779=AG11,'Eval-Avec impact envisagé'!$G$779,0), IF('Eval-Avec impact envisagé'!$A$780=AG11,'Eval-Avec impact envisagé'!$G$780,0))/ COUNTIF('Eval-Avec impact envisagé'!$A$761:$A$780,AG11)),"")</f>
        <v/>
      </c>
      <c r="AK11" s="212" t="str">
        <f>IF(COUNTIF('Eval-Avec impact envisagé'!$A$761:$A$780,AG11)&gt;0,IF(SUM(IF('Eval-Avec impact envisagé'!$A$761=AG11,COUNTA('Eval-Avec impact envisagé'!$H$761),0),IF('Eval-Avec impact envisagé'!$A$762=AG11,COUNTA('Eval-Avec impact envisagé'!$H$762),0),IF('Eval-Avec impact envisagé'!$A$763=AG11,COUNTA('Eval-Avec impact envisagé'!$H$763),0),IF('Eval-Avec impact envisagé'!$A$764=AG11,COUNTA('Eval-Avec impact envisagé'!$H$764),0),IF('Eval-Avec impact envisagé'!$A$765=AG11,COUNTA('Eval-Avec impact envisagé'!$H$765),0),IF('Eval-Avec impact envisagé'!$A$766=AG11,COUNTA('Eval-Avec impact envisagé'!$H$766),0),IF('Eval-Avec impact envisagé'!$A$767=AG11,COUNTA('Eval-Avec impact envisagé'!$H$767),0),IF('Eval-Avec impact envisagé'!$A$768=AG11,COUNTA('Eval-Avec impact envisagé'!$H$768),0),IF('Eval-Avec impact envisagé'!$A$769=AG11,COUNTA('Eval-Avec impact envisagé'!$H$769),0),IF('Eval-Avec impact envisagé'!$A$770=AG11,COUNTA('Eval-Avec impact envisagé'!$H$770),0),IF('Eval-Avec impact envisagé'!$A$771=AG11,COUNTA('Eval-Avec impact envisagé'!$H$771),0),IF('Eval-Avec impact envisagé'!$A$772=AG11,COUNTA('Eval-Avec impact envisagé'!$H$772),0),IF('Eval-Avec impact envisagé'!$A$773=AG11,COUNTA('Eval-Avec impact envisagé'!$H$773),0),IF('Eval-Avec impact envisagé'!$A$774=AG11,COUNTA('Eval-Avec impact envisagé'!$H$774),0),IF('Eval-Avec impact envisagé'!$A$775=AG11,COUNTA('Eval-Avec impact envisagé'!$H$775),0),IF('Eval-Avec impact envisagé'!$A$776=AG11,COUNTA('Eval-Avec impact envisagé'!$H$776),0),IF('Eval-Avec impact envisagé'!$A$777=AG11,COUNTA('Eval-Avec impact envisagé'!$H$777),0),IF('Eval-Avec impact envisagé'!$A$778=AG11,COUNTA('Eval-Avec impact envisagé'!$H$778),0),IF('Eval-Avec impact envisagé'!$A$779=AG11,COUNTA('Eval-Avec impact envisagé'!$H$779),0),IF('Eval-Avec impact envisagé'!$A$780=AG11,COUNTA('Eval-Avec impact envisagé'!$H$780),0))&gt;0,"X",0),"")</f>
        <v/>
      </c>
      <c r="AL11" s="213" t="str">
        <f>IF(COUNTIF('Eval-Avec impact envisagé'!$A$761:$A$780,AG11)&gt;0,IF(SUM(IF('Eval-Avec impact envisagé'!$A$761=AG11,COUNTA('Eval-Avec impact envisagé'!$I$761),0),IF('Eval-Avec impact envisagé'!$A$762=AG11,COUNTA('Eval-Avec impact envisagé'!$I$762),0),IF('Eval-Avec impact envisagé'!$A$763=AG11,COUNTA('Eval-Avec impact envisagé'!$I$763),0),IF('Eval-Avec impact envisagé'!$A$764=AG11,COUNTA('Eval-Avec impact envisagé'!$I$764),0),IF('Eval-Avec impact envisagé'!$A$765=AG11,COUNTA('Eval-Avec impact envisagé'!$I$765),0),IF('Eval-Avec impact envisagé'!$A$766=AG11,COUNTA('Eval-Avec impact envisagé'!$I$766),0),IF('Eval-Avec impact envisagé'!$A$767=AG11,COUNTA('Eval-Avec impact envisagé'!$I$767),0),IF('Eval-Avec impact envisagé'!$A$768=AG11,COUNTA('Eval-Avec impact envisagé'!$I$768),0),IF('Eval-Avec impact envisagé'!$A$769=AG11,COUNTA('Eval-Avec impact envisagé'!$I$769),0),IF('Eval-Avec impact envisagé'!$A$770=AG11,COUNTA('Eval-Avec impact envisagé'!$I$770),0),IF('Eval-Avec impact envisagé'!$A$771=AG11,COUNTA('Eval-Avec impact envisagé'!$I$771),0),IF('Eval-Avec impact envisagé'!$A$772=AG11,COUNTA('Eval-Avec impact envisagé'!$I$772),0),IF('Eval-Avec impact envisagé'!$A$773=AG11,COUNTA('Eval-Avec impact envisagé'!$I$773),0),IF('Eval-Avec impact envisagé'!$A$774=AG11,COUNTA('Eval-Avec impact envisagé'!$I$774),0),IF('Eval-Avec impact envisagé'!$A$775=AG11,COUNTA('Eval-Avec impact envisagé'!$I$775),0),IF('Eval-Avec impact envisagé'!$A$776=AG11,COUNTA('Eval-Avec impact envisagé'!$I$776),0),IF('Eval-Avec impact envisagé'!$A$777=AG11,COUNTA('Eval-Avec impact envisagé'!$I$777),0),IF('Eval-Avec impact envisagé'!$A$778=AG11,COUNTA('Eval-Avec impact envisagé'!$I$778),0),IF('Eval-Avec impact envisagé'!$A$779=AG11,COUNTA('Eval-Avec impact envisagé'!$I$779),0),IF('Eval-Avec impact envisagé'!$A$780=AG11,COUNTA('Eval-Avec impact envisagé'!$I$780),0))&gt;0,"X",0),"")</f>
        <v/>
      </c>
      <c r="AM11" s="213" t="str">
        <f>IF(COUNTIF('Eval-Avec impact envisagé'!$A$761:$A$780,AG11)&gt;0,IF(SUM(IF('Eval-Avec impact envisagé'!$A$761=AG11,COUNTA('Eval-Avec impact envisagé'!$J$761),0),IF('Eval-Avec impact envisagé'!$A$762=AG11,COUNTA('Eval-Avec impact envisagé'!$J$762),0),IF('Eval-Avec impact envisagé'!$A$763=AG11,COUNTA('Eval-Avec impact envisagé'!$J$763),0),IF('Eval-Avec impact envisagé'!$A$764=AG11,COUNTA('Eval-Avec impact envisagé'!$J$764),0),IF('Eval-Avec impact envisagé'!$A$765=AG11,COUNTA('Eval-Avec impact envisagé'!$J$765),0),IF('Eval-Avec impact envisagé'!$A$766=AG11,COUNTA('Eval-Avec impact envisagé'!$J$766),0),IF('Eval-Avec impact envisagé'!$A$767=AG11,COUNTA('Eval-Avec impact envisagé'!$J$767),0),IF('Eval-Avec impact envisagé'!$A$768=AG11,COUNTA('Eval-Avec impact envisagé'!$J$768),0),IF('Eval-Avec impact envisagé'!$A$769=AG11,COUNTA('Eval-Avec impact envisagé'!$J$769),0),IF('Eval-Avec impact envisagé'!$A$770=AG11,COUNTA('Eval-Avec impact envisagé'!$J$770),0),IF('Eval-Avec impact envisagé'!$A$771=AG11,COUNTA('Eval-Avec impact envisagé'!$J$771),0),IF('Eval-Avec impact envisagé'!$A$772=AG11,COUNTA('Eval-Avec impact envisagé'!$J$772),0),IF('Eval-Avec impact envisagé'!$A$773=AG11,COUNTA('Eval-Avec impact envisagé'!$J$773),0),IF('Eval-Avec impact envisagé'!$A$774=AG11,COUNTA('Eval-Avec impact envisagé'!$J$774),0),IF('Eval-Avec impact envisagé'!$A$775=AG11,COUNTA('Eval-Avec impact envisagé'!$J$775),0),IF('Eval-Avec impact envisagé'!$A$776=AG11,COUNTA('Eval-Avec impact envisagé'!$J$776),0),IF('Eval-Avec impact envisagé'!$A$777=AG11,COUNTA('Eval-Avec impact envisagé'!$J$777),0),IF('Eval-Avec impact envisagé'!$A$778=AG11,COUNTA('Eval-Avec impact envisagé'!$J$778),0),IF('Eval-Avec impact envisagé'!$A$779=AG11,COUNTA('Eval-Avec impact envisagé'!$J$779),0),IF('Eval-Avec impact envisagé'!$A$780=AG11,COUNTA('Eval-Avec impact envisagé'!$J$780),0))&gt;0,"X",0),"")</f>
        <v/>
      </c>
      <c r="AN11" s="213" t="str">
        <f>IF(COUNTIF('Eval-Avec impact envisagé'!$A$761:$A$780,AG11)&gt;0,IF(SUM(IF('Eval-Avec impact envisagé'!$A$761=AG11,COUNTA('Eval-Avec impact envisagé'!$K$761),0),IF('Eval-Avec impact envisagé'!$A$762=AG11,COUNTA('Eval-Avec impact envisagé'!$K$762),0),IF('Eval-Avec impact envisagé'!$A$763=AG11,COUNTA('Eval-Avec impact envisagé'!$K$763),0),IF('Eval-Avec impact envisagé'!$A$764=AG11,COUNTA('Eval-Avec impact envisagé'!$K$764),0),IF('Eval-Avec impact envisagé'!$A$765=AG11,COUNTA('Eval-Avec impact envisagé'!$K$765),0),IF('Eval-Avec impact envisagé'!$A$766=AG11,COUNTA('Eval-Avec impact envisagé'!$K$766),0),IF('Eval-Avec impact envisagé'!$A$767=AG11,COUNTA('Eval-Avec impact envisagé'!$K$767),0),IF('Eval-Avec impact envisagé'!$A$768=AG11,COUNTA('Eval-Avec impact envisagé'!$K$768),0),IF('Eval-Avec impact envisagé'!$A$769=AG11,COUNTA('Eval-Avec impact envisagé'!$K$769),0),IF('Eval-Avec impact envisagé'!$A$770=AG11,COUNTA('Eval-Avec impact envisagé'!$K$770),0),IF('Eval-Avec impact envisagé'!$A$771=AG11,COUNTA('Eval-Avec impact envisagé'!$K$771),0),IF('Eval-Avec impact envisagé'!$A$772=AG11,COUNTA('Eval-Avec impact envisagé'!$K$772),0),IF('Eval-Avec impact envisagé'!$A$773=AG11,COUNTA('Eval-Avec impact envisagé'!$K$773),0),IF('Eval-Avec impact envisagé'!$A$774=AG11,COUNTA('Eval-Avec impact envisagé'!$K$774),0),IF('Eval-Avec impact envisagé'!$A$775=AG11,COUNTA('Eval-Avec impact envisagé'!$K$775),0),IF('Eval-Avec impact envisagé'!$A$776=AG11,COUNTA('Eval-Avec impact envisagé'!$K$776),0),IF('Eval-Avec impact envisagé'!$A$777=AG11,COUNTA('Eval-Avec impact envisagé'!$K$777),0),IF('Eval-Avec impact envisagé'!$A$778=AG11,COUNTA('Eval-Avec impact envisagé'!$K$778),0),IF('Eval-Avec impact envisagé'!$A$779=AG11,COUNTA('Eval-Avec impact envisagé'!$K$779),0),IF('Eval-Avec impact envisagé'!$A$780=AG11,COUNTA('Eval-Avec impact envisagé'!$K$780),0))&gt;0,"X",0),"")</f>
        <v/>
      </c>
      <c r="AO11" s="211" t="str">
        <f>IF(COUNTIF('Eval-Avec impact envisagé'!$A$761:$A$780,AG11)&gt;0,IF(OR(AND('Eval-Avec impact envisagé'!$A$761=AG11,'Eval-Avec impact envisagé'!$L$761&lt;120,'Eval-Avec impact envisagé'!$L$761&gt;=BD9),AND('Eval-Avec impact envisagé'!$A$762=AG11,'Eval-Avec impact envisagé'!$L$762&lt;120,'Eval-Avec impact envisagé'!$L$762&gt;=BD10),AND('Eval-Avec impact envisagé'!$A$763=AG11,'Eval-Avec impact envisagé'!$L$763&lt;120,'Eval-Avec impact envisagé'!$L$763&gt;=BD11),AND('Eval-Avec impact envisagé'!$A$764=AG11,'Eval-Avec impact envisagé'!$L$764&lt;120,'Eval-Avec impact envisagé'!$L$764&gt;=BD12),AND('Eval-Avec impact envisagé'!$A$765=AG11,'Eval-Avec impact envisagé'!$L$765&lt;120,'Eval-Avec impact envisagé'!$L$765&gt;=BD13),AND('Eval-Avec impact envisagé'!$A$766=AG11,'Eval-Avec impact envisagé'!$L$766&lt;120,'Eval-Avec impact envisagé'!$L$766&gt;=BD14),AND('Eval-Avec impact envisagé'!$A$767=AG11,'Eval-Avec impact envisagé'!$L$767&lt;120,'Eval-Avec impact envisagé'!$L$767&gt;=BD15),AND('Eval-Avec impact envisagé'!$A$768=AG11,'Eval-Avec impact envisagé'!$L$768&lt;120,'Eval-Avec impact envisagé'!$L$768&gt;=BD16),AND('Eval-Avec impact envisagé'!$A$769=AG11,'Eval-Avec impact envisagé'!$L$769&lt;120,'Eval-Avec impact envisagé'!$L$769&gt;=BD17),AND('Eval-Avec impact envisagé'!$A$770=AG11,'Eval-Avec impact envisagé'!$L$770&lt;120,'Eval-Avec impact envisagé'!$L$770&gt;=BD18),AND('Eval-Avec impact envisagé'!$A$771=AG11,'Eval-Avec impact envisagé'!$L$771&lt;120,'Eval-Avec impact envisagé'!$L$771&gt;=BD19),AND('Eval-Avec impact envisagé'!$A$772=AG11,'Eval-Avec impact envisagé'!$L$772&lt;120,'Eval-Avec impact envisagé'!$L$772&gt;=BD20),AND('Eval-Avec impact envisagé'!$A$773=AG11,'Eval-Avec impact envisagé'!$L$773&lt;120,'Eval-Avec impact envisagé'!$L$773&gt;=BD21),AND('Eval-Avec impact envisagé'!$A$774=AG11,'Eval-Avec impact envisagé'!$L$774&lt;120,'Eval-Avec impact envisagé'!$L$774&gt;=BD22),AND('Eval-Avec impact envisagé'!$A$775=AG11,'Eval-Avec impact envisagé'!$L$775&lt;120,'Eval-Avec impact envisagé'!$L$775&gt;=BD23),AND('Eval-Avec impact envisagé'!$A$776=AG11,'Eval-Avec impact envisagé'!$L$776&lt;120,'Eval-Avec impact envisagé'!$L$776&gt;=BD24),AND('Eval-Avec impact envisagé'!$A$777=AG11,'Eval-Avec impact envisagé'!$L$777&lt;120,'Eval-Avec impact envisagé'!$L$777&gt;=BD25),AND('Eval-Avec impact envisagé'!$A$778=AG11,'Eval-Avec impact envisagé'!$L$778&lt;120,'Eval-Avec impact envisagé'!$L$778&gt;=BD26),AND('Eval-Avec impact envisagé'!$A$779=AG11,'Eval-Avec impact envisagé'!$L$779&lt;120,'Eval-Avec impact envisagé'!$L$779&gt;=BD27),AND('Eval-Avec impact envisagé'!$A$780=AG11,'Eval-Avec impact envisagé'!$L$780&lt;120,'Eval-Avec impact envisagé'!$L$780&gt;=BD28)),"",SUM(IF('Eval-Avec impact envisagé'!$A$761=AG11,'Eval-Avec impact envisagé'!$L$761,0),IF('Eval-Avec impact envisagé'!$A$762=AG11,'Eval-Avec impact envisagé'!$L$762,0),IF('Eval-Avec impact envisagé'!$A$763=AG11,'Eval-Avec impact envisagé'!$L$763,0),IF('Eval-Avec impact envisagé'!$A$764=AG11,'Eval-Avec impact envisagé'!$L$764,0),IF('Eval-Avec impact envisagé'!$A$765=AG11,'Eval-Avec impact envisagé'!$L$765,0),IF('Eval-Avec impact envisagé'!$A$766=AG11,'Eval-Avec impact envisagé'!$L$766,0),IF('Eval-Avec impact envisagé'!$A$767=AG11,'Eval-Avec impact envisagé'!$L$767,0),IF('Eval-Avec impact envisagé'!$A$768=AG11,'Eval-Avec impact envisagé'!$L$768,0),IF('Eval-Avec impact envisagé'!$A$769=AG11,'Eval-Avec impact envisagé'!$L$769,0),IF('Eval-Avec impact envisagé'!$A$770=AG11,'Eval-Avec impact envisagé'!$L$770,0),IF('Eval-Avec impact envisagé'!$A$771=AG11,'Eval-Avec impact envisagé'!$L$771,0),IF('Eval-Avec impact envisagé'!$A$772=AG11,'Eval-Avec impact envisagé'!$L$772,0),IF('Eval-Avec impact envisagé'!$A$773=AG11,'Eval-Avec impact envisagé'!$L$773,0),IF('Eval-Avec impact envisagé'!$A$774=AG11,'Eval-Avec impact envisagé'!$L$774,0),IF('Eval-Avec impact envisagé'!$A$775=AG11,'Eval-Avec impact envisagé'!$L$775,0),IF('Eval-Avec impact envisagé'!$A$776=AG11,'Eval-Avec impact envisagé'!$L$776,0),IF('Eval-Avec impact envisagé'!$A$777=AG11,'Eval-Avec impact envisagé'!$L$777,0),IF('Eval-Avec impact envisagé'!$A$778=AG11,'Eval-Avec impact envisagé'!$L$778,0),IF('Eval-Avec impact envisagé'!$A$779=AG11,'Eval-Avec impact envisagé'!$L$779,0),IF('Eval-Avec impact envisagé'!$A$780=AG11,'Eval-Avec impact envisagé'!$L$780,0))/ COUNTIF('Eval-Avec impact envisagé'!$A$761:$A$780,AG11)),"")</f>
        <v/>
      </c>
      <c r="AP11" s="211" t="str">
        <f>IF(COUNTIF('Eval-Avec impact envisagé'!$A$761:$A$780,AG11)&gt;0,IF(OR(AND('Eval-Avec impact envisagé'!$A$761=AG11, BD9&lt;120),AND(BD10&lt;120),AND(BD11&lt;120),AND(BD12&lt;120),AND(BD13&lt;120),AND(BD14&lt;120),AND(BD15&lt;120),AND(BD16&lt;120),AND(BD17&lt;120),AND(BD18&lt;120),AND(BD19&lt;120),AND(BD20&lt;120),AND(BD21&lt;120),AND(BD22&lt;120),AND(BD23&lt;120),AND(BD24&lt;120),AND(BD25&lt;120),AND(BD26&lt;120),AND(BD27&lt;120),AND(BD28&lt;120)),"",SUM(IF('Eval-Avec impact envisagé'!$A$761=AG11,'Eval-Avec impact envisagé'!$M$761,0),IF('Eval-Avec impact envisagé'!$A$762=AG11,'Eval-Avec impact envisagé'!$M$762,0),IF('Eval-Avec impact envisagé'!$A$763=AG11,'Eval-Avec impact envisagé'!$M$763,0),IF('Eval-Avec impact envisagé'!$A$764=AG11,'Eval-Avec impact envisagé'!$M$764,0),IF('Eval-Avec impact envisagé'!$A$765=AG11,'Eval-Avec impact envisagé'!$M$765,0),IF('Eval-Avec impact envisagé'!$A$766=AG11,'Eval-Avec impact envisagé'!$M$766,0),IF('Eval-Avec impact envisagé'!$A$767=AG11,'Eval-Avec impact envisagé'!$M$767,0),IF('Eval-Avec impact envisagé'!$A$768=AG11,'Eval-Avec impact envisagé'!$M$768,0),IF('Eval-Avec impact envisagé'!$A$769=AG11,'Eval-Avec impact envisagé'!$M$769,0),IF('Eval-Avec impact envisagé'!$A$770=AG11,'Eval-Avec impact envisagé'!$M$770,0),IF('Eval-Avec impact envisagé'!$A$771=AG11,'Eval-Avec impact envisagé'!$M$771,0),IF('Eval-Avec impact envisagé'!$A$772=AG11,'Eval-Avec impact envisagé'!$M$772,0),IF('Eval-Avec impact envisagé'!$A$773=AG11,'Eval-Avec impact envisagé'!$M$773,0),IF('Eval-Avec impact envisagé'!$A$774=AG11,'Eval-Avec impact envisagé'!$M$774,0),IF('Eval-Avec impact envisagé'!$A$775=AG11,'Eval-Avec impact envisagé'!$M$775,0), IF('Eval-Avec impact envisagé'!$A$776=AG11,'Eval-Avec impact envisagé'!$M$776,0), IF('Eval-Avec impact envisagé'!$A$777=AG11,'Eval-Avec impact envisagé'!$M$777,0), IF('Eval-Avec impact envisagé'!$A$778=AG11,'Eval-Avec impact envisagé'!$M$778,0), IF('Eval-Avec impact envisagé'!$A$779=AG11,'Eval-Avec impact envisagé'!$M$779,0), IF('Eval-Avec impact envisagé'!$A$780=AG11,'Eval-Avec impact envisagé'!$M$780,0))/COUNTIF('Eval-Avec impact envisagé'!$A$761:$A$780,AG11)),"")</f>
        <v/>
      </c>
      <c r="AQ11" s="211" t="str">
        <f>IF(COUNTIF('Eval-Avec impact envisagé'!$A$761:$A$780,AG11)&gt;0,SUM(IF('Eval-Avec impact envisagé'!$A$761=AG11,LEN(SUBSTITUTE((SUBSTITUTE(BF9,"TM","")),"TS",""))*10/2,0),IF('Eval-Avec impact envisagé'!$A$762=AG11,LEN(SUBSTITUTE((SUBSTITUTE(BF10,"TM","")),"TS",""))*10/2,0),IF('Eval-Avec impact envisagé'!$A$763=AG11,LEN(SUBSTITUTE((SUBSTITUTE(BF11,"TM","")),"TS",""))*10/2,0),IF('Eval-Avec impact envisagé'!$A$764=AG11,LEN(SUBSTITUTE((SUBSTITUTE(BF12,"TM","")),"TS",""))*10/2,0),IF('Eval-Avec impact envisagé'!$A$765=AG11,LEN(SUBSTITUTE((SUBSTITUTE(BF13,"TM","")),"TS",""))*10/2,0),IF('Eval-Avec impact envisagé'!$A$766=AG11,LEN(SUBSTITUTE((SUBSTITUTE(BF14,"TM","")),"TS",""))*10/2,0),IF('Eval-Avec impact envisagé'!$A$767=AG11,LEN(SUBSTITUTE((SUBSTITUTE(BF15,"TM","")),"TS",""))*10/2,0),IF('Eval-Avec impact envisagé'!$A$768=AG11,LEN(SUBSTITUTE((SUBSTITUTE(BF16,"TM","")),"TS",""))*10/2,0),IF('Eval-Avec impact envisagé'!$A$769=AG11,LEN(SUBSTITUTE((SUBSTITUTE(BF17,"TM","")),"TS",""))*10/2,0),IF('Eval-Avec impact envisagé'!$A$770=AG11,LEN(SUBSTITUTE((SUBSTITUTE(BF18,"TM","")),"TS",""))*10/2,0),IF('Eval-Avec impact envisagé'!$A$771=AG11,LEN(SUBSTITUTE((SUBSTITUTE(BF19,"TM","")),"TS",""))*10/2,0),IF('Eval-Avec impact envisagé'!$A$772=AG11,LEN(SUBSTITUTE((SUBSTITUTE(BF20,"TM","")),"TS",""))*10/2,0),IF('Eval-Avec impact envisagé'!$A$773=AG11,LEN(SUBSTITUTE((SUBSTITUTE(BF21,"TM","")),"TS",""))*10/2,0),IF('Eval-Avec impact envisagé'!$A$774=AG11,LEN(SUBSTITUTE((SUBSTITUTE(BF22,"TM","")),"TS",""))*10/2,0),IF('Eval-Avec impact envisagé'!$A$775=AG11,LEN(SUBSTITUTE((SUBSTITUTE(BF23,"TM","")),"TS",""))*10/2,0),IF('Eval-Avec impact envisagé'!$A$776=AG11,LEN(SUBSTITUTE((SUBSTITUTE(BF24,"TM","")),"TS",""))*10/2,0),IF('Eval-Avec impact envisagé'!$A$777=AG11,LEN(SUBSTITUTE((SUBSTITUTE(BF25,"TM","")),"TS",""))*10/2,0),IF('Eval-Avec impact envisagé'!$A$778=AG11,LEN(SUBSTITUTE((SUBSTITUTE(BF26,"TM","")),"TS",""))*10/2,0),IF('Eval-Avec impact envisagé'!$A$779=AG11,LEN(SUBSTITUTE((SUBSTITUTE(BF27,"TM","")),"TS",""))*10/2,0),IF('Eval-Avec impact envisagé'!$A$780=AG11,LEN(SUBSTITUTE((SUBSTITUTE(BF28,"TM","")),"TS",""))*10/2,0))/COUNTIF('Eval-Avec impact envisagé'!$A$761:$A$780,AG11),"")</f>
        <v/>
      </c>
      <c r="AR11" s="211" t="str">
        <f>IF(COUNTIF('Eval-Avec impact envisagé'!$A$761:$A$780,AG11)&gt;0,SUM(IF('Eval-Avec impact envisagé'!$A$761=AG11,LEN(SUBSTITUTE((SUBSTITUTE(BF9,"TF","")),"TS",""))*10/2,0),IF('Eval-Avec impact envisagé'!$A$762=AG11,LEN(SUBSTITUTE((SUBSTITUTE(BF10,"TF","")),"TS",""))*10/2,0),IF('Eval-Avec impact envisagé'!$A$763=AG11,LEN(SUBSTITUTE((SUBSTITUTE(BF11,"TF","")),"TS",""))*10/2,0),IF('Eval-Avec impact envisagé'!$A$764=AG11,LEN(SUBSTITUTE((SUBSTITUTE(BF12,"TF","")),"TS",""))*10/2,0),IF('Eval-Avec impact envisagé'!$A$765=AG11,LEN(SUBSTITUTE((SUBSTITUTE(BF13,"TF","")),"TS",""))*10/2,0),IF('Eval-Avec impact envisagé'!$A$766=AG11,LEN(SUBSTITUTE((SUBSTITUTE(BF14,"TF","")),"TS",""))*10/2,0),IF('Eval-Avec impact envisagé'!$A$767=AG11,LEN(SUBSTITUTE((SUBSTITUTE(BF15,"TF","")),"TS",""))*10/2,0),IF('Eval-Avec impact envisagé'!$A$768=AG11,LEN(SUBSTITUTE((SUBSTITUTE(BF16,"TF","")),"TS",""))*10/2,0),IF('Eval-Avec impact envisagé'!$A$769=AG11,LEN(SUBSTITUTE((SUBSTITUTE(BF17,"TF","")),"TS",""))*10/2,0),IF('Eval-Avec impact envisagé'!$A$770=AG11,LEN(SUBSTITUTE((SUBSTITUTE(BF18,"TF","")),"TS",""))*10/2,0),IF('Eval-Avec impact envisagé'!$A$771=AG11,LEN(SUBSTITUTE((SUBSTITUTE(BF19,"TF","")),"TS",""))*10/2,0),IF('Eval-Avec impact envisagé'!$A$772=AG11,LEN(SUBSTITUTE((SUBSTITUTE(BF20,"TF","")),"TS",""))*10/2,0),IF('Eval-Avec impact envisagé'!$A$773=AG11,LEN(SUBSTITUTE((SUBSTITUTE(BF21,"TF","")),"TS",""))*10/2,0),IF('Eval-Avec impact envisagé'!$A$774=AG11,LEN(SUBSTITUTE((SUBSTITUTE(BF22,"TF","")),"TS",""))*10/2,0),IF('Eval-Avec impact envisagé'!$A$775=AG11,LEN(SUBSTITUTE((SUBSTITUTE(BF23,"TF","")),"TS",""))*10/2,0),IF('Eval-Avec impact envisagé'!$A$776=AG11,LEN(SUBSTITUTE((SUBSTITUTE(BF24,"TF","")),"TS",""))*10/2,0),IF('Eval-Avec impact envisagé'!$A$777=AG11,LEN(SUBSTITUTE((SUBSTITUTE(BF25,"TF","")),"TS",""))*10/2,0),IF('Eval-Avec impact envisagé'!$A$778=AG11,LEN(SUBSTITUTE((SUBSTITUTE(BF26,"TF","")),"TS",""))*10/2,0),IF('Eval-Avec impact envisagé'!$A$779=AG11,LEN(SUBSTITUTE((SUBSTITUTE(BF27,"TF","")),"TS",""))*10/2,0),IF('Eval-Avec impact envisagé'!$A$780=AG11,LEN(SUBSTITUTE((SUBSTITUTE(BF28,"TF","")),"TS",""))*10/2,0))/COUNTIF('Eval-Avec impact envisagé'!$A$761:$A$780,AG11),"")</f>
        <v/>
      </c>
      <c r="AS11" s="211" t="str">
        <f>IF(COUNTIF('Eval-Avec impact envisagé'!$A$761:$A$780,AG11)&gt;0,SUM(IF('Eval-Avec impact envisagé'!$A$761=AG11,LEN(SUBSTITUTE((SUBSTITUTE(BF9,"TF","")),"TM",""))*10/2,0),IF('Eval-Avec impact envisagé'!$A$762=AG11,LEN(SUBSTITUTE((SUBSTITUTE(BF10,"TF","")),"TM",""))*10/2,0),IF('Eval-Avec impact envisagé'!$A$763=AG11,LEN(SUBSTITUTE((SUBSTITUTE(BF11,"TF","")),"TM",""))*10/2,0),IF('Eval-Avec impact envisagé'!$A$764=AG11,LEN(SUBSTITUTE((SUBSTITUTE(BF12,"TF","")),"TM",""))*10/2,0),IF('Eval-Avec impact envisagé'!$A$765=AG11,LEN(SUBSTITUTE((SUBSTITUTE(BF13,"TF","")),"TM",""))*10/2,0),IF('Eval-Avec impact envisagé'!$A$766=AG11,LEN(SUBSTITUTE((SUBSTITUTE(BF14,"TF","")),"TM",""))*10/2,0),IF('Eval-Avec impact envisagé'!$A$767=AG11,LEN(SUBSTITUTE((SUBSTITUTE(BF15,"TF","")),"TM",""))*10/2,0),IF('Eval-Avec impact envisagé'!$A$768=AG11,LEN(SUBSTITUTE((SUBSTITUTE(BF16,"TF","")),"TM",""))*10/2,0),IF('Eval-Avec impact envisagé'!$A$769=AG11,LEN(SUBSTITUTE((SUBSTITUTE(BF17,"TF","")),"TM",""))*10/2,0),IF('Eval-Avec impact envisagé'!$A$770=AG11,LEN(SUBSTITUTE((SUBSTITUTE(BF18,"TF","")),"TM",""))*10/2,0),IF('Eval-Avec impact envisagé'!$A$771=AG11,LEN(SUBSTITUTE((SUBSTITUTE(BF19,"TF","")),"TM",""))*10/2,0),IF('Eval-Avec impact envisagé'!$A$772=AG11,LEN(SUBSTITUTE((SUBSTITUTE(BF20,"TF","")),"TM",""))*10/2,0),IF('Eval-Avec impact envisagé'!$A$773=AG11,LEN(SUBSTITUTE((SUBSTITUTE(BF21,"TF","")),"TM",""))*10/2,0),IF('Eval-Avec impact envisagé'!$A$774=AG11,LEN(SUBSTITUTE((SUBSTITUTE(BF22,"TF","")),"TM",""))*10/2,0),IF('Eval-Avec impact envisagé'!$A$775=AG11,LEN(SUBSTITUTE((SUBSTITUTE(BF23,"TF","")),"TM",""))*10/2,0),IF('Eval-Avec impact envisagé'!$A$776=AG11,LEN(SUBSTITUTE((SUBSTITUTE(BF24,"TF","")),"TM",""))*10/2,0),IF('Eval-Avec impact envisagé'!$A$777=AG11,LEN(SUBSTITUTE((SUBSTITUTE(BF25,"TF","")),"TM",""))*10/2,0),IF('Eval-Avec impact envisagé'!$A$778=AG11,LEN(SUBSTITUTE((SUBSTITUTE(BF26,"TF","")),"TM",""))*10/2,0),IF('Eval-Avec impact envisagé'!$A$779=AG11,LEN(SUBSTITUTE((SUBSTITUTE(BF27,"TF","")),"TM",""))*10/2,0),IF('Eval-Avec impact envisagé'!$A$780=AG11,LEN(SUBSTITUTE((SUBSTITUTE(BF28,"TF","")),"TM",""))*10/2,0))/COUNTIF('Eval-Avec impact envisagé'!$A$761:$A$780,AG11),"")</f>
        <v/>
      </c>
      <c r="AT11" s="211" t="str">
        <f>IF(COUNTIF('Eval-Avec impact envisagé'!$A$761:$A$780,AG11)&gt;0,SUM(IF('Eval-Avec impact envisagé'!$A$761=AG11,LEN(SUBSTITUTE((SUBSTITUTE(BG9,"TM","")),"TS",""))*10/2,0),IF('Eval-Avec impact envisagé'!$A$762=AG11,LEN(SUBSTITUTE((SUBSTITUTE(BG10,"TM","")),"TS",""))*10/2,0),IF('Eval-Avec impact envisagé'!$A$763=AG11,LEN(SUBSTITUTE((SUBSTITUTE(BG11,"TM","")),"TS",""))*10/2,0),IF('Eval-Avec impact envisagé'!$A$764=AG11,LEN(SUBSTITUTE((SUBSTITUTE(BG12,"TM","")),"TS",""))*10/2,0),IF('Eval-Avec impact envisagé'!$A$765=AG11,LEN(SUBSTITUTE((SUBSTITUTE(BG13,"TM","")),"TS",""))*10/2,0),IF('Eval-Avec impact envisagé'!$A$766=AG11,LEN(SUBSTITUTE((SUBSTITUTE(BG14,"TM","")),"TS",""))*10/2,0),IF('Eval-Avec impact envisagé'!$A$767=AG11,LEN(SUBSTITUTE((SUBSTITUTE(BG15,"TM","")),"TS",""))*10/2,0),IF('Eval-Avec impact envisagé'!$A$768=AG11,LEN(SUBSTITUTE((SUBSTITUTE(BG16,"TM","")),"TS",""))*10/2,0),IF('Eval-Avec impact envisagé'!$A$769=AG11,LEN(SUBSTITUTE((SUBSTITUTE(BG17,"TM","")),"TS",""))*10/2,0),IF('Eval-Avec impact envisagé'!$A$770=AG11,LEN(SUBSTITUTE((SUBSTITUTE(BG18,"TM","")),"TS",""))*10/2,0),IF('Eval-Avec impact envisagé'!$A$771=AG11,LEN(SUBSTITUTE((SUBSTITUTE(BG19,"TM","")),"TS",""))*10/2,0),IF('Eval-Avec impact envisagé'!$A$772=AG11,LEN(SUBSTITUTE((SUBSTITUTE(BG20,"TM","")),"TS",""))*10/2,0),IF('Eval-Avec impact envisagé'!$A$773=AG11,LEN(SUBSTITUTE((SUBSTITUTE(BG21,"TM","")),"TS",""))*10/2,0),IF('Eval-Avec impact envisagé'!$A$774=AG11,LEN(SUBSTITUTE((SUBSTITUTE(BG22,"TM","")),"TS",""))*10/2,0),IF('Eval-Avec impact envisagé'!$A$775=AG11,LEN(SUBSTITUTE((SUBSTITUTE(BG23,"TM","")),"TS",""))*10/2,0),IF('Eval-Avec impact envisagé'!$A$776=AG11,LEN(SUBSTITUTE((SUBSTITUTE(BG24,"TM","")),"TS",""))*10/2,0),IF('Eval-Avec impact envisagé'!$A$777=AG11,LEN(SUBSTITUTE((SUBSTITUTE(BG25,"TM","")),"TS",""))*10/2,0),IF('Eval-Avec impact envisagé'!$A$778=AG11,LEN(SUBSTITUTE((SUBSTITUTE(BG26,"TM","")),"TS",""))*10/2,0),IF('Eval-Avec impact envisagé'!$A$779=AG11,LEN(SUBSTITUTE((SUBSTITUTE(BG27,"TM","")),"TS",""))*10/2,0),IF('Eval-Avec impact envisagé'!$A$780=AG11,LEN(SUBSTITUTE((SUBSTITUTE(BG28,"TM","")),"TS",""))*10/2,0))/COUNTIF('Eval-Avec impact envisagé'!$A$761:$A$780,AG11),"")</f>
        <v/>
      </c>
      <c r="AU11" s="211" t="str">
        <f>IF(COUNTIF('Eval-Avec impact envisagé'!$A$761:$A$780,AG11)&gt;0,SUM(IF('Eval-Avec impact envisagé'!$A$761=AG11,LEN(SUBSTITUTE((SUBSTITUTE(BG9,"TF","")),"TS",""))*10/2,0),IF('Eval-Avec impact envisagé'!$A$762=AG11,LEN(SUBSTITUTE((SUBSTITUTE(BG10,"TF","")),"TS",""))*10/2,0),IF('Eval-Avec impact envisagé'!$A$763=AG11,LEN(SUBSTITUTE((SUBSTITUTE(BG11,"TF","")),"TS",""))*10/2,0),IF('Eval-Avec impact envisagé'!$A$764=AG11,LEN(SUBSTITUTE((SUBSTITUTE(BG12,"TF","")),"TS",""))*10/2,0),IF('Eval-Avec impact envisagé'!$A$765=AG11,LEN(SUBSTITUTE((SUBSTITUTE(BG13,"TF","")),"TS",""))*10/2,0),IF('Eval-Avec impact envisagé'!$A$766=AG11,LEN(SUBSTITUTE((SUBSTITUTE(BG14,"TF","")),"TS",""))*10/2,0),IF('Eval-Avec impact envisagé'!$A$767=AG11,LEN(SUBSTITUTE((SUBSTITUTE(BG15,"TF","")),"TS",""))*10/2,0),IF('Eval-Avec impact envisagé'!$A$768=AG11,LEN(SUBSTITUTE((SUBSTITUTE(BG16,"TF","")),"TS",""))*10/2,0),IF('Eval-Avec impact envisagé'!$A$769=AG11,LEN(SUBSTITUTE((SUBSTITUTE(BG17,"TF","")),"TS",""))*10/2,0),IF('Eval-Avec impact envisagé'!$A$770=AG11,LEN(SUBSTITUTE((SUBSTITUTE(BG18,"TF","")),"TS",""))*10/2,0),IF('Eval-Avec impact envisagé'!$A$771=AG11,LEN(SUBSTITUTE((SUBSTITUTE(BG19,"TF","")),"TS",""))*10/2,0),IF('Eval-Avec impact envisagé'!$A$772=AG11,LEN(SUBSTITUTE((SUBSTITUTE(BG20,"TF","")),"TS",""))*10/2,0),IF('Eval-Avec impact envisagé'!$A$773=AG11,LEN(SUBSTITUTE((SUBSTITUTE(BG21,"TF","")),"TS",""))*10/2,0),IF('Eval-Avec impact envisagé'!$A$774=AG11,LEN(SUBSTITUTE((SUBSTITUTE(BG22,"TF","")),"TS",""))*10/2,0),IF('Eval-Avec impact envisagé'!$A$775=AG11,LEN(SUBSTITUTE((SUBSTITUTE(BG23,"TF","")),"TS",""))*10/2,0),IF('Eval-Avec impact envisagé'!$A$776=AG11,LEN(SUBSTITUTE((SUBSTITUTE(BG24,"TF","")),"TS",""))*10/2,0),IF('Eval-Avec impact envisagé'!$A$777=AG11,LEN(SUBSTITUTE((SUBSTITUTE(BG25,"TF","")),"TS",""))*10/2,0),IF('Eval-Avec impact envisagé'!$A$778=AG11,LEN(SUBSTITUTE((SUBSTITUTE(BG26,"TF","")),"TS",""))*10/2,0),IF('Eval-Avec impact envisagé'!$A$779=AG11,LEN(SUBSTITUTE((SUBSTITUTE(BG27,"TF","")),"TS",""))*10/2,0),IF('Eval-Avec impact envisagé'!$A$780=AG11,LEN(SUBSTITUTE((SUBSTITUTE(BG28,"TF","")),"TS",""))*10/2,0))/COUNTIF('Eval-Avec impact envisagé'!$A$761:$A$780,AG11),"")</f>
        <v/>
      </c>
      <c r="AV11" s="211" t="str">
        <f>IF(COUNTIF('Eval-Avec impact envisagé'!$A$761:$A$780,AG11)&gt;0,SUM(IF('Eval-Avec impact envisagé'!$A$761=AG11,LEN(SUBSTITUTE((SUBSTITUTE(BG9,"TF","")),"TM",""))*10/2,0),IF('Eval-Avec impact envisagé'!$A$762=AG11,LEN(SUBSTITUTE((SUBSTITUTE(BG10,"TF","")),"TM",""))*10/2,0),IF('Eval-Avec impact envisagé'!$A$763=AG11,LEN(SUBSTITUTE((SUBSTITUTE(BG11,"TF","")),"TM",""))*10/2,0),IF('Eval-Avec impact envisagé'!$A$764=AG11,LEN(SUBSTITUTE((SUBSTITUTE(BG12,"TF","")),"TM",""))*10/2,0),IF('Eval-Avec impact envisagé'!$A$765=AG11,LEN(SUBSTITUTE((SUBSTITUTE(BG13,"TF","")),"TM",""))*10/2,0),IF('Eval-Avec impact envisagé'!$A$766=AG11,LEN(SUBSTITUTE((SUBSTITUTE(BG14,"TF","")),"TM",""))*10/2,0),IF('Eval-Avec impact envisagé'!$A$767=AG11,LEN(SUBSTITUTE((SUBSTITUTE(BG15,"TF","")),"TM",""))*10/2,0),IF('Eval-Avec impact envisagé'!$A$768=AG11,LEN(SUBSTITUTE((SUBSTITUTE(BG16,"TF","")),"TM",""))*10/2,0),IF('Eval-Avec impact envisagé'!$A$769=AG11,LEN(SUBSTITUTE((SUBSTITUTE(BG17,"TF","")),"TM",""))*10/2,0),IF('Eval-Avec impact envisagé'!$A$770=AG11,LEN(SUBSTITUTE((SUBSTITUTE(BG18,"TF","")),"TM",""))*10/2,0),IF('Eval-Avec impact envisagé'!$A$771=AG11,LEN(SUBSTITUTE((SUBSTITUTE(BG19,"TF","")),"TM",""))*10/2,0),IF('Eval-Avec impact envisagé'!$A$772=AG11,LEN(SUBSTITUTE((SUBSTITUTE(BG20,"TF","")),"TM",""))*10/2,0),IF('Eval-Avec impact envisagé'!$A$773=AG11,LEN(SUBSTITUTE((SUBSTITUTE(BG21,"TF","")),"TM",""))*10/2,0),IF('Eval-Avec impact envisagé'!$A$774=AG11,LEN(SUBSTITUTE((SUBSTITUTE(BG22,"TF","")),"TM",""))*10/2,0),IF('Eval-Avec impact envisagé'!$A$775=AG11,LEN(SUBSTITUTE((SUBSTITUTE(BG23,"TF","")),"TM",""))*10/2,0),IF('Eval-Avec impact envisagé'!$A$776=AG11,LEN(SUBSTITUTE((SUBSTITUTE(BG24,"TF","")),"TM",""))*10/2,0),IF('Eval-Avec impact envisagé'!$A$777=AG11,LEN(SUBSTITUTE((SUBSTITUTE(BG25,"TF","")),"TM",""))*10/2,0),IF('Eval-Avec impact envisagé'!$A$778=AG11,LEN(SUBSTITUTE((SUBSTITUTE(BG26,"TF","")),"TM",""))*10/2,0),IF('Eval-Avec impact envisagé'!$A$779=AG11,LEN(SUBSTITUTE((SUBSTITUTE(BG27,"TF","")),"TM",""))*10/2,0),IF('Eval-Avec impact envisagé'!$A$780=AG11,LEN(SUBSTITUTE((SUBSTITUTE(BG28,"TF","")),"TM",""))*10/2,0))/COUNTIF('Eval-Avec impact envisagé'!$A$761:$A$780,AG11),"")</f>
        <v/>
      </c>
      <c r="AW11" s="211" t="str">
        <f>IF(COUNTIF('Eval-Avec impact envisagé'!$A$761:$A$780,AG11)&gt;0,IF(OR(AND('Eval-Avec impact envisagé'!$A$761=AG11,BD9&lt;30),AND('Eval-Avec impact envisagé'!$A$762=AG11,BD10&lt;30),AND('Eval-Avec impact envisagé'!$A$763=AG11,BD11&lt;30),AND('Eval-Avec impact envisagé'!$A$764=AG11,BD12&lt;30),AND('Eval-Avec impact envisagé'!$A$765=AG11,BD13&lt;30),AND('Eval-Avec impact envisagé'!$A$766=AG11,BD14&lt;30),AND('Eval-Avec impact envisagé'!$A$767=AG11,BD15&lt;30),AND('Eval-Avec impact envisagé'!$A$768=AG11,BD16&lt;30),AND('Eval-Avec impact envisagé'!$A$769=AG11,BD17&lt;30),AND('Eval-Avec impact envisagé'!$A$770=AG11,BD18&lt;30),AND('Eval-Avec impact envisagé'!$A$771=AG11,BD19&lt;30),AND('Eval-Avec impact envisagé'!$A$772=AG11,BD20&lt;30),AND('Eval-Avec impact envisagé'!$A$773=AG11,BD21&lt;30),AND('Eval-Avec impact envisagé'!$A$774=AG11,BD22&lt;30),AND('Eval-Avec impact envisagé'!$A$775=AG11,BD23&lt;30),AND('Eval-Avec impact envisagé'!$A$776=AG11,BD24&lt;30),AND('Eval-Avec impact envisagé'!$A$777=AG11,BD25&lt;30),AND('Eval-Avec impact envisagé'!$A$778=AG11,BD26&lt;30),AND('Eval-Avec impact envisagé'!$A$779=AG11,BD27&lt;30),AND('Eval-Avec impact envisagé'!$A$780=AG11,BD28&lt;30)),"",SUM(0.1*(SUMPRODUCT(('Eval-Avec impact envisagé'!$A$761:$A$780=AG11)*('Eval-Avec impact envisagé'!$N$761:$P$780="A"))+ SUMPRODUCT(('Eval-Avec impact envisagé'!$A$761:$A$780=AG11)*('Eval-Avec impact envisagé'!$N$761:$P$780="AL"))),0.7*(SUMPRODUCT(('Eval-Avec impact envisagé'!$A$761:$A$780=AG11)*('Eval-Avec impact envisagé'!$N$761:$P$780="TF"))+SUMPRODUCT(('Eval-Avec impact envisagé'!$A$761:$A$780=AG11)*('Eval-Avec impact envisagé'!$N$761:$P$780="TM"))+SUMPRODUCT(('Eval-Avec impact envisagé'!$A$761:$A$780=AG11)*('Eval-Avec impact envisagé'!$N$761:$P$780="TS"))),0.4*(SUMPRODUCT(('Eval-Avec impact envisagé'!$A$761:$A$780=AG11)*('Eval-Avec impact envisagé'!$N$761:$P$780="LA"))+SUMPRODUCT(('Eval-Avec impact envisagé'!$A$761:$A$780=AG11)*('Eval-Avec impact envisagé'!$N$761:$P$780="L"))+SUMPRODUCT(('Eval-Avec impact envisagé'!$A$761:$A$780=AG11)*('Eval-Avec impact envisagé'!$N$761:$P$780="LS"))),1*(SUMPRODUCT(('Eval-Avec impact envisagé'!$A$761:$A$780=AG11)*('Eval-Avec impact envisagé'!$N$761:$P$780="SL"))+ SUMPRODUCT(('Eval-Avec impact envisagé'!$A$761:$A$780=AG11)*('Eval-Avec impact envisagé'!$N$761:$P$780="S"))))/(3*COUNTIF('Eval-Avec impact envisagé'!$A$761:$A$780,AG11))),"")</f>
        <v/>
      </c>
      <c r="AX11" s="211" t="str">
        <f>IF(COUNTIF('Eval-Avec impact envisagé'!$A$761:$A$780,AG11)&gt;0,IF(OR(AND('Eval-Avec impact envisagé'!$A$761=AG11,BD9&lt;120),AND('Eval-Avec impact envisagé'!$A$762=AG11,BD10&lt;120),AND('Eval-Avec impact envisagé'!$A$763=AG11,BD11&lt;120),AND('Eval-Avec impact envisagé'!$A$764=AG11,BD12&lt;120),AND('Eval-Avec impact envisagé'!$A$765=AG11,BD13&lt;120),AND('Eval-Avec impact envisagé'!$A$766=AG11,BD14&lt;120),AND('Eval-Avec impact envisagé'!$A$767=AG11,BD15&lt;120),AND('Eval-Avec impact envisagé'!$A$768=AG11,BD16&lt;120),AND('Eval-Avec impact envisagé'!$A$769=AG11,BD17&lt;120),AND('Eval-Avec impact envisagé'!$A$770=AG11,BD18&lt;120),AND('Eval-Avec impact envisagé'!$A$771=AG11,BD19&lt;120),AND('Eval-Avec impact envisagé'!$A$772=AG11,BD20&lt;120),AND('Eval-Avec impact envisagé'!$A$773=AG11,BD21&lt;120),AND('Eval-Avec impact envisagé'!$A$774=AG11,BD22&lt;120),AND('Eval-Avec impact envisagé'!$A$775=AG11,BD23&lt;120),AND('Eval-Avec impact envisagé'!$A$776=AG11,BD24&lt;120),AND('Eval-Avec impact envisagé'!$A$777=AG11,BD25&lt;120),AND('Eval-Avec impact envisagé'!$A$778=AG11,BD26&lt;120),AND('Eval-Avec impact envisagé'!$A$779=AG11,BD27&lt;120),AND('Eval-Avec impact envisagé'!$A$780=AG11,BD28&lt;120)),"",SUM(0.1*(SUMPRODUCT(('Eval-Avec impact envisagé'!$A$761:$A$780=AG11)*('Eval-Avec impact envisagé'!$Q$761:$Y$780="A"))+ SUMPRODUCT(('Eval-Avec impact envisagé'!$A$761:$A$780=AG11)*('Eval-Avec impact envisagé'!$Q$761:$Y$780="AL"))),0.7*(SUMPRODUCT(('Eval-Avec impact envisagé'!$A$761:$A$780=AG11)*('Eval-Avec impact envisagé'!$Q$761:$Y$780="TF"))+SUMPRODUCT(('Eval-Avec impact envisagé'!$A$761:$A$780=AG11)*('Eval-Avec impact envisagé'!$Q$761:$Y$780="TM"))+SUMPRODUCT(('Eval-Avec impact envisagé'!$A$761:$A$780=AG11)*('Eval-Avec impact envisagé'!$Q$761:$Y$780="TS"))),0.4*(SUMPRODUCT(('Eval-Avec impact envisagé'!$A$761:$A$780=AG11)*('Eval-Avec impact envisagé'!$Q$761:$Y$780="LA"))+SUMPRODUCT(('Eval-Avec impact envisagé'!$A$761:$A$780=AG11)*('Eval-Avec impact envisagé'!$Q$761:$Y$780="L"))+SUMPRODUCT(('Eval-Avec impact envisagé'!$A$761:$A$780=AG11)*('Eval-Avec impact envisagé'!$Q$761:$Y$780="LS"))),1*(SUMPRODUCT(('Eval-Avec impact envisagé'!$A$761:$A$780=AG11)*('Eval-Avec impact envisagé'!$Q$761:$Y$780="SL"))+ SUMPRODUCT(('Eval-Avec impact envisagé'!$A$761:$A$780=AG11)*('Eval-Avec impact envisagé'!$Q$761:$Y$780="S"))))/(9*COUNTIF('Eval-Avec impact envisagé'!$A$761:$A$780,AG11))),"")</f>
        <v/>
      </c>
      <c r="AY11" s="211" t="str">
        <f>IF(COUNTIF('Eval-Avec impact envisagé'!$A$761:$A$780,AG11)&gt;0,IF(OR(AND('Eval-Avec impact envisagé'!$A$761=AG11,OR(COUNTIF('Eval-Avec impact envisagé'!$N$761:$P$761,"*T*")&gt;0,BD9&lt;30)),AND('Eval-Avec impact envisagé'!$A$762=AG11,OR(COUNTIF('Eval-Avec impact envisagé'!$N$762:$P$762,"*T*")&gt;0,BD10&lt;30)),AND('Eval-Avec impact envisagé'!$A$763=AG11,OR(COUNTIF('Eval-Avec impact envisagé'!$N$763:$P$763,"*T*")&gt;0,BD11&lt;30)),AND('Eval-Avec impact envisagé'!$A$764=AG11,OR(COUNTIF('Eval-Avec impact envisagé'!$N$764:$P$764,"*T*")&gt;0,BD12&lt;30)),AND('Eval-Avec impact envisagé'!$A$765=AG11,OR(COUNTIF('Eval-Avec impact envisagé'!$N$765:$P$765,"*T*")&gt;0,BD13&lt;30)),AND('Eval-Avec impact envisagé'!$A$766=AG11,OR(COUNTIF('Eval-Avec impact envisagé'!$N$766:$P$766,"*T*")&gt;0,BD14&lt;30)),AND('Eval-Avec impact envisagé'!$A$767=AG11,OR(COUNTIF('Eval-Avec impact envisagé'!$N$767:$P$767,"*T*")&gt;0,BD15&lt;30)),AND('Eval-Avec impact envisagé'!$A$768=AG11,OR(COUNTIF('Eval-Avec impact envisagé'!$N$768:$P$768,"*T*")&gt;0,BD16&lt;30)),AND('Eval-Avec impact envisagé'!$A$769=AG11,OR(COUNTIF('Eval-Avec impact envisagé'!$N$769:$P$769,"*T*")&gt;0,BD17&lt;30)),AND('Eval-Avec impact envisagé'!$A$770=AG11,OR(COUNTIF('Eval-Avec impact envisagé'!$N$770:$P$770,"*T*")&gt;0,BD18&lt;30)),AND('Eval-Avec impact envisagé'!$A$771=AG11,OR(COUNTIF('Eval-Avec impact envisagé'!$N$771:$P$771,"*T*")&gt;0,BD19&lt;30)),AND('Eval-Avec impact envisagé'!$A$772=AG11,OR(COUNTIF('Eval-Avec impact envisagé'!$N$772:$P$772,"*T*")&gt;0,BD20&lt;30)),AND('Eval-Avec impact envisagé'!$A$773=AG11,OR(COUNTIF('Eval-Avec impact envisagé'!$N$773:$P$773,"*T*")&gt;0,BD21&lt;30)),AND('Eval-Avec impact envisagé'!$A$774=AG11,OR(COUNTIF('Eval-Avec impact envisagé'!$N$774:$P$774,"*T*")&gt;0,BD22&lt;30)),AND('Eval-Avec impact envisagé'!$A$775=AG11,OR(COUNTIF('Eval-Avec impact envisagé'!$N$775:$P$775,"*T*")&gt;0,BD23&lt;30)),AND('Eval-Avec impact envisagé'!$A$776=AG11,OR(COUNTIF('Eval-Avec impact envisagé'!$N$776:$P$776,"*T*")&gt;0,BD24&lt;30)),AND('Eval-Avec impact envisagé'!$A$777=AG11,OR(COUNTIF('Eval-Avec impact envisagé'!$N$777:$P$777,"*T*")&gt;0,BD25&lt;30)),AND('Eval-Avec impact envisagé'!$A$778=AG11,OR(COUNTIF('Eval-Avec impact envisagé'!$N$778:$P$778,"*T*")&gt;0,BD26&lt;30)),AND('Eval-Avec impact envisagé'!$A$779=AG11,OR(COUNTIF('Eval-Avec impact envisagé'!$N$779:$P$779,"*T*")&gt;0,BD27&lt;30)),AND('Eval-Avec impact envisagé'!$A$780=AG11,OR(COUNTIF('Eval-Avec impact envisagé'!$N$780:$P$780,"*T*")&gt;0,BD28&lt;30))),"",SUM(0.1*(SUMPRODUCT(('Eval-Avec impact envisagé'!$A$761:$A$780=AG11)*('Eval-Avec impact envisagé'!$N$761:$P$780="L"))),0.4*(SUMPRODUCT(('Eval-Avec impact envisagé'!$A$761:$A$780=AG11)*('Eval-Avec impact envisagé'!$N$761:$P$780="LA"))+SUMPRODUCT(('Eval-Avec impact envisagé'!$A$761:$A$780=AG11)*('Eval-Avec impact envisagé'!$N$761:$P$780="LS"))),0.7*(SUMPRODUCT(('Eval-Avec impact envisagé'!$A$761:$A$780=AG11)*('Eval-Avec impact envisagé'!$N$761:$P$780="AL"))+SUMPRODUCT(('Eval-Avec impact envisagé'!$A$761:$A$780=AG11)*('Eval-Avec impact envisagé'!$N$761:$P$780="SL"))),1*(SUMPRODUCT(('Eval-Avec impact envisagé'!$A$761:$A$780=AG11)*('Eval-Avec impact envisagé'!$N$761:$P$780="S"))+ SUMPRODUCT(('Eval-Avec impact envisagé'!$A$761:$A$780=AG11)*('Eval-Avec impact envisagé'!$N$761:$P$780="A"))))/(3*COUNTIF('Eval-Avec impact envisagé'!$A$761:$A$780,AG11))),"")</f>
        <v/>
      </c>
      <c r="AZ11" s="211" t="str">
        <f>IF(COUNTIF('Eval-Avec impact envisagé'!$A$761:$A$780,AG11)&gt;0,IF(OR(AND('Eval-Avec impact envisagé'!$A$761=AG11,OR(COUNTIF('Eval-Avec impact envisagé'!$N$761:$P$761,"*T*")&gt;0,BD9&lt;30)),AND('Eval-Avec impact envisagé'!$A$762=AG11,OR(COUNTIF('Eval-Avec impact envisagé'!$N$762:$P$762,"*T*")&gt;0,BD10&lt;30)),AND('Eval-Avec impact envisagé'!$A$763=AG11,OR(COUNTIF('Eval-Avec impact envisagé'!$N$763:$P$763,"*T*")&gt;0,BD11&lt;30)),AND('Eval-Avec impact envisagé'!$A$764=AG11,OR(COUNTIF('Eval-Avec impact envisagé'!$N$764:$P$764,"*T*")&gt;0,BD12&lt;30)),AND('Eval-Avec impact envisagé'!$A$765=AG11,OR(COUNTIF('Eval-Avec impact envisagé'!$N$765:$P$765,"*T*")&gt;0,BD13&lt;30)),AND('Eval-Avec impact envisagé'!$A$766=AG11,OR(COUNTIF('Eval-Avec impact envisagé'!$N$766:$P$766,"*T*")&gt;0,BD14&lt;30)),AND('Eval-Avec impact envisagé'!$A$767=AG11,OR(COUNTIF('Eval-Avec impact envisagé'!$N$767:$P$767,"*T*")&gt;0,BD15&lt;30)),AND('Eval-Avec impact envisagé'!$A$768=AG11,OR(COUNTIF('Eval-Avec impact envisagé'!$N$768:$P$768,"*T*")&gt;0,BD16&lt;30)),AND('Eval-Avec impact envisagé'!$A$769=AG11,OR(COUNTIF('Eval-Avec impact envisagé'!$N$769:$P$769,"*T*")&gt;0,BD17&lt;30)),AND('Eval-Avec impact envisagé'!$A$770=AG11,OR(COUNTIF('Eval-Avec impact envisagé'!$N$770:$P$770,"*T*")&gt;0,BD18&lt;30)),AND('Eval-Avec impact envisagé'!$A$771=AG11,OR(COUNTIF('Eval-Avec impact envisagé'!$N$771:$P$771,"*T*")&gt;0,BD19&lt;30)),AND('Eval-Avec impact envisagé'!$A$772=AG11,OR(COUNTIF('Eval-Avec impact envisagé'!$N$772:$P$772,"*T*")&gt;0,BD20&lt;30)),AND('Eval-Avec impact envisagé'!$A$773=AG11,OR(COUNTIF('Eval-Avec impact envisagé'!$N$773:$P$773,"*T*")&gt;0,BD21&lt;30)),AND('Eval-Avec impact envisagé'!$A$774=AG11,OR(COUNTIF('Eval-Avec impact envisagé'!$N$774:$P$774,"*T*")&gt;0,BD22&lt;30)),AND('Eval-Avec impact envisagé'!$A$775=AG11,OR(COUNTIF('Eval-Avec impact envisagé'!$N$775:$P$775,"*T*")&gt;0,BD23&lt;30)),AND('Eval-Avec impact envisagé'!$A$776=AG11,OR(COUNTIF('Eval-Avec impact envisagé'!$N$776:$P$776,"*T*")&gt;0,BD24&lt;30)),AND('Eval-Avec impact envisagé'!$A$777=AG11,OR(COUNTIF('Eval-Avec impact envisagé'!$N$777:$P$777,"*T*")&gt;0,BD25&lt;30)),AND('Eval-Avec impact envisagé'!$A$778=AG11,OR(COUNTIF('Eval-Avec impact envisagé'!$N$778:$P$778,"*T*")&gt;0,BD26&lt;30)),AND('Eval-Avec impact envisagé'!$A$779=AG11,OR(COUNTIF('Eval-Avec impact envisagé'!$N$779:$P$779,"*T*")&gt;0,BD27&lt;30)),AND('Eval-Avec impact envisagé'!$A$780=AG11,OR(COUNTIF('Eval-Avec impact envisagé'!$N$780:$P$780,"*T*")&gt;0,BD28&lt;30))),"",SUM(1*(SUMPRODUCT(('Eval-Avec impact envisagé'!$A$761:$A$780=AG11)*('Eval-Avec impact envisagé'!$N$761:$P$780="A"))),0.85*(SUMPRODUCT(('Eval-Avec impact envisagé'!$A$761:$A$780=AG11)*('Eval-Avec impact envisagé'!$N$761:$P$780="AL"))),0.7*(SUMPRODUCT(('Eval-Avec impact envisagé'!$A$761:$A$780=AG11)*('Eval-Avec impact envisagé'!$N$761:$P$780="LA"))),0.55*(SUMPRODUCT(('Eval-Avec impact envisagé'!$A$761:$A$780=AG11)*('Eval-Avec impact envisagé'!$N$761:$P$780="L"))),0.4*(SUMPRODUCT(('Eval-Avec impact envisagé'!$A$761:$A$780=AG11)*('Eval-Avec impact envisagé'!$N$761:$P$780="LS"))),0.25*(SUMPRODUCT(('Eval-Avec impact envisagé'!$A$761:$A$780=AG11)*('Eval-Avec impact envisagé'!$N$761:$P$780="SL"))),0.1*(SUMPRODUCT(('Eval-Avec impact envisagé'!$A$761:$A$780=AG11)*('Eval-Avec impact envisagé'!$N$761:$P$780="S"))))/(3*COUNTIF('Eval-Avec impact envisagé'!$A$761:$A$780,AG11))),"")</f>
        <v/>
      </c>
      <c r="BA11" s="214" t="str">
        <f>IF(COUNTIF('Eval-Avec impact envisagé'!$A$761:$A$780,AG11)&gt;0,IF(OR(AND('Eval-Avec impact envisagé'!$A$761=AG11,OR(COUNTIF('Eval-Avec impact envisagé'!$Q$761:$Y$761,"*T*")&gt;0,BD9&lt;120)),AND('Eval-Avec impact envisagé'!$A$762=AG11,OR(COUNTIF('Eval-Avec impact envisagé'!$Q$762:$Y$762,"*T*")&gt;0,BD10&lt;120)),AND('Eval-Avec impact envisagé'!$A$763=AG11,OR(COUNTIF('Eval-Avec impact envisagé'!$Q$763:$Y$763,"*T*")&gt;0,BD11&lt;120)),AND('Eval-Avec impact envisagé'!$A$764=AG11,OR(COUNTIF('Eval-Avec impact envisagé'!$Q$764:$Y$764,"*T*")&gt;0,BD12&lt;120)),AND('Eval-Avec impact envisagé'!$A$765=AG11,OR(COUNTIF('Eval-Avec impact envisagé'!$Q$765:$Y$765,"*T*")&gt;0,BD13&lt;120)),AND('Eval-Avec impact envisagé'!$A$766=AG11,OR(COUNTIF('Eval-Avec impact envisagé'!$Q$766:$Y$766,"*T*")&gt;0,BD14&lt;120)),AND('Eval-Avec impact envisagé'!$A$767=AG11,OR(COUNTIF('Eval-Avec impact envisagé'!$Q$767:$Y$767,"*T*")&gt;0,BD15&lt;120)),AND('Eval-Avec impact envisagé'!$A$768=AG11,OR(COUNTIF('Eval-Avec impact envisagé'!$Q$768:$Y$768,"*T*")&gt;0,BD16&lt;120)),AND('Eval-Avec impact envisagé'!$A$769=AG11,OR(COUNTIF('Eval-Avec impact envisagé'!$Q$769:$Y$769,"*T*")&gt;0,BD17&lt;120)),AND('Eval-Avec impact envisagé'!$A$770=AG11,OR(COUNTIF('Eval-Avec impact envisagé'!$Q$770:$Y$770,"*T*")&gt;0,BD18&lt;120)),AND('Eval-Avec impact envisagé'!$A$771=AG11,OR(COUNTIF('Eval-Avec impact envisagé'!$Q$771:$Y$771,"*T*")&gt;0,BD19&lt;120)),AND('Eval-Avec impact envisagé'!$A$772=AG11,OR(COUNTIF('Eval-Avec impact envisagé'!$Q$772:$Y$772,"*T*")&gt;0,BD20&lt;120)),AND('Eval-Avec impact envisagé'!$A$773=AG11,OR(COUNTIF('Eval-Avec impact envisagé'!$Q$773:$Y$773,"*T*")&gt;0,BD21&lt;120)),AND('Eval-Avec impact envisagé'!$A$774=AG11,OR(COUNTIF('Eval-Avec impact envisagé'!$Q$774:$Y$774,"*T*")&gt;0,BD22&lt;120)),AND('Eval-Avec impact envisagé'!$A$775=AG11,OR(COUNTIF('Eval-Avec impact envisagé'!$Q$775:$Y$775,"*T*")&gt;0,BD23&lt;120)),AND('Eval-Avec impact envisagé'!$A$776=AG11,OR(COUNTIF('Eval-Avec impact envisagé'!$Q$776:$Y$776,"*T*")&gt;0,BD24&lt;120)),AND('Eval-Avec impact envisagé'!$A$777=AG11,OR(COUNTIF('Eval-Avec impact envisagé'!$Q$777:$Y$777,"*T*")&gt;0,BD25&lt;120)),AND('Eval-Avec impact envisagé'!$A$778=AG11,OR(COUNTIF('Eval-Avec impact envisagé'!$Q$778:$Y$778,"*T*")&gt;0,BD26&lt;120)),AND('Eval-Avec impact envisagé'!$A$779=AG11,OR(COUNTIF('Eval-Avec impact envisagé'!$Q$779:$Y$779,"*T*")&gt;0,BD27&lt;120)),AND('Eval-Avec impact envisagé'!$A$780=AG11,OR(COUNTIF('Eval-Avec impact envisagé'!$Q$780:$Y$780,"*T*")&gt;0,BD28&lt;120))),"",SUM(1*(SUMPRODUCT(('Eval-Avec impact envisagé'!$A$761:$A$780=AG11)*('Eval-Avec impact envisagé'!$Q$761:$Y$780="A"))),0.85*(SUMPRODUCT(('Eval-Avec impact envisagé'!$A$761:$A$780=AG11)*('Eval-Avec impact envisagé'!$Q$761:$Y$780="AL"))),0.7*(SUMPRODUCT(('Eval-Avec impact envisagé'!$A$761:$A$780=AG11)*('Eval-Avec impact envisagé'!$Q$761:$Y$780="LA"))),0.55*(SUMPRODUCT(('Eval-Avec impact envisagé'!$A$761:$A$780=AG11)*('Eval-Avec impact envisagé'!$Q$761:$Y$780="L"))),0.4*(SUMPRODUCT(('Eval-Avec impact envisagé'!$A$761:$A$780=AG11)*('Eval-Avec impact envisagé'!$Q$761:$Y$780="LS"))),0.25*(SUMPRODUCT(('Eval-Avec impact envisagé'!$A$761:$A$780=AG11)*('Eval-Avec impact envisagé'!$Q$761:$Y$780="SL"))),0.1*(SUMPRODUCT(('Eval-Avec impact envisagé'!$A$761:$A$780=AG11)*('Eval-Avec impact envisagé'!$Q$761:$Y$780="S"))))/(9*COUNTIF('Eval-Avec impact envisagé'!$A$761:$A$780,AG11))),"")</f>
        <v/>
      </c>
      <c r="BB11" s="215"/>
      <c r="BC11" s="216">
        <f>'Eval-Avec impact envisagé'!$D$763</f>
        <v>3</v>
      </c>
      <c r="BD11" s="217" t="str">
        <f>IF(BE11="C",0,IF(IF(COUNTIF('Eval-Avec impact envisagé'!$N$763:$Y$763,"=C")&gt;0,(COUNTA('Eval-Avec impact envisagé'!$N$763:$Y$763)-1)*10,COUNTA('Eval-Avec impact envisagé'!$N$763:$Y$763)*10)=0,"",IF(COUNTIF('Eval-Avec impact envisagé'!$N$763:$Y$763,"=C")&gt;0,(COUNTA('Eval-Avec impact envisagé'!$N$763:$Y$763)-1)*10,COUNTA('Eval-Avec impact envisagé'!$N$763:$Y$763)*10)))</f>
        <v/>
      </c>
      <c r="BE11" s="217" t="str">
        <f>CONCATENATE('Eval-Avec impact envisagé'!$N$763,'Eval-Avec impact envisagé'!$O$763,'Eval-Avec impact envisagé'!$P$763,'Eval-Avec impact envisagé'!$Q$763,'Eval-Avec impact envisagé'!$R$763,'Eval-Avec impact envisagé'!$S$763,'Eval-Avec impact envisagé'!$T$763,'Eval-Avec impact envisagé'!$U$763,'Eval-Avec impact envisagé'!$V$763,'Eval-Avec impact envisagé'!$W$763,'Eval-Avec impact envisagé'!$X$763,'Eval-Avec impact envisagé'!$Y$763)</f>
        <v/>
      </c>
      <c r="BF11" s="217" t="str">
        <f t="shared" si="4"/>
        <v/>
      </c>
      <c r="BG11" s="217" t="str">
        <f t="shared" si="5"/>
        <v/>
      </c>
      <c r="BH11" s="217" t="str">
        <f>IF(COUNTIF('Eval-Avec impact envisagé'!$N$763:$Y$763,"=C")&gt;0,"X","")</f>
        <v/>
      </c>
      <c r="BI11" s="217" t="str">
        <f t="shared" si="6"/>
        <v/>
      </c>
      <c r="BJ11" s="218" t="str">
        <f t="shared" si="7"/>
        <v/>
      </c>
      <c r="BK11" s="197"/>
      <c r="BM11" s="210">
        <v>3</v>
      </c>
      <c r="BN11" s="211" t="str">
        <f>IF(COUNTIF('Eval-Après impact'!$A$761:$A$780,BM11)&gt;0,SUM(IF('Eval-Après impact'!$A$761=BM11,'Eval-Après impact'!$B$761,0),IF('Eval-Après impact'!$A$762=BM11, 'Eval-Après impact'!$B$762,0),IF('Eval-Après impact'!$A$763=BM11, 'Eval-Après impact'!$B$763,0),IF('Eval-Après impact'!$A$764=BM11, 'Eval-Après impact'!$B$764,0),IF('Eval-Après impact'!$A$765=BM11, 'Eval-Après impact'!$B$765,0),IF('Eval-Après impact'!$A$766=BM11, 'Eval-Après impact'!$B$766,0),IF('Eval-Après impact'!$A$767=BM11, 'Eval-Après impact'!$B$767,0),IF('Eval-Après impact'!$A$768=BM11, 'Eval-Après impact'!$B$768,0),IF('Eval-Après impact'!$A$769=BM11, 'Eval-Après impact'!$B$769,0),IF('Eval-Après impact'!$A$770=BM11, 'Eval-Après impact'!$B$770,0),IF('Eval-Après impact'!$A$771=BM11, 'Eval-Après impact'!$B$771,0),IF('Eval-Après impact'!$A$772=BM11, 'Eval-Après impact'!$B$772,0),IF('Eval-Après impact'!$A$773=BM11, 'Eval-Après impact'!$B$773,0),IF('Eval-Après impact'!$A$774=BM11, 'Eval-Après impact'!$B$774,0),IF('Eval-Après impact'!$A$775=BM11, 'Eval-Après impact'!$B$775,0),IF('Eval-Après impact'!$A$776=BM11, 'Eval-Après impact'!$B$776,0),IF('Eval-Après impact'!$A$777=BM11, 'Eval-Après impact'!$B$777,0),IF('Eval-Après impact'!$A$778=BM11, 'Eval-Après impact'!$B$778,0),IF('Eval-Après impact'!$A$779=BM11, 'Eval-Après impact'!$B$779,0),IF('Eval-Après impact'!$A$780=BM11, 'Eval-Après impact'!$B$780,0))/COUNTIF('Eval-Après impact'!$A$761:$A$780,BM11),"")</f>
        <v/>
      </c>
      <c r="BO11" s="212" t="str">
        <f>IF(COUNTIF('Eval-Après impact'!$A$761:$A$780,BM11)&gt;0,COUNTIF('Eval-Après impact'!$A$761:$A$780,BM11),"")</f>
        <v/>
      </c>
      <c r="BP11" s="211" t="str">
        <f>IF(COUNTIF('Eval-Après impact'!$A$761:$A$780,BM11)&gt;0,IF(OR(AND('Eval-Après impact'!$A$761=BM11, 'Eval-Après impact'!$G$761=""),AND('Eval-Après impact'!$A$762=BM11, 'Eval-Après impact'!$G$762=""),AND('Eval-Après impact'!$A$763=BM11, 'Eval-Après impact'!$G$763=""),AND('Eval-Après impact'!$A$764=BM11, 'Eval-Après impact'!$G$764=""),AND('Eval-Après impact'!$A$765=BM11, 'Eval-Après impact'!$G$765=""),AND('Eval-Après impact'!$A$766=BM11, 'Eval-Après impact'!$G$766=""),AND('Eval-Après impact'!$A$767=BM11, 'Eval-Après impact'!$G$767=""),AND('Eval-Après impact'!$A$768=BM11, 'Eval-Après impact'!$G$768=""),AND('Eval-Après impact'!$A$769=BM11, 'Eval-Après impact'!$G$769=""),AND('Eval-Après impact'!$A$770=BM11, 'Eval-Après impact'!$G$770=""),AND('Eval-Après impact'!$A$771=BM11, 'Eval-Après impact'!$G$771=""),AND('Eval-Après impact'!$A$772=BM11, 'Eval-Après impact'!$G$772=""),AND('Eval-Après impact'!$A$773=BM11, 'Eval-Après impact'!$G$773=""),AND('Eval-Après impact'!$A$774=BM11, 'Eval-Après impact'!$G$774=""),AND('Eval-Après impact'!$A$775=BM11, 'Eval-Après impact'!$G$775=""),AND('Eval-Après impact'!$A$776=BM11, 'Eval-Après impact'!$G$776=""),AND('Eval-Après impact'!$A$777=BM11, 'Eval-Après impact'!$G$777=""),AND('Eval-Après impact'!$A$778=BM11, 'Eval-Après impact'!$G$778=""),AND('Eval-Après impact'!$A$779=BM11, 'Eval-Après impact'!$G$779=""),AND('Eval-Après impact'!$A$780=BM11, 'Eval-Après impact'!$G$780="")),"",SUM(IF('Eval-Après impact'!$A$761=BM11,'Eval-Après impact'!$G$761,0),IF('Eval-Après impact'!$A$762=BM11,'Eval-Après impact'!$G$762,0),IF('Eval-Après impact'!$A$763=BM11,'Eval-Après impact'!$G$763,0),IF('Eval-Après impact'!$A$764=BM11,'Eval-Après impact'!$G$764,0),IF('Eval-Après impact'!$A$765=BM11,'Eval-Après impact'!$G$765,0),IF('Eval-Après impact'!$A$766=BM11,'Eval-Après impact'!$G$766,0),IF('Eval-Après impact'!$A$767=BM11,'Eval-Après impact'!$G$767,0),IF('Eval-Après impact'!$A$768=BM11,'Eval-Après impact'!$G$768,0),IF('Eval-Après impact'!$A$769=BM11,'Eval-Après impact'!$G$769,0),IF('Eval-Après impact'!$A$770=BM11,'Eval-Après impact'!$G$770,0),IF('Eval-Après impact'!$A$771=BM11,'Eval-Après impact'!$G$771,0),IF('Eval-Après impact'!$A$772=BM11,'Eval-Après impact'!$G$772,0),IF('Eval-Après impact'!$A$773=BM11,'Eval-Après impact'!$G$773,0),IF('Eval-Après impact'!$A$774=BM11,'Eval-Après impact'!$G$774,0),IF('Eval-Après impact'!$A$775=BM11,'Eval-Après impact'!$G$775,0), IF('Eval-Après impact'!$A$776=BM11,'Eval-Après impact'!$G$776,0), IF('Eval-Après impact'!$A$777=BM11,'Eval-Après impact'!$G$777,0), IF('Eval-Après impact'!$A$778=BM11,'Eval-Après impact'!$G$778,0), IF('Eval-Après impact'!$A$779=BM11,'Eval-Après impact'!$G$779,0), IF('Eval-Après impact'!$A$780=BM11,'Eval-Après impact'!$G$780,0))/ COUNTIF('Eval-Après impact'!$A$761:$A$780,BM11)),"")</f>
        <v/>
      </c>
      <c r="BQ11" s="212" t="str">
        <f>IF(COUNTIF('Eval-Après impact'!$A$761:$A$780,BM11)&gt;0,IF(SUM(IF('Eval-Après impact'!$A$761=BM11,COUNTA('Eval-Après impact'!$H$761),0),IF('Eval-Après impact'!$A$762=BM11,COUNTA('Eval-Après impact'!$H$762),0),IF('Eval-Après impact'!$A$763=BM11,COUNTA('Eval-Après impact'!$H$763),0),IF('Eval-Après impact'!$A$764=BM11,COUNTA('Eval-Après impact'!$H$764),0),IF('Eval-Après impact'!$A$765=BM11,COUNTA('Eval-Après impact'!$H$765),0),IF('Eval-Après impact'!$A$766=BM11,COUNTA('Eval-Après impact'!$H$766),0),IF('Eval-Après impact'!$A$767=BM11,COUNTA('Eval-Après impact'!$H$767),0),IF('Eval-Après impact'!$A$768=BM11,COUNTA('Eval-Après impact'!$H$768),0),IF('Eval-Après impact'!$A$769=BM11,COUNTA('Eval-Après impact'!$H$769),0),IF('Eval-Après impact'!$A$770=BM11,COUNTA('Eval-Après impact'!$H$770),0),IF('Eval-Après impact'!$A$771=BM11,COUNTA('Eval-Après impact'!$H$771),0),IF('Eval-Après impact'!$A$772=BM11,COUNTA('Eval-Après impact'!$H$772),0),IF('Eval-Après impact'!$A$773=BM11,COUNTA('Eval-Après impact'!$H$773),0),IF('Eval-Après impact'!$A$774=BM11,COUNTA('Eval-Après impact'!$H$774),0),IF('Eval-Après impact'!$A$775=BM11,COUNTA('Eval-Après impact'!$H$775),0),IF('Eval-Après impact'!$A$776=BM11,COUNTA('Eval-Après impact'!$H$776),0),IF('Eval-Après impact'!$A$777=BM11,COUNTA('Eval-Après impact'!$H$777),0),IF('Eval-Après impact'!$A$778=BM11,COUNTA('Eval-Après impact'!$H$778),0),IF('Eval-Après impact'!$A$779=BM11,COUNTA('Eval-Après impact'!$H$779),0),IF('Eval-Après impact'!$A$780=BM11,COUNTA('Eval-Après impact'!$H$780),0))&gt;0,"X",0),"")</f>
        <v/>
      </c>
      <c r="BR11" s="213" t="str">
        <f>IF(COUNTIF('Eval-Après impact'!$A$761:$A$780,BM11)&gt;0,IF(SUM(IF('Eval-Après impact'!$A$761=BM11,COUNTA('Eval-Après impact'!$I$761),0),IF('Eval-Après impact'!$A$762=BM11,COUNTA('Eval-Après impact'!$I$762),0),IF('Eval-Après impact'!$A$763=BM11,COUNTA('Eval-Après impact'!$I$763),0),IF('Eval-Après impact'!$A$764=BM11,COUNTA('Eval-Après impact'!$I$764),0),IF('Eval-Après impact'!$A$765=BM11,COUNTA('Eval-Après impact'!$I$765),0),IF('Eval-Après impact'!$A$766=BM11,COUNTA('Eval-Après impact'!$I$766),0),IF('Eval-Après impact'!$A$767=BM11,COUNTA('Eval-Après impact'!$I$767),0),IF('Eval-Après impact'!$A$768=BM11,COUNTA('Eval-Après impact'!$I$768),0),IF('Eval-Après impact'!$A$769=BM11,COUNTA('Eval-Après impact'!$I$769),0),IF('Eval-Après impact'!$A$770=BM11,COUNTA('Eval-Après impact'!$I$770),0),IF('Eval-Après impact'!$A$771=BM11,COUNTA('Eval-Après impact'!$I$771),0),IF('Eval-Après impact'!$A$772=BM11,COUNTA('Eval-Après impact'!$I$772),0),IF('Eval-Après impact'!$A$773=BM11,COUNTA('Eval-Après impact'!$I$773),0),IF('Eval-Après impact'!$A$774=BM11,COUNTA('Eval-Après impact'!$I$774),0),IF('Eval-Après impact'!$A$775=BM11,COUNTA('Eval-Après impact'!$I$775),0),IF('Eval-Après impact'!$A$776=BM11,COUNTA('Eval-Après impact'!$I$776),0),IF('Eval-Après impact'!$A$777=BM11,COUNTA('Eval-Après impact'!$I$777),0),IF('Eval-Après impact'!$A$778=BM11,COUNTA('Eval-Après impact'!$I$778),0),IF('Eval-Après impact'!$A$779=BM11,COUNTA('Eval-Après impact'!$I$779),0),IF('Eval-Après impact'!$A$780=BM11,COUNTA('Eval-Après impact'!$I$780),0))&gt;0,"X",0),"")</f>
        <v/>
      </c>
      <c r="BS11" s="213" t="str">
        <f>IF(COUNTIF('Eval-Après impact'!$A$761:$A$780,BM11)&gt;0,IF(SUM(IF('Eval-Après impact'!$A$761=BM11,COUNTA('Eval-Après impact'!$J$761),0),IF('Eval-Après impact'!$A$762=BM11,COUNTA('Eval-Après impact'!$J$762),0),IF('Eval-Après impact'!$A$763=BM11,COUNTA('Eval-Après impact'!$J$763),0),IF('Eval-Après impact'!$A$764=BM11,COUNTA('Eval-Après impact'!$J$764),0),IF('Eval-Après impact'!$A$765=BM11,COUNTA('Eval-Après impact'!$J$765),0),IF('Eval-Après impact'!$A$766=BM11,COUNTA('Eval-Après impact'!$J$766),0),IF('Eval-Après impact'!$A$767=BM11,COUNTA('Eval-Après impact'!$J$767),0),IF('Eval-Après impact'!$A$768=BM11,COUNTA('Eval-Après impact'!$J$768),0),IF('Eval-Après impact'!$A$769=BM11,COUNTA('Eval-Après impact'!$J$769),0),IF('Eval-Après impact'!$A$770=BM11,COUNTA('Eval-Après impact'!$J$770),0),IF('Eval-Après impact'!$A$771=BM11,COUNTA('Eval-Après impact'!$J$771),0),IF('Eval-Après impact'!$A$772=BM11,COUNTA('Eval-Après impact'!$J$772),0),IF('Eval-Après impact'!$A$773=BM11,COUNTA('Eval-Après impact'!$J$773),0),IF('Eval-Après impact'!$A$774=BM11,COUNTA('Eval-Après impact'!$J$774),0),IF('Eval-Après impact'!$A$775=BM11,COUNTA('Eval-Après impact'!$J$775),0),IF('Eval-Après impact'!$A$776=BM11,COUNTA('Eval-Après impact'!$J$776),0),IF('Eval-Après impact'!$A$777=BM11,COUNTA('Eval-Après impact'!$J$777),0),IF('Eval-Après impact'!$A$778=BM11,COUNTA('Eval-Après impact'!$J$778),0),IF('Eval-Après impact'!$A$779=BM11,COUNTA('Eval-Après impact'!$J$779),0),IF('Eval-Après impact'!$A$780=BM11,COUNTA('Eval-Après impact'!$J$780),0))&gt;0,"X",0),"")</f>
        <v/>
      </c>
      <c r="BT11" s="213" t="str">
        <f>IF(COUNTIF('Eval-Après impact'!$A$761:$A$780,BM11)&gt;0,IF(SUM(IF('Eval-Après impact'!$A$761=BM11,COUNTA('Eval-Après impact'!$K$761),0),IF('Eval-Après impact'!$A$762=BM11,COUNTA('Eval-Après impact'!$K$762),0),IF('Eval-Après impact'!$A$763=BM11,COUNTA('Eval-Après impact'!$K$763),0),IF('Eval-Après impact'!$A$764=BM11,COUNTA('Eval-Après impact'!$K$764),0),IF('Eval-Après impact'!$A$765=BM11,COUNTA('Eval-Après impact'!$K$765),0),IF('Eval-Après impact'!$A$766=BM11,COUNTA('Eval-Après impact'!$K$766),0),IF('Eval-Après impact'!$A$767=BM11,COUNTA('Eval-Après impact'!$K$767),0),IF('Eval-Après impact'!$A$768=BM11,COUNTA('Eval-Après impact'!$K$768),0),IF('Eval-Après impact'!$A$769=BM11,COUNTA('Eval-Après impact'!$K$769),0),IF('Eval-Après impact'!$A$770=BM11,COUNTA('Eval-Après impact'!$K$770),0),IF('Eval-Après impact'!$A$771=BM11,COUNTA('Eval-Après impact'!$K$771),0),IF('Eval-Après impact'!$A$772=BM11,COUNTA('Eval-Après impact'!$K$772),0),IF('Eval-Après impact'!$A$773=BM11,COUNTA('Eval-Après impact'!$K$773),0),IF('Eval-Après impact'!$A$774=BM11,COUNTA('Eval-Après impact'!$K$774),0),IF('Eval-Après impact'!$A$775=BM11,COUNTA('Eval-Après impact'!$K$775),0),IF('Eval-Après impact'!$A$776=BM11,COUNTA('Eval-Après impact'!$K$776),0),IF('Eval-Après impact'!$A$777=BM11,COUNTA('Eval-Après impact'!$K$777),0),IF('Eval-Après impact'!$A$778=BM11,COUNTA('Eval-Après impact'!$K$778),0),IF('Eval-Après impact'!$A$779=BM11,COUNTA('Eval-Après impact'!$K$779),0),IF('Eval-Après impact'!$A$780=BM11,COUNTA('Eval-Après impact'!$K$780),0))&gt;0,"X",0),"")</f>
        <v/>
      </c>
      <c r="BU11" s="211" t="str">
        <f>IF(COUNTIF('Eval-Après impact'!$A$761:$A$780,BM11)&gt;0,IF(OR(AND('Eval-Après impact'!$A$761=BM11,'Eval-Après impact'!$L$761&lt;120,'Eval-Après impact'!$L$761&gt;=CJ9),AND('Eval-Après impact'!$A$762=BM11,'Eval-Après impact'!$L$762&lt;120,'Eval-Après impact'!$L$762&gt;=CJ10),AND('Eval-Après impact'!$A$763=BM11,'Eval-Après impact'!$L$763&lt;120,'Eval-Après impact'!$L$763&gt;=CJ11),AND('Eval-Après impact'!$A$764=BM11,'Eval-Après impact'!$L$764&lt;120,'Eval-Après impact'!$L$764&gt;=CJ12),AND('Eval-Après impact'!$A$765=BM11,'Eval-Après impact'!$L$765&lt;120,'Eval-Après impact'!$L$765&gt;=CJ13),AND('Eval-Après impact'!$A$766=BM11,'Eval-Après impact'!$L$766&lt;120,'Eval-Après impact'!$L$766&gt;=CJ14),AND('Eval-Après impact'!$A$767=BM11,'Eval-Après impact'!$L$767&lt;120,'Eval-Après impact'!$L$767&gt;=CJ15),AND('Eval-Après impact'!$A$768=BM11,'Eval-Après impact'!$L$768&lt;120,'Eval-Après impact'!$L$768&gt;=CJ16),AND('Eval-Après impact'!$A$769=BM11,'Eval-Après impact'!$L$769&lt;120,'Eval-Après impact'!$L$769&gt;=CJ17),AND('Eval-Après impact'!$A$770=BM11,'Eval-Après impact'!$L$770&lt;120,'Eval-Après impact'!$L$770&gt;=CJ18),AND('Eval-Après impact'!$A$771=BM11,'Eval-Après impact'!$L$771&lt;120,'Eval-Après impact'!$L$771&gt;=CJ19),AND('Eval-Après impact'!$A$772=BM11,'Eval-Après impact'!$L$772&lt;120,'Eval-Après impact'!$L$772&gt;=CJ20),AND('Eval-Après impact'!$A$773=BM11,'Eval-Après impact'!$L$773&lt;120,'Eval-Après impact'!$L$773&gt;=CJ21),AND('Eval-Après impact'!$A$774=BM11,'Eval-Après impact'!$L$774&lt;120,'Eval-Après impact'!$L$774&gt;=CJ22),AND('Eval-Après impact'!$A$775=BM11,'Eval-Après impact'!$L$775&lt;120,'Eval-Après impact'!$L$775&gt;=CJ23),AND('Eval-Après impact'!$A$776=BM11,'Eval-Après impact'!$L$776&lt;120,'Eval-Après impact'!$L$776&gt;=CJ24),AND('Eval-Après impact'!$A$777=BM11,'Eval-Après impact'!$L$777&lt;120,'Eval-Après impact'!$L$777&gt;=CJ25),AND('Eval-Après impact'!$A$778=BM11,'Eval-Après impact'!$L$778&lt;120,'Eval-Après impact'!$L$778&gt;=CJ26),AND('Eval-Après impact'!$A$779=BM11,'Eval-Après impact'!$L$779&lt;120,'Eval-Après impact'!$L$779&gt;=CJ27),AND('Eval-Après impact'!$A$780=BM11,'Eval-Après impact'!$L$780&lt;120,'Eval-Après impact'!$L$780&gt;=CJ28)),"",SUM(IF('Eval-Après impact'!$A$761=BM11,'Eval-Après impact'!$L$761,0),IF('Eval-Après impact'!$A$762=BM11,'Eval-Après impact'!$L$762,0),IF('Eval-Après impact'!$A$763=BM11,'Eval-Après impact'!$L$763,0),IF('Eval-Après impact'!$A$764=BM11,'Eval-Après impact'!$L$764,0),IF('Eval-Après impact'!$A$765=BM11,'Eval-Après impact'!$L$765,0),IF('Eval-Après impact'!$A$766=BM11,'Eval-Après impact'!$L$766,0),IF('Eval-Après impact'!$A$767=BM11,'Eval-Après impact'!$L$767,0),IF('Eval-Après impact'!$A$768=BM11,'Eval-Après impact'!$L$768,0),IF('Eval-Après impact'!$A$769=BM11,'Eval-Après impact'!$L$769,0),IF('Eval-Après impact'!$A$770=BM11,'Eval-Après impact'!$L$770,0),IF('Eval-Après impact'!$A$771=BM11,'Eval-Après impact'!$L$771,0),IF('Eval-Après impact'!$A$772=BM11,'Eval-Après impact'!$L$772,0),IF('Eval-Après impact'!$A$773=BM11,'Eval-Après impact'!$L$773,0),IF('Eval-Après impact'!$A$774=BM11,'Eval-Après impact'!$L$774,0),IF('Eval-Après impact'!$A$775=BM11,'Eval-Après impact'!$L$775,0),IF('Eval-Après impact'!$A$776=BM11,'Eval-Après impact'!$L$776,0),IF('Eval-Après impact'!$A$777=BM11,'Eval-Après impact'!$L$777,0),IF('Eval-Après impact'!$A$778=BM11,'Eval-Après impact'!$L$778,0),IF('Eval-Après impact'!$A$779=BM11,'Eval-Après impact'!$L$779,0),IF('Eval-Après impact'!$A$780=BM11,'Eval-Après impact'!$L$780,0))/ COUNTIF('Eval-Après impact'!$A$761:$A$780,BM11)),"")</f>
        <v/>
      </c>
      <c r="BV11" s="211" t="str">
        <f>IF(COUNTIF('Eval-Après impact'!$A$761:$A$780,BM11)&gt;0,IF(OR(AND('Eval-Après impact'!$A$761=BM11, CJ9&lt;120),AND(CJ10&lt;120),AND(CJ11&lt;120),AND(CJ12&lt;120),AND(CJ13&lt;120),AND(CJ14&lt;120),AND(CJ15&lt;120),AND(CJ16&lt;120),AND(CJ17&lt;120),AND(CJ18&lt;120),AND(CJ19&lt;120),AND(CJ20&lt;120),AND(CJ21&lt;120),AND(CJ22&lt;120),AND(CJ23&lt;120),AND(CJ24&lt;120),AND(CJ25&lt;120),AND(CJ26&lt;120),AND(CJ27&lt;120),AND(CJ28&lt;120)),"",SUM(IF('Eval-Après impact'!$A$761=BM11,'Eval-Après impact'!$M$761,0),IF('Eval-Après impact'!$A$762=BM11,'Eval-Après impact'!$M$762,0),IF('Eval-Après impact'!$A$763=BM11,'Eval-Après impact'!$M$763,0),IF('Eval-Après impact'!$A$764=BM11,'Eval-Après impact'!$M$764,0),IF('Eval-Après impact'!$A$765=BM11,'Eval-Après impact'!$M$765,0),IF('Eval-Après impact'!$A$766=BM11,'Eval-Après impact'!$M$766,0),IF('Eval-Après impact'!$A$767=BM11,'Eval-Après impact'!$M$767,0),IF('Eval-Après impact'!$A$768=BM11,'Eval-Après impact'!$M$768,0),IF('Eval-Après impact'!$A$769=BM11,'Eval-Après impact'!$M$769,0),IF('Eval-Après impact'!$A$770=BM11,'Eval-Après impact'!$M$770,0),IF('Eval-Après impact'!$A$771=BM11,'Eval-Après impact'!$M$771,0),IF('Eval-Après impact'!$A$772=BM11,'Eval-Après impact'!$M$772,0),IF('Eval-Après impact'!$A$773=BM11,'Eval-Après impact'!$M$773,0),IF('Eval-Après impact'!$A$774=BM11,'Eval-Après impact'!$M$774,0),IF('Eval-Après impact'!$A$775=BM11,'Eval-Après impact'!$M$775,0), IF('Eval-Après impact'!$A$776=BM11,'Eval-Après impact'!$M$776,0), IF('Eval-Après impact'!$A$777=BM11,'Eval-Après impact'!$M$777,0), IF('Eval-Après impact'!$A$778=BM11,'Eval-Après impact'!$M$778,0), IF('Eval-Après impact'!$A$779=BM11,'Eval-Après impact'!$M$779,0), IF('Eval-Après impact'!$A$780=BM11,'Eval-Après impact'!$M$780,0))/COUNTIF('Eval-Après impact'!$A$761:$A$780,BM11)),"")</f>
        <v/>
      </c>
      <c r="BW11" s="211" t="str">
        <f>IF(COUNTIF('Eval-Après impact'!$A$761:$A$780,BM11)&gt;0,SUM(IF('Eval-Après impact'!$A$761=BM11,LEN(SUBSTITUTE((SUBSTITUTE(CL9,"TM","")),"TS",""))*10/2,0),IF('Eval-Après impact'!$A$762=BM11,LEN(SUBSTITUTE((SUBSTITUTE(CL10,"TM","")),"TS",""))*10/2,0),IF('Eval-Après impact'!$A$763=BM11,LEN(SUBSTITUTE((SUBSTITUTE(CL11,"TM","")),"TS",""))*10/2,0),IF('Eval-Après impact'!$A$764=BM11,LEN(SUBSTITUTE((SUBSTITUTE(CL12,"TM","")),"TS",""))*10/2,0),IF('Eval-Après impact'!$A$765=BM11,LEN(SUBSTITUTE((SUBSTITUTE(CL13,"TM","")),"TS",""))*10/2,0),IF('Eval-Après impact'!$A$766=BM11,LEN(SUBSTITUTE((SUBSTITUTE(CL14,"TM","")),"TS",""))*10/2,0),IF('Eval-Après impact'!$A$767=BM11,LEN(SUBSTITUTE((SUBSTITUTE(CL15,"TM","")),"TS",""))*10/2,0),IF('Eval-Après impact'!$A$768=BM11,LEN(SUBSTITUTE((SUBSTITUTE(CL16,"TM","")),"TS",""))*10/2,0),IF('Eval-Après impact'!$A$769=BM11,LEN(SUBSTITUTE((SUBSTITUTE(CL17,"TM","")),"TS",""))*10/2,0),IF('Eval-Après impact'!$A$770=BM11,LEN(SUBSTITUTE((SUBSTITUTE(CL18,"TM","")),"TS",""))*10/2,0),IF('Eval-Après impact'!$A$771=BM11,LEN(SUBSTITUTE((SUBSTITUTE(CL19,"TM","")),"TS",""))*10/2,0),IF('Eval-Après impact'!$A$772=BM11,LEN(SUBSTITUTE((SUBSTITUTE(CL20,"TM","")),"TS",""))*10/2,0),IF('Eval-Après impact'!$A$773=BM11,LEN(SUBSTITUTE((SUBSTITUTE(CL21,"TM","")),"TS",""))*10/2,0),IF('Eval-Après impact'!$A$774=BM11,LEN(SUBSTITUTE((SUBSTITUTE(CL22,"TM","")),"TS",""))*10/2,0),IF('Eval-Après impact'!$A$775=BM11,LEN(SUBSTITUTE((SUBSTITUTE(CL23,"TM","")),"TS",""))*10/2,0),IF('Eval-Après impact'!$A$776=BM11,LEN(SUBSTITUTE((SUBSTITUTE(CL24,"TM","")),"TS",""))*10/2,0),IF('Eval-Après impact'!$A$777=BM11,LEN(SUBSTITUTE((SUBSTITUTE(CL25,"TM","")),"TS",""))*10/2,0),IF('Eval-Après impact'!$A$778=BM11,LEN(SUBSTITUTE((SUBSTITUTE(CL26,"TM","")),"TS",""))*10/2,0),IF('Eval-Après impact'!$A$779=BM11,LEN(SUBSTITUTE((SUBSTITUTE(CL27,"TM","")),"TS",""))*10/2,0),IF('Eval-Après impact'!$A$780=BM11,LEN(SUBSTITUTE((SUBSTITUTE(CL28,"TM","")),"TS",""))*10/2,0))/COUNTIF('Eval-Après impact'!$A$761:$A$780,BM11),"")</f>
        <v/>
      </c>
      <c r="BX11" s="211" t="str">
        <f>IF(COUNTIF('Eval-Après impact'!$A$761:$A$780,BM11)&gt;0,SUM(IF('Eval-Après impact'!$A$761=BM11,LEN(SUBSTITUTE((SUBSTITUTE(CL9,"TF","")),"TS",""))*10/2,0),IF('Eval-Après impact'!$A$762=BM11,LEN(SUBSTITUTE((SUBSTITUTE(CL10,"TF","")),"TS",""))*10/2,0),IF('Eval-Après impact'!$A$763=BM11,LEN(SUBSTITUTE((SUBSTITUTE(CL11,"TF","")),"TS",""))*10/2,0),IF('Eval-Après impact'!$A$764=BM11,LEN(SUBSTITUTE((SUBSTITUTE(CL12,"TF","")),"TS",""))*10/2,0),IF('Eval-Après impact'!$A$765=BM11,LEN(SUBSTITUTE((SUBSTITUTE(CL13,"TF","")),"TS",""))*10/2,0),IF('Eval-Après impact'!$A$766=BM11,LEN(SUBSTITUTE((SUBSTITUTE(CL14,"TF","")),"TS",""))*10/2,0),IF('Eval-Après impact'!$A$767=BM11,LEN(SUBSTITUTE((SUBSTITUTE(CL15,"TF","")),"TS",""))*10/2,0),IF('Eval-Après impact'!$A$768=BM11,LEN(SUBSTITUTE((SUBSTITUTE(CL16,"TF","")),"TS",""))*10/2,0),IF('Eval-Après impact'!$A$769=BM11,LEN(SUBSTITUTE((SUBSTITUTE(CL17,"TF","")),"TS",""))*10/2,0),IF('Eval-Après impact'!$A$770=BM11,LEN(SUBSTITUTE((SUBSTITUTE(CL18,"TF","")),"TS",""))*10/2,0),IF('Eval-Après impact'!$A$771=BM11,LEN(SUBSTITUTE((SUBSTITUTE(CL19,"TF","")),"TS",""))*10/2,0),IF('Eval-Après impact'!$A$772=BM11,LEN(SUBSTITUTE((SUBSTITUTE(CL20,"TF","")),"TS",""))*10/2,0),IF('Eval-Après impact'!$A$773=BM11,LEN(SUBSTITUTE((SUBSTITUTE(CL21,"TF","")),"TS",""))*10/2,0),IF('Eval-Après impact'!$A$774=BM11,LEN(SUBSTITUTE((SUBSTITUTE(CL22,"TF","")),"TS",""))*10/2,0),IF('Eval-Après impact'!$A$775=BM11,LEN(SUBSTITUTE((SUBSTITUTE(CL23,"TF","")),"TS",""))*10/2,0),IF('Eval-Après impact'!$A$776=BM11,LEN(SUBSTITUTE((SUBSTITUTE(CL24,"TF","")),"TS",""))*10/2,0),IF('Eval-Après impact'!$A$777=BM11,LEN(SUBSTITUTE((SUBSTITUTE(CL25,"TF","")),"TS",""))*10/2,0),IF('Eval-Après impact'!$A$778=BM11,LEN(SUBSTITUTE((SUBSTITUTE(CL26,"TF","")),"TS",""))*10/2,0),IF('Eval-Après impact'!$A$779=BM11,LEN(SUBSTITUTE((SUBSTITUTE(CL27,"TF","")),"TS",""))*10/2,0),IF('Eval-Après impact'!$A$780=BM11,LEN(SUBSTITUTE((SUBSTITUTE(CL28,"TF","")),"TS",""))*10/2,0))/COUNTIF('Eval-Après impact'!$A$761:$A$780,BM11),"")</f>
        <v/>
      </c>
      <c r="BY11" s="211" t="str">
        <f>IF(COUNTIF('Eval-Après impact'!$A$761:$A$780,BM11)&gt;0,SUM(IF('Eval-Après impact'!$A$761=BM11,LEN(SUBSTITUTE((SUBSTITUTE(CL9,"TF","")),"TM",""))*10/2,0),IF('Eval-Après impact'!$A$762=BM11,LEN(SUBSTITUTE((SUBSTITUTE(CL10,"TF","")),"TM",""))*10/2,0),IF('Eval-Après impact'!$A$763=BM11,LEN(SUBSTITUTE((SUBSTITUTE(CL11,"TF","")),"TM",""))*10/2,0),IF('Eval-Après impact'!$A$764=BM11,LEN(SUBSTITUTE((SUBSTITUTE(CL12,"TF","")),"TM",""))*10/2,0),IF('Eval-Après impact'!$A$765=BM11,LEN(SUBSTITUTE((SUBSTITUTE(CL13,"TF","")),"TM",""))*10/2,0),IF('Eval-Après impact'!$A$766=BM11,LEN(SUBSTITUTE((SUBSTITUTE(CL14,"TF","")),"TM",""))*10/2,0),IF('Eval-Après impact'!$A$767=BM11,LEN(SUBSTITUTE((SUBSTITUTE(CL15,"TF","")),"TM",""))*10/2,0),IF('Eval-Après impact'!$A$768=BM11,LEN(SUBSTITUTE((SUBSTITUTE(CL16,"TF","")),"TM",""))*10/2,0),IF('Eval-Après impact'!$A$769=BM11,LEN(SUBSTITUTE((SUBSTITUTE(CL17,"TF","")),"TM",""))*10/2,0),IF('Eval-Après impact'!$A$770=BM11,LEN(SUBSTITUTE((SUBSTITUTE(CL18,"TF","")),"TM",""))*10/2,0),IF('Eval-Après impact'!$A$771=BM11,LEN(SUBSTITUTE((SUBSTITUTE(CL19,"TF","")),"TM",""))*10/2,0),IF('Eval-Après impact'!$A$772=BM11,LEN(SUBSTITUTE((SUBSTITUTE(CL20,"TF","")),"TM",""))*10/2,0),IF('Eval-Après impact'!$A$773=BM11,LEN(SUBSTITUTE((SUBSTITUTE(CL21,"TF","")),"TM",""))*10/2,0),IF('Eval-Après impact'!$A$774=BM11,LEN(SUBSTITUTE((SUBSTITUTE(CL22,"TF","")),"TM",""))*10/2,0),IF('Eval-Après impact'!$A$775=BM11,LEN(SUBSTITUTE((SUBSTITUTE(CL23,"TF","")),"TM",""))*10/2,0),IF('Eval-Après impact'!$A$776=BM11,LEN(SUBSTITUTE((SUBSTITUTE(CL24,"TF","")),"TM",""))*10/2,0),IF('Eval-Après impact'!$A$777=BM11,LEN(SUBSTITUTE((SUBSTITUTE(CL25,"TF","")),"TM",""))*10/2,0),IF('Eval-Après impact'!$A$778=BM11,LEN(SUBSTITUTE((SUBSTITUTE(CL26,"TF","")),"TM",""))*10/2,0),IF('Eval-Après impact'!$A$779=BM11,LEN(SUBSTITUTE((SUBSTITUTE(CL27,"TF","")),"TM",""))*10/2,0),IF('Eval-Après impact'!$A$780=BM11,LEN(SUBSTITUTE((SUBSTITUTE(CL28,"TF","")),"TM",""))*10/2,0))/COUNTIF('Eval-Après impact'!$A$761:$A$780,BM11),"")</f>
        <v/>
      </c>
      <c r="BZ11" s="211" t="str">
        <f>IF(COUNTIF('Eval-Après impact'!$A$761:$A$780,BM11)&gt;0,SUM(IF('Eval-Après impact'!$A$761=BM11,LEN(SUBSTITUTE((SUBSTITUTE(CM9,"TM","")),"TS",""))*10/2,0),IF('Eval-Après impact'!$A$762=BM11,LEN(SUBSTITUTE((SUBSTITUTE(CM10,"TM","")),"TS",""))*10/2,0),IF('Eval-Après impact'!$A$763=BM11,LEN(SUBSTITUTE((SUBSTITUTE(CM11,"TM","")),"TS",""))*10/2,0),IF('Eval-Après impact'!$A$764=BM11,LEN(SUBSTITUTE((SUBSTITUTE(CM12,"TM","")),"TS",""))*10/2,0),IF('Eval-Après impact'!$A$765=BM11,LEN(SUBSTITUTE((SUBSTITUTE(CM13,"TM","")),"TS",""))*10/2,0),IF('Eval-Après impact'!$A$766=BM11,LEN(SUBSTITUTE((SUBSTITUTE(CM14,"TM","")),"TS",""))*10/2,0),IF('Eval-Après impact'!$A$767=BM11,LEN(SUBSTITUTE((SUBSTITUTE(CM15,"TM","")),"TS",""))*10/2,0),IF('Eval-Après impact'!$A$768=BM11,LEN(SUBSTITUTE((SUBSTITUTE(CM16,"TM","")),"TS",""))*10/2,0),IF('Eval-Après impact'!$A$769=BM11,LEN(SUBSTITUTE((SUBSTITUTE(CM17,"TM","")),"TS",""))*10/2,0),IF('Eval-Après impact'!$A$770=BM11,LEN(SUBSTITUTE((SUBSTITUTE(CM18,"TM","")),"TS",""))*10/2,0),IF('Eval-Après impact'!$A$771=BM11,LEN(SUBSTITUTE((SUBSTITUTE(CM19,"TM","")),"TS",""))*10/2,0),IF('Eval-Après impact'!$A$772=BM11,LEN(SUBSTITUTE((SUBSTITUTE(CM20,"TM","")),"TS",""))*10/2,0),IF('Eval-Après impact'!$A$773=BM11,LEN(SUBSTITUTE((SUBSTITUTE(CM21,"TM","")),"TS",""))*10/2,0),IF('Eval-Après impact'!$A$774=BM11,LEN(SUBSTITUTE((SUBSTITUTE(CM22,"TM","")),"TS",""))*10/2,0),IF('Eval-Après impact'!$A$775=BM11,LEN(SUBSTITUTE((SUBSTITUTE(CM23,"TM","")),"TS",""))*10/2,0),IF('Eval-Après impact'!$A$776=BM11,LEN(SUBSTITUTE((SUBSTITUTE(CM24,"TM","")),"TS",""))*10/2,0),IF('Eval-Après impact'!$A$777=BM11,LEN(SUBSTITUTE((SUBSTITUTE(CM25,"TM","")),"TS",""))*10/2,0),IF('Eval-Après impact'!$A$778=BM11,LEN(SUBSTITUTE((SUBSTITUTE(CM26,"TM","")),"TS",""))*10/2,0),IF('Eval-Après impact'!$A$779=BM11,LEN(SUBSTITUTE((SUBSTITUTE(CM27,"TM","")),"TS",""))*10/2,0),IF('Eval-Après impact'!$A$780=BM11,LEN(SUBSTITUTE((SUBSTITUTE(CM28,"TM","")),"TS",""))*10/2,0))/COUNTIF('Eval-Après impact'!$A$761:$A$780,BM11),"")</f>
        <v/>
      </c>
      <c r="CA11" s="211" t="str">
        <f>IF(COUNTIF('Eval-Après impact'!$A$761:$A$780,BM11)&gt;0,SUM(IF('Eval-Après impact'!$A$761=BM11,LEN(SUBSTITUTE((SUBSTITUTE(CM9,"TF","")),"TS",""))*10/2,0),IF('Eval-Après impact'!$A$762=BM11,LEN(SUBSTITUTE((SUBSTITUTE(CM10,"TF","")),"TS",""))*10/2,0),IF('Eval-Après impact'!$A$763=BM11,LEN(SUBSTITUTE((SUBSTITUTE(CM11,"TF","")),"TS",""))*10/2,0),IF('Eval-Après impact'!$A$764=BM11,LEN(SUBSTITUTE((SUBSTITUTE(CM12,"TF","")),"TS",""))*10/2,0),IF('Eval-Après impact'!$A$765=BM11,LEN(SUBSTITUTE((SUBSTITUTE(CM13,"TF","")),"TS",""))*10/2,0),IF('Eval-Après impact'!$A$766=BM11,LEN(SUBSTITUTE((SUBSTITUTE(CM14,"TF","")),"TS",""))*10/2,0),IF('Eval-Après impact'!$A$767=BM11,LEN(SUBSTITUTE((SUBSTITUTE(CM15,"TF","")),"TS",""))*10/2,0),IF('Eval-Après impact'!$A$768=BM11,LEN(SUBSTITUTE((SUBSTITUTE(CM16,"TF","")),"TS",""))*10/2,0),IF('Eval-Après impact'!$A$769=BM11,LEN(SUBSTITUTE((SUBSTITUTE(CM17,"TF","")),"TS",""))*10/2,0),IF('Eval-Après impact'!$A$770=BM11,LEN(SUBSTITUTE((SUBSTITUTE(CM18,"TF","")),"TS",""))*10/2,0),IF('Eval-Après impact'!$A$771=BM11,LEN(SUBSTITUTE((SUBSTITUTE(CM19,"TF","")),"TS",""))*10/2,0),IF('Eval-Après impact'!$A$772=BM11,LEN(SUBSTITUTE((SUBSTITUTE(CM20,"TF","")),"TS",""))*10/2,0),IF('Eval-Après impact'!$A$773=BM11,LEN(SUBSTITUTE((SUBSTITUTE(CM21,"TF","")),"TS",""))*10/2,0),IF('Eval-Après impact'!$A$774=BM11,LEN(SUBSTITUTE((SUBSTITUTE(CM22,"TF","")),"TS",""))*10/2,0),IF('Eval-Après impact'!$A$775=BM11,LEN(SUBSTITUTE((SUBSTITUTE(CM23,"TF","")),"TS",""))*10/2,0),IF('Eval-Après impact'!$A$776=BM11,LEN(SUBSTITUTE((SUBSTITUTE(CM24,"TF","")),"TS",""))*10/2,0),IF('Eval-Après impact'!$A$777=BM11,LEN(SUBSTITUTE((SUBSTITUTE(CM25,"TF","")),"TS",""))*10/2,0),IF('Eval-Après impact'!$A$778=BM11,LEN(SUBSTITUTE((SUBSTITUTE(CM26,"TF","")),"TS",""))*10/2,0),IF('Eval-Après impact'!$A$779=BM11,LEN(SUBSTITUTE((SUBSTITUTE(CM27,"TF","")),"TS",""))*10/2,0),IF('Eval-Après impact'!$A$780=BM11,LEN(SUBSTITUTE((SUBSTITUTE(CM28,"TF","")),"TS",""))*10/2,0))/COUNTIF('Eval-Après impact'!$A$761:$A$780,BM11),"")</f>
        <v/>
      </c>
      <c r="CB11" s="211" t="str">
        <f>IF(COUNTIF('Eval-Après impact'!$A$761:$A$780,BM11)&gt;0,SUM(IF('Eval-Après impact'!$A$761=BM11,LEN(SUBSTITUTE((SUBSTITUTE(CM9,"TF","")),"TM",""))*10/2,0),IF('Eval-Après impact'!$A$762=BM11,LEN(SUBSTITUTE((SUBSTITUTE(CM10,"TF","")),"TM",""))*10/2,0),IF('Eval-Après impact'!$A$763=BM11,LEN(SUBSTITUTE((SUBSTITUTE(CM11,"TF","")),"TM",""))*10/2,0),IF('Eval-Après impact'!$A$764=BM11,LEN(SUBSTITUTE((SUBSTITUTE(CM12,"TF","")),"TM",""))*10/2,0),IF('Eval-Après impact'!$A$765=BM11,LEN(SUBSTITUTE((SUBSTITUTE(CM13,"TF","")),"TM",""))*10/2,0),IF('Eval-Après impact'!$A$766=BM11,LEN(SUBSTITUTE((SUBSTITUTE(CM14,"TF","")),"TM",""))*10/2,0),IF('Eval-Après impact'!$A$767=BM11,LEN(SUBSTITUTE((SUBSTITUTE(CM15,"TF","")),"TM",""))*10/2,0),IF('Eval-Après impact'!$A$768=BM11,LEN(SUBSTITUTE((SUBSTITUTE(CM16,"TF","")),"TM",""))*10/2,0),IF('Eval-Après impact'!$A$769=BM11,LEN(SUBSTITUTE((SUBSTITUTE(CM17,"TF","")),"TM",""))*10/2,0),IF('Eval-Après impact'!$A$770=BM11,LEN(SUBSTITUTE((SUBSTITUTE(CM18,"TF","")),"TM",""))*10/2,0),IF('Eval-Après impact'!$A$771=BM11,LEN(SUBSTITUTE((SUBSTITUTE(CM19,"TF","")),"TM",""))*10/2,0),IF('Eval-Après impact'!$A$772=BM11,LEN(SUBSTITUTE((SUBSTITUTE(CM20,"TF","")),"TM",""))*10/2,0),IF('Eval-Après impact'!$A$773=BM11,LEN(SUBSTITUTE((SUBSTITUTE(CM21,"TF","")),"TM",""))*10/2,0),IF('Eval-Après impact'!$A$774=BM11,LEN(SUBSTITUTE((SUBSTITUTE(CM22,"TF","")),"TM",""))*10/2,0),IF('Eval-Après impact'!$A$775=BM11,LEN(SUBSTITUTE((SUBSTITUTE(CM23,"TF","")),"TM",""))*10/2,0),IF('Eval-Après impact'!$A$776=BM11,LEN(SUBSTITUTE((SUBSTITUTE(CM24,"TF","")),"TM",""))*10/2,0),IF('Eval-Après impact'!$A$777=BM11,LEN(SUBSTITUTE((SUBSTITUTE(CM25,"TF","")),"TM",""))*10/2,0),IF('Eval-Après impact'!$A$778=BM11,LEN(SUBSTITUTE((SUBSTITUTE(CM26,"TF","")),"TM",""))*10/2,0),IF('Eval-Après impact'!$A$779=BM11,LEN(SUBSTITUTE((SUBSTITUTE(CM27,"TF","")),"TM",""))*10/2,0),IF('Eval-Après impact'!$A$780=BM11,LEN(SUBSTITUTE((SUBSTITUTE(CM28,"TF","")),"TM",""))*10/2,0))/COUNTIF('Eval-Après impact'!$A$761:$A$780,BM11),"")</f>
        <v/>
      </c>
      <c r="CC11" s="211" t="str">
        <f>IF(COUNTIF('Eval-Après impact'!$A$761:$A$780,BM11)&gt;0,IF(OR(AND('Eval-Après impact'!$A$761=BM11,CJ9&lt;30),AND('Eval-Après impact'!$A$762=BM11,CJ10&lt;30),AND('Eval-Après impact'!$A$763=BM11,CJ11&lt;30),AND('Eval-Après impact'!$A$764=BM11,CJ12&lt;30),AND('Eval-Après impact'!$A$765=BM11,CJ13&lt;30),AND('Eval-Après impact'!$A$766=BM11,CJ14&lt;30),AND('Eval-Après impact'!$A$767=BM11,CJ15&lt;30),AND('Eval-Après impact'!$A$768=BM11,CJ16&lt;30),AND('Eval-Après impact'!$A$769=BM11,CJ17&lt;30),AND('Eval-Après impact'!$A$770=BM11,CJ18&lt;30),AND('Eval-Après impact'!$A$771=BM11,CJ19&lt;30),AND('Eval-Après impact'!$A$772=BM11,CJ20&lt;30),AND('Eval-Après impact'!$A$773=BM11,CJ21&lt;30),AND('Eval-Après impact'!$A$774=BM11,CJ22&lt;30),AND('Eval-Après impact'!$A$775=BM11,CJ23&lt;30),AND('Eval-Après impact'!$A$776=BM11,CJ24&lt;30),AND('Eval-Après impact'!$A$777=BM11,CJ25&lt;30),AND('Eval-Après impact'!$A$778=BM11,CJ26&lt;30),AND('Eval-Après impact'!$A$779=BM11,CJ27&lt;30),AND('Eval-Après impact'!$A$780=BM11,CJ28&lt;30)),"",SUM(0.1*(SUMPRODUCT(('Eval-Après impact'!$A$761:$A$780=BM11)*('Eval-Après impact'!$N$761:$P$780="A"))+ SUMPRODUCT(('Eval-Après impact'!$A$761:$A$780=BM11)*('Eval-Après impact'!$N$761:$P$780="AL"))),0.7*(SUMPRODUCT(('Eval-Après impact'!$A$761:$A$780=BM11)*('Eval-Après impact'!$N$761:$P$780="TF"))+SUMPRODUCT(('Eval-Après impact'!$A$761:$A$780=BM11)*('Eval-Après impact'!$N$761:$P$780="TM"))+SUMPRODUCT(('Eval-Après impact'!$A$761:$A$780=BM11)*('Eval-Après impact'!$N$761:$P$780="TS"))),0.4*(SUMPRODUCT(('Eval-Après impact'!$A$761:$A$780=BM11)*('Eval-Après impact'!$N$761:$P$780="LA"))+SUMPRODUCT(('Eval-Après impact'!$A$761:$A$780=BM11)*('Eval-Après impact'!$N$761:$P$780="L"))+SUMPRODUCT(('Eval-Après impact'!$A$761:$A$780=BM11)*('Eval-Après impact'!$N$761:$P$780="LS"))),1*(SUMPRODUCT(('Eval-Après impact'!$A$761:$A$780=BM11)*('Eval-Après impact'!$N$761:$P$780="SL"))+ SUMPRODUCT(('Eval-Après impact'!$A$761:$A$780=BM11)*('Eval-Après impact'!$N$761:$P$780="S"))))/(3*COUNTIF('Eval-Après impact'!$A$761:$A$780,BM11))),"")</f>
        <v/>
      </c>
      <c r="CD11" s="211" t="str">
        <f>IF(COUNTIF('Eval-Après impact'!$A$761:$A$780,BM11)&gt;0,IF(OR(AND('Eval-Après impact'!$A$761=BM11,CJ9&lt;120),AND('Eval-Après impact'!$A$762=BM11,CJ10&lt;120),AND('Eval-Après impact'!$A$763=BM11,CJ11&lt;120),AND('Eval-Après impact'!$A$764=BM11,CJ12&lt;120),AND('Eval-Après impact'!$A$765=BM11,CJ13&lt;120),AND('Eval-Après impact'!$A$766=BM11,CJ14&lt;120),AND('Eval-Après impact'!$A$767=BM11,CJ15&lt;120),AND('Eval-Après impact'!$A$768=BM11,CJ16&lt;120),AND('Eval-Après impact'!$A$769=BM11,CJ17&lt;120),AND('Eval-Après impact'!$A$770=BM11,CJ18&lt;120),AND('Eval-Après impact'!$A$771=BM11,CJ19&lt;120),AND('Eval-Après impact'!$A$772=BM11,CJ20&lt;120),AND('Eval-Après impact'!$A$773=BM11,CJ21&lt;120),AND('Eval-Après impact'!$A$774=BM11,CJ22&lt;120),AND('Eval-Après impact'!$A$775=BM11,CJ23&lt;120),AND('Eval-Après impact'!$A$776=BM11,CJ24&lt;120),AND('Eval-Après impact'!$A$777=BM11,CJ25&lt;120),AND('Eval-Après impact'!$A$778=BM11,CJ26&lt;120),AND('Eval-Après impact'!$A$779=BM11,CJ27&lt;120),AND('Eval-Après impact'!$A$780=BM11,CJ28&lt;120)),"",SUM(0.1*(SUMPRODUCT(('Eval-Après impact'!$A$761:$A$780=BM11)*('Eval-Après impact'!$Q$761:$Y$780="A"))+ SUMPRODUCT(('Eval-Après impact'!$A$761:$A$780=BM11)*('Eval-Après impact'!$Q$761:$Y$780="AL"))),0.7*(SUMPRODUCT(('Eval-Après impact'!$A$761:$A$780=BM11)*('Eval-Après impact'!$Q$761:$Y$780="TF"))+SUMPRODUCT(('Eval-Après impact'!$A$761:$A$780=BM11)*('Eval-Après impact'!$Q$761:$Y$780="TM"))+SUMPRODUCT(('Eval-Après impact'!$A$761:$A$780=BM11)*('Eval-Après impact'!$Q$761:$Y$780="TS"))),0.4*(SUMPRODUCT(('Eval-Après impact'!$A$761:$A$780=BM11)*('Eval-Après impact'!$Q$761:$Y$780="LA"))+SUMPRODUCT(('Eval-Après impact'!$A$761:$A$780=BM11)*('Eval-Après impact'!$Q$761:$Y$780="L"))+SUMPRODUCT(('Eval-Après impact'!$A$761:$A$780=BM11)*('Eval-Après impact'!$Q$761:$Y$780="LS"))),1*(SUMPRODUCT(('Eval-Après impact'!$A$761:$A$780=BM11)*('Eval-Après impact'!$Q$761:$Y$780="SL"))+ SUMPRODUCT(('Eval-Après impact'!$A$761:$A$780=BM11)*('Eval-Après impact'!$Q$761:$Y$780="S"))))/(9*COUNTIF('Eval-Après impact'!$A$761:$A$780,BM11))),"")</f>
        <v/>
      </c>
      <c r="CE11" s="211" t="str">
        <f>IF(COUNTIF('Eval-Après impact'!$A$761:$A$780,BM11)&gt;0,IF(OR(AND('Eval-Après impact'!$A$761=BM11,OR(COUNTIF('Eval-Après impact'!$N$761:$P$761,"*T*")&gt;0,CJ9&lt;30)),AND('Eval-Après impact'!$A$762=BM11,OR(COUNTIF('Eval-Après impact'!$N$762:$P$762,"*T*")&gt;0,CJ10&lt;30)),AND('Eval-Après impact'!$A$763=BM11,OR(COUNTIF('Eval-Après impact'!$N$763:$P$763,"*T*")&gt;0,CJ11&lt;30)),AND('Eval-Après impact'!$A$764=BM11,OR(COUNTIF('Eval-Après impact'!$N$764:$P$764,"*T*")&gt;0,CJ12&lt;30)),AND('Eval-Après impact'!$A$765=BM11,OR(COUNTIF('Eval-Après impact'!$N$765:$P$765,"*T*")&gt;0,CJ13&lt;30)),AND('Eval-Après impact'!$A$766=BM11,OR(COUNTIF('Eval-Après impact'!$N$766:$P$766,"*T*")&gt;0,CJ14&lt;30)),AND('Eval-Après impact'!$A$767=BM11,OR(COUNTIF('Eval-Après impact'!$N$767:$P$767,"*T*")&gt;0,CJ15&lt;30)),AND('Eval-Après impact'!$A$768=BM11,OR(COUNTIF('Eval-Après impact'!$N$768:$P$768,"*T*")&gt;0,CJ16&lt;30)),AND('Eval-Après impact'!$A$769=BM11,OR(COUNTIF('Eval-Après impact'!$N$769:$P$769,"*T*")&gt;0,CJ17&lt;30)),AND('Eval-Après impact'!$A$770=BM11,OR(COUNTIF('Eval-Après impact'!$N$770:$P$770,"*T*")&gt;0,CJ18&lt;30)),AND('Eval-Après impact'!$A$771=BM11,OR(COUNTIF('Eval-Après impact'!$N$771:$P$771,"*T*")&gt;0,CJ19&lt;30)),AND('Eval-Après impact'!$A$772=BM11,OR(COUNTIF('Eval-Après impact'!$N$772:$P$772,"*T*")&gt;0,CJ20&lt;30)),AND('Eval-Après impact'!$A$773=BM11,OR(COUNTIF('Eval-Après impact'!$N$773:$P$773,"*T*")&gt;0,CJ21&lt;30)),AND('Eval-Après impact'!$A$774=BM11,OR(COUNTIF('Eval-Après impact'!$N$774:$P$774,"*T*")&gt;0,CJ22&lt;30)),AND('Eval-Après impact'!$A$775=BM11,OR(COUNTIF('Eval-Après impact'!$N$775:$P$775,"*T*")&gt;0,CJ23&lt;30)),AND('Eval-Après impact'!$A$776=BM11,OR(COUNTIF('Eval-Après impact'!$N$776:$P$776,"*T*")&gt;0,CJ24&lt;30)),AND('Eval-Après impact'!$A$777=BM11,OR(COUNTIF('Eval-Après impact'!$N$777:$P$777,"*T*")&gt;0,CJ25&lt;30)),AND('Eval-Après impact'!$A$778=BM11,OR(COUNTIF('Eval-Après impact'!$N$778:$P$778,"*T*")&gt;0,CJ26&lt;30)),AND('Eval-Après impact'!$A$779=BM11,OR(COUNTIF('Eval-Après impact'!$N$779:$P$779,"*T*")&gt;0,CJ27&lt;30)),AND('Eval-Après impact'!$A$780=BM11,OR(COUNTIF('Eval-Après impact'!$N$780:$P$780,"*T*")&gt;0,CJ28&lt;30))),"",SUM(0.1*(SUMPRODUCT(('Eval-Après impact'!$A$761:$A$780=BM11)*('Eval-Après impact'!$N$761:$P$780="L"))),0.4*(SUMPRODUCT(('Eval-Après impact'!$A$761:$A$780=BM11)*('Eval-Après impact'!$N$761:$P$780="LA"))+SUMPRODUCT(('Eval-Après impact'!$A$761:$A$780=BM11)*('Eval-Après impact'!$N$761:$P$780="LS"))),0.7*(SUMPRODUCT(('Eval-Après impact'!$A$761:$A$780=BM11)*('Eval-Après impact'!$N$761:$P$780="AL"))+SUMPRODUCT(('Eval-Après impact'!$A$761:$A$780=BM11)*('Eval-Après impact'!$N$761:$P$780="SL"))),1*(SUMPRODUCT(('Eval-Après impact'!$A$761:$A$780=BM11)*('Eval-Après impact'!$N$761:$P$780="S"))+ SUMPRODUCT(('Eval-Après impact'!$A$761:$A$780=BM11)*('Eval-Après impact'!$N$761:$P$780="A"))))/(3*COUNTIF('Eval-Après impact'!$A$761:$A$780,BM11))),"")</f>
        <v/>
      </c>
      <c r="CF11" s="211" t="str">
        <f>IF(COUNTIF('Eval-Après impact'!$A$761:$A$780,BM11)&gt;0,IF(OR(AND('Eval-Après impact'!$A$761=BM11,OR(COUNTIF('Eval-Après impact'!$N$761:$P$761,"*T*")&gt;0,CJ9&lt;30)),AND('Eval-Après impact'!$A$762=BM11,OR(COUNTIF('Eval-Après impact'!$N$762:$P$762,"*T*")&gt;0,CJ10&lt;30)),AND('Eval-Après impact'!$A$763=BM11,OR(COUNTIF('Eval-Après impact'!$N$763:$P$763,"*T*")&gt;0,CJ11&lt;30)),AND('Eval-Après impact'!$A$764=BM11,OR(COUNTIF('Eval-Après impact'!$N$764:$P$764,"*T*")&gt;0,CJ12&lt;30)),AND('Eval-Après impact'!$A$765=BM11,OR(COUNTIF('Eval-Après impact'!$N$765:$P$765,"*T*")&gt;0,CJ13&lt;30)),AND('Eval-Après impact'!$A$766=BM11,OR(COUNTIF('Eval-Après impact'!$N$766:$P$766,"*T*")&gt;0,CJ14&lt;30)),AND('Eval-Après impact'!$A$767=BM11,OR(COUNTIF('Eval-Après impact'!$N$767:$P$767,"*T*")&gt;0,CJ15&lt;30)),AND('Eval-Après impact'!$A$768=BM11,OR(COUNTIF('Eval-Après impact'!$N$768:$P$768,"*T*")&gt;0,CJ16&lt;30)),AND('Eval-Après impact'!$A$769=BM11,OR(COUNTIF('Eval-Après impact'!$N$769:$P$769,"*T*")&gt;0,CJ17&lt;30)),AND('Eval-Après impact'!$A$770=BM11,OR(COUNTIF('Eval-Après impact'!$N$770:$P$770,"*T*")&gt;0,CJ18&lt;30)),AND('Eval-Après impact'!$A$771=BM11,OR(COUNTIF('Eval-Après impact'!$N$771:$P$771,"*T*")&gt;0,CJ19&lt;30)),AND('Eval-Après impact'!$A$772=BM11,OR(COUNTIF('Eval-Après impact'!$N$772:$P$772,"*T*")&gt;0,CJ20&lt;30)),AND('Eval-Après impact'!$A$773=BM11,OR(COUNTIF('Eval-Après impact'!$N$773:$P$773,"*T*")&gt;0,CJ21&lt;30)),AND('Eval-Après impact'!$A$774=BM11,OR(COUNTIF('Eval-Après impact'!$N$774:$P$774,"*T*")&gt;0,CJ22&lt;30)),AND('Eval-Après impact'!$A$775=BM11,OR(COUNTIF('Eval-Après impact'!$N$775:$P$775,"*T*")&gt;0,CJ23&lt;30)),AND('Eval-Après impact'!$A$776=BM11,OR(COUNTIF('Eval-Après impact'!$N$776:$P$776,"*T*")&gt;0,CJ24&lt;30)),AND('Eval-Après impact'!$A$777=BM11,OR(COUNTIF('Eval-Après impact'!$N$777:$P$777,"*T*")&gt;0,CJ25&lt;30)),AND('Eval-Après impact'!$A$778=BM11,OR(COUNTIF('Eval-Après impact'!$N$778:$P$778,"*T*")&gt;0,CJ26&lt;30)),AND('Eval-Après impact'!$A$779=BM11,OR(COUNTIF('Eval-Après impact'!$N$779:$P$779,"*T*")&gt;0,CJ27&lt;30)),AND('Eval-Après impact'!$A$780=BM11,OR(COUNTIF('Eval-Après impact'!$N$780:$P$780,"*T*")&gt;0,CJ28&lt;30))),"",SUM(1*(SUMPRODUCT(('Eval-Après impact'!$A$761:$A$780=BM11)*('Eval-Après impact'!$N$761:$P$780="A"))),0.85*(SUMPRODUCT(('Eval-Après impact'!$A$761:$A$780=BM11)*('Eval-Après impact'!$N$761:$P$780="AL"))),0.7*(SUMPRODUCT(('Eval-Après impact'!$A$761:$A$780=BM11)*('Eval-Après impact'!$N$761:$P$780="LA"))),0.55*(SUMPRODUCT(('Eval-Après impact'!$A$761:$A$780=BM11)*('Eval-Après impact'!$N$761:$P$780="L"))),0.4*(SUMPRODUCT(('Eval-Après impact'!$A$761:$A$780=BM11)*('Eval-Après impact'!$N$761:$P$780="LS"))),0.25*(SUMPRODUCT(('Eval-Après impact'!$A$761:$A$780=BM11)*('Eval-Après impact'!$N$761:$P$780="SL"))),0.1*(SUMPRODUCT(('Eval-Après impact'!$A$761:$A$780=BM11)*('Eval-Après impact'!$N$761:$P$780="S"))))/(3*COUNTIF('Eval-Après impact'!$A$761:$A$780,BM11))),"")</f>
        <v/>
      </c>
      <c r="CG11" s="214" t="str">
        <f>IF(COUNTIF('Eval-Après impact'!$A$761:$A$780,BM11)&gt;0,IF(OR(AND('Eval-Après impact'!$A$761=BM11,OR(COUNTIF('Eval-Après impact'!$Q$761:$Y$761,"*T*")&gt;0,CJ9&lt;120)),AND('Eval-Après impact'!$A$762=BM11,OR(COUNTIF('Eval-Après impact'!$Q$762:$Y$762,"*T*")&gt;0,CJ10&lt;120)),AND('Eval-Après impact'!$A$763=BM11,OR(COUNTIF('Eval-Après impact'!$Q$763:$Y$763,"*T*")&gt;0,CJ11&lt;120)),AND('Eval-Après impact'!$A$764=BM11,OR(COUNTIF('Eval-Après impact'!$Q$764:$Y$764,"*T*")&gt;0,CJ12&lt;120)),AND('Eval-Après impact'!$A$765=BM11,OR(COUNTIF('Eval-Après impact'!$Q$765:$Y$765,"*T*")&gt;0,CJ13&lt;120)),AND('Eval-Après impact'!$A$766=BM11,OR(COUNTIF('Eval-Après impact'!$Q$766:$Y$766,"*T*")&gt;0,CJ14&lt;120)),AND('Eval-Après impact'!$A$767=BM11,OR(COUNTIF('Eval-Après impact'!$Q$767:$Y$767,"*T*")&gt;0,CJ15&lt;120)),AND('Eval-Après impact'!$A$768=BM11,OR(COUNTIF('Eval-Après impact'!$Q$768:$Y$768,"*T*")&gt;0,CJ16&lt;120)),AND('Eval-Après impact'!$A$769=BM11,OR(COUNTIF('Eval-Après impact'!$Q$769:$Y$769,"*T*")&gt;0,CJ17&lt;120)),AND('Eval-Après impact'!$A$770=BM11,OR(COUNTIF('Eval-Après impact'!$Q$770:$Y$770,"*T*")&gt;0,CJ18&lt;120)),AND('Eval-Après impact'!$A$771=BM11,OR(COUNTIF('Eval-Après impact'!$Q$771:$Y$771,"*T*")&gt;0,CJ19&lt;120)),AND('Eval-Après impact'!$A$772=BM11,OR(COUNTIF('Eval-Après impact'!$Q$772:$Y$772,"*T*")&gt;0,CJ20&lt;120)),AND('Eval-Après impact'!$A$773=BM11,OR(COUNTIF('Eval-Après impact'!$Q$773:$Y$773,"*T*")&gt;0,CJ21&lt;120)),AND('Eval-Après impact'!$A$774=BM11,OR(COUNTIF('Eval-Après impact'!$Q$774:$Y$774,"*T*")&gt;0,CJ22&lt;120)),AND('Eval-Après impact'!$A$775=BM11,OR(COUNTIF('Eval-Après impact'!$Q$775:$Y$775,"*T*")&gt;0,CJ23&lt;120)),AND('Eval-Après impact'!$A$776=BM11,OR(COUNTIF('Eval-Après impact'!$Q$776:$Y$776,"*T*")&gt;0,CJ24&lt;120)),AND('Eval-Après impact'!$A$777=BM11,OR(COUNTIF('Eval-Après impact'!$Q$777:$Y$777,"*T*")&gt;0,CJ25&lt;120)),AND('Eval-Après impact'!$A$778=BM11,OR(COUNTIF('Eval-Après impact'!$Q$778:$Y$778,"*T*")&gt;0,CJ26&lt;120)),AND('Eval-Après impact'!$A$779=BM11,OR(COUNTIF('Eval-Après impact'!$Q$779:$Y$779,"*T*")&gt;0,CJ27&lt;120)),AND('Eval-Après impact'!$A$780=BM11,OR(COUNTIF('Eval-Après impact'!$Q$780:$Y$780,"*T*")&gt;0,CJ28&lt;120))),"",SUM(1*(SUMPRODUCT(('Eval-Après impact'!$A$761:$A$780=BM11)*('Eval-Après impact'!$Q$761:$Y$780="A"))),0.85*(SUMPRODUCT(('Eval-Après impact'!$A$761:$A$780=BM11)*('Eval-Après impact'!$Q$761:$Y$780="AL"))),0.7*(SUMPRODUCT(('Eval-Après impact'!$A$761:$A$780=BM11)*('Eval-Après impact'!$Q$761:$Y$780="LA"))),0.55*(SUMPRODUCT(('Eval-Après impact'!$A$761:$A$780=BM11)*('Eval-Après impact'!$Q$761:$Y$780="L"))),0.4*(SUMPRODUCT(('Eval-Après impact'!$A$761:$A$780=BM11)*('Eval-Après impact'!$Q$761:$Y$780="LS"))),0.25*(SUMPRODUCT(('Eval-Après impact'!$A$761:$A$780=BM11)*('Eval-Après impact'!$Q$761:$Y$780="SL"))),0.1*(SUMPRODUCT(('Eval-Après impact'!$A$761:$A$780=BM11)*('Eval-Après impact'!$Q$761:$Y$780="S"))))/(9*COUNTIF('Eval-Après impact'!$A$761:$A$780,BM11))),"")</f>
        <v/>
      </c>
      <c r="CH11" s="215"/>
      <c r="CI11" s="216">
        <f>'Eval-Après impact'!$D$763</f>
        <v>3</v>
      </c>
      <c r="CJ11" s="217" t="str">
        <f>IF(CK11="C",0,IF(IF(COUNTIF('Eval-Après impact'!$N$763:$Y$763,"=C")&gt;0,(COUNTA('Eval-Après impact'!$N$763:$Y$763)-1)*10,COUNTA('Eval-Après impact'!$N$763:$Y$763)*10)=0,"",IF(COUNTIF('Eval-Après impact'!$N$763:$Y$763,"=C")&gt;0,(COUNTA('Eval-Après impact'!$N$763:$Y$763)-1)*10,COUNTA('Eval-Après impact'!$N$763:$Y$763)*10)))</f>
        <v/>
      </c>
      <c r="CK11" s="217" t="str">
        <f>CONCATENATE('Eval-Après impact'!$N$763,'Eval-Après impact'!$O$763,'Eval-Après impact'!$P$763,'Eval-Après impact'!$Q$763,'Eval-Après impact'!$R$763,'Eval-Après impact'!$S$763,'Eval-Après impact'!$T$763,'Eval-Après impact'!$U$763,'Eval-Après impact'!$V$763,'Eval-Après impact'!$W$763,'Eval-Après impact'!$X$763,'Eval-Après impact'!$Y$763)</f>
        <v/>
      </c>
      <c r="CL11" s="217" t="str">
        <f t="shared" si="8"/>
        <v/>
      </c>
      <c r="CM11" s="217" t="str">
        <f t="shared" si="9"/>
        <v/>
      </c>
      <c r="CN11" s="217" t="str">
        <f>IF(COUNTIF('Eval-Après impact'!$N$763:$Y$763,"=C")&gt;0,"X","")</f>
        <v/>
      </c>
      <c r="CO11" s="217" t="str">
        <f t="shared" si="10"/>
        <v/>
      </c>
      <c r="CP11" s="218" t="str">
        <f t="shared" si="11"/>
        <v/>
      </c>
      <c r="CQ11" s="197"/>
      <c r="CS11" s="210">
        <v>3</v>
      </c>
      <c r="CT11" s="211" t="str">
        <f>IF(COUNTIF('Eval-Avant action écologique'!$A$761:$A$780,CS11)&gt;0,SUM(IF('Eval-Avant action écologique'!$A$761=CS11,'Eval-Avant action écologique'!$B$761,0),IF('Eval-Avant action écologique'!$A$762=CS11, 'Eval-Avant action écologique'!$B$762,0),IF('Eval-Avant action écologique'!$A$763=CS11, 'Eval-Avant action écologique'!$B$763,0),IF('Eval-Avant action écologique'!$A$764=CS11, 'Eval-Avant action écologique'!$B$764,0),IF('Eval-Avant action écologique'!$A$765=CS11, 'Eval-Avant action écologique'!$B$765,0),IF('Eval-Avant action écologique'!$A$766=CS11, 'Eval-Avant action écologique'!$B$766,0),IF('Eval-Avant action écologique'!$A$767=CS11, 'Eval-Avant action écologique'!$B$767,0),IF('Eval-Avant action écologique'!$A$768=CS11, 'Eval-Avant action écologique'!$B$768,0),IF('Eval-Avant action écologique'!$A$769=CS11, 'Eval-Avant action écologique'!$B$769,0),IF('Eval-Avant action écologique'!$A$770=CS11, 'Eval-Avant action écologique'!$B$770,0),IF('Eval-Avant action écologique'!$A$771=CS11, 'Eval-Avant action écologique'!$B$771,0),IF('Eval-Avant action écologique'!$A$772=CS11, 'Eval-Avant action écologique'!$B$772,0),IF('Eval-Avant action écologique'!$A$773=CS11, 'Eval-Avant action écologique'!$B$773,0),IF('Eval-Avant action écologique'!$A$774=CS11, 'Eval-Avant action écologique'!$B$774,0),IF('Eval-Avant action écologique'!$A$775=CS11, 'Eval-Avant action écologique'!$B$775,0),IF('Eval-Avant action écologique'!$A$776=CS11, 'Eval-Avant action écologique'!$B$776,0),IF('Eval-Avant action écologique'!$A$777=CS11, 'Eval-Avant action écologique'!$B$777,0),IF('Eval-Avant action écologique'!$A$778=CS11, 'Eval-Avant action écologique'!$B$778,0),IF('Eval-Avant action écologique'!$A$779=CS11, 'Eval-Avant action écologique'!$B$779,0),IF('Eval-Avant action écologique'!$A$780=CS11, 'Eval-Avant action écologique'!$B$780,0))/COUNTIF('Eval-Avant action écologique'!$A$761:$A$780,CS11),"")</f>
        <v/>
      </c>
      <c r="CU11" s="212" t="str">
        <f>IF(COUNTIF('Eval-Avant action écologique'!$A$761:$A$780,CS11)&gt;0,COUNTIF('Eval-Avant action écologique'!$A$761:$A$780,CS11),"")</f>
        <v/>
      </c>
      <c r="CV11" s="211" t="str">
        <f>IF(COUNTIF('Eval-Avant action écologique'!$A$761:$A$780,CS11)&gt;0,IF(OR(AND('Eval-Avant action écologique'!$A$761=CS11, 'Eval-Avant action écologique'!$G$761=""),AND('Eval-Avant action écologique'!$A$762=CS11, 'Eval-Avant action écologique'!$G$762=""),AND('Eval-Avant action écologique'!$A$763=CS11, 'Eval-Avant action écologique'!$G$763=""),AND('Eval-Avant action écologique'!$A$764=CS11, 'Eval-Avant action écologique'!$G$764=""),AND('Eval-Avant action écologique'!$A$765=CS11, 'Eval-Avant action écologique'!$G$765=""),AND('Eval-Avant action écologique'!$A$766=CS11, 'Eval-Avant action écologique'!$G$766=""),AND('Eval-Avant action écologique'!$A$767=CS11, 'Eval-Avant action écologique'!$G$767=""),AND('Eval-Avant action écologique'!$A$768=CS11, 'Eval-Avant action écologique'!$G$768=""),AND('Eval-Avant action écologique'!$A$769=CS11, 'Eval-Avant action écologique'!$G$769=""),AND('Eval-Avant action écologique'!$A$770=CS11, 'Eval-Avant action écologique'!$G$770=""),AND('Eval-Avant action écologique'!$A$771=CS11, 'Eval-Avant action écologique'!$G$771=""),AND('Eval-Avant action écologique'!$A$772=CS11, 'Eval-Avant action écologique'!$G$772=""),AND('Eval-Avant action écologique'!$A$773=CS11, 'Eval-Avant action écologique'!$G$773=""),AND('Eval-Avant action écologique'!$A$774=CS11, 'Eval-Avant action écologique'!$G$774=""),AND('Eval-Avant action écologique'!$A$775=CS11, 'Eval-Avant action écologique'!$G$775=""),AND('Eval-Avant action écologique'!$A$776=CS11, 'Eval-Avant action écologique'!$G$776=""),AND('Eval-Avant action écologique'!$A$777=CS11, 'Eval-Avant action écologique'!$G$777=""),AND('Eval-Avant action écologique'!$A$778=CS11, 'Eval-Avant action écologique'!$G$778=""),AND('Eval-Avant action écologique'!$A$779=CS11, 'Eval-Avant action écologique'!$G$779=""),AND('Eval-Avant action écologique'!$A$780=CS11, 'Eval-Avant action écologique'!$G$780="")),"",SUM(IF('Eval-Avant action écologique'!$A$761=CS11,'Eval-Avant action écologique'!$G$761,0),IF('Eval-Avant action écologique'!$A$762=CS11,'Eval-Avant action écologique'!$G$762,0),IF('Eval-Avant action écologique'!$A$763=CS11,'Eval-Avant action écologique'!$G$763,0),IF('Eval-Avant action écologique'!$A$764=CS11,'Eval-Avant action écologique'!$G$764,0),IF('Eval-Avant action écologique'!$A$765=CS11,'Eval-Avant action écologique'!$G$765,0),IF('Eval-Avant action écologique'!$A$766=CS11,'Eval-Avant action écologique'!$G$766,0),IF('Eval-Avant action écologique'!$A$767=CS11,'Eval-Avant action écologique'!$G$767,0),IF('Eval-Avant action écologique'!$A$768=CS11,'Eval-Avant action écologique'!$G$768,0),IF('Eval-Avant action écologique'!$A$769=CS11,'Eval-Avant action écologique'!$G$769,0),IF('Eval-Avant action écologique'!$A$770=CS11,'Eval-Avant action écologique'!$G$770,0),IF('Eval-Avant action écologique'!$A$771=CS11,'Eval-Avant action écologique'!$G$771,0),IF('Eval-Avant action écologique'!$A$772=CS11,'Eval-Avant action écologique'!$G$772,0),IF('Eval-Avant action écologique'!$A$773=CS11,'Eval-Avant action écologique'!$G$773,0),IF('Eval-Avant action écologique'!$A$774=CS11,'Eval-Avant action écologique'!$G$774,0),IF('Eval-Avant action écologique'!$A$775=CS11,'Eval-Avant action écologique'!$G$775,0), IF('Eval-Avant action écologique'!$A$776=CS11,'Eval-Avant action écologique'!$G$776,0), IF('Eval-Avant action écologique'!$A$777=CS11,'Eval-Avant action écologique'!$G$777,0), IF('Eval-Avant action écologique'!$A$778=CS11,'Eval-Avant action écologique'!$G$778,0), IF('Eval-Avant action écologique'!$A$779=CS11,'Eval-Avant action écologique'!$G$779,0), IF('Eval-Avant action écologique'!$A$780=CS11,'Eval-Avant action écologique'!$G$780,0))/ COUNTIF('Eval-Avant action écologique'!$A$761:$A$780,CS11)),"")</f>
        <v/>
      </c>
      <c r="CW11" s="212" t="str">
        <f>IF(COUNTIF('Eval-Avant action écologique'!$A$761:$A$780,CS11)&gt;0,IF(SUM(IF('Eval-Avant action écologique'!$A$761=CS11,COUNTA('Eval-Avant action écologique'!$H$761),0),IF('Eval-Avant action écologique'!$A$762=CS11,COUNTA('Eval-Avant action écologique'!$H$762),0),IF('Eval-Avant action écologique'!$A$763=CS11,COUNTA('Eval-Avant action écologique'!$H$763),0),IF('Eval-Avant action écologique'!$A$764=CS11,COUNTA('Eval-Avant action écologique'!$H$764),0),IF('Eval-Avant action écologique'!$A$765=CS11,COUNTA('Eval-Avant action écologique'!$H$765),0),IF('Eval-Avant action écologique'!$A$766=CS11,COUNTA('Eval-Avant action écologique'!$H$766),0),IF('Eval-Avant action écologique'!$A$767=CS11,COUNTA('Eval-Avant action écologique'!$H$767),0),IF('Eval-Avant action écologique'!$A$768=CS11,COUNTA('Eval-Avant action écologique'!$H$768),0),IF('Eval-Avant action écologique'!$A$769=CS11,COUNTA('Eval-Avant action écologique'!$H$769),0),IF('Eval-Avant action écologique'!$A$770=CS11,COUNTA('Eval-Avant action écologique'!$H$770),0),IF('Eval-Avant action écologique'!$A$771=CS11,COUNTA('Eval-Avant action écologique'!$H$771),0),IF('Eval-Avant action écologique'!$A$772=CS11,COUNTA('Eval-Avant action écologique'!$H$772),0),IF('Eval-Avant action écologique'!$A$773=CS11,COUNTA('Eval-Avant action écologique'!$H$773),0),IF('Eval-Avant action écologique'!$A$774=CS11,COUNTA('Eval-Avant action écologique'!$H$774),0),IF('Eval-Avant action écologique'!$A$775=CS11,COUNTA('Eval-Avant action écologique'!$H$775),0),IF('Eval-Avant action écologique'!$A$776=CS11,COUNTA('Eval-Avant action écologique'!$H$776),0),IF('Eval-Avant action écologique'!$A$777=CS11,COUNTA('Eval-Avant action écologique'!$H$777),0),IF('Eval-Avant action écologique'!$A$778=CS11,COUNTA('Eval-Avant action écologique'!$H$778),0),IF('Eval-Avant action écologique'!$A$779=CS11,COUNTA('Eval-Avant action écologique'!$H$779),0),IF('Eval-Avant action écologique'!$A$780=CS11,COUNTA('Eval-Avant action écologique'!$H$780),0))&gt;0,"X",0),"")</f>
        <v/>
      </c>
      <c r="CX11" s="213" t="str">
        <f>IF(COUNTIF('Eval-Avant action écologique'!$A$761:$A$780,CS11)&gt;0,IF(SUM(IF('Eval-Avant action écologique'!$A$761=CS11,COUNTA('Eval-Avant action écologique'!$I$761),0),IF('Eval-Avant action écologique'!$A$762=CS11,COUNTA('Eval-Avant action écologique'!$I$762),0),IF('Eval-Avant action écologique'!$A$763=CS11,COUNTA('Eval-Avant action écologique'!$I$763),0),IF('Eval-Avant action écologique'!$A$764=CS11,COUNTA('Eval-Avant action écologique'!$I$764),0),IF('Eval-Avant action écologique'!$A$765=CS11,COUNTA('Eval-Avant action écologique'!$I$765),0),IF('Eval-Avant action écologique'!$A$766=CS11,COUNTA('Eval-Avant action écologique'!$I$766),0),IF('Eval-Avant action écologique'!$A$767=CS11,COUNTA('Eval-Avant action écologique'!$I$767),0),IF('Eval-Avant action écologique'!$A$768=CS11,COUNTA('Eval-Avant action écologique'!$I$768),0),IF('Eval-Avant action écologique'!$A$769=CS11,COUNTA('Eval-Avant action écologique'!$I$769),0),IF('Eval-Avant action écologique'!$A$770=CS11,COUNTA('Eval-Avant action écologique'!$I$770),0),IF('Eval-Avant action écologique'!$A$771=CS11,COUNTA('Eval-Avant action écologique'!$I$771),0),IF('Eval-Avant action écologique'!$A$772=CS11,COUNTA('Eval-Avant action écologique'!$I$772),0),IF('Eval-Avant action écologique'!$A$773=CS11,COUNTA('Eval-Avant action écologique'!$I$773),0),IF('Eval-Avant action écologique'!$A$774=CS11,COUNTA('Eval-Avant action écologique'!$I$774),0),IF('Eval-Avant action écologique'!$A$775=CS11,COUNTA('Eval-Avant action écologique'!$I$775),0),IF('Eval-Avant action écologique'!$A$776=CS11,COUNTA('Eval-Avant action écologique'!$I$776),0),IF('Eval-Avant action écologique'!$A$777=CS11,COUNTA('Eval-Avant action écologique'!$I$777),0),IF('Eval-Avant action écologique'!$A$778=CS11,COUNTA('Eval-Avant action écologique'!$I$778),0),IF('Eval-Avant action écologique'!$A$779=CS11,COUNTA('Eval-Avant action écologique'!$I$779),0),IF('Eval-Avant action écologique'!$A$780=CS11,COUNTA('Eval-Avant action écologique'!$I$780),0))&gt;0,"X",0),"")</f>
        <v/>
      </c>
      <c r="CY11" s="213" t="str">
        <f>IF(COUNTIF('Eval-Avant action écologique'!$A$761:$A$780,CS11)&gt;0,IF(SUM(IF('Eval-Avant action écologique'!$A$761=CS11,COUNTA('Eval-Avant action écologique'!$J$761),0),IF('Eval-Avant action écologique'!$A$762=CS11,COUNTA('Eval-Avant action écologique'!$J$762),0),IF('Eval-Avant action écologique'!$A$763=CS11,COUNTA('Eval-Avant action écologique'!$J$763),0),IF('Eval-Avant action écologique'!$A$764=CS11,COUNTA('Eval-Avant action écologique'!$J$764),0),IF('Eval-Avant action écologique'!$A$765=CS11,COUNTA('Eval-Avant action écologique'!$J$765),0),IF('Eval-Avant action écologique'!$A$766=CS11,COUNTA('Eval-Avant action écologique'!$J$766),0),IF('Eval-Avant action écologique'!$A$767=CS11,COUNTA('Eval-Avant action écologique'!$J$767),0),IF('Eval-Avant action écologique'!$A$768=CS11,COUNTA('Eval-Avant action écologique'!$J$768),0),IF('Eval-Avant action écologique'!$A$769=CS11,COUNTA('Eval-Avant action écologique'!$J$769),0),IF('Eval-Avant action écologique'!$A$770=CS11,COUNTA('Eval-Avant action écologique'!$J$770),0),IF('Eval-Avant action écologique'!$A$771=CS11,COUNTA('Eval-Avant action écologique'!$J$771),0),IF('Eval-Avant action écologique'!$A$772=CS11,COUNTA('Eval-Avant action écologique'!$J$772),0),IF('Eval-Avant action écologique'!$A$773=CS11,COUNTA('Eval-Avant action écologique'!$J$773),0),IF('Eval-Avant action écologique'!$A$774=CS11,COUNTA('Eval-Avant action écologique'!$J$774),0),IF('Eval-Avant action écologique'!$A$775=CS11,COUNTA('Eval-Avant action écologique'!$J$775),0),IF('Eval-Avant action écologique'!$A$776=CS11,COUNTA('Eval-Avant action écologique'!$J$776),0),IF('Eval-Avant action écologique'!$A$777=CS11,COUNTA('Eval-Avant action écologique'!$J$777),0),IF('Eval-Avant action écologique'!$A$778=CS11,COUNTA('Eval-Avant action écologique'!$J$778),0),IF('Eval-Avant action écologique'!$A$779=CS11,COUNTA('Eval-Avant action écologique'!$J$779),0),IF('Eval-Avant action écologique'!$A$780=CS11,COUNTA('Eval-Avant action écologique'!$J$780),0))&gt;0,"X",0),"")</f>
        <v/>
      </c>
      <c r="CZ11" s="213" t="str">
        <f>IF(COUNTIF('Eval-Avant action écologique'!$A$761:$A$780,CS11)&gt;0,IF(SUM(IF('Eval-Avant action écologique'!$A$761=CS11,COUNTA('Eval-Avant action écologique'!$K$761),0),IF('Eval-Avant action écologique'!$A$762=CS11,COUNTA('Eval-Avant action écologique'!$K$762),0),IF('Eval-Avant action écologique'!$A$763=CS11,COUNTA('Eval-Avant action écologique'!$K$763),0),IF('Eval-Avant action écologique'!$A$764=CS11,COUNTA('Eval-Avant action écologique'!$K$764),0),IF('Eval-Avant action écologique'!$A$765=CS11,COUNTA('Eval-Avant action écologique'!$K$765),0),IF('Eval-Avant action écologique'!$A$766=CS11,COUNTA('Eval-Avant action écologique'!$K$766),0),IF('Eval-Avant action écologique'!$A$767=CS11,COUNTA('Eval-Avant action écologique'!$K$767),0),IF('Eval-Avant action écologique'!$A$768=CS11,COUNTA('Eval-Avant action écologique'!$K$768),0),IF('Eval-Avant action écologique'!$A$769=CS11,COUNTA('Eval-Avant action écologique'!$K$769),0),IF('Eval-Avant action écologique'!$A$770=CS11,COUNTA('Eval-Avant action écologique'!$K$770),0),IF('Eval-Avant action écologique'!$A$771=CS11,COUNTA('Eval-Avant action écologique'!$K$771),0),IF('Eval-Avant action écologique'!$A$772=CS11,COUNTA('Eval-Avant action écologique'!$K$772),0),IF('Eval-Avant action écologique'!$A$773=CS11,COUNTA('Eval-Avant action écologique'!$K$773),0),IF('Eval-Avant action écologique'!$A$774=CS11,COUNTA('Eval-Avant action écologique'!$K$774),0),IF('Eval-Avant action écologique'!$A$775=CS11,COUNTA('Eval-Avant action écologique'!$K$775),0),IF('Eval-Avant action écologique'!$A$776=CS11,COUNTA('Eval-Avant action écologique'!$K$776),0),IF('Eval-Avant action écologique'!$A$777=CS11,COUNTA('Eval-Avant action écologique'!$K$777),0),IF('Eval-Avant action écologique'!$A$778=CS11,COUNTA('Eval-Avant action écologique'!$K$778),0),IF('Eval-Avant action écologique'!$A$779=CS11,COUNTA('Eval-Avant action écologique'!$K$779),0),IF('Eval-Avant action écologique'!$A$780=CS11,COUNTA('Eval-Avant action écologique'!$K$780),0))&gt;0,"X",0),"")</f>
        <v/>
      </c>
      <c r="DA11" s="211" t="str">
        <f>IF(COUNTIF('Eval-Avant action écologique'!$A$761:$A$780,CS11)&gt;0,IF(OR(AND('Eval-Avant action écologique'!$A$761=CS11,'Eval-Avant action écologique'!$L$761&lt;120,'Eval-Avant action écologique'!$L$761&gt;=DP9),AND('Eval-Avant action écologique'!$A$762=CS11,'Eval-Avant action écologique'!$L$762&lt;120,'Eval-Avant action écologique'!$L$762&gt;=DP10),AND('Eval-Avant action écologique'!$A$763=CS11,'Eval-Avant action écologique'!$L$763&lt;120,'Eval-Avant action écologique'!$L$763&gt;=DP11),AND('Eval-Avant action écologique'!$A$764=CS11,'Eval-Avant action écologique'!$L$764&lt;120,'Eval-Avant action écologique'!$L$764&gt;=DP12),AND('Eval-Avant action écologique'!$A$765=CS11,'Eval-Avant action écologique'!$L$765&lt;120,'Eval-Avant action écologique'!$L$765&gt;=DP13),AND('Eval-Avant action écologique'!$A$766=CS11,'Eval-Avant action écologique'!$L$766&lt;120,'Eval-Avant action écologique'!$L$766&gt;=DP14),AND('Eval-Avant action écologique'!$A$767=CS11,'Eval-Avant action écologique'!$L$767&lt;120,'Eval-Avant action écologique'!$L$767&gt;=DP15),AND('Eval-Avant action écologique'!$A$768=CS11,'Eval-Avant action écologique'!$L$768&lt;120,'Eval-Avant action écologique'!$L$768&gt;=DP16),AND('Eval-Avant action écologique'!$A$769=CS11,'Eval-Avant action écologique'!$L$769&lt;120,'Eval-Avant action écologique'!$L$769&gt;=DP17),AND('Eval-Avant action écologique'!$A$770=CS11,'Eval-Avant action écologique'!$L$770&lt;120,'Eval-Avant action écologique'!$L$770&gt;=DP18),AND('Eval-Avant action écologique'!$A$771=CS11,'Eval-Avant action écologique'!$L$771&lt;120,'Eval-Avant action écologique'!$L$771&gt;=DP19),AND('Eval-Avant action écologique'!$A$772=CS11,'Eval-Avant action écologique'!$L$772&lt;120,'Eval-Avant action écologique'!$L$772&gt;=DP20),AND('Eval-Avant action écologique'!$A$773=CS11,'Eval-Avant action écologique'!$L$773&lt;120,'Eval-Avant action écologique'!$L$773&gt;=DP21),AND('Eval-Avant action écologique'!$A$774=CS11,'Eval-Avant action écologique'!$L$774&lt;120,'Eval-Avant action écologique'!$L$774&gt;=DP22),AND('Eval-Avant action écologique'!$A$775=CS11,'Eval-Avant action écologique'!$L$775&lt;120,'Eval-Avant action écologique'!$L$775&gt;=DP23),AND('Eval-Avant action écologique'!$A$776=CS11,'Eval-Avant action écologique'!$L$776&lt;120,'Eval-Avant action écologique'!$L$776&gt;=DP24),AND('Eval-Avant action écologique'!$A$777=CS11,'Eval-Avant action écologique'!$L$777&lt;120,'Eval-Avant action écologique'!$L$777&gt;=DP25),AND('Eval-Avant action écologique'!$A$778=CS11,'Eval-Avant action écologique'!$L$778&lt;120,'Eval-Avant action écologique'!$L$778&gt;=DP26),AND('Eval-Avant action écologique'!$A$779=CS11,'Eval-Avant action écologique'!$L$779&lt;120,'Eval-Avant action écologique'!$L$779&gt;=DP27),AND('Eval-Avant action écologique'!$A$780=CS11,'Eval-Avant action écologique'!$L$780&lt;120,'Eval-Avant action écologique'!$L$780&gt;=DP28)),"",SUM(IF('Eval-Avant action écologique'!$A$761=CS11,'Eval-Avant action écologique'!$L$761,0),IF('Eval-Avant action écologique'!$A$762=CS11,'Eval-Avant action écologique'!$L$762,0),IF('Eval-Avant action écologique'!$A$763=CS11,'Eval-Avant action écologique'!$L$763,0),IF('Eval-Avant action écologique'!$A$764=CS11,'Eval-Avant action écologique'!$L$764,0),IF('Eval-Avant action écologique'!$A$765=CS11,'Eval-Avant action écologique'!$L$765,0),IF('Eval-Avant action écologique'!$A$766=CS11,'Eval-Avant action écologique'!$L$766,0),IF('Eval-Avant action écologique'!$A$767=CS11,'Eval-Avant action écologique'!$L$767,0),IF('Eval-Avant action écologique'!$A$768=CS11,'Eval-Avant action écologique'!$L$768,0),IF('Eval-Avant action écologique'!$A$769=CS11,'Eval-Avant action écologique'!$L$769,0),IF('Eval-Avant action écologique'!$A$770=CS11,'Eval-Avant action écologique'!$L$770,0),IF('Eval-Avant action écologique'!$A$771=CS11,'Eval-Avant action écologique'!$L$771,0),IF('Eval-Avant action écologique'!$A$772=CS11,'Eval-Avant action écologique'!$L$772,0),IF('Eval-Avant action écologique'!$A$773=CS11,'Eval-Avant action écologique'!$L$773,0),IF('Eval-Avant action écologique'!$A$774=CS11,'Eval-Avant action écologique'!$L$774,0),IF('Eval-Avant action écologique'!$A$775=CS11,'Eval-Avant action écologique'!$L$775,0),IF('Eval-Avant action écologique'!$A$776=CS11,'Eval-Avant action écologique'!$L$776,0),IF('Eval-Avant action écologique'!$A$777=CS11,'Eval-Avant action écologique'!$L$777,0),IF('Eval-Avant action écologique'!$A$778=CS11,'Eval-Avant action écologique'!$L$778,0),IF('Eval-Avant action écologique'!$A$779=CS11,'Eval-Avant action écologique'!$L$779,0),IF('Eval-Avant action écologique'!$A$780=CS11,'Eval-Avant action écologique'!$L$780,0))/ COUNTIF('Eval-Avant action écologique'!$A$761:$A$780,CS11)),"")</f>
        <v/>
      </c>
      <c r="DB11" s="211" t="str">
        <f>IF(COUNTIF('Eval-Avant action écologique'!$A$761:$A$780,CS11)&gt;0,IF(OR(AND('Eval-Avant action écologique'!$A$761=CS11, DP9&lt;120),AND(DP10&lt;120),AND(DP11&lt;120),AND(DP12&lt;120),AND(DP13&lt;120),AND(DP14&lt;120),AND(DP15&lt;120),AND(DP16&lt;120),AND(DP17&lt;120),AND(DP18&lt;120),AND(DP19&lt;120),AND(DP20&lt;120),AND(DP21&lt;120),AND(DP22&lt;120),AND(DP23&lt;120),AND(DP24&lt;120),AND(DP25&lt;120),AND(DP26&lt;120),AND(DP27&lt;120),AND(DP28&lt;120)),"",SUM(IF('Eval-Avant action écologique'!$A$761=CS11,'Eval-Avant action écologique'!$M$761,0),IF('Eval-Avant action écologique'!$A$762=CS11,'Eval-Avant action écologique'!$M$762,0),IF('Eval-Avant action écologique'!$A$763=CS11,'Eval-Avant action écologique'!$M$763,0),IF('Eval-Avant action écologique'!$A$764=CS11,'Eval-Avant action écologique'!$M$764,0),IF('Eval-Avant action écologique'!$A$765=CS11,'Eval-Avant action écologique'!$M$765,0),IF('Eval-Avant action écologique'!$A$766=CS11,'Eval-Avant action écologique'!$M$766,0),IF('Eval-Avant action écologique'!$A$767=CS11,'Eval-Avant action écologique'!$M$767,0),IF('Eval-Avant action écologique'!$A$768=CS11,'Eval-Avant action écologique'!$M$768,0),IF('Eval-Avant action écologique'!$A$769=CS11,'Eval-Avant action écologique'!$M$769,0),IF('Eval-Avant action écologique'!$A$770=CS11,'Eval-Avant action écologique'!$M$770,0),IF('Eval-Avant action écologique'!$A$771=CS11,'Eval-Avant action écologique'!$M$771,0),IF('Eval-Avant action écologique'!$A$772=CS11,'Eval-Avant action écologique'!$M$772,0),IF('Eval-Avant action écologique'!$A$773=CS11,'Eval-Avant action écologique'!$M$773,0),IF('Eval-Avant action écologique'!$A$774=CS11,'Eval-Avant action écologique'!$M$774,0),IF('Eval-Avant action écologique'!$A$775=CS11,'Eval-Avant action écologique'!$M$775,0), IF('Eval-Avant action écologique'!$A$776=CS11,'Eval-Avant action écologique'!$M$776,0), IF('Eval-Avant action écologique'!$A$777=CS11,'Eval-Avant action écologique'!$M$777,0), IF('Eval-Avant action écologique'!$A$778=CS11,'Eval-Avant action écologique'!$M$778,0), IF('Eval-Avant action écologique'!$A$779=CS11,'Eval-Avant action écologique'!$M$779,0), IF('Eval-Avant action écologique'!$A$780=CS11,'Eval-Avant action écologique'!$M$780,0))/COUNTIF('Eval-Avant action écologique'!$A$761:$A$780,CS11)),"")</f>
        <v/>
      </c>
      <c r="DC11" s="211" t="str">
        <f>IF(COUNTIF('Eval-Avant action écologique'!$A$761:$A$780,CS11)&gt;0,SUM(IF('Eval-Avant action écologique'!$A$761=CS11,LEN(SUBSTITUTE((SUBSTITUTE(DR9,"TM","")),"TS",""))*10/2,0),IF('Eval-Avant action écologique'!$A$762=CS11,LEN(SUBSTITUTE((SUBSTITUTE(DR10,"TM","")),"TS",""))*10/2,0),IF('Eval-Avant action écologique'!$A$763=CS11,LEN(SUBSTITUTE((SUBSTITUTE(DR11,"TM","")),"TS",""))*10/2,0),IF('Eval-Avant action écologique'!$A$764=CS11,LEN(SUBSTITUTE((SUBSTITUTE(DR12,"TM","")),"TS",""))*10/2,0),IF('Eval-Avant action écologique'!$A$765=CS11,LEN(SUBSTITUTE((SUBSTITUTE(DR13,"TM","")),"TS",""))*10/2,0),IF('Eval-Avant action écologique'!$A$766=CS11,LEN(SUBSTITUTE((SUBSTITUTE(DR14,"TM","")),"TS",""))*10/2,0),IF('Eval-Avant action écologique'!$A$767=CS11,LEN(SUBSTITUTE((SUBSTITUTE(DR15,"TM","")),"TS",""))*10/2,0),IF('Eval-Avant action écologique'!$A$768=CS11,LEN(SUBSTITUTE((SUBSTITUTE(DR16,"TM","")),"TS",""))*10/2,0),IF('Eval-Avant action écologique'!$A$769=CS11,LEN(SUBSTITUTE((SUBSTITUTE(DR17,"TM","")),"TS",""))*10/2,0),IF('Eval-Avant action écologique'!$A$770=CS11,LEN(SUBSTITUTE((SUBSTITUTE(DR18,"TM","")),"TS",""))*10/2,0),IF('Eval-Avant action écologique'!$A$771=CS11,LEN(SUBSTITUTE((SUBSTITUTE(DR19,"TM","")),"TS",""))*10/2,0),IF('Eval-Avant action écologique'!$A$772=CS11,LEN(SUBSTITUTE((SUBSTITUTE(DR20,"TM","")),"TS",""))*10/2,0),IF('Eval-Avant action écologique'!$A$773=CS11,LEN(SUBSTITUTE((SUBSTITUTE(DR21,"TM","")),"TS",""))*10/2,0),IF('Eval-Avant action écologique'!$A$774=CS11,LEN(SUBSTITUTE((SUBSTITUTE(DR22,"TM","")),"TS",""))*10/2,0),IF('Eval-Avant action écologique'!$A$775=CS11,LEN(SUBSTITUTE((SUBSTITUTE(DR23,"TM","")),"TS",""))*10/2,0),IF('Eval-Avant action écologique'!$A$776=CS11,LEN(SUBSTITUTE((SUBSTITUTE(DR24,"TM","")),"TS",""))*10/2,0),IF('Eval-Avant action écologique'!$A$777=CS11,LEN(SUBSTITUTE((SUBSTITUTE(DR25,"TM","")),"TS",""))*10/2,0),IF('Eval-Avant action écologique'!$A$778=CS11,LEN(SUBSTITUTE((SUBSTITUTE(DR26,"TM","")),"TS",""))*10/2,0),IF('Eval-Avant action écologique'!$A$779=CS11,LEN(SUBSTITUTE((SUBSTITUTE(DR27,"TM","")),"TS",""))*10/2,0),IF('Eval-Avant action écologique'!$A$780=CS11,LEN(SUBSTITUTE((SUBSTITUTE(DR28,"TM","")),"TS",""))*10/2,0))/COUNTIF('Eval-Avant action écologique'!$A$761:$A$780,CS11),"")</f>
        <v/>
      </c>
      <c r="DD11" s="211" t="str">
        <f>IF(COUNTIF('Eval-Avant action écologique'!$A$761:$A$780,CS11)&gt;0,SUM(IF('Eval-Avant action écologique'!$A$761=CS11,LEN(SUBSTITUTE((SUBSTITUTE(DR9,"TF","")),"TS",""))*10/2,0),IF('Eval-Avant action écologique'!$A$762=CS11,LEN(SUBSTITUTE((SUBSTITUTE(DR10,"TF","")),"TS",""))*10/2,0),IF('Eval-Avant action écologique'!$A$763=CS11,LEN(SUBSTITUTE((SUBSTITUTE(DR11,"TF","")),"TS",""))*10/2,0),IF('Eval-Avant action écologique'!$A$764=CS11,LEN(SUBSTITUTE((SUBSTITUTE(DR12,"TF","")),"TS",""))*10/2,0),IF('Eval-Avant action écologique'!$A$765=CS11,LEN(SUBSTITUTE((SUBSTITUTE(DR13,"TF","")),"TS",""))*10/2,0),IF('Eval-Avant action écologique'!$A$766=CS11,LEN(SUBSTITUTE((SUBSTITUTE(DR14,"TF","")),"TS",""))*10/2,0),IF('Eval-Avant action écologique'!$A$767=CS11,LEN(SUBSTITUTE((SUBSTITUTE(DR15,"TF","")),"TS",""))*10/2,0),IF('Eval-Avant action écologique'!$A$768=CS11,LEN(SUBSTITUTE((SUBSTITUTE(DR16,"TF","")),"TS",""))*10/2,0),IF('Eval-Avant action écologique'!$A$769=CS11,LEN(SUBSTITUTE((SUBSTITUTE(DR17,"TF","")),"TS",""))*10/2,0),IF('Eval-Avant action écologique'!$A$770=CS11,LEN(SUBSTITUTE((SUBSTITUTE(DR18,"TF","")),"TS",""))*10/2,0),IF('Eval-Avant action écologique'!$A$771=CS11,LEN(SUBSTITUTE((SUBSTITUTE(DR19,"TF","")),"TS",""))*10/2,0),IF('Eval-Avant action écologique'!$A$772=CS11,LEN(SUBSTITUTE((SUBSTITUTE(DR20,"TF","")),"TS",""))*10/2,0),IF('Eval-Avant action écologique'!$A$773=CS11,LEN(SUBSTITUTE((SUBSTITUTE(DR21,"TF","")),"TS",""))*10/2,0),IF('Eval-Avant action écologique'!$A$774=CS11,LEN(SUBSTITUTE((SUBSTITUTE(DR22,"TF","")),"TS",""))*10/2,0),IF('Eval-Avant action écologique'!$A$775=CS11,LEN(SUBSTITUTE((SUBSTITUTE(DR23,"TF","")),"TS",""))*10/2,0),IF('Eval-Avant action écologique'!$A$776=CS11,LEN(SUBSTITUTE((SUBSTITUTE(DR24,"TF","")),"TS",""))*10/2,0),IF('Eval-Avant action écologique'!$A$777=CS11,LEN(SUBSTITUTE((SUBSTITUTE(DR25,"TF","")),"TS",""))*10/2,0),IF('Eval-Avant action écologique'!$A$778=CS11,LEN(SUBSTITUTE((SUBSTITUTE(DR26,"TF","")),"TS",""))*10/2,0),IF('Eval-Avant action écologique'!$A$779=CS11,LEN(SUBSTITUTE((SUBSTITUTE(DR27,"TF","")),"TS",""))*10/2,0),IF('Eval-Avant action écologique'!$A$780=CS11,LEN(SUBSTITUTE((SUBSTITUTE(DR28,"TF","")),"TS",""))*10/2,0))/COUNTIF('Eval-Avant action écologique'!$A$761:$A$780,CS11),"")</f>
        <v/>
      </c>
      <c r="DE11" s="211" t="str">
        <f>IF(COUNTIF('Eval-Avant action écologique'!$A$761:$A$780,CS11)&gt;0,SUM(IF('Eval-Avant action écologique'!$A$761=CS11,LEN(SUBSTITUTE((SUBSTITUTE(DR9,"TF","")),"TM",""))*10/2,0),IF('Eval-Avant action écologique'!$A$762=CS11,LEN(SUBSTITUTE((SUBSTITUTE(DR10,"TF","")),"TM",""))*10/2,0),IF('Eval-Avant action écologique'!$A$763=CS11,LEN(SUBSTITUTE((SUBSTITUTE(DR11,"TF","")),"TM",""))*10/2,0),IF('Eval-Avant action écologique'!$A$764=CS11,LEN(SUBSTITUTE((SUBSTITUTE(DR12,"TF","")),"TM",""))*10/2,0),IF('Eval-Avant action écologique'!$A$765=CS11,LEN(SUBSTITUTE((SUBSTITUTE(DR13,"TF","")),"TM",""))*10/2,0),IF('Eval-Avant action écologique'!$A$766=CS11,LEN(SUBSTITUTE((SUBSTITUTE(DR14,"TF","")),"TM",""))*10/2,0),IF('Eval-Avant action écologique'!$A$767=CS11,LEN(SUBSTITUTE((SUBSTITUTE(DR15,"TF","")),"TM",""))*10/2,0),IF('Eval-Avant action écologique'!$A$768=CS11,LEN(SUBSTITUTE((SUBSTITUTE(DR16,"TF","")),"TM",""))*10/2,0),IF('Eval-Avant action écologique'!$A$769=CS11,LEN(SUBSTITUTE((SUBSTITUTE(DR17,"TF","")),"TM",""))*10/2,0),IF('Eval-Avant action écologique'!$A$770=CS11,LEN(SUBSTITUTE((SUBSTITUTE(DR18,"TF","")),"TM",""))*10/2,0),IF('Eval-Avant action écologique'!$A$771=CS11,LEN(SUBSTITUTE((SUBSTITUTE(DR19,"TF","")),"TM",""))*10/2,0),IF('Eval-Avant action écologique'!$A$772=CS11,LEN(SUBSTITUTE((SUBSTITUTE(DR20,"TF","")),"TM",""))*10/2,0),IF('Eval-Avant action écologique'!$A$773=CS11,LEN(SUBSTITUTE((SUBSTITUTE(DR21,"TF","")),"TM",""))*10/2,0),IF('Eval-Avant action écologique'!$A$774=CS11,LEN(SUBSTITUTE((SUBSTITUTE(DR22,"TF","")),"TM",""))*10/2,0),IF('Eval-Avant action écologique'!$A$775=CS11,LEN(SUBSTITUTE((SUBSTITUTE(DR23,"TF","")),"TM",""))*10/2,0),IF('Eval-Avant action écologique'!$A$776=CS11,LEN(SUBSTITUTE((SUBSTITUTE(DR24,"TF","")),"TM",""))*10/2,0),IF('Eval-Avant action écologique'!$A$777=CS11,LEN(SUBSTITUTE((SUBSTITUTE(DR25,"TF","")),"TM",""))*10/2,0),IF('Eval-Avant action écologique'!$A$778=CS11,LEN(SUBSTITUTE((SUBSTITUTE(DR26,"TF","")),"TM",""))*10/2,0),IF('Eval-Avant action écologique'!$A$779=CS11,LEN(SUBSTITUTE((SUBSTITUTE(DR27,"TF","")),"TM",""))*10/2,0),IF('Eval-Avant action écologique'!$A$780=CS11,LEN(SUBSTITUTE((SUBSTITUTE(DR28,"TF","")),"TM",""))*10/2,0))/COUNTIF('Eval-Avant action écologique'!$A$761:$A$780,CS11),"")</f>
        <v/>
      </c>
      <c r="DF11" s="211" t="str">
        <f>IF(COUNTIF('Eval-Avant action écologique'!$A$761:$A$780,CS11)&gt;0,SUM(IF('Eval-Avant action écologique'!$A$761=CS11,LEN(SUBSTITUTE((SUBSTITUTE(DS9,"TM","")),"TS",""))*10/2,0),IF('Eval-Avant action écologique'!$A$762=CS11,LEN(SUBSTITUTE((SUBSTITUTE(DS10,"TM","")),"TS",""))*10/2,0),IF('Eval-Avant action écologique'!$A$763=CS11,LEN(SUBSTITUTE((SUBSTITUTE(DS11,"TM","")),"TS",""))*10/2,0),IF('Eval-Avant action écologique'!$A$764=CS11,LEN(SUBSTITUTE((SUBSTITUTE(DS12,"TM","")),"TS",""))*10/2,0),IF('Eval-Avant action écologique'!$A$765=CS11,LEN(SUBSTITUTE((SUBSTITUTE(DS13,"TM","")),"TS",""))*10/2,0),IF('Eval-Avant action écologique'!$A$766=CS11,LEN(SUBSTITUTE((SUBSTITUTE(DS14,"TM","")),"TS",""))*10/2,0),IF('Eval-Avant action écologique'!$A$767=CS11,LEN(SUBSTITUTE((SUBSTITUTE(DS15,"TM","")),"TS",""))*10/2,0),IF('Eval-Avant action écologique'!$A$768=CS11,LEN(SUBSTITUTE((SUBSTITUTE(DS16,"TM","")),"TS",""))*10/2,0),IF('Eval-Avant action écologique'!$A$769=CS11,LEN(SUBSTITUTE((SUBSTITUTE(DS17,"TM","")),"TS",""))*10/2,0),IF('Eval-Avant action écologique'!$A$770=CS11,LEN(SUBSTITUTE((SUBSTITUTE(DS18,"TM","")),"TS",""))*10/2,0),IF('Eval-Avant action écologique'!$A$771=CS11,LEN(SUBSTITUTE((SUBSTITUTE(DS19,"TM","")),"TS",""))*10/2,0),IF('Eval-Avant action écologique'!$A$772=CS11,LEN(SUBSTITUTE((SUBSTITUTE(DS20,"TM","")),"TS",""))*10/2,0),IF('Eval-Avant action écologique'!$A$773=CS11,LEN(SUBSTITUTE((SUBSTITUTE(DS21,"TM","")),"TS",""))*10/2,0),IF('Eval-Avant action écologique'!$A$774=CS11,LEN(SUBSTITUTE((SUBSTITUTE(DS22,"TM","")),"TS",""))*10/2,0),IF('Eval-Avant action écologique'!$A$775=CS11,LEN(SUBSTITUTE((SUBSTITUTE(DS23,"TM","")),"TS",""))*10/2,0),IF('Eval-Avant action écologique'!$A$776=CS11,LEN(SUBSTITUTE((SUBSTITUTE(DS24,"TM","")),"TS",""))*10/2,0),IF('Eval-Avant action écologique'!$A$777=CS11,LEN(SUBSTITUTE((SUBSTITUTE(DS25,"TM","")),"TS",""))*10/2,0),IF('Eval-Avant action écologique'!$A$778=CS11,LEN(SUBSTITUTE((SUBSTITUTE(DS26,"TM","")),"TS",""))*10/2,0),IF('Eval-Avant action écologique'!$A$779=CS11,LEN(SUBSTITUTE((SUBSTITUTE(DS27,"TM","")),"TS",""))*10/2,0),IF('Eval-Avant action écologique'!$A$780=CS11,LEN(SUBSTITUTE((SUBSTITUTE(DS28,"TM","")),"TS",""))*10/2,0))/COUNTIF('Eval-Avant action écologique'!$A$761:$A$780,CS11),"")</f>
        <v/>
      </c>
      <c r="DG11" s="211" t="str">
        <f>IF(COUNTIF('Eval-Avant action écologique'!$A$761:$A$780,CS11)&gt;0,SUM(IF('Eval-Avant action écologique'!$A$761=CS11,LEN(SUBSTITUTE((SUBSTITUTE(DS9,"TF","")),"TS",""))*10/2,0),IF('Eval-Avant action écologique'!$A$762=CS11,LEN(SUBSTITUTE((SUBSTITUTE(DS10,"TF","")),"TS",""))*10/2,0),IF('Eval-Avant action écologique'!$A$763=CS11,LEN(SUBSTITUTE((SUBSTITUTE(DS11,"TF","")),"TS",""))*10/2,0),IF('Eval-Avant action écologique'!$A$764=CS11,LEN(SUBSTITUTE((SUBSTITUTE(DS12,"TF","")),"TS",""))*10/2,0),IF('Eval-Avant action écologique'!$A$765=CS11,LEN(SUBSTITUTE((SUBSTITUTE(DS13,"TF","")),"TS",""))*10/2,0),IF('Eval-Avant action écologique'!$A$766=CS11,LEN(SUBSTITUTE((SUBSTITUTE(DS14,"TF","")),"TS",""))*10/2,0),IF('Eval-Avant action écologique'!$A$767=CS11,LEN(SUBSTITUTE((SUBSTITUTE(DS15,"TF","")),"TS",""))*10/2,0),IF('Eval-Avant action écologique'!$A$768=CS11,LEN(SUBSTITUTE((SUBSTITUTE(DS16,"TF","")),"TS",""))*10/2,0),IF('Eval-Avant action écologique'!$A$769=CS11,LEN(SUBSTITUTE((SUBSTITUTE(DS17,"TF","")),"TS",""))*10/2,0),IF('Eval-Avant action écologique'!$A$770=CS11,LEN(SUBSTITUTE((SUBSTITUTE(DS18,"TF","")),"TS",""))*10/2,0),IF('Eval-Avant action écologique'!$A$771=CS11,LEN(SUBSTITUTE((SUBSTITUTE(DS19,"TF","")),"TS",""))*10/2,0),IF('Eval-Avant action écologique'!$A$772=CS11,LEN(SUBSTITUTE((SUBSTITUTE(DS20,"TF","")),"TS",""))*10/2,0),IF('Eval-Avant action écologique'!$A$773=CS11,LEN(SUBSTITUTE((SUBSTITUTE(DS21,"TF","")),"TS",""))*10/2,0),IF('Eval-Avant action écologique'!$A$774=CS11,LEN(SUBSTITUTE((SUBSTITUTE(DS22,"TF","")),"TS",""))*10/2,0),IF('Eval-Avant action écologique'!$A$775=CS11,LEN(SUBSTITUTE((SUBSTITUTE(DS23,"TF","")),"TS",""))*10/2,0),IF('Eval-Avant action écologique'!$A$776=CS11,LEN(SUBSTITUTE((SUBSTITUTE(DS24,"TF","")),"TS",""))*10/2,0),IF('Eval-Avant action écologique'!$A$777=CS11,LEN(SUBSTITUTE((SUBSTITUTE(DS25,"TF","")),"TS",""))*10/2,0),IF('Eval-Avant action écologique'!$A$778=CS11,LEN(SUBSTITUTE((SUBSTITUTE(DS26,"TF","")),"TS",""))*10/2,0),IF('Eval-Avant action écologique'!$A$779=CS11,LEN(SUBSTITUTE((SUBSTITUTE(DS27,"TF","")),"TS",""))*10/2,0),IF('Eval-Avant action écologique'!$A$780=CS11,LEN(SUBSTITUTE((SUBSTITUTE(DS28,"TF","")),"TS",""))*10/2,0))/COUNTIF('Eval-Avant action écologique'!$A$761:$A$780,CS11),"")</f>
        <v/>
      </c>
      <c r="DH11" s="211" t="str">
        <f>IF(COUNTIF('Eval-Avant action écologique'!$A$761:$A$780,CS11)&gt;0,SUM(IF('Eval-Avant action écologique'!$A$761=CS11,LEN(SUBSTITUTE((SUBSTITUTE(DS9,"TF","")),"TM",""))*10/2,0),IF('Eval-Avant action écologique'!$A$762=CS11,LEN(SUBSTITUTE((SUBSTITUTE(DS10,"TF","")),"TM",""))*10/2,0),IF('Eval-Avant action écologique'!$A$763=CS11,LEN(SUBSTITUTE((SUBSTITUTE(DS11,"TF","")),"TM",""))*10/2,0),IF('Eval-Avant action écologique'!$A$764=CS11,LEN(SUBSTITUTE((SUBSTITUTE(DS12,"TF","")),"TM",""))*10/2,0),IF('Eval-Avant action écologique'!$A$765=CS11,LEN(SUBSTITUTE((SUBSTITUTE(DS13,"TF","")),"TM",""))*10/2,0),IF('Eval-Avant action écologique'!$A$766=CS11,LEN(SUBSTITUTE((SUBSTITUTE(DS14,"TF","")),"TM",""))*10/2,0),IF('Eval-Avant action écologique'!$A$767=CS11,LEN(SUBSTITUTE((SUBSTITUTE(DS15,"TF","")),"TM",""))*10/2,0),IF('Eval-Avant action écologique'!$A$768=CS11,LEN(SUBSTITUTE((SUBSTITUTE(DS16,"TF","")),"TM",""))*10/2,0),IF('Eval-Avant action écologique'!$A$769=CS11,LEN(SUBSTITUTE((SUBSTITUTE(DS17,"TF","")),"TM",""))*10/2,0),IF('Eval-Avant action écologique'!$A$770=CS11,LEN(SUBSTITUTE((SUBSTITUTE(DS18,"TF","")),"TM",""))*10/2,0),IF('Eval-Avant action écologique'!$A$771=CS11,LEN(SUBSTITUTE((SUBSTITUTE(DS19,"TF","")),"TM",""))*10/2,0),IF('Eval-Avant action écologique'!$A$772=CS11,LEN(SUBSTITUTE((SUBSTITUTE(DS20,"TF","")),"TM",""))*10/2,0),IF('Eval-Avant action écologique'!$A$773=CS11,LEN(SUBSTITUTE((SUBSTITUTE(DS21,"TF","")),"TM",""))*10/2,0),IF('Eval-Avant action écologique'!$A$774=CS11,LEN(SUBSTITUTE((SUBSTITUTE(DS22,"TF","")),"TM",""))*10/2,0),IF('Eval-Avant action écologique'!$A$775=CS11,LEN(SUBSTITUTE((SUBSTITUTE(DS23,"TF","")),"TM",""))*10/2,0),IF('Eval-Avant action écologique'!$A$776=CS11,LEN(SUBSTITUTE((SUBSTITUTE(DS24,"TF","")),"TM",""))*10/2,0),IF('Eval-Avant action écologique'!$A$777=CS11,LEN(SUBSTITUTE((SUBSTITUTE(DS25,"TF","")),"TM",""))*10/2,0),IF('Eval-Avant action écologique'!$A$778=CS11,LEN(SUBSTITUTE((SUBSTITUTE(DS26,"TF","")),"TM",""))*10/2,0),IF('Eval-Avant action écologique'!$A$779=CS11,LEN(SUBSTITUTE((SUBSTITUTE(DS27,"TF","")),"TM",""))*10/2,0),IF('Eval-Avant action écologique'!$A$780=CS11,LEN(SUBSTITUTE((SUBSTITUTE(DS28,"TF","")),"TM",""))*10/2,0))/COUNTIF('Eval-Avant action écologique'!$A$761:$A$780,CS11),"")</f>
        <v/>
      </c>
      <c r="DI11" s="211" t="str">
        <f>IF(COUNTIF('Eval-Avant action écologique'!$A$761:$A$780,CS11)&gt;0,IF(OR(AND('Eval-Avant action écologique'!$A$761=CS11,DP9&lt;30),AND('Eval-Avant action écologique'!$A$762=CS11,DP10&lt;30),AND('Eval-Avant action écologique'!$A$763=CS11,DP11&lt;30),AND('Eval-Avant action écologique'!$A$764=CS11,DP12&lt;30),AND('Eval-Avant action écologique'!$A$765=CS11,DP13&lt;30),AND('Eval-Avant action écologique'!$A$766=CS11,DP14&lt;30),AND('Eval-Avant action écologique'!$A$767=CS11,DP15&lt;30),AND('Eval-Avant action écologique'!$A$768=CS11,DP16&lt;30),AND('Eval-Avant action écologique'!$A$769=CS11,DP17&lt;30),AND('Eval-Avant action écologique'!$A$770=CS11,DP18&lt;30),AND('Eval-Avant action écologique'!$A$771=CS11,DP19&lt;30),AND('Eval-Avant action écologique'!$A$772=CS11,DP20&lt;30),AND('Eval-Avant action écologique'!$A$773=CS11,DP21&lt;30),AND('Eval-Avant action écologique'!$A$774=CS11,DP22&lt;30),AND('Eval-Avant action écologique'!$A$775=CS11,DP23&lt;30),AND('Eval-Avant action écologique'!$A$776=CS11,DP24&lt;30),AND('Eval-Avant action écologique'!$A$777=CS11,DP25&lt;30),AND('Eval-Avant action écologique'!$A$778=CS11,DP26&lt;30),AND('Eval-Avant action écologique'!$A$779=CS11,DP27&lt;30),AND('Eval-Avant action écologique'!$A$780=CS11,DP28&lt;30)),"",SUM(0.1*(SUMPRODUCT(('Eval-Avant action écologique'!$A$761:$A$780=CS11)*('Eval-Avant action écologique'!$N$761:$P$780="A"))+ SUMPRODUCT(('Eval-Avant action écologique'!$A$761:$A$780=CS11)*('Eval-Avant action écologique'!$N$761:$P$780="AL"))),0.7*(SUMPRODUCT(('Eval-Avant action écologique'!$A$761:$A$780=CS11)*('Eval-Avant action écologique'!$N$761:$P$780="TF"))+SUMPRODUCT(('Eval-Avant action écologique'!$A$761:$A$780=CS11)*('Eval-Avant action écologique'!$N$761:$P$780="TM"))+SUMPRODUCT(('Eval-Avant action écologique'!$A$761:$A$780=CS11)*('Eval-Avant action écologique'!$N$761:$P$780="TS"))),0.4*(SUMPRODUCT(('Eval-Avant action écologique'!$A$761:$A$780=CS11)*('Eval-Avant action écologique'!$N$761:$P$780="LA"))+SUMPRODUCT(('Eval-Avant action écologique'!$A$761:$A$780=CS11)*('Eval-Avant action écologique'!$N$761:$P$780="L"))+SUMPRODUCT(('Eval-Avant action écologique'!$A$761:$A$780=CS11)*('Eval-Avant action écologique'!$N$761:$P$780="LS"))),1*(SUMPRODUCT(('Eval-Avant action écologique'!$A$761:$A$780=CS11)*('Eval-Avant action écologique'!$N$761:$P$780="SL"))+ SUMPRODUCT(('Eval-Avant action écologique'!$A$761:$A$780=CS11)*('Eval-Avant action écologique'!$N$761:$P$780="S"))))/(3*COUNTIF('Eval-Avant action écologique'!$A$761:$A$780,CS11))),"")</f>
        <v/>
      </c>
      <c r="DJ11" s="211" t="str">
        <f>IF(COUNTIF('Eval-Avant action écologique'!$A$761:$A$780,CS11)&gt;0,IF(OR(AND('Eval-Avant action écologique'!$A$761=CS11,DP9&lt;120),AND('Eval-Avant action écologique'!$A$762=CS11,DP10&lt;120),AND('Eval-Avant action écologique'!$A$763=CS11,DP11&lt;120),AND('Eval-Avant action écologique'!$A$764=CS11,DP12&lt;120),AND('Eval-Avant action écologique'!$A$765=CS11,DP13&lt;120),AND('Eval-Avant action écologique'!$A$766=CS11,DP14&lt;120),AND('Eval-Avant action écologique'!$A$767=CS11,DP15&lt;120),AND('Eval-Avant action écologique'!$A$768=CS11,DP16&lt;120),AND('Eval-Avant action écologique'!$A$769=CS11,DP17&lt;120),AND('Eval-Avant action écologique'!$A$770=CS11,DP18&lt;120),AND('Eval-Avant action écologique'!$A$771=CS11,DP19&lt;120),AND('Eval-Avant action écologique'!$A$772=CS11,DP20&lt;120),AND('Eval-Avant action écologique'!$A$773=CS11,DP21&lt;120),AND('Eval-Avant action écologique'!$A$774=CS11,DP22&lt;120),AND('Eval-Avant action écologique'!$A$775=CS11,DP23&lt;120),AND('Eval-Avant action écologique'!$A$776=CS11,DP24&lt;120),AND('Eval-Avant action écologique'!$A$777=CS11,DP25&lt;120),AND('Eval-Avant action écologique'!$A$778=CS11,DP26&lt;120),AND('Eval-Avant action écologique'!$A$779=CS11,DP27&lt;120),AND('Eval-Avant action écologique'!$A$780=CS11,DP28&lt;120)),"",SUM(0.1*(SUMPRODUCT(('Eval-Avant action écologique'!$A$761:$A$780=CS11)*('Eval-Avant action écologique'!$Q$761:$Y$780="A"))+ SUMPRODUCT(('Eval-Avant action écologique'!$A$761:$A$780=CS11)*('Eval-Avant action écologique'!$Q$761:$Y$780="AL"))),0.7*(SUMPRODUCT(('Eval-Avant action écologique'!$A$761:$A$780=CS11)*('Eval-Avant action écologique'!$Q$761:$Y$780="TF"))+SUMPRODUCT(('Eval-Avant action écologique'!$A$761:$A$780=CS11)*('Eval-Avant action écologique'!$Q$761:$Y$780="TM"))+SUMPRODUCT(('Eval-Avant action écologique'!$A$761:$A$780=CS11)*('Eval-Avant action écologique'!$Q$761:$Y$780="TS"))),0.4*(SUMPRODUCT(('Eval-Avant action écologique'!$A$761:$A$780=CS11)*('Eval-Avant action écologique'!$Q$761:$Y$780="LA"))+SUMPRODUCT(('Eval-Avant action écologique'!$A$761:$A$780=CS11)*('Eval-Avant action écologique'!$Q$761:$Y$780="L"))+SUMPRODUCT(('Eval-Avant action écologique'!$A$761:$A$780=CS11)*('Eval-Avant action écologique'!$Q$761:$Y$780="LS"))),1*(SUMPRODUCT(('Eval-Avant action écologique'!$A$761:$A$780=CS11)*('Eval-Avant action écologique'!$Q$761:$Y$780="SL"))+ SUMPRODUCT(('Eval-Avant action écologique'!$A$761:$A$780=CS11)*('Eval-Avant action écologique'!$Q$761:$Y$780="S"))))/(9*COUNTIF('Eval-Avant action écologique'!$A$761:$A$780,CS11))),"")</f>
        <v/>
      </c>
      <c r="DK11" s="211" t="str">
        <f>IF(COUNTIF('Eval-Avant action écologique'!$A$761:$A$780,CS11)&gt;0,IF(OR(AND('Eval-Avant action écologique'!$A$761=CS11,OR(COUNTIF('Eval-Avant action écologique'!$N$761:$P$761,"*T*")&gt;0,DP9&lt;30)),AND('Eval-Avant action écologique'!$A$762=CS11,OR(COUNTIF('Eval-Avant action écologique'!$N$762:$P$762,"*T*")&gt;0,DP10&lt;30)),AND('Eval-Avant action écologique'!$A$763=CS11,OR(COUNTIF('Eval-Avant action écologique'!$N$763:$P$763,"*T*")&gt;0,DP11&lt;30)),AND('Eval-Avant action écologique'!$A$764=CS11,OR(COUNTIF('Eval-Avant action écologique'!$N$764:$P$764,"*T*")&gt;0,DP12&lt;30)),AND('Eval-Avant action écologique'!$A$765=CS11,OR(COUNTIF('Eval-Avant action écologique'!$N$765:$P$765,"*T*")&gt;0,DP13&lt;30)),AND('Eval-Avant action écologique'!$A$766=CS11,OR(COUNTIF('Eval-Avant action écologique'!$N$766:$P$766,"*T*")&gt;0,DP14&lt;30)),AND('Eval-Avant action écologique'!$A$767=CS11,OR(COUNTIF('Eval-Avant action écologique'!$N$767:$P$767,"*T*")&gt;0,DP15&lt;30)),AND('Eval-Avant action écologique'!$A$768=CS11,OR(COUNTIF('Eval-Avant action écologique'!$N$768:$P$768,"*T*")&gt;0,DP16&lt;30)),AND('Eval-Avant action écologique'!$A$769=CS11,OR(COUNTIF('Eval-Avant action écologique'!$N$769:$P$769,"*T*")&gt;0,DP17&lt;30)),AND('Eval-Avant action écologique'!$A$770=CS11,OR(COUNTIF('Eval-Avant action écologique'!$N$770:$P$770,"*T*")&gt;0,DP18&lt;30)),AND('Eval-Avant action écologique'!$A$771=CS11,OR(COUNTIF('Eval-Avant action écologique'!$N$771:$P$771,"*T*")&gt;0,DP19&lt;30)),AND('Eval-Avant action écologique'!$A$772=CS11,OR(COUNTIF('Eval-Avant action écologique'!$N$772:$P$772,"*T*")&gt;0,DP20&lt;30)),AND('Eval-Avant action écologique'!$A$773=CS11,OR(COUNTIF('Eval-Avant action écologique'!$N$773:$P$773,"*T*")&gt;0,DP21&lt;30)),AND('Eval-Avant action écologique'!$A$774=CS11,OR(COUNTIF('Eval-Avant action écologique'!$N$774:$P$774,"*T*")&gt;0,DP22&lt;30)),AND('Eval-Avant action écologique'!$A$775=CS11,OR(COUNTIF('Eval-Avant action écologique'!$N$775:$P$775,"*T*")&gt;0,DP23&lt;30)),AND('Eval-Avant action écologique'!$A$776=CS11,OR(COUNTIF('Eval-Avant action écologique'!$N$776:$P$776,"*T*")&gt;0,DP24&lt;30)),AND('Eval-Avant action écologique'!$A$777=CS11,OR(COUNTIF('Eval-Avant action écologique'!$N$777:$P$777,"*T*")&gt;0,DP25&lt;30)),AND('Eval-Avant action écologique'!$A$778=CS11,OR(COUNTIF('Eval-Avant action écologique'!$N$778:$P$778,"*T*")&gt;0,DP26&lt;30)),AND('Eval-Avant action écologique'!$A$779=CS11,OR(COUNTIF('Eval-Avant action écologique'!$N$779:$P$779,"*T*")&gt;0,DP27&lt;30)),AND('Eval-Avant action écologique'!$A$780=CS11,OR(COUNTIF('Eval-Avant action écologique'!$N$780:$P$780,"*T*")&gt;0,DP28&lt;30))),"",SUM(0.1*(SUMPRODUCT(('Eval-Avant action écologique'!$A$761:$A$780=CS11)*('Eval-Avant action écologique'!$N$761:$P$780="L"))),0.4*(SUMPRODUCT(('Eval-Avant action écologique'!$A$761:$A$780=CS11)*('Eval-Avant action écologique'!$N$761:$P$780="LA"))+SUMPRODUCT(('Eval-Avant action écologique'!$A$761:$A$780=CS11)*('Eval-Avant action écologique'!$N$761:$P$780="LS"))),0.7*(SUMPRODUCT(('Eval-Avant action écologique'!$A$761:$A$780=CS11)*('Eval-Avant action écologique'!$N$761:$P$780="AL"))+SUMPRODUCT(('Eval-Avant action écologique'!$A$761:$A$780=CS11)*('Eval-Avant action écologique'!$N$761:$P$780="SL"))),1*(SUMPRODUCT(('Eval-Avant action écologique'!$A$761:$A$780=CS11)*('Eval-Avant action écologique'!$N$761:$P$780="S"))+ SUMPRODUCT(('Eval-Avant action écologique'!$A$761:$A$780=CS11)*('Eval-Avant action écologique'!$N$761:$P$780="A"))))/(3*COUNTIF('Eval-Avant action écologique'!$A$761:$A$780,CS11))),"")</f>
        <v/>
      </c>
      <c r="DL11" s="211" t="str">
        <f>IF(COUNTIF('Eval-Avant action écologique'!$A$761:$A$780,CS11)&gt;0,IF(OR(AND('Eval-Avant action écologique'!$A$761=CS11,OR(COUNTIF('Eval-Avant action écologique'!$N$761:$P$761,"*T*")&gt;0,DP9&lt;30)),AND('Eval-Avant action écologique'!$A$762=CS11,OR(COUNTIF('Eval-Avant action écologique'!$N$762:$P$762,"*T*")&gt;0,DP10&lt;30)),AND('Eval-Avant action écologique'!$A$763=CS11,OR(COUNTIF('Eval-Avant action écologique'!$N$763:$P$763,"*T*")&gt;0,DP11&lt;30)),AND('Eval-Avant action écologique'!$A$764=CS11,OR(COUNTIF('Eval-Avant action écologique'!$N$764:$P$764,"*T*")&gt;0,DP12&lt;30)),AND('Eval-Avant action écologique'!$A$765=CS11,OR(COUNTIF('Eval-Avant action écologique'!$N$765:$P$765,"*T*")&gt;0,DP13&lt;30)),AND('Eval-Avant action écologique'!$A$766=CS11,OR(COUNTIF('Eval-Avant action écologique'!$N$766:$P$766,"*T*")&gt;0,DP14&lt;30)),AND('Eval-Avant action écologique'!$A$767=CS11,OR(COUNTIF('Eval-Avant action écologique'!$N$767:$P$767,"*T*")&gt;0,DP15&lt;30)),AND('Eval-Avant action écologique'!$A$768=CS11,OR(COUNTIF('Eval-Avant action écologique'!$N$768:$P$768,"*T*")&gt;0,DP16&lt;30)),AND('Eval-Avant action écologique'!$A$769=CS11,OR(COUNTIF('Eval-Avant action écologique'!$N$769:$P$769,"*T*")&gt;0,DP17&lt;30)),AND('Eval-Avant action écologique'!$A$770=CS11,OR(COUNTIF('Eval-Avant action écologique'!$N$770:$P$770,"*T*")&gt;0,DP18&lt;30)),AND('Eval-Avant action écologique'!$A$771=CS11,OR(COUNTIF('Eval-Avant action écologique'!$N$771:$P$771,"*T*")&gt;0,DP19&lt;30)),AND('Eval-Avant action écologique'!$A$772=CS11,OR(COUNTIF('Eval-Avant action écologique'!$N$772:$P$772,"*T*")&gt;0,DP20&lt;30)),AND('Eval-Avant action écologique'!$A$773=CS11,OR(COUNTIF('Eval-Avant action écologique'!$N$773:$P$773,"*T*")&gt;0,DP21&lt;30)),AND('Eval-Avant action écologique'!$A$774=CS11,OR(COUNTIF('Eval-Avant action écologique'!$N$774:$P$774,"*T*")&gt;0,DP22&lt;30)),AND('Eval-Avant action écologique'!$A$775=CS11,OR(COUNTIF('Eval-Avant action écologique'!$N$775:$P$775,"*T*")&gt;0,DP23&lt;30)),AND('Eval-Avant action écologique'!$A$776=CS11,OR(COUNTIF('Eval-Avant action écologique'!$N$776:$P$776,"*T*")&gt;0,DP24&lt;30)),AND('Eval-Avant action écologique'!$A$777=CS11,OR(COUNTIF('Eval-Avant action écologique'!$N$777:$P$777,"*T*")&gt;0,DP25&lt;30)),AND('Eval-Avant action écologique'!$A$778=CS11,OR(COUNTIF('Eval-Avant action écologique'!$N$778:$P$778,"*T*")&gt;0,DP26&lt;30)),AND('Eval-Avant action écologique'!$A$779=CS11,OR(COUNTIF('Eval-Avant action écologique'!$N$779:$P$779,"*T*")&gt;0,DP27&lt;30)),AND('Eval-Avant action écologique'!$A$780=CS11,OR(COUNTIF('Eval-Avant action écologique'!$N$780:$P$780,"*T*")&gt;0,DP28&lt;30))),"",SUM(1*(SUMPRODUCT(('Eval-Avant action écologique'!$A$761:$A$780=CS11)*('Eval-Avant action écologique'!$N$761:$P$780="A"))),0.85*(SUMPRODUCT(('Eval-Avant action écologique'!$A$761:$A$780=CS11)*('Eval-Avant action écologique'!$N$761:$P$780="AL"))),0.7*(SUMPRODUCT(('Eval-Avant action écologique'!$A$761:$A$780=CS11)*('Eval-Avant action écologique'!$N$761:$P$780="LA"))),0.55*(SUMPRODUCT(('Eval-Avant action écologique'!$A$761:$A$780=CS11)*('Eval-Avant action écologique'!$N$761:$P$780="L"))),0.4*(SUMPRODUCT(('Eval-Avant action écologique'!$A$761:$A$780=CS11)*('Eval-Avant action écologique'!$N$761:$P$780="LS"))),0.25*(SUMPRODUCT(('Eval-Avant action écologique'!$A$761:$A$780=CS11)*('Eval-Avant action écologique'!$N$761:$P$780="SL"))),0.1*(SUMPRODUCT(('Eval-Avant action écologique'!$A$761:$A$780=CS11)*('Eval-Avant action écologique'!$N$761:$P$780="S"))))/(3*COUNTIF('Eval-Avant action écologique'!$A$761:$A$780,CS11))),"")</f>
        <v/>
      </c>
      <c r="DM11" s="214" t="str">
        <f>IF(COUNTIF('Eval-Avant action écologique'!$A$761:$A$780,CS11)&gt;0,IF(OR(AND('Eval-Avant action écologique'!$A$761=CS11,OR(COUNTIF('Eval-Avant action écologique'!$Q$761:$Y$761,"*T*")&gt;0,DP9&lt;120)),AND('Eval-Avant action écologique'!$A$762=CS11,OR(COUNTIF('Eval-Avant action écologique'!$Q$762:$Y$762,"*T*")&gt;0,DP10&lt;120)),AND('Eval-Avant action écologique'!$A$763=CS11,OR(COUNTIF('Eval-Avant action écologique'!$Q$763:$Y$763,"*T*")&gt;0,DP11&lt;120)),AND('Eval-Avant action écologique'!$A$764=CS11,OR(COUNTIF('Eval-Avant action écologique'!$Q$764:$Y$764,"*T*")&gt;0,DP12&lt;120)),AND('Eval-Avant action écologique'!$A$765=CS11,OR(COUNTIF('Eval-Avant action écologique'!$Q$765:$Y$765,"*T*")&gt;0,DP13&lt;120)),AND('Eval-Avant action écologique'!$A$766=CS11,OR(COUNTIF('Eval-Avant action écologique'!$Q$766:$Y$766,"*T*")&gt;0,DP14&lt;120)),AND('Eval-Avant action écologique'!$A$767=CS11,OR(COUNTIF('Eval-Avant action écologique'!$Q$767:$Y$767,"*T*")&gt;0,DP15&lt;120)),AND('Eval-Avant action écologique'!$A$768=CS11,OR(COUNTIF('Eval-Avant action écologique'!$Q$768:$Y$768,"*T*")&gt;0,DP16&lt;120)),AND('Eval-Avant action écologique'!$A$769=CS11,OR(COUNTIF('Eval-Avant action écologique'!$Q$769:$Y$769,"*T*")&gt;0,DP17&lt;120)),AND('Eval-Avant action écologique'!$A$770=CS11,OR(COUNTIF('Eval-Avant action écologique'!$Q$770:$Y$770,"*T*")&gt;0,DP18&lt;120)),AND('Eval-Avant action écologique'!$A$771=CS11,OR(COUNTIF('Eval-Avant action écologique'!$Q$771:$Y$771,"*T*")&gt;0,DP19&lt;120)),AND('Eval-Avant action écologique'!$A$772=CS11,OR(COUNTIF('Eval-Avant action écologique'!$Q$772:$Y$772,"*T*")&gt;0,DP20&lt;120)),AND('Eval-Avant action écologique'!$A$773=CS11,OR(COUNTIF('Eval-Avant action écologique'!$Q$773:$Y$773,"*T*")&gt;0,DP21&lt;120)),AND('Eval-Avant action écologique'!$A$774=CS11,OR(COUNTIF('Eval-Avant action écologique'!$Q$774:$Y$774,"*T*")&gt;0,DP22&lt;120)),AND('Eval-Avant action écologique'!$A$775=CS11,OR(COUNTIF('Eval-Avant action écologique'!$Q$775:$Y$775,"*T*")&gt;0,DP23&lt;120)),AND('Eval-Avant action écologique'!$A$776=CS11,OR(COUNTIF('Eval-Avant action écologique'!$Q$776:$Y$776,"*T*")&gt;0,DP24&lt;120)),AND('Eval-Avant action écologique'!$A$777=CS11,OR(COUNTIF('Eval-Avant action écologique'!$Q$777:$Y$777,"*T*")&gt;0,DP25&lt;120)),AND('Eval-Avant action écologique'!$A$778=CS11,OR(COUNTIF('Eval-Avant action écologique'!$Q$778:$Y$778,"*T*")&gt;0,DP26&lt;120)),AND('Eval-Avant action écologique'!$A$779=CS11,OR(COUNTIF('Eval-Avant action écologique'!$Q$779:$Y$779,"*T*")&gt;0,DP27&lt;120)),AND('Eval-Avant action écologique'!$A$780=CS11,OR(COUNTIF('Eval-Avant action écologique'!$Q$780:$Y$780,"*T*")&gt;0,DP28&lt;120))),"",SUM(1*(SUMPRODUCT(('Eval-Avant action écologique'!$A$761:$A$780=CS11)*('Eval-Avant action écologique'!$Q$761:$Y$780="A"))),0.85*(SUMPRODUCT(('Eval-Avant action écologique'!$A$761:$A$780=CS11)*('Eval-Avant action écologique'!$Q$761:$Y$780="AL"))),0.7*(SUMPRODUCT(('Eval-Avant action écologique'!$A$761:$A$780=CS11)*('Eval-Avant action écologique'!$Q$761:$Y$780="LA"))),0.55*(SUMPRODUCT(('Eval-Avant action écologique'!$A$761:$A$780=CS11)*('Eval-Avant action écologique'!$Q$761:$Y$780="L"))),0.4*(SUMPRODUCT(('Eval-Avant action écologique'!$A$761:$A$780=CS11)*('Eval-Avant action écologique'!$Q$761:$Y$780="LS"))),0.25*(SUMPRODUCT(('Eval-Avant action écologique'!$A$761:$A$780=CS11)*('Eval-Avant action écologique'!$Q$761:$Y$780="SL"))),0.1*(SUMPRODUCT(('Eval-Avant action écologique'!$A$761:$A$780=CS11)*('Eval-Avant action écologique'!$Q$761:$Y$780="S"))))/(9*COUNTIF('Eval-Avant action écologique'!$A$761:$A$780,CS11))),"")</f>
        <v/>
      </c>
      <c r="DN11" s="215"/>
      <c r="DO11" s="216">
        <f>'Eval-Avant action écologique'!$D$763</f>
        <v>3</v>
      </c>
      <c r="DP11" s="217" t="str">
        <f>IF(DQ11="C",0,IF(IF(COUNTIF('Eval-Avant action écologique'!$N$763:$Y$763,"=C")&gt;0,(COUNTA('Eval-Avant action écologique'!$N$763:$Y$763)-1)*10,COUNTA('Eval-Avant action écologique'!$N$763:$Y$763)*10)=0,"",IF(COUNTIF('Eval-Avant action écologique'!$N$763:$Y$763,"=C")&gt;0,(COUNTA('Eval-Avant action écologique'!$N$763:$Y$763)-1)*10,COUNTA('Eval-Avant action écologique'!$N$763:$Y$763)*10)))</f>
        <v/>
      </c>
      <c r="DQ11" s="217" t="str">
        <f>CONCATENATE('Eval-Avant action écologique'!$N$763,'Eval-Avant action écologique'!$O$763,'Eval-Avant action écologique'!$P$763,'Eval-Avant action écologique'!$Q$763,'Eval-Avant action écologique'!$R$763,'Eval-Avant action écologique'!$S$763,'Eval-Avant action écologique'!$T$763,'Eval-Avant action écologique'!$U$763,'Eval-Avant action écologique'!$V$763,'Eval-Avant action écologique'!$W$763,'Eval-Avant action écologique'!$X$763,'Eval-Avant action écologique'!$Y$763)</f>
        <v/>
      </c>
      <c r="DR11" s="217" t="str">
        <f t="shared" si="12"/>
        <v/>
      </c>
      <c r="DS11" s="217" t="str">
        <f t="shared" si="13"/>
        <v/>
      </c>
      <c r="DT11" s="217" t="str">
        <f>IF(COUNTIF('Eval-Avant action écologique'!$N$763:$Y$763,"=C")&gt;0,"X","")</f>
        <v/>
      </c>
      <c r="DU11" s="217" t="str">
        <f t="shared" si="14"/>
        <v/>
      </c>
      <c r="DV11" s="218" t="str">
        <f t="shared" si="15"/>
        <v/>
      </c>
      <c r="DW11" s="197"/>
      <c r="DY11" s="210">
        <v>3</v>
      </c>
      <c r="DZ11" s="211" t="str">
        <f>IF(COUNTIF('Eval-Avec act. écol. envisagée'!$A$761:$A$780,DY11)&gt;0,SUM(IF('Eval-Avec act. écol. envisagée'!$A$761=DY11,'Eval-Avec act. écol. envisagée'!$B$761,0),IF('Eval-Avec act. écol. envisagée'!$A$762=DY11, 'Eval-Avec act. écol. envisagée'!$B$762,0),IF('Eval-Avec act. écol. envisagée'!$A$763=DY11, 'Eval-Avec act. écol. envisagée'!$B$763,0),IF('Eval-Avec act. écol. envisagée'!$A$764=DY11, 'Eval-Avec act. écol. envisagée'!$B$764,0),IF('Eval-Avec act. écol. envisagée'!$A$765=DY11, 'Eval-Avec act. écol. envisagée'!$B$765,0),IF('Eval-Avec act. écol. envisagée'!$A$766=DY11, 'Eval-Avec act. écol. envisagée'!$B$766,0),IF('Eval-Avec act. écol. envisagée'!$A$767=DY11, 'Eval-Avec act. écol. envisagée'!$B$767,0),IF('Eval-Avec act. écol. envisagée'!$A$768=DY11, 'Eval-Avec act. écol. envisagée'!$B$768,0),IF('Eval-Avec act. écol. envisagée'!$A$769=DY11, 'Eval-Avec act. écol. envisagée'!$B$769,0),IF('Eval-Avec act. écol. envisagée'!$A$770=DY11, 'Eval-Avec act. écol. envisagée'!$B$770,0),IF('Eval-Avec act. écol. envisagée'!$A$771=DY11, 'Eval-Avec act. écol. envisagée'!$B$771,0),IF('Eval-Avec act. écol. envisagée'!$A$772=DY11, 'Eval-Avec act. écol. envisagée'!$B$772,0),IF('Eval-Avec act. écol. envisagée'!$A$773=DY11, 'Eval-Avec act. écol. envisagée'!$B$773,0),IF('Eval-Avec act. écol. envisagée'!$A$774=DY11, 'Eval-Avec act. écol. envisagée'!$B$774,0),IF('Eval-Avec act. écol. envisagée'!$A$775=DY11, 'Eval-Avec act. écol. envisagée'!$B$775,0),IF('Eval-Avec act. écol. envisagée'!$A$776=DY11, 'Eval-Avec act. écol. envisagée'!$B$776,0),IF('Eval-Avec act. écol. envisagée'!$A$777=DY11, 'Eval-Avec act. écol. envisagée'!$B$777,0),IF('Eval-Avec act. écol. envisagée'!$A$778=DY11, 'Eval-Avec act. écol. envisagée'!$B$778,0),IF('Eval-Avec act. écol. envisagée'!$A$779=DY11, 'Eval-Avec act. écol. envisagée'!$B$779,0),IF('Eval-Avec act. écol. envisagée'!$A$780=DY11, 'Eval-Avec act. écol. envisagée'!$B$780,0))/COUNTIF('Eval-Avec act. écol. envisagée'!$A$761:$A$780,DY11),"")</f>
        <v/>
      </c>
      <c r="EA11" s="212" t="str">
        <f>IF(COUNTIF('Eval-Avec act. écol. envisagée'!$A$761:$A$780,DY11)&gt;0,COUNTIF('Eval-Avec act. écol. envisagée'!$A$761:$A$780,DY11),"")</f>
        <v/>
      </c>
      <c r="EB11" s="211" t="str">
        <f>IF(COUNTIF('Eval-Avec act. écol. envisagée'!$A$761:$A$780,DY11)&gt;0,IF(OR(AND('Eval-Avec act. écol. envisagée'!$A$761=DY11, 'Eval-Avec act. écol. envisagée'!$G$761=""),AND('Eval-Avec act. écol. envisagée'!$A$762=DY11, 'Eval-Avec act. écol. envisagée'!$G$762=""),AND('Eval-Avec act. écol. envisagée'!$A$763=DY11, 'Eval-Avec act. écol. envisagée'!$G$763=""),AND('Eval-Avec act. écol. envisagée'!$A$764=DY11, 'Eval-Avec act. écol. envisagée'!$G$764=""),AND('Eval-Avec act. écol. envisagée'!$A$765=DY11, 'Eval-Avec act. écol. envisagée'!$G$765=""),AND('Eval-Avec act. écol. envisagée'!$A$766=DY11, 'Eval-Avec act. écol. envisagée'!$G$766=""),AND('Eval-Avec act. écol. envisagée'!$A$767=DY11, 'Eval-Avec act. écol. envisagée'!$G$767=""),AND('Eval-Avec act. écol. envisagée'!$A$768=DY11, 'Eval-Avec act. écol. envisagée'!$G$768=""),AND('Eval-Avec act. écol. envisagée'!$A$769=DY11, 'Eval-Avec act. écol. envisagée'!$G$769=""),AND('Eval-Avec act. écol. envisagée'!$A$770=DY11, 'Eval-Avec act. écol. envisagée'!$G$770=""),AND('Eval-Avec act. écol. envisagée'!$A$771=DY11, 'Eval-Avec act. écol. envisagée'!$G$771=""),AND('Eval-Avec act. écol. envisagée'!$A$772=DY11, 'Eval-Avec act. écol. envisagée'!$G$772=""),AND('Eval-Avec act. écol. envisagée'!$A$773=DY11, 'Eval-Avec act. écol. envisagée'!$G$773=""),AND('Eval-Avec act. écol. envisagée'!$A$774=DY11, 'Eval-Avec act. écol. envisagée'!$G$774=""),AND('Eval-Avec act. écol. envisagée'!$A$775=DY11, 'Eval-Avec act. écol. envisagée'!$G$775=""),AND('Eval-Avec act. écol. envisagée'!$A$776=DY11, 'Eval-Avec act. écol. envisagée'!$G$776=""),AND('Eval-Avec act. écol. envisagée'!$A$777=DY11, 'Eval-Avec act. écol. envisagée'!$G$777=""),AND('Eval-Avec act. écol. envisagée'!$A$778=DY11, 'Eval-Avec act. écol. envisagée'!$G$778=""),AND('Eval-Avec act. écol. envisagée'!$A$779=DY11, 'Eval-Avec act. écol. envisagée'!$G$779=""),AND('Eval-Avec act. écol. envisagée'!$A$780=DY11, 'Eval-Avec act. écol. envisagée'!$G$780="")),"",SUM(IF('Eval-Avec act. écol. envisagée'!$A$761=DY11,'Eval-Avec act. écol. envisagée'!$G$761,0),IF('Eval-Avec act. écol. envisagée'!$A$762=DY11,'Eval-Avec act. écol. envisagée'!$G$762,0),IF('Eval-Avec act. écol. envisagée'!$A$763=DY11,'Eval-Avec act. écol. envisagée'!$G$763,0),IF('Eval-Avec act. écol. envisagée'!$A$764=DY11,'Eval-Avec act. écol. envisagée'!$G$764,0),IF('Eval-Avec act. écol. envisagée'!$A$765=DY11,'Eval-Avec act. écol. envisagée'!$G$765,0),IF('Eval-Avec act. écol. envisagée'!$A$766=DY11,'Eval-Avec act. écol. envisagée'!$G$766,0),IF('Eval-Avec act. écol. envisagée'!$A$767=DY11,'Eval-Avec act. écol. envisagée'!$G$767,0),IF('Eval-Avec act. écol. envisagée'!$A$768=DY11,'Eval-Avec act. écol. envisagée'!$G$768,0),IF('Eval-Avec act. écol. envisagée'!$A$769=DY11,'Eval-Avec act. écol. envisagée'!$G$769,0),IF('Eval-Avec act. écol. envisagée'!$A$770=DY11,'Eval-Avec act. écol. envisagée'!$G$770,0),IF('Eval-Avec act. écol. envisagée'!$A$771=DY11,'Eval-Avec act. écol. envisagée'!$G$771,0),IF('Eval-Avec act. écol. envisagée'!$A$772=DY11,'Eval-Avec act. écol. envisagée'!$G$772,0),IF('Eval-Avec act. écol. envisagée'!$A$773=DY11,'Eval-Avec act. écol. envisagée'!$G$773,0),IF('Eval-Avec act. écol. envisagée'!$A$774=DY11,'Eval-Avec act. écol. envisagée'!$G$774,0),IF('Eval-Avec act. écol. envisagée'!$A$775=DY11,'Eval-Avec act. écol. envisagée'!$G$775,0), IF('Eval-Avec act. écol. envisagée'!$A$776=DY11,'Eval-Avec act. écol. envisagée'!$G$776,0), IF('Eval-Avec act. écol. envisagée'!$A$777=DY11,'Eval-Avec act. écol. envisagée'!$G$777,0), IF('Eval-Avec act. écol. envisagée'!$A$778=DY11,'Eval-Avec act. écol. envisagée'!$G$778,0), IF('Eval-Avec act. écol. envisagée'!$A$779=DY11,'Eval-Avec act. écol. envisagée'!$G$779,0), IF('Eval-Avec act. écol. envisagée'!$A$780=DY11,'Eval-Avec act. écol. envisagée'!$G$780,0))/ COUNTIF('Eval-Avec act. écol. envisagée'!$A$761:$A$780,DY11)),"")</f>
        <v/>
      </c>
      <c r="EC11" s="212" t="str">
        <f>IF(COUNTIF('Eval-Avec act. écol. envisagée'!$A$761:$A$780,DY11)&gt;0,IF(SUM(IF('Eval-Avec act. écol. envisagée'!$A$761=DY11,COUNTA('Eval-Avec act. écol. envisagée'!$H$761),0),IF('Eval-Avec act. écol. envisagée'!$A$762=DY11,COUNTA('Eval-Avec act. écol. envisagée'!$H$762),0),IF('Eval-Avec act. écol. envisagée'!$A$763=DY11,COUNTA('Eval-Avec act. écol. envisagée'!$H$763),0),IF('Eval-Avec act. écol. envisagée'!$A$764=DY11,COUNTA('Eval-Avec act. écol. envisagée'!$H$764),0),IF('Eval-Avec act. écol. envisagée'!$A$765=DY11,COUNTA('Eval-Avec act. écol. envisagée'!$H$765),0),IF('Eval-Avec act. écol. envisagée'!$A$766=DY11,COUNTA('Eval-Avec act. écol. envisagée'!$H$766),0),IF('Eval-Avec act. écol. envisagée'!$A$767=DY11,COUNTA('Eval-Avec act. écol. envisagée'!$H$767),0),IF('Eval-Avec act. écol. envisagée'!$A$768=DY11,COUNTA('Eval-Avec act. écol. envisagée'!$H$768),0),IF('Eval-Avec act. écol. envisagée'!$A$769=DY11,COUNTA('Eval-Avec act. écol. envisagée'!$H$769),0),IF('Eval-Avec act. écol. envisagée'!$A$770=DY11,COUNTA('Eval-Avec act. écol. envisagée'!$H$770),0),IF('Eval-Avec act. écol. envisagée'!$A$771=DY11,COUNTA('Eval-Avec act. écol. envisagée'!$H$771),0),IF('Eval-Avec act. écol. envisagée'!$A$772=DY11,COUNTA('Eval-Avec act. écol. envisagée'!$H$772),0),IF('Eval-Avec act. écol. envisagée'!$A$773=DY11,COUNTA('Eval-Avec act. écol. envisagée'!$H$773),0),IF('Eval-Avec act. écol. envisagée'!$A$774=DY11,COUNTA('Eval-Avec act. écol. envisagée'!$H$774),0),IF('Eval-Avec act. écol. envisagée'!$A$775=DY11,COUNTA('Eval-Avec act. écol. envisagée'!$H$775),0),IF('Eval-Avec act. écol. envisagée'!$A$776=DY11,COUNTA('Eval-Avec act. écol. envisagée'!$H$776),0),IF('Eval-Avec act. écol. envisagée'!$A$777=DY11,COUNTA('Eval-Avec act. écol. envisagée'!$H$777),0),IF('Eval-Avec act. écol. envisagée'!$A$778=DY11,COUNTA('Eval-Avec act. écol. envisagée'!$H$778),0),IF('Eval-Avec act. écol. envisagée'!$A$779=DY11,COUNTA('Eval-Avec act. écol. envisagée'!$H$779),0),IF('Eval-Avec act. écol. envisagée'!$A$780=DY11,COUNTA('Eval-Avec act. écol. envisagée'!$H$780),0))&gt;0,"X",0),"")</f>
        <v/>
      </c>
      <c r="ED11" s="213" t="str">
        <f>IF(COUNTIF('Eval-Avec act. écol. envisagée'!$A$761:$A$780,DY11)&gt;0,IF(SUM(IF('Eval-Avec act. écol. envisagée'!$A$761=DY11,COUNTA('Eval-Avec act. écol. envisagée'!$I$761),0),IF('Eval-Avec act. écol. envisagée'!$A$762=DY11,COUNTA('Eval-Avec act. écol. envisagée'!$I$762),0),IF('Eval-Avec act. écol. envisagée'!$A$763=DY11,COUNTA('Eval-Avec act. écol. envisagée'!$I$763),0),IF('Eval-Avec act. écol. envisagée'!$A$764=DY11,COUNTA('Eval-Avec act. écol. envisagée'!$I$764),0),IF('Eval-Avec act. écol. envisagée'!$A$765=DY11,COUNTA('Eval-Avec act. écol. envisagée'!$I$765),0),IF('Eval-Avec act. écol. envisagée'!$A$766=DY11,COUNTA('Eval-Avec act. écol. envisagée'!$I$766),0),IF('Eval-Avec act. écol. envisagée'!$A$767=DY11,COUNTA('Eval-Avec act. écol. envisagée'!$I$767),0),IF('Eval-Avec act. écol. envisagée'!$A$768=DY11,COUNTA('Eval-Avec act. écol. envisagée'!$I$768),0),IF('Eval-Avec act. écol. envisagée'!$A$769=DY11,COUNTA('Eval-Avec act. écol. envisagée'!$I$769),0),IF('Eval-Avec act. écol. envisagée'!$A$770=DY11,COUNTA('Eval-Avec act. écol. envisagée'!$I$770),0),IF('Eval-Avec act. écol. envisagée'!$A$771=DY11,COUNTA('Eval-Avec act. écol. envisagée'!$I$771),0),IF('Eval-Avec act. écol. envisagée'!$A$772=DY11,COUNTA('Eval-Avec act. écol. envisagée'!$I$772),0),IF('Eval-Avec act. écol. envisagée'!$A$773=DY11,COUNTA('Eval-Avec act. écol. envisagée'!$I$773),0),IF('Eval-Avec act. écol. envisagée'!$A$774=DY11,COUNTA('Eval-Avec act. écol. envisagée'!$I$774),0),IF('Eval-Avec act. écol. envisagée'!$A$775=DY11,COUNTA('Eval-Avec act. écol. envisagée'!$I$775),0),IF('Eval-Avec act. écol. envisagée'!$A$776=DY11,COUNTA('Eval-Avec act. écol. envisagée'!$I$776),0),IF('Eval-Avec act. écol. envisagée'!$A$777=DY11,COUNTA('Eval-Avec act. écol. envisagée'!$I$777),0),IF('Eval-Avec act. écol. envisagée'!$A$778=DY11,COUNTA('Eval-Avec act. écol. envisagée'!$I$778),0),IF('Eval-Avec act. écol. envisagée'!$A$779=DY11,COUNTA('Eval-Avec act. écol. envisagée'!$I$779),0),IF('Eval-Avec act. écol. envisagée'!$A$780=DY11,COUNTA('Eval-Avec act. écol. envisagée'!$I$780),0))&gt;0,"X",0),"")</f>
        <v/>
      </c>
      <c r="EE11" s="213" t="str">
        <f>IF(COUNTIF('Eval-Avec act. écol. envisagée'!$A$761:$A$780,DY11)&gt;0,IF(SUM(IF('Eval-Avec act. écol. envisagée'!$A$761=DY11,COUNTA('Eval-Avec act. écol. envisagée'!$J$761),0),IF('Eval-Avec act. écol. envisagée'!$A$762=DY11,COUNTA('Eval-Avec act. écol. envisagée'!$J$762),0),IF('Eval-Avec act. écol. envisagée'!$A$763=DY11,COUNTA('Eval-Avec act. écol. envisagée'!$J$763),0),IF('Eval-Avec act. écol. envisagée'!$A$764=DY11,COUNTA('Eval-Avec act. écol. envisagée'!$J$764),0),IF('Eval-Avec act. écol. envisagée'!$A$765=DY11,COUNTA('Eval-Avec act. écol. envisagée'!$J$765),0),IF('Eval-Avec act. écol. envisagée'!$A$766=DY11,COUNTA('Eval-Avec act. écol. envisagée'!$J$766),0),IF('Eval-Avec act. écol. envisagée'!$A$767=DY11,COUNTA('Eval-Avec act. écol. envisagée'!$J$767),0),IF('Eval-Avec act. écol. envisagée'!$A$768=DY11,COUNTA('Eval-Avec act. écol. envisagée'!$J$768),0),IF('Eval-Avec act. écol. envisagée'!$A$769=DY11,COUNTA('Eval-Avec act. écol. envisagée'!$J$769),0),IF('Eval-Avec act. écol. envisagée'!$A$770=DY11,COUNTA('Eval-Avec act. écol. envisagée'!$J$770),0),IF('Eval-Avec act. écol. envisagée'!$A$771=DY11,COUNTA('Eval-Avec act. écol. envisagée'!$J$771),0),IF('Eval-Avec act. écol. envisagée'!$A$772=DY11,COUNTA('Eval-Avec act. écol. envisagée'!$J$772),0),IF('Eval-Avec act. écol. envisagée'!$A$773=DY11,COUNTA('Eval-Avec act. écol. envisagée'!$J$773),0),IF('Eval-Avec act. écol. envisagée'!$A$774=DY11,COUNTA('Eval-Avec act. écol. envisagée'!$J$774),0),IF('Eval-Avec act. écol. envisagée'!$A$775=DY11,COUNTA('Eval-Avec act. écol. envisagée'!$J$775),0),IF('Eval-Avec act. écol. envisagée'!$A$776=DY11,COUNTA('Eval-Avec act. écol. envisagée'!$J$776),0),IF('Eval-Avec act. écol. envisagée'!$A$777=DY11,COUNTA('Eval-Avec act. écol. envisagée'!$J$777),0),IF('Eval-Avec act. écol. envisagée'!$A$778=DY11,COUNTA('Eval-Avec act. écol. envisagée'!$J$778),0),IF('Eval-Avec act. écol. envisagée'!$A$779=DY11,COUNTA('Eval-Avec act. écol. envisagée'!$J$779),0),IF('Eval-Avec act. écol. envisagée'!$A$780=DY11,COUNTA('Eval-Avec act. écol. envisagée'!$J$780),0))&gt;0,"X",0),"")</f>
        <v/>
      </c>
      <c r="EF11" s="213" t="str">
        <f>IF(COUNTIF('Eval-Avec act. écol. envisagée'!$A$761:$A$780,DY11)&gt;0,IF(SUM(IF('Eval-Avec act. écol. envisagée'!$A$761=DY11,COUNTA('Eval-Avec act. écol. envisagée'!$K$761),0),IF('Eval-Avec act. écol. envisagée'!$A$762=DY11,COUNTA('Eval-Avec act. écol. envisagée'!$K$762),0),IF('Eval-Avec act. écol. envisagée'!$A$763=DY11,COUNTA('Eval-Avec act. écol. envisagée'!$K$763),0),IF('Eval-Avec act. écol. envisagée'!$A$764=DY11,COUNTA('Eval-Avec act. écol. envisagée'!$K$764),0),IF('Eval-Avec act. écol. envisagée'!$A$765=DY11,COUNTA('Eval-Avec act. écol. envisagée'!$K$765),0),IF('Eval-Avec act. écol. envisagée'!$A$766=DY11,COUNTA('Eval-Avec act. écol. envisagée'!$K$766),0),IF('Eval-Avec act. écol. envisagée'!$A$767=DY11,COUNTA('Eval-Avec act. écol. envisagée'!$K$767),0),IF('Eval-Avec act. écol. envisagée'!$A$768=DY11,COUNTA('Eval-Avec act. écol. envisagée'!$K$768),0),IF('Eval-Avec act. écol. envisagée'!$A$769=DY11,COUNTA('Eval-Avec act. écol. envisagée'!$K$769),0),IF('Eval-Avec act. écol. envisagée'!$A$770=DY11,COUNTA('Eval-Avec act. écol. envisagée'!$K$770),0),IF('Eval-Avec act. écol. envisagée'!$A$771=DY11,COUNTA('Eval-Avec act. écol. envisagée'!$K$771),0),IF('Eval-Avec act. écol. envisagée'!$A$772=DY11,COUNTA('Eval-Avec act. écol. envisagée'!$K$772),0),IF('Eval-Avec act. écol. envisagée'!$A$773=DY11,COUNTA('Eval-Avec act. écol. envisagée'!$K$773),0),IF('Eval-Avec act. écol. envisagée'!$A$774=DY11,COUNTA('Eval-Avec act. écol. envisagée'!$K$774),0),IF('Eval-Avec act. écol. envisagée'!$A$775=DY11,COUNTA('Eval-Avec act. écol. envisagée'!$K$775),0),IF('Eval-Avec act. écol. envisagée'!$A$776=DY11,COUNTA('Eval-Avec act. écol. envisagée'!$K$776),0),IF('Eval-Avec act. écol. envisagée'!$A$777=DY11,COUNTA('Eval-Avec act. écol. envisagée'!$K$777),0),IF('Eval-Avec act. écol. envisagée'!$A$778=DY11,COUNTA('Eval-Avec act. écol. envisagée'!$K$778),0),IF('Eval-Avec act. écol. envisagée'!$A$779=DY11,COUNTA('Eval-Avec act. écol. envisagée'!$K$779),0),IF('Eval-Avec act. écol. envisagée'!$A$780=DY11,COUNTA('Eval-Avec act. écol. envisagée'!$K$780),0))&gt;0,"X",0),"")</f>
        <v/>
      </c>
      <c r="EG11" s="211" t="str">
        <f>IF(COUNTIF('Eval-Avec act. écol. envisagée'!$A$761:$A$780,DY11)&gt;0,IF(OR(AND('Eval-Avec act. écol. envisagée'!$A$761=DY11,'Eval-Avec act. écol. envisagée'!$L$761&lt;120,'Eval-Avec act. écol. envisagée'!$L$761&gt;=EV9),AND('Eval-Avec act. écol. envisagée'!$A$762=DY11,'Eval-Avec act. écol. envisagée'!$L$762&lt;120,'Eval-Avec act. écol. envisagée'!$L$762&gt;=EV10),AND('Eval-Avec act. écol. envisagée'!$A$763=DY11,'Eval-Avec act. écol. envisagée'!$L$763&lt;120,'Eval-Avec act. écol. envisagée'!$L$763&gt;=EV11),AND('Eval-Avec act. écol. envisagée'!$A$764=DY11,'Eval-Avec act. écol. envisagée'!$L$764&lt;120,'Eval-Avec act. écol. envisagée'!$L$764&gt;=EV12),AND('Eval-Avec act. écol. envisagée'!$A$765=DY11,'Eval-Avec act. écol. envisagée'!$L$765&lt;120,'Eval-Avec act. écol. envisagée'!$L$765&gt;=EV13),AND('Eval-Avec act. écol. envisagée'!$A$766=DY11,'Eval-Avec act. écol. envisagée'!$L$766&lt;120,'Eval-Avec act. écol. envisagée'!$L$766&gt;=EV14),AND('Eval-Avec act. écol. envisagée'!$A$767=DY11,'Eval-Avec act. écol. envisagée'!$L$767&lt;120,'Eval-Avec act. écol. envisagée'!$L$767&gt;=EV15),AND('Eval-Avec act. écol. envisagée'!$A$768=DY11,'Eval-Avec act. écol. envisagée'!$L$768&lt;120,'Eval-Avec act. écol. envisagée'!$L$768&gt;=EV16),AND('Eval-Avec act. écol. envisagée'!$A$769=DY11,'Eval-Avec act. écol. envisagée'!$L$769&lt;120,'Eval-Avec act. écol. envisagée'!$L$769&gt;=EV17),AND('Eval-Avec act. écol. envisagée'!$A$770=DY11,'Eval-Avec act. écol. envisagée'!$L$770&lt;120,'Eval-Avec act. écol. envisagée'!$L$770&gt;=EV18),AND('Eval-Avec act. écol. envisagée'!$A$771=DY11,'Eval-Avec act. écol. envisagée'!$L$771&lt;120,'Eval-Avec act. écol. envisagée'!$L$771&gt;=EV19),AND('Eval-Avec act. écol. envisagée'!$A$772=DY11,'Eval-Avec act. écol. envisagée'!$L$772&lt;120,'Eval-Avec act. écol. envisagée'!$L$772&gt;=EV20),AND('Eval-Avec act. écol. envisagée'!$A$773=DY11,'Eval-Avec act. écol. envisagée'!$L$773&lt;120,'Eval-Avec act. écol. envisagée'!$L$773&gt;=EV21),AND('Eval-Avec act. écol. envisagée'!$A$774=DY11,'Eval-Avec act. écol. envisagée'!$L$774&lt;120,'Eval-Avec act. écol. envisagée'!$L$774&gt;=EV22),AND('Eval-Avec act. écol. envisagée'!$A$775=DY11,'Eval-Avec act. écol. envisagée'!$L$775&lt;120,'Eval-Avec act. écol. envisagée'!$L$775&gt;=EV23),AND('Eval-Avec act. écol. envisagée'!$A$776=DY11,'Eval-Avec act. écol. envisagée'!$L$776&lt;120,'Eval-Avec act. écol. envisagée'!$L$776&gt;=EV24),AND('Eval-Avec act. écol. envisagée'!$A$777=DY11,'Eval-Avec act. écol. envisagée'!$L$777&lt;120,'Eval-Avec act. écol. envisagée'!$L$777&gt;=EV25),AND('Eval-Avec act. écol. envisagée'!$A$778=DY11,'Eval-Avec act. écol. envisagée'!$L$778&lt;120,'Eval-Avec act. écol. envisagée'!$L$778&gt;=EV26),AND('Eval-Avec act. écol. envisagée'!$A$779=DY11,'Eval-Avec act. écol. envisagée'!$L$779&lt;120,'Eval-Avec act. écol. envisagée'!$L$779&gt;=EV27),AND('Eval-Avec act. écol. envisagée'!$A$780=DY11,'Eval-Avec act. écol. envisagée'!$L$780&lt;120,'Eval-Avec act. écol. envisagée'!$L$780&gt;=EV28)),"",SUM(IF('Eval-Avec act. écol. envisagée'!$A$761=DY11,'Eval-Avec act. écol. envisagée'!$L$761,0),IF('Eval-Avec act. écol. envisagée'!$A$762=DY11,'Eval-Avec act. écol. envisagée'!$L$762,0),IF('Eval-Avec act. écol. envisagée'!$A$763=DY11,'Eval-Avec act. écol. envisagée'!$L$763,0),IF('Eval-Avec act. écol. envisagée'!$A$764=DY11,'Eval-Avec act. écol. envisagée'!$L$764,0),IF('Eval-Avec act. écol. envisagée'!$A$765=DY11,'Eval-Avec act. écol. envisagée'!$L$765,0),IF('Eval-Avec act. écol. envisagée'!$A$766=DY11,'Eval-Avec act. écol. envisagée'!$L$766,0),IF('Eval-Avec act. écol. envisagée'!$A$767=DY11,'Eval-Avec act. écol. envisagée'!$L$767,0),IF('Eval-Avec act. écol. envisagée'!$A$768=DY11,'Eval-Avec act. écol. envisagée'!$L$768,0),IF('Eval-Avec act. écol. envisagée'!$A$769=DY11,'Eval-Avec act. écol. envisagée'!$L$769,0),IF('Eval-Avec act. écol. envisagée'!$A$770=DY11,'Eval-Avec act. écol. envisagée'!$L$770,0),IF('Eval-Avec act. écol. envisagée'!$A$771=DY11,'Eval-Avec act. écol. envisagée'!$L$771,0),IF('Eval-Avec act. écol. envisagée'!$A$772=DY11,'Eval-Avec act. écol. envisagée'!$L$772,0),IF('Eval-Avec act. écol. envisagée'!$A$773=DY11,'Eval-Avec act. écol. envisagée'!$L$773,0),IF('Eval-Avec act. écol. envisagée'!$A$774=DY11,'Eval-Avec act. écol. envisagée'!$L$774,0),IF('Eval-Avec act. écol. envisagée'!$A$775=DY11,'Eval-Avec act. écol. envisagée'!$L$775,0),IF('Eval-Avec act. écol. envisagée'!$A$776=DY11,'Eval-Avec act. écol. envisagée'!$L$776,0),IF('Eval-Avec act. écol. envisagée'!$A$777=DY11,'Eval-Avec act. écol. envisagée'!$L$777,0),IF('Eval-Avec act. écol. envisagée'!$A$778=DY11,'Eval-Avec act. écol. envisagée'!$L$778,0),IF('Eval-Avec act. écol. envisagée'!$A$779=DY11,'Eval-Avec act. écol. envisagée'!$L$779,0),IF('Eval-Avec act. écol. envisagée'!$A$780=DY11,'Eval-Avec act. écol. envisagée'!$L$780,0))/ COUNTIF('Eval-Avec act. écol. envisagée'!$A$761:$A$780,DY11)),"")</f>
        <v/>
      </c>
      <c r="EH11" s="211" t="str">
        <f>IF(COUNTIF('Eval-Avec act. écol. envisagée'!$A$761:$A$780,DY11)&gt;0,IF(OR(AND('Eval-Avec act. écol. envisagée'!$A$761=DY11, EV9&lt;120),AND(EV10&lt;120),AND(EV11&lt;120),AND(EV12&lt;120),AND(EV13&lt;120),AND(EV14&lt;120),AND(EV15&lt;120),AND(EV16&lt;120),AND(EV17&lt;120),AND(EV18&lt;120),AND(EV19&lt;120),AND(EV20&lt;120),AND(EV21&lt;120),AND(EV22&lt;120),AND(EV23&lt;120),AND(EV24&lt;120),AND(EV25&lt;120),AND(EV26&lt;120),AND(EV27&lt;120),AND(EV28&lt;120)),"",SUM(IF('Eval-Avec act. écol. envisagée'!$A$761=DY11,'Eval-Avec act. écol. envisagée'!$M$761,0),IF('Eval-Avec act. écol. envisagée'!$A$762=DY11,'Eval-Avec act. écol. envisagée'!$M$762,0),IF('Eval-Avec act. écol. envisagée'!$A$763=DY11,'Eval-Avec act. écol. envisagée'!$M$763,0),IF('Eval-Avec act. écol. envisagée'!$A$764=DY11,'Eval-Avec act. écol. envisagée'!$M$764,0),IF('Eval-Avec act. écol. envisagée'!$A$765=DY11,'Eval-Avec act. écol. envisagée'!$M$765,0),IF('Eval-Avec act. écol. envisagée'!$A$766=DY11,'Eval-Avec act. écol. envisagée'!$M$766,0),IF('Eval-Avec act. écol. envisagée'!$A$767=DY11,'Eval-Avec act. écol. envisagée'!$M$767,0),IF('Eval-Avec act. écol. envisagée'!$A$768=DY11,'Eval-Avec act. écol. envisagée'!$M$768,0),IF('Eval-Avec act. écol. envisagée'!$A$769=DY11,'Eval-Avec act. écol. envisagée'!$M$769,0),IF('Eval-Avec act. écol. envisagée'!$A$770=DY11,'Eval-Avec act. écol. envisagée'!$M$770,0),IF('Eval-Avec act. écol. envisagée'!$A$771=DY11,'Eval-Avec act. écol. envisagée'!$M$771,0),IF('Eval-Avec act. écol. envisagée'!$A$772=DY11,'Eval-Avec act. écol. envisagée'!$M$772,0),IF('Eval-Avec act. écol. envisagée'!$A$773=DY11,'Eval-Avec act. écol. envisagée'!$M$773,0),IF('Eval-Avec act. écol. envisagée'!$A$774=DY11,'Eval-Avec act. écol. envisagée'!$M$774,0),IF('Eval-Avec act. écol. envisagée'!$A$775=DY11,'Eval-Avec act. écol. envisagée'!$M$775,0), IF('Eval-Avec act. écol. envisagée'!$A$776=DY11,'Eval-Avec act. écol. envisagée'!$M$776,0), IF('Eval-Avec act. écol. envisagée'!$A$777=DY11,'Eval-Avec act. écol. envisagée'!$M$777,0), IF('Eval-Avec act. écol. envisagée'!$A$778=DY11,'Eval-Avec act. écol. envisagée'!$M$778,0), IF('Eval-Avec act. écol. envisagée'!$A$779=DY11,'Eval-Avec act. écol. envisagée'!$M$779,0), IF('Eval-Avec act. écol. envisagée'!$A$780=DY11,'Eval-Avec act. écol. envisagée'!$M$780,0))/COUNTIF('Eval-Avec act. écol. envisagée'!$A$761:$A$780,DY11)),"")</f>
        <v/>
      </c>
      <c r="EI11" s="211" t="str">
        <f>IF(COUNTIF('Eval-Avec act. écol. envisagée'!$A$761:$A$780,DY11)&gt;0,SUM(IF('Eval-Avec act. écol. envisagée'!$A$761=DY11,LEN(SUBSTITUTE((SUBSTITUTE(EX9,"TM","")),"TS",""))*10/2,0),IF('Eval-Avec act. écol. envisagée'!$A$762=DY11,LEN(SUBSTITUTE((SUBSTITUTE(EX10,"TM","")),"TS",""))*10/2,0),IF('Eval-Avec act. écol. envisagée'!$A$763=DY11,LEN(SUBSTITUTE((SUBSTITUTE(EX11,"TM","")),"TS",""))*10/2,0),IF('Eval-Avec act. écol. envisagée'!$A$764=DY11,LEN(SUBSTITUTE((SUBSTITUTE(EX12,"TM","")),"TS",""))*10/2,0),IF('Eval-Avec act. écol. envisagée'!$A$765=DY11,LEN(SUBSTITUTE((SUBSTITUTE(EX13,"TM","")),"TS",""))*10/2,0),IF('Eval-Avec act. écol. envisagée'!$A$766=DY11,LEN(SUBSTITUTE((SUBSTITUTE(EX14,"TM","")),"TS",""))*10/2,0),IF('Eval-Avec act. écol. envisagée'!$A$767=DY11,LEN(SUBSTITUTE((SUBSTITUTE(EX15,"TM","")),"TS",""))*10/2,0),IF('Eval-Avec act. écol. envisagée'!$A$768=DY11,LEN(SUBSTITUTE((SUBSTITUTE(EX16,"TM","")),"TS",""))*10/2,0),IF('Eval-Avec act. écol. envisagée'!$A$769=DY11,LEN(SUBSTITUTE((SUBSTITUTE(EX17,"TM","")),"TS",""))*10/2,0),IF('Eval-Avec act. écol. envisagée'!$A$770=DY11,LEN(SUBSTITUTE((SUBSTITUTE(EX18,"TM","")),"TS",""))*10/2,0),IF('Eval-Avec act. écol. envisagée'!$A$771=DY11,LEN(SUBSTITUTE((SUBSTITUTE(EX19,"TM","")),"TS",""))*10/2,0),IF('Eval-Avec act. écol. envisagée'!$A$772=DY11,LEN(SUBSTITUTE((SUBSTITUTE(EX20,"TM","")),"TS",""))*10/2,0),IF('Eval-Avec act. écol. envisagée'!$A$773=DY11,LEN(SUBSTITUTE((SUBSTITUTE(EX21,"TM","")),"TS",""))*10/2,0),IF('Eval-Avec act. écol. envisagée'!$A$774=DY11,LEN(SUBSTITUTE((SUBSTITUTE(EX22,"TM","")),"TS",""))*10/2,0),IF('Eval-Avec act. écol. envisagée'!$A$775=DY11,LEN(SUBSTITUTE((SUBSTITUTE(EX23,"TM","")),"TS",""))*10/2,0),IF('Eval-Avec act. écol. envisagée'!$A$776=DY11,LEN(SUBSTITUTE((SUBSTITUTE(EX24,"TM","")),"TS",""))*10/2,0),IF('Eval-Avec act. écol. envisagée'!$A$777=DY11,LEN(SUBSTITUTE((SUBSTITUTE(EX25,"TM","")),"TS",""))*10/2,0),IF('Eval-Avec act. écol. envisagée'!$A$778=DY11,LEN(SUBSTITUTE((SUBSTITUTE(EX26,"TM","")),"TS",""))*10/2,0),IF('Eval-Avec act. écol. envisagée'!$A$779=DY11,LEN(SUBSTITUTE((SUBSTITUTE(EX27,"TM","")),"TS",""))*10/2,0),IF('Eval-Avec act. écol. envisagée'!$A$780=DY11,LEN(SUBSTITUTE((SUBSTITUTE(EX28,"TM","")),"TS",""))*10/2,0))/COUNTIF('Eval-Avec act. écol. envisagée'!$A$761:$A$780,DY11),"")</f>
        <v/>
      </c>
      <c r="EJ11" s="211" t="str">
        <f>IF(COUNTIF('Eval-Avec act. écol. envisagée'!$A$761:$A$780,DY11)&gt;0,SUM(IF('Eval-Avec act. écol. envisagée'!$A$761=DY11,LEN(SUBSTITUTE((SUBSTITUTE(EX9,"TF","")),"TS",""))*10/2,0),IF('Eval-Avec act. écol. envisagée'!$A$762=DY11,LEN(SUBSTITUTE((SUBSTITUTE(EX10,"TF","")),"TS",""))*10/2,0),IF('Eval-Avec act. écol. envisagée'!$A$763=DY11,LEN(SUBSTITUTE((SUBSTITUTE(EX11,"TF","")),"TS",""))*10/2,0),IF('Eval-Avec act. écol. envisagée'!$A$764=DY11,LEN(SUBSTITUTE((SUBSTITUTE(EX12,"TF","")),"TS",""))*10/2,0),IF('Eval-Avec act. écol. envisagée'!$A$765=DY11,LEN(SUBSTITUTE((SUBSTITUTE(EX13,"TF","")),"TS",""))*10/2,0),IF('Eval-Avec act. écol. envisagée'!$A$766=DY11,LEN(SUBSTITUTE((SUBSTITUTE(EX14,"TF","")),"TS",""))*10/2,0),IF('Eval-Avec act. écol. envisagée'!$A$767=DY11,LEN(SUBSTITUTE((SUBSTITUTE(EX15,"TF","")),"TS",""))*10/2,0),IF('Eval-Avec act. écol. envisagée'!$A$768=DY11,LEN(SUBSTITUTE((SUBSTITUTE(EX16,"TF","")),"TS",""))*10/2,0),IF('Eval-Avec act. écol. envisagée'!$A$769=DY11,LEN(SUBSTITUTE((SUBSTITUTE(EX17,"TF","")),"TS",""))*10/2,0),IF('Eval-Avec act. écol. envisagée'!$A$770=DY11,LEN(SUBSTITUTE((SUBSTITUTE(EX18,"TF","")),"TS",""))*10/2,0),IF('Eval-Avec act. écol. envisagée'!$A$771=DY11,LEN(SUBSTITUTE((SUBSTITUTE(EX19,"TF","")),"TS",""))*10/2,0),IF('Eval-Avec act. écol. envisagée'!$A$772=DY11,LEN(SUBSTITUTE((SUBSTITUTE(EX20,"TF","")),"TS",""))*10/2,0),IF('Eval-Avec act. écol. envisagée'!$A$773=DY11,LEN(SUBSTITUTE((SUBSTITUTE(EX21,"TF","")),"TS",""))*10/2,0),IF('Eval-Avec act. écol. envisagée'!$A$774=DY11,LEN(SUBSTITUTE((SUBSTITUTE(EX22,"TF","")),"TS",""))*10/2,0),IF('Eval-Avec act. écol. envisagée'!$A$775=DY11,LEN(SUBSTITUTE((SUBSTITUTE(EX23,"TF","")),"TS",""))*10/2,0),IF('Eval-Avec act. écol. envisagée'!$A$776=DY11,LEN(SUBSTITUTE((SUBSTITUTE(EX24,"TF","")),"TS",""))*10/2,0),IF('Eval-Avec act. écol. envisagée'!$A$777=DY11,LEN(SUBSTITUTE((SUBSTITUTE(EX25,"TF","")),"TS",""))*10/2,0),IF('Eval-Avec act. écol. envisagée'!$A$778=DY11,LEN(SUBSTITUTE((SUBSTITUTE(EX26,"TF","")),"TS",""))*10/2,0),IF('Eval-Avec act. écol. envisagée'!$A$779=DY11,LEN(SUBSTITUTE((SUBSTITUTE(EX27,"TF","")),"TS",""))*10/2,0),IF('Eval-Avec act. écol. envisagée'!$A$780=DY11,LEN(SUBSTITUTE((SUBSTITUTE(EX28,"TF","")),"TS",""))*10/2,0))/COUNTIF('Eval-Avec act. écol. envisagée'!$A$761:$A$780,DY11),"")</f>
        <v/>
      </c>
      <c r="EK11" s="211" t="str">
        <f>IF(COUNTIF('Eval-Avec act. écol. envisagée'!$A$761:$A$780,DY11)&gt;0,SUM(IF('Eval-Avec act. écol. envisagée'!$A$761=DY11,LEN(SUBSTITUTE((SUBSTITUTE(EX9,"TF","")),"TM",""))*10/2,0),IF('Eval-Avec act. écol. envisagée'!$A$762=DY11,LEN(SUBSTITUTE((SUBSTITUTE(EX10,"TF","")),"TM",""))*10/2,0),IF('Eval-Avec act. écol. envisagée'!$A$763=DY11,LEN(SUBSTITUTE((SUBSTITUTE(EX11,"TF","")),"TM",""))*10/2,0),IF('Eval-Avec act. écol. envisagée'!$A$764=DY11,LEN(SUBSTITUTE((SUBSTITUTE(EX12,"TF","")),"TM",""))*10/2,0),IF('Eval-Avec act. écol. envisagée'!$A$765=DY11,LEN(SUBSTITUTE((SUBSTITUTE(EX13,"TF","")),"TM",""))*10/2,0),IF('Eval-Avec act. écol. envisagée'!$A$766=DY11,LEN(SUBSTITUTE((SUBSTITUTE(EX14,"TF","")),"TM",""))*10/2,0),IF('Eval-Avec act. écol. envisagée'!$A$767=DY11,LEN(SUBSTITUTE((SUBSTITUTE(EX15,"TF","")),"TM",""))*10/2,0),IF('Eval-Avec act. écol. envisagée'!$A$768=DY11,LEN(SUBSTITUTE((SUBSTITUTE(EX16,"TF","")),"TM",""))*10/2,0),IF('Eval-Avec act. écol. envisagée'!$A$769=DY11,LEN(SUBSTITUTE((SUBSTITUTE(EX17,"TF","")),"TM",""))*10/2,0),IF('Eval-Avec act. écol. envisagée'!$A$770=DY11,LEN(SUBSTITUTE((SUBSTITUTE(EX18,"TF","")),"TM",""))*10/2,0),IF('Eval-Avec act. écol. envisagée'!$A$771=DY11,LEN(SUBSTITUTE((SUBSTITUTE(EX19,"TF","")),"TM",""))*10/2,0),IF('Eval-Avec act. écol. envisagée'!$A$772=DY11,LEN(SUBSTITUTE((SUBSTITUTE(EX20,"TF","")),"TM",""))*10/2,0),IF('Eval-Avec act. écol. envisagée'!$A$773=DY11,LEN(SUBSTITUTE((SUBSTITUTE(EX21,"TF","")),"TM",""))*10/2,0),IF('Eval-Avec act. écol. envisagée'!$A$774=DY11,LEN(SUBSTITUTE((SUBSTITUTE(EX22,"TF","")),"TM",""))*10/2,0),IF('Eval-Avec act. écol. envisagée'!$A$775=DY11,LEN(SUBSTITUTE((SUBSTITUTE(EX23,"TF","")),"TM",""))*10/2,0),IF('Eval-Avec act. écol. envisagée'!$A$776=DY11,LEN(SUBSTITUTE((SUBSTITUTE(EX24,"TF","")),"TM",""))*10/2,0),IF('Eval-Avec act. écol. envisagée'!$A$777=DY11,LEN(SUBSTITUTE((SUBSTITUTE(EX25,"TF","")),"TM",""))*10/2,0),IF('Eval-Avec act. écol. envisagée'!$A$778=DY11,LEN(SUBSTITUTE((SUBSTITUTE(EX26,"TF","")),"TM",""))*10/2,0),IF('Eval-Avec act. écol. envisagée'!$A$779=DY11,LEN(SUBSTITUTE((SUBSTITUTE(EX27,"TF","")),"TM",""))*10/2,0),IF('Eval-Avec act. écol. envisagée'!$A$780=DY11,LEN(SUBSTITUTE((SUBSTITUTE(EX28,"TF","")),"TM",""))*10/2,0))/COUNTIF('Eval-Avec act. écol. envisagée'!$A$761:$A$780,DY11),"")</f>
        <v/>
      </c>
      <c r="EL11" s="211" t="str">
        <f>IF(COUNTIF('Eval-Avec act. écol. envisagée'!$A$761:$A$780,DY11)&gt;0,SUM(IF('Eval-Avec act. écol. envisagée'!$A$761=DY11,LEN(SUBSTITUTE((SUBSTITUTE(EY9,"TM","")),"TS",""))*10/2,0),IF('Eval-Avec act. écol. envisagée'!$A$762=DY11,LEN(SUBSTITUTE((SUBSTITUTE(EY10,"TM","")),"TS",""))*10/2,0),IF('Eval-Avec act. écol. envisagée'!$A$763=DY11,LEN(SUBSTITUTE((SUBSTITUTE(EY11,"TM","")),"TS",""))*10/2,0),IF('Eval-Avec act. écol. envisagée'!$A$764=DY11,LEN(SUBSTITUTE((SUBSTITUTE(EY12,"TM","")),"TS",""))*10/2,0),IF('Eval-Avec act. écol. envisagée'!$A$765=DY11,LEN(SUBSTITUTE((SUBSTITUTE(EY13,"TM","")),"TS",""))*10/2,0),IF('Eval-Avec act. écol. envisagée'!$A$766=DY11,LEN(SUBSTITUTE((SUBSTITUTE(EY14,"TM","")),"TS",""))*10/2,0),IF('Eval-Avec act. écol. envisagée'!$A$767=DY11,LEN(SUBSTITUTE((SUBSTITUTE(EY15,"TM","")),"TS",""))*10/2,0),IF('Eval-Avec act. écol. envisagée'!$A$768=DY11,LEN(SUBSTITUTE((SUBSTITUTE(EY16,"TM","")),"TS",""))*10/2,0),IF('Eval-Avec act. écol. envisagée'!$A$769=DY11,LEN(SUBSTITUTE((SUBSTITUTE(EY17,"TM","")),"TS",""))*10/2,0),IF('Eval-Avec act. écol. envisagée'!$A$770=DY11,LEN(SUBSTITUTE((SUBSTITUTE(EY18,"TM","")),"TS",""))*10/2,0),IF('Eval-Avec act. écol. envisagée'!$A$771=DY11,LEN(SUBSTITUTE((SUBSTITUTE(EY19,"TM","")),"TS",""))*10/2,0),IF('Eval-Avec act. écol. envisagée'!$A$772=DY11,LEN(SUBSTITUTE((SUBSTITUTE(EY20,"TM","")),"TS",""))*10/2,0),IF('Eval-Avec act. écol. envisagée'!$A$773=DY11,LEN(SUBSTITUTE((SUBSTITUTE(EY21,"TM","")),"TS",""))*10/2,0),IF('Eval-Avec act. écol. envisagée'!$A$774=DY11,LEN(SUBSTITUTE((SUBSTITUTE(EY22,"TM","")),"TS",""))*10/2,0),IF('Eval-Avec act. écol. envisagée'!$A$775=DY11,LEN(SUBSTITUTE((SUBSTITUTE(EY23,"TM","")),"TS",""))*10/2,0),IF('Eval-Avec act. écol. envisagée'!$A$776=DY11,LEN(SUBSTITUTE((SUBSTITUTE(EY24,"TM","")),"TS",""))*10/2,0),IF('Eval-Avec act. écol. envisagée'!$A$777=DY11,LEN(SUBSTITUTE((SUBSTITUTE(EY25,"TM","")),"TS",""))*10/2,0),IF('Eval-Avec act. écol. envisagée'!$A$778=DY11,LEN(SUBSTITUTE((SUBSTITUTE(EY26,"TM","")),"TS",""))*10/2,0),IF('Eval-Avec act. écol. envisagée'!$A$779=DY11,LEN(SUBSTITUTE((SUBSTITUTE(EY27,"TM","")),"TS",""))*10/2,0),IF('Eval-Avec act. écol. envisagée'!$A$780=DY11,LEN(SUBSTITUTE((SUBSTITUTE(EY28,"TM","")),"TS",""))*10/2,0))/COUNTIF('Eval-Avec act. écol. envisagée'!$A$761:$A$780,DY11),"")</f>
        <v/>
      </c>
      <c r="EM11" s="211" t="str">
        <f>IF(COUNTIF('Eval-Avec act. écol. envisagée'!$A$761:$A$780,DY11)&gt;0,SUM(IF('Eval-Avec act. écol. envisagée'!$A$761=DY11,LEN(SUBSTITUTE((SUBSTITUTE(EY9,"TF","")),"TS",""))*10/2,0),IF('Eval-Avec act. écol. envisagée'!$A$762=DY11,LEN(SUBSTITUTE((SUBSTITUTE(EY10,"TF","")),"TS",""))*10/2,0),IF('Eval-Avec act. écol. envisagée'!$A$763=DY11,LEN(SUBSTITUTE((SUBSTITUTE(EY11,"TF","")),"TS",""))*10/2,0),IF('Eval-Avec act. écol. envisagée'!$A$764=DY11,LEN(SUBSTITUTE((SUBSTITUTE(EY12,"TF","")),"TS",""))*10/2,0),IF('Eval-Avec act. écol. envisagée'!$A$765=DY11,LEN(SUBSTITUTE((SUBSTITUTE(EY13,"TF","")),"TS",""))*10/2,0),IF('Eval-Avec act. écol. envisagée'!$A$766=DY11,LEN(SUBSTITUTE((SUBSTITUTE(EY14,"TF","")),"TS",""))*10/2,0),IF('Eval-Avec act. écol. envisagée'!$A$767=DY11,LEN(SUBSTITUTE((SUBSTITUTE(EY15,"TF","")),"TS",""))*10/2,0),IF('Eval-Avec act. écol. envisagée'!$A$768=DY11,LEN(SUBSTITUTE((SUBSTITUTE(EY16,"TF","")),"TS",""))*10/2,0),IF('Eval-Avec act. écol. envisagée'!$A$769=DY11,LEN(SUBSTITUTE((SUBSTITUTE(EY17,"TF","")),"TS",""))*10/2,0),IF('Eval-Avec act. écol. envisagée'!$A$770=DY11,LEN(SUBSTITUTE((SUBSTITUTE(EY18,"TF","")),"TS",""))*10/2,0),IF('Eval-Avec act. écol. envisagée'!$A$771=DY11,LEN(SUBSTITUTE((SUBSTITUTE(EY19,"TF","")),"TS",""))*10/2,0),IF('Eval-Avec act. écol. envisagée'!$A$772=DY11,LEN(SUBSTITUTE((SUBSTITUTE(EY20,"TF","")),"TS",""))*10/2,0),IF('Eval-Avec act. écol. envisagée'!$A$773=DY11,LEN(SUBSTITUTE((SUBSTITUTE(EY21,"TF","")),"TS",""))*10/2,0),IF('Eval-Avec act. écol. envisagée'!$A$774=DY11,LEN(SUBSTITUTE((SUBSTITUTE(EY22,"TF","")),"TS",""))*10/2,0),IF('Eval-Avec act. écol. envisagée'!$A$775=DY11,LEN(SUBSTITUTE((SUBSTITUTE(EY23,"TF","")),"TS",""))*10/2,0),IF('Eval-Avec act. écol. envisagée'!$A$776=DY11,LEN(SUBSTITUTE((SUBSTITUTE(EY24,"TF","")),"TS",""))*10/2,0),IF('Eval-Avec act. écol. envisagée'!$A$777=DY11,LEN(SUBSTITUTE((SUBSTITUTE(EY25,"TF","")),"TS",""))*10/2,0),IF('Eval-Avec act. écol. envisagée'!$A$778=DY11,LEN(SUBSTITUTE((SUBSTITUTE(EY26,"TF","")),"TS",""))*10/2,0),IF('Eval-Avec act. écol. envisagée'!$A$779=DY11,LEN(SUBSTITUTE((SUBSTITUTE(EY27,"TF","")),"TS",""))*10/2,0),IF('Eval-Avec act. écol. envisagée'!$A$780=DY11,LEN(SUBSTITUTE((SUBSTITUTE(EY28,"TF","")),"TS",""))*10/2,0))/COUNTIF('Eval-Avec act. écol. envisagée'!$A$761:$A$780,DY11),"")</f>
        <v/>
      </c>
      <c r="EN11" s="211" t="str">
        <f>IF(COUNTIF('Eval-Avec act. écol. envisagée'!$A$761:$A$780,DY11)&gt;0,SUM(IF('Eval-Avec act. écol. envisagée'!$A$761=DY11,LEN(SUBSTITUTE((SUBSTITUTE(EY9,"TF","")),"TM",""))*10/2,0),IF('Eval-Avec act. écol. envisagée'!$A$762=DY11,LEN(SUBSTITUTE((SUBSTITUTE(EY10,"TF","")),"TM",""))*10/2,0),IF('Eval-Avec act. écol. envisagée'!$A$763=DY11,LEN(SUBSTITUTE((SUBSTITUTE(EY11,"TF","")),"TM",""))*10/2,0),IF('Eval-Avec act. écol. envisagée'!$A$764=DY11,LEN(SUBSTITUTE((SUBSTITUTE(EY12,"TF","")),"TM",""))*10/2,0),IF('Eval-Avec act. écol. envisagée'!$A$765=DY11,LEN(SUBSTITUTE((SUBSTITUTE(EY13,"TF","")),"TM",""))*10/2,0),IF('Eval-Avec act. écol. envisagée'!$A$766=DY11,LEN(SUBSTITUTE((SUBSTITUTE(EY14,"TF","")),"TM",""))*10/2,0),IF('Eval-Avec act. écol. envisagée'!$A$767=DY11,LEN(SUBSTITUTE((SUBSTITUTE(EY15,"TF","")),"TM",""))*10/2,0),IF('Eval-Avec act. écol. envisagée'!$A$768=DY11,LEN(SUBSTITUTE((SUBSTITUTE(EY16,"TF","")),"TM",""))*10/2,0),IF('Eval-Avec act. écol. envisagée'!$A$769=DY11,LEN(SUBSTITUTE((SUBSTITUTE(EY17,"TF","")),"TM",""))*10/2,0),IF('Eval-Avec act. écol. envisagée'!$A$770=DY11,LEN(SUBSTITUTE((SUBSTITUTE(EY18,"TF","")),"TM",""))*10/2,0),IF('Eval-Avec act. écol. envisagée'!$A$771=DY11,LEN(SUBSTITUTE((SUBSTITUTE(EY19,"TF","")),"TM",""))*10/2,0),IF('Eval-Avec act. écol. envisagée'!$A$772=DY11,LEN(SUBSTITUTE((SUBSTITUTE(EY20,"TF","")),"TM",""))*10/2,0),IF('Eval-Avec act. écol. envisagée'!$A$773=DY11,LEN(SUBSTITUTE((SUBSTITUTE(EY21,"TF","")),"TM",""))*10/2,0),IF('Eval-Avec act. écol. envisagée'!$A$774=DY11,LEN(SUBSTITUTE((SUBSTITUTE(EY22,"TF","")),"TM",""))*10/2,0),IF('Eval-Avec act. écol. envisagée'!$A$775=DY11,LEN(SUBSTITUTE((SUBSTITUTE(EY23,"TF","")),"TM",""))*10/2,0),IF('Eval-Avec act. écol. envisagée'!$A$776=DY11,LEN(SUBSTITUTE((SUBSTITUTE(EY24,"TF","")),"TM",""))*10/2,0),IF('Eval-Avec act. écol. envisagée'!$A$777=DY11,LEN(SUBSTITUTE((SUBSTITUTE(EY25,"TF","")),"TM",""))*10/2,0),IF('Eval-Avec act. écol. envisagée'!$A$778=DY11,LEN(SUBSTITUTE((SUBSTITUTE(EY26,"TF","")),"TM",""))*10/2,0),IF('Eval-Avec act. écol. envisagée'!$A$779=DY11,LEN(SUBSTITUTE((SUBSTITUTE(EY27,"TF","")),"TM",""))*10/2,0),IF('Eval-Avec act. écol. envisagée'!$A$780=DY11,LEN(SUBSTITUTE((SUBSTITUTE(EY28,"TF","")),"TM",""))*10/2,0))/COUNTIF('Eval-Avec act. écol. envisagée'!$A$761:$A$780,DY11),"")</f>
        <v/>
      </c>
      <c r="EO11" s="211" t="str">
        <f>IF(COUNTIF('Eval-Avec act. écol. envisagée'!$A$761:$A$780,DY11)&gt;0,IF(OR(AND('Eval-Avec act. écol. envisagée'!$A$761=DY11,EV9&lt;30),AND('Eval-Avec act. écol. envisagée'!$A$762=DY11,EV10&lt;30),AND('Eval-Avec act. écol. envisagée'!$A$763=DY11,EV11&lt;30),AND('Eval-Avec act. écol. envisagée'!$A$764=DY11,EV12&lt;30),AND('Eval-Avec act. écol. envisagée'!$A$765=DY11,EV13&lt;30),AND('Eval-Avec act. écol. envisagée'!$A$766=DY11,EV14&lt;30),AND('Eval-Avec act. écol. envisagée'!$A$767=DY11,EV15&lt;30),AND('Eval-Avec act. écol. envisagée'!$A$768=DY11,EV16&lt;30),AND('Eval-Avec act. écol. envisagée'!$A$769=DY11,EV17&lt;30),AND('Eval-Avec act. écol. envisagée'!$A$770=DY11,EV18&lt;30),AND('Eval-Avec act. écol. envisagée'!$A$771=DY11,EV19&lt;30),AND('Eval-Avec act. écol. envisagée'!$A$772=DY11,EV20&lt;30),AND('Eval-Avec act. écol. envisagée'!$A$773=DY11,EV21&lt;30),AND('Eval-Avec act. écol. envisagée'!$A$774=DY11,EV22&lt;30),AND('Eval-Avec act. écol. envisagée'!$A$775=DY11,EV23&lt;30),AND('Eval-Avec act. écol. envisagée'!$A$776=DY11,EV24&lt;30),AND('Eval-Avec act. écol. envisagée'!$A$777=DY11,EV25&lt;30),AND('Eval-Avec act. écol. envisagée'!$A$778=DY11,EV26&lt;30),AND('Eval-Avec act. écol. envisagée'!$A$779=DY11,EV27&lt;30),AND('Eval-Avec act. écol. envisagée'!$A$780=DY11,EV28&lt;30)),"",SUM(0.1*(SUMPRODUCT(('Eval-Avec act. écol. envisagée'!$A$761:$A$780=DY11)*('Eval-Avec act. écol. envisagée'!$N$761:$P$780="A"))+ SUMPRODUCT(('Eval-Avec act. écol. envisagée'!$A$761:$A$780=DY11)*('Eval-Avec act. écol. envisagée'!$N$761:$P$780="AL"))),0.7*(SUMPRODUCT(('Eval-Avec act. écol. envisagée'!$A$761:$A$780=DY11)*('Eval-Avec act. écol. envisagée'!$N$761:$P$780="TF"))+SUMPRODUCT(('Eval-Avec act. écol. envisagée'!$A$761:$A$780=DY11)*('Eval-Avec act. écol. envisagée'!$N$761:$P$780="TM"))+SUMPRODUCT(('Eval-Avec act. écol. envisagée'!$A$761:$A$780=DY11)*('Eval-Avec act. écol. envisagée'!$N$761:$P$780="TS"))),0.4*(SUMPRODUCT(('Eval-Avec act. écol. envisagée'!$A$761:$A$780=DY11)*('Eval-Avec act. écol. envisagée'!$N$761:$P$780="LA"))+SUMPRODUCT(('Eval-Avec act. écol. envisagée'!$A$761:$A$780=DY11)*('Eval-Avec act. écol. envisagée'!$N$761:$P$780="L"))+SUMPRODUCT(('Eval-Avec act. écol. envisagée'!$A$761:$A$780=DY11)*('Eval-Avec act. écol. envisagée'!$N$761:$P$780="LS"))),1*(SUMPRODUCT(('Eval-Avec act. écol. envisagée'!$A$761:$A$780=DY11)*('Eval-Avec act. écol. envisagée'!$N$761:$P$780="SL"))+ SUMPRODUCT(('Eval-Avec act. écol. envisagée'!$A$761:$A$780=DY11)*('Eval-Avec act. écol. envisagée'!$N$761:$P$780="S"))))/(3*COUNTIF('Eval-Avec act. écol. envisagée'!$A$761:$A$780,DY11))),"")</f>
        <v/>
      </c>
      <c r="EP11" s="211" t="str">
        <f>IF(COUNTIF('Eval-Avec act. écol. envisagée'!$A$761:$A$780,DY11)&gt;0,IF(OR(AND('Eval-Avec act. écol. envisagée'!$A$761=DY11,EV9&lt;120),AND('Eval-Avec act. écol. envisagée'!$A$762=DY11,EV10&lt;120),AND('Eval-Avec act. écol. envisagée'!$A$763=DY11,EV11&lt;120),AND('Eval-Avec act. écol. envisagée'!$A$764=DY11,EV12&lt;120),AND('Eval-Avec act. écol. envisagée'!$A$765=DY11,EV13&lt;120),AND('Eval-Avec act. écol. envisagée'!$A$766=DY11,EV14&lt;120),AND('Eval-Avec act. écol. envisagée'!$A$767=DY11,EV15&lt;120),AND('Eval-Avec act. écol. envisagée'!$A$768=DY11,EV16&lt;120),AND('Eval-Avec act. écol. envisagée'!$A$769=DY11,EV17&lt;120),AND('Eval-Avec act. écol. envisagée'!$A$770=DY11,EV18&lt;120),AND('Eval-Avec act. écol. envisagée'!$A$771=DY11,EV19&lt;120),AND('Eval-Avec act. écol. envisagée'!$A$772=DY11,EV20&lt;120),AND('Eval-Avec act. écol. envisagée'!$A$773=DY11,EV21&lt;120),AND('Eval-Avec act. écol. envisagée'!$A$774=DY11,EV22&lt;120),AND('Eval-Avec act. écol. envisagée'!$A$775=DY11,EV23&lt;120),AND('Eval-Avec act. écol. envisagée'!$A$776=DY11,EV24&lt;120),AND('Eval-Avec act. écol. envisagée'!$A$777=DY11,EV25&lt;120),AND('Eval-Avec act. écol. envisagée'!$A$778=DY11,EV26&lt;120),AND('Eval-Avec act. écol. envisagée'!$A$779=DY11,EV27&lt;120),AND('Eval-Avec act. écol. envisagée'!$A$780=DY11,EV28&lt;120)),"",SUM(0.1*(SUMPRODUCT(('Eval-Avec act. écol. envisagée'!$A$761:$A$780=DY11)*('Eval-Avec act. écol. envisagée'!$Q$761:$Y$780="A"))+ SUMPRODUCT(('Eval-Avec act. écol. envisagée'!$A$761:$A$780=DY11)*('Eval-Avec act. écol. envisagée'!$Q$761:$Y$780="AL"))),0.7*(SUMPRODUCT(('Eval-Avec act. écol. envisagée'!$A$761:$A$780=DY11)*('Eval-Avec act. écol. envisagée'!$Q$761:$Y$780="TF"))+SUMPRODUCT(('Eval-Avec act. écol. envisagée'!$A$761:$A$780=DY11)*('Eval-Avec act. écol. envisagée'!$Q$761:$Y$780="TM"))+SUMPRODUCT(('Eval-Avec act. écol. envisagée'!$A$761:$A$780=DY11)*('Eval-Avec act. écol. envisagée'!$Q$761:$Y$780="TS"))),0.4*(SUMPRODUCT(('Eval-Avec act. écol. envisagée'!$A$761:$A$780=DY11)*('Eval-Avec act. écol. envisagée'!$Q$761:$Y$780="LA"))+SUMPRODUCT(('Eval-Avec act. écol. envisagée'!$A$761:$A$780=DY11)*('Eval-Avec act. écol. envisagée'!$Q$761:$Y$780="L"))+SUMPRODUCT(('Eval-Avec act. écol. envisagée'!$A$761:$A$780=DY11)*('Eval-Avec act. écol. envisagée'!$Q$761:$Y$780="LS"))),1*(SUMPRODUCT(('Eval-Avec act. écol. envisagée'!$A$761:$A$780=DY11)*('Eval-Avec act. écol. envisagée'!$Q$761:$Y$780="SL"))+ SUMPRODUCT(('Eval-Avec act. écol. envisagée'!$A$761:$A$780=DY11)*('Eval-Avec act. écol. envisagée'!$Q$761:$Y$780="S"))))/(9*COUNTIF('Eval-Avec act. écol. envisagée'!$A$761:$A$780,DY11))),"")</f>
        <v/>
      </c>
      <c r="EQ11" s="211" t="str">
        <f>IF(COUNTIF('Eval-Avec act. écol. envisagée'!$A$761:$A$780,DY11)&gt;0,IF(OR(AND('Eval-Avec act. écol. envisagée'!$A$761=DY11,OR(COUNTIF('Eval-Avec act. écol. envisagée'!$N$761:$P$761,"*T*")&gt;0,EV9&lt;30)),AND('Eval-Avec act. écol. envisagée'!$A$762=DY11,OR(COUNTIF('Eval-Avec act. écol. envisagée'!$N$762:$P$762,"*T*")&gt;0,EV10&lt;30)),AND('Eval-Avec act. écol. envisagée'!$A$763=DY11,OR(COUNTIF('Eval-Avec act. écol. envisagée'!$N$763:$P$763,"*T*")&gt;0,EV11&lt;30)),AND('Eval-Avec act. écol. envisagée'!$A$764=DY11,OR(COUNTIF('Eval-Avec act. écol. envisagée'!$N$764:$P$764,"*T*")&gt;0,EV12&lt;30)),AND('Eval-Avec act. écol. envisagée'!$A$765=DY11,OR(COUNTIF('Eval-Avec act. écol. envisagée'!$N$765:$P$765,"*T*")&gt;0,EV13&lt;30)),AND('Eval-Avec act. écol. envisagée'!$A$766=DY11,OR(COUNTIF('Eval-Avec act. écol. envisagée'!$N$766:$P$766,"*T*")&gt;0,EV14&lt;30)),AND('Eval-Avec act. écol. envisagée'!$A$767=DY11,OR(COUNTIF('Eval-Avec act. écol. envisagée'!$N$767:$P$767,"*T*")&gt;0,EV15&lt;30)),AND('Eval-Avec act. écol. envisagée'!$A$768=DY11,OR(COUNTIF('Eval-Avec act. écol. envisagée'!$N$768:$P$768,"*T*")&gt;0,EV16&lt;30)),AND('Eval-Avec act. écol. envisagée'!$A$769=DY11,OR(COUNTIF('Eval-Avec act. écol. envisagée'!$N$769:$P$769,"*T*")&gt;0,EV17&lt;30)),AND('Eval-Avec act. écol. envisagée'!$A$770=DY11,OR(COUNTIF('Eval-Avec act. écol. envisagée'!$N$770:$P$770,"*T*")&gt;0,EV18&lt;30)),AND('Eval-Avec act. écol. envisagée'!$A$771=DY11,OR(COUNTIF('Eval-Avec act. écol. envisagée'!$N$771:$P$771,"*T*")&gt;0,EV19&lt;30)),AND('Eval-Avec act. écol. envisagée'!$A$772=DY11,OR(COUNTIF('Eval-Avec act. écol. envisagée'!$N$772:$P$772,"*T*")&gt;0,EV20&lt;30)),AND('Eval-Avec act. écol. envisagée'!$A$773=DY11,OR(COUNTIF('Eval-Avec act. écol. envisagée'!$N$773:$P$773,"*T*")&gt;0,EV21&lt;30)),AND('Eval-Avec act. écol. envisagée'!$A$774=DY11,OR(COUNTIF('Eval-Avec act. écol. envisagée'!$N$774:$P$774,"*T*")&gt;0,EV22&lt;30)),AND('Eval-Avec act. écol. envisagée'!$A$775=DY11,OR(COUNTIF('Eval-Avec act. écol. envisagée'!$N$775:$P$775,"*T*")&gt;0,EV23&lt;30)),AND('Eval-Avec act. écol. envisagée'!$A$776=DY11,OR(COUNTIF('Eval-Avec act. écol. envisagée'!$N$776:$P$776,"*T*")&gt;0,EV24&lt;30)),AND('Eval-Avec act. écol. envisagée'!$A$777=DY11,OR(COUNTIF('Eval-Avec act. écol. envisagée'!$N$777:$P$777,"*T*")&gt;0,EV25&lt;30)),AND('Eval-Avec act. écol. envisagée'!$A$778=DY11,OR(COUNTIF('Eval-Avec act. écol. envisagée'!$N$778:$P$778,"*T*")&gt;0,EV26&lt;30)),AND('Eval-Avec act. écol. envisagée'!$A$779=DY11,OR(COUNTIF('Eval-Avec act. écol. envisagée'!$N$779:$P$779,"*T*")&gt;0,EV27&lt;30)),AND('Eval-Avec act. écol. envisagée'!$A$780=DY11,OR(COUNTIF('Eval-Avec act. écol. envisagée'!$N$780:$P$780,"*T*")&gt;0,EV28&lt;30))),"",SUM(0.1*(SUMPRODUCT(('Eval-Avec act. écol. envisagée'!$A$761:$A$780=DY11)*('Eval-Avec act. écol. envisagée'!$N$761:$P$780="L"))),0.4*(SUMPRODUCT(('Eval-Avec act. écol. envisagée'!$A$761:$A$780=DY11)*('Eval-Avec act. écol. envisagée'!$N$761:$P$780="LA"))+SUMPRODUCT(('Eval-Avec act. écol. envisagée'!$A$761:$A$780=DY11)*('Eval-Avec act. écol. envisagée'!$N$761:$P$780="LS"))),0.7*(SUMPRODUCT(('Eval-Avec act. écol. envisagée'!$A$761:$A$780=DY11)*('Eval-Avec act. écol. envisagée'!$N$761:$P$780="AL"))+SUMPRODUCT(('Eval-Avec act. écol. envisagée'!$A$761:$A$780=DY11)*('Eval-Avec act. écol. envisagée'!$N$761:$P$780="SL"))),1*(SUMPRODUCT(('Eval-Avec act. écol. envisagée'!$A$761:$A$780=DY11)*('Eval-Avec act. écol. envisagée'!$N$761:$P$780="S"))+ SUMPRODUCT(('Eval-Avec act. écol. envisagée'!$A$761:$A$780=DY11)*('Eval-Avec act. écol. envisagée'!$N$761:$P$780="A"))))/(3*COUNTIF('Eval-Avec act. écol. envisagée'!$A$761:$A$780,DY11))),"")</f>
        <v/>
      </c>
      <c r="ER11" s="211" t="str">
        <f>IF(COUNTIF('Eval-Avec act. écol. envisagée'!$A$761:$A$780,DY11)&gt;0,IF(OR(AND('Eval-Avec act. écol. envisagée'!$A$761=DY11,OR(COUNTIF('Eval-Avec act. écol. envisagée'!$N$761:$P$761,"*T*")&gt;0,EV9&lt;30)),AND('Eval-Avec act. écol. envisagée'!$A$762=DY11,OR(COUNTIF('Eval-Avec act. écol. envisagée'!$N$762:$P$762,"*T*")&gt;0,EV10&lt;30)),AND('Eval-Avec act. écol. envisagée'!$A$763=DY11,OR(COUNTIF('Eval-Avec act. écol. envisagée'!$N$763:$P$763,"*T*")&gt;0,EV11&lt;30)),AND('Eval-Avec act. écol. envisagée'!$A$764=DY11,OR(COUNTIF('Eval-Avec act. écol. envisagée'!$N$764:$P$764,"*T*")&gt;0,EV12&lt;30)),AND('Eval-Avec act. écol. envisagée'!$A$765=DY11,OR(COUNTIF('Eval-Avec act. écol. envisagée'!$N$765:$P$765,"*T*")&gt;0,EV13&lt;30)),AND('Eval-Avec act. écol. envisagée'!$A$766=DY11,OR(COUNTIF('Eval-Avec act. écol. envisagée'!$N$766:$P$766,"*T*")&gt;0,EV14&lt;30)),AND('Eval-Avec act. écol. envisagée'!$A$767=DY11,OR(COUNTIF('Eval-Avec act. écol. envisagée'!$N$767:$P$767,"*T*")&gt;0,EV15&lt;30)),AND('Eval-Avec act. écol. envisagée'!$A$768=DY11,OR(COUNTIF('Eval-Avec act. écol. envisagée'!$N$768:$P$768,"*T*")&gt;0,EV16&lt;30)),AND('Eval-Avec act. écol. envisagée'!$A$769=DY11,OR(COUNTIF('Eval-Avec act. écol. envisagée'!$N$769:$P$769,"*T*")&gt;0,EV17&lt;30)),AND('Eval-Avec act. écol. envisagée'!$A$770=DY11,OR(COUNTIF('Eval-Avec act. écol. envisagée'!$N$770:$P$770,"*T*")&gt;0,EV18&lt;30)),AND('Eval-Avec act. écol. envisagée'!$A$771=DY11,OR(COUNTIF('Eval-Avec act. écol. envisagée'!$N$771:$P$771,"*T*")&gt;0,EV19&lt;30)),AND('Eval-Avec act. écol. envisagée'!$A$772=DY11,OR(COUNTIF('Eval-Avec act. écol. envisagée'!$N$772:$P$772,"*T*")&gt;0,EV20&lt;30)),AND('Eval-Avec act. écol. envisagée'!$A$773=DY11,OR(COUNTIF('Eval-Avec act. écol. envisagée'!$N$773:$P$773,"*T*")&gt;0,EV21&lt;30)),AND('Eval-Avec act. écol. envisagée'!$A$774=DY11,OR(COUNTIF('Eval-Avec act. écol. envisagée'!$N$774:$P$774,"*T*")&gt;0,EV22&lt;30)),AND('Eval-Avec act. écol. envisagée'!$A$775=DY11,OR(COUNTIF('Eval-Avec act. écol. envisagée'!$N$775:$P$775,"*T*")&gt;0,EV23&lt;30)),AND('Eval-Avec act. écol. envisagée'!$A$776=DY11,OR(COUNTIF('Eval-Avec act. écol. envisagée'!$N$776:$P$776,"*T*")&gt;0,EV24&lt;30)),AND('Eval-Avec act. écol. envisagée'!$A$777=DY11,OR(COUNTIF('Eval-Avec act. écol. envisagée'!$N$777:$P$777,"*T*")&gt;0,EV25&lt;30)),AND('Eval-Avec act. écol. envisagée'!$A$778=DY11,OR(COUNTIF('Eval-Avec act. écol. envisagée'!$N$778:$P$778,"*T*")&gt;0,EV26&lt;30)),AND('Eval-Avec act. écol. envisagée'!$A$779=DY11,OR(COUNTIF('Eval-Avec act. écol. envisagée'!$N$779:$P$779,"*T*")&gt;0,EV27&lt;30)),AND('Eval-Avec act. écol. envisagée'!$A$780=DY11,OR(COUNTIF('Eval-Avec act. écol. envisagée'!$N$780:$P$780,"*T*")&gt;0,EV28&lt;30))),"",SUM(1*(SUMPRODUCT(('Eval-Avec act. écol. envisagée'!$A$761:$A$780=DY11)*('Eval-Avec act. écol. envisagée'!$N$761:$P$780="A"))),0.85*(SUMPRODUCT(('Eval-Avec act. écol. envisagée'!$A$761:$A$780=DY11)*('Eval-Avec act. écol. envisagée'!$N$761:$P$780="AL"))),0.7*(SUMPRODUCT(('Eval-Avec act. écol. envisagée'!$A$761:$A$780=DY11)*('Eval-Avec act. écol. envisagée'!$N$761:$P$780="LA"))),0.55*(SUMPRODUCT(('Eval-Avec act. écol. envisagée'!$A$761:$A$780=DY11)*('Eval-Avec act. écol. envisagée'!$N$761:$P$780="L"))),0.4*(SUMPRODUCT(('Eval-Avec act. écol. envisagée'!$A$761:$A$780=DY11)*('Eval-Avec act. écol. envisagée'!$N$761:$P$780="LS"))),0.25*(SUMPRODUCT(('Eval-Avec act. écol. envisagée'!$A$761:$A$780=DY11)*('Eval-Avec act. écol. envisagée'!$N$761:$P$780="SL"))),0.1*(SUMPRODUCT(('Eval-Avec act. écol. envisagée'!$A$761:$A$780=DY11)*('Eval-Avec act. écol. envisagée'!$N$761:$P$780="S"))))/(3*COUNTIF('Eval-Avec act. écol. envisagée'!$A$761:$A$780,DY11))),"")</f>
        <v/>
      </c>
      <c r="ES11" s="214" t="str">
        <f>IF(COUNTIF('Eval-Avec act. écol. envisagée'!$A$761:$A$780,DY11)&gt;0,IF(OR(AND('Eval-Avec act. écol. envisagée'!$A$761=DY11,OR(COUNTIF('Eval-Avec act. écol. envisagée'!$Q$761:$Y$761,"*T*")&gt;0,EV9&lt;120)),AND('Eval-Avec act. écol. envisagée'!$A$762=DY11,OR(COUNTIF('Eval-Avec act. écol. envisagée'!$Q$762:$Y$762,"*T*")&gt;0,EV10&lt;120)),AND('Eval-Avec act. écol. envisagée'!$A$763=DY11,OR(COUNTIF('Eval-Avec act. écol. envisagée'!$Q$763:$Y$763,"*T*")&gt;0,EV11&lt;120)),AND('Eval-Avec act. écol. envisagée'!$A$764=DY11,OR(COUNTIF('Eval-Avec act. écol. envisagée'!$Q$764:$Y$764,"*T*")&gt;0,EV12&lt;120)),AND('Eval-Avec act. écol. envisagée'!$A$765=DY11,OR(COUNTIF('Eval-Avec act. écol. envisagée'!$Q$765:$Y$765,"*T*")&gt;0,EV13&lt;120)),AND('Eval-Avec act. écol. envisagée'!$A$766=DY11,OR(COUNTIF('Eval-Avec act. écol. envisagée'!$Q$766:$Y$766,"*T*")&gt;0,EV14&lt;120)),AND('Eval-Avec act. écol. envisagée'!$A$767=DY11,OR(COUNTIF('Eval-Avec act. écol. envisagée'!$Q$767:$Y$767,"*T*")&gt;0,EV15&lt;120)),AND('Eval-Avec act. écol. envisagée'!$A$768=DY11,OR(COUNTIF('Eval-Avec act. écol. envisagée'!$Q$768:$Y$768,"*T*")&gt;0,EV16&lt;120)),AND('Eval-Avec act. écol. envisagée'!$A$769=DY11,OR(COUNTIF('Eval-Avec act. écol. envisagée'!$Q$769:$Y$769,"*T*")&gt;0,EV17&lt;120)),AND('Eval-Avec act. écol. envisagée'!$A$770=DY11,OR(COUNTIF('Eval-Avec act. écol. envisagée'!$Q$770:$Y$770,"*T*")&gt;0,EV18&lt;120)),AND('Eval-Avec act. écol. envisagée'!$A$771=DY11,OR(COUNTIF('Eval-Avec act. écol. envisagée'!$Q$771:$Y$771,"*T*")&gt;0,EV19&lt;120)),AND('Eval-Avec act. écol. envisagée'!$A$772=DY11,OR(COUNTIF('Eval-Avec act. écol. envisagée'!$Q$772:$Y$772,"*T*")&gt;0,EV20&lt;120)),AND('Eval-Avec act. écol. envisagée'!$A$773=DY11,OR(COUNTIF('Eval-Avec act. écol. envisagée'!$Q$773:$Y$773,"*T*")&gt;0,EV21&lt;120)),AND('Eval-Avec act. écol. envisagée'!$A$774=DY11,OR(COUNTIF('Eval-Avec act. écol. envisagée'!$Q$774:$Y$774,"*T*")&gt;0,EV22&lt;120)),AND('Eval-Avec act. écol. envisagée'!$A$775=DY11,OR(COUNTIF('Eval-Avec act. écol. envisagée'!$Q$775:$Y$775,"*T*")&gt;0,EV23&lt;120)),AND('Eval-Avec act. écol. envisagée'!$A$776=DY11,OR(COUNTIF('Eval-Avec act. écol. envisagée'!$Q$776:$Y$776,"*T*")&gt;0,EV24&lt;120)),AND('Eval-Avec act. écol. envisagée'!$A$777=DY11,OR(COUNTIF('Eval-Avec act. écol. envisagée'!$Q$777:$Y$777,"*T*")&gt;0,EV25&lt;120)),AND('Eval-Avec act. écol. envisagée'!$A$778=DY11,OR(COUNTIF('Eval-Avec act. écol. envisagée'!$Q$778:$Y$778,"*T*")&gt;0,EV26&lt;120)),AND('Eval-Avec act. écol. envisagée'!$A$779=DY11,OR(COUNTIF('Eval-Avec act. écol. envisagée'!$Q$779:$Y$779,"*T*")&gt;0,EV27&lt;120)),AND('Eval-Avec act. écol. envisagée'!$A$780=DY11,OR(COUNTIF('Eval-Avec act. écol. envisagée'!$Q$780:$Y$780,"*T*")&gt;0,EV28&lt;120))),"",SUM(1*(SUMPRODUCT(('Eval-Avec act. écol. envisagée'!$A$761:$A$780=DY11)*('Eval-Avec act. écol. envisagée'!$Q$761:$Y$780="A"))),0.85*(SUMPRODUCT(('Eval-Avec act. écol. envisagée'!$A$761:$A$780=DY11)*('Eval-Avec act. écol. envisagée'!$Q$761:$Y$780="AL"))),0.7*(SUMPRODUCT(('Eval-Avec act. écol. envisagée'!$A$761:$A$780=DY11)*('Eval-Avec act. écol. envisagée'!$Q$761:$Y$780="LA"))),0.55*(SUMPRODUCT(('Eval-Avec act. écol. envisagée'!$A$761:$A$780=DY11)*('Eval-Avec act. écol. envisagée'!$Q$761:$Y$780="L"))),0.4*(SUMPRODUCT(('Eval-Avec act. écol. envisagée'!$A$761:$A$780=DY11)*('Eval-Avec act. écol. envisagée'!$Q$761:$Y$780="LS"))),0.25*(SUMPRODUCT(('Eval-Avec act. écol. envisagée'!$A$761:$A$780=DY11)*('Eval-Avec act. écol. envisagée'!$Q$761:$Y$780="SL"))),0.1*(SUMPRODUCT(('Eval-Avec act. écol. envisagée'!$A$761:$A$780=DY11)*('Eval-Avec act. écol. envisagée'!$Q$761:$Y$780="S"))))/(9*COUNTIF('Eval-Avec act. écol. envisagée'!$A$761:$A$780,DY11))),"")</f>
        <v/>
      </c>
      <c r="ET11" s="215"/>
      <c r="EU11" s="216">
        <f>'Eval-Avec act. écol. envisagée'!$D$763</f>
        <v>3</v>
      </c>
      <c r="EV11" s="217" t="str">
        <f>IF(EW11="C",0,IF(IF(COUNTIF('Eval-Avec act. écol. envisagée'!$N$763:$Y$763,"=C")&gt;0,(COUNTA('Eval-Avec act. écol. envisagée'!$N$763:$Y$763)-1)*10,COUNTA('Eval-Avec act. écol. envisagée'!$N$763:$Y$763)*10)=0,"",IF(COUNTIF('Eval-Avec act. écol. envisagée'!$N$763:$Y$763,"=C")&gt;0,(COUNTA('Eval-Avec act. écol. envisagée'!$N$763:$Y$763)-1)*10,COUNTA('Eval-Avec act. écol. envisagée'!$N$763:$Y$763)*10)))</f>
        <v/>
      </c>
      <c r="EW11" s="217" t="str">
        <f>CONCATENATE('Eval-Avec act. écol. envisagée'!$N$763,'Eval-Avec act. écol. envisagée'!$O$763,'Eval-Avec act. écol. envisagée'!$P$763,'Eval-Avec act. écol. envisagée'!$Q$763,'Eval-Avec act. écol. envisagée'!$R$763,'Eval-Avec act. écol. envisagée'!$S$763,'Eval-Avec act. écol. envisagée'!$T$763,'Eval-Avec act. écol. envisagée'!$U$763,'Eval-Avec act. écol. envisagée'!$V$763,'Eval-Avec act. écol. envisagée'!$W$763,'Eval-Avec act. écol. envisagée'!$X$763,'Eval-Avec act. écol. envisagée'!$Y$763)</f>
        <v/>
      </c>
      <c r="EX11" s="217" t="str">
        <f t="shared" si="16"/>
        <v/>
      </c>
      <c r="EY11" s="217" t="str">
        <f t="shared" si="17"/>
        <v/>
      </c>
      <c r="EZ11" s="217" t="str">
        <f>IF(COUNTIF('Eval-Avec act. écol. envisagée'!$N$763:$Y$763,"=C")&gt;0,"X","")</f>
        <v/>
      </c>
      <c r="FA11" s="217" t="str">
        <f t="shared" si="18"/>
        <v/>
      </c>
      <c r="FB11" s="218" t="str">
        <f t="shared" si="19"/>
        <v/>
      </c>
      <c r="FC11" s="197"/>
      <c r="FE11" s="210">
        <v>3</v>
      </c>
      <c r="FF11" s="211" t="str">
        <f>IF(COUNTIF('Eval-Après action écologique'!$A$761:$A$780,FE11)&gt;0,SUM(IF('Eval-Après action écologique'!$A$761=FE11,'Eval-Après action écologique'!$B$761,0),IF('Eval-Après action écologique'!$A$762=FE11, 'Eval-Après action écologique'!$B$762,0),IF('Eval-Après action écologique'!$A$763=FE11, 'Eval-Après action écologique'!$B$763,0),IF('Eval-Après action écologique'!$A$764=FE11, 'Eval-Après action écologique'!$B$764,0),IF('Eval-Après action écologique'!$A$765=FE11, 'Eval-Après action écologique'!$B$765,0),IF('Eval-Après action écologique'!$A$766=FE11, 'Eval-Après action écologique'!$B$766,0),IF('Eval-Après action écologique'!$A$767=FE11, 'Eval-Après action écologique'!$B$767,0),IF('Eval-Après action écologique'!$A$768=FE11, 'Eval-Après action écologique'!$B$768,0),IF('Eval-Après action écologique'!$A$769=FE11, 'Eval-Après action écologique'!$B$769,0),IF('Eval-Après action écologique'!$A$770=FE11, 'Eval-Après action écologique'!$B$770,0),IF('Eval-Après action écologique'!$A$771=FE11, 'Eval-Après action écologique'!$B$771,0),IF('Eval-Après action écologique'!$A$772=FE11, 'Eval-Après action écologique'!$B$772,0),IF('Eval-Après action écologique'!$A$773=FE11, 'Eval-Après action écologique'!$B$773,0),IF('Eval-Après action écologique'!$A$774=FE11, 'Eval-Après action écologique'!$B$774,0),IF('Eval-Après action écologique'!$A$775=FE11, 'Eval-Après action écologique'!$B$775,0),IF('Eval-Après action écologique'!$A$776=FE11, 'Eval-Après action écologique'!$B$776,0),IF('Eval-Après action écologique'!$A$777=FE11, 'Eval-Après action écologique'!$B$777,0),IF('Eval-Après action écologique'!$A$778=FE11, 'Eval-Après action écologique'!$B$778,0),IF('Eval-Après action écologique'!$A$779=FE11, 'Eval-Après action écologique'!$B$779,0),IF('Eval-Après action écologique'!$A$780=FE11, 'Eval-Après action écologique'!$B$780,0))/COUNTIF('Eval-Après action écologique'!$A$761:$A$780,FE11),"")</f>
        <v/>
      </c>
      <c r="FG11" s="212" t="str">
        <f>IF(COUNTIF('Eval-Après action écologique'!$A$761:$A$780,FE11)&gt;0,COUNTIF('Eval-Après action écologique'!$A$761:$A$780,FE11),"")</f>
        <v/>
      </c>
      <c r="FH11" s="211" t="str">
        <f>IF(COUNTIF('Eval-Après action écologique'!$A$761:$A$780,FE11)&gt;0,IF(OR(AND('Eval-Après action écologique'!$A$761=FE11, 'Eval-Après action écologique'!$G$761=""),AND('Eval-Après action écologique'!$A$762=FE11, 'Eval-Après action écologique'!$G$762=""),AND('Eval-Après action écologique'!$A$763=FE11, 'Eval-Après action écologique'!$G$763=""),AND('Eval-Après action écologique'!$A$764=FE11, 'Eval-Après action écologique'!$G$764=""),AND('Eval-Après action écologique'!$A$765=FE11, 'Eval-Après action écologique'!$G$765=""),AND('Eval-Après action écologique'!$A$766=FE11, 'Eval-Après action écologique'!$G$766=""),AND('Eval-Après action écologique'!$A$767=FE11, 'Eval-Après action écologique'!$G$767=""),AND('Eval-Après action écologique'!$A$768=FE11, 'Eval-Après action écologique'!$G$768=""),AND('Eval-Après action écologique'!$A$769=FE11, 'Eval-Après action écologique'!$G$769=""),AND('Eval-Après action écologique'!$A$770=FE11, 'Eval-Après action écologique'!$G$770=""),AND('Eval-Après action écologique'!$A$771=FE11, 'Eval-Après action écologique'!$G$771=""),AND('Eval-Après action écologique'!$A$772=FE11, 'Eval-Après action écologique'!$G$772=""),AND('Eval-Après action écologique'!$A$773=FE11, 'Eval-Après action écologique'!$G$773=""),AND('Eval-Après action écologique'!$A$774=FE11, 'Eval-Après action écologique'!$G$774=""),AND('Eval-Après action écologique'!$A$775=FE11, 'Eval-Après action écologique'!$G$775=""),AND('Eval-Après action écologique'!$A$776=FE11, 'Eval-Après action écologique'!$G$776=""),AND('Eval-Après action écologique'!$A$777=FE11, 'Eval-Après action écologique'!$G$777=""),AND('Eval-Après action écologique'!$A$778=FE11, 'Eval-Après action écologique'!$G$778=""),AND('Eval-Après action écologique'!$A$779=FE11, 'Eval-Après action écologique'!$G$779=""),AND('Eval-Après action écologique'!$A$780=FE11, 'Eval-Après action écologique'!$G$780="")),"",SUM(IF('Eval-Après action écologique'!$A$761=FE11,'Eval-Après action écologique'!$G$761,0),IF('Eval-Après action écologique'!$A$762=FE11,'Eval-Après action écologique'!$G$762,0),IF('Eval-Après action écologique'!$A$763=FE11,'Eval-Après action écologique'!$G$763,0),IF('Eval-Après action écologique'!$A$764=FE11,'Eval-Après action écologique'!$G$764,0),IF('Eval-Après action écologique'!$A$765=FE11,'Eval-Après action écologique'!$G$765,0),IF('Eval-Après action écologique'!$A$766=FE11,'Eval-Après action écologique'!$G$766,0),IF('Eval-Après action écologique'!$A$767=FE11,'Eval-Après action écologique'!$G$767,0),IF('Eval-Après action écologique'!$A$768=FE11,'Eval-Après action écologique'!$G$768,0),IF('Eval-Après action écologique'!$A$769=FE11,'Eval-Après action écologique'!$G$769,0),IF('Eval-Après action écologique'!$A$770=FE11,'Eval-Après action écologique'!$G$770,0),IF('Eval-Après action écologique'!$A$771=FE11,'Eval-Après action écologique'!$G$771,0),IF('Eval-Après action écologique'!$A$772=FE11,'Eval-Après action écologique'!$G$772,0),IF('Eval-Après action écologique'!$A$773=FE11,'Eval-Après action écologique'!$G$773,0),IF('Eval-Après action écologique'!$A$774=FE11,'Eval-Après action écologique'!$G$774,0),IF('Eval-Après action écologique'!$A$775=FE11,'Eval-Après action écologique'!$G$775,0), IF('Eval-Après action écologique'!$A$776=FE11,'Eval-Après action écologique'!$G$776,0), IF('Eval-Après action écologique'!$A$777=FE11,'Eval-Après action écologique'!$G$777,0), IF('Eval-Après action écologique'!$A$778=FE11,'Eval-Après action écologique'!$G$778,0), IF('Eval-Après action écologique'!$A$779=FE11,'Eval-Après action écologique'!$G$779,0), IF('Eval-Après action écologique'!$A$780=FE11,'Eval-Après action écologique'!$G$780,0))/ COUNTIF('Eval-Après action écologique'!$A$761:$A$780,FE11)),"")</f>
        <v/>
      </c>
      <c r="FI11" s="212" t="str">
        <f>IF(COUNTIF('Eval-Après action écologique'!$A$761:$A$780,FE11)&gt;0,IF(SUM(IF('Eval-Après action écologique'!$A$761=FE11,COUNTA('Eval-Après action écologique'!$H$761),0),IF('Eval-Après action écologique'!$A$762=FE11,COUNTA('Eval-Après action écologique'!$H$762),0),IF('Eval-Après action écologique'!$A$763=FE11,COUNTA('Eval-Après action écologique'!$H$763),0),IF('Eval-Après action écologique'!$A$764=FE11,COUNTA('Eval-Après action écologique'!$H$764),0),IF('Eval-Après action écologique'!$A$765=FE11,COUNTA('Eval-Après action écologique'!$H$765),0),IF('Eval-Après action écologique'!$A$766=FE11,COUNTA('Eval-Après action écologique'!$H$766),0),IF('Eval-Après action écologique'!$A$767=FE11,COUNTA('Eval-Après action écologique'!$H$767),0),IF('Eval-Après action écologique'!$A$768=FE11,COUNTA('Eval-Après action écologique'!$H$768),0),IF('Eval-Après action écologique'!$A$769=FE11,COUNTA('Eval-Après action écologique'!$H$769),0),IF('Eval-Après action écologique'!$A$770=FE11,COUNTA('Eval-Après action écologique'!$H$770),0),IF('Eval-Après action écologique'!$A$771=FE11,COUNTA('Eval-Après action écologique'!$H$771),0),IF('Eval-Après action écologique'!$A$772=FE11,COUNTA('Eval-Après action écologique'!$H$772),0),IF('Eval-Après action écologique'!$A$773=FE11,COUNTA('Eval-Après action écologique'!$H$773),0),IF('Eval-Après action écologique'!$A$774=FE11,COUNTA('Eval-Après action écologique'!$H$774),0),IF('Eval-Après action écologique'!$A$775=FE11,COUNTA('Eval-Après action écologique'!$H$775),0),IF('Eval-Après action écologique'!$A$776=FE11,COUNTA('Eval-Après action écologique'!$H$776),0),IF('Eval-Après action écologique'!$A$777=FE11,COUNTA('Eval-Après action écologique'!$H$777),0),IF('Eval-Après action écologique'!$A$778=FE11,COUNTA('Eval-Après action écologique'!$H$778),0),IF('Eval-Après action écologique'!$A$779=FE11,COUNTA('Eval-Après action écologique'!$H$779),0),IF('Eval-Après action écologique'!$A$780=FE11,COUNTA('Eval-Après action écologique'!$H$780),0))&gt;0,"X",0),"")</f>
        <v/>
      </c>
      <c r="FJ11" s="213" t="str">
        <f>IF(COUNTIF('Eval-Après action écologique'!$A$761:$A$780,FE11)&gt;0,IF(SUM(IF('Eval-Après action écologique'!$A$761=FE11,COUNTA('Eval-Après action écologique'!$I$761),0),IF('Eval-Après action écologique'!$A$762=FE11,COUNTA('Eval-Après action écologique'!$I$762),0),IF('Eval-Après action écologique'!$A$763=FE11,COUNTA('Eval-Après action écologique'!$I$763),0),IF('Eval-Après action écologique'!$A$764=FE11,COUNTA('Eval-Après action écologique'!$I$764),0),IF('Eval-Après action écologique'!$A$765=FE11,COUNTA('Eval-Après action écologique'!$I$765),0),IF('Eval-Après action écologique'!$A$766=FE11,COUNTA('Eval-Après action écologique'!$I$766),0),IF('Eval-Après action écologique'!$A$767=FE11,COUNTA('Eval-Après action écologique'!$I$767),0),IF('Eval-Après action écologique'!$A$768=FE11,COUNTA('Eval-Après action écologique'!$I$768),0),IF('Eval-Après action écologique'!$A$769=FE11,COUNTA('Eval-Après action écologique'!$I$769),0),IF('Eval-Après action écologique'!$A$770=FE11,COUNTA('Eval-Après action écologique'!$I$770),0),IF('Eval-Après action écologique'!$A$771=FE11,COUNTA('Eval-Après action écologique'!$I$771),0),IF('Eval-Après action écologique'!$A$772=FE11,COUNTA('Eval-Après action écologique'!$I$772),0),IF('Eval-Après action écologique'!$A$773=FE11,COUNTA('Eval-Après action écologique'!$I$773),0),IF('Eval-Après action écologique'!$A$774=FE11,COUNTA('Eval-Après action écologique'!$I$774),0),IF('Eval-Après action écologique'!$A$775=FE11,COUNTA('Eval-Après action écologique'!$I$775),0),IF('Eval-Après action écologique'!$A$776=FE11,COUNTA('Eval-Après action écologique'!$I$776),0),IF('Eval-Après action écologique'!$A$777=FE11,COUNTA('Eval-Après action écologique'!$I$777),0),IF('Eval-Après action écologique'!$A$778=FE11,COUNTA('Eval-Après action écologique'!$I$778),0),IF('Eval-Après action écologique'!$A$779=FE11,COUNTA('Eval-Après action écologique'!$I$779),0),IF('Eval-Après action écologique'!$A$780=FE11,COUNTA('Eval-Après action écologique'!$I$780),0))&gt;0,"X",0),"")</f>
        <v/>
      </c>
      <c r="FK11" s="213" t="str">
        <f>IF(COUNTIF('Eval-Après action écologique'!$A$761:$A$780,FE11)&gt;0,IF(SUM(IF('Eval-Après action écologique'!$A$761=FE11,COUNTA('Eval-Après action écologique'!$J$761),0),IF('Eval-Après action écologique'!$A$762=FE11,COUNTA('Eval-Après action écologique'!$J$762),0),IF('Eval-Après action écologique'!$A$763=FE11,COUNTA('Eval-Après action écologique'!$J$763),0),IF('Eval-Après action écologique'!$A$764=FE11,COUNTA('Eval-Après action écologique'!$J$764),0),IF('Eval-Après action écologique'!$A$765=FE11,COUNTA('Eval-Après action écologique'!$J$765),0),IF('Eval-Après action écologique'!$A$766=FE11,COUNTA('Eval-Après action écologique'!$J$766),0),IF('Eval-Après action écologique'!$A$767=FE11,COUNTA('Eval-Après action écologique'!$J$767),0),IF('Eval-Après action écologique'!$A$768=FE11,COUNTA('Eval-Après action écologique'!$J$768),0),IF('Eval-Après action écologique'!$A$769=FE11,COUNTA('Eval-Après action écologique'!$J$769),0),IF('Eval-Après action écologique'!$A$770=FE11,COUNTA('Eval-Après action écologique'!$J$770),0),IF('Eval-Après action écologique'!$A$771=FE11,COUNTA('Eval-Après action écologique'!$J$771),0),IF('Eval-Après action écologique'!$A$772=FE11,COUNTA('Eval-Après action écologique'!$J$772),0),IF('Eval-Après action écologique'!$A$773=FE11,COUNTA('Eval-Après action écologique'!$J$773),0),IF('Eval-Après action écologique'!$A$774=FE11,COUNTA('Eval-Après action écologique'!$J$774),0),IF('Eval-Après action écologique'!$A$775=FE11,COUNTA('Eval-Après action écologique'!$J$775),0),IF('Eval-Après action écologique'!$A$776=FE11,COUNTA('Eval-Après action écologique'!$J$776),0),IF('Eval-Après action écologique'!$A$777=FE11,COUNTA('Eval-Après action écologique'!$J$777),0),IF('Eval-Après action écologique'!$A$778=FE11,COUNTA('Eval-Après action écologique'!$J$778),0),IF('Eval-Après action écologique'!$A$779=FE11,COUNTA('Eval-Après action écologique'!$J$779),0),IF('Eval-Après action écologique'!$A$780=FE11,COUNTA('Eval-Après action écologique'!$J$780),0))&gt;0,"X",0),"")</f>
        <v/>
      </c>
      <c r="FL11" s="213" t="str">
        <f>IF(COUNTIF('Eval-Après action écologique'!$A$761:$A$780,FE11)&gt;0,IF(SUM(IF('Eval-Après action écologique'!$A$761=FE11,COUNTA('Eval-Après action écologique'!$K$761),0),IF('Eval-Après action écologique'!$A$762=FE11,COUNTA('Eval-Après action écologique'!$K$762),0),IF('Eval-Après action écologique'!$A$763=FE11,COUNTA('Eval-Après action écologique'!$K$763),0),IF('Eval-Après action écologique'!$A$764=FE11,COUNTA('Eval-Après action écologique'!$K$764),0),IF('Eval-Après action écologique'!$A$765=FE11,COUNTA('Eval-Après action écologique'!$K$765),0),IF('Eval-Après action écologique'!$A$766=FE11,COUNTA('Eval-Après action écologique'!$K$766),0),IF('Eval-Après action écologique'!$A$767=FE11,COUNTA('Eval-Après action écologique'!$K$767),0),IF('Eval-Après action écologique'!$A$768=FE11,COUNTA('Eval-Après action écologique'!$K$768),0),IF('Eval-Après action écologique'!$A$769=FE11,COUNTA('Eval-Après action écologique'!$K$769),0),IF('Eval-Après action écologique'!$A$770=FE11,COUNTA('Eval-Après action écologique'!$K$770),0),IF('Eval-Après action écologique'!$A$771=FE11,COUNTA('Eval-Après action écologique'!$K$771),0),IF('Eval-Après action écologique'!$A$772=FE11,COUNTA('Eval-Après action écologique'!$K$772),0),IF('Eval-Après action écologique'!$A$773=FE11,COUNTA('Eval-Après action écologique'!$K$773),0),IF('Eval-Après action écologique'!$A$774=FE11,COUNTA('Eval-Après action écologique'!$K$774),0),IF('Eval-Après action écologique'!$A$775=FE11,COUNTA('Eval-Après action écologique'!$K$775),0),IF('Eval-Après action écologique'!$A$776=FE11,COUNTA('Eval-Après action écologique'!$K$776),0),IF('Eval-Après action écologique'!$A$777=FE11,COUNTA('Eval-Après action écologique'!$K$777),0),IF('Eval-Après action écologique'!$A$778=FE11,COUNTA('Eval-Après action écologique'!$K$778),0),IF('Eval-Après action écologique'!$A$779=FE11,COUNTA('Eval-Après action écologique'!$K$779),0),IF('Eval-Après action écologique'!$A$780=FE11,COUNTA('Eval-Après action écologique'!$K$780),0))&gt;0,"X",0),"")</f>
        <v/>
      </c>
      <c r="FM11" s="211" t="str">
        <f>IF(COUNTIF('Eval-Après action écologique'!$A$761:$A$780,FE11)&gt;0,IF(OR(AND('Eval-Après action écologique'!$A$761=FE11,'Eval-Après action écologique'!$L$761&lt;120,'Eval-Après action écologique'!$L$761&gt;=GB9),AND('Eval-Après action écologique'!$A$762=FE11,'Eval-Après action écologique'!$L$762&lt;120,'Eval-Après action écologique'!$L$762&gt;=GB10),AND('Eval-Après action écologique'!$A$763=FE11,'Eval-Après action écologique'!$L$763&lt;120,'Eval-Après action écologique'!$L$763&gt;=GB11),AND('Eval-Après action écologique'!$A$764=FE11,'Eval-Après action écologique'!$L$764&lt;120,'Eval-Après action écologique'!$L$764&gt;=GB12),AND('Eval-Après action écologique'!$A$765=FE11,'Eval-Après action écologique'!$L$765&lt;120,'Eval-Après action écologique'!$L$765&gt;=GB13),AND('Eval-Après action écologique'!$A$766=FE11,'Eval-Après action écologique'!$L$766&lt;120,'Eval-Après action écologique'!$L$766&gt;=GB14),AND('Eval-Après action écologique'!$A$767=FE11,'Eval-Après action écologique'!$L$767&lt;120,'Eval-Après action écologique'!$L$767&gt;=GB15),AND('Eval-Après action écologique'!$A$768=FE11,'Eval-Après action écologique'!$L$768&lt;120,'Eval-Après action écologique'!$L$768&gt;=GB16),AND('Eval-Après action écologique'!$A$769=FE11,'Eval-Après action écologique'!$L$769&lt;120,'Eval-Après action écologique'!$L$769&gt;=GB17),AND('Eval-Après action écologique'!$A$770=FE11,'Eval-Après action écologique'!$L$770&lt;120,'Eval-Après action écologique'!$L$770&gt;=GB18),AND('Eval-Après action écologique'!$A$771=FE11,'Eval-Après action écologique'!$L$771&lt;120,'Eval-Après action écologique'!$L$771&gt;=GB19),AND('Eval-Après action écologique'!$A$772=FE11,'Eval-Après action écologique'!$L$772&lt;120,'Eval-Après action écologique'!$L$772&gt;=GB20),AND('Eval-Après action écologique'!$A$773=FE11,'Eval-Après action écologique'!$L$773&lt;120,'Eval-Après action écologique'!$L$773&gt;=GB21),AND('Eval-Après action écologique'!$A$774=FE11,'Eval-Après action écologique'!$L$774&lt;120,'Eval-Après action écologique'!$L$774&gt;=GB22),AND('Eval-Après action écologique'!$A$775=FE11,'Eval-Après action écologique'!$L$775&lt;120,'Eval-Après action écologique'!$L$775&gt;=GB23),AND('Eval-Après action écologique'!$A$776=FE11,'Eval-Après action écologique'!$L$776&lt;120,'Eval-Après action écologique'!$L$776&gt;=GB24),AND('Eval-Après action écologique'!$A$777=FE11,'Eval-Après action écologique'!$L$777&lt;120,'Eval-Après action écologique'!$L$777&gt;=GB25),AND('Eval-Après action écologique'!$A$778=FE11,'Eval-Après action écologique'!$L$778&lt;120,'Eval-Après action écologique'!$L$778&gt;=GB26),AND('Eval-Après action écologique'!$A$779=FE11,'Eval-Après action écologique'!$L$779&lt;120,'Eval-Après action écologique'!$L$779&gt;=GB27),AND('Eval-Après action écologique'!$A$780=FE11,'Eval-Après action écologique'!$L$780&lt;120,'Eval-Après action écologique'!$L$780&gt;=GB28)),"",SUM(IF('Eval-Après action écologique'!$A$761=FE11,'Eval-Après action écologique'!$L$761,0),IF('Eval-Après action écologique'!$A$762=FE11,'Eval-Après action écologique'!$L$762,0),IF('Eval-Après action écologique'!$A$763=FE11,'Eval-Après action écologique'!$L$763,0),IF('Eval-Après action écologique'!$A$764=FE11,'Eval-Après action écologique'!$L$764,0),IF('Eval-Après action écologique'!$A$765=FE11,'Eval-Après action écologique'!$L$765,0),IF('Eval-Après action écologique'!$A$766=FE11,'Eval-Après action écologique'!$L$766,0),IF('Eval-Après action écologique'!$A$767=FE11,'Eval-Après action écologique'!$L$767,0),IF('Eval-Après action écologique'!$A$768=FE11,'Eval-Après action écologique'!$L$768,0),IF('Eval-Après action écologique'!$A$769=FE11,'Eval-Après action écologique'!$L$769,0),IF('Eval-Après action écologique'!$A$770=FE11,'Eval-Après action écologique'!$L$770,0),IF('Eval-Après action écologique'!$A$771=FE11,'Eval-Après action écologique'!$L$771,0),IF('Eval-Après action écologique'!$A$772=FE11,'Eval-Après action écologique'!$L$772,0),IF('Eval-Après action écologique'!$A$773=FE11,'Eval-Après action écologique'!$L$773,0),IF('Eval-Après action écologique'!$A$774=FE11,'Eval-Après action écologique'!$L$774,0),IF('Eval-Après action écologique'!$A$775=FE11,'Eval-Après action écologique'!$L$775,0),IF('Eval-Après action écologique'!$A$776=FE11,'Eval-Après action écologique'!$L$776,0),IF('Eval-Après action écologique'!$A$777=FE11,'Eval-Après action écologique'!$L$777,0),IF('Eval-Après action écologique'!$A$778=FE11,'Eval-Après action écologique'!$L$778,0),IF('Eval-Après action écologique'!$A$779=FE11,'Eval-Après action écologique'!$L$779,0),IF('Eval-Après action écologique'!$A$780=FE11,'Eval-Après action écologique'!$L$780,0))/ COUNTIF('Eval-Après action écologique'!$A$761:$A$780,FE11)),"")</f>
        <v/>
      </c>
      <c r="FN11" s="211" t="str">
        <f>IF(COUNTIF('Eval-Après action écologique'!$A$761:$A$780,FE11)&gt;0,IF(OR(AND('Eval-Après action écologique'!$A$761=FE11, GB9&lt;120),AND(GB10&lt;120),AND(GB11&lt;120),AND(GB12&lt;120),AND(GB13&lt;120),AND(GB14&lt;120),AND(GB15&lt;120),AND(GB16&lt;120),AND(GB17&lt;120),AND(GB18&lt;120),AND(GB19&lt;120),AND(GB20&lt;120),AND(GB21&lt;120),AND(GB22&lt;120),AND(GB23&lt;120),AND(GB24&lt;120),AND(GB25&lt;120),AND(GB26&lt;120),AND(GB27&lt;120),AND(GB28&lt;120)),"",SUM(IF('Eval-Après action écologique'!$A$761=FE11,'Eval-Après action écologique'!$M$761,0),IF('Eval-Après action écologique'!$A$762=FE11,'Eval-Après action écologique'!$M$762,0),IF('Eval-Après action écologique'!$A$763=FE11,'Eval-Après action écologique'!$M$763,0),IF('Eval-Après action écologique'!$A$764=FE11,'Eval-Après action écologique'!$M$764,0),IF('Eval-Après action écologique'!$A$765=FE11,'Eval-Après action écologique'!$M$765,0),IF('Eval-Après action écologique'!$A$766=FE11,'Eval-Après action écologique'!$M$766,0),IF('Eval-Après action écologique'!$A$767=FE11,'Eval-Après action écologique'!$M$767,0),IF('Eval-Après action écologique'!$A$768=FE11,'Eval-Après action écologique'!$M$768,0),IF('Eval-Après action écologique'!$A$769=FE11,'Eval-Après action écologique'!$M$769,0),IF('Eval-Après action écologique'!$A$770=FE11,'Eval-Après action écologique'!$M$770,0),IF('Eval-Après action écologique'!$A$771=FE11,'Eval-Après action écologique'!$M$771,0),IF('Eval-Après action écologique'!$A$772=FE11,'Eval-Après action écologique'!$M$772,0),IF('Eval-Après action écologique'!$A$773=FE11,'Eval-Après action écologique'!$M$773,0),IF('Eval-Après action écologique'!$A$774=FE11,'Eval-Après action écologique'!$M$774,0),IF('Eval-Après action écologique'!$A$775=FE11,'Eval-Après action écologique'!$M$775,0), IF('Eval-Après action écologique'!$A$776=FE11,'Eval-Après action écologique'!$M$776,0), IF('Eval-Après action écologique'!$A$777=FE11,'Eval-Après action écologique'!$M$777,0), IF('Eval-Après action écologique'!$A$778=FE11,'Eval-Après action écologique'!$M$778,0), IF('Eval-Après action écologique'!$A$779=FE11,'Eval-Après action écologique'!$M$779,0), IF('Eval-Après action écologique'!$A$780=FE11,'Eval-Après action écologique'!$M$780,0))/COUNTIF('Eval-Après action écologique'!$A$761:$A$780,FE11)),"")</f>
        <v/>
      </c>
      <c r="FO11" s="211" t="str">
        <f>IF(COUNTIF('Eval-Après action écologique'!$A$761:$A$780,FE11)&gt;0,SUM(IF('Eval-Après action écologique'!$A$761=FE11,LEN(SUBSTITUTE((SUBSTITUTE(GD9,"TM","")),"TS",""))*10/2,0),IF('Eval-Après action écologique'!$A$762=FE11,LEN(SUBSTITUTE((SUBSTITUTE(GD10,"TM","")),"TS",""))*10/2,0),IF('Eval-Après action écologique'!$A$763=FE11,LEN(SUBSTITUTE((SUBSTITUTE(GD11,"TM","")),"TS",""))*10/2,0),IF('Eval-Après action écologique'!$A$764=FE11,LEN(SUBSTITUTE((SUBSTITUTE(GD12,"TM","")),"TS",""))*10/2,0),IF('Eval-Après action écologique'!$A$765=FE11,LEN(SUBSTITUTE((SUBSTITUTE(GD13,"TM","")),"TS",""))*10/2,0),IF('Eval-Après action écologique'!$A$766=FE11,LEN(SUBSTITUTE((SUBSTITUTE(GD14,"TM","")),"TS",""))*10/2,0),IF('Eval-Après action écologique'!$A$767=FE11,LEN(SUBSTITUTE((SUBSTITUTE(GD15,"TM","")),"TS",""))*10/2,0),IF('Eval-Après action écologique'!$A$768=FE11,LEN(SUBSTITUTE((SUBSTITUTE(GD16,"TM","")),"TS",""))*10/2,0),IF('Eval-Après action écologique'!$A$769=FE11,LEN(SUBSTITUTE((SUBSTITUTE(GD17,"TM","")),"TS",""))*10/2,0),IF('Eval-Après action écologique'!$A$770=FE11,LEN(SUBSTITUTE((SUBSTITUTE(GD18,"TM","")),"TS",""))*10/2,0),IF('Eval-Après action écologique'!$A$771=FE11,LEN(SUBSTITUTE((SUBSTITUTE(GD19,"TM","")),"TS",""))*10/2,0),IF('Eval-Après action écologique'!$A$772=FE11,LEN(SUBSTITUTE((SUBSTITUTE(GD20,"TM","")),"TS",""))*10/2,0),IF('Eval-Après action écologique'!$A$773=FE11,LEN(SUBSTITUTE((SUBSTITUTE(GD21,"TM","")),"TS",""))*10/2,0),IF('Eval-Après action écologique'!$A$774=FE11,LEN(SUBSTITUTE((SUBSTITUTE(GD22,"TM","")),"TS",""))*10/2,0),IF('Eval-Après action écologique'!$A$775=FE11,LEN(SUBSTITUTE((SUBSTITUTE(GD23,"TM","")),"TS",""))*10/2,0),IF('Eval-Après action écologique'!$A$776=FE11,LEN(SUBSTITUTE((SUBSTITUTE(GD24,"TM","")),"TS",""))*10/2,0),IF('Eval-Après action écologique'!$A$777=FE11,LEN(SUBSTITUTE((SUBSTITUTE(GD25,"TM","")),"TS",""))*10/2,0),IF('Eval-Après action écologique'!$A$778=FE11,LEN(SUBSTITUTE((SUBSTITUTE(GD26,"TM","")),"TS",""))*10/2,0),IF('Eval-Après action écologique'!$A$779=FE11,LEN(SUBSTITUTE((SUBSTITUTE(GD27,"TM","")),"TS",""))*10/2,0),IF('Eval-Après action écologique'!$A$780=FE11,LEN(SUBSTITUTE((SUBSTITUTE(GD28,"TM","")),"TS",""))*10/2,0))/COUNTIF('Eval-Après action écologique'!$A$761:$A$780,FE11),"")</f>
        <v/>
      </c>
      <c r="FP11" s="211" t="str">
        <f>IF(COUNTIF('Eval-Après action écologique'!$A$761:$A$780,FE11)&gt;0,SUM(IF('Eval-Après action écologique'!$A$761=FE11,LEN(SUBSTITUTE((SUBSTITUTE(GD9,"TF","")),"TS",""))*10/2,0),IF('Eval-Après action écologique'!$A$762=FE11,LEN(SUBSTITUTE((SUBSTITUTE(GD10,"TF","")),"TS",""))*10/2,0),IF('Eval-Après action écologique'!$A$763=FE11,LEN(SUBSTITUTE((SUBSTITUTE(GD11,"TF","")),"TS",""))*10/2,0),IF('Eval-Après action écologique'!$A$764=FE11,LEN(SUBSTITUTE((SUBSTITUTE(GD12,"TF","")),"TS",""))*10/2,0),IF('Eval-Après action écologique'!$A$765=FE11,LEN(SUBSTITUTE((SUBSTITUTE(GD13,"TF","")),"TS",""))*10/2,0),IF('Eval-Après action écologique'!$A$766=FE11,LEN(SUBSTITUTE((SUBSTITUTE(GD14,"TF","")),"TS",""))*10/2,0),IF('Eval-Après action écologique'!$A$767=FE11,LEN(SUBSTITUTE((SUBSTITUTE(GD15,"TF","")),"TS",""))*10/2,0),IF('Eval-Après action écologique'!$A$768=FE11,LEN(SUBSTITUTE((SUBSTITUTE(GD16,"TF","")),"TS",""))*10/2,0),IF('Eval-Après action écologique'!$A$769=FE11,LEN(SUBSTITUTE((SUBSTITUTE(GD17,"TF","")),"TS",""))*10/2,0),IF('Eval-Après action écologique'!$A$770=FE11,LEN(SUBSTITUTE((SUBSTITUTE(GD18,"TF","")),"TS",""))*10/2,0),IF('Eval-Après action écologique'!$A$771=FE11,LEN(SUBSTITUTE((SUBSTITUTE(GD19,"TF","")),"TS",""))*10/2,0),IF('Eval-Après action écologique'!$A$772=FE11,LEN(SUBSTITUTE((SUBSTITUTE(GD20,"TF","")),"TS",""))*10/2,0),IF('Eval-Après action écologique'!$A$773=FE11,LEN(SUBSTITUTE((SUBSTITUTE(GD21,"TF","")),"TS",""))*10/2,0),IF('Eval-Après action écologique'!$A$774=FE11,LEN(SUBSTITUTE((SUBSTITUTE(GD22,"TF","")),"TS",""))*10/2,0),IF('Eval-Après action écologique'!$A$775=FE11,LEN(SUBSTITUTE((SUBSTITUTE(GD23,"TF","")),"TS",""))*10/2,0),IF('Eval-Après action écologique'!$A$776=FE11,LEN(SUBSTITUTE((SUBSTITUTE(GD24,"TF","")),"TS",""))*10/2,0),IF('Eval-Après action écologique'!$A$777=FE11,LEN(SUBSTITUTE((SUBSTITUTE(GD25,"TF","")),"TS",""))*10/2,0),IF('Eval-Après action écologique'!$A$778=FE11,LEN(SUBSTITUTE((SUBSTITUTE(GD26,"TF","")),"TS",""))*10/2,0),IF('Eval-Après action écologique'!$A$779=FE11,LEN(SUBSTITUTE((SUBSTITUTE(GD27,"TF","")),"TS",""))*10/2,0),IF('Eval-Après action écologique'!$A$780=FE11,LEN(SUBSTITUTE((SUBSTITUTE(GD28,"TF","")),"TS",""))*10/2,0))/COUNTIF('Eval-Après action écologique'!$A$761:$A$780,FE11),"")</f>
        <v/>
      </c>
      <c r="FQ11" s="211" t="str">
        <f>IF(COUNTIF('Eval-Après action écologique'!$A$761:$A$780,FE11)&gt;0,SUM(IF('Eval-Après action écologique'!$A$761=FE11,LEN(SUBSTITUTE((SUBSTITUTE(GD9,"TF","")),"TM",""))*10/2,0),IF('Eval-Après action écologique'!$A$762=FE11,LEN(SUBSTITUTE((SUBSTITUTE(GD10,"TF","")),"TM",""))*10/2,0),IF('Eval-Après action écologique'!$A$763=FE11,LEN(SUBSTITUTE((SUBSTITUTE(GD11,"TF","")),"TM",""))*10/2,0),IF('Eval-Après action écologique'!$A$764=FE11,LEN(SUBSTITUTE((SUBSTITUTE(GD12,"TF","")),"TM",""))*10/2,0),IF('Eval-Après action écologique'!$A$765=FE11,LEN(SUBSTITUTE((SUBSTITUTE(GD13,"TF","")),"TM",""))*10/2,0),IF('Eval-Après action écologique'!$A$766=FE11,LEN(SUBSTITUTE((SUBSTITUTE(GD14,"TF","")),"TM",""))*10/2,0),IF('Eval-Après action écologique'!$A$767=FE11,LEN(SUBSTITUTE((SUBSTITUTE(GD15,"TF","")),"TM",""))*10/2,0),IF('Eval-Après action écologique'!$A$768=FE11,LEN(SUBSTITUTE((SUBSTITUTE(GD16,"TF","")),"TM",""))*10/2,0),IF('Eval-Après action écologique'!$A$769=FE11,LEN(SUBSTITUTE((SUBSTITUTE(GD17,"TF","")),"TM",""))*10/2,0),IF('Eval-Après action écologique'!$A$770=FE11,LEN(SUBSTITUTE((SUBSTITUTE(GD18,"TF","")),"TM",""))*10/2,0),IF('Eval-Après action écologique'!$A$771=FE11,LEN(SUBSTITUTE((SUBSTITUTE(GD19,"TF","")),"TM",""))*10/2,0),IF('Eval-Après action écologique'!$A$772=FE11,LEN(SUBSTITUTE((SUBSTITUTE(GD20,"TF","")),"TM",""))*10/2,0),IF('Eval-Après action écologique'!$A$773=FE11,LEN(SUBSTITUTE((SUBSTITUTE(GD21,"TF","")),"TM",""))*10/2,0),IF('Eval-Après action écologique'!$A$774=FE11,LEN(SUBSTITUTE((SUBSTITUTE(GD22,"TF","")),"TM",""))*10/2,0),IF('Eval-Après action écologique'!$A$775=FE11,LEN(SUBSTITUTE((SUBSTITUTE(GD23,"TF","")),"TM",""))*10/2,0),IF('Eval-Après action écologique'!$A$776=FE11,LEN(SUBSTITUTE((SUBSTITUTE(GD24,"TF","")),"TM",""))*10/2,0),IF('Eval-Après action écologique'!$A$777=FE11,LEN(SUBSTITUTE((SUBSTITUTE(GD25,"TF","")),"TM",""))*10/2,0),IF('Eval-Après action écologique'!$A$778=FE11,LEN(SUBSTITUTE((SUBSTITUTE(GD26,"TF","")),"TM",""))*10/2,0),IF('Eval-Après action écologique'!$A$779=FE11,LEN(SUBSTITUTE((SUBSTITUTE(GD27,"TF","")),"TM",""))*10/2,0),IF('Eval-Après action écologique'!$A$780=FE11,LEN(SUBSTITUTE((SUBSTITUTE(GD28,"TF","")),"TM",""))*10/2,0))/COUNTIF('Eval-Après action écologique'!$A$761:$A$780,FE11),"")</f>
        <v/>
      </c>
      <c r="FR11" s="211" t="str">
        <f>IF(COUNTIF('Eval-Après action écologique'!$A$761:$A$780,FE11)&gt;0,SUM(IF('Eval-Après action écologique'!$A$761=FE11,LEN(SUBSTITUTE((SUBSTITUTE(GE9,"TM","")),"TS",""))*10/2,0),IF('Eval-Après action écologique'!$A$762=FE11,LEN(SUBSTITUTE((SUBSTITUTE(GE10,"TM","")),"TS",""))*10/2,0),IF('Eval-Après action écologique'!$A$763=FE11,LEN(SUBSTITUTE((SUBSTITUTE(GE11,"TM","")),"TS",""))*10/2,0),IF('Eval-Après action écologique'!$A$764=FE11,LEN(SUBSTITUTE((SUBSTITUTE(GE12,"TM","")),"TS",""))*10/2,0),IF('Eval-Après action écologique'!$A$765=FE11,LEN(SUBSTITUTE((SUBSTITUTE(GE13,"TM","")),"TS",""))*10/2,0),IF('Eval-Après action écologique'!$A$766=FE11,LEN(SUBSTITUTE((SUBSTITUTE(GE14,"TM","")),"TS",""))*10/2,0),IF('Eval-Après action écologique'!$A$767=FE11,LEN(SUBSTITUTE((SUBSTITUTE(GE15,"TM","")),"TS",""))*10/2,0),IF('Eval-Après action écologique'!$A$768=FE11,LEN(SUBSTITUTE((SUBSTITUTE(GE16,"TM","")),"TS",""))*10/2,0),IF('Eval-Après action écologique'!$A$769=FE11,LEN(SUBSTITUTE((SUBSTITUTE(GE17,"TM","")),"TS",""))*10/2,0),IF('Eval-Après action écologique'!$A$770=FE11,LEN(SUBSTITUTE((SUBSTITUTE(GE18,"TM","")),"TS",""))*10/2,0),IF('Eval-Après action écologique'!$A$771=FE11,LEN(SUBSTITUTE((SUBSTITUTE(GE19,"TM","")),"TS",""))*10/2,0),IF('Eval-Après action écologique'!$A$772=FE11,LEN(SUBSTITUTE((SUBSTITUTE(GE20,"TM","")),"TS",""))*10/2,0),IF('Eval-Après action écologique'!$A$773=FE11,LEN(SUBSTITUTE((SUBSTITUTE(GE21,"TM","")),"TS",""))*10/2,0),IF('Eval-Après action écologique'!$A$774=FE11,LEN(SUBSTITUTE((SUBSTITUTE(GE22,"TM","")),"TS",""))*10/2,0),IF('Eval-Après action écologique'!$A$775=FE11,LEN(SUBSTITUTE((SUBSTITUTE(GE23,"TM","")),"TS",""))*10/2,0),IF('Eval-Après action écologique'!$A$776=FE11,LEN(SUBSTITUTE((SUBSTITUTE(GE24,"TM","")),"TS",""))*10/2,0),IF('Eval-Après action écologique'!$A$777=FE11,LEN(SUBSTITUTE((SUBSTITUTE(GE25,"TM","")),"TS",""))*10/2,0),IF('Eval-Après action écologique'!$A$778=FE11,LEN(SUBSTITUTE((SUBSTITUTE(GE26,"TM","")),"TS",""))*10/2,0),IF('Eval-Après action écologique'!$A$779=FE11,LEN(SUBSTITUTE((SUBSTITUTE(GE27,"TM","")),"TS",""))*10/2,0),IF('Eval-Après action écologique'!$A$780=FE11,LEN(SUBSTITUTE((SUBSTITUTE(GE28,"TM","")),"TS",""))*10/2,0))/COUNTIF('Eval-Après action écologique'!$A$761:$A$780,FE11),"")</f>
        <v/>
      </c>
      <c r="FS11" s="211" t="str">
        <f>IF(COUNTIF('Eval-Après action écologique'!$A$761:$A$780,FE11)&gt;0,SUM(IF('Eval-Après action écologique'!$A$761=FE11,LEN(SUBSTITUTE((SUBSTITUTE(GE9,"TF","")),"TS",""))*10/2,0),IF('Eval-Après action écologique'!$A$762=FE11,LEN(SUBSTITUTE((SUBSTITUTE(GE10,"TF","")),"TS",""))*10/2,0),IF('Eval-Après action écologique'!$A$763=FE11,LEN(SUBSTITUTE((SUBSTITUTE(GE11,"TF","")),"TS",""))*10/2,0),IF('Eval-Après action écologique'!$A$764=FE11,LEN(SUBSTITUTE((SUBSTITUTE(GE12,"TF","")),"TS",""))*10/2,0),IF('Eval-Après action écologique'!$A$765=FE11,LEN(SUBSTITUTE((SUBSTITUTE(GE13,"TF","")),"TS",""))*10/2,0),IF('Eval-Après action écologique'!$A$766=FE11,LEN(SUBSTITUTE((SUBSTITUTE(GE14,"TF","")),"TS",""))*10/2,0),IF('Eval-Après action écologique'!$A$767=FE11,LEN(SUBSTITUTE((SUBSTITUTE(GE15,"TF","")),"TS",""))*10/2,0),IF('Eval-Après action écologique'!$A$768=FE11,LEN(SUBSTITUTE((SUBSTITUTE(GE16,"TF","")),"TS",""))*10/2,0),IF('Eval-Après action écologique'!$A$769=FE11,LEN(SUBSTITUTE((SUBSTITUTE(GE17,"TF","")),"TS",""))*10/2,0),IF('Eval-Après action écologique'!$A$770=FE11,LEN(SUBSTITUTE((SUBSTITUTE(GE18,"TF","")),"TS",""))*10/2,0),IF('Eval-Après action écologique'!$A$771=FE11,LEN(SUBSTITUTE((SUBSTITUTE(GE19,"TF","")),"TS",""))*10/2,0),IF('Eval-Après action écologique'!$A$772=FE11,LEN(SUBSTITUTE((SUBSTITUTE(GE20,"TF","")),"TS",""))*10/2,0),IF('Eval-Après action écologique'!$A$773=FE11,LEN(SUBSTITUTE((SUBSTITUTE(GE21,"TF","")),"TS",""))*10/2,0),IF('Eval-Après action écologique'!$A$774=FE11,LEN(SUBSTITUTE((SUBSTITUTE(GE22,"TF","")),"TS",""))*10/2,0),IF('Eval-Après action écologique'!$A$775=FE11,LEN(SUBSTITUTE((SUBSTITUTE(GE23,"TF","")),"TS",""))*10/2,0),IF('Eval-Après action écologique'!$A$776=FE11,LEN(SUBSTITUTE((SUBSTITUTE(GE24,"TF","")),"TS",""))*10/2,0),IF('Eval-Après action écologique'!$A$777=FE11,LEN(SUBSTITUTE((SUBSTITUTE(GE25,"TF","")),"TS",""))*10/2,0),IF('Eval-Après action écologique'!$A$778=FE11,LEN(SUBSTITUTE((SUBSTITUTE(GE26,"TF","")),"TS",""))*10/2,0),IF('Eval-Après action écologique'!$A$779=FE11,LEN(SUBSTITUTE((SUBSTITUTE(GE27,"TF","")),"TS",""))*10/2,0),IF('Eval-Après action écologique'!$A$780=FE11,LEN(SUBSTITUTE((SUBSTITUTE(GE28,"TF","")),"TS",""))*10/2,0))/COUNTIF('Eval-Après action écologique'!$A$761:$A$780,FE11),"")</f>
        <v/>
      </c>
      <c r="FT11" s="211" t="str">
        <f>IF(COUNTIF('Eval-Après action écologique'!$A$761:$A$780,FE11)&gt;0,SUM(IF('Eval-Après action écologique'!$A$761=FE11,LEN(SUBSTITUTE((SUBSTITUTE(GE9,"TF","")),"TM",""))*10/2,0),IF('Eval-Après action écologique'!$A$762=FE11,LEN(SUBSTITUTE((SUBSTITUTE(GE10,"TF","")),"TM",""))*10/2,0),IF('Eval-Après action écologique'!$A$763=FE11,LEN(SUBSTITUTE((SUBSTITUTE(GE11,"TF","")),"TM",""))*10/2,0),IF('Eval-Après action écologique'!$A$764=FE11,LEN(SUBSTITUTE((SUBSTITUTE(GE12,"TF","")),"TM",""))*10/2,0),IF('Eval-Après action écologique'!$A$765=FE11,LEN(SUBSTITUTE((SUBSTITUTE(GE13,"TF","")),"TM",""))*10/2,0),IF('Eval-Après action écologique'!$A$766=FE11,LEN(SUBSTITUTE((SUBSTITUTE(GE14,"TF","")),"TM",""))*10/2,0),IF('Eval-Après action écologique'!$A$767=FE11,LEN(SUBSTITUTE((SUBSTITUTE(GE15,"TF","")),"TM",""))*10/2,0),IF('Eval-Après action écologique'!$A$768=FE11,LEN(SUBSTITUTE((SUBSTITUTE(GE16,"TF","")),"TM",""))*10/2,0),IF('Eval-Après action écologique'!$A$769=FE11,LEN(SUBSTITUTE((SUBSTITUTE(GE17,"TF","")),"TM",""))*10/2,0),IF('Eval-Après action écologique'!$A$770=FE11,LEN(SUBSTITUTE((SUBSTITUTE(GE18,"TF","")),"TM",""))*10/2,0),IF('Eval-Après action écologique'!$A$771=FE11,LEN(SUBSTITUTE((SUBSTITUTE(GE19,"TF","")),"TM",""))*10/2,0),IF('Eval-Après action écologique'!$A$772=FE11,LEN(SUBSTITUTE((SUBSTITUTE(GE20,"TF","")),"TM",""))*10/2,0),IF('Eval-Après action écologique'!$A$773=FE11,LEN(SUBSTITUTE((SUBSTITUTE(GE21,"TF","")),"TM",""))*10/2,0),IF('Eval-Après action écologique'!$A$774=FE11,LEN(SUBSTITUTE((SUBSTITUTE(GE22,"TF","")),"TM",""))*10/2,0),IF('Eval-Après action écologique'!$A$775=FE11,LEN(SUBSTITUTE((SUBSTITUTE(GE23,"TF","")),"TM",""))*10/2,0),IF('Eval-Après action écologique'!$A$776=FE11,LEN(SUBSTITUTE((SUBSTITUTE(GE24,"TF","")),"TM",""))*10/2,0),IF('Eval-Après action écologique'!$A$777=FE11,LEN(SUBSTITUTE((SUBSTITUTE(GE25,"TF","")),"TM",""))*10/2,0),IF('Eval-Après action écologique'!$A$778=FE11,LEN(SUBSTITUTE((SUBSTITUTE(GE26,"TF","")),"TM",""))*10/2,0),IF('Eval-Après action écologique'!$A$779=FE11,LEN(SUBSTITUTE((SUBSTITUTE(GE27,"TF","")),"TM",""))*10/2,0),IF('Eval-Après action écologique'!$A$780=FE11,LEN(SUBSTITUTE((SUBSTITUTE(GE28,"TF","")),"TM",""))*10/2,0))/COUNTIF('Eval-Après action écologique'!$A$761:$A$780,FE11),"")</f>
        <v/>
      </c>
      <c r="FU11" s="211" t="str">
        <f>IF(COUNTIF('Eval-Après action écologique'!$A$761:$A$780,FE11)&gt;0,IF(OR(AND('Eval-Après action écologique'!$A$761=FE11,GB9&lt;30),AND('Eval-Après action écologique'!$A$762=FE11,GB10&lt;30),AND('Eval-Après action écologique'!$A$763=FE11,GB11&lt;30),AND('Eval-Après action écologique'!$A$764=FE11,GB12&lt;30),AND('Eval-Après action écologique'!$A$765=FE11,GB13&lt;30),AND('Eval-Après action écologique'!$A$766=FE11,GB14&lt;30),AND('Eval-Après action écologique'!$A$767=FE11,GB15&lt;30),AND('Eval-Après action écologique'!$A$768=FE11,GB16&lt;30),AND('Eval-Après action écologique'!$A$769=FE11,GB17&lt;30),AND('Eval-Après action écologique'!$A$770=FE11,GB18&lt;30),AND('Eval-Après action écologique'!$A$771=FE11,GB19&lt;30),AND('Eval-Après action écologique'!$A$772=FE11,GB20&lt;30),AND('Eval-Après action écologique'!$A$773=FE11,GB21&lt;30),AND('Eval-Après action écologique'!$A$774=FE11,GB22&lt;30),AND('Eval-Après action écologique'!$A$775=FE11,GB23&lt;30),AND('Eval-Après action écologique'!$A$776=FE11,GB24&lt;30),AND('Eval-Après action écologique'!$A$777=FE11,GB25&lt;30),AND('Eval-Après action écologique'!$A$778=FE11,GB26&lt;30),AND('Eval-Après action écologique'!$A$779=FE11,GB27&lt;30),AND('Eval-Après action écologique'!$A$780=FE11,GB28&lt;30)),"",SUM(0.1*(SUMPRODUCT(('Eval-Après action écologique'!$A$761:$A$780=FE11)*('Eval-Après action écologique'!$N$761:$P$780="A"))+ SUMPRODUCT(('Eval-Après action écologique'!$A$761:$A$780=FE11)*('Eval-Après action écologique'!$N$761:$P$780="AL"))),0.7*(SUMPRODUCT(('Eval-Après action écologique'!$A$761:$A$780=FE11)*('Eval-Après action écologique'!$N$761:$P$780="TF"))+SUMPRODUCT(('Eval-Après action écologique'!$A$761:$A$780=FE11)*('Eval-Après action écologique'!$N$761:$P$780="TM"))+SUMPRODUCT(('Eval-Après action écologique'!$A$761:$A$780=FE11)*('Eval-Après action écologique'!$N$761:$P$780="TS"))),0.4*(SUMPRODUCT(('Eval-Après action écologique'!$A$761:$A$780=FE11)*('Eval-Après action écologique'!$N$761:$P$780="LA"))+SUMPRODUCT(('Eval-Après action écologique'!$A$761:$A$780=FE11)*('Eval-Après action écologique'!$N$761:$P$780="L"))+SUMPRODUCT(('Eval-Après action écologique'!$A$761:$A$780=FE11)*('Eval-Après action écologique'!$N$761:$P$780="LS"))),1*(SUMPRODUCT(('Eval-Après action écologique'!$A$761:$A$780=FE11)*('Eval-Après action écologique'!$N$761:$P$780="SL"))+ SUMPRODUCT(('Eval-Après action écologique'!$A$761:$A$780=FE11)*('Eval-Après action écologique'!$N$761:$P$780="S"))))/(3*COUNTIF('Eval-Après action écologique'!$A$761:$A$780,FE11))),"")</f>
        <v/>
      </c>
      <c r="FV11" s="211" t="str">
        <f>IF(COUNTIF('Eval-Après action écologique'!$A$761:$A$780,FE11)&gt;0,IF(OR(AND('Eval-Après action écologique'!$A$761=FE11,GB9&lt;120),AND('Eval-Après action écologique'!$A$762=FE11,GB10&lt;120),AND('Eval-Après action écologique'!$A$763=FE11,GB11&lt;120),AND('Eval-Après action écologique'!$A$764=FE11,GB12&lt;120),AND('Eval-Après action écologique'!$A$765=FE11,GB13&lt;120),AND('Eval-Après action écologique'!$A$766=FE11,GB14&lt;120),AND('Eval-Après action écologique'!$A$767=FE11,GB15&lt;120),AND('Eval-Après action écologique'!$A$768=FE11,GB16&lt;120),AND('Eval-Après action écologique'!$A$769=FE11,GB17&lt;120),AND('Eval-Après action écologique'!$A$770=FE11,GB18&lt;120),AND('Eval-Après action écologique'!$A$771=FE11,GB19&lt;120),AND('Eval-Après action écologique'!$A$772=FE11,GB20&lt;120),AND('Eval-Après action écologique'!$A$773=FE11,GB21&lt;120),AND('Eval-Après action écologique'!$A$774=FE11,GB22&lt;120),AND('Eval-Après action écologique'!$A$775=FE11,GB23&lt;120),AND('Eval-Après action écologique'!$A$776=FE11,GB24&lt;120),AND('Eval-Après action écologique'!$A$777=FE11,GB25&lt;120),AND('Eval-Après action écologique'!$A$778=FE11,GB26&lt;120),AND('Eval-Après action écologique'!$A$779=FE11,GB27&lt;120),AND('Eval-Après action écologique'!$A$780=FE11,GB28&lt;120)),"",SUM(0.1*(SUMPRODUCT(('Eval-Après action écologique'!$A$761:$A$780=FE11)*('Eval-Après action écologique'!$Q$761:$Y$780="A"))+ SUMPRODUCT(('Eval-Après action écologique'!$A$761:$A$780=FE11)*('Eval-Après action écologique'!$Q$761:$Y$780="AL"))),0.7*(SUMPRODUCT(('Eval-Après action écologique'!$A$761:$A$780=FE11)*('Eval-Après action écologique'!$Q$761:$Y$780="TF"))+SUMPRODUCT(('Eval-Après action écologique'!$A$761:$A$780=FE11)*('Eval-Après action écologique'!$Q$761:$Y$780="TM"))+SUMPRODUCT(('Eval-Après action écologique'!$A$761:$A$780=FE11)*('Eval-Après action écologique'!$Q$761:$Y$780="TS"))),0.4*(SUMPRODUCT(('Eval-Après action écologique'!$A$761:$A$780=FE11)*('Eval-Après action écologique'!$Q$761:$Y$780="LA"))+SUMPRODUCT(('Eval-Après action écologique'!$A$761:$A$780=FE11)*('Eval-Après action écologique'!$Q$761:$Y$780="L"))+SUMPRODUCT(('Eval-Après action écologique'!$A$761:$A$780=FE11)*('Eval-Après action écologique'!$Q$761:$Y$780="LS"))),1*(SUMPRODUCT(('Eval-Après action écologique'!$A$761:$A$780=FE11)*('Eval-Après action écologique'!$Q$761:$Y$780="SL"))+ SUMPRODUCT(('Eval-Après action écologique'!$A$761:$A$780=FE11)*('Eval-Après action écologique'!$Q$761:$Y$780="S"))))/(9*COUNTIF('Eval-Après action écologique'!$A$761:$A$780,FE11))),"")</f>
        <v/>
      </c>
      <c r="FW11" s="211" t="str">
        <f>IF(COUNTIF('Eval-Après action écologique'!$A$761:$A$780,FE11)&gt;0,IF(OR(AND('Eval-Après action écologique'!$A$761=FE11,OR(COUNTIF('Eval-Après action écologique'!$N$761:$P$761,"*T*")&gt;0,GB9&lt;30)),AND('Eval-Après action écologique'!$A$762=FE11,OR(COUNTIF('Eval-Après action écologique'!$N$762:$P$762,"*T*")&gt;0,GB10&lt;30)),AND('Eval-Après action écologique'!$A$763=FE11,OR(COUNTIF('Eval-Après action écologique'!$N$763:$P$763,"*T*")&gt;0,GB11&lt;30)),AND('Eval-Après action écologique'!$A$764=FE11,OR(COUNTIF('Eval-Après action écologique'!$N$764:$P$764,"*T*")&gt;0,GB12&lt;30)),AND('Eval-Après action écologique'!$A$765=FE11,OR(COUNTIF('Eval-Après action écologique'!$N$765:$P$765,"*T*")&gt;0,GB13&lt;30)),AND('Eval-Après action écologique'!$A$766=FE11,OR(COUNTIF('Eval-Après action écologique'!$N$766:$P$766,"*T*")&gt;0,GB14&lt;30)),AND('Eval-Après action écologique'!$A$767=FE11,OR(COUNTIF('Eval-Après action écologique'!$N$767:$P$767,"*T*")&gt;0,GB15&lt;30)),AND('Eval-Après action écologique'!$A$768=FE11,OR(COUNTIF('Eval-Après action écologique'!$N$768:$P$768,"*T*")&gt;0,GB16&lt;30)),AND('Eval-Après action écologique'!$A$769=FE11,OR(COUNTIF('Eval-Après action écologique'!$N$769:$P$769,"*T*")&gt;0,GB17&lt;30)),AND('Eval-Après action écologique'!$A$770=FE11,OR(COUNTIF('Eval-Après action écologique'!$N$770:$P$770,"*T*")&gt;0,GB18&lt;30)),AND('Eval-Après action écologique'!$A$771=FE11,OR(COUNTIF('Eval-Après action écologique'!$N$771:$P$771,"*T*")&gt;0,GB19&lt;30)),AND('Eval-Après action écologique'!$A$772=FE11,OR(COUNTIF('Eval-Après action écologique'!$N$772:$P$772,"*T*")&gt;0,GB20&lt;30)),AND('Eval-Après action écologique'!$A$773=FE11,OR(COUNTIF('Eval-Après action écologique'!$N$773:$P$773,"*T*")&gt;0,GB21&lt;30)),AND('Eval-Après action écologique'!$A$774=FE11,OR(COUNTIF('Eval-Après action écologique'!$N$774:$P$774,"*T*")&gt;0,GB22&lt;30)),AND('Eval-Après action écologique'!$A$775=FE11,OR(COUNTIF('Eval-Après action écologique'!$N$775:$P$775,"*T*")&gt;0,GB23&lt;30)),AND('Eval-Après action écologique'!$A$776=FE11,OR(COUNTIF('Eval-Après action écologique'!$N$776:$P$776,"*T*")&gt;0,GB24&lt;30)),AND('Eval-Après action écologique'!$A$777=FE11,OR(COUNTIF('Eval-Après action écologique'!$N$777:$P$777,"*T*")&gt;0,GB25&lt;30)),AND('Eval-Après action écologique'!$A$778=FE11,OR(COUNTIF('Eval-Après action écologique'!$N$778:$P$778,"*T*")&gt;0,GB26&lt;30)),AND('Eval-Après action écologique'!$A$779=FE11,OR(COUNTIF('Eval-Après action écologique'!$N$779:$P$779,"*T*")&gt;0,GB27&lt;30)),AND('Eval-Après action écologique'!$A$780=FE11,OR(COUNTIF('Eval-Après action écologique'!$N$780:$P$780,"*T*")&gt;0,GB28&lt;30))),"",SUM(0.1*(SUMPRODUCT(('Eval-Après action écologique'!$A$761:$A$780=FE11)*('Eval-Après action écologique'!$N$761:$P$780="L"))),0.4*(SUMPRODUCT(('Eval-Après action écologique'!$A$761:$A$780=FE11)*('Eval-Après action écologique'!$N$761:$P$780="LA"))+SUMPRODUCT(('Eval-Après action écologique'!$A$761:$A$780=FE11)*('Eval-Après action écologique'!$N$761:$P$780="LS"))),0.7*(SUMPRODUCT(('Eval-Après action écologique'!$A$761:$A$780=FE11)*('Eval-Après action écologique'!$N$761:$P$780="AL"))+SUMPRODUCT(('Eval-Après action écologique'!$A$761:$A$780=FE11)*('Eval-Après action écologique'!$N$761:$P$780="SL"))),1*(SUMPRODUCT(('Eval-Après action écologique'!$A$761:$A$780=FE11)*('Eval-Après action écologique'!$N$761:$P$780="S"))+ SUMPRODUCT(('Eval-Après action écologique'!$A$761:$A$780=FE11)*('Eval-Après action écologique'!$N$761:$P$780="A"))))/(3*COUNTIF('Eval-Après action écologique'!$A$761:$A$780,FE11))),"")</f>
        <v/>
      </c>
      <c r="FX11" s="211" t="str">
        <f>IF(COUNTIF('Eval-Après action écologique'!$A$761:$A$780,FE11)&gt;0,IF(OR(AND('Eval-Après action écologique'!$A$761=FE11,OR(COUNTIF('Eval-Après action écologique'!$N$761:$P$761,"*T*")&gt;0,GB9&lt;30)),AND('Eval-Après action écologique'!$A$762=FE11,OR(COUNTIF('Eval-Après action écologique'!$N$762:$P$762,"*T*")&gt;0,GB10&lt;30)),AND('Eval-Après action écologique'!$A$763=FE11,OR(COUNTIF('Eval-Après action écologique'!$N$763:$P$763,"*T*")&gt;0,GB11&lt;30)),AND('Eval-Après action écologique'!$A$764=FE11,OR(COUNTIF('Eval-Après action écologique'!$N$764:$P$764,"*T*")&gt;0,GB12&lt;30)),AND('Eval-Après action écologique'!$A$765=FE11,OR(COUNTIF('Eval-Après action écologique'!$N$765:$P$765,"*T*")&gt;0,GB13&lt;30)),AND('Eval-Après action écologique'!$A$766=FE11,OR(COUNTIF('Eval-Après action écologique'!$N$766:$P$766,"*T*")&gt;0,GB14&lt;30)),AND('Eval-Après action écologique'!$A$767=FE11,OR(COUNTIF('Eval-Après action écologique'!$N$767:$P$767,"*T*")&gt;0,GB15&lt;30)),AND('Eval-Après action écologique'!$A$768=FE11,OR(COUNTIF('Eval-Après action écologique'!$N$768:$P$768,"*T*")&gt;0,GB16&lt;30)),AND('Eval-Après action écologique'!$A$769=FE11,OR(COUNTIF('Eval-Après action écologique'!$N$769:$P$769,"*T*")&gt;0,GB17&lt;30)),AND('Eval-Après action écologique'!$A$770=FE11,OR(COUNTIF('Eval-Après action écologique'!$N$770:$P$770,"*T*")&gt;0,GB18&lt;30)),AND('Eval-Après action écologique'!$A$771=FE11,OR(COUNTIF('Eval-Après action écologique'!$N$771:$P$771,"*T*")&gt;0,GB19&lt;30)),AND('Eval-Après action écologique'!$A$772=FE11,OR(COUNTIF('Eval-Après action écologique'!$N$772:$P$772,"*T*")&gt;0,GB20&lt;30)),AND('Eval-Après action écologique'!$A$773=FE11,OR(COUNTIF('Eval-Après action écologique'!$N$773:$P$773,"*T*")&gt;0,GB21&lt;30)),AND('Eval-Après action écologique'!$A$774=FE11,OR(COUNTIF('Eval-Après action écologique'!$N$774:$P$774,"*T*")&gt;0,GB22&lt;30)),AND('Eval-Après action écologique'!$A$775=FE11,OR(COUNTIF('Eval-Après action écologique'!$N$775:$P$775,"*T*")&gt;0,GB23&lt;30)),AND('Eval-Après action écologique'!$A$776=FE11,OR(COUNTIF('Eval-Après action écologique'!$N$776:$P$776,"*T*")&gt;0,GB24&lt;30)),AND('Eval-Après action écologique'!$A$777=FE11,OR(COUNTIF('Eval-Après action écologique'!$N$777:$P$777,"*T*")&gt;0,GB25&lt;30)),AND('Eval-Après action écologique'!$A$778=FE11,OR(COUNTIF('Eval-Après action écologique'!$N$778:$P$778,"*T*")&gt;0,GB26&lt;30)),AND('Eval-Après action écologique'!$A$779=FE11,OR(COUNTIF('Eval-Après action écologique'!$N$779:$P$779,"*T*")&gt;0,GB27&lt;30)),AND('Eval-Après action écologique'!$A$780=FE11,OR(COUNTIF('Eval-Après action écologique'!$N$780:$P$780,"*T*")&gt;0,GB28&lt;30))),"",SUM(1*(SUMPRODUCT(('Eval-Après action écologique'!$A$761:$A$780=FE11)*('Eval-Après action écologique'!$N$761:$P$780="A"))),0.85*(SUMPRODUCT(('Eval-Après action écologique'!$A$761:$A$780=FE11)*('Eval-Après action écologique'!$N$761:$P$780="AL"))),0.7*(SUMPRODUCT(('Eval-Après action écologique'!$A$761:$A$780=FE11)*('Eval-Après action écologique'!$N$761:$P$780="LA"))),0.55*(SUMPRODUCT(('Eval-Après action écologique'!$A$761:$A$780=FE11)*('Eval-Après action écologique'!$N$761:$P$780="L"))),0.4*(SUMPRODUCT(('Eval-Après action écologique'!$A$761:$A$780=FE11)*('Eval-Après action écologique'!$N$761:$P$780="LS"))),0.25*(SUMPRODUCT(('Eval-Après action écologique'!$A$761:$A$780=FE11)*('Eval-Après action écologique'!$N$761:$P$780="SL"))),0.1*(SUMPRODUCT(('Eval-Après action écologique'!$A$761:$A$780=FE11)*('Eval-Après action écologique'!$N$761:$P$780="S"))))/(3*COUNTIF('Eval-Après action écologique'!$A$761:$A$780,FE11))),"")</f>
        <v/>
      </c>
      <c r="FY11" s="214" t="str">
        <f>IF(COUNTIF('Eval-Après action écologique'!$A$761:$A$780,FE11)&gt;0,IF(OR(AND('Eval-Après action écologique'!$A$761=FE11,OR(COUNTIF('Eval-Après action écologique'!$Q$761:$Y$761,"*T*")&gt;0,GB9&lt;120)),AND('Eval-Après action écologique'!$A$762=FE11,OR(COUNTIF('Eval-Après action écologique'!$Q$762:$Y$762,"*T*")&gt;0,GB10&lt;120)),AND('Eval-Après action écologique'!$A$763=FE11,OR(COUNTIF('Eval-Après action écologique'!$Q$763:$Y$763,"*T*")&gt;0,GB11&lt;120)),AND('Eval-Après action écologique'!$A$764=FE11,OR(COUNTIF('Eval-Après action écologique'!$Q$764:$Y$764,"*T*")&gt;0,GB12&lt;120)),AND('Eval-Après action écologique'!$A$765=FE11,OR(COUNTIF('Eval-Après action écologique'!$Q$765:$Y$765,"*T*")&gt;0,GB13&lt;120)),AND('Eval-Après action écologique'!$A$766=FE11,OR(COUNTIF('Eval-Après action écologique'!$Q$766:$Y$766,"*T*")&gt;0,GB14&lt;120)),AND('Eval-Après action écologique'!$A$767=FE11,OR(COUNTIF('Eval-Après action écologique'!$Q$767:$Y$767,"*T*")&gt;0,GB15&lt;120)),AND('Eval-Après action écologique'!$A$768=FE11,OR(COUNTIF('Eval-Après action écologique'!$Q$768:$Y$768,"*T*")&gt;0,GB16&lt;120)),AND('Eval-Après action écologique'!$A$769=FE11,OR(COUNTIF('Eval-Après action écologique'!$Q$769:$Y$769,"*T*")&gt;0,GB17&lt;120)),AND('Eval-Après action écologique'!$A$770=FE11,OR(COUNTIF('Eval-Après action écologique'!$Q$770:$Y$770,"*T*")&gt;0,GB18&lt;120)),AND('Eval-Après action écologique'!$A$771=FE11,OR(COUNTIF('Eval-Après action écologique'!$Q$771:$Y$771,"*T*")&gt;0,GB19&lt;120)),AND('Eval-Après action écologique'!$A$772=FE11,OR(COUNTIF('Eval-Après action écologique'!$Q$772:$Y$772,"*T*")&gt;0,GB20&lt;120)),AND('Eval-Après action écologique'!$A$773=FE11,OR(COUNTIF('Eval-Après action écologique'!$Q$773:$Y$773,"*T*")&gt;0,GB21&lt;120)),AND('Eval-Après action écologique'!$A$774=FE11,OR(COUNTIF('Eval-Après action écologique'!$Q$774:$Y$774,"*T*")&gt;0,GB22&lt;120)),AND('Eval-Après action écologique'!$A$775=FE11,OR(COUNTIF('Eval-Après action écologique'!$Q$775:$Y$775,"*T*")&gt;0,GB23&lt;120)),AND('Eval-Après action écologique'!$A$776=FE11,OR(COUNTIF('Eval-Après action écologique'!$Q$776:$Y$776,"*T*")&gt;0,GB24&lt;120)),AND('Eval-Après action écologique'!$A$777=FE11,OR(COUNTIF('Eval-Après action écologique'!$Q$777:$Y$777,"*T*")&gt;0,GB25&lt;120)),AND('Eval-Après action écologique'!$A$778=FE11,OR(COUNTIF('Eval-Après action écologique'!$Q$778:$Y$778,"*T*")&gt;0,GB26&lt;120)),AND('Eval-Après action écologique'!$A$779=FE11,OR(COUNTIF('Eval-Après action écologique'!$Q$779:$Y$779,"*T*")&gt;0,GB27&lt;120)),AND('Eval-Après action écologique'!$A$780=FE11,OR(COUNTIF('Eval-Après action écologique'!$Q$780:$Y$780,"*T*")&gt;0,GB28&lt;120))),"",SUM(1*(SUMPRODUCT(('Eval-Après action écologique'!$A$761:$A$780=FE11)*('Eval-Après action écologique'!$Q$761:$Y$780="A"))),0.85*(SUMPRODUCT(('Eval-Après action écologique'!$A$761:$A$780=FE11)*('Eval-Après action écologique'!$Q$761:$Y$780="AL"))),0.7*(SUMPRODUCT(('Eval-Après action écologique'!$A$761:$A$780=FE11)*('Eval-Après action écologique'!$Q$761:$Y$780="LA"))),0.55*(SUMPRODUCT(('Eval-Après action écologique'!$A$761:$A$780=FE11)*('Eval-Après action écologique'!$Q$761:$Y$780="L"))),0.4*(SUMPRODUCT(('Eval-Après action écologique'!$A$761:$A$780=FE11)*('Eval-Après action écologique'!$Q$761:$Y$780="LS"))),0.25*(SUMPRODUCT(('Eval-Après action écologique'!$A$761:$A$780=FE11)*('Eval-Après action écologique'!$Q$761:$Y$780="SL"))),0.1*(SUMPRODUCT(('Eval-Après action écologique'!$A$761:$A$780=FE11)*('Eval-Après action écologique'!$Q$761:$Y$780="S"))))/(9*COUNTIF('Eval-Après action écologique'!$A$761:$A$780,FE11))),"")</f>
        <v/>
      </c>
      <c r="FZ11" s="215"/>
      <c r="GA11" s="216">
        <f>'Eval-Après action écologique'!$D$763</f>
        <v>3</v>
      </c>
      <c r="GB11" s="217" t="str">
        <f>IF(GC11="C",0,IF(IF(COUNTIF('Eval-Après action écologique'!$N$763:$Y$763,"=C")&gt;0,(COUNTA('Eval-Après action écologique'!$N$763:$Y$763)-1)*10,COUNTA('Eval-Après action écologique'!$N$763:$Y$763)*10)=0,"",IF(COUNTIF('Eval-Après action écologique'!$N$763:$Y$763,"=C")&gt;0,(COUNTA('Eval-Après action écologique'!$N$763:$Y$763)-1)*10,COUNTA('Eval-Après action écologique'!$N$763:$Y$763)*10)))</f>
        <v/>
      </c>
      <c r="GC11" s="217" t="str">
        <f>CONCATENATE('Eval-Après action écologique'!$N$763,'Eval-Après action écologique'!$O$763,'Eval-Après action écologique'!$P$763,'Eval-Après action écologique'!$Q$763,'Eval-Après action écologique'!$R$763,'Eval-Après action écologique'!$S$763,'Eval-Après action écologique'!$T$763,'Eval-Après action écologique'!$U$763,'Eval-Après action écologique'!$V$763,'Eval-Après action écologique'!$W$763,'Eval-Après action écologique'!$X$763,'Eval-Après action écologique'!$Y$763)</f>
        <v/>
      </c>
      <c r="GD11" s="217" t="str">
        <f t="shared" si="20"/>
        <v/>
      </c>
      <c r="GE11" s="217" t="str">
        <f t="shared" si="21"/>
        <v/>
      </c>
      <c r="GF11" s="217" t="str">
        <f>IF(COUNTIF('Eval-Après action écologique'!$N$763:$Y$763,"=C")&gt;0,"X","")</f>
        <v/>
      </c>
      <c r="GG11" s="217" t="str">
        <f t="shared" si="22"/>
        <v/>
      </c>
      <c r="GH11" s="218" t="str">
        <f t="shared" si="23"/>
        <v/>
      </c>
      <c r="GI11" s="197"/>
    </row>
    <row r="12" spans="1:191" ht="18" customHeight="1" x14ac:dyDescent="0.2">
      <c r="A12" s="210">
        <v>4</v>
      </c>
      <c r="B12" s="211" t="str">
        <f>IF(COUNTIF('Eval-Avant impact'!$A$761:$A$780,A12)&gt;0,SUM(IF('Eval-Avant impact'!$A$761=A12,'Eval-Avant impact'!$B$761,0),IF('Eval-Avant impact'!$A$762=A12, 'Eval-Avant impact'!$B$762,0),IF('Eval-Avant impact'!$A$763=A12, 'Eval-Avant impact'!$B$763,0),IF('Eval-Avant impact'!$A$764=A12, 'Eval-Avant impact'!$B$764,0),IF('Eval-Avant impact'!$A$765=A12, 'Eval-Avant impact'!$B$765,0),IF('Eval-Avant impact'!$A$766=A12, 'Eval-Avant impact'!$B$766,0),IF('Eval-Avant impact'!$A$767=A12, 'Eval-Avant impact'!$B$767,0),IF('Eval-Avant impact'!$A$768=A12, 'Eval-Avant impact'!$B$768,0),IF('Eval-Avant impact'!$A$769=A12, 'Eval-Avant impact'!$B$769,0),IF('Eval-Avant impact'!$A$770=A12, 'Eval-Avant impact'!$B$770,0),IF('Eval-Avant impact'!$A$771=A12, 'Eval-Avant impact'!$B$771,0),IF('Eval-Avant impact'!$A$772=A12, 'Eval-Avant impact'!$B$772,0),IF('Eval-Avant impact'!$A$773=A12, 'Eval-Avant impact'!$B$773,0),IF('Eval-Avant impact'!$A$774=A12, 'Eval-Avant impact'!$B$774,0),IF('Eval-Avant impact'!$A$775=A12, 'Eval-Avant impact'!$B$775,0),IF('Eval-Avant impact'!$A$776=A12, 'Eval-Avant impact'!$B$776,0),IF('Eval-Avant impact'!$A$777=A12, 'Eval-Avant impact'!$B$777,0),IF('Eval-Avant impact'!$A$778=A12, 'Eval-Avant impact'!$B$778,0),IF('Eval-Avant impact'!$A$779=A12, 'Eval-Avant impact'!$B$779,0),IF('Eval-Avant impact'!$A$780=A12, 'Eval-Avant impact'!$B$780,0))/COUNTIF('Eval-Avant impact'!$A$761:$A$780,A12),"")</f>
        <v/>
      </c>
      <c r="C12" s="212" t="str">
        <f>IF(COUNTIF('Eval-Avant impact'!$A$761:$A$780,A12)&gt;0,COUNTIF('Eval-Avant impact'!$A$761:$A$780,A12),"")</f>
        <v/>
      </c>
      <c r="D12" s="211" t="str">
        <f>IF(COUNTIF('Eval-Avant impact'!$A$761:$A$780,A12)&gt;0,IF(OR(AND('Eval-Avant impact'!$A$761=A12, 'Eval-Avant impact'!$G$761=""),AND('Eval-Avant impact'!$A$762=A12, 'Eval-Avant impact'!$G$762=""),AND('Eval-Avant impact'!$A$763=A12, 'Eval-Avant impact'!$G$763=""),AND('Eval-Avant impact'!$A$764=A12, 'Eval-Avant impact'!$G$764=""),AND('Eval-Avant impact'!$A$765=A12, 'Eval-Avant impact'!$G$765=""),AND('Eval-Avant impact'!$A$766=A12, 'Eval-Avant impact'!$G$766=""),AND('Eval-Avant impact'!$A$767=A12, 'Eval-Avant impact'!$G$767=""),AND('Eval-Avant impact'!$A$768=A12, 'Eval-Avant impact'!$G$768=""),AND('Eval-Avant impact'!$A$769=A12, 'Eval-Avant impact'!$G$769=""),AND('Eval-Avant impact'!$A$770=A12, 'Eval-Avant impact'!$G$770=""),AND('Eval-Avant impact'!$A$771=A12, 'Eval-Avant impact'!$G$771=""),AND('Eval-Avant impact'!$A$772=A12, 'Eval-Avant impact'!$G$772=""),AND('Eval-Avant impact'!$A$773=A12, 'Eval-Avant impact'!$G$773=""),AND('Eval-Avant impact'!$A$774=A12, 'Eval-Avant impact'!$G$774=""),AND('Eval-Avant impact'!$A$775=A12, 'Eval-Avant impact'!$G$775=""),AND('Eval-Avant impact'!$A$776=A12, 'Eval-Avant impact'!$G$776=""),AND('Eval-Avant impact'!$A$777=A12, 'Eval-Avant impact'!$G$777=""),AND('Eval-Avant impact'!$A$778=A12, 'Eval-Avant impact'!$G$778=""),AND('Eval-Avant impact'!$A$779=A12, 'Eval-Avant impact'!$G$779=""),AND('Eval-Avant impact'!$A$780=A12, 'Eval-Avant impact'!$G$780="")),"",SUM(IF('Eval-Avant impact'!$A$761=A12,'Eval-Avant impact'!$G$761,0),IF('Eval-Avant impact'!$A$762=A12,'Eval-Avant impact'!$G$762,0),IF('Eval-Avant impact'!$A$763=A12,'Eval-Avant impact'!$G$763,0),IF('Eval-Avant impact'!$A$764=A12,'Eval-Avant impact'!$G$764,0),IF('Eval-Avant impact'!$A$765=A12,'Eval-Avant impact'!$G$765,0),IF('Eval-Avant impact'!$A$766=A12,'Eval-Avant impact'!$G$766,0),IF('Eval-Avant impact'!$A$767=A12,'Eval-Avant impact'!$G$767,0),IF('Eval-Avant impact'!$A$768=A12,'Eval-Avant impact'!$G$768,0),IF('Eval-Avant impact'!$A$769=A12,'Eval-Avant impact'!$G$769,0),IF('Eval-Avant impact'!$A$770=A12,'Eval-Avant impact'!$G$770,0),IF('Eval-Avant impact'!$A$771=A12,'Eval-Avant impact'!$G$771,0),IF('Eval-Avant impact'!$A$772=A12,'Eval-Avant impact'!$G$772,0),IF('Eval-Avant impact'!$A$773=A12,'Eval-Avant impact'!$G$773,0),IF('Eval-Avant impact'!$A$774=A12,'Eval-Avant impact'!$G$774,0),IF('Eval-Avant impact'!$A$775=A12,'Eval-Avant impact'!$G$775,0), IF('Eval-Avant impact'!$A$776=A12,'Eval-Avant impact'!$G$776,0), IF('Eval-Avant impact'!$A$777=A12,'Eval-Avant impact'!$G$777,0), IF('Eval-Avant impact'!$A$778=A12,'Eval-Avant impact'!$G$778,0), IF('Eval-Avant impact'!$A$779=A12,'Eval-Avant impact'!$G$779,0), IF('Eval-Avant impact'!$A$780=A12,'Eval-Avant impact'!$G$780,0))/ COUNTIF('Eval-Avant impact'!$A$761:$A$780,A12)),"")</f>
        <v/>
      </c>
      <c r="E12" s="212" t="str">
        <f>IF(COUNTIF('Eval-Avant impact'!$A$761:$A$780,A12)&gt;0,IF(SUM(IF('Eval-Avant impact'!$A$761=A12,COUNTA('Eval-Avant impact'!$H$761),0),IF('Eval-Avant impact'!$A$762=A12,COUNTA('Eval-Avant impact'!$H$762),0),IF('Eval-Avant impact'!$A$763=A12,COUNTA('Eval-Avant impact'!$H$763),0),IF('Eval-Avant impact'!$A$764=A12,COUNTA('Eval-Avant impact'!$H$764),0),IF('Eval-Avant impact'!$A$765=A12,COUNTA('Eval-Avant impact'!$H$765),0),IF('Eval-Avant impact'!$A$766=A12,COUNTA('Eval-Avant impact'!$H$766),0),IF('Eval-Avant impact'!$A$767=A12,COUNTA('Eval-Avant impact'!$H$767),0),IF('Eval-Avant impact'!$A$768=A12,COUNTA('Eval-Avant impact'!$H$768),0),IF('Eval-Avant impact'!$A$769=A12,COUNTA('Eval-Avant impact'!$H$769),0),IF('Eval-Avant impact'!$A$770=A12,COUNTA('Eval-Avant impact'!$H$770),0),IF('Eval-Avant impact'!$A$771=A12,COUNTA('Eval-Avant impact'!$H$771),0),IF('Eval-Avant impact'!$A$772=A12,COUNTA('Eval-Avant impact'!$H$772),0),IF('Eval-Avant impact'!$A$773=A12,COUNTA('Eval-Avant impact'!$H$773),0),IF('Eval-Avant impact'!$A$774=A12,COUNTA('Eval-Avant impact'!$H$774),0),IF('Eval-Avant impact'!$A$775=A12,COUNTA('Eval-Avant impact'!$H$775),0),IF('Eval-Avant impact'!$A$776=A12,COUNTA('Eval-Avant impact'!$H$776),0),IF('Eval-Avant impact'!$A$777=A12,COUNTA('Eval-Avant impact'!$H$777),0),IF('Eval-Avant impact'!$A$778=A12,COUNTA('Eval-Avant impact'!$H$778),0),IF('Eval-Avant impact'!$A$779=A12,COUNTA('Eval-Avant impact'!$H$779),0),IF('Eval-Avant impact'!$A$780=A12,COUNTA('Eval-Avant impact'!$H$780),0))&gt;0,"X",0),"")</f>
        <v/>
      </c>
      <c r="F12" s="213" t="str">
        <f>IF(COUNTIF('Eval-Avant impact'!$A$761:$A$780,A12)&gt;0,IF(SUM(IF('Eval-Avant impact'!$A$761=A12,COUNTA('Eval-Avant impact'!$I$761),0),IF('Eval-Avant impact'!$A$762=A12,COUNTA('Eval-Avant impact'!$I$762),0),IF('Eval-Avant impact'!$A$763=A12,COUNTA('Eval-Avant impact'!$I$763),0),IF('Eval-Avant impact'!$A$764=A12,COUNTA('Eval-Avant impact'!$I$764),0),IF('Eval-Avant impact'!$A$765=A12,COUNTA('Eval-Avant impact'!$I$765),0),IF('Eval-Avant impact'!$A$766=A12,COUNTA('Eval-Avant impact'!$I$766),0),IF('Eval-Avant impact'!$A$767=A12,COUNTA('Eval-Avant impact'!$I$767),0),IF('Eval-Avant impact'!$A$768=A12,COUNTA('Eval-Avant impact'!$I$768),0),IF('Eval-Avant impact'!$A$769=A12,COUNTA('Eval-Avant impact'!$I$769),0),IF('Eval-Avant impact'!$A$770=A12,COUNTA('Eval-Avant impact'!$I$770),0),IF('Eval-Avant impact'!$A$771=A12,COUNTA('Eval-Avant impact'!$I$771),0),IF('Eval-Avant impact'!$A$772=A12,COUNTA('Eval-Avant impact'!$I$772),0),IF('Eval-Avant impact'!$A$773=A12,COUNTA('Eval-Avant impact'!$I$773),0),IF('Eval-Avant impact'!$A$774=A12,COUNTA('Eval-Avant impact'!$I$774),0),IF('Eval-Avant impact'!$A$775=A12,COUNTA('Eval-Avant impact'!$I$775),0),IF('Eval-Avant impact'!$A$776=A12,COUNTA('Eval-Avant impact'!$I$776),0),IF('Eval-Avant impact'!$A$777=A12,COUNTA('Eval-Avant impact'!$I$777),0),IF('Eval-Avant impact'!$A$778=A12,COUNTA('Eval-Avant impact'!$I$778),0),IF('Eval-Avant impact'!$A$779=A12,COUNTA('Eval-Avant impact'!$I$779),0),IF('Eval-Avant impact'!$A$780=A12,COUNTA('Eval-Avant impact'!$I$780),0))&gt;0,"X",0),"")</f>
        <v/>
      </c>
      <c r="G12" s="213" t="str">
        <f>IF(COUNTIF('Eval-Avant impact'!$A$761:$A$780,A12)&gt;0,IF(SUM(IF('Eval-Avant impact'!$A$761=A12,COUNTA('Eval-Avant impact'!$J$761),0),IF('Eval-Avant impact'!$A$762=A12,COUNTA('Eval-Avant impact'!$J$762),0),IF('Eval-Avant impact'!$A$763=A12,COUNTA('Eval-Avant impact'!$J$763),0),IF('Eval-Avant impact'!$A$764=A12,COUNTA('Eval-Avant impact'!$J$764),0),IF('Eval-Avant impact'!$A$765=A12,COUNTA('Eval-Avant impact'!$J$765),0),IF('Eval-Avant impact'!$A$766=A12,COUNTA('Eval-Avant impact'!$J$766),0),IF('Eval-Avant impact'!$A$767=A12,COUNTA('Eval-Avant impact'!$J$767),0),IF('Eval-Avant impact'!$A$768=A12,COUNTA('Eval-Avant impact'!$J$768),0),IF('Eval-Avant impact'!$A$769=A12,COUNTA('Eval-Avant impact'!$J$769),0),IF('Eval-Avant impact'!$A$770=A12,COUNTA('Eval-Avant impact'!$J$770),0),IF('Eval-Avant impact'!$A$771=A12,COUNTA('Eval-Avant impact'!$J$771),0),IF('Eval-Avant impact'!$A$772=A12,COUNTA('Eval-Avant impact'!$J$772),0),IF('Eval-Avant impact'!$A$773=A12,COUNTA('Eval-Avant impact'!$J$773),0),IF('Eval-Avant impact'!$A$774=A12,COUNTA('Eval-Avant impact'!$J$774),0),IF('Eval-Avant impact'!$A$775=A12,COUNTA('Eval-Avant impact'!$J$775),0),IF('Eval-Avant impact'!$A$776=A12,COUNTA('Eval-Avant impact'!$J$776),0),IF('Eval-Avant impact'!$A$777=A12,COUNTA('Eval-Avant impact'!$J$777),0),IF('Eval-Avant impact'!$A$778=A12,COUNTA('Eval-Avant impact'!$J$778),0),IF('Eval-Avant impact'!$A$779=A12,COUNTA('Eval-Avant impact'!$J$779),0),IF('Eval-Avant impact'!$A$780=A12,COUNTA('Eval-Avant impact'!$J$780),0))&gt;0,"X",0),"")</f>
        <v/>
      </c>
      <c r="H12" s="213" t="str">
        <f>IF(COUNTIF('Eval-Avant impact'!$A$761:$A$780,A12)&gt;0,IF(SUM(IF('Eval-Avant impact'!$A$761=A12,COUNTA('Eval-Avant impact'!$K$761),0),IF('Eval-Avant impact'!$A$762=A12,COUNTA('Eval-Avant impact'!$K$762),0),IF('Eval-Avant impact'!$A$763=A12,COUNTA('Eval-Avant impact'!$K$763),0),IF('Eval-Avant impact'!$A$764=A12,COUNTA('Eval-Avant impact'!$K$764),0),IF('Eval-Avant impact'!$A$765=A12,COUNTA('Eval-Avant impact'!$K$765),0),IF('Eval-Avant impact'!$A$766=A12,COUNTA('Eval-Avant impact'!$K$766),0),IF('Eval-Avant impact'!$A$767=A12,COUNTA('Eval-Avant impact'!$K$767),0),IF('Eval-Avant impact'!$A$768=A12,COUNTA('Eval-Avant impact'!$K$768),0),IF('Eval-Avant impact'!$A$769=A12,COUNTA('Eval-Avant impact'!$K$769),0),IF('Eval-Avant impact'!$A$770=A12,COUNTA('Eval-Avant impact'!$K$770),0),IF('Eval-Avant impact'!$A$771=A12,COUNTA('Eval-Avant impact'!$K$771),0),IF('Eval-Avant impact'!$A$772=A12,COUNTA('Eval-Avant impact'!$K$772),0),IF('Eval-Avant impact'!$A$773=A12,COUNTA('Eval-Avant impact'!$K$773),0),IF('Eval-Avant impact'!$A$774=A12,COUNTA('Eval-Avant impact'!$K$774),0),IF('Eval-Avant impact'!$A$775=A12,COUNTA('Eval-Avant impact'!$K$775),0),IF('Eval-Avant impact'!$A$776=A12,COUNTA('Eval-Avant impact'!$K$776),0),IF('Eval-Avant impact'!$A$777=A12,COUNTA('Eval-Avant impact'!$K$777),0),IF('Eval-Avant impact'!$A$778=A12,COUNTA('Eval-Avant impact'!$K$778),0),IF('Eval-Avant impact'!$A$779=A12,COUNTA('Eval-Avant impact'!$K$779),0),IF('Eval-Avant impact'!$A$780=A12,COUNTA('Eval-Avant impact'!$K$780),0))&gt;0,"X",0),"")</f>
        <v/>
      </c>
      <c r="I12" s="211" t="str">
        <f>IF(COUNTIF('Eval-Avant impact'!$A$761:$A$780,A12)&gt;0,IF(OR(AND('Eval-Avant impact'!$A$761=A12,'Eval-Avant impact'!$L$761&lt;120,'Eval-Avant impact'!$L$761&gt;=X9),AND('Eval-Avant impact'!$A$762=A12,'Eval-Avant impact'!$L$762&lt;120,'Eval-Avant impact'!$L$762&gt;=X10),AND('Eval-Avant impact'!$A$763=A12,'Eval-Avant impact'!$L$763&lt;120,'Eval-Avant impact'!$L$763&gt;=X11),AND('Eval-Avant impact'!$A$764=A12,'Eval-Avant impact'!$L$764&lt;120,'Eval-Avant impact'!$L$764&gt;=X12),AND('Eval-Avant impact'!$A$765=A12,'Eval-Avant impact'!$L$765&lt;120,'Eval-Avant impact'!$L$765&gt;=X13),AND('Eval-Avant impact'!$A$766=A12,'Eval-Avant impact'!$L$766&lt;120,'Eval-Avant impact'!$L$766&gt;=X14),AND('Eval-Avant impact'!$A$767=A12,'Eval-Avant impact'!$L$767&lt;120,'Eval-Avant impact'!$L$767&gt;=X15),AND('Eval-Avant impact'!$A$768=A12,'Eval-Avant impact'!$L$768&lt;120,'Eval-Avant impact'!$L$768&gt;=X16),AND('Eval-Avant impact'!$A$769=A12,'Eval-Avant impact'!$L$769&lt;120,'Eval-Avant impact'!$L$769&gt;=X17),AND('Eval-Avant impact'!$A$770=A12,'Eval-Avant impact'!$L$770&lt;120,'Eval-Avant impact'!$L$770&gt;=X18),AND('Eval-Avant impact'!$A$771=A12,'Eval-Avant impact'!$L$771&lt;120,'Eval-Avant impact'!$L$771&gt;=X19),AND('Eval-Avant impact'!$A$772=A12,'Eval-Avant impact'!$L$772&lt;120,'Eval-Avant impact'!$L$772&gt;=X20),AND('Eval-Avant impact'!$A$773=A12,'Eval-Avant impact'!$L$773&lt;120,'Eval-Avant impact'!$L$773&gt;=X21),AND('Eval-Avant impact'!$A$774=A12,'Eval-Avant impact'!$L$774&lt;120,'Eval-Avant impact'!$L$774&gt;=X22),AND('Eval-Avant impact'!$A$775=A12,'Eval-Avant impact'!$L$775&lt;120,'Eval-Avant impact'!$L$775&gt;=X23),AND('Eval-Avant impact'!$A$776=A12,'Eval-Avant impact'!$L$776&lt;120,'Eval-Avant impact'!$L$776&gt;=X24),AND('Eval-Avant impact'!$A$777=A12,'Eval-Avant impact'!$L$777&lt;120,'Eval-Avant impact'!$L$777&gt;=X25),AND('Eval-Avant impact'!$A$778=A12,'Eval-Avant impact'!$L$778&lt;120,'Eval-Avant impact'!$L$778&gt;=X26),AND('Eval-Avant impact'!$A$779=A12,'Eval-Avant impact'!$L$779&lt;120,'Eval-Avant impact'!$L$779&gt;=X27),AND('Eval-Avant impact'!$A$780=A12,'Eval-Avant impact'!$L$780&lt;120,'Eval-Avant impact'!$L$780&gt;=X28)),"",SUM(IF('Eval-Avant impact'!$A$761=A12,'Eval-Avant impact'!$L$761,0),IF('Eval-Avant impact'!$A$762=A12,'Eval-Avant impact'!$L$762,0),IF('Eval-Avant impact'!$A$763=A12,'Eval-Avant impact'!$L$763,0),IF('Eval-Avant impact'!$A$764=A12,'Eval-Avant impact'!$L$764,0),IF('Eval-Avant impact'!$A$765=A12,'Eval-Avant impact'!$L$765,0),IF('Eval-Avant impact'!$A$766=A12,'Eval-Avant impact'!$L$766,0),IF('Eval-Avant impact'!$A$767=A12,'Eval-Avant impact'!$L$767,0),IF('Eval-Avant impact'!$A$768=A12,'Eval-Avant impact'!$L$768,0),IF('Eval-Avant impact'!$A$769=A12,'Eval-Avant impact'!$L$769,0),IF('Eval-Avant impact'!$A$770=A12,'Eval-Avant impact'!$L$770,0),IF('Eval-Avant impact'!$A$771=A12,'Eval-Avant impact'!$L$771,0),IF('Eval-Avant impact'!$A$772=A12,'Eval-Avant impact'!$L$772,0),IF('Eval-Avant impact'!$A$773=A12,'Eval-Avant impact'!$L$773,0),IF('Eval-Avant impact'!$A$774=A12,'Eval-Avant impact'!$L$774,0),IF('Eval-Avant impact'!$A$775=A12,'Eval-Avant impact'!$L$775,0),IF('Eval-Avant impact'!$A$776=A12,'Eval-Avant impact'!$L$776,0),IF('Eval-Avant impact'!$A$777=A12,'Eval-Avant impact'!$L$777,0),IF('Eval-Avant impact'!$A$778=A12,'Eval-Avant impact'!$L$778,0),IF('Eval-Avant impact'!$A$779=A12,'Eval-Avant impact'!$L$779,0),IF('Eval-Avant impact'!$A$780=A12,'Eval-Avant impact'!$L$780,0))/ COUNTIF('Eval-Avant impact'!$A$761:$A$780,A12)),"")</f>
        <v/>
      </c>
      <c r="J12" s="211" t="str">
        <f>IF(COUNTIF('Eval-Avant impact'!$A$761:$A$780,A12)&gt;0,IF(OR(AND('Eval-Avant impact'!$A$761=A12, X9&lt;120),AND(X10&lt;120),AND(X11&lt;120),AND(X12&lt;120),AND(X13&lt;120),AND(X14&lt;120),AND(X15&lt;120),AND(X16&lt;120),AND(X17&lt;120),AND(X18&lt;120),AND(X19&lt;120),AND(X20&lt;120),AND(X21&lt;120),AND(X22&lt;120),AND(X23&lt;120),AND(X24&lt;120),AND(X25&lt;120),AND(X26&lt;120),AND(X27&lt;120),AND(X28&lt;120)),"",SUM(IF('Eval-Avant impact'!$A$761=A12,'Eval-Avant impact'!$M$761,0),IF('Eval-Avant impact'!$A$762=A12,'Eval-Avant impact'!$M$762,0),IF('Eval-Avant impact'!$A$763=A12,'Eval-Avant impact'!$M$763,0),IF('Eval-Avant impact'!$A$764=A12,'Eval-Avant impact'!$M$764,0),IF('Eval-Avant impact'!$A$765=A12,'Eval-Avant impact'!$M$765,0),IF('Eval-Avant impact'!$A$766=A12,'Eval-Avant impact'!$M$766,0),IF('Eval-Avant impact'!$A$767=A12,'Eval-Avant impact'!$M$767,0),IF('Eval-Avant impact'!$A$768=A12,'Eval-Avant impact'!$M$768,0),IF('Eval-Avant impact'!$A$769=A12,'Eval-Avant impact'!$M$769,0),IF('Eval-Avant impact'!$A$770=A12,'Eval-Avant impact'!$M$770,0),IF('Eval-Avant impact'!$A$771=A12,'Eval-Avant impact'!$M$771,0),IF('Eval-Avant impact'!$A$772=A12,'Eval-Avant impact'!$M$772,0),IF('Eval-Avant impact'!$A$773=A12,'Eval-Avant impact'!$M$773,0),IF('Eval-Avant impact'!$A$774=A12,'Eval-Avant impact'!$M$774,0),IF('Eval-Avant impact'!$A$775=A12,'Eval-Avant impact'!$M$775,0), IF('Eval-Avant impact'!$A$776=A12,'Eval-Avant impact'!$M$776,0), IF('Eval-Avant impact'!$A$777=A12,'Eval-Avant impact'!$M$777,0), IF('Eval-Avant impact'!$A$778=A12,'Eval-Avant impact'!$M$778,0), IF('Eval-Avant impact'!$A$779=A12,'Eval-Avant impact'!$M$779,0), IF('Eval-Avant impact'!$A$780=A12,'Eval-Avant impact'!$M$780,0))/COUNTIF('Eval-Avant impact'!$A$761:$A$780,A12)),"")</f>
        <v/>
      </c>
      <c r="K12" s="211" t="str">
        <f>IF(COUNTIF('Eval-Avant impact'!$A$761:$A$780,A12)&gt;0,SUM(IF('Eval-Avant impact'!$A$761=A12,LEN(SUBSTITUTE((SUBSTITUTE(Z9,"TM","")),"TS",""))*10/2,0),IF('Eval-Avant impact'!$A$762=A12,LEN(SUBSTITUTE((SUBSTITUTE(Z10,"TM","")),"TS",""))*10/2,0),IF('Eval-Avant impact'!$A$763=A12,LEN(SUBSTITUTE((SUBSTITUTE(Z11,"TM","")),"TS",""))*10/2,0),IF('Eval-Avant impact'!$A$764=A12,LEN(SUBSTITUTE((SUBSTITUTE(Z12,"TM","")),"TS",""))*10/2,0),IF('Eval-Avant impact'!$A$765=A12,LEN(SUBSTITUTE((SUBSTITUTE(Z13,"TM","")),"TS",""))*10/2,0),IF('Eval-Avant impact'!$A$766=A12,LEN(SUBSTITUTE((SUBSTITUTE(Z14,"TM","")),"TS",""))*10/2,0),IF('Eval-Avant impact'!$A$767=A12,LEN(SUBSTITUTE((SUBSTITUTE(Z15,"TM","")),"TS",""))*10/2,0),IF('Eval-Avant impact'!$A$768=A12,LEN(SUBSTITUTE((SUBSTITUTE(Z16,"TM","")),"TS",""))*10/2,0),IF('Eval-Avant impact'!$A$769=A12,LEN(SUBSTITUTE((SUBSTITUTE(Z17,"TM","")),"TS",""))*10/2,0),IF('Eval-Avant impact'!$A$770=A12,LEN(SUBSTITUTE((SUBSTITUTE(Z18,"TM","")),"TS",""))*10/2,0),IF('Eval-Avant impact'!$A$771=A12,LEN(SUBSTITUTE((SUBSTITUTE(Z19,"TM","")),"TS",""))*10/2,0),IF('Eval-Avant impact'!$A$772=A12,LEN(SUBSTITUTE((SUBSTITUTE(Z20,"TM","")),"TS",""))*10/2,0),IF('Eval-Avant impact'!$A$773=A12,LEN(SUBSTITUTE((SUBSTITUTE(Z21,"TM","")),"TS",""))*10/2,0),IF('Eval-Avant impact'!$A$774=A12,LEN(SUBSTITUTE((SUBSTITUTE(Z22,"TM","")),"TS",""))*10/2,0),IF('Eval-Avant impact'!$A$775=A12,LEN(SUBSTITUTE((SUBSTITUTE(Z23,"TM","")),"TS",""))*10/2,0),IF('Eval-Avant impact'!$A$776=A12,LEN(SUBSTITUTE((SUBSTITUTE(Z24,"TM","")),"TS",""))*10/2,0),IF('Eval-Avant impact'!$A$777=A12,LEN(SUBSTITUTE((SUBSTITUTE(Z25,"TM","")),"TS",""))*10/2,0),IF('Eval-Avant impact'!$A$778=A12,LEN(SUBSTITUTE((SUBSTITUTE(Z26,"TM","")),"TS",""))*10/2,0),IF('Eval-Avant impact'!$A$779=A12,LEN(SUBSTITUTE((SUBSTITUTE(Z27,"TM","")),"TS",""))*10/2,0),IF('Eval-Avant impact'!$A$780=A12,LEN(SUBSTITUTE((SUBSTITUTE(Z28,"TM","")),"TS",""))*10/2,0))/COUNTIF('Eval-Avant impact'!$A$761:$A$780,A12),"")</f>
        <v/>
      </c>
      <c r="L12" s="211" t="str">
        <f>IF(COUNTIF('Eval-Avant impact'!$A$761:$A$780,A12)&gt;0,SUM(IF('Eval-Avant impact'!$A$761=A12,LEN(SUBSTITUTE((SUBSTITUTE(Z9,"TF","")),"TS",""))*10/2,0),IF('Eval-Avant impact'!$A$762=A12,LEN(SUBSTITUTE((SUBSTITUTE(Z10,"TF","")),"TS",""))*10/2,0),IF('Eval-Avant impact'!$A$763=A12,LEN(SUBSTITUTE((SUBSTITUTE(Z11,"TF","")),"TS",""))*10/2,0),IF('Eval-Avant impact'!$A$764=A12,LEN(SUBSTITUTE((SUBSTITUTE(Z12,"TF","")),"TS",""))*10/2,0),IF('Eval-Avant impact'!$A$765=A12,LEN(SUBSTITUTE((SUBSTITUTE(Z13,"TF","")),"TS",""))*10/2,0),IF('Eval-Avant impact'!$A$766=A12,LEN(SUBSTITUTE((SUBSTITUTE(Z14,"TF","")),"TS",""))*10/2,0),IF('Eval-Avant impact'!$A$767=A12,LEN(SUBSTITUTE((SUBSTITUTE(Z15,"TF","")),"TS",""))*10/2,0),IF('Eval-Avant impact'!$A$768=A12,LEN(SUBSTITUTE((SUBSTITUTE(Z16,"TF","")),"TS",""))*10/2,0),IF('Eval-Avant impact'!$A$769=A12,LEN(SUBSTITUTE((SUBSTITUTE(Z17,"TF","")),"TS",""))*10/2,0),IF('Eval-Avant impact'!$A$770=A12,LEN(SUBSTITUTE((SUBSTITUTE(Z18,"TF","")),"TS",""))*10/2,0),IF('Eval-Avant impact'!$A$771=A12,LEN(SUBSTITUTE((SUBSTITUTE(Z19,"TF","")),"TS",""))*10/2,0),IF('Eval-Avant impact'!$A$772=A12,LEN(SUBSTITUTE((SUBSTITUTE(Z20,"TF","")),"TS",""))*10/2,0),IF('Eval-Avant impact'!$A$773=A12,LEN(SUBSTITUTE((SUBSTITUTE(Z21,"TF","")),"TS",""))*10/2,0),IF('Eval-Avant impact'!$A$774=A12,LEN(SUBSTITUTE((SUBSTITUTE(Z22,"TF","")),"TS",""))*10/2,0),IF('Eval-Avant impact'!$A$775=A12,LEN(SUBSTITUTE((SUBSTITUTE(Z23,"TF","")),"TS",""))*10/2,0),IF('Eval-Avant impact'!$A$776=A12,LEN(SUBSTITUTE((SUBSTITUTE(Z24,"TF","")),"TS",""))*10/2,0),IF('Eval-Avant impact'!$A$777=A12,LEN(SUBSTITUTE((SUBSTITUTE(Z25,"TF","")),"TS",""))*10/2,0),IF('Eval-Avant impact'!$A$778=A12,LEN(SUBSTITUTE((SUBSTITUTE(Z26,"TF","")),"TS",""))*10/2,0),IF('Eval-Avant impact'!$A$779=A12,LEN(SUBSTITUTE((SUBSTITUTE(Z27,"TF","")),"TS",""))*10/2,0),IF('Eval-Avant impact'!$A$780=A12,LEN(SUBSTITUTE((SUBSTITUTE(Z28,"TF","")),"TS",""))*10/2,0))/COUNTIF('Eval-Avant impact'!$A$761:$A$780,A12),"")</f>
        <v/>
      </c>
      <c r="M12" s="211" t="str">
        <f>IF(COUNTIF('Eval-Avant impact'!$A$761:$A$780,A12)&gt;0,SUM(IF('Eval-Avant impact'!$A$761=A12,LEN(SUBSTITUTE((SUBSTITUTE(Z9,"TF","")),"TM",""))*10/2,0),IF('Eval-Avant impact'!$A$762=A12,LEN(SUBSTITUTE((SUBSTITUTE(Z10,"TF","")),"TM",""))*10/2,0),IF('Eval-Avant impact'!$A$763=A12,LEN(SUBSTITUTE((SUBSTITUTE(Z11,"TF","")),"TM",""))*10/2,0),IF('Eval-Avant impact'!$A$764=A12,LEN(SUBSTITUTE((SUBSTITUTE(Z12,"TF","")),"TM",""))*10/2,0),IF('Eval-Avant impact'!$A$765=A12,LEN(SUBSTITUTE((SUBSTITUTE(Z13,"TF","")),"TM",""))*10/2,0),IF('Eval-Avant impact'!$A$766=A12,LEN(SUBSTITUTE((SUBSTITUTE(Z14,"TF","")),"TM",""))*10/2,0),IF('Eval-Avant impact'!$A$767=A12,LEN(SUBSTITUTE((SUBSTITUTE(Z15,"TF","")),"TM",""))*10/2,0),IF('Eval-Avant impact'!$A$768=A12,LEN(SUBSTITUTE((SUBSTITUTE(Z16,"TF","")),"TM",""))*10/2,0),IF('Eval-Avant impact'!$A$769=A12,LEN(SUBSTITUTE((SUBSTITUTE(Z17,"TF","")),"TM",""))*10/2,0),IF('Eval-Avant impact'!$A$770=A12,LEN(SUBSTITUTE((SUBSTITUTE(Z18,"TF","")),"TM",""))*10/2,0),IF('Eval-Avant impact'!$A$771=A12,LEN(SUBSTITUTE((SUBSTITUTE(Z19,"TF","")),"TM",""))*10/2,0),IF('Eval-Avant impact'!$A$772=A12,LEN(SUBSTITUTE((SUBSTITUTE(Z20,"TF","")),"TM",""))*10/2,0),IF('Eval-Avant impact'!$A$773=A12,LEN(SUBSTITUTE((SUBSTITUTE(Z21,"TF","")),"TM",""))*10/2,0),IF('Eval-Avant impact'!$A$774=A12,LEN(SUBSTITUTE((SUBSTITUTE(Z22,"TF","")),"TM",""))*10/2,0),IF('Eval-Avant impact'!$A$775=A12,LEN(SUBSTITUTE((SUBSTITUTE(Z23,"TF","")),"TM",""))*10/2,0),IF('Eval-Avant impact'!$A$776=A12,LEN(SUBSTITUTE((SUBSTITUTE(Z24,"TF","")),"TM",""))*10/2,0),IF('Eval-Avant impact'!$A$777=A12,LEN(SUBSTITUTE((SUBSTITUTE(Z25,"TF","")),"TM",""))*10/2,0),IF('Eval-Avant impact'!$A$778=A12,LEN(SUBSTITUTE((SUBSTITUTE(Z26,"TF","")),"TM",""))*10/2,0),IF('Eval-Avant impact'!$A$779=A12,LEN(SUBSTITUTE((SUBSTITUTE(Z27,"TF","")),"TM",""))*10/2,0),IF('Eval-Avant impact'!$A$780=A12,LEN(SUBSTITUTE((SUBSTITUTE(Z28,"TF","")),"TM",""))*10/2,0))/COUNTIF('Eval-Avant impact'!$A$761:$A$780,A12),"")</f>
        <v/>
      </c>
      <c r="N12" s="211" t="str">
        <f>IF(COUNTIF('Eval-Avant impact'!$A$761:$A$780,A12)&gt;0,SUM(IF('Eval-Avant impact'!$A$761=A12,LEN(SUBSTITUTE((SUBSTITUTE(AA9,"TM","")),"TS",""))*10/2,0),IF('Eval-Avant impact'!$A$762=A12,LEN(SUBSTITUTE((SUBSTITUTE(AA10,"TM","")),"TS",""))*10/2,0),IF('Eval-Avant impact'!$A$763=A12,LEN(SUBSTITUTE((SUBSTITUTE(AA11,"TM","")),"TS",""))*10/2,0),IF('Eval-Avant impact'!$A$764=A12,LEN(SUBSTITUTE((SUBSTITUTE(AA12,"TM","")),"TS",""))*10/2,0),IF('Eval-Avant impact'!$A$765=A12,LEN(SUBSTITUTE((SUBSTITUTE(AA13,"TM","")),"TS",""))*10/2,0),IF('Eval-Avant impact'!$A$766=A12,LEN(SUBSTITUTE((SUBSTITUTE(AA14,"TM","")),"TS",""))*10/2,0),IF('Eval-Avant impact'!$A$767=A12,LEN(SUBSTITUTE((SUBSTITUTE(AA15,"TM","")),"TS",""))*10/2,0),IF('Eval-Avant impact'!$A$768=A12,LEN(SUBSTITUTE((SUBSTITUTE(AA16,"TM","")),"TS",""))*10/2,0),IF('Eval-Avant impact'!$A$769=A12,LEN(SUBSTITUTE((SUBSTITUTE(AA17,"TM","")),"TS",""))*10/2,0),IF('Eval-Avant impact'!$A$770=A12,LEN(SUBSTITUTE((SUBSTITUTE(AA18,"TM","")),"TS",""))*10/2,0),IF('Eval-Avant impact'!$A$771=A12,LEN(SUBSTITUTE((SUBSTITUTE(AA19,"TM","")),"TS",""))*10/2,0),IF('Eval-Avant impact'!$A$772=A12,LEN(SUBSTITUTE((SUBSTITUTE(AA20,"TM","")),"TS",""))*10/2,0),IF('Eval-Avant impact'!$A$773=A12,LEN(SUBSTITUTE((SUBSTITUTE(AA21,"TM","")),"TS",""))*10/2,0),IF('Eval-Avant impact'!$A$774=A12,LEN(SUBSTITUTE((SUBSTITUTE(AA22,"TM","")),"TS",""))*10/2,0),IF('Eval-Avant impact'!$A$775=A12,LEN(SUBSTITUTE((SUBSTITUTE(AA23,"TM","")),"TS",""))*10/2,0),IF('Eval-Avant impact'!$A$776=A12,LEN(SUBSTITUTE((SUBSTITUTE(AA24,"TM","")),"TS",""))*10/2,0),IF('Eval-Avant impact'!$A$777=A12,LEN(SUBSTITUTE((SUBSTITUTE(AA25,"TM","")),"TS",""))*10/2,0),IF('Eval-Avant impact'!$A$778=A12,LEN(SUBSTITUTE((SUBSTITUTE(AA26,"TM","")),"TS",""))*10/2,0),IF('Eval-Avant impact'!$A$779=A12,LEN(SUBSTITUTE((SUBSTITUTE(AA27,"TM","")),"TS",""))*10/2,0),IF('Eval-Avant impact'!$A$780=A12,LEN(SUBSTITUTE((SUBSTITUTE(AA28,"TM","")),"TS",""))*10/2,0))/COUNTIF('Eval-Avant impact'!$A$761:$A$780,A12),"")</f>
        <v/>
      </c>
      <c r="O12" s="211" t="str">
        <f>IF(COUNTIF('Eval-Avant impact'!$A$761:$A$780,A12)&gt;0,SUM(IF('Eval-Avant impact'!$A$761=A12,LEN(SUBSTITUTE((SUBSTITUTE(AA9,"TF","")),"TS",""))*10/2,0),IF('Eval-Avant impact'!$A$762=A12,LEN(SUBSTITUTE((SUBSTITUTE(AA10,"TF","")),"TS",""))*10/2,0),IF('Eval-Avant impact'!$A$763=A12,LEN(SUBSTITUTE((SUBSTITUTE(AA11,"TF","")),"TS",""))*10/2,0),IF('Eval-Avant impact'!$A$764=A12,LEN(SUBSTITUTE((SUBSTITUTE(AA12,"TF","")),"TS",""))*10/2,0),IF('Eval-Avant impact'!$A$765=A12,LEN(SUBSTITUTE((SUBSTITUTE(AA13,"TF","")),"TS",""))*10/2,0),IF('Eval-Avant impact'!$A$766=A12,LEN(SUBSTITUTE((SUBSTITUTE(AA14,"TF","")),"TS",""))*10/2,0),IF('Eval-Avant impact'!$A$767=A12,LEN(SUBSTITUTE((SUBSTITUTE(AA15,"TF","")),"TS",""))*10/2,0),IF('Eval-Avant impact'!$A$768=A12,LEN(SUBSTITUTE((SUBSTITUTE(AA16,"TF","")),"TS",""))*10/2,0),IF('Eval-Avant impact'!$A$769=A12,LEN(SUBSTITUTE((SUBSTITUTE(AA17,"TF","")),"TS",""))*10/2,0),IF('Eval-Avant impact'!$A$770=A12,LEN(SUBSTITUTE((SUBSTITUTE(AA18,"TF","")),"TS",""))*10/2,0),IF('Eval-Avant impact'!$A$771=A12,LEN(SUBSTITUTE((SUBSTITUTE(AA19,"TF","")),"TS",""))*10/2,0),IF('Eval-Avant impact'!$A$772=A12,LEN(SUBSTITUTE((SUBSTITUTE(AA20,"TF","")),"TS",""))*10/2,0),IF('Eval-Avant impact'!$A$773=A12,LEN(SUBSTITUTE((SUBSTITUTE(AA21,"TF","")),"TS",""))*10/2,0),IF('Eval-Avant impact'!$A$774=A12,LEN(SUBSTITUTE((SUBSTITUTE(AA22,"TF","")),"TS",""))*10/2,0),IF('Eval-Avant impact'!$A$775=A12,LEN(SUBSTITUTE((SUBSTITUTE(AA23,"TF","")),"TS",""))*10/2,0),IF('Eval-Avant impact'!$A$776=A12,LEN(SUBSTITUTE((SUBSTITUTE(AA24,"TF","")),"TS",""))*10/2,0),IF('Eval-Avant impact'!$A$777=A12,LEN(SUBSTITUTE((SUBSTITUTE(AA25,"TF","")),"TS",""))*10/2,0),IF('Eval-Avant impact'!$A$778=A12,LEN(SUBSTITUTE((SUBSTITUTE(AA26,"TF","")),"TS",""))*10/2,0),IF('Eval-Avant impact'!$A$779=A12,LEN(SUBSTITUTE((SUBSTITUTE(AA27,"TF","")),"TS",""))*10/2,0),IF('Eval-Avant impact'!$A$780=A12,LEN(SUBSTITUTE((SUBSTITUTE(AA28,"TF","")),"TS",""))*10/2,0))/COUNTIF('Eval-Avant impact'!$A$761:$A$780,A12),"")</f>
        <v/>
      </c>
      <c r="P12" s="211" t="str">
        <f>IF(COUNTIF('Eval-Avant impact'!$A$761:$A$780,A12)&gt;0,SUM(IF('Eval-Avant impact'!$A$761=A12,LEN(SUBSTITUTE((SUBSTITUTE(AA9,"TF","")),"TM",""))*10/2,0),IF('Eval-Avant impact'!$A$762=A12,LEN(SUBSTITUTE((SUBSTITUTE(AA10,"TF","")),"TM",""))*10/2,0),IF('Eval-Avant impact'!$A$763=A12,LEN(SUBSTITUTE((SUBSTITUTE(AA11,"TF","")),"TM",""))*10/2,0),IF('Eval-Avant impact'!$A$764=A12,LEN(SUBSTITUTE((SUBSTITUTE(AA12,"TF","")),"TM",""))*10/2,0),IF('Eval-Avant impact'!$A$765=A12,LEN(SUBSTITUTE((SUBSTITUTE(AA13,"TF","")),"TM",""))*10/2,0),IF('Eval-Avant impact'!$A$766=A12,LEN(SUBSTITUTE((SUBSTITUTE(AA14,"TF","")),"TM",""))*10/2,0),IF('Eval-Avant impact'!$A$767=A12,LEN(SUBSTITUTE((SUBSTITUTE(AA15,"TF","")),"TM",""))*10/2,0),IF('Eval-Avant impact'!$A$768=A12,LEN(SUBSTITUTE((SUBSTITUTE(AA16,"TF","")),"TM",""))*10/2,0),IF('Eval-Avant impact'!$A$769=A12,LEN(SUBSTITUTE((SUBSTITUTE(AA17,"TF","")),"TM",""))*10/2,0),IF('Eval-Avant impact'!$A$770=A12,LEN(SUBSTITUTE((SUBSTITUTE(AA18,"TF","")),"TM",""))*10/2,0),IF('Eval-Avant impact'!$A$771=A12,LEN(SUBSTITUTE((SUBSTITUTE(AA19,"TF","")),"TM",""))*10/2,0),IF('Eval-Avant impact'!$A$772=A12,LEN(SUBSTITUTE((SUBSTITUTE(AA20,"TF","")),"TM",""))*10/2,0),IF('Eval-Avant impact'!$A$773=A12,LEN(SUBSTITUTE((SUBSTITUTE(AA21,"TF","")),"TM",""))*10/2,0),IF('Eval-Avant impact'!$A$774=A12,LEN(SUBSTITUTE((SUBSTITUTE(AA22,"TF","")),"TM",""))*10/2,0),IF('Eval-Avant impact'!$A$775=A12,LEN(SUBSTITUTE((SUBSTITUTE(AA23,"TF","")),"TM",""))*10/2,0),IF('Eval-Avant impact'!$A$776=A12,LEN(SUBSTITUTE((SUBSTITUTE(AA24,"TF","")),"TM",""))*10/2,0),IF('Eval-Avant impact'!$A$777=A12,LEN(SUBSTITUTE((SUBSTITUTE(AA25,"TF","")),"TM",""))*10/2,0),IF('Eval-Avant impact'!$A$778=A12,LEN(SUBSTITUTE((SUBSTITUTE(AA26,"TF","")),"TM",""))*10/2,0),IF('Eval-Avant impact'!$A$779=A12,LEN(SUBSTITUTE((SUBSTITUTE(AA27,"TF","")),"TM",""))*10/2,0),IF('Eval-Avant impact'!$A$780=A12,LEN(SUBSTITUTE((SUBSTITUTE(AA28,"TF","")),"TM",""))*10/2,0))/COUNTIF('Eval-Avant impact'!$A$761:$A$780,A12),"")</f>
        <v/>
      </c>
      <c r="Q12" s="211" t="str">
        <f>IF(COUNTIF('Eval-Avant impact'!$A$761:$A$780,A12)&gt;0,IF(OR(AND('Eval-Avant impact'!$A$761=A12,X9&lt;30),AND('Eval-Avant impact'!$A$762=A12,X10&lt;30),AND('Eval-Avant impact'!$A$763=A12,X11&lt;30),AND('Eval-Avant impact'!$A$764=A12,X12&lt;30),AND('Eval-Avant impact'!$A$765=A12,X13&lt;30),AND('Eval-Avant impact'!$A$766=A12,X14&lt;30),AND('Eval-Avant impact'!$A$767=A12,X15&lt;30),AND('Eval-Avant impact'!$A$768=A12,X16&lt;30),AND('Eval-Avant impact'!$A$769=A12,X17&lt;30),AND('Eval-Avant impact'!$A$770=A12,X18&lt;30),AND('Eval-Avant impact'!$A$771=A12,X19&lt;30),AND('Eval-Avant impact'!$A$772=A12,X20&lt;30),AND('Eval-Avant impact'!$A$773=A12,X21&lt;30),AND('Eval-Avant impact'!$A$774=A12,X22&lt;30),AND('Eval-Avant impact'!$A$775=A12,X23&lt;30),AND('Eval-Avant impact'!$A$776=A12,X24&lt;30),AND('Eval-Avant impact'!$A$777=A12,X25&lt;30),AND('Eval-Avant impact'!$A$778=A12,X26&lt;30),AND('Eval-Avant impact'!$A$779=A12,X27&lt;30),AND('Eval-Avant impact'!$A$780=A12,X28&lt;30)),"",SUM(0.1*(SUMPRODUCT(('Eval-Avant impact'!$A$761:$A$780=A12)*('Eval-Avant impact'!$N$761:$P$780="A"))+ SUMPRODUCT(('Eval-Avant impact'!$A$761:$A$780=A12)*('Eval-Avant impact'!$N$761:$P$780="AL"))),0.7*(SUMPRODUCT(('Eval-Avant impact'!$A$761:$A$780=A12)*('Eval-Avant impact'!$N$761:$P$780="TF"))+SUMPRODUCT(('Eval-Avant impact'!$A$761:$A$780=A12)*('Eval-Avant impact'!$N$761:$P$780="TM"))+SUMPRODUCT(('Eval-Avant impact'!$A$761:$A$780=A12)*('Eval-Avant impact'!$N$761:$P$780="TS"))),0.4*(SUMPRODUCT(('Eval-Avant impact'!$A$761:$A$780=A12)*('Eval-Avant impact'!$N$761:$P$780="LA"))+SUMPRODUCT(('Eval-Avant impact'!$A$761:$A$780=A12)*('Eval-Avant impact'!$N$761:$P$780="L"))+SUMPRODUCT(('Eval-Avant impact'!$A$761:$A$780=A12)*('Eval-Avant impact'!$N$761:$P$780="LS"))),1*(SUMPRODUCT(('Eval-Avant impact'!$A$761:$A$780=A12)*('Eval-Avant impact'!$N$761:$P$780="SL"))+ SUMPRODUCT(('Eval-Avant impact'!$A$761:$A$780=A12)*('Eval-Avant impact'!$N$761:$P$780="S"))))/(3*COUNTIF('Eval-Avant impact'!$A$761:$A$780,A12))),"")</f>
        <v/>
      </c>
      <c r="R12" s="211" t="str">
        <f>IF(COUNTIF('Eval-Avant impact'!$A$761:$A$780,A12)&gt;0,IF(OR(AND('Eval-Avant impact'!$A$761=A12,X9&lt;120),AND('Eval-Avant impact'!$A$762=A12,X10&lt;120),AND('Eval-Avant impact'!$A$763=A12,X11&lt;120),AND('Eval-Avant impact'!$A$764=A12,X12&lt;120),AND('Eval-Avant impact'!$A$765=A12,X13&lt;120),AND('Eval-Avant impact'!$A$766=A12,X14&lt;120),AND('Eval-Avant impact'!$A$767=A12,X15&lt;120),AND('Eval-Avant impact'!$A$768=A12,X16&lt;120),AND('Eval-Avant impact'!$A$769=A12,X17&lt;120),AND('Eval-Avant impact'!$A$770=A12,X18&lt;120),AND('Eval-Avant impact'!$A$771=A12,X19&lt;120),AND('Eval-Avant impact'!$A$772=A12,X20&lt;120),AND('Eval-Avant impact'!$A$773=A12,X21&lt;120),AND('Eval-Avant impact'!$A$774=A12,X22&lt;120),AND('Eval-Avant impact'!$A$775=A12,X23&lt;120),AND('Eval-Avant impact'!$A$776=A12,X24&lt;120),AND('Eval-Avant impact'!$A$777=A12,X25&lt;120),AND('Eval-Avant impact'!$A$778=A12,X26&lt;120),AND('Eval-Avant impact'!$A$779=A12,X27&lt;120),AND('Eval-Avant impact'!$A$780=A12,X28&lt;120)),"",SUM(0.1*(SUMPRODUCT(('Eval-Avant impact'!$A$761:$A$780=A12)*('Eval-Avant impact'!$Q$761:$Y$780="A"))+ SUMPRODUCT(('Eval-Avant impact'!$A$761:$A$780=A12)*('Eval-Avant impact'!$Q$761:$Y$780="AL"))),0.7*(SUMPRODUCT(('Eval-Avant impact'!$A$761:$A$780=A12)*('Eval-Avant impact'!$Q$761:$Y$780="TF"))+SUMPRODUCT(('Eval-Avant impact'!$A$761:$A$780=A12)*('Eval-Avant impact'!$Q$761:$Y$780="TM"))+SUMPRODUCT(('Eval-Avant impact'!$A$761:$A$780=A12)*('Eval-Avant impact'!$Q$761:$Y$780="TS"))),0.4*(SUMPRODUCT(('Eval-Avant impact'!$A$761:$A$780=A12)*('Eval-Avant impact'!$Q$761:$Y$780="LA"))+SUMPRODUCT(('Eval-Avant impact'!$A$761:$A$780=A12)*('Eval-Avant impact'!$Q$761:$Y$780="L"))+SUMPRODUCT(('Eval-Avant impact'!$A$761:$A$780=A12)*('Eval-Avant impact'!$Q$761:$Y$780="LS"))),1*(SUMPRODUCT(('Eval-Avant impact'!$A$761:$A$780=A12)*('Eval-Avant impact'!$Q$761:$Y$780="SL"))+ SUMPRODUCT(('Eval-Avant impact'!$A$761:$A$780=A12)*('Eval-Avant impact'!$Q$761:$Y$780="S"))))/(9*COUNTIF('Eval-Avant impact'!$A$761:$A$780,A12))),"")</f>
        <v/>
      </c>
      <c r="S12" s="211" t="str">
        <f>IF(COUNTIF('Eval-Avant impact'!$A$761:$A$780,A12)&gt;0,IF(OR(AND('Eval-Avant impact'!$A$761=A12,OR(COUNTIF('Eval-Avant impact'!$N$761:$P$761,"*T*")&gt;0,X9&lt;30)),AND('Eval-Avant impact'!$A$762=A12,OR(COUNTIF('Eval-Avant impact'!$N$762:$P$762,"*T*")&gt;0,X10&lt;30)),AND('Eval-Avant impact'!$A$763=A12,OR(COUNTIF('Eval-Avant impact'!$N$763:$P$763,"*T*")&gt;0,X11&lt;30)),AND('Eval-Avant impact'!$A$764=A12,OR(COUNTIF('Eval-Avant impact'!$N$764:$P$764,"*T*")&gt;0,X12&lt;30)),AND('Eval-Avant impact'!$A$765=A12,OR(COUNTIF('Eval-Avant impact'!$N$765:$P$765,"*T*")&gt;0,X13&lt;30)),AND('Eval-Avant impact'!$A$766=A12,OR(COUNTIF('Eval-Avant impact'!$N$766:$P$766,"*T*")&gt;0,X14&lt;30)),AND('Eval-Avant impact'!$A$767=A12,OR(COUNTIF('Eval-Avant impact'!$N$767:$P$767,"*T*")&gt;0,X15&lt;30)),AND('Eval-Avant impact'!$A$768=A12,OR(COUNTIF('Eval-Avant impact'!$N$768:$P$768,"*T*")&gt;0,X16&lt;30)),AND('Eval-Avant impact'!$A$769=A12,OR(COUNTIF('Eval-Avant impact'!$N$769:$P$769,"*T*")&gt;0,X17&lt;30)),AND('Eval-Avant impact'!$A$770=A12,OR(COUNTIF('Eval-Avant impact'!$N$770:$P$770,"*T*")&gt;0,X18&lt;30)),AND('Eval-Avant impact'!$A$771=A12,OR(COUNTIF('Eval-Avant impact'!$N$771:$P$771,"*T*")&gt;0,X19&lt;30)),AND('Eval-Avant impact'!$A$772=A12,OR(COUNTIF('Eval-Avant impact'!$N$772:$P$772,"*T*")&gt;0,X20&lt;30)),AND('Eval-Avant impact'!$A$773=A12,OR(COUNTIF('Eval-Avant impact'!$N$773:$P$773,"*T*")&gt;0,X21&lt;30)),AND('Eval-Avant impact'!$A$774=A12,OR(COUNTIF('Eval-Avant impact'!$N$774:$P$774,"*T*")&gt;0,X22&lt;30)),AND('Eval-Avant impact'!$A$775=A12,OR(COUNTIF('Eval-Avant impact'!$N$775:$P$775,"*T*")&gt;0,X23&lt;30)),AND('Eval-Avant impact'!$A$776=A12,OR(COUNTIF('Eval-Avant impact'!$N$776:$P$776,"*T*")&gt;0,X24&lt;30)),AND('Eval-Avant impact'!$A$777=A12,OR(COUNTIF('Eval-Avant impact'!$N$777:$P$777,"*T*")&gt;0,X25&lt;30)),AND('Eval-Avant impact'!$A$778=A12,OR(COUNTIF('Eval-Avant impact'!$N$778:$P$778,"*T*")&gt;0,X26&lt;30)),AND('Eval-Avant impact'!$A$779=A12,OR(COUNTIF('Eval-Avant impact'!$N$779:$P$779,"*T*")&gt;0,X27&lt;30)),AND('Eval-Avant impact'!$A$780=A12,OR(COUNTIF('Eval-Avant impact'!$N$780:$P$780,"*T*")&gt;0,X28&lt;30))),"",SUM(0.1*(SUMPRODUCT(('Eval-Avant impact'!$A$761:$A$780=A12)*('Eval-Avant impact'!$N$761:$P$780="L"))),0.4*(SUMPRODUCT(('Eval-Avant impact'!$A$761:$A$780=A12)*('Eval-Avant impact'!$N$761:$P$780="LA"))+SUMPRODUCT(('Eval-Avant impact'!$A$761:$A$780=A12)*('Eval-Avant impact'!$N$761:$P$780="LS"))),0.7*(SUMPRODUCT(('Eval-Avant impact'!$A$761:$A$780=A12)*('Eval-Avant impact'!$N$761:$P$780="AL"))+SUMPRODUCT(('Eval-Avant impact'!$A$761:$A$780=A12)*('Eval-Avant impact'!$N$761:$P$780="SL"))),1*(SUMPRODUCT(('Eval-Avant impact'!$A$761:$A$780=A12)*('Eval-Avant impact'!$N$761:$P$780="S"))+ SUMPRODUCT(('Eval-Avant impact'!$A$761:$A$780=A12)*('Eval-Avant impact'!$N$761:$P$780="A"))))/(3*COUNTIF('Eval-Avant impact'!$A$761:$A$780,A12))),"")</f>
        <v/>
      </c>
      <c r="T12" s="211" t="str">
        <f>IF(COUNTIF('Eval-Avant impact'!$A$761:$A$780,A12)&gt;0,IF(OR(AND('Eval-Avant impact'!$A$761=A12,OR(COUNTIF('Eval-Avant impact'!$N$761:$P$761,"*T*")&gt;0,X9&lt;30)),AND('Eval-Avant impact'!$A$762=A12,OR(COUNTIF('Eval-Avant impact'!$N$762:$P$762,"*T*")&gt;0,X10&lt;30)),AND('Eval-Avant impact'!$A$763=A12,OR(COUNTIF('Eval-Avant impact'!$N$763:$P$763,"*T*")&gt;0,X11&lt;30)),AND('Eval-Avant impact'!$A$764=A12,OR(COUNTIF('Eval-Avant impact'!$N$764:$P$764,"*T*")&gt;0,X12&lt;30)),AND('Eval-Avant impact'!$A$765=A12,OR(COUNTIF('Eval-Avant impact'!$N$765:$P$765,"*T*")&gt;0,X13&lt;30)),AND('Eval-Avant impact'!$A$766=A12,OR(COUNTIF('Eval-Avant impact'!$N$766:$P$766,"*T*")&gt;0,X14&lt;30)),AND('Eval-Avant impact'!$A$767=A12,OR(COUNTIF('Eval-Avant impact'!$N$767:$P$767,"*T*")&gt;0,X15&lt;30)),AND('Eval-Avant impact'!$A$768=A12,OR(COUNTIF('Eval-Avant impact'!$N$768:$P$768,"*T*")&gt;0,X16&lt;30)),AND('Eval-Avant impact'!$A$769=A12,OR(COUNTIF('Eval-Avant impact'!$N$769:$P$769,"*T*")&gt;0,X17&lt;30)),AND('Eval-Avant impact'!$A$770=A12,OR(COUNTIF('Eval-Avant impact'!$N$770:$P$770,"*T*")&gt;0,X18&lt;30)),AND('Eval-Avant impact'!$A$771=A12,OR(COUNTIF('Eval-Avant impact'!$N$771:$P$771,"*T*")&gt;0,X19&lt;30)),AND('Eval-Avant impact'!$A$772=A12,OR(COUNTIF('Eval-Avant impact'!$N$772:$P$772,"*T*")&gt;0,X20&lt;30)),AND('Eval-Avant impact'!$A$773=A12,OR(COUNTIF('Eval-Avant impact'!$N$773:$P$773,"*T*")&gt;0,X21&lt;30)),AND('Eval-Avant impact'!$A$774=A12,OR(COUNTIF('Eval-Avant impact'!$N$774:$P$774,"*T*")&gt;0,X22&lt;30)),AND('Eval-Avant impact'!$A$775=A12,OR(COUNTIF('Eval-Avant impact'!$N$775:$P$775,"*T*")&gt;0,X23&lt;30)),AND('Eval-Avant impact'!$A$776=A12,OR(COUNTIF('Eval-Avant impact'!$N$776:$P$776,"*T*")&gt;0,X24&lt;30)),AND('Eval-Avant impact'!$A$777=A12,OR(COUNTIF('Eval-Avant impact'!$N$777:$P$777,"*T*")&gt;0,X25&lt;30)),AND('Eval-Avant impact'!$A$778=A12,OR(COUNTIF('Eval-Avant impact'!$N$778:$P$778,"*T*")&gt;0,X26&lt;30)),AND('Eval-Avant impact'!$A$779=A12,OR(COUNTIF('Eval-Avant impact'!$N$779:$P$779,"*T*")&gt;0,X27&lt;30)),AND('Eval-Avant impact'!$A$780=A12,OR(COUNTIF('Eval-Avant impact'!$N$780:$P$780,"*T*")&gt;0,X28&lt;30))),"",SUM(1*(SUMPRODUCT(('Eval-Avant impact'!$A$761:$A$780=A12)*('Eval-Avant impact'!$N$761:$P$780="A"))),0.85*(SUMPRODUCT(('Eval-Avant impact'!$A$761:$A$780=A12)*('Eval-Avant impact'!$N$761:$P$780="AL"))),0.7*(SUMPRODUCT(('Eval-Avant impact'!$A$761:$A$780=A12)*('Eval-Avant impact'!$N$761:$P$780="LA"))),0.55*(SUMPRODUCT(('Eval-Avant impact'!$A$761:$A$780=A12)*('Eval-Avant impact'!$N$761:$P$780="L"))),0.4*(SUMPRODUCT(('Eval-Avant impact'!$A$761:$A$780=A12)*('Eval-Avant impact'!$N$761:$P$780="LS"))),0.25*(SUMPRODUCT(('Eval-Avant impact'!$A$761:$A$780=A12)*('Eval-Avant impact'!$N$761:$P$780="SL"))),0.1*(SUMPRODUCT(('Eval-Avant impact'!$A$761:$A$780=A12)*('Eval-Avant impact'!$N$761:$P$780="S"))))/(3*COUNTIF('Eval-Avant impact'!$A$761:$A$780,A12))),"")</f>
        <v/>
      </c>
      <c r="U12" s="214" t="str">
        <f>IF(COUNTIF('Eval-Avant impact'!$A$761:$A$780,A12)&gt;0,IF(OR(AND('Eval-Avant impact'!$A$761=A12,OR(COUNTIF('Eval-Avant impact'!$Q$761:$Y$761,"*T*")&gt;0,X9&lt;120)),AND('Eval-Avant impact'!$A$762=A12,OR(COUNTIF('Eval-Avant impact'!$Q$762:$Y$762,"*T*")&gt;0,X10&lt;120)),AND('Eval-Avant impact'!$A$763=A12,OR(COUNTIF('Eval-Avant impact'!$Q$763:$Y$763,"*T*")&gt;0,X11&lt;120)),AND('Eval-Avant impact'!$A$764=A12,OR(COUNTIF('Eval-Avant impact'!$Q$764:$Y$764,"*T*")&gt;0,X12&lt;120)),AND('Eval-Avant impact'!$A$765=A12,OR(COUNTIF('Eval-Avant impact'!$Q$765:$Y$765,"*T*")&gt;0,X13&lt;120)),AND('Eval-Avant impact'!$A$766=A12,OR(COUNTIF('Eval-Avant impact'!$Q$766:$Y$766,"*T*")&gt;0,X14&lt;120)),AND('Eval-Avant impact'!$A$767=A12,OR(COUNTIF('Eval-Avant impact'!$Q$767:$Y$767,"*T*")&gt;0,X15&lt;120)),AND('Eval-Avant impact'!$A$768=A12,OR(COUNTIF('Eval-Avant impact'!$Q$768:$Y$768,"*T*")&gt;0,X16&lt;120)),AND('Eval-Avant impact'!$A$769=A12,OR(COUNTIF('Eval-Avant impact'!$Q$769:$Y$769,"*T*")&gt;0,X17&lt;120)),AND('Eval-Avant impact'!$A$770=A12,OR(COUNTIF('Eval-Avant impact'!$Q$770:$Y$770,"*T*")&gt;0,X18&lt;120)),AND('Eval-Avant impact'!$A$771=A12,OR(COUNTIF('Eval-Avant impact'!$Q$771:$Y$771,"*T*")&gt;0,X19&lt;120)),AND('Eval-Avant impact'!$A$772=A12,OR(COUNTIF('Eval-Avant impact'!$Q$772:$Y$772,"*T*")&gt;0,X20&lt;120)),AND('Eval-Avant impact'!$A$773=A12,OR(COUNTIF('Eval-Avant impact'!$Q$773:$Y$773,"*T*")&gt;0,X21&lt;120)),AND('Eval-Avant impact'!$A$774=A12,OR(COUNTIF('Eval-Avant impact'!$Q$774:$Y$774,"*T*")&gt;0,X22&lt;120)),AND('Eval-Avant impact'!$A$775=A12,OR(COUNTIF('Eval-Avant impact'!$Q$775:$Y$775,"*T*")&gt;0,X23&lt;120)),AND('Eval-Avant impact'!$A$776=A12,OR(COUNTIF('Eval-Avant impact'!$Q$776:$Y$776,"*T*")&gt;0,X24&lt;120)),AND('Eval-Avant impact'!$A$777=A12,OR(COUNTIF('Eval-Avant impact'!$Q$777:$Y$777,"*T*")&gt;0,X25&lt;120)),AND('Eval-Avant impact'!$A$778=A12,OR(COUNTIF('Eval-Avant impact'!$Q$778:$Y$778,"*T*")&gt;0,X26&lt;120)),AND('Eval-Avant impact'!$A$779=A12,OR(COUNTIF('Eval-Avant impact'!$Q$779:$Y$779,"*T*")&gt;0,X27&lt;120)),AND('Eval-Avant impact'!$A$780=A12,OR(COUNTIF('Eval-Avant impact'!$Q$780:$Y$780,"*T*")&gt;0,X28&lt;120))),"",SUM(1*(SUMPRODUCT(('Eval-Avant impact'!$A$761:$A$780=A12)*('Eval-Avant impact'!$Q$761:$Y$780="A"))),0.85*(SUMPRODUCT(('Eval-Avant impact'!$A$761:$A$780=A12)*('Eval-Avant impact'!$Q$761:$Y$780="AL"))),0.7*(SUMPRODUCT(('Eval-Avant impact'!$A$761:$A$780=A12)*('Eval-Avant impact'!$Q$761:$Y$780="LA"))),0.55*(SUMPRODUCT(('Eval-Avant impact'!$A$761:$A$780=A12)*('Eval-Avant impact'!$Q$761:$Y$780="L"))),0.4*(SUMPRODUCT(('Eval-Avant impact'!$A$761:$A$780=A12)*('Eval-Avant impact'!$Q$761:$Y$780="LS"))),0.25*(SUMPRODUCT(('Eval-Avant impact'!$A$761:$A$780=A12)*('Eval-Avant impact'!$Q$761:$Y$780="SL"))),0.1*(SUMPRODUCT(('Eval-Avant impact'!$A$761:$A$780=A12)*('Eval-Avant impact'!$Q$761:$Y$780="S"))))/(9*COUNTIF('Eval-Avant impact'!$A$761:$A$780,A12))),"")</f>
        <v/>
      </c>
      <c r="V12" s="215"/>
      <c r="W12" s="216">
        <f>'Eval-Avant impact'!$D$764</f>
        <v>4</v>
      </c>
      <c r="X12" s="217" t="str">
        <f>IF(Y12="C",0,IF(IF(COUNTIF('Eval-Avant impact'!$N$764:$Y$764,"=C")&gt;0,(COUNTA('Eval-Avant impact'!$N$764:$Y$764)-1)*10,COUNTA('Eval-Avant impact'!$N$764:$Y$764)*10)=0,"",IF(COUNTIF('Eval-Avant impact'!$N$764:$Y$764,"=C")&gt;0,(COUNTA('Eval-Avant impact'!$N$764:$Y$764)-1)*10,COUNTA('Eval-Avant impact'!$N$764:$Y$764)*10)))</f>
        <v/>
      </c>
      <c r="Y12" s="217" t="str">
        <f>CONCATENATE('Eval-Avant impact'!$N$764,'Eval-Avant impact'!$O$764,'Eval-Avant impact'!$P$764,'Eval-Avant impact'!$Q$764,'Eval-Avant impact'!$R$764,'Eval-Avant impact'!$S$764,'Eval-Avant impact'!$T$764,'Eval-Avant impact'!$U$764,'Eval-Avant impact'!$V$764,'Eval-Avant impact'!$W$764,'Eval-Avant impact'!$X$764,'Eval-Avant impact'!$Y$764)</f>
        <v/>
      </c>
      <c r="Z12" s="217" t="str">
        <f t="shared" si="0"/>
        <v/>
      </c>
      <c r="AA12" s="217" t="str">
        <f t="shared" si="1"/>
        <v/>
      </c>
      <c r="AB12" s="217" t="str">
        <f>IF(COUNTIF('Eval-Avant impact'!$N$764:$Y$764,"=C")&gt;0,"X","")</f>
        <v/>
      </c>
      <c r="AC12" s="217" t="str">
        <f t="shared" si="2"/>
        <v/>
      </c>
      <c r="AD12" s="218" t="str">
        <f t="shared" si="3"/>
        <v/>
      </c>
      <c r="AE12" s="197"/>
      <c r="AG12" s="210">
        <v>4</v>
      </c>
      <c r="AH12" s="211" t="str">
        <f>IF(COUNTIF('Eval-Avec impact envisagé'!$A$761:$A$780,AG12)&gt;0,SUM(IF('Eval-Avec impact envisagé'!$A$761=AG12,'Eval-Avec impact envisagé'!$B$761,0),IF('Eval-Avec impact envisagé'!$A$762=AG12, 'Eval-Avec impact envisagé'!$B$762,0),IF('Eval-Avec impact envisagé'!$A$763=AG12, 'Eval-Avec impact envisagé'!$B$763,0),IF('Eval-Avec impact envisagé'!$A$764=AG12, 'Eval-Avec impact envisagé'!$B$764,0),IF('Eval-Avec impact envisagé'!$A$765=AG12, 'Eval-Avec impact envisagé'!$B$765,0),IF('Eval-Avec impact envisagé'!$A$766=AG12, 'Eval-Avec impact envisagé'!$B$766,0),IF('Eval-Avec impact envisagé'!$A$767=AG12, 'Eval-Avec impact envisagé'!$B$767,0),IF('Eval-Avec impact envisagé'!$A$768=AG12, 'Eval-Avec impact envisagé'!$B$768,0),IF('Eval-Avec impact envisagé'!$A$769=AG12, 'Eval-Avec impact envisagé'!$B$769,0),IF('Eval-Avec impact envisagé'!$A$770=AG12, 'Eval-Avec impact envisagé'!$B$770,0),IF('Eval-Avec impact envisagé'!$A$771=AG12, 'Eval-Avec impact envisagé'!$B$771,0),IF('Eval-Avec impact envisagé'!$A$772=AG12, 'Eval-Avec impact envisagé'!$B$772,0),IF('Eval-Avec impact envisagé'!$A$773=AG12, 'Eval-Avec impact envisagé'!$B$773,0),IF('Eval-Avec impact envisagé'!$A$774=AG12, 'Eval-Avec impact envisagé'!$B$774,0),IF('Eval-Avec impact envisagé'!$A$775=AG12, 'Eval-Avec impact envisagé'!$B$775,0),IF('Eval-Avec impact envisagé'!$A$776=AG12, 'Eval-Avec impact envisagé'!$B$776,0),IF('Eval-Avec impact envisagé'!$A$777=AG12, 'Eval-Avec impact envisagé'!$B$777,0),IF('Eval-Avec impact envisagé'!$A$778=AG12, 'Eval-Avec impact envisagé'!$B$778,0),IF('Eval-Avec impact envisagé'!$A$779=AG12, 'Eval-Avec impact envisagé'!$B$779,0),IF('Eval-Avec impact envisagé'!$A$780=AG12, 'Eval-Avec impact envisagé'!$B$780,0))/COUNTIF('Eval-Avec impact envisagé'!$A$761:$A$780,AG12),"")</f>
        <v/>
      </c>
      <c r="AI12" s="212" t="str">
        <f>IF(COUNTIF('Eval-Avec impact envisagé'!$A$761:$A$780,AG12)&gt;0,COUNTIF('Eval-Avec impact envisagé'!$A$761:$A$780,AG12),"")</f>
        <v/>
      </c>
      <c r="AJ12" s="211" t="str">
        <f>IF(COUNTIF('Eval-Avec impact envisagé'!$A$761:$A$780,AG12)&gt;0,IF(OR(AND('Eval-Avec impact envisagé'!$A$761=AG12, 'Eval-Avec impact envisagé'!$G$761=""),AND('Eval-Avec impact envisagé'!$A$762=AG12, 'Eval-Avec impact envisagé'!$G$762=""),AND('Eval-Avec impact envisagé'!$A$763=AG12, 'Eval-Avec impact envisagé'!$G$763=""),AND('Eval-Avec impact envisagé'!$A$764=AG12, 'Eval-Avec impact envisagé'!$G$764=""),AND('Eval-Avec impact envisagé'!$A$765=AG12, 'Eval-Avec impact envisagé'!$G$765=""),AND('Eval-Avec impact envisagé'!$A$766=AG12, 'Eval-Avec impact envisagé'!$G$766=""),AND('Eval-Avec impact envisagé'!$A$767=AG12, 'Eval-Avec impact envisagé'!$G$767=""),AND('Eval-Avec impact envisagé'!$A$768=AG12, 'Eval-Avec impact envisagé'!$G$768=""),AND('Eval-Avec impact envisagé'!$A$769=AG12, 'Eval-Avec impact envisagé'!$G$769=""),AND('Eval-Avec impact envisagé'!$A$770=AG12, 'Eval-Avec impact envisagé'!$G$770=""),AND('Eval-Avec impact envisagé'!$A$771=AG12, 'Eval-Avec impact envisagé'!$G$771=""),AND('Eval-Avec impact envisagé'!$A$772=AG12, 'Eval-Avec impact envisagé'!$G$772=""),AND('Eval-Avec impact envisagé'!$A$773=AG12, 'Eval-Avec impact envisagé'!$G$773=""),AND('Eval-Avec impact envisagé'!$A$774=AG12, 'Eval-Avec impact envisagé'!$G$774=""),AND('Eval-Avec impact envisagé'!$A$775=AG12, 'Eval-Avec impact envisagé'!$G$775=""),AND('Eval-Avec impact envisagé'!$A$776=AG12, 'Eval-Avec impact envisagé'!$G$776=""),AND('Eval-Avec impact envisagé'!$A$777=AG12, 'Eval-Avec impact envisagé'!$G$777=""),AND('Eval-Avec impact envisagé'!$A$778=AG12, 'Eval-Avec impact envisagé'!$G$778=""),AND('Eval-Avec impact envisagé'!$A$779=AG12, 'Eval-Avec impact envisagé'!$G$779=""),AND('Eval-Avec impact envisagé'!$A$780=AG12, 'Eval-Avec impact envisagé'!$G$780="")),"",SUM(IF('Eval-Avec impact envisagé'!$A$761=AG12,'Eval-Avec impact envisagé'!$G$761,0),IF('Eval-Avec impact envisagé'!$A$762=AG12,'Eval-Avec impact envisagé'!$G$762,0),IF('Eval-Avec impact envisagé'!$A$763=AG12,'Eval-Avec impact envisagé'!$G$763,0),IF('Eval-Avec impact envisagé'!$A$764=AG12,'Eval-Avec impact envisagé'!$G$764,0),IF('Eval-Avec impact envisagé'!$A$765=AG12,'Eval-Avec impact envisagé'!$G$765,0),IF('Eval-Avec impact envisagé'!$A$766=AG12,'Eval-Avec impact envisagé'!$G$766,0),IF('Eval-Avec impact envisagé'!$A$767=AG12,'Eval-Avec impact envisagé'!$G$767,0),IF('Eval-Avec impact envisagé'!$A$768=AG12,'Eval-Avec impact envisagé'!$G$768,0),IF('Eval-Avec impact envisagé'!$A$769=AG12,'Eval-Avec impact envisagé'!$G$769,0),IF('Eval-Avec impact envisagé'!$A$770=AG12,'Eval-Avec impact envisagé'!$G$770,0),IF('Eval-Avec impact envisagé'!$A$771=AG12,'Eval-Avec impact envisagé'!$G$771,0),IF('Eval-Avec impact envisagé'!$A$772=AG12,'Eval-Avec impact envisagé'!$G$772,0),IF('Eval-Avec impact envisagé'!$A$773=AG12,'Eval-Avec impact envisagé'!$G$773,0),IF('Eval-Avec impact envisagé'!$A$774=AG12,'Eval-Avec impact envisagé'!$G$774,0),IF('Eval-Avec impact envisagé'!$A$775=AG12,'Eval-Avec impact envisagé'!$G$775,0), IF('Eval-Avec impact envisagé'!$A$776=AG12,'Eval-Avec impact envisagé'!$G$776,0), IF('Eval-Avec impact envisagé'!$A$777=AG12,'Eval-Avec impact envisagé'!$G$777,0), IF('Eval-Avec impact envisagé'!$A$778=AG12,'Eval-Avec impact envisagé'!$G$778,0), IF('Eval-Avec impact envisagé'!$A$779=AG12,'Eval-Avec impact envisagé'!$G$779,0), IF('Eval-Avec impact envisagé'!$A$780=AG12,'Eval-Avec impact envisagé'!$G$780,0))/ COUNTIF('Eval-Avec impact envisagé'!$A$761:$A$780,AG12)),"")</f>
        <v/>
      </c>
      <c r="AK12" s="212" t="str">
        <f>IF(COUNTIF('Eval-Avec impact envisagé'!$A$761:$A$780,AG12)&gt;0,IF(SUM(IF('Eval-Avec impact envisagé'!$A$761=AG12,COUNTA('Eval-Avec impact envisagé'!$H$761),0),IF('Eval-Avec impact envisagé'!$A$762=AG12,COUNTA('Eval-Avec impact envisagé'!$H$762),0),IF('Eval-Avec impact envisagé'!$A$763=AG12,COUNTA('Eval-Avec impact envisagé'!$H$763),0),IF('Eval-Avec impact envisagé'!$A$764=AG12,COUNTA('Eval-Avec impact envisagé'!$H$764),0),IF('Eval-Avec impact envisagé'!$A$765=AG12,COUNTA('Eval-Avec impact envisagé'!$H$765),0),IF('Eval-Avec impact envisagé'!$A$766=AG12,COUNTA('Eval-Avec impact envisagé'!$H$766),0),IF('Eval-Avec impact envisagé'!$A$767=AG12,COUNTA('Eval-Avec impact envisagé'!$H$767),0),IF('Eval-Avec impact envisagé'!$A$768=AG12,COUNTA('Eval-Avec impact envisagé'!$H$768),0),IF('Eval-Avec impact envisagé'!$A$769=AG12,COUNTA('Eval-Avec impact envisagé'!$H$769),0),IF('Eval-Avec impact envisagé'!$A$770=AG12,COUNTA('Eval-Avec impact envisagé'!$H$770),0),IF('Eval-Avec impact envisagé'!$A$771=AG12,COUNTA('Eval-Avec impact envisagé'!$H$771),0),IF('Eval-Avec impact envisagé'!$A$772=AG12,COUNTA('Eval-Avec impact envisagé'!$H$772),0),IF('Eval-Avec impact envisagé'!$A$773=AG12,COUNTA('Eval-Avec impact envisagé'!$H$773),0),IF('Eval-Avec impact envisagé'!$A$774=AG12,COUNTA('Eval-Avec impact envisagé'!$H$774),0),IF('Eval-Avec impact envisagé'!$A$775=AG12,COUNTA('Eval-Avec impact envisagé'!$H$775),0),IF('Eval-Avec impact envisagé'!$A$776=AG12,COUNTA('Eval-Avec impact envisagé'!$H$776),0),IF('Eval-Avec impact envisagé'!$A$777=AG12,COUNTA('Eval-Avec impact envisagé'!$H$777),0),IF('Eval-Avec impact envisagé'!$A$778=AG12,COUNTA('Eval-Avec impact envisagé'!$H$778),0),IF('Eval-Avec impact envisagé'!$A$779=AG12,COUNTA('Eval-Avec impact envisagé'!$H$779),0),IF('Eval-Avec impact envisagé'!$A$780=AG12,COUNTA('Eval-Avec impact envisagé'!$H$780),0))&gt;0,"X",0),"")</f>
        <v/>
      </c>
      <c r="AL12" s="213" t="str">
        <f>IF(COUNTIF('Eval-Avec impact envisagé'!$A$761:$A$780,AG12)&gt;0,IF(SUM(IF('Eval-Avec impact envisagé'!$A$761=AG12,COUNTA('Eval-Avec impact envisagé'!$I$761),0),IF('Eval-Avec impact envisagé'!$A$762=AG12,COUNTA('Eval-Avec impact envisagé'!$I$762),0),IF('Eval-Avec impact envisagé'!$A$763=AG12,COUNTA('Eval-Avec impact envisagé'!$I$763),0),IF('Eval-Avec impact envisagé'!$A$764=AG12,COUNTA('Eval-Avec impact envisagé'!$I$764),0),IF('Eval-Avec impact envisagé'!$A$765=AG12,COUNTA('Eval-Avec impact envisagé'!$I$765),0),IF('Eval-Avec impact envisagé'!$A$766=AG12,COUNTA('Eval-Avec impact envisagé'!$I$766),0),IF('Eval-Avec impact envisagé'!$A$767=AG12,COUNTA('Eval-Avec impact envisagé'!$I$767),0),IF('Eval-Avec impact envisagé'!$A$768=AG12,COUNTA('Eval-Avec impact envisagé'!$I$768),0),IF('Eval-Avec impact envisagé'!$A$769=AG12,COUNTA('Eval-Avec impact envisagé'!$I$769),0),IF('Eval-Avec impact envisagé'!$A$770=AG12,COUNTA('Eval-Avec impact envisagé'!$I$770),0),IF('Eval-Avec impact envisagé'!$A$771=AG12,COUNTA('Eval-Avec impact envisagé'!$I$771),0),IF('Eval-Avec impact envisagé'!$A$772=AG12,COUNTA('Eval-Avec impact envisagé'!$I$772),0),IF('Eval-Avec impact envisagé'!$A$773=AG12,COUNTA('Eval-Avec impact envisagé'!$I$773),0),IF('Eval-Avec impact envisagé'!$A$774=AG12,COUNTA('Eval-Avec impact envisagé'!$I$774),0),IF('Eval-Avec impact envisagé'!$A$775=AG12,COUNTA('Eval-Avec impact envisagé'!$I$775),0),IF('Eval-Avec impact envisagé'!$A$776=AG12,COUNTA('Eval-Avec impact envisagé'!$I$776),0),IF('Eval-Avec impact envisagé'!$A$777=AG12,COUNTA('Eval-Avec impact envisagé'!$I$777),0),IF('Eval-Avec impact envisagé'!$A$778=AG12,COUNTA('Eval-Avec impact envisagé'!$I$778),0),IF('Eval-Avec impact envisagé'!$A$779=AG12,COUNTA('Eval-Avec impact envisagé'!$I$779),0),IF('Eval-Avec impact envisagé'!$A$780=AG12,COUNTA('Eval-Avec impact envisagé'!$I$780),0))&gt;0,"X",0),"")</f>
        <v/>
      </c>
      <c r="AM12" s="213" t="str">
        <f>IF(COUNTIF('Eval-Avec impact envisagé'!$A$761:$A$780,AG12)&gt;0,IF(SUM(IF('Eval-Avec impact envisagé'!$A$761=AG12,COUNTA('Eval-Avec impact envisagé'!$J$761),0),IF('Eval-Avec impact envisagé'!$A$762=AG12,COUNTA('Eval-Avec impact envisagé'!$J$762),0),IF('Eval-Avec impact envisagé'!$A$763=AG12,COUNTA('Eval-Avec impact envisagé'!$J$763),0),IF('Eval-Avec impact envisagé'!$A$764=AG12,COUNTA('Eval-Avec impact envisagé'!$J$764),0),IF('Eval-Avec impact envisagé'!$A$765=AG12,COUNTA('Eval-Avec impact envisagé'!$J$765),0),IF('Eval-Avec impact envisagé'!$A$766=AG12,COUNTA('Eval-Avec impact envisagé'!$J$766),0),IF('Eval-Avec impact envisagé'!$A$767=AG12,COUNTA('Eval-Avec impact envisagé'!$J$767),0),IF('Eval-Avec impact envisagé'!$A$768=AG12,COUNTA('Eval-Avec impact envisagé'!$J$768),0),IF('Eval-Avec impact envisagé'!$A$769=AG12,COUNTA('Eval-Avec impact envisagé'!$J$769),0),IF('Eval-Avec impact envisagé'!$A$770=AG12,COUNTA('Eval-Avec impact envisagé'!$J$770),0),IF('Eval-Avec impact envisagé'!$A$771=AG12,COUNTA('Eval-Avec impact envisagé'!$J$771),0),IF('Eval-Avec impact envisagé'!$A$772=AG12,COUNTA('Eval-Avec impact envisagé'!$J$772),0),IF('Eval-Avec impact envisagé'!$A$773=AG12,COUNTA('Eval-Avec impact envisagé'!$J$773),0),IF('Eval-Avec impact envisagé'!$A$774=AG12,COUNTA('Eval-Avec impact envisagé'!$J$774),0),IF('Eval-Avec impact envisagé'!$A$775=AG12,COUNTA('Eval-Avec impact envisagé'!$J$775),0),IF('Eval-Avec impact envisagé'!$A$776=AG12,COUNTA('Eval-Avec impact envisagé'!$J$776),0),IF('Eval-Avec impact envisagé'!$A$777=AG12,COUNTA('Eval-Avec impact envisagé'!$J$777),0),IF('Eval-Avec impact envisagé'!$A$778=AG12,COUNTA('Eval-Avec impact envisagé'!$J$778),0),IF('Eval-Avec impact envisagé'!$A$779=AG12,COUNTA('Eval-Avec impact envisagé'!$J$779),0),IF('Eval-Avec impact envisagé'!$A$780=AG12,COUNTA('Eval-Avec impact envisagé'!$J$780),0))&gt;0,"X",0),"")</f>
        <v/>
      </c>
      <c r="AN12" s="213" t="str">
        <f>IF(COUNTIF('Eval-Avec impact envisagé'!$A$761:$A$780,AG12)&gt;0,IF(SUM(IF('Eval-Avec impact envisagé'!$A$761=AG12,COUNTA('Eval-Avec impact envisagé'!$K$761),0),IF('Eval-Avec impact envisagé'!$A$762=AG12,COUNTA('Eval-Avec impact envisagé'!$K$762),0),IF('Eval-Avec impact envisagé'!$A$763=AG12,COUNTA('Eval-Avec impact envisagé'!$K$763),0),IF('Eval-Avec impact envisagé'!$A$764=AG12,COUNTA('Eval-Avec impact envisagé'!$K$764),0),IF('Eval-Avec impact envisagé'!$A$765=AG12,COUNTA('Eval-Avec impact envisagé'!$K$765),0),IF('Eval-Avec impact envisagé'!$A$766=AG12,COUNTA('Eval-Avec impact envisagé'!$K$766),0),IF('Eval-Avec impact envisagé'!$A$767=AG12,COUNTA('Eval-Avec impact envisagé'!$K$767),0),IF('Eval-Avec impact envisagé'!$A$768=AG12,COUNTA('Eval-Avec impact envisagé'!$K$768),0),IF('Eval-Avec impact envisagé'!$A$769=AG12,COUNTA('Eval-Avec impact envisagé'!$K$769),0),IF('Eval-Avec impact envisagé'!$A$770=AG12,COUNTA('Eval-Avec impact envisagé'!$K$770),0),IF('Eval-Avec impact envisagé'!$A$771=AG12,COUNTA('Eval-Avec impact envisagé'!$K$771),0),IF('Eval-Avec impact envisagé'!$A$772=AG12,COUNTA('Eval-Avec impact envisagé'!$K$772),0),IF('Eval-Avec impact envisagé'!$A$773=AG12,COUNTA('Eval-Avec impact envisagé'!$K$773),0),IF('Eval-Avec impact envisagé'!$A$774=AG12,COUNTA('Eval-Avec impact envisagé'!$K$774),0),IF('Eval-Avec impact envisagé'!$A$775=AG12,COUNTA('Eval-Avec impact envisagé'!$K$775),0),IF('Eval-Avec impact envisagé'!$A$776=AG12,COUNTA('Eval-Avec impact envisagé'!$K$776),0),IF('Eval-Avec impact envisagé'!$A$777=AG12,COUNTA('Eval-Avec impact envisagé'!$K$777),0),IF('Eval-Avec impact envisagé'!$A$778=AG12,COUNTA('Eval-Avec impact envisagé'!$K$778),0),IF('Eval-Avec impact envisagé'!$A$779=AG12,COUNTA('Eval-Avec impact envisagé'!$K$779),0),IF('Eval-Avec impact envisagé'!$A$780=AG12,COUNTA('Eval-Avec impact envisagé'!$K$780),0))&gt;0,"X",0),"")</f>
        <v/>
      </c>
      <c r="AO12" s="211" t="str">
        <f>IF(COUNTIF('Eval-Avec impact envisagé'!$A$761:$A$780,AG12)&gt;0,IF(OR(AND('Eval-Avec impact envisagé'!$A$761=AG12,'Eval-Avec impact envisagé'!$L$761&lt;120,'Eval-Avec impact envisagé'!$L$761&gt;=BD9),AND('Eval-Avec impact envisagé'!$A$762=AG12,'Eval-Avec impact envisagé'!$L$762&lt;120,'Eval-Avec impact envisagé'!$L$762&gt;=BD10),AND('Eval-Avec impact envisagé'!$A$763=AG12,'Eval-Avec impact envisagé'!$L$763&lt;120,'Eval-Avec impact envisagé'!$L$763&gt;=BD11),AND('Eval-Avec impact envisagé'!$A$764=AG12,'Eval-Avec impact envisagé'!$L$764&lt;120,'Eval-Avec impact envisagé'!$L$764&gt;=BD12),AND('Eval-Avec impact envisagé'!$A$765=AG12,'Eval-Avec impact envisagé'!$L$765&lt;120,'Eval-Avec impact envisagé'!$L$765&gt;=BD13),AND('Eval-Avec impact envisagé'!$A$766=AG12,'Eval-Avec impact envisagé'!$L$766&lt;120,'Eval-Avec impact envisagé'!$L$766&gt;=BD14),AND('Eval-Avec impact envisagé'!$A$767=AG12,'Eval-Avec impact envisagé'!$L$767&lt;120,'Eval-Avec impact envisagé'!$L$767&gt;=BD15),AND('Eval-Avec impact envisagé'!$A$768=AG12,'Eval-Avec impact envisagé'!$L$768&lt;120,'Eval-Avec impact envisagé'!$L$768&gt;=BD16),AND('Eval-Avec impact envisagé'!$A$769=AG12,'Eval-Avec impact envisagé'!$L$769&lt;120,'Eval-Avec impact envisagé'!$L$769&gt;=BD17),AND('Eval-Avec impact envisagé'!$A$770=AG12,'Eval-Avec impact envisagé'!$L$770&lt;120,'Eval-Avec impact envisagé'!$L$770&gt;=BD18),AND('Eval-Avec impact envisagé'!$A$771=AG12,'Eval-Avec impact envisagé'!$L$771&lt;120,'Eval-Avec impact envisagé'!$L$771&gt;=BD19),AND('Eval-Avec impact envisagé'!$A$772=AG12,'Eval-Avec impact envisagé'!$L$772&lt;120,'Eval-Avec impact envisagé'!$L$772&gt;=BD20),AND('Eval-Avec impact envisagé'!$A$773=AG12,'Eval-Avec impact envisagé'!$L$773&lt;120,'Eval-Avec impact envisagé'!$L$773&gt;=BD21),AND('Eval-Avec impact envisagé'!$A$774=AG12,'Eval-Avec impact envisagé'!$L$774&lt;120,'Eval-Avec impact envisagé'!$L$774&gt;=BD22),AND('Eval-Avec impact envisagé'!$A$775=AG12,'Eval-Avec impact envisagé'!$L$775&lt;120,'Eval-Avec impact envisagé'!$L$775&gt;=BD23),AND('Eval-Avec impact envisagé'!$A$776=AG12,'Eval-Avec impact envisagé'!$L$776&lt;120,'Eval-Avec impact envisagé'!$L$776&gt;=BD24),AND('Eval-Avec impact envisagé'!$A$777=AG12,'Eval-Avec impact envisagé'!$L$777&lt;120,'Eval-Avec impact envisagé'!$L$777&gt;=BD25),AND('Eval-Avec impact envisagé'!$A$778=AG12,'Eval-Avec impact envisagé'!$L$778&lt;120,'Eval-Avec impact envisagé'!$L$778&gt;=BD26),AND('Eval-Avec impact envisagé'!$A$779=AG12,'Eval-Avec impact envisagé'!$L$779&lt;120,'Eval-Avec impact envisagé'!$L$779&gt;=BD27),AND('Eval-Avec impact envisagé'!$A$780=AG12,'Eval-Avec impact envisagé'!$L$780&lt;120,'Eval-Avec impact envisagé'!$L$780&gt;=BD28)),"",SUM(IF('Eval-Avec impact envisagé'!$A$761=AG12,'Eval-Avec impact envisagé'!$L$761,0),IF('Eval-Avec impact envisagé'!$A$762=AG12,'Eval-Avec impact envisagé'!$L$762,0),IF('Eval-Avec impact envisagé'!$A$763=AG12,'Eval-Avec impact envisagé'!$L$763,0),IF('Eval-Avec impact envisagé'!$A$764=AG12,'Eval-Avec impact envisagé'!$L$764,0),IF('Eval-Avec impact envisagé'!$A$765=AG12,'Eval-Avec impact envisagé'!$L$765,0),IF('Eval-Avec impact envisagé'!$A$766=AG12,'Eval-Avec impact envisagé'!$L$766,0),IF('Eval-Avec impact envisagé'!$A$767=AG12,'Eval-Avec impact envisagé'!$L$767,0),IF('Eval-Avec impact envisagé'!$A$768=AG12,'Eval-Avec impact envisagé'!$L$768,0),IF('Eval-Avec impact envisagé'!$A$769=AG12,'Eval-Avec impact envisagé'!$L$769,0),IF('Eval-Avec impact envisagé'!$A$770=AG12,'Eval-Avec impact envisagé'!$L$770,0),IF('Eval-Avec impact envisagé'!$A$771=AG12,'Eval-Avec impact envisagé'!$L$771,0),IF('Eval-Avec impact envisagé'!$A$772=AG12,'Eval-Avec impact envisagé'!$L$772,0),IF('Eval-Avec impact envisagé'!$A$773=AG12,'Eval-Avec impact envisagé'!$L$773,0),IF('Eval-Avec impact envisagé'!$A$774=AG12,'Eval-Avec impact envisagé'!$L$774,0),IF('Eval-Avec impact envisagé'!$A$775=AG12,'Eval-Avec impact envisagé'!$L$775,0),IF('Eval-Avec impact envisagé'!$A$776=AG12,'Eval-Avec impact envisagé'!$L$776,0),IF('Eval-Avec impact envisagé'!$A$777=AG12,'Eval-Avec impact envisagé'!$L$777,0),IF('Eval-Avec impact envisagé'!$A$778=AG12,'Eval-Avec impact envisagé'!$L$778,0),IF('Eval-Avec impact envisagé'!$A$779=AG12,'Eval-Avec impact envisagé'!$L$779,0),IF('Eval-Avec impact envisagé'!$A$780=AG12,'Eval-Avec impact envisagé'!$L$780,0))/ COUNTIF('Eval-Avec impact envisagé'!$A$761:$A$780,AG12)),"")</f>
        <v/>
      </c>
      <c r="AP12" s="211" t="str">
        <f>IF(COUNTIF('Eval-Avec impact envisagé'!$A$761:$A$780,AG12)&gt;0,IF(OR(AND('Eval-Avec impact envisagé'!$A$761=AG12, BD9&lt;120),AND(BD10&lt;120),AND(BD11&lt;120),AND(BD12&lt;120),AND(BD13&lt;120),AND(BD14&lt;120),AND(BD15&lt;120),AND(BD16&lt;120),AND(BD17&lt;120),AND(BD18&lt;120),AND(BD19&lt;120),AND(BD20&lt;120),AND(BD21&lt;120),AND(BD22&lt;120),AND(BD23&lt;120),AND(BD24&lt;120),AND(BD25&lt;120),AND(BD26&lt;120),AND(BD27&lt;120),AND(BD28&lt;120)),"",SUM(IF('Eval-Avec impact envisagé'!$A$761=AG12,'Eval-Avec impact envisagé'!$M$761,0),IF('Eval-Avec impact envisagé'!$A$762=AG12,'Eval-Avec impact envisagé'!$M$762,0),IF('Eval-Avec impact envisagé'!$A$763=AG12,'Eval-Avec impact envisagé'!$M$763,0),IF('Eval-Avec impact envisagé'!$A$764=AG12,'Eval-Avec impact envisagé'!$M$764,0),IF('Eval-Avec impact envisagé'!$A$765=AG12,'Eval-Avec impact envisagé'!$M$765,0),IF('Eval-Avec impact envisagé'!$A$766=AG12,'Eval-Avec impact envisagé'!$M$766,0),IF('Eval-Avec impact envisagé'!$A$767=AG12,'Eval-Avec impact envisagé'!$M$767,0),IF('Eval-Avec impact envisagé'!$A$768=AG12,'Eval-Avec impact envisagé'!$M$768,0),IF('Eval-Avec impact envisagé'!$A$769=AG12,'Eval-Avec impact envisagé'!$M$769,0),IF('Eval-Avec impact envisagé'!$A$770=AG12,'Eval-Avec impact envisagé'!$M$770,0),IF('Eval-Avec impact envisagé'!$A$771=AG12,'Eval-Avec impact envisagé'!$M$771,0),IF('Eval-Avec impact envisagé'!$A$772=AG12,'Eval-Avec impact envisagé'!$M$772,0),IF('Eval-Avec impact envisagé'!$A$773=AG12,'Eval-Avec impact envisagé'!$M$773,0),IF('Eval-Avec impact envisagé'!$A$774=AG12,'Eval-Avec impact envisagé'!$M$774,0),IF('Eval-Avec impact envisagé'!$A$775=AG12,'Eval-Avec impact envisagé'!$M$775,0), IF('Eval-Avec impact envisagé'!$A$776=AG12,'Eval-Avec impact envisagé'!$M$776,0), IF('Eval-Avec impact envisagé'!$A$777=AG12,'Eval-Avec impact envisagé'!$M$777,0), IF('Eval-Avec impact envisagé'!$A$778=AG12,'Eval-Avec impact envisagé'!$M$778,0), IF('Eval-Avec impact envisagé'!$A$779=AG12,'Eval-Avec impact envisagé'!$M$779,0), IF('Eval-Avec impact envisagé'!$A$780=AG12,'Eval-Avec impact envisagé'!$M$780,0))/COUNTIF('Eval-Avec impact envisagé'!$A$761:$A$780,AG12)),"")</f>
        <v/>
      </c>
      <c r="AQ12" s="211" t="str">
        <f>IF(COUNTIF('Eval-Avec impact envisagé'!$A$761:$A$780,AG12)&gt;0,SUM(IF('Eval-Avec impact envisagé'!$A$761=AG12,LEN(SUBSTITUTE((SUBSTITUTE(BF9,"TM","")),"TS",""))*10/2,0),IF('Eval-Avec impact envisagé'!$A$762=AG12,LEN(SUBSTITUTE((SUBSTITUTE(BF10,"TM","")),"TS",""))*10/2,0),IF('Eval-Avec impact envisagé'!$A$763=AG12,LEN(SUBSTITUTE((SUBSTITUTE(BF11,"TM","")),"TS",""))*10/2,0),IF('Eval-Avec impact envisagé'!$A$764=AG12,LEN(SUBSTITUTE((SUBSTITUTE(BF12,"TM","")),"TS",""))*10/2,0),IF('Eval-Avec impact envisagé'!$A$765=AG12,LEN(SUBSTITUTE((SUBSTITUTE(BF13,"TM","")),"TS",""))*10/2,0),IF('Eval-Avec impact envisagé'!$A$766=AG12,LEN(SUBSTITUTE((SUBSTITUTE(BF14,"TM","")),"TS",""))*10/2,0),IF('Eval-Avec impact envisagé'!$A$767=AG12,LEN(SUBSTITUTE((SUBSTITUTE(BF15,"TM","")),"TS",""))*10/2,0),IF('Eval-Avec impact envisagé'!$A$768=AG12,LEN(SUBSTITUTE((SUBSTITUTE(BF16,"TM","")),"TS",""))*10/2,0),IF('Eval-Avec impact envisagé'!$A$769=AG12,LEN(SUBSTITUTE((SUBSTITUTE(BF17,"TM","")),"TS",""))*10/2,0),IF('Eval-Avec impact envisagé'!$A$770=AG12,LEN(SUBSTITUTE((SUBSTITUTE(BF18,"TM","")),"TS",""))*10/2,0),IF('Eval-Avec impact envisagé'!$A$771=AG12,LEN(SUBSTITUTE((SUBSTITUTE(BF19,"TM","")),"TS",""))*10/2,0),IF('Eval-Avec impact envisagé'!$A$772=AG12,LEN(SUBSTITUTE((SUBSTITUTE(BF20,"TM","")),"TS",""))*10/2,0),IF('Eval-Avec impact envisagé'!$A$773=AG12,LEN(SUBSTITUTE((SUBSTITUTE(BF21,"TM","")),"TS",""))*10/2,0),IF('Eval-Avec impact envisagé'!$A$774=AG12,LEN(SUBSTITUTE((SUBSTITUTE(BF22,"TM","")),"TS",""))*10/2,0),IF('Eval-Avec impact envisagé'!$A$775=AG12,LEN(SUBSTITUTE((SUBSTITUTE(BF23,"TM","")),"TS",""))*10/2,0),IF('Eval-Avec impact envisagé'!$A$776=AG12,LEN(SUBSTITUTE((SUBSTITUTE(BF24,"TM","")),"TS",""))*10/2,0),IF('Eval-Avec impact envisagé'!$A$777=AG12,LEN(SUBSTITUTE((SUBSTITUTE(BF25,"TM","")),"TS",""))*10/2,0),IF('Eval-Avec impact envisagé'!$A$778=AG12,LEN(SUBSTITUTE((SUBSTITUTE(BF26,"TM","")),"TS",""))*10/2,0),IF('Eval-Avec impact envisagé'!$A$779=AG12,LEN(SUBSTITUTE((SUBSTITUTE(BF27,"TM","")),"TS",""))*10/2,0),IF('Eval-Avec impact envisagé'!$A$780=AG12,LEN(SUBSTITUTE((SUBSTITUTE(BF28,"TM","")),"TS",""))*10/2,0))/COUNTIF('Eval-Avec impact envisagé'!$A$761:$A$780,AG12),"")</f>
        <v/>
      </c>
      <c r="AR12" s="211" t="str">
        <f>IF(COUNTIF('Eval-Avec impact envisagé'!$A$761:$A$780,AG12)&gt;0,SUM(IF('Eval-Avec impact envisagé'!$A$761=AG12,LEN(SUBSTITUTE((SUBSTITUTE(BF9,"TF","")),"TS",""))*10/2,0),IF('Eval-Avec impact envisagé'!$A$762=AG12,LEN(SUBSTITUTE((SUBSTITUTE(BF10,"TF","")),"TS",""))*10/2,0),IF('Eval-Avec impact envisagé'!$A$763=AG12,LEN(SUBSTITUTE((SUBSTITUTE(BF11,"TF","")),"TS",""))*10/2,0),IF('Eval-Avec impact envisagé'!$A$764=AG12,LEN(SUBSTITUTE((SUBSTITUTE(BF12,"TF","")),"TS",""))*10/2,0),IF('Eval-Avec impact envisagé'!$A$765=AG12,LEN(SUBSTITUTE((SUBSTITUTE(BF13,"TF","")),"TS",""))*10/2,0),IF('Eval-Avec impact envisagé'!$A$766=AG12,LEN(SUBSTITUTE((SUBSTITUTE(BF14,"TF","")),"TS",""))*10/2,0),IF('Eval-Avec impact envisagé'!$A$767=AG12,LEN(SUBSTITUTE((SUBSTITUTE(BF15,"TF","")),"TS",""))*10/2,0),IF('Eval-Avec impact envisagé'!$A$768=AG12,LEN(SUBSTITUTE((SUBSTITUTE(BF16,"TF","")),"TS",""))*10/2,0),IF('Eval-Avec impact envisagé'!$A$769=AG12,LEN(SUBSTITUTE((SUBSTITUTE(BF17,"TF","")),"TS",""))*10/2,0),IF('Eval-Avec impact envisagé'!$A$770=AG12,LEN(SUBSTITUTE((SUBSTITUTE(BF18,"TF","")),"TS",""))*10/2,0),IF('Eval-Avec impact envisagé'!$A$771=AG12,LEN(SUBSTITUTE((SUBSTITUTE(BF19,"TF","")),"TS",""))*10/2,0),IF('Eval-Avec impact envisagé'!$A$772=AG12,LEN(SUBSTITUTE((SUBSTITUTE(BF20,"TF","")),"TS",""))*10/2,0),IF('Eval-Avec impact envisagé'!$A$773=AG12,LEN(SUBSTITUTE((SUBSTITUTE(BF21,"TF","")),"TS",""))*10/2,0),IF('Eval-Avec impact envisagé'!$A$774=AG12,LEN(SUBSTITUTE((SUBSTITUTE(BF22,"TF","")),"TS",""))*10/2,0),IF('Eval-Avec impact envisagé'!$A$775=AG12,LEN(SUBSTITUTE((SUBSTITUTE(BF23,"TF","")),"TS",""))*10/2,0),IF('Eval-Avec impact envisagé'!$A$776=AG12,LEN(SUBSTITUTE((SUBSTITUTE(BF24,"TF","")),"TS",""))*10/2,0),IF('Eval-Avec impact envisagé'!$A$777=AG12,LEN(SUBSTITUTE((SUBSTITUTE(BF25,"TF","")),"TS",""))*10/2,0),IF('Eval-Avec impact envisagé'!$A$778=AG12,LEN(SUBSTITUTE((SUBSTITUTE(BF26,"TF","")),"TS",""))*10/2,0),IF('Eval-Avec impact envisagé'!$A$779=AG12,LEN(SUBSTITUTE((SUBSTITUTE(BF27,"TF","")),"TS",""))*10/2,0),IF('Eval-Avec impact envisagé'!$A$780=AG12,LEN(SUBSTITUTE((SUBSTITUTE(BF28,"TF","")),"TS",""))*10/2,0))/COUNTIF('Eval-Avec impact envisagé'!$A$761:$A$780,AG12),"")</f>
        <v/>
      </c>
      <c r="AS12" s="211" t="str">
        <f>IF(COUNTIF('Eval-Avec impact envisagé'!$A$761:$A$780,AG12)&gt;0,SUM(IF('Eval-Avec impact envisagé'!$A$761=AG12,LEN(SUBSTITUTE((SUBSTITUTE(BF9,"TF","")),"TM",""))*10/2,0),IF('Eval-Avec impact envisagé'!$A$762=AG12,LEN(SUBSTITUTE((SUBSTITUTE(BF10,"TF","")),"TM",""))*10/2,0),IF('Eval-Avec impact envisagé'!$A$763=AG12,LEN(SUBSTITUTE((SUBSTITUTE(BF11,"TF","")),"TM",""))*10/2,0),IF('Eval-Avec impact envisagé'!$A$764=AG12,LEN(SUBSTITUTE((SUBSTITUTE(BF12,"TF","")),"TM",""))*10/2,0),IF('Eval-Avec impact envisagé'!$A$765=AG12,LEN(SUBSTITUTE((SUBSTITUTE(BF13,"TF","")),"TM",""))*10/2,0),IF('Eval-Avec impact envisagé'!$A$766=AG12,LEN(SUBSTITUTE((SUBSTITUTE(BF14,"TF","")),"TM",""))*10/2,0),IF('Eval-Avec impact envisagé'!$A$767=AG12,LEN(SUBSTITUTE((SUBSTITUTE(BF15,"TF","")),"TM",""))*10/2,0),IF('Eval-Avec impact envisagé'!$A$768=AG12,LEN(SUBSTITUTE((SUBSTITUTE(BF16,"TF","")),"TM",""))*10/2,0),IF('Eval-Avec impact envisagé'!$A$769=AG12,LEN(SUBSTITUTE((SUBSTITUTE(BF17,"TF","")),"TM",""))*10/2,0),IF('Eval-Avec impact envisagé'!$A$770=AG12,LEN(SUBSTITUTE((SUBSTITUTE(BF18,"TF","")),"TM",""))*10/2,0),IF('Eval-Avec impact envisagé'!$A$771=AG12,LEN(SUBSTITUTE((SUBSTITUTE(BF19,"TF","")),"TM",""))*10/2,0),IF('Eval-Avec impact envisagé'!$A$772=AG12,LEN(SUBSTITUTE((SUBSTITUTE(BF20,"TF","")),"TM",""))*10/2,0),IF('Eval-Avec impact envisagé'!$A$773=AG12,LEN(SUBSTITUTE((SUBSTITUTE(BF21,"TF","")),"TM",""))*10/2,0),IF('Eval-Avec impact envisagé'!$A$774=AG12,LEN(SUBSTITUTE((SUBSTITUTE(BF22,"TF","")),"TM",""))*10/2,0),IF('Eval-Avec impact envisagé'!$A$775=AG12,LEN(SUBSTITUTE((SUBSTITUTE(BF23,"TF","")),"TM",""))*10/2,0),IF('Eval-Avec impact envisagé'!$A$776=AG12,LEN(SUBSTITUTE((SUBSTITUTE(BF24,"TF","")),"TM",""))*10/2,0),IF('Eval-Avec impact envisagé'!$A$777=AG12,LEN(SUBSTITUTE((SUBSTITUTE(BF25,"TF","")),"TM",""))*10/2,0),IF('Eval-Avec impact envisagé'!$A$778=AG12,LEN(SUBSTITUTE((SUBSTITUTE(BF26,"TF","")),"TM",""))*10/2,0),IF('Eval-Avec impact envisagé'!$A$779=AG12,LEN(SUBSTITUTE((SUBSTITUTE(BF27,"TF","")),"TM",""))*10/2,0),IF('Eval-Avec impact envisagé'!$A$780=AG12,LEN(SUBSTITUTE((SUBSTITUTE(BF28,"TF","")),"TM",""))*10/2,0))/COUNTIF('Eval-Avec impact envisagé'!$A$761:$A$780,AG12),"")</f>
        <v/>
      </c>
      <c r="AT12" s="211" t="str">
        <f>IF(COUNTIF('Eval-Avec impact envisagé'!$A$761:$A$780,AG12)&gt;0,SUM(IF('Eval-Avec impact envisagé'!$A$761=AG12,LEN(SUBSTITUTE((SUBSTITUTE(BG9,"TM","")),"TS",""))*10/2,0),IF('Eval-Avec impact envisagé'!$A$762=AG12,LEN(SUBSTITUTE((SUBSTITUTE(BG10,"TM","")),"TS",""))*10/2,0),IF('Eval-Avec impact envisagé'!$A$763=AG12,LEN(SUBSTITUTE((SUBSTITUTE(BG11,"TM","")),"TS",""))*10/2,0),IF('Eval-Avec impact envisagé'!$A$764=AG12,LEN(SUBSTITUTE((SUBSTITUTE(BG12,"TM","")),"TS",""))*10/2,0),IF('Eval-Avec impact envisagé'!$A$765=AG12,LEN(SUBSTITUTE((SUBSTITUTE(BG13,"TM","")),"TS",""))*10/2,0),IF('Eval-Avec impact envisagé'!$A$766=AG12,LEN(SUBSTITUTE((SUBSTITUTE(BG14,"TM","")),"TS",""))*10/2,0),IF('Eval-Avec impact envisagé'!$A$767=AG12,LEN(SUBSTITUTE((SUBSTITUTE(BG15,"TM","")),"TS",""))*10/2,0),IF('Eval-Avec impact envisagé'!$A$768=AG12,LEN(SUBSTITUTE((SUBSTITUTE(BG16,"TM","")),"TS",""))*10/2,0),IF('Eval-Avec impact envisagé'!$A$769=AG12,LEN(SUBSTITUTE((SUBSTITUTE(BG17,"TM","")),"TS",""))*10/2,0),IF('Eval-Avec impact envisagé'!$A$770=AG12,LEN(SUBSTITUTE((SUBSTITUTE(BG18,"TM","")),"TS",""))*10/2,0),IF('Eval-Avec impact envisagé'!$A$771=AG12,LEN(SUBSTITUTE((SUBSTITUTE(BG19,"TM","")),"TS",""))*10/2,0),IF('Eval-Avec impact envisagé'!$A$772=AG12,LEN(SUBSTITUTE((SUBSTITUTE(BG20,"TM","")),"TS",""))*10/2,0),IF('Eval-Avec impact envisagé'!$A$773=AG12,LEN(SUBSTITUTE((SUBSTITUTE(BG21,"TM","")),"TS",""))*10/2,0),IF('Eval-Avec impact envisagé'!$A$774=AG12,LEN(SUBSTITUTE((SUBSTITUTE(BG22,"TM","")),"TS",""))*10/2,0),IF('Eval-Avec impact envisagé'!$A$775=AG12,LEN(SUBSTITUTE((SUBSTITUTE(BG23,"TM","")),"TS",""))*10/2,0),IF('Eval-Avec impact envisagé'!$A$776=AG12,LEN(SUBSTITUTE((SUBSTITUTE(BG24,"TM","")),"TS",""))*10/2,0),IF('Eval-Avec impact envisagé'!$A$777=AG12,LEN(SUBSTITUTE((SUBSTITUTE(BG25,"TM","")),"TS",""))*10/2,0),IF('Eval-Avec impact envisagé'!$A$778=AG12,LEN(SUBSTITUTE((SUBSTITUTE(BG26,"TM","")),"TS",""))*10/2,0),IF('Eval-Avec impact envisagé'!$A$779=AG12,LEN(SUBSTITUTE((SUBSTITUTE(BG27,"TM","")),"TS",""))*10/2,0),IF('Eval-Avec impact envisagé'!$A$780=AG12,LEN(SUBSTITUTE((SUBSTITUTE(BG28,"TM","")),"TS",""))*10/2,0))/COUNTIF('Eval-Avec impact envisagé'!$A$761:$A$780,AG12),"")</f>
        <v/>
      </c>
      <c r="AU12" s="211" t="str">
        <f>IF(COUNTIF('Eval-Avec impact envisagé'!$A$761:$A$780,AG12)&gt;0,SUM(IF('Eval-Avec impact envisagé'!$A$761=AG12,LEN(SUBSTITUTE((SUBSTITUTE(BG9,"TF","")),"TS",""))*10/2,0),IF('Eval-Avec impact envisagé'!$A$762=AG12,LEN(SUBSTITUTE((SUBSTITUTE(BG10,"TF","")),"TS",""))*10/2,0),IF('Eval-Avec impact envisagé'!$A$763=AG12,LEN(SUBSTITUTE((SUBSTITUTE(BG11,"TF","")),"TS",""))*10/2,0),IF('Eval-Avec impact envisagé'!$A$764=AG12,LEN(SUBSTITUTE((SUBSTITUTE(BG12,"TF","")),"TS",""))*10/2,0),IF('Eval-Avec impact envisagé'!$A$765=AG12,LEN(SUBSTITUTE((SUBSTITUTE(BG13,"TF","")),"TS",""))*10/2,0),IF('Eval-Avec impact envisagé'!$A$766=AG12,LEN(SUBSTITUTE((SUBSTITUTE(BG14,"TF","")),"TS",""))*10/2,0),IF('Eval-Avec impact envisagé'!$A$767=AG12,LEN(SUBSTITUTE((SUBSTITUTE(BG15,"TF","")),"TS",""))*10/2,0),IF('Eval-Avec impact envisagé'!$A$768=AG12,LEN(SUBSTITUTE((SUBSTITUTE(BG16,"TF","")),"TS",""))*10/2,0),IF('Eval-Avec impact envisagé'!$A$769=AG12,LEN(SUBSTITUTE((SUBSTITUTE(BG17,"TF","")),"TS",""))*10/2,0),IF('Eval-Avec impact envisagé'!$A$770=AG12,LEN(SUBSTITUTE((SUBSTITUTE(BG18,"TF","")),"TS",""))*10/2,0),IF('Eval-Avec impact envisagé'!$A$771=AG12,LEN(SUBSTITUTE((SUBSTITUTE(BG19,"TF","")),"TS",""))*10/2,0),IF('Eval-Avec impact envisagé'!$A$772=AG12,LEN(SUBSTITUTE((SUBSTITUTE(BG20,"TF","")),"TS",""))*10/2,0),IF('Eval-Avec impact envisagé'!$A$773=AG12,LEN(SUBSTITUTE((SUBSTITUTE(BG21,"TF","")),"TS",""))*10/2,0),IF('Eval-Avec impact envisagé'!$A$774=AG12,LEN(SUBSTITUTE((SUBSTITUTE(BG22,"TF","")),"TS",""))*10/2,0),IF('Eval-Avec impact envisagé'!$A$775=AG12,LEN(SUBSTITUTE((SUBSTITUTE(BG23,"TF","")),"TS",""))*10/2,0),IF('Eval-Avec impact envisagé'!$A$776=AG12,LEN(SUBSTITUTE((SUBSTITUTE(BG24,"TF","")),"TS",""))*10/2,0),IF('Eval-Avec impact envisagé'!$A$777=AG12,LEN(SUBSTITUTE((SUBSTITUTE(BG25,"TF","")),"TS",""))*10/2,0),IF('Eval-Avec impact envisagé'!$A$778=AG12,LEN(SUBSTITUTE((SUBSTITUTE(BG26,"TF","")),"TS",""))*10/2,0),IF('Eval-Avec impact envisagé'!$A$779=AG12,LEN(SUBSTITUTE((SUBSTITUTE(BG27,"TF","")),"TS",""))*10/2,0),IF('Eval-Avec impact envisagé'!$A$780=AG12,LEN(SUBSTITUTE((SUBSTITUTE(BG28,"TF","")),"TS",""))*10/2,0))/COUNTIF('Eval-Avec impact envisagé'!$A$761:$A$780,AG12),"")</f>
        <v/>
      </c>
      <c r="AV12" s="211" t="str">
        <f>IF(COUNTIF('Eval-Avec impact envisagé'!$A$761:$A$780,AG12)&gt;0,SUM(IF('Eval-Avec impact envisagé'!$A$761=AG12,LEN(SUBSTITUTE((SUBSTITUTE(BG9,"TF","")),"TM",""))*10/2,0),IF('Eval-Avec impact envisagé'!$A$762=AG12,LEN(SUBSTITUTE((SUBSTITUTE(BG10,"TF","")),"TM",""))*10/2,0),IF('Eval-Avec impact envisagé'!$A$763=AG12,LEN(SUBSTITUTE((SUBSTITUTE(BG11,"TF","")),"TM",""))*10/2,0),IF('Eval-Avec impact envisagé'!$A$764=AG12,LEN(SUBSTITUTE((SUBSTITUTE(BG12,"TF","")),"TM",""))*10/2,0),IF('Eval-Avec impact envisagé'!$A$765=AG12,LEN(SUBSTITUTE((SUBSTITUTE(BG13,"TF","")),"TM",""))*10/2,0),IF('Eval-Avec impact envisagé'!$A$766=AG12,LEN(SUBSTITUTE((SUBSTITUTE(BG14,"TF","")),"TM",""))*10/2,0),IF('Eval-Avec impact envisagé'!$A$767=AG12,LEN(SUBSTITUTE((SUBSTITUTE(BG15,"TF","")),"TM",""))*10/2,0),IF('Eval-Avec impact envisagé'!$A$768=AG12,LEN(SUBSTITUTE((SUBSTITUTE(BG16,"TF","")),"TM",""))*10/2,0),IF('Eval-Avec impact envisagé'!$A$769=AG12,LEN(SUBSTITUTE((SUBSTITUTE(BG17,"TF","")),"TM",""))*10/2,0),IF('Eval-Avec impact envisagé'!$A$770=AG12,LEN(SUBSTITUTE((SUBSTITUTE(BG18,"TF","")),"TM",""))*10/2,0),IF('Eval-Avec impact envisagé'!$A$771=AG12,LEN(SUBSTITUTE((SUBSTITUTE(BG19,"TF","")),"TM",""))*10/2,0),IF('Eval-Avec impact envisagé'!$A$772=AG12,LEN(SUBSTITUTE((SUBSTITUTE(BG20,"TF","")),"TM",""))*10/2,0),IF('Eval-Avec impact envisagé'!$A$773=AG12,LEN(SUBSTITUTE((SUBSTITUTE(BG21,"TF","")),"TM",""))*10/2,0),IF('Eval-Avec impact envisagé'!$A$774=AG12,LEN(SUBSTITUTE((SUBSTITUTE(BG22,"TF","")),"TM",""))*10/2,0),IF('Eval-Avec impact envisagé'!$A$775=AG12,LEN(SUBSTITUTE((SUBSTITUTE(BG23,"TF","")),"TM",""))*10/2,0),IF('Eval-Avec impact envisagé'!$A$776=AG12,LEN(SUBSTITUTE((SUBSTITUTE(BG24,"TF","")),"TM",""))*10/2,0),IF('Eval-Avec impact envisagé'!$A$777=AG12,LEN(SUBSTITUTE((SUBSTITUTE(BG25,"TF","")),"TM",""))*10/2,0),IF('Eval-Avec impact envisagé'!$A$778=AG12,LEN(SUBSTITUTE((SUBSTITUTE(BG26,"TF","")),"TM",""))*10/2,0),IF('Eval-Avec impact envisagé'!$A$779=AG12,LEN(SUBSTITUTE((SUBSTITUTE(BG27,"TF","")),"TM",""))*10/2,0),IF('Eval-Avec impact envisagé'!$A$780=AG12,LEN(SUBSTITUTE((SUBSTITUTE(BG28,"TF","")),"TM",""))*10/2,0))/COUNTIF('Eval-Avec impact envisagé'!$A$761:$A$780,AG12),"")</f>
        <v/>
      </c>
      <c r="AW12" s="211" t="str">
        <f>IF(COUNTIF('Eval-Avec impact envisagé'!$A$761:$A$780,AG12)&gt;0,IF(OR(AND('Eval-Avec impact envisagé'!$A$761=AG12,BD9&lt;30),AND('Eval-Avec impact envisagé'!$A$762=AG12,BD10&lt;30),AND('Eval-Avec impact envisagé'!$A$763=AG12,BD11&lt;30),AND('Eval-Avec impact envisagé'!$A$764=AG12,BD12&lt;30),AND('Eval-Avec impact envisagé'!$A$765=AG12,BD13&lt;30),AND('Eval-Avec impact envisagé'!$A$766=AG12,BD14&lt;30),AND('Eval-Avec impact envisagé'!$A$767=AG12,BD15&lt;30),AND('Eval-Avec impact envisagé'!$A$768=AG12,BD16&lt;30),AND('Eval-Avec impact envisagé'!$A$769=AG12,BD17&lt;30),AND('Eval-Avec impact envisagé'!$A$770=AG12,BD18&lt;30),AND('Eval-Avec impact envisagé'!$A$771=AG12,BD19&lt;30),AND('Eval-Avec impact envisagé'!$A$772=AG12,BD20&lt;30),AND('Eval-Avec impact envisagé'!$A$773=AG12,BD21&lt;30),AND('Eval-Avec impact envisagé'!$A$774=AG12,BD22&lt;30),AND('Eval-Avec impact envisagé'!$A$775=AG12,BD23&lt;30),AND('Eval-Avec impact envisagé'!$A$776=AG12,BD24&lt;30),AND('Eval-Avec impact envisagé'!$A$777=AG12,BD25&lt;30),AND('Eval-Avec impact envisagé'!$A$778=AG12,BD26&lt;30),AND('Eval-Avec impact envisagé'!$A$779=AG12,BD27&lt;30),AND('Eval-Avec impact envisagé'!$A$780=AG12,BD28&lt;30)),"",SUM(0.1*(SUMPRODUCT(('Eval-Avec impact envisagé'!$A$761:$A$780=AG12)*('Eval-Avec impact envisagé'!$N$761:$P$780="A"))+ SUMPRODUCT(('Eval-Avec impact envisagé'!$A$761:$A$780=AG12)*('Eval-Avec impact envisagé'!$N$761:$P$780="AL"))),0.7*(SUMPRODUCT(('Eval-Avec impact envisagé'!$A$761:$A$780=AG12)*('Eval-Avec impact envisagé'!$N$761:$P$780="TF"))+SUMPRODUCT(('Eval-Avec impact envisagé'!$A$761:$A$780=AG12)*('Eval-Avec impact envisagé'!$N$761:$P$780="TM"))+SUMPRODUCT(('Eval-Avec impact envisagé'!$A$761:$A$780=AG12)*('Eval-Avec impact envisagé'!$N$761:$P$780="TS"))),0.4*(SUMPRODUCT(('Eval-Avec impact envisagé'!$A$761:$A$780=AG12)*('Eval-Avec impact envisagé'!$N$761:$P$780="LA"))+SUMPRODUCT(('Eval-Avec impact envisagé'!$A$761:$A$780=AG12)*('Eval-Avec impact envisagé'!$N$761:$P$780="L"))+SUMPRODUCT(('Eval-Avec impact envisagé'!$A$761:$A$780=AG12)*('Eval-Avec impact envisagé'!$N$761:$P$780="LS"))),1*(SUMPRODUCT(('Eval-Avec impact envisagé'!$A$761:$A$780=AG12)*('Eval-Avec impact envisagé'!$N$761:$P$780="SL"))+ SUMPRODUCT(('Eval-Avec impact envisagé'!$A$761:$A$780=AG12)*('Eval-Avec impact envisagé'!$N$761:$P$780="S"))))/(3*COUNTIF('Eval-Avec impact envisagé'!$A$761:$A$780,AG12))),"")</f>
        <v/>
      </c>
      <c r="AX12" s="211" t="str">
        <f>IF(COUNTIF('Eval-Avec impact envisagé'!$A$761:$A$780,AG12)&gt;0,IF(OR(AND('Eval-Avec impact envisagé'!$A$761=AG12,BD9&lt;120),AND('Eval-Avec impact envisagé'!$A$762=AG12,BD10&lt;120),AND('Eval-Avec impact envisagé'!$A$763=AG12,BD11&lt;120),AND('Eval-Avec impact envisagé'!$A$764=AG12,BD12&lt;120),AND('Eval-Avec impact envisagé'!$A$765=AG12,BD13&lt;120),AND('Eval-Avec impact envisagé'!$A$766=AG12,BD14&lt;120),AND('Eval-Avec impact envisagé'!$A$767=AG12,BD15&lt;120),AND('Eval-Avec impact envisagé'!$A$768=AG12,BD16&lt;120),AND('Eval-Avec impact envisagé'!$A$769=AG12,BD17&lt;120),AND('Eval-Avec impact envisagé'!$A$770=AG12,BD18&lt;120),AND('Eval-Avec impact envisagé'!$A$771=AG12,BD19&lt;120),AND('Eval-Avec impact envisagé'!$A$772=AG12,BD20&lt;120),AND('Eval-Avec impact envisagé'!$A$773=AG12,BD21&lt;120),AND('Eval-Avec impact envisagé'!$A$774=AG12,BD22&lt;120),AND('Eval-Avec impact envisagé'!$A$775=AG12,BD23&lt;120),AND('Eval-Avec impact envisagé'!$A$776=AG12,BD24&lt;120),AND('Eval-Avec impact envisagé'!$A$777=AG12,BD25&lt;120),AND('Eval-Avec impact envisagé'!$A$778=AG12,BD26&lt;120),AND('Eval-Avec impact envisagé'!$A$779=AG12,BD27&lt;120),AND('Eval-Avec impact envisagé'!$A$780=AG12,BD28&lt;120)),"",SUM(0.1*(SUMPRODUCT(('Eval-Avec impact envisagé'!$A$761:$A$780=AG12)*('Eval-Avec impact envisagé'!$Q$761:$Y$780="A"))+ SUMPRODUCT(('Eval-Avec impact envisagé'!$A$761:$A$780=AG12)*('Eval-Avec impact envisagé'!$Q$761:$Y$780="AL"))),0.7*(SUMPRODUCT(('Eval-Avec impact envisagé'!$A$761:$A$780=AG12)*('Eval-Avec impact envisagé'!$Q$761:$Y$780="TF"))+SUMPRODUCT(('Eval-Avec impact envisagé'!$A$761:$A$780=AG12)*('Eval-Avec impact envisagé'!$Q$761:$Y$780="TM"))+SUMPRODUCT(('Eval-Avec impact envisagé'!$A$761:$A$780=AG12)*('Eval-Avec impact envisagé'!$Q$761:$Y$780="TS"))),0.4*(SUMPRODUCT(('Eval-Avec impact envisagé'!$A$761:$A$780=AG12)*('Eval-Avec impact envisagé'!$Q$761:$Y$780="LA"))+SUMPRODUCT(('Eval-Avec impact envisagé'!$A$761:$A$780=AG12)*('Eval-Avec impact envisagé'!$Q$761:$Y$780="L"))+SUMPRODUCT(('Eval-Avec impact envisagé'!$A$761:$A$780=AG12)*('Eval-Avec impact envisagé'!$Q$761:$Y$780="LS"))),1*(SUMPRODUCT(('Eval-Avec impact envisagé'!$A$761:$A$780=AG12)*('Eval-Avec impact envisagé'!$Q$761:$Y$780="SL"))+ SUMPRODUCT(('Eval-Avec impact envisagé'!$A$761:$A$780=AG12)*('Eval-Avec impact envisagé'!$Q$761:$Y$780="S"))))/(9*COUNTIF('Eval-Avec impact envisagé'!$A$761:$A$780,AG12))),"")</f>
        <v/>
      </c>
      <c r="AY12" s="211" t="str">
        <f>IF(COUNTIF('Eval-Avec impact envisagé'!$A$761:$A$780,AG12)&gt;0,IF(OR(AND('Eval-Avec impact envisagé'!$A$761=AG12,OR(COUNTIF('Eval-Avec impact envisagé'!$N$761:$P$761,"*T*")&gt;0,BD9&lt;30)),AND('Eval-Avec impact envisagé'!$A$762=AG12,OR(COUNTIF('Eval-Avec impact envisagé'!$N$762:$P$762,"*T*")&gt;0,BD10&lt;30)),AND('Eval-Avec impact envisagé'!$A$763=AG12,OR(COUNTIF('Eval-Avec impact envisagé'!$N$763:$P$763,"*T*")&gt;0,BD11&lt;30)),AND('Eval-Avec impact envisagé'!$A$764=AG12,OR(COUNTIF('Eval-Avec impact envisagé'!$N$764:$P$764,"*T*")&gt;0,BD12&lt;30)),AND('Eval-Avec impact envisagé'!$A$765=AG12,OR(COUNTIF('Eval-Avec impact envisagé'!$N$765:$P$765,"*T*")&gt;0,BD13&lt;30)),AND('Eval-Avec impact envisagé'!$A$766=AG12,OR(COUNTIF('Eval-Avec impact envisagé'!$N$766:$P$766,"*T*")&gt;0,BD14&lt;30)),AND('Eval-Avec impact envisagé'!$A$767=AG12,OR(COUNTIF('Eval-Avec impact envisagé'!$N$767:$P$767,"*T*")&gt;0,BD15&lt;30)),AND('Eval-Avec impact envisagé'!$A$768=AG12,OR(COUNTIF('Eval-Avec impact envisagé'!$N$768:$P$768,"*T*")&gt;0,BD16&lt;30)),AND('Eval-Avec impact envisagé'!$A$769=AG12,OR(COUNTIF('Eval-Avec impact envisagé'!$N$769:$P$769,"*T*")&gt;0,BD17&lt;30)),AND('Eval-Avec impact envisagé'!$A$770=AG12,OR(COUNTIF('Eval-Avec impact envisagé'!$N$770:$P$770,"*T*")&gt;0,BD18&lt;30)),AND('Eval-Avec impact envisagé'!$A$771=AG12,OR(COUNTIF('Eval-Avec impact envisagé'!$N$771:$P$771,"*T*")&gt;0,BD19&lt;30)),AND('Eval-Avec impact envisagé'!$A$772=AG12,OR(COUNTIF('Eval-Avec impact envisagé'!$N$772:$P$772,"*T*")&gt;0,BD20&lt;30)),AND('Eval-Avec impact envisagé'!$A$773=AG12,OR(COUNTIF('Eval-Avec impact envisagé'!$N$773:$P$773,"*T*")&gt;0,BD21&lt;30)),AND('Eval-Avec impact envisagé'!$A$774=AG12,OR(COUNTIF('Eval-Avec impact envisagé'!$N$774:$P$774,"*T*")&gt;0,BD22&lt;30)),AND('Eval-Avec impact envisagé'!$A$775=AG12,OR(COUNTIF('Eval-Avec impact envisagé'!$N$775:$P$775,"*T*")&gt;0,BD23&lt;30)),AND('Eval-Avec impact envisagé'!$A$776=AG12,OR(COUNTIF('Eval-Avec impact envisagé'!$N$776:$P$776,"*T*")&gt;0,BD24&lt;30)),AND('Eval-Avec impact envisagé'!$A$777=AG12,OR(COUNTIF('Eval-Avec impact envisagé'!$N$777:$P$777,"*T*")&gt;0,BD25&lt;30)),AND('Eval-Avec impact envisagé'!$A$778=AG12,OR(COUNTIF('Eval-Avec impact envisagé'!$N$778:$P$778,"*T*")&gt;0,BD26&lt;30)),AND('Eval-Avec impact envisagé'!$A$779=AG12,OR(COUNTIF('Eval-Avec impact envisagé'!$N$779:$P$779,"*T*")&gt;0,BD27&lt;30)),AND('Eval-Avec impact envisagé'!$A$780=AG12,OR(COUNTIF('Eval-Avec impact envisagé'!$N$780:$P$780,"*T*")&gt;0,BD28&lt;30))),"",SUM(0.1*(SUMPRODUCT(('Eval-Avec impact envisagé'!$A$761:$A$780=AG12)*('Eval-Avec impact envisagé'!$N$761:$P$780="L"))),0.4*(SUMPRODUCT(('Eval-Avec impact envisagé'!$A$761:$A$780=AG12)*('Eval-Avec impact envisagé'!$N$761:$P$780="LA"))+SUMPRODUCT(('Eval-Avec impact envisagé'!$A$761:$A$780=AG12)*('Eval-Avec impact envisagé'!$N$761:$P$780="LS"))),0.7*(SUMPRODUCT(('Eval-Avec impact envisagé'!$A$761:$A$780=AG12)*('Eval-Avec impact envisagé'!$N$761:$P$780="AL"))+SUMPRODUCT(('Eval-Avec impact envisagé'!$A$761:$A$780=AG12)*('Eval-Avec impact envisagé'!$N$761:$P$780="SL"))),1*(SUMPRODUCT(('Eval-Avec impact envisagé'!$A$761:$A$780=AG12)*('Eval-Avec impact envisagé'!$N$761:$P$780="S"))+ SUMPRODUCT(('Eval-Avec impact envisagé'!$A$761:$A$780=AG12)*('Eval-Avec impact envisagé'!$N$761:$P$780="A"))))/(3*COUNTIF('Eval-Avec impact envisagé'!$A$761:$A$780,AG12))),"")</f>
        <v/>
      </c>
      <c r="AZ12" s="211" t="str">
        <f>IF(COUNTIF('Eval-Avec impact envisagé'!$A$761:$A$780,AG12)&gt;0,IF(OR(AND('Eval-Avec impact envisagé'!$A$761=AG12,OR(COUNTIF('Eval-Avec impact envisagé'!$N$761:$P$761,"*T*")&gt;0,BD9&lt;30)),AND('Eval-Avec impact envisagé'!$A$762=AG12,OR(COUNTIF('Eval-Avec impact envisagé'!$N$762:$P$762,"*T*")&gt;0,BD10&lt;30)),AND('Eval-Avec impact envisagé'!$A$763=AG12,OR(COUNTIF('Eval-Avec impact envisagé'!$N$763:$P$763,"*T*")&gt;0,BD11&lt;30)),AND('Eval-Avec impact envisagé'!$A$764=AG12,OR(COUNTIF('Eval-Avec impact envisagé'!$N$764:$P$764,"*T*")&gt;0,BD12&lt;30)),AND('Eval-Avec impact envisagé'!$A$765=AG12,OR(COUNTIF('Eval-Avec impact envisagé'!$N$765:$P$765,"*T*")&gt;0,BD13&lt;30)),AND('Eval-Avec impact envisagé'!$A$766=AG12,OR(COUNTIF('Eval-Avec impact envisagé'!$N$766:$P$766,"*T*")&gt;0,BD14&lt;30)),AND('Eval-Avec impact envisagé'!$A$767=AG12,OR(COUNTIF('Eval-Avec impact envisagé'!$N$767:$P$767,"*T*")&gt;0,BD15&lt;30)),AND('Eval-Avec impact envisagé'!$A$768=AG12,OR(COUNTIF('Eval-Avec impact envisagé'!$N$768:$P$768,"*T*")&gt;0,BD16&lt;30)),AND('Eval-Avec impact envisagé'!$A$769=AG12,OR(COUNTIF('Eval-Avec impact envisagé'!$N$769:$P$769,"*T*")&gt;0,BD17&lt;30)),AND('Eval-Avec impact envisagé'!$A$770=AG12,OR(COUNTIF('Eval-Avec impact envisagé'!$N$770:$P$770,"*T*")&gt;0,BD18&lt;30)),AND('Eval-Avec impact envisagé'!$A$771=AG12,OR(COUNTIF('Eval-Avec impact envisagé'!$N$771:$P$771,"*T*")&gt;0,BD19&lt;30)),AND('Eval-Avec impact envisagé'!$A$772=AG12,OR(COUNTIF('Eval-Avec impact envisagé'!$N$772:$P$772,"*T*")&gt;0,BD20&lt;30)),AND('Eval-Avec impact envisagé'!$A$773=AG12,OR(COUNTIF('Eval-Avec impact envisagé'!$N$773:$P$773,"*T*")&gt;0,BD21&lt;30)),AND('Eval-Avec impact envisagé'!$A$774=AG12,OR(COUNTIF('Eval-Avec impact envisagé'!$N$774:$P$774,"*T*")&gt;0,BD22&lt;30)),AND('Eval-Avec impact envisagé'!$A$775=AG12,OR(COUNTIF('Eval-Avec impact envisagé'!$N$775:$P$775,"*T*")&gt;0,BD23&lt;30)),AND('Eval-Avec impact envisagé'!$A$776=AG12,OR(COUNTIF('Eval-Avec impact envisagé'!$N$776:$P$776,"*T*")&gt;0,BD24&lt;30)),AND('Eval-Avec impact envisagé'!$A$777=AG12,OR(COUNTIF('Eval-Avec impact envisagé'!$N$777:$P$777,"*T*")&gt;0,BD25&lt;30)),AND('Eval-Avec impact envisagé'!$A$778=AG12,OR(COUNTIF('Eval-Avec impact envisagé'!$N$778:$P$778,"*T*")&gt;0,BD26&lt;30)),AND('Eval-Avec impact envisagé'!$A$779=AG12,OR(COUNTIF('Eval-Avec impact envisagé'!$N$779:$P$779,"*T*")&gt;0,BD27&lt;30)),AND('Eval-Avec impact envisagé'!$A$780=AG12,OR(COUNTIF('Eval-Avec impact envisagé'!$N$780:$P$780,"*T*")&gt;0,BD28&lt;30))),"",SUM(1*(SUMPRODUCT(('Eval-Avec impact envisagé'!$A$761:$A$780=AG12)*('Eval-Avec impact envisagé'!$N$761:$P$780="A"))),0.85*(SUMPRODUCT(('Eval-Avec impact envisagé'!$A$761:$A$780=AG12)*('Eval-Avec impact envisagé'!$N$761:$P$780="AL"))),0.7*(SUMPRODUCT(('Eval-Avec impact envisagé'!$A$761:$A$780=AG12)*('Eval-Avec impact envisagé'!$N$761:$P$780="LA"))),0.55*(SUMPRODUCT(('Eval-Avec impact envisagé'!$A$761:$A$780=AG12)*('Eval-Avec impact envisagé'!$N$761:$P$780="L"))),0.4*(SUMPRODUCT(('Eval-Avec impact envisagé'!$A$761:$A$780=AG12)*('Eval-Avec impact envisagé'!$N$761:$P$780="LS"))),0.25*(SUMPRODUCT(('Eval-Avec impact envisagé'!$A$761:$A$780=AG12)*('Eval-Avec impact envisagé'!$N$761:$P$780="SL"))),0.1*(SUMPRODUCT(('Eval-Avec impact envisagé'!$A$761:$A$780=AG12)*('Eval-Avec impact envisagé'!$N$761:$P$780="S"))))/(3*COUNTIF('Eval-Avec impact envisagé'!$A$761:$A$780,AG12))),"")</f>
        <v/>
      </c>
      <c r="BA12" s="214" t="str">
        <f>IF(COUNTIF('Eval-Avec impact envisagé'!$A$761:$A$780,AG12)&gt;0,IF(OR(AND('Eval-Avec impact envisagé'!$A$761=AG12,OR(COUNTIF('Eval-Avec impact envisagé'!$Q$761:$Y$761,"*T*")&gt;0,BD9&lt;120)),AND('Eval-Avec impact envisagé'!$A$762=AG12,OR(COUNTIF('Eval-Avec impact envisagé'!$Q$762:$Y$762,"*T*")&gt;0,BD10&lt;120)),AND('Eval-Avec impact envisagé'!$A$763=AG12,OR(COUNTIF('Eval-Avec impact envisagé'!$Q$763:$Y$763,"*T*")&gt;0,BD11&lt;120)),AND('Eval-Avec impact envisagé'!$A$764=AG12,OR(COUNTIF('Eval-Avec impact envisagé'!$Q$764:$Y$764,"*T*")&gt;0,BD12&lt;120)),AND('Eval-Avec impact envisagé'!$A$765=AG12,OR(COUNTIF('Eval-Avec impact envisagé'!$Q$765:$Y$765,"*T*")&gt;0,BD13&lt;120)),AND('Eval-Avec impact envisagé'!$A$766=AG12,OR(COUNTIF('Eval-Avec impact envisagé'!$Q$766:$Y$766,"*T*")&gt;0,BD14&lt;120)),AND('Eval-Avec impact envisagé'!$A$767=AG12,OR(COUNTIF('Eval-Avec impact envisagé'!$Q$767:$Y$767,"*T*")&gt;0,BD15&lt;120)),AND('Eval-Avec impact envisagé'!$A$768=AG12,OR(COUNTIF('Eval-Avec impact envisagé'!$Q$768:$Y$768,"*T*")&gt;0,BD16&lt;120)),AND('Eval-Avec impact envisagé'!$A$769=AG12,OR(COUNTIF('Eval-Avec impact envisagé'!$Q$769:$Y$769,"*T*")&gt;0,BD17&lt;120)),AND('Eval-Avec impact envisagé'!$A$770=AG12,OR(COUNTIF('Eval-Avec impact envisagé'!$Q$770:$Y$770,"*T*")&gt;0,BD18&lt;120)),AND('Eval-Avec impact envisagé'!$A$771=AG12,OR(COUNTIF('Eval-Avec impact envisagé'!$Q$771:$Y$771,"*T*")&gt;0,BD19&lt;120)),AND('Eval-Avec impact envisagé'!$A$772=AG12,OR(COUNTIF('Eval-Avec impact envisagé'!$Q$772:$Y$772,"*T*")&gt;0,BD20&lt;120)),AND('Eval-Avec impact envisagé'!$A$773=AG12,OR(COUNTIF('Eval-Avec impact envisagé'!$Q$773:$Y$773,"*T*")&gt;0,BD21&lt;120)),AND('Eval-Avec impact envisagé'!$A$774=AG12,OR(COUNTIF('Eval-Avec impact envisagé'!$Q$774:$Y$774,"*T*")&gt;0,BD22&lt;120)),AND('Eval-Avec impact envisagé'!$A$775=AG12,OR(COUNTIF('Eval-Avec impact envisagé'!$Q$775:$Y$775,"*T*")&gt;0,BD23&lt;120)),AND('Eval-Avec impact envisagé'!$A$776=AG12,OR(COUNTIF('Eval-Avec impact envisagé'!$Q$776:$Y$776,"*T*")&gt;0,BD24&lt;120)),AND('Eval-Avec impact envisagé'!$A$777=AG12,OR(COUNTIF('Eval-Avec impact envisagé'!$Q$777:$Y$777,"*T*")&gt;0,BD25&lt;120)),AND('Eval-Avec impact envisagé'!$A$778=AG12,OR(COUNTIF('Eval-Avec impact envisagé'!$Q$778:$Y$778,"*T*")&gt;0,BD26&lt;120)),AND('Eval-Avec impact envisagé'!$A$779=AG12,OR(COUNTIF('Eval-Avec impact envisagé'!$Q$779:$Y$779,"*T*")&gt;0,BD27&lt;120)),AND('Eval-Avec impact envisagé'!$A$780=AG12,OR(COUNTIF('Eval-Avec impact envisagé'!$Q$780:$Y$780,"*T*")&gt;0,BD28&lt;120))),"",SUM(1*(SUMPRODUCT(('Eval-Avec impact envisagé'!$A$761:$A$780=AG12)*('Eval-Avec impact envisagé'!$Q$761:$Y$780="A"))),0.85*(SUMPRODUCT(('Eval-Avec impact envisagé'!$A$761:$A$780=AG12)*('Eval-Avec impact envisagé'!$Q$761:$Y$780="AL"))),0.7*(SUMPRODUCT(('Eval-Avec impact envisagé'!$A$761:$A$780=AG12)*('Eval-Avec impact envisagé'!$Q$761:$Y$780="LA"))),0.55*(SUMPRODUCT(('Eval-Avec impact envisagé'!$A$761:$A$780=AG12)*('Eval-Avec impact envisagé'!$Q$761:$Y$780="L"))),0.4*(SUMPRODUCT(('Eval-Avec impact envisagé'!$A$761:$A$780=AG12)*('Eval-Avec impact envisagé'!$Q$761:$Y$780="LS"))),0.25*(SUMPRODUCT(('Eval-Avec impact envisagé'!$A$761:$A$780=AG12)*('Eval-Avec impact envisagé'!$Q$761:$Y$780="SL"))),0.1*(SUMPRODUCT(('Eval-Avec impact envisagé'!$A$761:$A$780=AG12)*('Eval-Avec impact envisagé'!$Q$761:$Y$780="S"))))/(9*COUNTIF('Eval-Avec impact envisagé'!$A$761:$A$780,AG12))),"")</f>
        <v/>
      </c>
      <c r="BB12" s="215"/>
      <c r="BC12" s="216">
        <f>'Eval-Avec impact envisagé'!$D$764</f>
        <v>4</v>
      </c>
      <c r="BD12" s="217" t="str">
        <f>IF(BE12="C",0,IF(IF(COUNTIF('Eval-Avec impact envisagé'!$N$764:$Y$764,"=C")&gt;0,(COUNTA('Eval-Avec impact envisagé'!$N$764:$Y$764)-1)*10,COUNTA('Eval-Avec impact envisagé'!$N$764:$Y$764)*10)=0,"",IF(COUNTIF('Eval-Avec impact envisagé'!$N$764:$Y$764,"=C")&gt;0,(COUNTA('Eval-Avec impact envisagé'!$N$764:$Y$764)-1)*10,COUNTA('Eval-Avec impact envisagé'!$N$764:$Y$764)*10)))</f>
        <v/>
      </c>
      <c r="BE12" s="217" t="str">
        <f>CONCATENATE('Eval-Avec impact envisagé'!$N$764,'Eval-Avec impact envisagé'!$O$764,'Eval-Avec impact envisagé'!$P$764,'Eval-Avec impact envisagé'!$Q$764,'Eval-Avec impact envisagé'!$R$764,'Eval-Avec impact envisagé'!$S$764,'Eval-Avec impact envisagé'!$T$764,'Eval-Avec impact envisagé'!$U$764,'Eval-Avec impact envisagé'!$V$764,'Eval-Avec impact envisagé'!$W$764,'Eval-Avec impact envisagé'!$X$764,'Eval-Avec impact envisagé'!$Y$764)</f>
        <v/>
      </c>
      <c r="BF12" s="217" t="str">
        <f t="shared" si="4"/>
        <v/>
      </c>
      <c r="BG12" s="217" t="str">
        <f t="shared" si="5"/>
        <v/>
      </c>
      <c r="BH12" s="217" t="str">
        <f>IF(COUNTIF('Eval-Avec impact envisagé'!$N$764:$Y$764,"=C")&gt;0,"X","")</f>
        <v/>
      </c>
      <c r="BI12" s="217" t="str">
        <f t="shared" si="6"/>
        <v/>
      </c>
      <c r="BJ12" s="218" t="str">
        <f t="shared" si="7"/>
        <v/>
      </c>
      <c r="BK12" s="197"/>
      <c r="BM12" s="210">
        <v>4</v>
      </c>
      <c r="BN12" s="211" t="str">
        <f>IF(COUNTIF('Eval-Après impact'!$A$761:$A$780,BM12)&gt;0,SUM(IF('Eval-Après impact'!$A$761=BM12,'Eval-Après impact'!$B$761,0),IF('Eval-Après impact'!$A$762=BM12, 'Eval-Après impact'!$B$762,0),IF('Eval-Après impact'!$A$763=BM12, 'Eval-Après impact'!$B$763,0),IF('Eval-Après impact'!$A$764=BM12, 'Eval-Après impact'!$B$764,0),IF('Eval-Après impact'!$A$765=BM12, 'Eval-Après impact'!$B$765,0),IF('Eval-Après impact'!$A$766=BM12, 'Eval-Après impact'!$B$766,0),IF('Eval-Après impact'!$A$767=BM12, 'Eval-Après impact'!$B$767,0),IF('Eval-Après impact'!$A$768=BM12, 'Eval-Après impact'!$B$768,0),IF('Eval-Après impact'!$A$769=BM12, 'Eval-Après impact'!$B$769,0),IF('Eval-Après impact'!$A$770=BM12, 'Eval-Après impact'!$B$770,0),IF('Eval-Après impact'!$A$771=BM12, 'Eval-Après impact'!$B$771,0),IF('Eval-Après impact'!$A$772=BM12, 'Eval-Après impact'!$B$772,0),IF('Eval-Après impact'!$A$773=BM12, 'Eval-Après impact'!$B$773,0),IF('Eval-Après impact'!$A$774=BM12, 'Eval-Après impact'!$B$774,0),IF('Eval-Après impact'!$A$775=BM12, 'Eval-Après impact'!$B$775,0),IF('Eval-Après impact'!$A$776=BM12, 'Eval-Après impact'!$B$776,0),IF('Eval-Après impact'!$A$777=BM12, 'Eval-Après impact'!$B$777,0),IF('Eval-Après impact'!$A$778=BM12, 'Eval-Après impact'!$B$778,0),IF('Eval-Après impact'!$A$779=BM12, 'Eval-Après impact'!$B$779,0),IF('Eval-Après impact'!$A$780=BM12, 'Eval-Après impact'!$B$780,0))/COUNTIF('Eval-Après impact'!$A$761:$A$780,BM12),"")</f>
        <v/>
      </c>
      <c r="BO12" s="212" t="str">
        <f>IF(COUNTIF('Eval-Après impact'!$A$761:$A$780,BM12)&gt;0,COUNTIF('Eval-Après impact'!$A$761:$A$780,BM12),"")</f>
        <v/>
      </c>
      <c r="BP12" s="211" t="str">
        <f>IF(COUNTIF('Eval-Après impact'!$A$761:$A$780,BM12)&gt;0,IF(OR(AND('Eval-Après impact'!$A$761=BM12, 'Eval-Après impact'!$G$761=""),AND('Eval-Après impact'!$A$762=BM12, 'Eval-Après impact'!$G$762=""),AND('Eval-Après impact'!$A$763=BM12, 'Eval-Après impact'!$G$763=""),AND('Eval-Après impact'!$A$764=BM12, 'Eval-Après impact'!$G$764=""),AND('Eval-Après impact'!$A$765=BM12, 'Eval-Après impact'!$G$765=""),AND('Eval-Après impact'!$A$766=BM12, 'Eval-Après impact'!$G$766=""),AND('Eval-Après impact'!$A$767=BM12, 'Eval-Après impact'!$G$767=""),AND('Eval-Après impact'!$A$768=BM12, 'Eval-Après impact'!$G$768=""),AND('Eval-Après impact'!$A$769=BM12, 'Eval-Après impact'!$G$769=""),AND('Eval-Après impact'!$A$770=BM12, 'Eval-Après impact'!$G$770=""),AND('Eval-Après impact'!$A$771=BM12, 'Eval-Après impact'!$G$771=""),AND('Eval-Après impact'!$A$772=BM12, 'Eval-Après impact'!$G$772=""),AND('Eval-Après impact'!$A$773=BM12, 'Eval-Après impact'!$G$773=""),AND('Eval-Après impact'!$A$774=BM12, 'Eval-Après impact'!$G$774=""),AND('Eval-Après impact'!$A$775=BM12, 'Eval-Après impact'!$G$775=""),AND('Eval-Après impact'!$A$776=BM12, 'Eval-Après impact'!$G$776=""),AND('Eval-Après impact'!$A$777=BM12, 'Eval-Après impact'!$G$777=""),AND('Eval-Après impact'!$A$778=BM12, 'Eval-Après impact'!$G$778=""),AND('Eval-Après impact'!$A$779=BM12, 'Eval-Après impact'!$G$779=""),AND('Eval-Après impact'!$A$780=BM12, 'Eval-Après impact'!$G$780="")),"",SUM(IF('Eval-Après impact'!$A$761=BM12,'Eval-Après impact'!$G$761,0),IF('Eval-Après impact'!$A$762=BM12,'Eval-Après impact'!$G$762,0),IF('Eval-Après impact'!$A$763=BM12,'Eval-Après impact'!$G$763,0),IF('Eval-Après impact'!$A$764=BM12,'Eval-Après impact'!$G$764,0),IF('Eval-Après impact'!$A$765=BM12,'Eval-Après impact'!$G$765,0),IF('Eval-Après impact'!$A$766=BM12,'Eval-Après impact'!$G$766,0),IF('Eval-Après impact'!$A$767=BM12,'Eval-Après impact'!$G$767,0),IF('Eval-Après impact'!$A$768=BM12,'Eval-Après impact'!$G$768,0),IF('Eval-Après impact'!$A$769=BM12,'Eval-Après impact'!$G$769,0),IF('Eval-Après impact'!$A$770=BM12,'Eval-Après impact'!$G$770,0),IF('Eval-Après impact'!$A$771=BM12,'Eval-Après impact'!$G$771,0),IF('Eval-Après impact'!$A$772=BM12,'Eval-Après impact'!$G$772,0),IF('Eval-Après impact'!$A$773=BM12,'Eval-Après impact'!$G$773,0),IF('Eval-Après impact'!$A$774=BM12,'Eval-Après impact'!$G$774,0),IF('Eval-Après impact'!$A$775=BM12,'Eval-Après impact'!$G$775,0), IF('Eval-Après impact'!$A$776=BM12,'Eval-Après impact'!$G$776,0), IF('Eval-Après impact'!$A$777=BM12,'Eval-Après impact'!$G$777,0), IF('Eval-Après impact'!$A$778=BM12,'Eval-Après impact'!$G$778,0), IF('Eval-Après impact'!$A$779=BM12,'Eval-Après impact'!$G$779,0), IF('Eval-Après impact'!$A$780=BM12,'Eval-Après impact'!$G$780,0))/ COUNTIF('Eval-Après impact'!$A$761:$A$780,BM12)),"")</f>
        <v/>
      </c>
      <c r="BQ12" s="212" t="str">
        <f>IF(COUNTIF('Eval-Après impact'!$A$761:$A$780,BM12)&gt;0,IF(SUM(IF('Eval-Après impact'!$A$761=BM12,COUNTA('Eval-Après impact'!$H$761),0),IF('Eval-Après impact'!$A$762=BM12,COUNTA('Eval-Après impact'!$H$762),0),IF('Eval-Après impact'!$A$763=BM12,COUNTA('Eval-Après impact'!$H$763),0),IF('Eval-Après impact'!$A$764=BM12,COUNTA('Eval-Après impact'!$H$764),0),IF('Eval-Après impact'!$A$765=BM12,COUNTA('Eval-Après impact'!$H$765),0),IF('Eval-Après impact'!$A$766=BM12,COUNTA('Eval-Après impact'!$H$766),0),IF('Eval-Après impact'!$A$767=BM12,COUNTA('Eval-Après impact'!$H$767),0),IF('Eval-Après impact'!$A$768=BM12,COUNTA('Eval-Après impact'!$H$768),0),IF('Eval-Après impact'!$A$769=BM12,COUNTA('Eval-Après impact'!$H$769),0),IF('Eval-Après impact'!$A$770=BM12,COUNTA('Eval-Après impact'!$H$770),0),IF('Eval-Après impact'!$A$771=BM12,COUNTA('Eval-Après impact'!$H$771),0),IF('Eval-Après impact'!$A$772=BM12,COUNTA('Eval-Après impact'!$H$772),0),IF('Eval-Après impact'!$A$773=BM12,COUNTA('Eval-Après impact'!$H$773),0),IF('Eval-Après impact'!$A$774=BM12,COUNTA('Eval-Après impact'!$H$774),0),IF('Eval-Après impact'!$A$775=BM12,COUNTA('Eval-Après impact'!$H$775),0),IF('Eval-Après impact'!$A$776=BM12,COUNTA('Eval-Après impact'!$H$776),0),IF('Eval-Après impact'!$A$777=BM12,COUNTA('Eval-Après impact'!$H$777),0),IF('Eval-Après impact'!$A$778=BM12,COUNTA('Eval-Après impact'!$H$778),0),IF('Eval-Après impact'!$A$779=BM12,COUNTA('Eval-Après impact'!$H$779),0),IF('Eval-Après impact'!$A$780=BM12,COUNTA('Eval-Après impact'!$H$780),0))&gt;0,"X",0),"")</f>
        <v/>
      </c>
      <c r="BR12" s="213" t="str">
        <f>IF(COUNTIF('Eval-Après impact'!$A$761:$A$780,BM12)&gt;0,IF(SUM(IF('Eval-Après impact'!$A$761=BM12,COUNTA('Eval-Après impact'!$I$761),0),IF('Eval-Après impact'!$A$762=BM12,COUNTA('Eval-Après impact'!$I$762),0),IF('Eval-Après impact'!$A$763=BM12,COUNTA('Eval-Après impact'!$I$763),0),IF('Eval-Après impact'!$A$764=BM12,COUNTA('Eval-Après impact'!$I$764),0),IF('Eval-Après impact'!$A$765=BM12,COUNTA('Eval-Après impact'!$I$765),0),IF('Eval-Après impact'!$A$766=BM12,COUNTA('Eval-Après impact'!$I$766),0),IF('Eval-Après impact'!$A$767=BM12,COUNTA('Eval-Après impact'!$I$767),0),IF('Eval-Après impact'!$A$768=BM12,COUNTA('Eval-Après impact'!$I$768),0),IF('Eval-Après impact'!$A$769=BM12,COUNTA('Eval-Après impact'!$I$769),0),IF('Eval-Après impact'!$A$770=BM12,COUNTA('Eval-Après impact'!$I$770),0),IF('Eval-Après impact'!$A$771=BM12,COUNTA('Eval-Après impact'!$I$771),0),IF('Eval-Après impact'!$A$772=BM12,COUNTA('Eval-Après impact'!$I$772),0),IF('Eval-Après impact'!$A$773=BM12,COUNTA('Eval-Après impact'!$I$773),0),IF('Eval-Après impact'!$A$774=BM12,COUNTA('Eval-Après impact'!$I$774),0),IF('Eval-Après impact'!$A$775=BM12,COUNTA('Eval-Après impact'!$I$775),0),IF('Eval-Après impact'!$A$776=BM12,COUNTA('Eval-Après impact'!$I$776),0),IF('Eval-Après impact'!$A$777=BM12,COUNTA('Eval-Après impact'!$I$777),0),IF('Eval-Après impact'!$A$778=BM12,COUNTA('Eval-Après impact'!$I$778),0),IF('Eval-Après impact'!$A$779=BM12,COUNTA('Eval-Après impact'!$I$779),0),IF('Eval-Après impact'!$A$780=BM12,COUNTA('Eval-Après impact'!$I$780),0))&gt;0,"X",0),"")</f>
        <v/>
      </c>
      <c r="BS12" s="213" t="str">
        <f>IF(COUNTIF('Eval-Après impact'!$A$761:$A$780,BM12)&gt;0,IF(SUM(IF('Eval-Après impact'!$A$761=BM12,COUNTA('Eval-Après impact'!$J$761),0),IF('Eval-Après impact'!$A$762=BM12,COUNTA('Eval-Après impact'!$J$762),0),IF('Eval-Après impact'!$A$763=BM12,COUNTA('Eval-Après impact'!$J$763),0),IF('Eval-Après impact'!$A$764=BM12,COUNTA('Eval-Après impact'!$J$764),0),IF('Eval-Après impact'!$A$765=BM12,COUNTA('Eval-Après impact'!$J$765),0),IF('Eval-Après impact'!$A$766=BM12,COUNTA('Eval-Après impact'!$J$766),0),IF('Eval-Après impact'!$A$767=BM12,COUNTA('Eval-Après impact'!$J$767),0),IF('Eval-Après impact'!$A$768=BM12,COUNTA('Eval-Après impact'!$J$768),0),IF('Eval-Après impact'!$A$769=BM12,COUNTA('Eval-Après impact'!$J$769),0),IF('Eval-Après impact'!$A$770=BM12,COUNTA('Eval-Après impact'!$J$770),0),IF('Eval-Après impact'!$A$771=BM12,COUNTA('Eval-Après impact'!$J$771),0),IF('Eval-Après impact'!$A$772=BM12,COUNTA('Eval-Après impact'!$J$772),0),IF('Eval-Après impact'!$A$773=BM12,COUNTA('Eval-Après impact'!$J$773),0),IF('Eval-Après impact'!$A$774=BM12,COUNTA('Eval-Après impact'!$J$774),0),IF('Eval-Après impact'!$A$775=BM12,COUNTA('Eval-Après impact'!$J$775),0),IF('Eval-Après impact'!$A$776=BM12,COUNTA('Eval-Après impact'!$J$776),0),IF('Eval-Après impact'!$A$777=BM12,COUNTA('Eval-Après impact'!$J$777),0),IF('Eval-Après impact'!$A$778=BM12,COUNTA('Eval-Après impact'!$J$778),0),IF('Eval-Après impact'!$A$779=BM12,COUNTA('Eval-Après impact'!$J$779),0),IF('Eval-Après impact'!$A$780=BM12,COUNTA('Eval-Après impact'!$J$780),0))&gt;0,"X",0),"")</f>
        <v/>
      </c>
      <c r="BT12" s="213" t="str">
        <f>IF(COUNTIF('Eval-Après impact'!$A$761:$A$780,BM12)&gt;0,IF(SUM(IF('Eval-Après impact'!$A$761=BM12,COUNTA('Eval-Après impact'!$K$761),0),IF('Eval-Après impact'!$A$762=BM12,COUNTA('Eval-Après impact'!$K$762),0),IF('Eval-Après impact'!$A$763=BM12,COUNTA('Eval-Après impact'!$K$763),0),IF('Eval-Après impact'!$A$764=BM12,COUNTA('Eval-Après impact'!$K$764),0),IF('Eval-Après impact'!$A$765=BM12,COUNTA('Eval-Après impact'!$K$765),0),IF('Eval-Après impact'!$A$766=BM12,COUNTA('Eval-Après impact'!$K$766),0),IF('Eval-Après impact'!$A$767=BM12,COUNTA('Eval-Après impact'!$K$767),0),IF('Eval-Après impact'!$A$768=BM12,COUNTA('Eval-Après impact'!$K$768),0),IF('Eval-Après impact'!$A$769=BM12,COUNTA('Eval-Après impact'!$K$769),0),IF('Eval-Après impact'!$A$770=BM12,COUNTA('Eval-Après impact'!$K$770),0),IF('Eval-Après impact'!$A$771=BM12,COUNTA('Eval-Après impact'!$K$771),0),IF('Eval-Après impact'!$A$772=BM12,COUNTA('Eval-Après impact'!$K$772),0),IF('Eval-Après impact'!$A$773=BM12,COUNTA('Eval-Après impact'!$K$773),0),IF('Eval-Après impact'!$A$774=BM12,COUNTA('Eval-Après impact'!$K$774),0),IF('Eval-Après impact'!$A$775=BM12,COUNTA('Eval-Après impact'!$K$775),0),IF('Eval-Après impact'!$A$776=BM12,COUNTA('Eval-Après impact'!$K$776),0),IF('Eval-Après impact'!$A$777=BM12,COUNTA('Eval-Après impact'!$K$777),0),IF('Eval-Après impact'!$A$778=BM12,COUNTA('Eval-Après impact'!$K$778),0),IF('Eval-Après impact'!$A$779=BM12,COUNTA('Eval-Après impact'!$K$779),0),IF('Eval-Après impact'!$A$780=BM12,COUNTA('Eval-Après impact'!$K$780),0))&gt;0,"X",0),"")</f>
        <v/>
      </c>
      <c r="BU12" s="211" t="str">
        <f>IF(COUNTIF('Eval-Après impact'!$A$761:$A$780,BM12)&gt;0,IF(OR(AND('Eval-Après impact'!$A$761=BM12,'Eval-Après impact'!$L$761&lt;120,'Eval-Après impact'!$L$761&gt;=CJ9),AND('Eval-Après impact'!$A$762=BM12,'Eval-Après impact'!$L$762&lt;120,'Eval-Après impact'!$L$762&gt;=CJ10),AND('Eval-Après impact'!$A$763=BM12,'Eval-Après impact'!$L$763&lt;120,'Eval-Après impact'!$L$763&gt;=CJ11),AND('Eval-Après impact'!$A$764=BM12,'Eval-Après impact'!$L$764&lt;120,'Eval-Après impact'!$L$764&gt;=CJ12),AND('Eval-Après impact'!$A$765=BM12,'Eval-Après impact'!$L$765&lt;120,'Eval-Après impact'!$L$765&gt;=CJ13),AND('Eval-Après impact'!$A$766=BM12,'Eval-Après impact'!$L$766&lt;120,'Eval-Après impact'!$L$766&gt;=CJ14),AND('Eval-Après impact'!$A$767=BM12,'Eval-Après impact'!$L$767&lt;120,'Eval-Après impact'!$L$767&gt;=CJ15),AND('Eval-Après impact'!$A$768=BM12,'Eval-Après impact'!$L$768&lt;120,'Eval-Après impact'!$L$768&gt;=CJ16),AND('Eval-Après impact'!$A$769=BM12,'Eval-Après impact'!$L$769&lt;120,'Eval-Après impact'!$L$769&gt;=CJ17),AND('Eval-Après impact'!$A$770=BM12,'Eval-Après impact'!$L$770&lt;120,'Eval-Après impact'!$L$770&gt;=CJ18),AND('Eval-Après impact'!$A$771=BM12,'Eval-Après impact'!$L$771&lt;120,'Eval-Après impact'!$L$771&gt;=CJ19),AND('Eval-Après impact'!$A$772=BM12,'Eval-Après impact'!$L$772&lt;120,'Eval-Après impact'!$L$772&gt;=CJ20),AND('Eval-Après impact'!$A$773=BM12,'Eval-Après impact'!$L$773&lt;120,'Eval-Après impact'!$L$773&gt;=CJ21),AND('Eval-Après impact'!$A$774=BM12,'Eval-Après impact'!$L$774&lt;120,'Eval-Après impact'!$L$774&gt;=CJ22),AND('Eval-Après impact'!$A$775=BM12,'Eval-Après impact'!$L$775&lt;120,'Eval-Après impact'!$L$775&gt;=CJ23),AND('Eval-Après impact'!$A$776=BM12,'Eval-Après impact'!$L$776&lt;120,'Eval-Après impact'!$L$776&gt;=CJ24),AND('Eval-Après impact'!$A$777=BM12,'Eval-Après impact'!$L$777&lt;120,'Eval-Après impact'!$L$777&gt;=CJ25),AND('Eval-Après impact'!$A$778=BM12,'Eval-Après impact'!$L$778&lt;120,'Eval-Après impact'!$L$778&gt;=CJ26),AND('Eval-Après impact'!$A$779=BM12,'Eval-Après impact'!$L$779&lt;120,'Eval-Après impact'!$L$779&gt;=CJ27),AND('Eval-Après impact'!$A$780=BM12,'Eval-Après impact'!$L$780&lt;120,'Eval-Après impact'!$L$780&gt;=CJ28)),"",SUM(IF('Eval-Après impact'!$A$761=BM12,'Eval-Après impact'!$L$761,0),IF('Eval-Après impact'!$A$762=BM12,'Eval-Après impact'!$L$762,0),IF('Eval-Après impact'!$A$763=BM12,'Eval-Après impact'!$L$763,0),IF('Eval-Après impact'!$A$764=BM12,'Eval-Après impact'!$L$764,0),IF('Eval-Après impact'!$A$765=BM12,'Eval-Après impact'!$L$765,0),IF('Eval-Après impact'!$A$766=BM12,'Eval-Après impact'!$L$766,0),IF('Eval-Après impact'!$A$767=BM12,'Eval-Après impact'!$L$767,0),IF('Eval-Après impact'!$A$768=BM12,'Eval-Après impact'!$L$768,0),IF('Eval-Après impact'!$A$769=BM12,'Eval-Après impact'!$L$769,0),IF('Eval-Après impact'!$A$770=BM12,'Eval-Après impact'!$L$770,0),IF('Eval-Après impact'!$A$771=BM12,'Eval-Après impact'!$L$771,0),IF('Eval-Après impact'!$A$772=BM12,'Eval-Après impact'!$L$772,0),IF('Eval-Après impact'!$A$773=BM12,'Eval-Après impact'!$L$773,0),IF('Eval-Après impact'!$A$774=BM12,'Eval-Après impact'!$L$774,0),IF('Eval-Après impact'!$A$775=BM12,'Eval-Après impact'!$L$775,0),IF('Eval-Après impact'!$A$776=BM12,'Eval-Après impact'!$L$776,0),IF('Eval-Après impact'!$A$777=BM12,'Eval-Après impact'!$L$777,0),IF('Eval-Après impact'!$A$778=BM12,'Eval-Après impact'!$L$778,0),IF('Eval-Après impact'!$A$779=BM12,'Eval-Après impact'!$L$779,0),IF('Eval-Après impact'!$A$780=BM12,'Eval-Après impact'!$L$780,0))/ COUNTIF('Eval-Après impact'!$A$761:$A$780,BM12)),"")</f>
        <v/>
      </c>
      <c r="BV12" s="211" t="str">
        <f>IF(COUNTIF('Eval-Après impact'!$A$761:$A$780,BM12)&gt;0,IF(OR(AND('Eval-Après impact'!$A$761=BM12, CJ9&lt;120),AND(CJ10&lt;120),AND(CJ11&lt;120),AND(CJ12&lt;120),AND(CJ13&lt;120),AND(CJ14&lt;120),AND(CJ15&lt;120),AND(CJ16&lt;120),AND(CJ17&lt;120),AND(CJ18&lt;120),AND(CJ19&lt;120),AND(CJ20&lt;120),AND(CJ21&lt;120),AND(CJ22&lt;120),AND(CJ23&lt;120),AND(CJ24&lt;120),AND(CJ25&lt;120),AND(CJ26&lt;120),AND(CJ27&lt;120),AND(CJ28&lt;120)),"",SUM(IF('Eval-Après impact'!$A$761=BM12,'Eval-Après impact'!$M$761,0),IF('Eval-Après impact'!$A$762=BM12,'Eval-Après impact'!$M$762,0),IF('Eval-Après impact'!$A$763=BM12,'Eval-Après impact'!$M$763,0),IF('Eval-Après impact'!$A$764=BM12,'Eval-Après impact'!$M$764,0),IF('Eval-Après impact'!$A$765=BM12,'Eval-Après impact'!$M$765,0),IF('Eval-Après impact'!$A$766=BM12,'Eval-Après impact'!$M$766,0),IF('Eval-Après impact'!$A$767=BM12,'Eval-Après impact'!$M$767,0),IF('Eval-Après impact'!$A$768=BM12,'Eval-Après impact'!$M$768,0),IF('Eval-Après impact'!$A$769=BM12,'Eval-Après impact'!$M$769,0),IF('Eval-Après impact'!$A$770=BM12,'Eval-Après impact'!$M$770,0),IF('Eval-Après impact'!$A$771=BM12,'Eval-Après impact'!$M$771,0),IF('Eval-Après impact'!$A$772=BM12,'Eval-Après impact'!$M$772,0),IF('Eval-Après impact'!$A$773=BM12,'Eval-Après impact'!$M$773,0),IF('Eval-Après impact'!$A$774=BM12,'Eval-Après impact'!$M$774,0),IF('Eval-Après impact'!$A$775=BM12,'Eval-Après impact'!$M$775,0), IF('Eval-Après impact'!$A$776=BM12,'Eval-Après impact'!$M$776,0), IF('Eval-Après impact'!$A$777=BM12,'Eval-Après impact'!$M$777,0), IF('Eval-Après impact'!$A$778=BM12,'Eval-Après impact'!$M$778,0), IF('Eval-Après impact'!$A$779=BM12,'Eval-Après impact'!$M$779,0), IF('Eval-Après impact'!$A$780=BM12,'Eval-Après impact'!$M$780,0))/COUNTIF('Eval-Après impact'!$A$761:$A$780,BM12)),"")</f>
        <v/>
      </c>
      <c r="BW12" s="211" t="str">
        <f>IF(COUNTIF('Eval-Après impact'!$A$761:$A$780,BM12)&gt;0,SUM(IF('Eval-Après impact'!$A$761=BM12,LEN(SUBSTITUTE((SUBSTITUTE(CL9,"TM","")),"TS",""))*10/2,0),IF('Eval-Après impact'!$A$762=BM12,LEN(SUBSTITUTE((SUBSTITUTE(CL10,"TM","")),"TS",""))*10/2,0),IF('Eval-Après impact'!$A$763=BM12,LEN(SUBSTITUTE((SUBSTITUTE(CL11,"TM","")),"TS",""))*10/2,0),IF('Eval-Après impact'!$A$764=BM12,LEN(SUBSTITUTE((SUBSTITUTE(CL12,"TM","")),"TS",""))*10/2,0),IF('Eval-Après impact'!$A$765=BM12,LEN(SUBSTITUTE((SUBSTITUTE(CL13,"TM","")),"TS",""))*10/2,0),IF('Eval-Après impact'!$A$766=BM12,LEN(SUBSTITUTE((SUBSTITUTE(CL14,"TM","")),"TS",""))*10/2,0),IF('Eval-Après impact'!$A$767=BM12,LEN(SUBSTITUTE((SUBSTITUTE(CL15,"TM","")),"TS",""))*10/2,0),IF('Eval-Après impact'!$A$768=BM12,LEN(SUBSTITUTE((SUBSTITUTE(CL16,"TM","")),"TS",""))*10/2,0),IF('Eval-Après impact'!$A$769=BM12,LEN(SUBSTITUTE((SUBSTITUTE(CL17,"TM","")),"TS",""))*10/2,0),IF('Eval-Après impact'!$A$770=BM12,LEN(SUBSTITUTE((SUBSTITUTE(CL18,"TM","")),"TS",""))*10/2,0),IF('Eval-Après impact'!$A$771=BM12,LEN(SUBSTITUTE((SUBSTITUTE(CL19,"TM","")),"TS",""))*10/2,0),IF('Eval-Après impact'!$A$772=BM12,LEN(SUBSTITUTE((SUBSTITUTE(CL20,"TM","")),"TS",""))*10/2,0),IF('Eval-Après impact'!$A$773=BM12,LEN(SUBSTITUTE((SUBSTITUTE(CL21,"TM","")),"TS",""))*10/2,0),IF('Eval-Après impact'!$A$774=BM12,LEN(SUBSTITUTE((SUBSTITUTE(CL22,"TM","")),"TS",""))*10/2,0),IF('Eval-Après impact'!$A$775=BM12,LEN(SUBSTITUTE((SUBSTITUTE(CL23,"TM","")),"TS",""))*10/2,0),IF('Eval-Après impact'!$A$776=BM12,LEN(SUBSTITUTE((SUBSTITUTE(CL24,"TM","")),"TS",""))*10/2,0),IF('Eval-Après impact'!$A$777=BM12,LEN(SUBSTITUTE((SUBSTITUTE(CL25,"TM","")),"TS",""))*10/2,0),IF('Eval-Après impact'!$A$778=BM12,LEN(SUBSTITUTE((SUBSTITUTE(CL26,"TM","")),"TS",""))*10/2,0),IF('Eval-Après impact'!$A$779=BM12,LEN(SUBSTITUTE((SUBSTITUTE(CL27,"TM","")),"TS",""))*10/2,0),IF('Eval-Après impact'!$A$780=BM12,LEN(SUBSTITUTE((SUBSTITUTE(CL28,"TM","")),"TS",""))*10/2,0))/COUNTIF('Eval-Après impact'!$A$761:$A$780,BM12),"")</f>
        <v/>
      </c>
      <c r="BX12" s="211" t="str">
        <f>IF(COUNTIF('Eval-Après impact'!$A$761:$A$780,BM12)&gt;0,SUM(IF('Eval-Après impact'!$A$761=BM12,LEN(SUBSTITUTE((SUBSTITUTE(CL9,"TF","")),"TS",""))*10/2,0),IF('Eval-Après impact'!$A$762=BM12,LEN(SUBSTITUTE((SUBSTITUTE(CL10,"TF","")),"TS",""))*10/2,0),IF('Eval-Après impact'!$A$763=BM12,LEN(SUBSTITUTE((SUBSTITUTE(CL11,"TF","")),"TS",""))*10/2,0),IF('Eval-Après impact'!$A$764=BM12,LEN(SUBSTITUTE((SUBSTITUTE(CL12,"TF","")),"TS",""))*10/2,0),IF('Eval-Après impact'!$A$765=BM12,LEN(SUBSTITUTE((SUBSTITUTE(CL13,"TF","")),"TS",""))*10/2,0),IF('Eval-Après impact'!$A$766=BM12,LEN(SUBSTITUTE((SUBSTITUTE(CL14,"TF","")),"TS",""))*10/2,0),IF('Eval-Après impact'!$A$767=BM12,LEN(SUBSTITUTE((SUBSTITUTE(CL15,"TF","")),"TS",""))*10/2,0),IF('Eval-Après impact'!$A$768=BM12,LEN(SUBSTITUTE((SUBSTITUTE(CL16,"TF","")),"TS",""))*10/2,0),IF('Eval-Après impact'!$A$769=BM12,LEN(SUBSTITUTE((SUBSTITUTE(CL17,"TF","")),"TS",""))*10/2,0),IF('Eval-Après impact'!$A$770=BM12,LEN(SUBSTITUTE((SUBSTITUTE(CL18,"TF","")),"TS",""))*10/2,0),IF('Eval-Après impact'!$A$771=BM12,LEN(SUBSTITUTE((SUBSTITUTE(CL19,"TF","")),"TS",""))*10/2,0),IF('Eval-Après impact'!$A$772=BM12,LEN(SUBSTITUTE((SUBSTITUTE(CL20,"TF","")),"TS",""))*10/2,0),IF('Eval-Après impact'!$A$773=BM12,LEN(SUBSTITUTE((SUBSTITUTE(CL21,"TF","")),"TS",""))*10/2,0),IF('Eval-Après impact'!$A$774=BM12,LEN(SUBSTITUTE((SUBSTITUTE(CL22,"TF","")),"TS",""))*10/2,0),IF('Eval-Après impact'!$A$775=BM12,LEN(SUBSTITUTE((SUBSTITUTE(CL23,"TF","")),"TS",""))*10/2,0),IF('Eval-Après impact'!$A$776=BM12,LEN(SUBSTITUTE((SUBSTITUTE(CL24,"TF","")),"TS",""))*10/2,0),IF('Eval-Après impact'!$A$777=BM12,LEN(SUBSTITUTE((SUBSTITUTE(CL25,"TF","")),"TS",""))*10/2,0),IF('Eval-Après impact'!$A$778=BM12,LEN(SUBSTITUTE((SUBSTITUTE(CL26,"TF","")),"TS",""))*10/2,0),IF('Eval-Après impact'!$A$779=BM12,LEN(SUBSTITUTE((SUBSTITUTE(CL27,"TF","")),"TS",""))*10/2,0),IF('Eval-Après impact'!$A$780=BM12,LEN(SUBSTITUTE((SUBSTITUTE(CL28,"TF","")),"TS",""))*10/2,0))/COUNTIF('Eval-Après impact'!$A$761:$A$780,BM12),"")</f>
        <v/>
      </c>
      <c r="BY12" s="211" t="str">
        <f>IF(COUNTIF('Eval-Après impact'!$A$761:$A$780,BM12)&gt;0,SUM(IF('Eval-Après impact'!$A$761=BM12,LEN(SUBSTITUTE((SUBSTITUTE(CL9,"TF","")),"TM",""))*10/2,0),IF('Eval-Après impact'!$A$762=BM12,LEN(SUBSTITUTE((SUBSTITUTE(CL10,"TF","")),"TM",""))*10/2,0),IF('Eval-Après impact'!$A$763=BM12,LEN(SUBSTITUTE((SUBSTITUTE(CL11,"TF","")),"TM",""))*10/2,0),IF('Eval-Après impact'!$A$764=BM12,LEN(SUBSTITUTE((SUBSTITUTE(CL12,"TF","")),"TM",""))*10/2,0),IF('Eval-Après impact'!$A$765=BM12,LEN(SUBSTITUTE((SUBSTITUTE(CL13,"TF","")),"TM",""))*10/2,0),IF('Eval-Après impact'!$A$766=BM12,LEN(SUBSTITUTE((SUBSTITUTE(CL14,"TF","")),"TM",""))*10/2,0),IF('Eval-Après impact'!$A$767=BM12,LEN(SUBSTITUTE((SUBSTITUTE(CL15,"TF","")),"TM",""))*10/2,0),IF('Eval-Après impact'!$A$768=BM12,LEN(SUBSTITUTE((SUBSTITUTE(CL16,"TF","")),"TM",""))*10/2,0),IF('Eval-Après impact'!$A$769=BM12,LEN(SUBSTITUTE((SUBSTITUTE(CL17,"TF","")),"TM",""))*10/2,0),IF('Eval-Après impact'!$A$770=BM12,LEN(SUBSTITUTE((SUBSTITUTE(CL18,"TF","")),"TM",""))*10/2,0),IF('Eval-Après impact'!$A$771=BM12,LEN(SUBSTITUTE((SUBSTITUTE(CL19,"TF","")),"TM",""))*10/2,0),IF('Eval-Après impact'!$A$772=BM12,LEN(SUBSTITUTE((SUBSTITUTE(CL20,"TF","")),"TM",""))*10/2,0),IF('Eval-Après impact'!$A$773=BM12,LEN(SUBSTITUTE((SUBSTITUTE(CL21,"TF","")),"TM",""))*10/2,0),IF('Eval-Après impact'!$A$774=BM12,LEN(SUBSTITUTE((SUBSTITUTE(CL22,"TF","")),"TM",""))*10/2,0),IF('Eval-Après impact'!$A$775=BM12,LEN(SUBSTITUTE((SUBSTITUTE(CL23,"TF","")),"TM",""))*10/2,0),IF('Eval-Après impact'!$A$776=BM12,LEN(SUBSTITUTE((SUBSTITUTE(CL24,"TF","")),"TM",""))*10/2,0),IF('Eval-Après impact'!$A$777=BM12,LEN(SUBSTITUTE((SUBSTITUTE(CL25,"TF","")),"TM",""))*10/2,0),IF('Eval-Après impact'!$A$778=BM12,LEN(SUBSTITUTE((SUBSTITUTE(CL26,"TF","")),"TM",""))*10/2,0),IF('Eval-Après impact'!$A$779=BM12,LEN(SUBSTITUTE((SUBSTITUTE(CL27,"TF","")),"TM",""))*10/2,0),IF('Eval-Après impact'!$A$780=BM12,LEN(SUBSTITUTE((SUBSTITUTE(CL28,"TF","")),"TM",""))*10/2,0))/COUNTIF('Eval-Après impact'!$A$761:$A$780,BM12),"")</f>
        <v/>
      </c>
      <c r="BZ12" s="211" t="str">
        <f>IF(COUNTIF('Eval-Après impact'!$A$761:$A$780,BM12)&gt;0,SUM(IF('Eval-Après impact'!$A$761=BM12,LEN(SUBSTITUTE((SUBSTITUTE(CM9,"TM","")),"TS",""))*10/2,0),IF('Eval-Après impact'!$A$762=BM12,LEN(SUBSTITUTE((SUBSTITUTE(CM10,"TM","")),"TS",""))*10/2,0),IF('Eval-Après impact'!$A$763=BM12,LEN(SUBSTITUTE((SUBSTITUTE(CM11,"TM","")),"TS",""))*10/2,0),IF('Eval-Après impact'!$A$764=BM12,LEN(SUBSTITUTE((SUBSTITUTE(CM12,"TM","")),"TS",""))*10/2,0),IF('Eval-Après impact'!$A$765=BM12,LEN(SUBSTITUTE((SUBSTITUTE(CM13,"TM","")),"TS",""))*10/2,0),IF('Eval-Après impact'!$A$766=BM12,LEN(SUBSTITUTE((SUBSTITUTE(CM14,"TM","")),"TS",""))*10/2,0),IF('Eval-Après impact'!$A$767=BM12,LEN(SUBSTITUTE((SUBSTITUTE(CM15,"TM","")),"TS",""))*10/2,0),IF('Eval-Après impact'!$A$768=BM12,LEN(SUBSTITUTE((SUBSTITUTE(CM16,"TM","")),"TS",""))*10/2,0),IF('Eval-Après impact'!$A$769=BM12,LEN(SUBSTITUTE((SUBSTITUTE(CM17,"TM","")),"TS",""))*10/2,0),IF('Eval-Après impact'!$A$770=BM12,LEN(SUBSTITUTE((SUBSTITUTE(CM18,"TM","")),"TS",""))*10/2,0),IF('Eval-Après impact'!$A$771=BM12,LEN(SUBSTITUTE((SUBSTITUTE(CM19,"TM","")),"TS",""))*10/2,0),IF('Eval-Après impact'!$A$772=BM12,LEN(SUBSTITUTE((SUBSTITUTE(CM20,"TM","")),"TS",""))*10/2,0),IF('Eval-Après impact'!$A$773=BM12,LEN(SUBSTITUTE((SUBSTITUTE(CM21,"TM","")),"TS",""))*10/2,0),IF('Eval-Après impact'!$A$774=BM12,LEN(SUBSTITUTE((SUBSTITUTE(CM22,"TM","")),"TS",""))*10/2,0),IF('Eval-Après impact'!$A$775=BM12,LEN(SUBSTITUTE((SUBSTITUTE(CM23,"TM","")),"TS",""))*10/2,0),IF('Eval-Après impact'!$A$776=BM12,LEN(SUBSTITUTE((SUBSTITUTE(CM24,"TM","")),"TS",""))*10/2,0),IF('Eval-Après impact'!$A$777=BM12,LEN(SUBSTITUTE((SUBSTITUTE(CM25,"TM","")),"TS",""))*10/2,0),IF('Eval-Après impact'!$A$778=BM12,LEN(SUBSTITUTE((SUBSTITUTE(CM26,"TM","")),"TS",""))*10/2,0),IF('Eval-Après impact'!$A$779=BM12,LEN(SUBSTITUTE((SUBSTITUTE(CM27,"TM","")),"TS",""))*10/2,0),IF('Eval-Après impact'!$A$780=BM12,LEN(SUBSTITUTE((SUBSTITUTE(CM28,"TM","")),"TS",""))*10/2,0))/COUNTIF('Eval-Après impact'!$A$761:$A$780,BM12),"")</f>
        <v/>
      </c>
      <c r="CA12" s="211" t="str">
        <f>IF(COUNTIF('Eval-Après impact'!$A$761:$A$780,BM12)&gt;0,SUM(IF('Eval-Après impact'!$A$761=BM12,LEN(SUBSTITUTE((SUBSTITUTE(CM9,"TF","")),"TS",""))*10/2,0),IF('Eval-Après impact'!$A$762=BM12,LEN(SUBSTITUTE((SUBSTITUTE(CM10,"TF","")),"TS",""))*10/2,0),IF('Eval-Après impact'!$A$763=BM12,LEN(SUBSTITUTE((SUBSTITUTE(CM11,"TF","")),"TS",""))*10/2,0),IF('Eval-Après impact'!$A$764=BM12,LEN(SUBSTITUTE((SUBSTITUTE(CM12,"TF","")),"TS",""))*10/2,0),IF('Eval-Après impact'!$A$765=BM12,LEN(SUBSTITUTE((SUBSTITUTE(CM13,"TF","")),"TS",""))*10/2,0),IF('Eval-Après impact'!$A$766=BM12,LEN(SUBSTITUTE((SUBSTITUTE(CM14,"TF","")),"TS",""))*10/2,0),IF('Eval-Après impact'!$A$767=BM12,LEN(SUBSTITUTE((SUBSTITUTE(CM15,"TF","")),"TS",""))*10/2,0),IF('Eval-Après impact'!$A$768=BM12,LEN(SUBSTITUTE((SUBSTITUTE(CM16,"TF","")),"TS",""))*10/2,0),IF('Eval-Après impact'!$A$769=BM12,LEN(SUBSTITUTE((SUBSTITUTE(CM17,"TF","")),"TS",""))*10/2,0),IF('Eval-Après impact'!$A$770=BM12,LEN(SUBSTITUTE((SUBSTITUTE(CM18,"TF","")),"TS",""))*10/2,0),IF('Eval-Après impact'!$A$771=BM12,LEN(SUBSTITUTE((SUBSTITUTE(CM19,"TF","")),"TS",""))*10/2,0),IF('Eval-Après impact'!$A$772=BM12,LEN(SUBSTITUTE((SUBSTITUTE(CM20,"TF","")),"TS",""))*10/2,0),IF('Eval-Après impact'!$A$773=BM12,LEN(SUBSTITUTE((SUBSTITUTE(CM21,"TF","")),"TS",""))*10/2,0),IF('Eval-Après impact'!$A$774=BM12,LEN(SUBSTITUTE((SUBSTITUTE(CM22,"TF","")),"TS",""))*10/2,0),IF('Eval-Après impact'!$A$775=BM12,LEN(SUBSTITUTE((SUBSTITUTE(CM23,"TF","")),"TS",""))*10/2,0),IF('Eval-Après impact'!$A$776=BM12,LEN(SUBSTITUTE((SUBSTITUTE(CM24,"TF","")),"TS",""))*10/2,0),IF('Eval-Après impact'!$A$777=BM12,LEN(SUBSTITUTE((SUBSTITUTE(CM25,"TF","")),"TS",""))*10/2,0),IF('Eval-Après impact'!$A$778=BM12,LEN(SUBSTITUTE((SUBSTITUTE(CM26,"TF","")),"TS",""))*10/2,0),IF('Eval-Après impact'!$A$779=BM12,LEN(SUBSTITUTE((SUBSTITUTE(CM27,"TF","")),"TS",""))*10/2,0),IF('Eval-Après impact'!$A$780=BM12,LEN(SUBSTITUTE((SUBSTITUTE(CM28,"TF","")),"TS",""))*10/2,0))/COUNTIF('Eval-Après impact'!$A$761:$A$780,BM12),"")</f>
        <v/>
      </c>
      <c r="CB12" s="211" t="str">
        <f>IF(COUNTIF('Eval-Après impact'!$A$761:$A$780,BM12)&gt;0,SUM(IF('Eval-Après impact'!$A$761=BM12,LEN(SUBSTITUTE((SUBSTITUTE(CM9,"TF","")),"TM",""))*10/2,0),IF('Eval-Après impact'!$A$762=BM12,LEN(SUBSTITUTE((SUBSTITUTE(CM10,"TF","")),"TM",""))*10/2,0),IF('Eval-Après impact'!$A$763=BM12,LEN(SUBSTITUTE((SUBSTITUTE(CM11,"TF","")),"TM",""))*10/2,0),IF('Eval-Après impact'!$A$764=BM12,LEN(SUBSTITUTE((SUBSTITUTE(CM12,"TF","")),"TM",""))*10/2,0),IF('Eval-Après impact'!$A$765=BM12,LEN(SUBSTITUTE((SUBSTITUTE(CM13,"TF","")),"TM",""))*10/2,0),IF('Eval-Après impact'!$A$766=BM12,LEN(SUBSTITUTE((SUBSTITUTE(CM14,"TF","")),"TM",""))*10/2,0),IF('Eval-Après impact'!$A$767=BM12,LEN(SUBSTITUTE((SUBSTITUTE(CM15,"TF","")),"TM",""))*10/2,0),IF('Eval-Après impact'!$A$768=BM12,LEN(SUBSTITUTE((SUBSTITUTE(CM16,"TF","")),"TM",""))*10/2,0),IF('Eval-Après impact'!$A$769=BM12,LEN(SUBSTITUTE((SUBSTITUTE(CM17,"TF","")),"TM",""))*10/2,0),IF('Eval-Après impact'!$A$770=BM12,LEN(SUBSTITUTE((SUBSTITUTE(CM18,"TF","")),"TM",""))*10/2,0),IF('Eval-Après impact'!$A$771=BM12,LEN(SUBSTITUTE((SUBSTITUTE(CM19,"TF","")),"TM",""))*10/2,0),IF('Eval-Après impact'!$A$772=BM12,LEN(SUBSTITUTE((SUBSTITUTE(CM20,"TF","")),"TM",""))*10/2,0),IF('Eval-Après impact'!$A$773=BM12,LEN(SUBSTITUTE((SUBSTITUTE(CM21,"TF","")),"TM",""))*10/2,0),IF('Eval-Après impact'!$A$774=BM12,LEN(SUBSTITUTE((SUBSTITUTE(CM22,"TF","")),"TM",""))*10/2,0),IF('Eval-Après impact'!$A$775=BM12,LEN(SUBSTITUTE((SUBSTITUTE(CM23,"TF","")),"TM",""))*10/2,0),IF('Eval-Après impact'!$A$776=BM12,LEN(SUBSTITUTE((SUBSTITUTE(CM24,"TF","")),"TM",""))*10/2,0),IF('Eval-Après impact'!$A$777=BM12,LEN(SUBSTITUTE((SUBSTITUTE(CM25,"TF","")),"TM",""))*10/2,0),IF('Eval-Après impact'!$A$778=BM12,LEN(SUBSTITUTE((SUBSTITUTE(CM26,"TF","")),"TM",""))*10/2,0),IF('Eval-Après impact'!$A$779=BM12,LEN(SUBSTITUTE((SUBSTITUTE(CM27,"TF","")),"TM",""))*10/2,0),IF('Eval-Après impact'!$A$780=BM12,LEN(SUBSTITUTE((SUBSTITUTE(CM28,"TF","")),"TM",""))*10/2,0))/COUNTIF('Eval-Après impact'!$A$761:$A$780,BM12),"")</f>
        <v/>
      </c>
      <c r="CC12" s="211" t="str">
        <f>IF(COUNTIF('Eval-Après impact'!$A$761:$A$780,BM12)&gt;0,IF(OR(AND('Eval-Après impact'!$A$761=BM12,CJ9&lt;30),AND('Eval-Après impact'!$A$762=BM12,CJ10&lt;30),AND('Eval-Après impact'!$A$763=BM12,CJ11&lt;30),AND('Eval-Après impact'!$A$764=BM12,CJ12&lt;30),AND('Eval-Après impact'!$A$765=BM12,CJ13&lt;30),AND('Eval-Après impact'!$A$766=BM12,CJ14&lt;30),AND('Eval-Après impact'!$A$767=BM12,CJ15&lt;30),AND('Eval-Après impact'!$A$768=BM12,CJ16&lt;30),AND('Eval-Après impact'!$A$769=BM12,CJ17&lt;30),AND('Eval-Après impact'!$A$770=BM12,CJ18&lt;30),AND('Eval-Après impact'!$A$771=BM12,CJ19&lt;30),AND('Eval-Après impact'!$A$772=BM12,CJ20&lt;30),AND('Eval-Après impact'!$A$773=BM12,CJ21&lt;30),AND('Eval-Après impact'!$A$774=BM12,CJ22&lt;30),AND('Eval-Après impact'!$A$775=BM12,CJ23&lt;30),AND('Eval-Après impact'!$A$776=BM12,CJ24&lt;30),AND('Eval-Après impact'!$A$777=BM12,CJ25&lt;30),AND('Eval-Après impact'!$A$778=BM12,CJ26&lt;30),AND('Eval-Après impact'!$A$779=BM12,CJ27&lt;30),AND('Eval-Après impact'!$A$780=BM12,CJ28&lt;30)),"",SUM(0.1*(SUMPRODUCT(('Eval-Après impact'!$A$761:$A$780=BM12)*('Eval-Après impact'!$N$761:$P$780="A"))+ SUMPRODUCT(('Eval-Après impact'!$A$761:$A$780=BM12)*('Eval-Après impact'!$N$761:$P$780="AL"))),0.7*(SUMPRODUCT(('Eval-Après impact'!$A$761:$A$780=BM12)*('Eval-Après impact'!$N$761:$P$780="TF"))+SUMPRODUCT(('Eval-Après impact'!$A$761:$A$780=BM12)*('Eval-Après impact'!$N$761:$P$780="TM"))+SUMPRODUCT(('Eval-Après impact'!$A$761:$A$780=BM12)*('Eval-Après impact'!$N$761:$P$780="TS"))),0.4*(SUMPRODUCT(('Eval-Après impact'!$A$761:$A$780=BM12)*('Eval-Après impact'!$N$761:$P$780="LA"))+SUMPRODUCT(('Eval-Après impact'!$A$761:$A$780=BM12)*('Eval-Après impact'!$N$761:$P$780="L"))+SUMPRODUCT(('Eval-Après impact'!$A$761:$A$780=BM12)*('Eval-Après impact'!$N$761:$P$780="LS"))),1*(SUMPRODUCT(('Eval-Après impact'!$A$761:$A$780=BM12)*('Eval-Après impact'!$N$761:$P$780="SL"))+ SUMPRODUCT(('Eval-Après impact'!$A$761:$A$780=BM12)*('Eval-Après impact'!$N$761:$P$780="S"))))/(3*COUNTIF('Eval-Après impact'!$A$761:$A$780,BM12))),"")</f>
        <v/>
      </c>
      <c r="CD12" s="211" t="str">
        <f>IF(COUNTIF('Eval-Après impact'!$A$761:$A$780,BM12)&gt;0,IF(OR(AND('Eval-Après impact'!$A$761=BM12,CJ9&lt;120),AND('Eval-Après impact'!$A$762=BM12,CJ10&lt;120),AND('Eval-Après impact'!$A$763=BM12,CJ11&lt;120),AND('Eval-Après impact'!$A$764=BM12,CJ12&lt;120),AND('Eval-Après impact'!$A$765=BM12,CJ13&lt;120),AND('Eval-Après impact'!$A$766=BM12,CJ14&lt;120),AND('Eval-Après impact'!$A$767=BM12,CJ15&lt;120),AND('Eval-Après impact'!$A$768=BM12,CJ16&lt;120),AND('Eval-Après impact'!$A$769=BM12,CJ17&lt;120),AND('Eval-Après impact'!$A$770=BM12,CJ18&lt;120),AND('Eval-Après impact'!$A$771=BM12,CJ19&lt;120),AND('Eval-Après impact'!$A$772=BM12,CJ20&lt;120),AND('Eval-Après impact'!$A$773=BM12,CJ21&lt;120),AND('Eval-Après impact'!$A$774=BM12,CJ22&lt;120),AND('Eval-Après impact'!$A$775=BM12,CJ23&lt;120),AND('Eval-Après impact'!$A$776=BM12,CJ24&lt;120),AND('Eval-Après impact'!$A$777=BM12,CJ25&lt;120),AND('Eval-Après impact'!$A$778=BM12,CJ26&lt;120),AND('Eval-Après impact'!$A$779=BM12,CJ27&lt;120),AND('Eval-Après impact'!$A$780=BM12,CJ28&lt;120)),"",SUM(0.1*(SUMPRODUCT(('Eval-Après impact'!$A$761:$A$780=BM12)*('Eval-Après impact'!$Q$761:$Y$780="A"))+ SUMPRODUCT(('Eval-Après impact'!$A$761:$A$780=BM12)*('Eval-Après impact'!$Q$761:$Y$780="AL"))),0.7*(SUMPRODUCT(('Eval-Après impact'!$A$761:$A$780=BM12)*('Eval-Après impact'!$Q$761:$Y$780="TF"))+SUMPRODUCT(('Eval-Après impact'!$A$761:$A$780=BM12)*('Eval-Après impact'!$Q$761:$Y$780="TM"))+SUMPRODUCT(('Eval-Après impact'!$A$761:$A$780=BM12)*('Eval-Après impact'!$Q$761:$Y$780="TS"))),0.4*(SUMPRODUCT(('Eval-Après impact'!$A$761:$A$780=BM12)*('Eval-Après impact'!$Q$761:$Y$780="LA"))+SUMPRODUCT(('Eval-Après impact'!$A$761:$A$780=BM12)*('Eval-Après impact'!$Q$761:$Y$780="L"))+SUMPRODUCT(('Eval-Après impact'!$A$761:$A$780=BM12)*('Eval-Après impact'!$Q$761:$Y$780="LS"))),1*(SUMPRODUCT(('Eval-Après impact'!$A$761:$A$780=BM12)*('Eval-Après impact'!$Q$761:$Y$780="SL"))+ SUMPRODUCT(('Eval-Après impact'!$A$761:$A$780=BM12)*('Eval-Après impact'!$Q$761:$Y$780="S"))))/(9*COUNTIF('Eval-Après impact'!$A$761:$A$780,BM12))),"")</f>
        <v/>
      </c>
      <c r="CE12" s="211" t="str">
        <f>IF(COUNTIF('Eval-Après impact'!$A$761:$A$780,BM12)&gt;0,IF(OR(AND('Eval-Après impact'!$A$761=BM12,OR(COUNTIF('Eval-Après impact'!$N$761:$P$761,"*T*")&gt;0,CJ9&lt;30)),AND('Eval-Après impact'!$A$762=BM12,OR(COUNTIF('Eval-Après impact'!$N$762:$P$762,"*T*")&gt;0,CJ10&lt;30)),AND('Eval-Après impact'!$A$763=BM12,OR(COUNTIF('Eval-Après impact'!$N$763:$P$763,"*T*")&gt;0,CJ11&lt;30)),AND('Eval-Après impact'!$A$764=BM12,OR(COUNTIF('Eval-Après impact'!$N$764:$P$764,"*T*")&gt;0,CJ12&lt;30)),AND('Eval-Après impact'!$A$765=BM12,OR(COUNTIF('Eval-Après impact'!$N$765:$P$765,"*T*")&gt;0,CJ13&lt;30)),AND('Eval-Après impact'!$A$766=BM12,OR(COUNTIF('Eval-Après impact'!$N$766:$P$766,"*T*")&gt;0,CJ14&lt;30)),AND('Eval-Après impact'!$A$767=BM12,OR(COUNTIF('Eval-Après impact'!$N$767:$P$767,"*T*")&gt;0,CJ15&lt;30)),AND('Eval-Après impact'!$A$768=BM12,OR(COUNTIF('Eval-Après impact'!$N$768:$P$768,"*T*")&gt;0,CJ16&lt;30)),AND('Eval-Après impact'!$A$769=BM12,OR(COUNTIF('Eval-Après impact'!$N$769:$P$769,"*T*")&gt;0,CJ17&lt;30)),AND('Eval-Après impact'!$A$770=BM12,OR(COUNTIF('Eval-Après impact'!$N$770:$P$770,"*T*")&gt;0,CJ18&lt;30)),AND('Eval-Après impact'!$A$771=BM12,OR(COUNTIF('Eval-Après impact'!$N$771:$P$771,"*T*")&gt;0,CJ19&lt;30)),AND('Eval-Après impact'!$A$772=BM12,OR(COUNTIF('Eval-Après impact'!$N$772:$P$772,"*T*")&gt;0,CJ20&lt;30)),AND('Eval-Après impact'!$A$773=BM12,OR(COUNTIF('Eval-Après impact'!$N$773:$P$773,"*T*")&gt;0,CJ21&lt;30)),AND('Eval-Après impact'!$A$774=BM12,OR(COUNTIF('Eval-Après impact'!$N$774:$P$774,"*T*")&gt;0,CJ22&lt;30)),AND('Eval-Après impact'!$A$775=BM12,OR(COUNTIF('Eval-Après impact'!$N$775:$P$775,"*T*")&gt;0,CJ23&lt;30)),AND('Eval-Après impact'!$A$776=BM12,OR(COUNTIF('Eval-Après impact'!$N$776:$P$776,"*T*")&gt;0,CJ24&lt;30)),AND('Eval-Après impact'!$A$777=BM12,OR(COUNTIF('Eval-Après impact'!$N$777:$P$777,"*T*")&gt;0,CJ25&lt;30)),AND('Eval-Après impact'!$A$778=BM12,OR(COUNTIF('Eval-Après impact'!$N$778:$P$778,"*T*")&gt;0,CJ26&lt;30)),AND('Eval-Après impact'!$A$779=BM12,OR(COUNTIF('Eval-Après impact'!$N$779:$P$779,"*T*")&gt;0,CJ27&lt;30)),AND('Eval-Après impact'!$A$780=BM12,OR(COUNTIF('Eval-Après impact'!$N$780:$P$780,"*T*")&gt;0,CJ28&lt;30))),"",SUM(0.1*(SUMPRODUCT(('Eval-Après impact'!$A$761:$A$780=BM12)*('Eval-Après impact'!$N$761:$P$780="L"))),0.4*(SUMPRODUCT(('Eval-Après impact'!$A$761:$A$780=BM12)*('Eval-Après impact'!$N$761:$P$780="LA"))+SUMPRODUCT(('Eval-Après impact'!$A$761:$A$780=BM12)*('Eval-Après impact'!$N$761:$P$780="LS"))),0.7*(SUMPRODUCT(('Eval-Après impact'!$A$761:$A$780=BM12)*('Eval-Après impact'!$N$761:$P$780="AL"))+SUMPRODUCT(('Eval-Après impact'!$A$761:$A$780=BM12)*('Eval-Après impact'!$N$761:$P$780="SL"))),1*(SUMPRODUCT(('Eval-Après impact'!$A$761:$A$780=BM12)*('Eval-Après impact'!$N$761:$P$780="S"))+ SUMPRODUCT(('Eval-Après impact'!$A$761:$A$780=BM12)*('Eval-Après impact'!$N$761:$P$780="A"))))/(3*COUNTIF('Eval-Après impact'!$A$761:$A$780,BM12))),"")</f>
        <v/>
      </c>
      <c r="CF12" s="211" t="str">
        <f>IF(COUNTIF('Eval-Après impact'!$A$761:$A$780,BM12)&gt;0,IF(OR(AND('Eval-Après impact'!$A$761=BM12,OR(COUNTIF('Eval-Après impact'!$N$761:$P$761,"*T*")&gt;0,CJ9&lt;30)),AND('Eval-Après impact'!$A$762=BM12,OR(COUNTIF('Eval-Après impact'!$N$762:$P$762,"*T*")&gt;0,CJ10&lt;30)),AND('Eval-Après impact'!$A$763=BM12,OR(COUNTIF('Eval-Après impact'!$N$763:$P$763,"*T*")&gt;0,CJ11&lt;30)),AND('Eval-Après impact'!$A$764=BM12,OR(COUNTIF('Eval-Après impact'!$N$764:$P$764,"*T*")&gt;0,CJ12&lt;30)),AND('Eval-Après impact'!$A$765=BM12,OR(COUNTIF('Eval-Après impact'!$N$765:$P$765,"*T*")&gt;0,CJ13&lt;30)),AND('Eval-Après impact'!$A$766=BM12,OR(COUNTIF('Eval-Après impact'!$N$766:$P$766,"*T*")&gt;0,CJ14&lt;30)),AND('Eval-Après impact'!$A$767=BM12,OR(COUNTIF('Eval-Après impact'!$N$767:$P$767,"*T*")&gt;0,CJ15&lt;30)),AND('Eval-Après impact'!$A$768=BM12,OR(COUNTIF('Eval-Après impact'!$N$768:$P$768,"*T*")&gt;0,CJ16&lt;30)),AND('Eval-Après impact'!$A$769=BM12,OR(COUNTIF('Eval-Après impact'!$N$769:$P$769,"*T*")&gt;0,CJ17&lt;30)),AND('Eval-Après impact'!$A$770=BM12,OR(COUNTIF('Eval-Après impact'!$N$770:$P$770,"*T*")&gt;0,CJ18&lt;30)),AND('Eval-Après impact'!$A$771=BM12,OR(COUNTIF('Eval-Après impact'!$N$771:$P$771,"*T*")&gt;0,CJ19&lt;30)),AND('Eval-Après impact'!$A$772=BM12,OR(COUNTIF('Eval-Après impact'!$N$772:$P$772,"*T*")&gt;0,CJ20&lt;30)),AND('Eval-Après impact'!$A$773=BM12,OR(COUNTIF('Eval-Après impact'!$N$773:$P$773,"*T*")&gt;0,CJ21&lt;30)),AND('Eval-Après impact'!$A$774=BM12,OR(COUNTIF('Eval-Après impact'!$N$774:$P$774,"*T*")&gt;0,CJ22&lt;30)),AND('Eval-Après impact'!$A$775=BM12,OR(COUNTIF('Eval-Après impact'!$N$775:$P$775,"*T*")&gt;0,CJ23&lt;30)),AND('Eval-Après impact'!$A$776=BM12,OR(COUNTIF('Eval-Après impact'!$N$776:$P$776,"*T*")&gt;0,CJ24&lt;30)),AND('Eval-Après impact'!$A$777=BM12,OR(COUNTIF('Eval-Après impact'!$N$777:$P$777,"*T*")&gt;0,CJ25&lt;30)),AND('Eval-Après impact'!$A$778=BM12,OR(COUNTIF('Eval-Après impact'!$N$778:$P$778,"*T*")&gt;0,CJ26&lt;30)),AND('Eval-Après impact'!$A$779=BM12,OR(COUNTIF('Eval-Après impact'!$N$779:$P$779,"*T*")&gt;0,CJ27&lt;30)),AND('Eval-Après impact'!$A$780=BM12,OR(COUNTIF('Eval-Après impact'!$N$780:$P$780,"*T*")&gt;0,CJ28&lt;30))),"",SUM(1*(SUMPRODUCT(('Eval-Après impact'!$A$761:$A$780=BM12)*('Eval-Après impact'!$N$761:$P$780="A"))),0.85*(SUMPRODUCT(('Eval-Après impact'!$A$761:$A$780=BM12)*('Eval-Après impact'!$N$761:$P$780="AL"))),0.7*(SUMPRODUCT(('Eval-Après impact'!$A$761:$A$780=BM12)*('Eval-Après impact'!$N$761:$P$780="LA"))),0.55*(SUMPRODUCT(('Eval-Après impact'!$A$761:$A$780=BM12)*('Eval-Après impact'!$N$761:$P$780="L"))),0.4*(SUMPRODUCT(('Eval-Après impact'!$A$761:$A$780=BM12)*('Eval-Après impact'!$N$761:$P$780="LS"))),0.25*(SUMPRODUCT(('Eval-Après impact'!$A$761:$A$780=BM12)*('Eval-Après impact'!$N$761:$P$780="SL"))),0.1*(SUMPRODUCT(('Eval-Après impact'!$A$761:$A$780=BM12)*('Eval-Après impact'!$N$761:$P$780="S"))))/(3*COUNTIF('Eval-Après impact'!$A$761:$A$780,BM12))),"")</f>
        <v/>
      </c>
      <c r="CG12" s="214" t="str">
        <f>IF(COUNTIF('Eval-Après impact'!$A$761:$A$780,BM12)&gt;0,IF(OR(AND('Eval-Après impact'!$A$761=BM12,OR(COUNTIF('Eval-Après impact'!$Q$761:$Y$761,"*T*")&gt;0,CJ9&lt;120)),AND('Eval-Après impact'!$A$762=BM12,OR(COUNTIF('Eval-Après impact'!$Q$762:$Y$762,"*T*")&gt;0,CJ10&lt;120)),AND('Eval-Après impact'!$A$763=BM12,OR(COUNTIF('Eval-Après impact'!$Q$763:$Y$763,"*T*")&gt;0,CJ11&lt;120)),AND('Eval-Après impact'!$A$764=BM12,OR(COUNTIF('Eval-Après impact'!$Q$764:$Y$764,"*T*")&gt;0,CJ12&lt;120)),AND('Eval-Après impact'!$A$765=BM12,OR(COUNTIF('Eval-Après impact'!$Q$765:$Y$765,"*T*")&gt;0,CJ13&lt;120)),AND('Eval-Après impact'!$A$766=BM12,OR(COUNTIF('Eval-Après impact'!$Q$766:$Y$766,"*T*")&gt;0,CJ14&lt;120)),AND('Eval-Après impact'!$A$767=BM12,OR(COUNTIF('Eval-Après impact'!$Q$767:$Y$767,"*T*")&gt;0,CJ15&lt;120)),AND('Eval-Après impact'!$A$768=BM12,OR(COUNTIF('Eval-Après impact'!$Q$768:$Y$768,"*T*")&gt;0,CJ16&lt;120)),AND('Eval-Après impact'!$A$769=BM12,OR(COUNTIF('Eval-Après impact'!$Q$769:$Y$769,"*T*")&gt;0,CJ17&lt;120)),AND('Eval-Après impact'!$A$770=BM12,OR(COUNTIF('Eval-Après impact'!$Q$770:$Y$770,"*T*")&gt;0,CJ18&lt;120)),AND('Eval-Après impact'!$A$771=BM12,OR(COUNTIF('Eval-Après impact'!$Q$771:$Y$771,"*T*")&gt;0,CJ19&lt;120)),AND('Eval-Après impact'!$A$772=BM12,OR(COUNTIF('Eval-Après impact'!$Q$772:$Y$772,"*T*")&gt;0,CJ20&lt;120)),AND('Eval-Après impact'!$A$773=BM12,OR(COUNTIF('Eval-Après impact'!$Q$773:$Y$773,"*T*")&gt;0,CJ21&lt;120)),AND('Eval-Après impact'!$A$774=BM12,OR(COUNTIF('Eval-Après impact'!$Q$774:$Y$774,"*T*")&gt;0,CJ22&lt;120)),AND('Eval-Après impact'!$A$775=BM12,OR(COUNTIF('Eval-Après impact'!$Q$775:$Y$775,"*T*")&gt;0,CJ23&lt;120)),AND('Eval-Après impact'!$A$776=BM12,OR(COUNTIF('Eval-Après impact'!$Q$776:$Y$776,"*T*")&gt;0,CJ24&lt;120)),AND('Eval-Après impact'!$A$777=BM12,OR(COUNTIF('Eval-Après impact'!$Q$777:$Y$777,"*T*")&gt;0,CJ25&lt;120)),AND('Eval-Après impact'!$A$778=BM12,OR(COUNTIF('Eval-Après impact'!$Q$778:$Y$778,"*T*")&gt;0,CJ26&lt;120)),AND('Eval-Après impact'!$A$779=BM12,OR(COUNTIF('Eval-Après impact'!$Q$779:$Y$779,"*T*")&gt;0,CJ27&lt;120)),AND('Eval-Après impact'!$A$780=BM12,OR(COUNTIF('Eval-Après impact'!$Q$780:$Y$780,"*T*")&gt;0,CJ28&lt;120))),"",SUM(1*(SUMPRODUCT(('Eval-Après impact'!$A$761:$A$780=BM12)*('Eval-Après impact'!$Q$761:$Y$780="A"))),0.85*(SUMPRODUCT(('Eval-Après impact'!$A$761:$A$780=BM12)*('Eval-Après impact'!$Q$761:$Y$780="AL"))),0.7*(SUMPRODUCT(('Eval-Après impact'!$A$761:$A$780=BM12)*('Eval-Après impact'!$Q$761:$Y$780="LA"))),0.55*(SUMPRODUCT(('Eval-Après impact'!$A$761:$A$780=BM12)*('Eval-Après impact'!$Q$761:$Y$780="L"))),0.4*(SUMPRODUCT(('Eval-Après impact'!$A$761:$A$780=BM12)*('Eval-Après impact'!$Q$761:$Y$780="LS"))),0.25*(SUMPRODUCT(('Eval-Après impact'!$A$761:$A$780=BM12)*('Eval-Après impact'!$Q$761:$Y$780="SL"))),0.1*(SUMPRODUCT(('Eval-Après impact'!$A$761:$A$780=BM12)*('Eval-Après impact'!$Q$761:$Y$780="S"))))/(9*COUNTIF('Eval-Après impact'!$A$761:$A$780,BM12))),"")</f>
        <v/>
      </c>
      <c r="CH12" s="215"/>
      <c r="CI12" s="216">
        <f>'Eval-Après impact'!$D$764</f>
        <v>4</v>
      </c>
      <c r="CJ12" s="217" t="str">
        <f>IF(CK12="C",0,IF(IF(COUNTIF('Eval-Après impact'!$N$764:$Y$764,"=C")&gt;0,(COUNTA('Eval-Après impact'!$N$764:$Y$764)-1)*10,COUNTA('Eval-Après impact'!$N$764:$Y$764)*10)=0,"",IF(COUNTIF('Eval-Après impact'!$N$764:$Y$764,"=C")&gt;0,(COUNTA('Eval-Après impact'!$N$764:$Y$764)-1)*10,COUNTA('Eval-Après impact'!$N$764:$Y$764)*10)))</f>
        <v/>
      </c>
      <c r="CK12" s="217" t="str">
        <f>CONCATENATE('Eval-Après impact'!$N$764,'Eval-Après impact'!$O$764,'Eval-Après impact'!$P$764,'Eval-Après impact'!$Q$764,'Eval-Après impact'!$R$764,'Eval-Après impact'!$S$764,'Eval-Après impact'!$T$764,'Eval-Après impact'!$U$764,'Eval-Après impact'!$V$764,'Eval-Après impact'!$W$764,'Eval-Après impact'!$X$764,'Eval-Après impact'!$Y$764)</f>
        <v/>
      </c>
      <c r="CL12" s="217" t="str">
        <f t="shared" si="8"/>
        <v/>
      </c>
      <c r="CM12" s="217" t="str">
        <f t="shared" si="9"/>
        <v/>
      </c>
      <c r="CN12" s="217" t="str">
        <f>IF(COUNTIF('Eval-Après impact'!$N$764:$Y$764,"=C")&gt;0,"X","")</f>
        <v/>
      </c>
      <c r="CO12" s="217" t="str">
        <f t="shared" si="10"/>
        <v/>
      </c>
      <c r="CP12" s="218" t="str">
        <f t="shared" si="11"/>
        <v/>
      </c>
      <c r="CQ12" s="197"/>
      <c r="CS12" s="210">
        <v>4</v>
      </c>
      <c r="CT12" s="211" t="str">
        <f>IF(COUNTIF('Eval-Avant action écologique'!$A$761:$A$780,CS12)&gt;0,SUM(IF('Eval-Avant action écologique'!$A$761=CS12,'Eval-Avant action écologique'!$B$761,0),IF('Eval-Avant action écologique'!$A$762=CS12, 'Eval-Avant action écologique'!$B$762,0),IF('Eval-Avant action écologique'!$A$763=CS12, 'Eval-Avant action écologique'!$B$763,0),IF('Eval-Avant action écologique'!$A$764=CS12, 'Eval-Avant action écologique'!$B$764,0),IF('Eval-Avant action écologique'!$A$765=CS12, 'Eval-Avant action écologique'!$B$765,0),IF('Eval-Avant action écologique'!$A$766=CS12, 'Eval-Avant action écologique'!$B$766,0),IF('Eval-Avant action écologique'!$A$767=CS12, 'Eval-Avant action écologique'!$B$767,0),IF('Eval-Avant action écologique'!$A$768=CS12, 'Eval-Avant action écologique'!$B$768,0),IF('Eval-Avant action écologique'!$A$769=CS12, 'Eval-Avant action écologique'!$B$769,0),IF('Eval-Avant action écologique'!$A$770=CS12, 'Eval-Avant action écologique'!$B$770,0),IF('Eval-Avant action écologique'!$A$771=CS12, 'Eval-Avant action écologique'!$B$771,0),IF('Eval-Avant action écologique'!$A$772=CS12, 'Eval-Avant action écologique'!$B$772,0),IF('Eval-Avant action écologique'!$A$773=CS12, 'Eval-Avant action écologique'!$B$773,0),IF('Eval-Avant action écologique'!$A$774=CS12, 'Eval-Avant action écologique'!$B$774,0),IF('Eval-Avant action écologique'!$A$775=CS12, 'Eval-Avant action écologique'!$B$775,0),IF('Eval-Avant action écologique'!$A$776=CS12, 'Eval-Avant action écologique'!$B$776,0),IF('Eval-Avant action écologique'!$A$777=CS12, 'Eval-Avant action écologique'!$B$777,0),IF('Eval-Avant action écologique'!$A$778=CS12, 'Eval-Avant action écologique'!$B$778,0),IF('Eval-Avant action écologique'!$A$779=CS12, 'Eval-Avant action écologique'!$B$779,0),IF('Eval-Avant action écologique'!$A$780=CS12, 'Eval-Avant action écologique'!$B$780,0))/COUNTIF('Eval-Avant action écologique'!$A$761:$A$780,CS12),"")</f>
        <v/>
      </c>
      <c r="CU12" s="212" t="str">
        <f>IF(COUNTIF('Eval-Avant action écologique'!$A$761:$A$780,CS12)&gt;0,COUNTIF('Eval-Avant action écologique'!$A$761:$A$780,CS12),"")</f>
        <v/>
      </c>
      <c r="CV12" s="211" t="str">
        <f>IF(COUNTIF('Eval-Avant action écologique'!$A$761:$A$780,CS12)&gt;0,IF(OR(AND('Eval-Avant action écologique'!$A$761=CS12, 'Eval-Avant action écologique'!$G$761=""),AND('Eval-Avant action écologique'!$A$762=CS12, 'Eval-Avant action écologique'!$G$762=""),AND('Eval-Avant action écologique'!$A$763=CS12, 'Eval-Avant action écologique'!$G$763=""),AND('Eval-Avant action écologique'!$A$764=CS12, 'Eval-Avant action écologique'!$G$764=""),AND('Eval-Avant action écologique'!$A$765=CS12, 'Eval-Avant action écologique'!$G$765=""),AND('Eval-Avant action écologique'!$A$766=CS12, 'Eval-Avant action écologique'!$G$766=""),AND('Eval-Avant action écologique'!$A$767=CS12, 'Eval-Avant action écologique'!$G$767=""),AND('Eval-Avant action écologique'!$A$768=CS12, 'Eval-Avant action écologique'!$G$768=""),AND('Eval-Avant action écologique'!$A$769=CS12, 'Eval-Avant action écologique'!$G$769=""),AND('Eval-Avant action écologique'!$A$770=CS12, 'Eval-Avant action écologique'!$G$770=""),AND('Eval-Avant action écologique'!$A$771=CS12, 'Eval-Avant action écologique'!$G$771=""),AND('Eval-Avant action écologique'!$A$772=CS12, 'Eval-Avant action écologique'!$G$772=""),AND('Eval-Avant action écologique'!$A$773=CS12, 'Eval-Avant action écologique'!$G$773=""),AND('Eval-Avant action écologique'!$A$774=CS12, 'Eval-Avant action écologique'!$G$774=""),AND('Eval-Avant action écologique'!$A$775=CS12, 'Eval-Avant action écologique'!$G$775=""),AND('Eval-Avant action écologique'!$A$776=CS12, 'Eval-Avant action écologique'!$G$776=""),AND('Eval-Avant action écologique'!$A$777=CS12, 'Eval-Avant action écologique'!$G$777=""),AND('Eval-Avant action écologique'!$A$778=CS12, 'Eval-Avant action écologique'!$G$778=""),AND('Eval-Avant action écologique'!$A$779=CS12, 'Eval-Avant action écologique'!$G$779=""),AND('Eval-Avant action écologique'!$A$780=CS12, 'Eval-Avant action écologique'!$G$780="")),"",SUM(IF('Eval-Avant action écologique'!$A$761=CS12,'Eval-Avant action écologique'!$G$761,0),IF('Eval-Avant action écologique'!$A$762=CS12,'Eval-Avant action écologique'!$G$762,0),IF('Eval-Avant action écologique'!$A$763=CS12,'Eval-Avant action écologique'!$G$763,0),IF('Eval-Avant action écologique'!$A$764=CS12,'Eval-Avant action écologique'!$G$764,0),IF('Eval-Avant action écologique'!$A$765=CS12,'Eval-Avant action écologique'!$G$765,0),IF('Eval-Avant action écologique'!$A$766=CS12,'Eval-Avant action écologique'!$G$766,0),IF('Eval-Avant action écologique'!$A$767=CS12,'Eval-Avant action écologique'!$G$767,0),IF('Eval-Avant action écologique'!$A$768=CS12,'Eval-Avant action écologique'!$G$768,0),IF('Eval-Avant action écologique'!$A$769=CS12,'Eval-Avant action écologique'!$G$769,0),IF('Eval-Avant action écologique'!$A$770=CS12,'Eval-Avant action écologique'!$G$770,0),IF('Eval-Avant action écologique'!$A$771=CS12,'Eval-Avant action écologique'!$G$771,0),IF('Eval-Avant action écologique'!$A$772=CS12,'Eval-Avant action écologique'!$G$772,0),IF('Eval-Avant action écologique'!$A$773=CS12,'Eval-Avant action écologique'!$G$773,0),IF('Eval-Avant action écologique'!$A$774=CS12,'Eval-Avant action écologique'!$G$774,0),IF('Eval-Avant action écologique'!$A$775=CS12,'Eval-Avant action écologique'!$G$775,0), IF('Eval-Avant action écologique'!$A$776=CS12,'Eval-Avant action écologique'!$G$776,0), IF('Eval-Avant action écologique'!$A$777=CS12,'Eval-Avant action écologique'!$G$777,0), IF('Eval-Avant action écologique'!$A$778=CS12,'Eval-Avant action écologique'!$G$778,0), IF('Eval-Avant action écologique'!$A$779=CS12,'Eval-Avant action écologique'!$G$779,0), IF('Eval-Avant action écologique'!$A$780=CS12,'Eval-Avant action écologique'!$G$780,0))/ COUNTIF('Eval-Avant action écologique'!$A$761:$A$780,CS12)),"")</f>
        <v/>
      </c>
      <c r="CW12" s="212" t="str">
        <f>IF(COUNTIF('Eval-Avant action écologique'!$A$761:$A$780,CS12)&gt;0,IF(SUM(IF('Eval-Avant action écologique'!$A$761=CS12,COUNTA('Eval-Avant action écologique'!$H$761),0),IF('Eval-Avant action écologique'!$A$762=CS12,COUNTA('Eval-Avant action écologique'!$H$762),0),IF('Eval-Avant action écologique'!$A$763=CS12,COUNTA('Eval-Avant action écologique'!$H$763),0),IF('Eval-Avant action écologique'!$A$764=CS12,COUNTA('Eval-Avant action écologique'!$H$764),0),IF('Eval-Avant action écologique'!$A$765=CS12,COUNTA('Eval-Avant action écologique'!$H$765),0),IF('Eval-Avant action écologique'!$A$766=CS12,COUNTA('Eval-Avant action écologique'!$H$766),0),IF('Eval-Avant action écologique'!$A$767=CS12,COUNTA('Eval-Avant action écologique'!$H$767),0),IF('Eval-Avant action écologique'!$A$768=CS12,COUNTA('Eval-Avant action écologique'!$H$768),0),IF('Eval-Avant action écologique'!$A$769=CS12,COUNTA('Eval-Avant action écologique'!$H$769),0),IF('Eval-Avant action écologique'!$A$770=CS12,COUNTA('Eval-Avant action écologique'!$H$770),0),IF('Eval-Avant action écologique'!$A$771=CS12,COUNTA('Eval-Avant action écologique'!$H$771),0),IF('Eval-Avant action écologique'!$A$772=CS12,COUNTA('Eval-Avant action écologique'!$H$772),0),IF('Eval-Avant action écologique'!$A$773=CS12,COUNTA('Eval-Avant action écologique'!$H$773),0),IF('Eval-Avant action écologique'!$A$774=CS12,COUNTA('Eval-Avant action écologique'!$H$774),0),IF('Eval-Avant action écologique'!$A$775=CS12,COUNTA('Eval-Avant action écologique'!$H$775),0),IF('Eval-Avant action écologique'!$A$776=CS12,COUNTA('Eval-Avant action écologique'!$H$776),0),IF('Eval-Avant action écologique'!$A$777=CS12,COUNTA('Eval-Avant action écologique'!$H$777),0),IF('Eval-Avant action écologique'!$A$778=CS12,COUNTA('Eval-Avant action écologique'!$H$778),0),IF('Eval-Avant action écologique'!$A$779=CS12,COUNTA('Eval-Avant action écologique'!$H$779),0),IF('Eval-Avant action écologique'!$A$780=CS12,COUNTA('Eval-Avant action écologique'!$H$780),0))&gt;0,"X",0),"")</f>
        <v/>
      </c>
      <c r="CX12" s="213" t="str">
        <f>IF(COUNTIF('Eval-Avant action écologique'!$A$761:$A$780,CS12)&gt;0,IF(SUM(IF('Eval-Avant action écologique'!$A$761=CS12,COUNTA('Eval-Avant action écologique'!$I$761),0),IF('Eval-Avant action écologique'!$A$762=CS12,COUNTA('Eval-Avant action écologique'!$I$762),0),IF('Eval-Avant action écologique'!$A$763=CS12,COUNTA('Eval-Avant action écologique'!$I$763),0),IF('Eval-Avant action écologique'!$A$764=CS12,COUNTA('Eval-Avant action écologique'!$I$764),0),IF('Eval-Avant action écologique'!$A$765=CS12,COUNTA('Eval-Avant action écologique'!$I$765),0),IF('Eval-Avant action écologique'!$A$766=CS12,COUNTA('Eval-Avant action écologique'!$I$766),0),IF('Eval-Avant action écologique'!$A$767=CS12,COUNTA('Eval-Avant action écologique'!$I$767),0),IF('Eval-Avant action écologique'!$A$768=CS12,COUNTA('Eval-Avant action écologique'!$I$768),0),IF('Eval-Avant action écologique'!$A$769=CS12,COUNTA('Eval-Avant action écologique'!$I$769),0),IF('Eval-Avant action écologique'!$A$770=CS12,COUNTA('Eval-Avant action écologique'!$I$770),0),IF('Eval-Avant action écologique'!$A$771=CS12,COUNTA('Eval-Avant action écologique'!$I$771),0),IF('Eval-Avant action écologique'!$A$772=CS12,COUNTA('Eval-Avant action écologique'!$I$772),0),IF('Eval-Avant action écologique'!$A$773=CS12,COUNTA('Eval-Avant action écologique'!$I$773),0),IF('Eval-Avant action écologique'!$A$774=CS12,COUNTA('Eval-Avant action écologique'!$I$774),0),IF('Eval-Avant action écologique'!$A$775=CS12,COUNTA('Eval-Avant action écologique'!$I$775),0),IF('Eval-Avant action écologique'!$A$776=CS12,COUNTA('Eval-Avant action écologique'!$I$776),0),IF('Eval-Avant action écologique'!$A$777=CS12,COUNTA('Eval-Avant action écologique'!$I$777),0),IF('Eval-Avant action écologique'!$A$778=CS12,COUNTA('Eval-Avant action écologique'!$I$778),0),IF('Eval-Avant action écologique'!$A$779=CS12,COUNTA('Eval-Avant action écologique'!$I$779),0),IF('Eval-Avant action écologique'!$A$780=CS12,COUNTA('Eval-Avant action écologique'!$I$780),0))&gt;0,"X",0),"")</f>
        <v/>
      </c>
      <c r="CY12" s="213" t="str">
        <f>IF(COUNTIF('Eval-Avant action écologique'!$A$761:$A$780,CS12)&gt;0,IF(SUM(IF('Eval-Avant action écologique'!$A$761=CS12,COUNTA('Eval-Avant action écologique'!$J$761),0),IF('Eval-Avant action écologique'!$A$762=CS12,COUNTA('Eval-Avant action écologique'!$J$762),0),IF('Eval-Avant action écologique'!$A$763=CS12,COUNTA('Eval-Avant action écologique'!$J$763),0),IF('Eval-Avant action écologique'!$A$764=CS12,COUNTA('Eval-Avant action écologique'!$J$764),0),IF('Eval-Avant action écologique'!$A$765=CS12,COUNTA('Eval-Avant action écologique'!$J$765),0),IF('Eval-Avant action écologique'!$A$766=CS12,COUNTA('Eval-Avant action écologique'!$J$766),0),IF('Eval-Avant action écologique'!$A$767=CS12,COUNTA('Eval-Avant action écologique'!$J$767),0),IF('Eval-Avant action écologique'!$A$768=CS12,COUNTA('Eval-Avant action écologique'!$J$768),0),IF('Eval-Avant action écologique'!$A$769=CS12,COUNTA('Eval-Avant action écologique'!$J$769),0),IF('Eval-Avant action écologique'!$A$770=CS12,COUNTA('Eval-Avant action écologique'!$J$770),0),IF('Eval-Avant action écologique'!$A$771=CS12,COUNTA('Eval-Avant action écologique'!$J$771),0),IF('Eval-Avant action écologique'!$A$772=CS12,COUNTA('Eval-Avant action écologique'!$J$772),0),IF('Eval-Avant action écologique'!$A$773=CS12,COUNTA('Eval-Avant action écologique'!$J$773),0),IF('Eval-Avant action écologique'!$A$774=CS12,COUNTA('Eval-Avant action écologique'!$J$774),0),IF('Eval-Avant action écologique'!$A$775=CS12,COUNTA('Eval-Avant action écologique'!$J$775),0),IF('Eval-Avant action écologique'!$A$776=CS12,COUNTA('Eval-Avant action écologique'!$J$776),0),IF('Eval-Avant action écologique'!$A$777=CS12,COUNTA('Eval-Avant action écologique'!$J$777),0),IF('Eval-Avant action écologique'!$A$778=CS12,COUNTA('Eval-Avant action écologique'!$J$778),0),IF('Eval-Avant action écologique'!$A$779=CS12,COUNTA('Eval-Avant action écologique'!$J$779),0),IF('Eval-Avant action écologique'!$A$780=CS12,COUNTA('Eval-Avant action écologique'!$J$780),0))&gt;0,"X",0),"")</f>
        <v/>
      </c>
      <c r="CZ12" s="213" t="str">
        <f>IF(COUNTIF('Eval-Avant action écologique'!$A$761:$A$780,CS12)&gt;0,IF(SUM(IF('Eval-Avant action écologique'!$A$761=CS12,COUNTA('Eval-Avant action écologique'!$K$761),0),IF('Eval-Avant action écologique'!$A$762=CS12,COUNTA('Eval-Avant action écologique'!$K$762),0),IF('Eval-Avant action écologique'!$A$763=CS12,COUNTA('Eval-Avant action écologique'!$K$763),0),IF('Eval-Avant action écologique'!$A$764=CS12,COUNTA('Eval-Avant action écologique'!$K$764),0),IF('Eval-Avant action écologique'!$A$765=CS12,COUNTA('Eval-Avant action écologique'!$K$765),0),IF('Eval-Avant action écologique'!$A$766=CS12,COUNTA('Eval-Avant action écologique'!$K$766),0),IF('Eval-Avant action écologique'!$A$767=CS12,COUNTA('Eval-Avant action écologique'!$K$767),0),IF('Eval-Avant action écologique'!$A$768=CS12,COUNTA('Eval-Avant action écologique'!$K$768),0),IF('Eval-Avant action écologique'!$A$769=CS12,COUNTA('Eval-Avant action écologique'!$K$769),0),IF('Eval-Avant action écologique'!$A$770=CS12,COUNTA('Eval-Avant action écologique'!$K$770),0),IF('Eval-Avant action écologique'!$A$771=CS12,COUNTA('Eval-Avant action écologique'!$K$771),0),IF('Eval-Avant action écologique'!$A$772=CS12,COUNTA('Eval-Avant action écologique'!$K$772),0),IF('Eval-Avant action écologique'!$A$773=CS12,COUNTA('Eval-Avant action écologique'!$K$773),0),IF('Eval-Avant action écologique'!$A$774=CS12,COUNTA('Eval-Avant action écologique'!$K$774),0),IF('Eval-Avant action écologique'!$A$775=CS12,COUNTA('Eval-Avant action écologique'!$K$775),0),IF('Eval-Avant action écologique'!$A$776=CS12,COUNTA('Eval-Avant action écologique'!$K$776),0),IF('Eval-Avant action écologique'!$A$777=CS12,COUNTA('Eval-Avant action écologique'!$K$777),0),IF('Eval-Avant action écologique'!$A$778=CS12,COUNTA('Eval-Avant action écologique'!$K$778),0),IF('Eval-Avant action écologique'!$A$779=CS12,COUNTA('Eval-Avant action écologique'!$K$779),0),IF('Eval-Avant action écologique'!$A$780=CS12,COUNTA('Eval-Avant action écologique'!$K$780),0))&gt;0,"X",0),"")</f>
        <v/>
      </c>
      <c r="DA12" s="211" t="str">
        <f>IF(COUNTIF('Eval-Avant action écologique'!$A$761:$A$780,CS12)&gt;0,IF(OR(AND('Eval-Avant action écologique'!$A$761=CS12,'Eval-Avant action écologique'!$L$761&lt;120,'Eval-Avant action écologique'!$L$761&gt;=DP9),AND('Eval-Avant action écologique'!$A$762=CS12,'Eval-Avant action écologique'!$L$762&lt;120,'Eval-Avant action écologique'!$L$762&gt;=DP10),AND('Eval-Avant action écologique'!$A$763=CS12,'Eval-Avant action écologique'!$L$763&lt;120,'Eval-Avant action écologique'!$L$763&gt;=DP11),AND('Eval-Avant action écologique'!$A$764=CS12,'Eval-Avant action écologique'!$L$764&lt;120,'Eval-Avant action écologique'!$L$764&gt;=DP12),AND('Eval-Avant action écologique'!$A$765=CS12,'Eval-Avant action écologique'!$L$765&lt;120,'Eval-Avant action écologique'!$L$765&gt;=DP13),AND('Eval-Avant action écologique'!$A$766=CS12,'Eval-Avant action écologique'!$L$766&lt;120,'Eval-Avant action écologique'!$L$766&gt;=DP14),AND('Eval-Avant action écologique'!$A$767=CS12,'Eval-Avant action écologique'!$L$767&lt;120,'Eval-Avant action écologique'!$L$767&gt;=DP15),AND('Eval-Avant action écologique'!$A$768=CS12,'Eval-Avant action écologique'!$L$768&lt;120,'Eval-Avant action écologique'!$L$768&gt;=DP16),AND('Eval-Avant action écologique'!$A$769=CS12,'Eval-Avant action écologique'!$L$769&lt;120,'Eval-Avant action écologique'!$L$769&gt;=DP17),AND('Eval-Avant action écologique'!$A$770=CS12,'Eval-Avant action écologique'!$L$770&lt;120,'Eval-Avant action écologique'!$L$770&gt;=DP18),AND('Eval-Avant action écologique'!$A$771=CS12,'Eval-Avant action écologique'!$L$771&lt;120,'Eval-Avant action écologique'!$L$771&gt;=DP19),AND('Eval-Avant action écologique'!$A$772=CS12,'Eval-Avant action écologique'!$L$772&lt;120,'Eval-Avant action écologique'!$L$772&gt;=DP20),AND('Eval-Avant action écologique'!$A$773=CS12,'Eval-Avant action écologique'!$L$773&lt;120,'Eval-Avant action écologique'!$L$773&gt;=DP21),AND('Eval-Avant action écologique'!$A$774=CS12,'Eval-Avant action écologique'!$L$774&lt;120,'Eval-Avant action écologique'!$L$774&gt;=DP22),AND('Eval-Avant action écologique'!$A$775=CS12,'Eval-Avant action écologique'!$L$775&lt;120,'Eval-Avant action écologique'!$L$775&gt;=DP23),AND('Eval-Avant action écologique'!$A$776=CS12,'Eval-Avant action écologique'!$L$776&lt;120,'Eval-Avant action écologique'!$L$776&gt;=DP24),AND('Eval-Avant action écologique'!$A$777=CS12,'Eval-Avant action écologique'!$L$777&lt;120,'Eval-Avant action écologique'!$L$777&gt;=DP25),AND('Eval-Avant action écologique'!$A$778=CS12,'Eval-Avant action écologique'!$L$778&lt;120,'Eval-Avant action écologique'!$L$778&gt;=DP26),AND('Eval-Avant action écologique'!$A$779=CS12,'Eval-Avant action écologique'!$L$779&lt;120,'Eval-Avant action écologique'!$L$779&gt;=DP27),AND('Eval-Avant action écologique'!$A$780=CS12,'Eval-Avant action écologique'!$L$780&lt;120,'Eval-Avant action écologique'!$L$780&gt;=DP28)),"",SUM(IF('Eval-Avant action écologique'!$A$761=CS12,'Eval-Avant action écologique'!$L$761,0),IF('Eval-Avant action écologique'!$A$762=CS12,'Eval-Avant action écologique'!$L$762,0),IF('Eval-Avant action écologique'!$A$763=CS12,'Eval-Avant action écologique'!$L$763,0),IF('Eval-Avant action écologique'!$A$764=CS12,'Eval-Avant action écologique'!$L$764,0),IF('Eval-Avant action écologique'!$A$765=CS12,'Eval-Avant action écologique'!$L$765,0),IF('Eval-Avant action écologique'!$A$766=CS12,'Eval-Avant action écologique'!$L$766,0),IF('Eval-Avant action écologique'!$A$767=CS12,'Eval-Avant action écologique'!$L$767,0),IF('Eval-Avant action écologique'!$A$768=CS12,'Eval-Avant action écologique'!$L$768,0),IF('Eval-Avant action écologique'!$A$769=CS12,'Eval-Avant action écologique'!$L$769,0),IF('Eval-Avant action écologique'!$A$770=CS12,'Eval-Avant action écologique'!$L$770,0),IF('Eval-Avant action écologique'!$A$771=CS12,'Eval-Avant action écologique'!$L$771,0),IF('Eval-Avant action écologique'!$A$772=CS12,'Eval-Avant action écologique'!$L$772,0),IF('Eval-Avant action écologique'!$A$773=CS12,'Eval-Avant action écologique'!$L$773,0),IF('Eval-Avant action écologique'!$A$774=CS12,'Eval-Avant action écologique'!$L$774,0),IF('Eval-Avant action écologique'!$A$775=CS12,'Eval-Avant action écologique'!$L$775,0),IF('Eval-Avant action écologique'!$A$776=CS12,'Eval-Avant action écologique'!$L$776,0),IF('Eval-Avant action écologique'!$A$777=CS12,'Eval-Avant action écologique'!$L$777,0),IF('Eval-Avant action écologique'!$A$778=CS12,'Eval-Avant action écologique'!$L$778,0),IF('Eval-Avant action écologique'!$A$779=CS12,'Eval-Avant action écologique'!$L$779,0),IF('Eval-Avant action écologique'!$A$780=CS12,'Eval-Avant action écologique'!$L$780,0))/ COUNTIF('Eval-Avant action écologique'!$A$761:$A$780,CS12)),"")</f>
        <v/>
      </c>
      <c r="DB12" s="211" t="str">
        <f>IF(COUNTIF('Eval-Avant action écologique'!$A$761:$A$780,CS12)&gt;0,IF(OR(AND('Eval-Avant action écologique'!$A$761=CS12, DP9&lt;120),AND(DP10&lt;120),AND(DP11&lt;120),AND(DP12&lt;120),AND(DP13&lt;120),AND(DP14&lt;120),AND(DP15&lt;120),AND(DP16&lt;120),AND(DP17&lt;120),AND(DP18&lt;120),AND(DP19&lt;120),AND(DP20&lt;120),AND(DP21&lt;120),AND(DP22&lt;120),AND(DP23&lt;120),AND(DP24&lt;120),AND(DP25&lt;120),AND(DP26&lt;120),AND(DP27&lt;120),AND(DP28&lt;120)),"",SUM(IF('Eval-Avant action écologique'!$A$761=CS12,'Eval-Avant action écologique'!$M$761,0),IF('Eval-Avant action écologique'!$A$762=CS12,'Eval-Avant action écologique'!$M$762,0),IF('Eval-Avant action écologique'!$A$763=CS12,'Eval-Avant action écologique'!$M$763,0),IF('Eval-Avant action écologique'!$A$764=CS12,'Eval-Avant action écologique'!$M$764,0),IF('Eval-Avant action écologique'!$A$765=CS12,'Eval-Avant action écologique'!$M$765,0),IF('Eval-Avant action écologique'!$A$766=CS12,'Eval-Avant action écologique'!$M$766,0),IF('Eval-Avant action écologique'!$A$767=CS12,'Eval-Avant action écologique'!$M$767,0),IF('Eval-Avant action écologique'!$A$768=CS12,'Eval-Avant action écologique'!$M$768,0),IF('Eval-Avant action écologique'!$A$769=CS12,'Eval-Avant action écologique'!$M$769,0),IF('Eval-Avant action écologique'!$A$770=CS12,'Eval-Avant action écologique'!$M$770,0),IF('Eval-Avant action écologique'!$A$771=CS12,'Eval-Avant action écologique'!$M$771,0),IF('Eval-Avant action écologique'!$A$772=CS12,'Eval-Avant action écologique'!$M$772,0),IF('Eval-Avant action écologique'!$A$773=CS12,'Eval-Avant action écologique'!$M$773,0),IF('Eval-Avant action écologique'!$A$774=CS12,'Eval-Avant action écologique'!$M$774,0),IF('Eval-Avant action écologique'!$A$775=CS12,'Eval-Avant action écologique'!$M$775,0), IF('Eval-Avant action écologique'!$A$776=CS12,'Eval-Avant action écologique'!$M$776,0), IF('Eval-Avant action écologique'!$A$777=CS12,'Eval-Avant action écologique'!$M$777,0), IF('Eval-Avant action écologique'!$A$778=CS12,'Eval-Avant action écologique'!$M$778,0), IF('Eval-Avant action écologique'!$A$779=CS12,'Eval-Avant action écologique'!$M$779,0), IF('Eval-Avant action écologique'!$A$780=CS12,'Eval-Avant action écologique'!$M$780,0))/COUNTIF('Eval-Avant action écologique'!$A$761:$A$780,CS12)),"")</f>
        <v/>
      </c>
      <c r="DC12" s="211" t="str">
        <f>IF(COUNTIF('Eval-Avant action écologique'!$A$761:$A$780,CS12)&gt;0,SUM(IF('Eval-Avant action écologique'!$A$761=CS12,LEN(SUBSTITUTE((SUBSTITUTE(DR9,"TM","")),"TS",""))*10/2,0),IF('Eval-Avant action écologique'!$A$762=CS12,LEN(SUBSTITUTE((SUBSTITUTE(DR10,"TM","")),"TS",""))*10/2,0),IF('Eval-Avant action écologique'!$A$763=CS12,LEN(SUBSTITUTE((SUBSTITUTE(DR11,"TM","")),"TS",""))*10/2,0),IF('Eval-Avant action écologique'!$A$764=CS12,LEN(SUBSTITUTE((SUBSTITUTE(DR12,"TM","")),"TS",""))*10/2,0),IF('Eval-Avant action écologique'!$A$765=CS12,LEN(SUBSTITUTE((SUBSTITUTE(DR13,"TM","")),"TS",""))*10/2,0),IF('Eval-Avant action écologique'!$A$766=CS12,LEN(SUBSTITUTE((SUBSTITUTE(DR14,"TM","")),"TS",""))*10/2,0),IF('Eval-Avant action écologique'!$A$767=CS12,LEN(SUBSTITUTE((SUBSTITUTE(DR15,"TM","")),"TS",""))*10/2,0),IF('Eval-Avant action écologique'!$A$768=CS12,LEN(SUBSTITUTE((SUBSTITUTE(DR16,"TM","")),"TS",""))*10/2,0),IF('Eval-Avant action écologique'!$A$769=CS12,LEN(SUBSTITUTE((SUBSTITUTE(DR17,"TM","")),"TS",""))*10/2,0),IF('Eval-Avant action écologique'!$A$770=CS12,LEN(SUBSTITUTE((SUBSTITUTE(DR18,"TM","")),"TS",""))*10/2,0),IF('Eval-Avant action écologique'!$A$771=CS12,LEN(SUBSTITUTE((SUBSTITUTE(DR19,"TM","")),"TS",""))*10/2,0),IF('Eval-Avant action écologique'!$A$772=CS12,LEN(SUBSTITUTE((SUBSTITUTE(DR20,"TM","")),"TS",""))*10/2,0),IF('Eval-Avant action écologique'!$A$773=CS12,LEN(SUBSTITUTE((SUBSTITUTE(DR21,"TM","")),"TS",""))*10/2,0),IF('Eval-Avant action écologique'!$A$774=CS12,LEN(SUBSTITUTE((SUBSTITUTE(DR22,"TM","")),"TS",""))*10/2,0),IF('Eval-Avant action écologique'!$A$775=CS12,LEN(SUBSTITUTE((SUBSTITUTE(DR23,"TM","")),"TS",""))*10/2,0),IF('Eval-Avant action écologique'!$A$776=CS12,LEN(SUBSTITUTE((SUBSTITUTE(DR24,"TM","")),"TS",""))*10/2,0),IF('Eval-Avant action écologique'!$A$777=CS12,LEN(SUBSTITUTE((SUBSTITUTE(DR25,"TM","")),"TS",""))*10/2,0),IF('Eval-Avant action écologique'!$A$778=CS12,LEN(SUBSTITUTE((SUBSTITUTE(DR26,"TM","")),"TS",""))*10/2,0),IF('Eval-Avant action écologique'!$A$779=CS12,LEN(SUBSTITUTE((SUBSTITUTE(DR27,"TM","")),"TS",""))*10/2,0),IF('Eval-Avant action écologique'!$A$780=CS12,LEN(SUBSTITUTE((SUBSTITUTE(DR28,"TM","")),"TS",""))*10/2,0))/COUNTIF('Eval-Avant action écologique'!$A$761:$A$780,CS12),"")</f>
        <v/>
      </c>
      <c r="DD12" s="211" t="str">
        <f>IF(COUNTIF('Eval-Avant action écologique'!$A$761:$A$780,CS12)&gt;0,SUM(IF('Eval-Avant action écologique'!$A$761=CS12,LEN(SUBSTITUTE((SUBSTITUTE(DR9,"TF","")),"TS",""))*10/2,0),IF('Eval-Avant action écologique'!$A$762=CS12,LEN(SUBSTITUTE((SUBSTITUTE(DR10,"TF","")),"TS",""))*10/2,0),IF('Eval-Avant action écologique'!$A$763=CS12,LEN(SUBSTITUTE((SUBSTITUTE(DR11,"TF","")),"TS",""))*10/2,0),IF('Eval-Avant action écologique'!$A$764=CS12,LEN(SUBSTITUTE((SUBSTITUTE(DR12,"TF","")),"TS",""))*10/2,0),IF('Eval-Avant action écologique'!$A$765=CS12,LEN(SUBSTITUTE((SUBSTITUTE(DR13,"TF","")),"TS",""))*10/2,0),IF('Eval-Avant action écologique'!$A$766=CS12,LEN(SUBSTITUTE((SUBSTITUTE(DR14,"TF","")),"TS",""))*10/2,0),IF('Eval-Avant action écologique'!$A$767=CS12,LEN(SUBSTITUTE((SUBSTITUTE(DR15,"TF","")),"TS",""))*10/2,0),IF('Eval-Avant action écologique'!$A$768=CS12,LEN(SUBSTITUTE((SUBSTITUTE(DR16,"TF","")),"TS",""))*10/2,0),IF('Eval-Avant action écologique'!$A$769=CS12,LEN(SUBSTITUTE((SUBSTITUTE(DR17,"TF","")),"TS",""))*10/2,0),IF('Eval-Avant action écologique'!$A$770=CS12,LEN(SUBSTITUTE((SUBSTITUTE(DR18,"TF","")),"TS",""))*10/2,0),IF('Eval-Avant action écologique'!$A$771=CS12,LEN(SUBSTITUTE((SUBSTITUTE(DR19,"TF","")),"TS",""))*10/2,0),IF('Eval-Avant action écologique'!$A$772=CS12,LEN(SUBSTITUTE((SUBSTITUTE(DR20,"TF","")),"TS",""))*10/2,0),IF('Eval-Avant action écologique'!$A$773=CS12,LEN(SUBSTITUTE((SUBSTITUTE(DR21,"TF","")),"TS",""))*10/2,0),IF('Eval-Avant action écologique'!$A$774=CS12,LEN(SUBSTITUTE((SUBSTITUTE(DR22,"TF","")),"TS",""))*10/2,0),IF('Eval-Avant action écologique'!$A$775=CS12,LEN(SUBSTITUTE((SUBSTITUTE(DR23,"TF","")),"TS",""))*10/2,0),IF('Eval-Avant action écologique'!$A$776=CS12,LEN(SUBSTITUTE((SUBSTITUTE(DR24,"TF","")),"TS",""))*10/2,0),IF('Eval-Avant action écologique'!$A$777=CS12,LEN(SUBSTITUTE((SUBSTITUTE(DR25,"TF","")),"TS",""))*10/2,0),IF('Eval-Avant action écologique'!$A$778=CS12,LEN(SUBSTITUTE((SUBSTITUTE(DR26,"TF","")),"TS",""))*10/2,0),IF('Eval-Avant action écologique'!$A$779=CS12,LEN(SUBSTITUTE((SUBSTITUTE(DR27,"TF","")),"TS",""))*10/2,0),IF('Eval-Avant action écologique'!$A$780=CS12,LEN(SUBSTITUTE((SUBSTITUTE(DR28,"TF","")),"TS",""))*10/2,0))/COUNTIF('Eval-Avant action écologique'!$A$761:$A$780,CS12),"")</f>
        <v/>
      </c>
      <c r="DE12" s="211" t="str">
        <f>IF(COUNTIF('Eval-Avant action écologique'!$A$761:$A$780,CS12)&gt;0,SUM(IF('Eval-Avant action écologique'!$A$761=CS12,LEN(SUBSTITUTE((SUBSTITUTE(DR9,"TF","")),"TM",""))*10/2,0),IF('Eval-Avant action écologique'!$A$762=CS12,LEN(SUBSTITUTE((SUBSTITUTE(DR10,"TF","")),"TM",""))*10/2,0),IF('Eval-Avant action écologique'!$A$763=CS12,LEN(SUBSTITUTE((SUBSTITUTE(DR11,"TF","")),"TM",""))*10/2,0),IF('Eval-Avant action écologique'!$A$764=CS12,LEN(SUBSTITUTE((SUBSTITUTE(DR12,"TF","")),"TM",""))*10/2,0),IF('Eval-Avant action écologique'!$A$765=CS12,LEN(SUBSTITUTE((SUBSTITUTE(DR13,"TF","")),"TM",""))*10/2,0),IF('Eval-Avant action écologique'!$A$766=CS12,LEN(SUBSTITUTE((SUBSTITUTE(DR14,"TF","")),"TM",""))*10/2,0),IF('Eval-Avant action écologique'!$A$767=CS12,LEN(SUBSTITUTE((SUBSTITUTE(DR15,"TF","")),"TM",""))*10/2,0),IF('Eval-Avant action écologique'!$A$768=CS12,LEN(SUBSTITUTE((SUBSTITUTE(DR16,"TF","")),"TM",""))*10/2,0),IF('Eval-Avant action écologique'!$A$769=CS12,LEN(SUBSTITUTE((SUBSTITUTE(DR17,"TF","")),"TM",""))*10/2,0),IF('Eval-Avant action écologique'!$A$770=CS12,LEN(SUBSTITUTE((SUBSTITUTE(DR18,"TF","")),"TM",""))*10/2,0),IF('Eval-Avant action écologique'!$A$771=CS12,LEN(SUBSTITUTE((SUBSTITUTE(DR19,"TF","")),"TM",""))*10/2,0),IF('Eval-Avant action écologique'!$A$772=CS12,LEN(SUBSTITUTE((SUBSTITUTE(DR20,"TF","")),"TM",""))*10/2,0),IF('Eval-Avant action écologique'!$A$773=CS12,LEN(SUBSTITUTE((SUBSTITUTE(DR21,"TF","")),"TM",""))*10/2,0),IF('Eval-Avant action écologique'!$A$774=CS12,LEN(SUBSTITUTE((SUBSTITUTE(DR22,"TF","")),"TM",""))*10/2,0),IF('Eval-Avant action écologique'!$A$775=CS12,LEN(SUBSTITUTE((SUBSTITUTE(DR23,"TF","")),"TM",""))*10/2,0),IF('Eval-Avant action écologique'!$A$776=CS12,LEN(SUBSTITUTE((SUBSTITUTE(DR24,"TF","")),"TM",""))*10/2,0),IF('Eval-Avant action écologique'!$A$777=CS12,LEN(SUBSTITUTE((SUBSTITUTE(DR25,"TF","")),"TM",""))*10/2,0),IF('Eval-Avant action écologique'!$A$778=CS12,LEN(SUBSTITUTE((SUBSTITUTE(DR26,"TF","")),"TM",""))*10/2,0),IF('Eval-Avant action écologique'!$A$779=CS12,LEN(SUBSTITUTE((SUBSTITUTE(DR27,"TF","")),"TM",""))*10/2,0),IF('Eval-Avant action écologique'!$A$780=CS12,LEN(SUBSTITUTE((SUBSTITUTE(DR28,"TF","")),"TM",""))*10/2,0))/COUNTIF('Eval-Avant action écologique'!$A$761:$A$780,CS12),"")</f>
        <v/>
      </c>
      <c r="DF12" s="211" t="str">
        <f>IF(COUNTIF('Eval-Avant action écologique'!$A$761:$A$780,CS12)&gt;0,SUM(IF('Eval-Avant action écologique'!$A$761=CS12,LEN(SUBSTITUTE((SUBSTITUTE(DS9,"TM","")),"TS",""))*10/2,0),IF('Eval-Avant action écologique'!$A$762=CS12,LEN(SUBSTITUTE((SUBSTITUTE(DS10,"TM","")),"TS",""))*10/2,0),IF('Eval-Avant action écologique'!$A$763=CS12,LEN(SUBSTITUTE((SUBSTITUTE(DS11,"TM","")),"TS",""))*10/2,0),IF('Eval-Avant action écologique'!$A$764=CS12,LEN(SUBSTITUTE((SUBSTITUTE(DS12,"TM","")),"TS",""))*10/2,0),IF('Eval-Avant action écologique'!$A$765=CS12,LEN(SUBSTITUTE((SUBSTITUTE(DS13,"TM","")),"TS",""))*10/2,0),IF('Eval-Avant action écologique'!$A$766=CS12,LEN(SUBSTITUTE((SUBSTITUTE(DS14,"TM","")),"TS",""))*10/2,0),IF('Eval-Avant action écologique'!$A$767=CS12,LEN(SUBSTITUTE((SUBSTITUTE(DS15,"TM","")),"TS",""))*10/2,0),IF('Eval-Avant action écologique'!$A$768=CS12,LEN(SUBSTITUTE((SUBSTITUTE(DS16,"TM","")),"TS",""))*10/2,0),IF('Eval-Avant action écologique'!$A$769=CS12,LEN(SUBSTITUTE((SUBSTITUTE(DS17,"TM","")),"TS",""))*10/2,0),IF('Eval-Avant action écologique'!$A$770=CS12,LEN(SUBSTITUTE((SUBSTITUTE(DS18,"TM","")),"TS",""))*10/2,0),IF('Eval-Avant action écologique'!$A$771=CS12,LEN(SUBSTITUTE((SUBSTITUTE(DS19,"TM","")),"TS",""))*10/2,0),IF('Eval-Avant action écologique'!$A$772=CS12,LEN(SUBSTITUTE((SUBSTITUTE(DS20,"TM","")),"TS",""))*10/2,0),IF('Eval-Avant action écologique'!$A$773=CS12,LEN(SUBSTITUTE((SUBSTITUTE(DS21,"TM","")),"TS",""))*10/2,0),IF('Eval-Avant action écologique'!$A$774=CS12,LEN(SUBSTITUTE((SUBSTITUTE(DS22,"TM","")),"TS",""))*10/2,0),IF('Eval-Avant action écologique'!$A$775=CS12,LEN(SUBSTITUTE((SUBSTITUTE(DS23,"TM","")),"TS",""))*10/2,0),IF('Eval-Avant action écologique'!$A$776=CS12,LEN(SUBSTITUTE((SUBSTITUTE(DS24,"TM","")),"TS",""))*10/2,0),IF('Eval-Avant action écologique'!$A$777=CS12,LEN(SUBSTITUTE((SUBSTITUTE(DS25,"TM","")),"TS",""))*10/2,0),IF('Eval-Avant action écologique'!$A$778=CS12,LEN(SUBSTITUTE((SUBSTITUTE(DS26,"TM","")),"TS",""))*10/2,0),IF('Eval-Avant action écologique'!$A$779=CS12,LEN(SUBSTITUTE((SUBSTITUTE(DS27,"TM","")),"TS",""))*10/2,0),IF('Eval-Avant action écologique'!$A$780=CS12,LEN(SUBSTITUTE((SUBSTITUTE(DS28,"TM","")),"TS",""))*10/2,0))/COUNTIF('Eval-Avant action écologique'!$A$761:$A$780,CS12),"")</f>
        <v/>
      </c>
      <c r="DG12" s="211" t="str">
        <f>IF(COUNTIF('Eval-Avant action écologique'!$A$761:$A$780,CS12)&gt;0,SUM(IF('Eval-Avant action écologique'!$A$761=CS12,LEN(SUBSTITUTE((SUBSTITUTE(DS9,"TF","")),"TS",""))*10/2,0),IF('Eval-Avant action écologique'!$A$762=CS12,LEN(SUBSTITUTE((SUBSTITUTE(DS10,"TF","")),"TS",""))*10/2,0),IF('Eval-Avant action écologique'!$A$763=CS12,LEN(SUBSTITUTE((SUBSTITUTE(DS11,"TF","")),"TS",""))*10/2,0),IF('Eval-Avant action écologique'!$A$764=CS12,LEN(SUBSTITUTE((SUBSTITUTE(DS12,"TF","")),"TS",""))*10/2,0),IF('Eval-Avant action écologique'!$A$765=CS12,LEN(SUBSTITUTE((SUBSTITUTE(DS13,"TF","")),"TS",""))*10/2,0),IF('Eval-Avant action écologique'!$A$766=CS12,LEN(SUBSTITUTE((SUBSTITUTE(DS14,"TF","")),"TS",""))*10/2,0),IF('Eval-Avant action écologique'!$A$767=CS12,LEN(SUBSTITUTE((SUBSTITUTE(DS15,"TF","")),"TS",""))*10/2,0),IF('Eval-Avant action écologique'!$A$768=CS12,LEN(SUBSTITUTE((SUBSTITUTE(DS16,"TF","")),"TS",""))*10/2,0),IF('Eval-Avant action écologique'!$A$769=CS12,LEN(SUBSTITUTE((SUBSTITUTE(DS17,"TF","")),"TS",""))*10/2,0),IF('Eval-Avant action écologique'!$A$770=CS12,LEN(SUBSTITUTE((SUBSTITUTE(DS18,"TF","")),"TS",""))*10/2,0),IF('Eval-Avant action écologique'!$A$771=CS12,LEN(SUBSTITUTE((SUBSTITUTE(DS19,"TF","")),"TS",""))*10/2,0),IF('Eval-Avant action écologique'!$A$772=CS12,LEN(SUBSTITUTE((SUBSTITUTE(DS20,"TF","")),"TS",""))*10/2,0),IF('Eval-Avant action écologique'!$A$773=CS12,LEN(SUBSTITUTE((SUBSTITUTE(DS21,"TF","")),"TS",""))*10/2,0),IF('Eval-Avant action écologique'!$A$774=CS12,LEN(SUBSTITUTE((SUBSTITUTE(DS22,"TF","")),"TS",""))*10/2,0),IF('Eval-Avant action écologique'!$A$775=CS12,LEN(SUBSTITUTE((SUBSTITUTE(DS23,"TF","")),"TS",""))*10/2,0),IF('Eval-Avant action écologique'!$A$776=CS12,LEN(SUBSTITUTE((SUBSTITUTE(DS24,"TF","")),"TS",""))*10/2,0),IF('Eval-Avant action écologique'!$A$777=CS12,LEN(SUBSTITUTE((SUBSTITUTE(DS25,"TF","")),"TS",""))*10/2,0),IF('Eval-Avant action écologique'!$A$778=CS12,LEN(SUBSTITUTE((SUBSTITUTE(DS26,"TF","")),"TS",""))*10/2,0),IF('Eval-Avant action écologique'!$A$779=CS12,LEN(SUBSTITUTE((SUBSTITUTE(DS27,"TF","")),"TS",""))*10/2,0),IF('Eval-Avant action écologique'!$A$780=CS12,LEN(SUBSTITUTE((SUBSTITUTE(DS28,"TF","")),"TS",""))*10/2,0))/COUNTIF('Eval-Avant action écologique'!$A$761:$A$780,CS12),"")</f>
        <v/>
      </c>
      <c r="DH12" s="211" t="str">
        <f>IF(COUNTIF('Eval-Avant action écologique'!$A$761:$A$780,CS12)&gt;0,SUM(IF('Eval-Avant action écologique'!$A$761=CS12,LEN(SUBSTITUTE((SUBSTITUTE(DS9,"TF","")),"TM",""))*10/2,0),IF('Eval-Avant action écologique'!$A$762=CS12,LEN(SUBSTITUTE((SUBSTITUTE(DS10,"TF","")),"TM",""))*10/2,0),IF('Eval-Avant action écologique'!$A$763=CS12,LEN(SUBSTITUTE((SUBSTITUTE(DS11,"TF","")),"TM",""))*10/2,0),IF('Eval-Avant action écologique'!$A$764=CS12,LEN(SUBSTITUTE((SUBSTITUTE(DS12,"TF","")),"TM",""))*10/2,0),IF('Eval-Avant action écologique'!$A$765=CS12,LEN(SUBSTITUTE((SUBSTITUTE(DS13,"TF","")),"TM",""))*10/2,0),IF('Eval-Avant action écologique'!$A$766=CS12,LEN(SUBSTITUTE((SUBSTITUTE(DS14,"TF","")),"TM",""))*10/2,0),IF('Eval-Avant action écologique'!$A$767=CS12,LEN(SUBSTITUTE((SUBSTITUTE(DS15,"TF","")),"TM",""))*10/2,0),IF('Eval-Avant action écologique'!$A$768=CS12,LEN(SUBSTITUTE((SUBSTITUTE(DS16,"TF","")),"TM",""))*10/2,0),IF('Eval-Avant action écologique'!$A$769=CS12,LEN(SUBSTITUTE((SUBSTITUTE(DS17,"TF","")),"TM",""))*10/2,0),IF('Eval-Avant action écologique'!$A$770=CS12,LEN(SUBSTITUTE((SUBSTITUTE(DS18,"TF","")),"TM",""))*10/2,0),IF('Eval-Avant action écologique'!$A$771=CS12,LEN(SUBSTITUTE((SUBSTITUTE(DS19,"TF","")),"TM",""))*10/2,0),IF('Eval-Avant action écologique'!$A$772=CS12,LEN(SUBSTITUTE((SUBSTITUTE(DS20,"TF","")),"TM",""))*10/2,0),IF('Eval-Avant action écologique'!$A$773=CS12,LEN(SUBSTITUTE((SUBSTITUTE(DS21,"TF","")),"TM",""))*10/2,0),IF('Eval-Avant action écologique'!$A$774=CS12,LEN(SUBSTITUTE((SUBSTITUTE(DS22,"TF","")),"TM",""))*10/2,0),IF('Eval-Avant action écologique'!$A$775=CS12,LEN(SUBSTITUTE((SUBSTITUTE(DS23,"TF","")),"TM",""))*10/2,0),IF('Eval-Avant action écologique'!$A$776=CS12,LEN(SUBSTITUTE((SUBSTITUTE(DS24,"TF","")),"TM",""))*10/2,0),IF('Eval-Avant action écologique'!$A$777=CS12,LEN(SUBSTITUTE((SUBSTITUTE(DS25,"TF","")),"TM",""))*10/2,0),IF('Eval-Avant action écologique'!$A$778=CS12,LEN(SUBSTITUTE((SUBSTITUTE(DS26,"TF","")),"TM",""))*10/2,0),IF('Eval-Avant action écologique'!$A$779=CS12,LEN(SUBSTITUTE((SUBSTITUTE(DS27,"TF","")),"TM",""))*10/2,0),IF('Eval-Avant action écologique'!$A$780=CS12,LEN(SUBSTITUTE((SUBSTITUTE(DS28,"TF","")),"TM",""))*10/2,0))/COUNTIF('Eval-Avant action écologique'!$A$761:$A$780,CS12),"")</f>
        <v/>
      </c>
      <c r="DI12" s="211" t="str">
        <f>IF(COUNTIF('Eval-Avant action écologique'!$A$761:$A$780,CS12)&gt;0,IF(OR(AND('Eval-Avant action écologique'!$A$761=CS12,DP9&lt;30),AND('Eval-Avant action écologique'!$A$762=CS12,DP10&lt;30),AND('Eval-Avant action écologique'!$A$763=CS12,DP11&lt;30),AND('Eval-Avant action écologique'!$A$764=CS12,DP12&lt;30),AND('Eval-Avant action écologique'!$A$765=CS12,DP13&lt;30),AND('Eval-Avant action écologique'!$A$766=CS12,DP14&lt;30),AND('Eval-Avant action écologique'!$A$767=CS12,DP15&lt;30),AND('Eval-Avant action écologique'!$A$768=CS12,DP16&lt;30),AND('Eval-Avant action écologique'!$A$769=CS12,DP17&lt;30),AND('Eval-Avant action écologique'!$A$770=CS12,DP18&lt;30),AND('Eval-Avant action écologique'!$A$771=CS12,DP19&lt;30),AND('Eval-Avant action écologique'!$A$772=CS12,DP20&lt;30),AND('Eval-Avant action écologique'!$A$773=CS12,DP21&lt;30),AND('Eval-Avant action écologique'!$A$774=CS12,DP22&lt;30),AND('Eval-Avant action écologique'!$A$775=CS12,DP23&lt;30),AND('Eval-Avant action écologique'!$A$776=CS12,DP24&lt;30),AND('Eval-Avant action écologique'!$A$777=CS12,DP25&lt;30),AND('Eval-Avant action écologique'!$A$778=CS12,DP26&lt;30),AND('Eval-Avant action écologique'!$A$779=CS12,DP27&lt;30),AND('Eval-Avant action écologique'!$A$780=CS12,DP28&lt;30)),"",SUM(0.1*(SUMPRODUCT(('Eval-Avant action écologique'!$A$761:$A$780=CS12)*('Eval-Avant action écologique'!$N$761:$P$780="A"))+ SUMPRODUCT(('Eval-Avant action écologique'!$A$761:$A$780=CS12)*('Eval-Avant action écologique'!$N$761:$P$780="AL"))),0.7*(SUMPRODUCT(('Eval-Avant action écologique'!$A$761:$A$780=CS12)*('Eval-Avant action écologique'!$N$761:$P$780="TF"))+SUMPRODUCT(('Eval-Avant action écologique'!$A$761:$A$780=CS12)*('Eval-Avant action écologique'!$N$761:$P$780="TM"))+SUMPRODUCT(('Eval-Avant action écologique'!$A$761:$A$780=CS12)*('Eval-Avant action écologique'!$N$761:$P$780="TS"))),0.4*(SUMPRODUCT(('Eval-Avant action écologique'!$A$761:$A$780=CS12)*('Eval-Avant action écologique'!$N$761:$P$780="LA"))+SUMPRODUCT(('Eval-Avant action écologique'!$A$761:$A$780=CS12)*('Eval-Avant action écologique'!$N$761:$P$780="L"))+SUMPRODUCT(('Eval-Avant action écologique'!$A$761:$A$780=CS12)*('Eval-Avant action écologique'!$N$761:$P$780="LS"))),1*(SUMPRODUCT(('Eval-Avant action écologique'!$A$761:$A$780=CS12)*('Eval-Avant action écologique'!$N$761:$P$780="SL"))+ SUMPRODUCT(('Eval-Avant action écologique'!$A$761:$A$780=CS12)*('Eval-Avant action écologique'!$N$761:$P$780="S"))))/(3*COUNTIF('Eval-Avant action écologique'!$A$761:$A$780,CS12))),"")</f>
        <v/>
      </c>
      <c r="DJ12" s="211" t="str">
        <f>IF(COUNTIF('Eval-Avant action écologique'!$A$761:$A$780,CS12)&gt;0,IF(OR(AND('Eval-Avant action écologique'!$A$761=CS12,DP9&lt;120),AND('Eval-Avant action écologique'!$A$762=CS12,DP10&lt;120),AND('Eval-Avant action écologique'!$A$763=CS12,DP11&lt;120),AND('Eval-Avant action écologique'!$A$764=CS12,DP12&lt;120),AND('Eval-Avant action écologique'!$A$765=CS12,DP13&lt;120),AND('Eval-Avant action écologique'!$A$766=CS12,DP14&lt;120),AND('Eval-Avant action écologique'!$A$767=CS12,DP15&lt;120),AND('Eval-Avant action écologique'!$A$768=CS12,DP16&lt;120),AND('Eval-Avant action écologique'!$A$769=CS12,DP17&lt;120),AND('Eval-Avant action écologique'!$A$770=CS12,DP18&lt;120),AND('Eval-Avant action écologique'!$A$771=CS12,DP19&lt;120),AND('Eval-Avant action écologique'!$A$772=CS12,DP20&lt;120),AND('Eval-Avant action écologique'!$A$773=CS12,DP21&lt;120),AND('Eval-Avant action écologique'!$A$774=CS12,DP22&lt;120),AND('Eval-Avant action écologique'!$A$775=CS12,DP23&lt;120),AND('Eval-Avant action écologique'!$A$776=CS12,DP24&lt;120),AND('Eval-Avant action écologique'!$A$777=CS12,DP25&lt;120),AND('Eval-Avant action écologique'!$A$778=CS12,DP26&lt;120),AND('Eval-Avant action écologique'!$A$779=CS12,DP27&lt;120),AND('Eval-Avant action écologique'!$A$780=CS12,DP28&lt;120)),"",SUM(0.1*(SUMPRODUCT(('Eval-Avant action écologique'!$A$761:$A$780=CS12)*('Eval-Avant action écologique'!$Q$761:$Y$780="A"))+ SUMPRODUCT(('Eval-Avant action écologique'!$A$761:$A$780=CS12)*('Eval-Avant action écologique'!$Q$761:$Y$780="AL"))),0.7*(SUMPRODUCT(('Eval-Avant action écologique'!$A$761:$A$780=CS12)*('Eval-Avant action écologique'!$Q$761:$Y$780="TF"))+SUMPRODUCT(('Eval-Avant action écologique'!$A$761:$A$780=CS12)*('Eval-Avant action écologique'!$Q$761:$Y$780="TM"))+SUMPRODUCT(('Eval-Avant action écologique'!$A$761:$A$780=CS12)*('Eval-Avant action écologique'!$Q$761:$Y$780="TS"))),0.4*(SUMPRODUCT(('Eval-Avant action écologique'!$A$761:$A$780=CS12)*('Eval-Avant action écologique'!$Q$761:$Y$780="LA"))+SUMPRODUCT(('Eval-Avant action écologique'!$A$761:$A$780=CS12)*('Eval-Avant action écologique'!$Q$761:$Y$780="L"))+SUMPRODUCT(('Eval-Avant action écologique'!$A$761:$A$780=CS12)*('Eval-Avant action écologique'!$Q$761:$Y$780="LS"))),1*(SUMPRODUCT(('Eval-Avant action écologique'!$A$761:$A$780=CS12)*('Eval-Avant action écologique'!$Q$761:$Y$780="SL"))+ SUMPRODUCT(('Eval-Avant action écologique'!$A$761:$A$780=CS12)*('Eval-Avant action écologique'!$Q$761:$Y$780="S"))))/(9*COUNTIF('Eval-Avant action écologique'!$A$761:$A$780,CS12))),"")</f>
        <v/>
      </c>
      <c r="DK12" s="211" t="str">
        <f>IF(COUNTIF('Eval-Avant action écologique'!$A$761:$A$780,CS12)&gt;0,IF(OR(AND('Eval-Avant action écologique'!$A$761=CS12,OR(COUNTIF('Eval-Avant action écologique'!$N$761:$P$761,"*T*")&gt;0,DP9&lt;30)),AND('Eval-Avant action écologique'!$A$762=CS12,OR(COUNTIF('Eval-Avant action écologique'!$N$762:$P$762,"*T*")&gt;0,DP10&lt;30)),AND('Eval-Avant action écologique'!$A$763=CS12,OR(COUNTIF('Eval-Avant action écologique'!$N$763:$P$763,"*T*")&gt;0,DP11&lt;30)),AND('Eval-Avant action écologique'!$A$764=CS12,OR(COUNTIF('Eval-Avant action écologique'!$N$764:$P$764,"*T*")&gt;0,DP12&lt;30)),AND('Eval-Avant action écologique'!$A$765=CS12,OR(COUNTIF('Eval-Avant action écologique'!$N$765:$P$765,"*T*")&gt;0,DP13&lt;30)),AND('Eval-Avant action écologique'!$A$766=CS12,OR(COUNTIF('Eval-Avant action écologique'!$N$766:$P$766,"*T*")&gt;0,DP14&lt;30)),AND('Eval-Avant action écologique'!$A$767=CS12,OR(COUNTIF('Eval-Avant action écologique'!$N$767:$P$767,"*T*")&gt;0,DP15&lt;30)),AND('Eval-Avant action écologique'!$A$768=CS12,OR(COUNTIF('Eval-Avant action écologique'!$N$768:$P$768,"*T*")&gt;0,DP16&lt;30)),AND('Eval-Avant action écologique'!$A$769=CS12,OR(COUNTIF('Eval-Avant action écologique'!$N$769:$P$769,"*T*")&gt;0,DP17&lt;30)),AND('Eval-Avant action écologique'!$A$770=CS12,OR(COUNTIF('Eval-Avant action écologique'!$N$770:$P$770,"*T*")&gt;0,DP18&lt;30)),AND('Eval-Avant action écologique'!$A$771=CS12,OR(COUNTIF('Eval-Avant action écologique'!$N$771:$P$771,"*T*")&gt;0,DP19&lt;30)),AND('Eval-Avant action écologique'!$A$772=CS12,OR(COUNTIF('Eval-Avant action écologique'!$N$772:$P$772,"*T*")&gt;0,DP20&lt;30)),AND('Eval-Avant action écologique'!$A$773=CS12,OR(COUNTIF('Eval-Avant action écologique'!$N$773:$P$773,"*T*")&gt;0,DP21&lt;30)),AND('Eval-Avant action écologique'!$A$774=CS12,OR(COUNTIF('Eval-Avant action écologique'!$N$774:$P$774,"*T*")&gt;0,DP22&lt;30)),AND('Eval-Avant action écologique'!$A$775=CS12,OR(COUNTIF('Eval-Avant action écologique'!$N$775:$P$775,"*T*")&gt;0,DP23&lt;30)),AND('Eval-Avant action écologique'!$A$776=CS12,OR(COUNTIF('Eval-Avant action écologique'!$N$776:$P$776,"*T*")&gt;0,DP24&lt;30)),AND('Eval-Avant action écologique'!$A$777=CS12,OR(COUNTIF('Eval-Avant action écologique'!$N$777:$P$777,"*T*")&gt;0,DP25&lt;30)),AND('Eval-Avant action écologique'!$A$778=CS12,OR(COUNTIF('Eval-Avant action écologique'!$N$778:$P$778,"*T*")&gt;0,DP26&lt;30)),AND('Eval-Avant action écologique'!$A$779=CS12,OR(COUNTIF('Eval-Avant action écologique'!$N$779:$P$779,"*T*")&gt;0,DP27&lt;30)),AND('Eval-Avant action écologique'!$A$780=CS12,OR(COUNTIF('Eval-Avant action écologique'!$N$780:$P$780,"*T*")&gt;0,DP28&lt;30))),"",SUM(0.1*(SUMPRODUCT(('Eval-Avant action écologique'!$A$761:$A$780=CS12)*('Eval-Avant action écologique'!$N$761:$P$780="L"))),0.4*(SUMPRODUCT(('Eval-Avant action écologique'!$A$761:$A$780=CS12)*('Eval-Avant action écologique'!$N$761:$P$780="LA"))+SUMPRODUCT(('Eval-Avant action écologique'!$A$761:$A$780=CS12)*('Eval-Avant action écologique'!$N$761:$P$780="LS"))),0.7*(SUMPRODUCT(('Eval-Avant action écologique'!$A$761:$A$780=CS12)*('Eval-Avant action écologique'!$N$761:$P$780="AL"))+SUMPRODUCT(('Eval-Avant action écologique'!$A$761:$A$780=CS12)*('Eval-Avant action écologique'!$N$761:$P$780="SL"))),1*(SUMPRODUCT(('Eval-Avant action écologique'!$A$761:$A$780=CS12)*('Eval-Avant action écologique'!$N$761:$P$780="S"))+ SUMPRODUCT(('Eval-Avant action écologique'!$A$761:$A$780=CS12)*('Eval-Avant action écologique'!$N$761:$P$780="A"))))/(3*COUNTIF('Eval-Avant action écologique'!$A$761:$A$780,CS12))),"")</f>
        <v/>
      </c>
      <c r="DL12" s="211" t="str">
        <f>IF(COUNTIF('Eval-Avant action écologique'!$A$761:$A$780,CS12)&gt;0,IF(OR(AND('Eval-Avant action écologique'!$A$761=CS12,OR(COUNTIF('Eval-Avant action écologique'!$N$761:$P$761,"*T*")&gt;0,DP9&lt;30)),AND('Eval-Avant action écologique'!$A$762=CS12,OR(COUNTIF('Eval-Avant action écologique'!$N$762:$P$762,"*T*")&gt;0,DP10&lt;30)),AND('Eval-Avant action écologique'!$A$763=CS12,OR(COUNTIF('Eval-Avant action écologique'!$N$763:$P$763,"*T*")&gt;0,DP11&lt;30)),AND('Eval-Avant action écologique'!$A$764=CS12,OR(COUNTIF('Eval-Avant action écologique'!$N$764:$P$764,"*T*")&gt;0,DP12&lt;30)),AND('Eval-Avant action écologique'!$A$765=CS12,OR(COUNTIF('Eval-Avant action écologique'!$N$765:$P$765,"*T*")&gt;0,DP13&lt;30)),AND('Eval-Avant action écologique'!$A$766=CS12,OR(COUNTIF('Eval-Avant action écologique'!$N$766:$P$766,"*T*")&gt;0,DP14&lt;30)),AND('Eval-Avant action écologique'!$A$767=CS12,OR(COUNTIF('Eval-Avant action écologique'!$N$767:$P$767,"*T*")&gt;0,DP15&lt;30)),AND('Eval-Avant action écologique'!$A$768=CS12,OR(COUNTIF('Eval-Avant action écologique'!$N$768:$P$768,"*T*")&gt;0,DP16&lt;30)),AND('Eval-Avant action écologique'!$A$769=CS12,OR(COUNTIF('Eval-Avant action écologique'!$N$769:$P$769,"*T*")&gt;0,DP17&lt;30)),AND('Eval-Avant action écologique'!$A$770=CS12,OR(COUNTIF('Eval-Avant action écologique'!$N$770:$P$770,"*T*")&gt;0,DP18&lt;30)),AND('Eval-Avant action écologique'!$A$771=CS12,OR(COUNTIF('Eval-Avant action écologique'!$N$771:$P$771,"*T*")&gt;0,DP19&lt;30)),AND('Eval-Avant action écologique'!$A$772=CS12,OR(COUNTIF('Eval-Avant action écologique'!$N$772:$P$772,"*T*")&gt;0,DP20&lt;30)),AND('Eval-Avant action écologique'!$A$773=CS12,OR(COUNTIF('Eval-Avant action écologique'!$N$773:$P$773,"*T*")&gt;0,DP21&lt;30)),AND('Eval-Avant action écologique'!$A$774=CS12,OR(COUNTIF('Eval-Avant action écologique'!$N$774:$P$774,"*T*")&gt;0,DP22&lt;30)),AND('Eval-Avant action écologique'!$A$775=CS12,OR(COUNTIF('Eval-Avant action écologique'!$N$775:$P$775,"*T*")&gt;0,DP23&lt;30)),AND('Eval-Avant action écologique'!$A$776=CS12,OR(COUNTIF('Eval-Avant action écologique'!$N$776:$P$776,"*T*")&gt;0,DP24&lt;30)),AND('Eval-Avant action écologique'!$A$777=CS12,OR(COUNTIF('Eval-Avant action écologique'!$N$777:$P$777,"*T*")&gt;0,DP25&lt;30)),AND('Eval-Avant action écologique'!$A$778=CS12,OR(COUNTIF('Eval-Avant action écologique'!$N$778:$P$778,"*T*")&gt;0,DP26&lt;30)),AND('Eval-Avant action écologique'!$A$779=CS12,OR(COUNTIF('Eval-Avant action écologique'!$N$779:$P$779,"*T*")&gt;0,DP27&lt;30)),AND('Eval-Avant action écologique'!$A$780=CS12,OR(COUNTIF('Eval-Avant action écologique'!$N$780:$P$780,"*T*")&gt;0,DP28&lt;30))),"",SUM(1*(SUMPRODUCT(('Eval-Avant action écologique'!$A$761:$A$780=CS12)*('Eval-Avant action écologique'!$N$761:$P$780="A"))),0.85*(SUMPRODUCT(('Eval-Avant action écologique'!$A$761:$A$780=CS12)*('Eval-Avant action écologique'!$N$761:$P$780="AL"))),0.7*(SUMPRODUCT(('Eval-Avant action écologique'!$A$761:$A$780=CS12)*('Eval-Avant action écologique'!$N$761:$P$780="LA"))),0.55*(SUMPRODUCT(('Eval-Avant action écologique'!$A$761:$A$780=CS12)*('Eval-Avant action écologique'!$N$761:$P$780="L"))),0.4*(SUMPRODUCT(('Eval-Avant action écologique'!$A$761:$A$780=CS12)*('Eval-Avant action écologique'!$N$761:$P$780="LS"))),0.25*(SUMPRODUCT(('Eval-Avant action écologique'!$A$761:$A$780=CS12)*('Eval-Avant action écologique'!$N$761:$P$780="SL"))),0.1*(SUMPRODUCT(('Eval-Avant action écologique'!$A$761:$A$780=CS12)*('Eval-Avant action écologique'!$N$761:$P$780="S"))))/(3*COUNTIF('Eval-Avant action écologique'!$A$761:$A$780,CS12))),"")</f>
        <v/>
      </c>
      <c r="DM12" s="214" t="str">
        <f>IF(COUNTIF('Eval-Avant action écologique'!$A$761:$A$780,CS12)&gt;0,IF(OR(AND('Eval-Avant action écologique'!$A$761=CS12,OR(COUNTIF('Eval-Avant action écologique'!$Q$761:$Y$761,"*T*")&gt;0,DP9&lt;120)),AND('Eval-Avant action écologique'!$A$762=CS12,OR(COUNTIF('Eval-Avant action écologique'!$Q$762:$Y$762,"*T*")&gt;0,DP10&lt;120)),AND('Eval-Avant action écologique'!$A$763=CS12,OR(COUNTIF('Eval-Avant action écologique'!$Q$763:$Y$763,"*T*")&gt;0,DP11&lt;120)),AND('Eval-Avant action écologique'!$A$764=CS12,OR(COUNTIF('Eval-Avant action écologique'!$Q$764:$Y$764,"*T*")&gt;0,DP12&lt;120)),AND('Eval-Avant action écologique'!$A$765=CS12,OR(COUNTIF('Eval-Avant action écologique'!$Q$765:$Y$765,"*T*")&gt;0,DP13&lt;120)),AND('Eval-Avant action écologique'!$A$766=CS12,OR(COUNTIF('Eval-Avant action écologique'!$Q$766:$Y$766,"*T*")&gt;0,DP14&lt;120)),AND('Eval-Avant action écologique'!$A$767=CS12,OR(COUNTIF('Eval-Avant action écologique'!$Q$767:$Y$767,"*T*")&gt;0,DP15&lt;120)),AND('Eval-Avant action écologique'!$A$768=CS12,OR(COUNTIF('Eval-Avant action écologique'!$Q$768:$Y$768,"*T*")&gt;0,DP16&lt;120)),AND('Eval-Avant action écologique'!$A$769=CS12,OR(COUNTIF('Eval-Avant action écologique'!$Q$769:$Y$769,"*T*")&gt;0,DP17&lt;120)),AND('Eval-Avant action écologique'!$A$770=CS12,OR(COUNTIF('Eval-Avant action écologique'!$Q$770:$Y$770,"*T*")&gt;0,DP18&lt;120)),AND('Eval-Avant action écologique'!$A$771=CS12,OR(COUNTIF('Eval-Avant action écologique'!$Q$771:$Y$771,"*T*")&gt;0,DP19&lt;120)),AND('Eval-Avant action écologique'!$A$772=CS12,OR(COUNTIF('Eval-Avant action écologique'!$Q$772:$Y$772,"*T*")&gt;0,DP20&lt;120)),AND('Eval-Avant action écologique'!$A$773=CS12,OR(COUNTIF('Eval-Avant action écologique'!$Q$773:$Y$773,"*T*")&gt;0,DP21&lt;120)),AND('Eval-Avant action écologique'!$A$774=CS12,OR(COUNTIF('Eval-Avant action écologique'!$Q$774:$Y$774,"*T*")&gt;0,DP22&lt;120)),AND('Eval-Avant action écologique'!$A$775=CS12,OR(COUNTIF('Eval-Avant action écologique'!$Q$775:$Y$775,"*T*")&gt;0,DP23&lt;120)),AND('Eval-Avant action écologique'!$A$776=CS12,OR(COUNTIF('Eval-Avant action écologique'!$Q$776:$Y$776,"*T*")&gt;0,DP24&lt;120)),AND('Eval-Avant action écologique'!$A$777=CS12,OR(COUNTIF('Eval-Avant action écologique'!$Q$777:$Y$777,"*T*")&gt;0,DP25&lt;120)),AND('Eval-Avant action écologique'!$A$778=CS12,OR(COUNTIF('Eval-Avant action écologique'!$Q$778:$Y$778,"*T*")&gt;0,DP26&lt;120)),AND('Eval-Avant action écologique'!$A$779=CS12,OR(COUNTIF('Eval-Avant action écologique'!$Q$779:$Y$779,"*T*")&gt;0,DP27&lt;120)),AND('Eval-Avant action écologique'!$A$780=CS12,OR(COUNTIF('Eval-Avant action écologique'!$Q$780:$Y$780,"*T*")&gt;0,DP28&lt;120))),"",SUM(1*(SUMPRODUCT(('Eval-Avant action écologique'!$A$761:$A$780=CS12)*('Eval-Avant action écologique'!$Q$761:$Y$780="A"))),0.85*(SUMPRODUCT(('Eval-Avant action écologique'!$A$761:$A$780=CS12)*('Eval-Avant action écologique'!$Q$761:$Y$780="AL"))),0.7*(SUMPRODUCT(('Eval-Avant action écologique'!$A$761:$A$780=CS12)*('Eval-Avant action écologique'!$Q$761:$Y$780="LA"))),0.55*(SUMPRODUCT(('Eval-Avant action écologique'!$A$761:$A$780=CS12)*('Eval-Avant action écologique'!$Q$761:$Y$780="L"))),0.4*(SUMPRODUCT(('Eval-Avant action écologique'!$A$761:$A$780=CS12)*('Eval-Avant action écologique'!$Q$761:$Y$780="LS"))),0.25*(SUMPRODUCT(('Eval-Avant action écologique'!$A$761:$A$780=CS12)*('Eval-Avant action écologique'!$Q$761:$Y$780="SL"))),0.1*(SUMPRODUCT(('Eval-Avant action écologique'!$A$761:$A$780=CS12)*('Eval-Avant action écologique'!$Q$761:$Y$780="S"))))/(9*COUNTIF('Eval-Avant action écologique'!$A$761:$A$780,CS12))),"")</f>
        <v/>
      </c>
      <c r="DN12" s="215"/>
      <c r="DO12" s="216">
        <f>'Eval-Avant action écologique'!$D$764</f>
        <v>4</v>
      </c>
      <c r="DP12" s="217" t="str">
        <f>IF(DQ12="C",0,IF(IF(COUNTIF('Eval-Avant action écologique'!$N$764:$Y$764,"=C")&gt;0,(COUNTA('Eval-Avant action écologique'!$N$764:$Y$764)-1)*10,COUNTA('Eval-Avant action écologique'!$N$764:$Y$764)*10)=0,"",IF(COUNTIF('Eval-Avant action écologique'!$N$764:$Y$764,"=C")&gt;0,(COUNTA('Eval-Avant action écologique'!$N$764:$Y$764)-1)*10,COUNTA('Eval-Avant action écologique'!$N$764:$Y$764)*10)))</f>
        <v/>
      </c>
      <c r="DQ12" s="217" t="str">
        <f>CONCATENATE('Eval-Avant action écologique'!$N$764,'Eval-Avant action écologique'!$O$764,'Eval-Avant action écologique'!$P$764,'Eval-Avant action écologique'!$Q$764,'Eval-Avant action écologique'!$R$764,'Eval-Avant action écologique'!$S$764,'Eval-Avant action écologique'!$T$764,'Eval-Avant action écologique'!$U$764,'Eval-Avant action écologique'!$V$764,'Eval-Avant action écologique'!$W$764,'Eval-Avant action écologique'!$X$764,'Eval-Avant action écologique'!$Y$764)</f>
        <v/>
      </c>
      <c r="DR12" s="217" t="str">
        <f t="shared" si="12"/>
        <v/>
      </c>
      <c r="DS12" s="217" t="str">
        <f t="shared" si="13"/>
        <v/>
      </c>
      <c r="DT12" s="217" t="str">
        <f>IF(COUNTIF('Eval-Avant action écologique'!$N$764:$Y$764,"=C")&gt;0,"X","")</f>
        <v/>
      </c>
      <c r="DU12" s="217" t="str">
        <f t="shared" si="14"/>
        <v/>
      </c>
      <c r="DV12" s="218" t="str">
        <f t="shared" si="15"/>
        <v/>
      </c>
      <c r="DW12" s="197"/>
      <c r="DY12" s="210">
        <v>4</v>
      </c>
      <c r="DZ12" s="211" t="str">
        <f>IF(COUNTIF('Eval-Avec act. écol. envisagée'!$A$761:$A$780,DY12)&gt;0,SUM(IF('Eval-Avec act. écol. envisagée'!$A$761=DY12,'Eval-Avec act. écol. envisagée'!$B$761,0),IF('Eval-Avec act. écol. envisagée'!$A$762=DY12, 'Eval-Avec act. écol. envisagée'!$B$762,0),IF('Eval-Avec act. écol. envisagée'!$A$763=DY12, 'Eval-Avec act. écol. envisagée'!$B$763,0),IF('Eval-Avec act. écol. envisagée'!$A$764=DY12, 'Eval-Avec act. écol. envisagée'!$B$764,0),IF('Eval-Avec act. écol. envisagée'!$A$765=DY12, 'Eval-Avec act. écol. envisagée'!$B$765,0),IF('Eval-Avec act. écol. envisagée'!$A$766=DY12, 'Eval-Avec act. écol. envisagée'!$B$766,0),IF('Eval-Avec act. écol. envisagée'!$A$767=DY12, 'Eval-Avec act. écol. envisagée'!$B$767,0),IF('Eval-Avec act. écol. envisagée'!$A$768=DY12, 'Eval-Avec act. écol. envisagée'!$B$768,0),IF('Eval-Avec act. écol. envisagée'!$A$769=DY12, 'Eval-Avec act. écol. envisagée'!$B$769,0),IF('Eval-Avec act. écol. envisagée'!$A$770=DY12, 'Eval-Avec act. écol. envisagée'!$B$770,0),IF('Eval-Avec act. écol. envisagée'!$A$771=DY12, 'Eval-Avec act. écol. envisagée'!$B$771,0),IF('Eval-Avec act. écol. envisagée'!$A$772=DY12, 'Eval-Avec act. écol. envisagée'!$B$772,0),IF('Eval-Avec act. écol. envisagée'!$A$773=DY12, 'Eval-Avec act. écol. envisagée'!$B$773,0),IF('Eval-Avec act. écol. envisagée'!$A$774=DY12, 'Eval-Avec act. écol. envisagée'!$B$774,0),IF('Eval-Avec act. écol. envisagée'!$A$775=DY12, 'Eval-Avec act. écol. envisagée'!$B$775,0),IF('Eval-Avec act. écol. envisagée'!$A$776=DY12, 'Eval-Avec act. écol. envisagée'!$B$776,0),IF('Eval-Avec act. écol. envisagée'!$A$777=DY12, 'Eval-Avec act. écol. envisagée'!$B$777,0),IF('Eval-Avec act. écol. envisagée'!$A$778=DY12, 'Eval-Avec act. écol. envisagée'!$B$778,0),IF('Eval-Avec act. écol. envisagée'!$A$779=DY12, 'Eval-Avec act. écol. envisagée'!$B$779,0),IF('Eval-Avec act. écol. envisagée'!$A$780=DY12, 'Eval-Avec act. écol. envisagée'!$B$780,0))/COUNTIF('Eval-Avec act. écol. envisagée'!$A$761:$A$780,DY12),"")</f>
        <v/>
      </c>
      <c r="EA12" s="212" t="str">
        <f>IF(COUNTIF('Eval-Avec act. écol. envisagée'!$A$761:$A$780,DY12)&gt;0,COUNTIF('Eval-Avec act. écol. envisagée'!$A$761:$A$780,DY12),"")</f>
        <v/>
      </c>
      <c r="EB12" s="211" t="str">
        <f>IF(COUNTIF('Eval-Avec act. écol. envisagée'!$A$761:$A$780,DY12)&gt;0,IF(OR(AND('Eval-Avec act. écol. envisagée'!$A$761=DY12, 'Eval-Avec act. écol. envisagée'!$G$761=""),AND('Eval-Avec act. écol. envisagée'!$A$762=DY12, 'Eval-Avec act. écol. envisagée'!$G$762=""),AND('Eval-Avec act. écol. envisagée'!$A$763=DY12, 'Eval-Avec act. écol. envisagée'!$G$763=""),AND('Eval-Avec act. écol. envisagée'!$A$764=DY12, 'Eval-Avec act. écol. envisagée'!$G$764=""),AND('Eval-Avec act. écol. envisagée'!$A$765=DY12, 'Eval-Avec act. écol. envisagée'!$G$765=""),AND('Eval-Avec act. écol. envisagée'!$A$766=DY12, 'Eval-Avec act. écol. envisagée'!$G$766=""),AND('Eval-Avec act. écol. envisagée'!$A$767=DY12, 'Eval-Avec act. écol. envisagée'!$G$767=""),AND('Eval-Avec act. écol. envisagée'!$A$768=DY12, 'Eval-Avec act. écol. envisagée'!$G$768=""),AND('Eval-Avec act. écol. envisagée'!$A$769=DY12, 'Eval-Avec act. écol. envisagée'!$G$769=""),AND('Eval-Avec act. écol. envisagée'!$A$770=DY12, 'Eval-Avec act. écol. envisagée'!$G$770=""),AND('Eval-Avec act. écol. envisagée'!$A$771=DY12, 'Eval-Avec act. écol. envisagée'!$G$771=""),AND('Eval-Avec act. écol. envisagée'!$A$772=DY12, 'Eval-Avec act. écol. envisagée'!$G$772=""),AND('Eval-Avec act. écol. envisagée'!$A$773=DY12, 'Eval-Avec act. écol. envisagée'!$G$773=""),AND('Eval-Avec act. écol. envisagée'!$A$774=DY12, 'Eval-Avec act. écol. envisagée'!$G$774=""),AND('Eval-Avec act. écol. envisagée'!$A$775=DY12, 'Eval-Avec act. écol. envisagée'!$G$775=""),AND('Eval-Avec act. écol. envisagée'!$A$776=DY12, 'Eval-Avec act. écol. envisagée'!$G$776=""),AND('Eval-Avec act. écol. envisagée'!$A$777=DY12, 'Eval-Avec act. écol. envisagée'!$G$777=""),AND('Eval-Avec act. écol. envisagée'!$A$778=DY12, 'Eval-Avec act. écol. envisagée'!$G$778=""),AND('Eval-Avec act. écol. envisagée'!$A$779=DY12, 'Eval-Avec act. écol. envisagée'!$G$779=""),AND('Eval-Avec act. écol. envisagée'!$A$780=DY12, 'Eval-Avec act. écol. envisagée'!$G$780="")),"",SUM(IF('Eval-Avec act. écol. envisagée'!$A$761=DY12,'Eval-Avec act. écol. envisagée'!$G$761,0),IF('Eval-Avec act. écol. envisagée'!$A$762=DY12,'Eval-Avec act. écol. envisagée'!$G$762,0),IF('Eval-Avec act. écol. envisagée'!$A$763=DY12,'Eval-Avec act. écol. envisagée'!$G$763,0),IF('Eval-Avec act. écol. envisagée'!$A$764=DY12,'Eval-Avec act. écol. envisagée'!$G$764,0),IF('Eval-Avec act. écol. envisagée'!$A$765=DY12,'Eval-Avec act. écol. envisagée'!$G$765,0),IF('Eval-Avec act. écol. envisagée'!$A$766=DY12,'Eval-Avec act. écol. envisagée'!$G$766,0),IF('Eval-Avec act. écol. envisagée'!$A$767=DY12,'Eval-Avec act. écol. envisagée'!$G$767,0),IF('Eval-Avec act. écol. envisagée'!$A$768=DY12,'Eval-Avec act. écol. envisagée'!$G$768,0),IF('Eval-Avec act. écol. envisagée'!$A$769=DY12,'Eval-Avec act. écol. envisagée'!$G$769,0),IF('Eval-Avec act. écol. envisagée'!$A$770=DY12,'Eval-Avec act. écol. envisagée'!$G$770,0),IF('Eval-Avec act. écol. envisagée'!$A$771=DY12,'Eval-Avec act. écol. envisagée'!$G$771,0),IF('Eval-Avec act. écol. envisagée'!$A$772=DY12,'Eval-Avec act. écol. envisagée'!$G$772,0),IF('Eval-Avec act. écol. envisagée'!$A$773=DY12,'Eval-Avec act. écol. envisagée'!$G$773,0),IF('Eval-Avec act. écol. envisagée'!$A$774=DY12,'Eval-Avec act. écol. envisagée'!$G$774,0),IF('Eval-Avec act. écol. envisagée'!$A$775=DY12,'Eval-Avec act. écol. envisagée'!$G$775,0), IF('Eval-Avec act. écol. envisagée'!$A$776=DY12,'Eval-Avec act. écol. envisagée'!$G$776,0), IF('Eval-Avec act. écol. envisagée'!$A$777=DY12,'Eval-Avec act. écol. envisagée'!$G$777,0), IF('Eval-Avec act. écol. envisagée'!$A$778=DY12,'Eval-Avec act. écol. envisagée'!$G$778,0), IF('Eval-Avec act. écol. envisagée'!$A$779=DY12,'Eval-Avec act. écol. envisagée'!$G$779,0), IF('Eval-Avec act. écol. envisagée'!$A$780=DY12,'Eval-Avec act. écol. envisagée'!$G$780,0))/ COUNTIF('Eval-Avec act. écol. envisagée'!$A$761:$A$780,DY12)),"")</f>
        <v/>
      </c>
      <c r="EC12" s="212" t="str">
        <f>IF(COUNTIF('Eval-Avec act. écol. envisagée'!$A$761:$A$780,DY12)&gt;0,IF(SUM(IF('Eval-Avec act. écol. envisagée'!$A$761=DY12,COUNTA('Eval-Avec act. écol. envisagée'!$H$761),0),IF('Eval-Avec act. écol. envisagée'!$A$762=DY12,COUNTA('Eval-Avec act. écol. envisagée'!$H$762),0),IF('Eval-Avec act. écol. envisagée'!$A$763=DY12,COUNTA('Eval-Avec act. écol. envisagée'!$H$763),0),IF('Eval-Avec act. écol. envisagée'!$A$764=DY12,COUNTA('Eval-Avec act. écol. envisagée'!$H$764),0),IF('Eval-Avec act. écol. envisagée'!$A$765=DY12,COUNTA('Eval-Avec act. écol. envisagée'!$H$765),0),IF('Eval-Avec act. écol. envisagée'!$A$766=DY12,COUNTA('Eval-Avec act. écol. envisagée'!$H$766),0),IF('Eval-Avec act. écol. envisagée'!$A$767=DY12,COUNTA('Eval-Avec act. écol. envisagée'!$H$767),0),IF('Eval-Avec act. écol. envisagée'!$A$768=DY12,COUNTA('Eval-Avec act. écol. envisagée'!$H$768),0),IF('Eval-Avec act. écol. envisagée'!$A$769=DY12,COUNTA('Eval-Avec act. écol. envisagée'!$H$769),0),IF('Eval-Avec act. écol. envisagée'!$A$770=DY12,COUNTA('Eval-Avec act. écol. envisagée'!$H$770),0),IF('Eval-Avec act. écol. envisagée'!$A$771=DY12,COUNTA('Eval-Avec act. écol. envisagée'!$H$771),0),IF('Eval-Avec act. écol. envisagée'!$A$772=DY12,COUNTA('Eval-Avec act. écol. envisagée'!$H$772),0),IF('Eval-Avec act. écol. envisagée'!$A$773=DY12,COUNTA('Eval-Avec act. écol. envisagée'!$H$773),0),IF('Eval-Avec act. écol. envisagée'!$A$774=DY12,COUNTA('Eval-Avec act. écol. envisagée'!$H$774),0),IF('Eval-Avec act. écol. envisagée'!$A$775=DY12,COUNTA('Eval-Avec act. écol. envisagée'!$H$775),0),IF('Eval-Avec act. écol. envisagée'!$A$776=DY12,COUNTA('Eval-Avec act. écol. envisagée'!$H$776),0),IF('Eval-Avec act. écol. envisagée'!$A$777=DY12,COUNTA('Eval-Avec act. écol. envisagée'!$H$777),0),IF('Eval-Avec act. écol. envisagée'!$A$778=DY12,COUNTA('Eval-Avec act. écol. envisagée'!$H$778),0),IF('Eval-Avec act. écol. envisagée'!$A$779=DY12,COUNTA('Eval-Avec act. écol. envisagée'!$H$779),0),IF('Eval-Avec act. écol. envisagée'!$A$780=DY12,COUNTA('Eval-Avec act. écol. envisagée'!$H$780),0))&gt;0,"X",0),"")</f>
        <v/>
      </c>
      <c r="ED12" s="213" t="str">
        <f>IF(COUNTIF('Eval-Avec act. écol. envisagée'!$A$761:$A$780,DY12)&gt;0,IF(SUM(IF('Eval-Avec act. écol. envisagée'!$A$761=DY12,COUNTA('Eval-Avec act. écol. envisagée'!$I$761),0),IF('Eval-Avec act. écol. envisagée'!$A$762=DY12,COUNTA('Eval-Avec act. écol. envisagée'!$I$762),0),IF('Eval-Avec act. écol. envisagée'!$A$763=DY12,COUNTA('Eval-Avec act. écol. envisagée'!$I$763),0),IF('Eval-Avec act. écol. envisagée'!$A$764=DY12,COUNTA('Eval-Avec act. écol. envisagée'!$I$764),0),IF('Eval-Avec act. écol. envisagée'!$A$765=DY12,COUNTA('Eval-Avec act. écol. envisagée'!$I$765),0),IF('Eval-Avec act. écol. envisagée'!$A$766=DY12,COUNTA('Eval-Avec act. écol. envisagée'!$I$766),0),IF('Eval-Avec act. écol. envisagée'!$A$767=DY12,COUNTA('Eval-Avec act. écol. envisagée'!$I$767),0),IF('Eval-Avec act. écol. envisagée'!$A$768=DY12,COUNTA('Eval-Avec act. écol. envisagée'!$I$768),0),IF('Eval-Avec act. écol. envisagée'!$A$769=DY12,COUNTA('Eval-Avec act. écol. envisagée'!$I$769),0),IF('Eval-Avec act. écol. envisagée'!$A$770=DY12,COUNTA('Eval-Avec act. écol. envisagée'!$I$770),0),IF('Eval-Avec act. écol. envisagée'!$A$771=DY12,COUNTA('Eval-Avec act. écol. envisagée'!$I$771),0),IF('Eval-Avec act. écol. envisagée'!$A$772=DY12,COUNTA('Eval-Avec act. écol. envisagée'!$I$772),0),IF('Eval-Avec act. écol. envisagée'!$A$773=DY12,COUNTA('Eval-Avec act. écol. envisagée'!$I$773),0),IF('Eval-Avec act. écol. envisagée'!$A$774=DY12,COUNTA('Eval-Avec act. écol. envisagée'!$I$774),0),IF('Eval-Avec act. écol. envisagée'!$A$775=DY12,COUNTA('Eval-Avec act. écol. envisagée'!$I$775),0),IF('Eval-Avec act. écol. envisagée'!$A$776=DY12,COUNTA('Eval-Avec act. écol. envisagée'!$I$776),0),IF('Eval-Avec act. écol. envisagée'!$A$777=DY12,COUNTA('Eval-Avec act. écol. envisagée'!$I$777),0),IF('Eval-Avec act. écol. envisagée'!$A$778=DY12,COUNTA('Eval-Avec act. écol. envisagée'!$I$778),0),IF('Eval-Avec act. écol. envisagée'!$A$779=DY12,COUNTA('Eval-Avec act. écol. envisagée'!$I$779),0),IF('Eval-Avec act. écol. envisagée'!$A$780=DY12,COUNTA('Eval-Avec act. écol. envisagée'!$I$780),0))&gt;0,"X",0),"")</f>
        <v/>
      </c>
      <c r="EE12" s="213" t="str">
        <f>IF(COUNTIF('Eval-Avec act. écol. envisagée'!$A$761:$A$780,DY12)&gt;0,IF(SUM(IF('Eval-Avec act. écol. envisagée'!$A$761=DY12,COUNTA('Eval-Avec act. écol. envisagée'!$J$761),0),IF('Eval-Avec act. écol. envisagée'!$A$762=DY12,COUNTA('Eval-Avec act. écol. envisagée'!$J$762),0),IF('Eval-Avec act. écol. envisagée'!$A$763=DY12,COUNTA('Eval-Avec act. écol. envisagée'!$J$763),0),IF('Eval-Avec act. écol. envisagée'!$A$764=DY12,COUNTA('Eval-Avec act. écol. envisagée'!$J$764),0),IF('Eval-Avec act. écol. envisagée'!$A$765=DY12,COUNTA('Eval-Avec act. écol. envisagée'!$J$765),0),IF('Eval-Avec act. écol. envisagée'!$A$766=DY12,COUNTA('Eval-Avec act. écol. envisagée'!$J$766),0),IF('Eval-Avec act. écol. envisagée'!$A$767=DY12,COUNTA('Eval-Avec act. écol. envisagée'!$J$767),0),IF('Eval-Avec act. écol. envisagée'!$A$768=DY12,COUNTA('Eval-Avec act. écol. envisagée'!$J$768),0),IF('Eval-Avec act. écol. envisagée'!$A$769=DY12,COUNTA('Eval-Avec act. écol. envisagée'!$J$769),0),IF('Eval-Avec act. écol. envisagée'!$A$770=DY12,COUNTA('Eval-Avec act. écol. envisagée'!$J$770),0),IF('Eval-Avec act. écol. envisagée'!$A$771=DY12,COUNTA('Eval-Avec act. écol. envisagée'!$J$771),0),IF('Eval-Avec act. écol. envisagée'!$A$772=DY12,COUNTA('Eval-Avec act. écol. envisagée'!$J$772),0),IF('Eval-Avec act. écol. envisagée'!$A$773=DY12,COUNTA('Eval-Avec act. écol. envisagée'!$J$773),0),IF('Eval-Avec act. écol. envisagée'!$A$774=DY12,COUNTA('Eval-Avec act. écol. envisagée'!$J$774),0),IF('Eval-Avec act. écol. envisagée'!$A$775=DY12,COUNTA('Eval-Avec act. écol. envisagée'!$J$775),0),IF('Eval-Avec act. écol. envisagée'!$A$776=DY12,COUNTA('Eval-Avec act. écol. envisagée'!$J$776),0),IF('Eval-Avec act. écol. envisagée'!$A$777=DY12,COUNTA('Eval-Avec act. écol. envisagée'!$J$777),0),IF('Eval-Avec act. écol. envisagée'!$A$778=DY12,COUNTA('Eval-Avec act. écol. envisagée'!$J$778),0),IF('Eval-Avec act. écol. envisagée'!$A$779=DY12,COUNTA('Eval-Avec act. écol. envisagée'!$J$779),0),IF('Eval-Avec act. écol. envisagée'!$A$780=DY12,COUNTA('Eval-Avec act. écol. envisagée'!$J$780),0))&gt;0,"X",0),"")</f>
        <v/>
      </c>
      <c r="EF12" s="213" t="str">
        <f>IF(COUNTIF('Eval-Avec act. écol. envisagée'!$A$761:$A$780,DY12)&gt;0,IF(SUM(IF('Eval-Avec act. écol. envisagée'!$A$761=DY12,COUNTA('Eval-Avec act. écol. envisagée'!$K$761),0),IF('Eval-Avec act. écol. envisagée'!$A$762=DY12,COUNTA('Eval-Avec act. écol. envisagée'!$K$762),0),IF('Eval-Avec act. écol. envisagée'!$A$763=DY12,COUNTA('Eval-Avec act. écol. envisagée'!$K$763),0),IF('Eval-Avec act. écol. envisagée'!$A$764=DY12,COUNTA('Eval-Avec act. écol. envisagée'!$K$764),0),IF('Eval-Avec act. écol. envisagée'!$A$765=DY12,COUNTA('Eval-Avec act. écol. envisagée'!$K$765),0),IF('Eval-Avec act. écol. envisagée'!$A$766=DY12,COUNTA('Eval-Avec act. écol. envisagée'!$K$766),0),IF('Eval-Avec act. écol. envisagée'!$A$767=DY12,COUNTA('Eval-Avec act. écol. envisagée'!$K$767),0),IF('Eval-Avec act. écol. envisagée'!$A$768=DY12,COUNTA('Eval-Avec act. écol. envisagée'!$K$768),0),IF('Eval-Avec act. écol. envisagée'!$A$769=DY12,COUNTA('Eval-Avec act. écol. envisagée'!$K$769),0),IF('Eval-Avec act. écol. envisagée'!$A$770=DY12,COUNTA('Eval-Avec act. écol. envisagée'!$K$770),0),IF('Eval-Avec act. écol. envisagée'!$A$771=DY12,COUNTA('Eval-Avec act. écol. envisagée'!$K$771),0),IF('Eval-Avec act. écol. envisagée'!$A$772=DY12,COUNTA('Eval-Avec act. écol. envisagée'!$K$772),0),IF('Eval-Avec act. écol. envisagée'!$A$773=DY12,COUNTA('Eval-Avec act. écol. envisagée'!$K$773),0),IF('Eval-Avec act. écol. envisagée'!$A$774=DY12,COUNTA('Eval-Avec act. écol. envisagée'!$K$774),0),IF('Eval-Avec act. écol. envisagée'!$A$775=DY12,COUNTA('Eval-Avec act. écol. envisagée'!$K$775),0),IF('Eval-Avec act. écol. envisagée'!$A$776=DY12,COUNTA('Eval-Avec act. écol. envisagée'!$K$776),0),IF('Eval-Avec act. écol. envisagée'!$A$777=DY12,COUNTA('Eval-Avec act. écol. envisagée'!$K$777),0),IF('Eval-Avec act. écol. envisagée'!$A$778=DY12,COUNTA('Eval-Avec act. écol. envisagée'!$K$778),0),IF('Eval-Avec act. écol. envisagée'!$A$779=DY12,COUNTA('Eval-Avec act. écol. envisagée'!$K$779),0),IF('Eval-Avec act. écol. envisagée'!$A$780=DY12,COUNTA('Eval-Avec act. écol. envisagée'!$K$780),0))&gt;0,"X",0),"")</f>
        <v/>
      </c>
      <c r="EG12" s="211" t="str">
        <f>IF(COUNTIF('Eval-Avec act. écol. envisagée'!$A$761:$A$780,DY12)&gt;0,IF(OR(AND('Eval-Avec act. écol. envisagée'!$A$761=DY12,'Eval-Avec act. écol. envisagée'!$L$761&lt;120,'Eval-Avec act. écol. envisagée'!$L$761&gt;=EV9),AND('Eval-Avec act. écol. envisagée'!$A$762=DY12,'Eval-Avec act. écol. envisagée'!$L$762&lt;120,'Eval-Avec act. écol. envisagée'!$L$762&gt;=EV10),AND('Eval-Avec act. écol. envisagée'!$A$763=DY12,'Eval-Avec act. écol. envisagée'!$L$763&lt;120,'Eval-Avec act. écol. envisagée'!$L$763&gt;=EV11),AND('Eval-Avec act. écol. envisagée'!$A$764=DY12,'Eval-Avec act. écol. envisagée'!$L$764&lt;120,'Eval-Avec act. écol. envisagée'!$L$764&gt;=EV12),AND('Eval-Avec act. écol. envisagée'!$A$765=DY12,'Eval-Avec act. écol. envisagée'!$L$765&lt;120,'Eval-Avec act. écol. envisagée'!$L$765&gt;=EV13),AND('Eval-Avec act. écol. envisagée'!$A$766=DY12,'Eval-Avec act. écol. envisagée'!$L$766&lt;120,'Eval-Avec act. écol. envisagée'!$L$766&gt;=EV14),AND('Eval-Avec act. écol. envisagée'!$A$767=DY12,'Eval-Avec act. écol. envisagée'!$L$767&lt;120,'Eval-Avec act. écol. envisagée'!$L$767&gt;=EV15),AND('Eval-Avec act. écol. envisagée'!$A$768=DY12,'Eval-Avec act. écol. envisagée'!$L$768&lt;120,'Eval-Avec act. écol. envisagée'!$L$768&gt;=EV16),AND('Eval-Avec act. écol. envisagée'!$A$769=DY12,'Eval-Avec act. écol. envisagée'!$L$769&lt;120,'Eval-Avec act. écol. envisagée'!$L$769&gt;=EV17),AND('Eval-Avec act. écol. envisagée'!$A$770=DY12,'Eval-Avec act. écol. envisagée'!$L$770&lt;120,'Eval-Avec act. écol. envisagée'!$L$770&gt;=EV18),AND('Eval-Avec act. écol. envisagée'!$A$771=DY12,'Eval-Avec act. écol. envisagée'!$L$771&lt;120,'Eval-Avec act. écol. envisagée'!$L$771&gt;=EV19),AND('Eval-Avec act. écol. envisagée'!$A$772=DY12,'Eval-Avec act. écol. envisagée'!$L$772&lt;120,'Eval-Avec act. écol. envisagée'!$L$772&gt;=EV20),AND('Eval-Avec act. écol. envisagée'!$A$773=DY12,'Eval-Avec act. écol. envisagée'!$L$773&lt;120,'Eval-Avec act. écol. envisagée'!$L$773&gt;=EV21),AND('Eval-Avec act. écol. envisagée'!$A$774=DY12,'Eval-Avec act. écol. envisagée'!$L$774&lt;120,'Eval-Avec act. écol. envisagée'!$L$774&gt;=EV22),AND('Eval-Avec act. écol. envisagée'!$A$775=DY12,'Eval-Avec act. écol. envisagée'!$L$775&lt;120,'Eval-Avec act. écol. envisagée'!$L$775&gt;=EV23),AND('Eval-Avec act. écol. envisagée'!$A$776=DY12,'Eval-Avec act. écol. envisagée'!$L$776&lt;120,'Eval-Avec act. écol. envisagée'!$L$776&gt;=EV24),AND('Eval-Avec act. écol. envisagée'!$A$777=DY12,'Eval-Avec act. écol. envisagée'!$L$777&lt;120,'Eval-Avec act. écol. envisagée'!$L$777&gt;=EV25),AND('Eval-Avec act. écol. envisagée'!$A$778=DY12,'Eval-Avec act. écol. envisagée'!$L$778&lt;120,'Eval-Avec act. écol. envisagée'!$L$778&gt;=EV26),AND('Eval-Avec act. écol. envisagée'!$A$779=DY12,'Eval-Avec act. écol. envisagée'!$L$779&lt;120,'Eval-Avec act. écol. envisagée'!$L$779&gt;=EV27),AND('Eval-Avec act. écol. envisagée'!$A$780=DY12,'Eval-Avec act. écol. envisagée'!$L$780&lt;120,'Eval-Avec act. écol. envisagée'!$L$780&gt;=EV28)),"",SUM(IF('Eval-Avec act. écol. envisagée'!$A$761=DY12,'Eval-Avec act. écol. envisagée'!$L$761,0),IF('Eval-Avec act. écol. envisagée'!$A$762=DY12,'Eval-Avec act. écol. envisagée'!$L$762,0),IF('Eval-Avec act. écol. envisagée'!$A$763=DY12,'Eval-Avec act. écol. envisagée'!$L$763,0),IF('Eval-Avec act. écol. envisagée'!$A$764=DY12,'Eval-Avec act. écol. envisagée'!$L$764,0),IF('Eval-Avec act. écol. envisagée'!$A$765=DY12,'Eval-Avec act. écol. envisagée'!$L$765,0),IF('Eval-Avec act. écol. envisagée'!$A$766=DY12,'Eval-Avec act. écol. envisagée'!$L$766,0),IF('Eval-Avec act. écol. envisagée'!$A$767=DY12,'Eval-Avec act. écol. envisagée'!$L$767,0),IF('Eval-Avec act. écol. envisagée'!$A$768=DY12,'Eval-Avec act. écol. envisagée'!$L$768,0),IF('Eval-Avec act. écol. envisagée'!$A$769=DY12,'Eval-Avec act. écol. envisagée'!$L$769,0),IF('Eval-Avec act. écol. envisagée'!$A$770=DY12,'Eval-Avec act. écol. envisagée'!$L$770,0),IF('Eval-Avec act. écol. envisagée'!$A$771=DY12,'Eval-Avec act. écol. envisagée'!$L$771,0),IF('Eval-Avec act. écol. envisagée'!$A$772=DY12,'Eval-Avec act. écol. envisagée'!$L$772,0),IF('Eval-Avec act. écol. envisagée'!$A$773=DY12,'Eval-Avec act. écol. envisagée'!$L$773,0),IF('Eval-Avec act. écol. envisagée'!$A$774=DY12,'Eval-Avec act. écol. envisagée'!$L$774,0),IF('Eval-Avec act. écol. envisagée'!$A$775=DY12,'Eval-Avec act. écol. envisagée'!$L$775,0),IF('Eval-Avec act. écol. envisagée'!$A$776=DY12,'Eval-Avec act. écol. envisagée'!$L$776,0),IF('Eval-Avec act. écol. envisagée'!$A$777=DY12,'Eval-Avec act. écol. envisagée'!$L$777,0),IF('Eval-Avec act. écol. envisagée'!$A$778=DY12,'Eval-Avec act. écol. envisagée'!$L$778,0),IF('Eval-Avec act. écol. envisagée'!$A$779=DY12,'Eval-Avec act. écol. envisagée'!$L$779,0),IF('Eval-Avec act. écol. envisagée'!$A$780=DY12,'Eval-Avec act. écol. envisagée'!$L$780,0))/ COUNTIF('Eval-Avec act. écol. envisagée'!$A$761:$A$780,DY12)),"")</f>
        <v/>
      </c>
      <c r="EH12" s="211" t="str">
        <f>IF(COUNTIF('Eval-Avec act. écol. envisagée'!$A$761:$A$780,DY12)&gt;0,IF(OR(AND('Eval-Avec act. écol. envisagée'!$A$761=DY12, EV9&lt;120),AND(EV10&lt;120),AND(EV11&lt;120),AND(EV12&lt;120),AND(EV13&lt;120),AND(EV14&lt;120),AND(EV15&lt;120),AND(EV16&lt;120),AND(EV17&lt;120),AND(EV18&lt;120),AND(EV19&lt;120),AND(EV20&lt;120),AND(EV21&lt;120),AND(EV22&lt;120),AND(EV23&lt;120),AND(EV24&lt;120),AND(EV25&lt;120),AND(EV26&lt;120),AND(EV27&lt;120),AND(EV28&lt;120)),"",SUM(IF('Eval-Avec act. écol. envisagée'!$A$761=DY12,'Eval-Avec act. écol. envisagée'!$M$761,0),IF('Eval-Avec act. écol. envisagée'!$A$762=DY12,'Eval-Avec act. écol. envisagée'!$M$762,0),IF('Eval-Avec act. écol. envisagée'!$A$763=DY12,'Eval-Avec act. écol. envisagée'!$M$763,0),IF('Eval-Avec act. écol. envisagée'!$A$764=DY12,'Eval-Avec act. écol. envisagée'!$M$764,0),IF('Eval-Avec act. écol. envisagée'!$A$765=DY12,'Eval-Avec act. écol. envisagée'!$M$765,0),IF('Eval-Avec act. écol. envisagée'!$A$766=DY12,'Eval-Avec act. écol. envisagée'!$M$766,0),IF('Eval-Avec act. écol. envisagée'!$A$767=DY12,'Eval-Avec act. écol. envisagée'!$M$767,0),IF('Eval-Avec act. écol. envisagée'!$A$768=DY12,'Eval-Avec act. écol. envisagée'!$M$768,0),IF('Eval-Avec act. écol. envisagée'!$A$769=DY12,'Eval-Avec act. écol. envisagée'!$M$769,0),IF('Eval-Avec act. écol. envisagée'!$A$770=DY12,'Eval-Avec act. écol. envisagée'!$M$770,0),IF('Eval-Avec act. écol. envisagée'!$A$771=DY12,'Eval-Avec act. écol. envisagée'!$M$771,0),IF('Eval-Avec act. écol. envisagée'!$A$772=DY12,'Eval-Avec act. écol. envisagée'!$M$772,0),IF('Eval-Avec act. écol. envisagée'!$A$773=DY12,'Eval-Avec act. écol. envisagée'!$M$773,0),IF('Eval-Avec act. écol. envisagée'!$A$774=DY12,'Eval-Avec act. écol. envisagée'!$M$774,0),IF('Eval-Avec act. écol. envisagée'!$A$775=DY12,'Eval-Avec act. écol. envisagée'!$M$775,0), IF('Eval-Avec act. écol. envisagée'!$A$776=DY12,'Eval-Avec act. écol. envisagée'!$M$776,0), IF('Eval-Avec act. écol. envisagée'!$A$777=DY12,'Eval-Avec act. écol. envisagée'!$M$777,0), IF('Eval-Avec act. écol. envisagée'!$A$778=DY12,'Eval-Avec act. écol. envisagée'!$M$778,0), IF('Eval-Avec act. écol. envisagée'!$A$779=DY12,'Eval-Avec act. écol. envisagée'!$M$779,0), IF('Eval-Avec act. écol. envisagée'!$A$780=DY12,'Eval-Avec act. écol. envisagée'!$M$780,0))/COUNTIF('Eval-Avec act. écol. envisagée'!$A$761:$A$780,DY12)),"")</f>
        <v/>
      </c>
      <c r="EI12" s="211" t="str">
        <f>IF(COUNTIF('Eval-Avec act. écol. envisagée'!$A$761:$A$780,DY12)&gt;0,SUM(IF('Eval-Avec act. écol. envisagée'!$A$761=DY12,LEN(SUBSTITUTE((SUBSTITUTE(EX9,"TM","")),"TS",""))*10/2,0),IF('Eval-Avec act. écol. envisagée'!$A$762=DY12,LEN(SUBSTITUTE((SUBSTITUTE(EX10,"TM","")),"TS",""))*10/2,0),IF('Eval-Avec act. écol. envisagée'!$A$763=DY12,LEN(SUBSTITUTE((SUBSTITUTE(EX11,"TM","")),"TS",""))*10/2,0),IF('Eval-Avec act. écol. envisagée'!$A$764=DY12,LEN(SUBSTITUTE((SUBSTITUTE(EX12,"TM","")),"TS",""))*10/2,0),IF('Eval-Avec act. écol. envisagée'!$A$765=DY12,LEN(SUBSTITUTE((SUBSTITUTE(EX13,"TM","")),"TS",""))*10/2,0),IF('Eval-Avec act. écol. envisagée'!$A$766=DY12,LEN(SUBSTITUTE((SUBSTITUTE(EX14,"TM","")),"TS",""))*10/2,0),IF('Eval-Avec act. écol. envisagée'!$A$767=DY12,LEN(SUBSTITUTE((SUBSTITUTE(EX15,"TM","")),"TS",""))*10/2,0),IF('Eval-Avec act. écol. envisagée'!$A$768=DY12,LEN(SUBSTITUTE((SUBSTITUTE(EX16,"TM","")),"TS",""))*10/2,0),IF('Eval-Avec act. écol. envisagée'!$A$769=DY12,LEN(SUBSTITUTE((SUBSTITUTE(EX17,"TM","")),"TS",""))*10/2,0),IF('Eval-Avec act. écol. envisagée'!$A$770=DY12,LEN(SUBSTITUTE((SUBSTITUTE(EX18,"TM","")),"TS",""))*10/2,0),IF('Eval-Avec act. écol. envisagée'!$A$771=DY12,LEN(SUBSTITUTE((SUBSTITUTE(EX19,"TM","")),"TS",""))*10/2,0),IF('Eval-Avec act. écol. envisagée'!$A$772=DY12,LEN(SUBSTITUTE((SUBSTITUTE(EX20,"TM","")),"TS",""))*10/2,0),IF('Eval-Avec act. écol. envisagée'!$A$773=DY12,LEN(SUBSTITUTE((SUBSTITUTE(EX21,"TM","")),"TS",""))*10/2,0),IF('Eval-Avec act. écol. envisagée'!$A$774=DY12,LEN(SUBSTITUTE((SUBSTITUTE(EX22,"TM","")),"TS",""))*10/2,0),IF('Eval-Avec act. écol. envisagée'!$A$775=DY12,LEN(SUBSTITUTE((SUBSTITUTE(EX23,"TM","")),"TS",""))*10/2,0),IF('Eval-Avec act. écol. envisagée'!$A$776=DY12,LEN(SUBSTITUTE((SUBSTITUTE(EX24,"TM","")),"TS",""))*10/2,0),IF('Eval-Avec act. écol. envisagée'!$A$777=DY12,LEN(SUBSTITUTE((SUBSTITUTE(EX25,"TM","")),"TS",""))*10/2,0),IF('Eval-Avec act. écol. envisagée'!$A$778=DY12,LEN(SUBSTITUTE((SUBSTITUTE(EX26,"TM","")),"TS",""))*10/2,0),IF('Eval-Avec act. écol. envisagée'!$A$779=DY12,LEN(SUBSTITUTE((SUBSTITUTE(EX27,"TM","")),"TS",""))*10/2,0),IF('Eval-Avec act. écol. envisagée'!$A$780=DY12,LEN(SUBSTITUTE((SUBSTITUTE(EX28,"TM","")),"TS",""))*10/2,0))/COUNTIF('Eval-Avec act. écol. envisagée'!$A$761:$A$780,DY12),"")</f>
        <v/>
      </c>
      <c r="EJ12" s="211" t="str">
        <f>IF(COUNTIF('Eval-Avec act. écol. envisagée'!$A$761:$A$780,DY12)&gt;0,SUM(IF('Eval-Avec act. écol. envisagée'!$A$761=DY12,LEN(SUBSTITUTE((SUBSTITUTE(EX9,"TF","")),"TS",""))*10/2,0),IF('Eval-Avec act. écol. envisagée'!$A$762=DY12,LEN(SUBSTITUTE((SUBSTITUTE(EX10,"TF","")),"TS",""))*10/2,0),IF('Eval-Avec act. écol. envisagée'!$A$763=DY12,LEN(SUBSTITUTE((SUBSTITUTE(EX11,"TF","")),"TS",""))*10/2,0),IF('Eval-Avec act. écol. envisagée'!$A$764=DY12,LEN(SUBSTITUTE((SUBSTITUTE(EX12,"TF","")),"TS",""))*10/2,0),IF('Eval-Avec act. écol. envisagée'!$A$765=DY12,LEN(SUBSTITUTE((SUBSTITUTE(EX13,"TF","")),"TS",""))*10/2,0),IF('Eval-Avec act. écol. envisagée'!$A$766=DY12,LEN(SUBSTITUTE((SUBSTITUTE(EX14,"TF","")),"TS",""))*10/2,0),IF('Eval-Avec act. écol. envisagée'!$A$767=DY12,LEN(SUBSTITUTE((SUBSTITUTE(EX15,"TF","")),"TS",""))*10/2,0),IF('Eval-Avec act. écol. envisagée'!$A$768=DY12,LEN(SUBSTITUTE((SUBSTITUTE(EX16,"TF","")),"TS",""))*10/2,0),IF('Eval-Avec act. écol. envisagée'!$A$769=DY12,LEN(SUBSTITUTE((SUBSTITUTE(EX17,"TF","")),"TS",""))*10/2,0),IF('Eval-Avec act. écol. envisagée'!$A$770=DY12,LEN(SUBSTITUTE((SUBSTITUTE(EX18,"TF","")),"TS",""))*10/2,0),IF('Eval-Avec act. écol. envisagée'!$A$771=DY12,LEN(SUBSTITUTE((SUBSTITUTE(EX19,"TF","")),"TS",""))*10/2,0),IF('Eval-Avec act. écol. envisagée'!$A$772=DY12,LEN(SUBSTITUTE((SUBSTITUTE(EX20,"TF","")),"TS",""))*10/2,0),IF('Eval-Avec act. écol. envisagée'!$A$773=DY12,LEN(SUBSTITUTE((SUBSTITUTE(EX21,"TF","")),"TS",""))*10/2,0),IF('Eval-Avec act. écol. envisagée'!$A$774=DY12,LEN(SUBSTITUTE((SUBSTITUTE(EX22,"TF","")),"TS",""))*10/2,0),IF('Eval-Avec act. écol. envisagée'!$A$775=DY12,LEN(SUBSTITUTE((SUBSTITUTE(EX23,"TF","")),"TS",""))*10/2,0),IF('Eval-Avec act. écol. envisagée'!$A$776=DY12,LEN(SUBSTITUTE((SUBSTITUTE(EX24,"TF","")),"TS",""))*10/2,0),IF('Eval-Avec act. écol. envisagée'!$A$777=DY12,LEN(SUBSTITUTE((SUBSTITUTE(EX25,"TF","")),"TS",""))*10/2,0),IF('Eval-Avec act. écol. envisagée'!$A$778=DY12,LEN(SUBSTITUTE((SUBSTITUTE(EX26,"TF","")),"TS",""))*10/2,0),IF('Eval-Avec act. écol. envisagée'!$A$779=DY12,LEN(SUBSTITUTE((SUBSTITUTE(EX27,"TF","")),"TS",""))*10/2,0),IF('Eval-Avec act. écol. envisagée'!$A$780=DY12,LEN(SUBSTITUTE((SUBSTITUTE(EX28,"TF","")),"TS",""))*10/2,0))/COUNTIF('Eval-Avec act. écol. envisagée'!$A$761:$A$780,DY12),"")</f>
        <v/>
      </c>
      <c r="EK12" s="211" t="str">
        <f>IF(COUNTIF('Eval-Avec act. écol. envisagée'!$A$761:$A$780,DY12)&gt;0,SUM(IF('Eval-Avec act. écol. envisagée'!$A$761=DY12,LEN(SUBSTITUTE((SUBSTITUTE(EX9,"TF","")),"TM",""))*10/2,0),IF('Eval-Avec act. écol. envisagée'!$A$762=DY12,LEN(SUBSTITUTE((SUBSTITUTE(EX10,"TF","")),"TM",""))*10/2,0),IF('Eval-Avec act. écol. envisagée'!$A$763=DY12,LEN(SUBSTITUTE((SUBSTITUTE(EX11,"TF","")),"TM",""))*10/2,0),IF('Eval-Avec act. écol. envisagée'!$A$764=DY12,LEN(SUBSTITUTE((SUBSTITUTE(EX12,"TF","")),"TM",""))*10/2,0),IF('Eval-Avec act. écol. envisagée'!$A$765=DY12,LEN(SUBSTITUTE((SUBSTITUTE(EX13,"TF","")),"TM",""))*10/2,0),IF('Eval-Avec act. écol. envisagée'!$A$766=DY12,LEN(SUBSTITUTE((SUBSTITUTE(EX14,"TF","")),"TM",""))*10/2,0),IF('Eval-Avec act. écol. envisagée'!$A$767=DY12,LEN(SUBSTITUTE((SUBSTITUTE(EX15,"TF","")),"TM",""))*10/2,0),IF('Eval-Avec act. écol. envisagée'!$A$768=DY12,LEN(SUBSTITUTE((SUBSTITUTE(EX16,"TF","")),"TM",""))*10/2,0),IF('Eval-Avec act. écol. envisagée'!$A$769=DY12,LEN(SUBSTITUTE((SUBSTITUTE(EX17,"TF","")),"TM",""))*10/2,0),IF('Eval-Avec act. écol. envisagée'!$A$770=DY12,LEN(SUBSTITUTE((SUBSTITUTE(EX18,"TF","")),"TM",""))*10/2,0),IF('Eval-Avec act. écol. envisagée'!$A$771=DY12,LEN(SUBSTITUTE((SUBSTITUTE(EX19,"TF","")),"TM",""))*10/2,0),IF('Eval-Avec act. écol. envisagée'!$A$772=DY12,LEN(SUBSTITUTE((SUBSTITUTE(EX20,"TF","")),"TM",""))*10/2,0),IF('Eval-Avec act. écol. envisagée'!$A$773=DY12,LEN(SUBSTITUTE((SUBSTITUTE(EX21,"TF","")),"TM",""))*10/2,0),IF('Eval-Avec act. écol. envisagée'!$A$774=DY12,LEN(SUBSTITUTE((SUBSTITUTE(EX22,"TF","")),"TM",""))*10/2,0),IF('Eval-Avec act. écol. envisagée'!$A$775=DY12,LEN(SUBSTITUTE((SUBSTITUTE(EX23,"TF","")),"TM",""))*10/2,0),IF('Eval-Avec act. écol. envisagée'!$A$776=DY12,LEN(SUBSTITUTE((SUBSTITUTE(EX24,"TF","")),"TM",""))*10/2,0),IF('Eval-Avec act. écol. envisagée'!$A$777=DY12,LEN(SUBSTITUTE((SUBSTITUTE(EX25,"TF","")),"TM",""))*10/2,0),IF('Eval-Avec act. écol. envisagée'!$A$778=DY12,LEN(SUBSTITUTE((SUBSTITUTE(EX26,"TF","")),"TM",""))*10/2,0),IF('Eval-Avec act. écol. envisagée'!$A$779=DY12,LEN(SUBSTITUTE((SUBSTITUTE(EX27,"TF","")),"TM",""))*10/2,0),IF('Eval-Avec act. écol. envisagée'!$A$780=DY12,LEN(SUBSTITUTE((SUBSTITUTE(EX28,"TF","")),"TM",""))*10/2,0))/COUNTIF('Eval-Avec act. écol. envisagée'!$A$761:$A$780,DY12),"")</f>
        <v/>
      </c>
      <c r="EL12" s="211" t="str">
        <f>IF(COUNTIF('Eval-Avec act. écol. envisagée'!$A$761:$A$780,DY12)&gt;0,SUM(IF('Eval-Avec act. écol. envisagée'!$A$761=DY12,LEN(SUBSTITUTE((SUBSTITUTE(EY9,"TM","")),"TS",""))*10/2,0),IF('Eval-Avec act. écol. envisagée'!$A$762=DY12,LEN(SUBSTITUTE((SUBSTITUTE(EY10,"TM","")),"TS",""))*10/2,0),IF('Eval-Avec act. écol. envisagée'!$A$763=DY12,LEN(SUBSTITUTE((SUBSTITUTE(EY11,"TM","")),"TS",""))*10/2,0),IF('Eval-Avec act. écol. envisagée'!$A$764=DY12,LEN(SUBSTITUTE((SUBSTITUTE(EY12,"TM","")),"TS",""))*10/2,0),IF('Eval-Avec act. écol. envisagée'!$A$765=DY12,LEN(SUBSTITUTE((SUBSTITUTE(EY13,"TM","")),"TS",""))*10/2,0),IF('Eval-Avec act. écol. envisagée'!$A$766=DY12,LEN(SUBSTITUTE((SUBSTITUTE(EY14,"TM","")),"TS",""))*10/2,0),IF('Eval-Avec act. écol. envisagée'!$A$767=DY12,LEN(SUBSTITUTE((SUBSTITUTE(EY15,"TM","")),"TS",""))*10/2,0),IF('Eval-Avec act. écol. envisagée'!$A$768=DY12,LEN(SUBSTITUTE((SUBSTITUTE(EY16,"TM","")),"TS",""))*10/2,0),IF('Eval-Avec act. écol. envisagée'!$A$769=DY12,LEN(SUBSTITUTE((SUBSTITUTE(EY17,"TM","")),"TS",""))*10/2,0),IF('Eval-Avec act. écol. envisagée'!$A$770=DY12,LEN(SUBSTITUTE((SUBSTITUTE(EY18,"TM","")),"TS",""))*10/2,0),IF('Eval-Avec act. écol. envisagée'!$A$771=DY12,LEN(SUBSTITUTE((SUBSTITUTE(EY19,"TM","")),"TS",""))*10/2,0),IF('Eval-Avec act. écol. envisagée'!$A$772=DY12,LEN(SUBSTITUTE((SUBSTITUTE(EY20,"TM","")),"TS",""))*10/2,0),IF('Eval-Avec act. écol. envisagée'!$A$773=DY12,LEN(SUBSTITUTE((SUBSTITUTE(EY21,"TM","")),"TS",""))*10/2,0),IF('Eval-Avec act. écol. envisagée'!$A$774=DY12,LEN(SUBSTITUTE((SUBSTITUTE(EY22,"TM","")),"TS",""))*10/2,0),IF('Eval-Avec act. écol. envisagée'!$A$775=DY12,LEN(SUBSTITUTE((SUBSTITUTE(EY23,"TM","")),"TS",""))*10/2,0),IF('Eval-Avec act. écol. envisagée'!$A$776=DY12,LEN(SUBSTITUTE((SUBSTITUTE(EY24,"TM","")),"TS",""))*10/2,0),IF('Eval-Avec act. écol. envisagée'!$A$777=DY12,LEN(SUBSTITUTE((SUBSTITUTE(EY25,"TM","")),"TS",""))*10/2,0),IF('Eval-Avec act. écol. envisagée'!$A$778=DY12,LEN(SUBSTITUTE((SUBSTITUTE(EY26,"TM","")),"TS",""))*10/2,0),IF('Eval-Avec act. écol. envisagée'!$A$779=DY12,LEN(SUBSTITUTE((SUBSTITUTE(EY27,"TM","")),"TS",""))*10/2,0),IF('Eval-Avec act. écol. envisagée'!$A$780=DY12,LEN(SUBSTITUTE((SUBSTITUTE(EY28,"TM","")),"TS",""))*10/2,0))/COUNTIF('Eval-Avec act. écol. envisagée'!$A$761:$A$780,DY12),"")</f>
        <v/>
      </c>
      <c r="EM12" s="211" t="str">
        <f>IF(COUNTIF('Eval-Avec act. écol. envisagée'!$A$761:$A$780,DY12)&gt;0,SUM(IF('Eval-Avec act. écol. envisagée'!$A$761=DY12,LEN(SUBSTITUTE((SUBSTITUTE(EY9,"TF","")),"TS",""))*10/2,0),IF('Eval-Avec act. écol. envisagée'!$A$762=DY12,LEN(SUBSTITUTE((SUBSTITUTE(EY10,"TF","")),"TS",""))*10/2,0),IF('Eval-Avec act. écol. envisagée'!$A$763=DY12,LEN(SUBSTITUTE((SUBSTITUTE(EY11,"TF","")),"TS",""))*10/2,0),IF('Eval-Avec act. écol. envisagée'!$A$764=DY12,LEN(SUBSTITUTE((SUBSTITUTE(EY12,"TF","")),"TS",""))*10/2,0),IF('Eval-Avec act. écol. envisagée'!$A$765=DY12,LEN(SUBSTITUTE((SUBSTITUTE(EY13,"TF","")),"TS",""))*10/2,0),IF('Eval-Avec act. écol. envisagée'!$A$766=DY12,LEN(SUBSTITUTE((SUBSTITUTE(EY14,"TF","")),"TS",""))*10/2,0),IF('Eval-Avec act. écol. envisagée'!$A$767=DY12,LEN(SUBSTITUTE((SUBSTITUTE(EY15,"TF","")),"TS",""))*10/2,0),IF('Eval-Avec act. écol. envisagée'!$A$768=DY12,LEN(SUBSTITUTE((SUBSTITUTE(EY16,"TF","")),"TS",""))*10/2,0),IF('Eval-Avec act. écol. envisagée'!$A$769=DY12,LEN(SUBSTITUTE((SUBSTITUTE(EY17,"TF","")),"TS",""))*10/2,0),IF('Eval-Avec act. écol. envisagée'!$A$770=DY12,LEN(SUBSTITUTE((SUBSTITUTE(EY18,"TF","")),"TS",""))*10/2,0),IF('Eval-Avec act. écol. envisagée'!$A$771=DY12,LEN(SUBSTITUTE((SUBSTITUTE(EY19,"TF","")),"TS",""))*10/2,0),IF('Eval-Avec act. écol. envisagée'!$A$772=DY12,LEN(SUBSTITUTE((SUBSTITUTE(EY20,"TF","")),"TS",""))*10/2,0),IF('Eval-Avec act. écol. envisagée'!$A$773=DY12,LEN(SUBSTITUTE((SUBSTITUTE(EY21,"TF","")),"TS",""))*10/2,0),IF('Eval-Avec act. écol. envisagée'!$A$774=DY12,LEN(SUBSTITUTE((SUBSTITUTE(EY22,"TF","")),"TS",""))*10/2,0),IF('Eval-Avec act. écol. envisagée'!$A$775=DY12,LEN(SUBSTITUTE((SUBSTITUTE(EY23,"TF","")),"TS",""))*10/2,0),IF('Eval-Avec act. écol. envisagée'!$A$776=DY12,LEN(SUBSTITUTE((SUBSTITUTE(EY24,"TF","")),"TS",""))*10/2,0),IF('Eval-Avec act. écol. envisagée'!$A$777=DY12,LEN(SUBSTITUTE((SUBSTITUTE(EY25,"TF","")),"TS",""))*10/2,0),IF('Eval-Avec act. écol. envisagée'!$A$778=DY12,LEN(SUBSTITUTE((SUBSTITUTE(EY26,"TF","")),"TS",""))*10/2,0),IF('Eval-Avec act. écol. envisagée'!$A$779=DY12,LEN(SUBSTITUTE((SUBSTITUTE(EY27,"TF","")),"TS",""))*10/2,0),IF('Eval-Avec act. écol. envisagée'!$A$780=DY12,LEN(SUBSTITUTE((SUBSTITUTE(EY28,"TF","")),"TS",""))*10/2,0))/COUNTIF('Eval-Avec act. écol. envisagée'!$A$761:$A$780,DY12),"")</f>
        <v/>
      </c>
      <c r="EN12" s="211" t="str">
        <f>IF(COUNTIF('Eval-Avec act. écol. envisagée'!$A$761:$A$780,DY12)&gt;0,SUM(IF('Eval-Avec act. écol. envisagée'!$A$761=DY12,LEN(SUBSTITUTE((SUBSTITUTE(EY9,"TF","")),"TM",""))*10/2,0),IF('Eval-Avec act. écol. envisagée'!$A$762=DY12,LEN(SUBSTITUTE((SUBSTITUTE(EY10,"TF","")),"TM",""))*10/2,0),IF('Eval-Avec act. écol. envisagée'!$A$763=DY12,LEN(SUBSTITUTE((SUBSTITUTE(EY11,"TF","")),"TM",""))*10/2,0),IF('Eval-Avec act. écol. envisagée'!$A$764=DY12,LEN(SUBSTITUTE((SUBSTITUTE(EY12,"TF","")),"TM",""))*10/2,0),IF('Eval-Avec act. écol. envisagée'!$A$765=DY12,LEN(SUBSTITUTE((SUBSTITUTE(EY13,"TF","")),"TM",""))*10/2,0),IF('Eval-Avec act. écol. envisagée'!$A$766=DY12,LEN(SUBSTITUTE((SUBSTITUTE(EY14,"TF","")),"TM",""))*10/2,0),IF('Eval-Avec act. écol. envisagée'!$A$767=DY12,LEN(SUBSTITUTE((SUBSTITUTE(EY15,"TF","")),"TM",""))*10/2,0),IF('Eval-Avec act. écol. envisagée'!$A$768=DY12,LEN(SUBSTITUTE((SUBSTITUTE(EY16,"TF","")),"TM",""))*10/2,0),IF('Eval-Avec act. écol. envisagée'!$A$769=DY12,LEN(SUBSTITUTE((SUBSTITUTE(EY17,"TF","")),"TM",""))*10/2,0),IF('Eval-Avec act. écol. envisagée'!$A$770=DY12,LEN(SUBSTITUTE((SUBSTITUTE(EY18,"TF","")),"TM",""))*10/2,0),IF('Eval-Avec act. écol. envisagée'!$A$771=DY12,LEN(SUBSTITUTE((SUBSTITUTE(EY19,"TF","")),"TM",""))*10/2,0),IF('Eval-Avec act. écol. envisagée'!$A$772=DY12,LEN(SUBSTITUTE((SUBSTITUTE(EY20,"TF","")),"TM",""))*10/2,0),IF('Eval-Avec act. écol. envisagée'!$A$773=DY12,LEN(SUBSTITUTE((SUBSTITUTE(EY21,"TF","")),"TM",""))*10/2,0),IF('Eval-Avec act. écol. envisagée'!$A$774=DY12,LEN(SUBSTITUTE((SUBSTITUTE(EY22,"TF","")),"TM",""))*10/2,0),IF('Eval-Avec act. écol. envisagée'!$A$775=DY12,LEN(SUBSTITUTE((SUBSTITUTE(EY23,"TF","")),"TM",""))*10/2,0),IF('Eval-Avec act. écol. envisagée'!$A$776=DY12,LEN(SUBSTITUTE((SUBSTITUTE(EY24,"TF","")),"TM",""))*10/2,0),IF('Eval-Avec act. écol. envisagée'!$A$777=DY12,LEN(SUBSTITUTE((SUBSTITUTE(EY25,"TF","")),"TM",""))*10/2,0),IF('Eval-Avec act. écol. envisagée'!$A$778=DY12,LEN(SUBSTITUTE((SUBSTITUTE(EY26,"TF","")),"TM",""))*10/2,0),IF('Eval-Avec act. écol. envisagée'!$A$779=DY12,LEN(SUBSTITUTE((SUBSTITUTE(EY27,"TF","")),"TM",""))*10/2,0),IF('Eval-Avec act. écol. envisagée'!$A$780=DY12,LEN(SUBSTITUTE((SUBSTITUTE(EY28,"TF","")),"TM",""))*10/2,0))/COUNTIF('Eval-Avec act. écol. envisagée'!$A$761:$A$780,DY12),"")</f>
        <v/>
      </c>
      <c r="EO12" s="211" t="str">
        <f>IF(COUNTIF('Eval-Avec act. écol. envisagée'!$A$761:$A$780,DY12)&gt;0,IF(OR(AND('Eval-Avec act. écol. envisagée'!$A$761=DY12,EV9&lt;30),AND('Eval-Avec act. écol. envisagée'!$A$762=DY12,EV10&lt;30),AND('Eval-Avec act. écol. envisagée'!$A$763=DY12,EV11&lt;30),AND('Eval-Avec act. écol. envisagée'!$A$764=DY12,EV12&lt;30),AND('Eval-Avec act. écol. envisagée'!$A$765=DY12,EV13&lt;30),AND('Eval-Avec act. écol. envisagée'!$A$766=DY12,EV14&lt;30),AND('Eval-Avec act. écol. envisagée'!$A$767=DY12,EV15&lt;30),AND('Eval-Avec act. écol. envisagée'!$A$768=DY12,EV16&lt;30),AND('Eval-Avec act. écol. envisagée'!$A$769=DY12,EV17&lt;30),AND('Eval-Avec act. écol. envisagée'!$A$770=DY12,EV18&lt;30),AND('Eval-Avec act. écol. envisagée'!$A$771=DY12,EV19&lt;30),AND('Eval-Avec act. écol. envisagée'!$A$772=DY12,EV20&lt;30),AND('Eval-Avec act. écol. envisagée'!$A$773=DY12,EV21&lt;30),AND('Eval-Avec act. écol. envisagée'!$A$774=DY12,EV22&lt;30),AND('Eval-Avec act. écol. envisagée'!$A$775=DY12,EV23&lt;30),AND('Eval-Avec act. écol. envisagée'!$A$776=DY12,EV24&lt;30),AND('Eval-Avec act. écol. envisagée'!$A$777=DY12,EV25&lt;30),AND('Eval-Avec act. écol. envisagée'!$A$778=DY12,EV26&lt;30),AND('Eval-Avec act. écol. envisagée'!$A$779=DY12,EV27&lt;30),AND('Eval-Avec act. écol. envisagée'!$A$780=DY12,EV28&lt;30)),"",SUM(0.1*(SUMPRODUCT(('Eval-Avec act. écol. envisagée'!$A$761:$A$780=DY12)*('Eval-Avec act. écol. envisagée'!$N$761:$P$780="A"))+ SUMPRODUCT(('Eval-Avec act. écol. envisagée'!$A$761:$A$780=DY12)*('Eval-Avec act. écol. envisagée'!$N$761:$P$780="AL"))),0.7*(SUMPRODUCT(('Eval-Avec act. écol. envisagée'!$A$761:$A$780=DY12)*('Eval-Avec act. écol. envisagée'!$N$761:$P$780="TF"))+SUMPRODUCT(('Eval-Avec act. écol. envisagée'!$A$761:$A$780=DY12)*('Eval-Avec act. écol. envisagée'!$N$761:$P$780="TM"))+SUMPRODUCT(('Eval-Avec act. écol. envisagée'!$A$761:$A$780=DY12)*('Eval-Avec act. écol. envisagée'!$N$761:$P$780="TS"))),0.4*(SUMPRODUCT(('Eval-Avec act. écol. envisagée'!$A$761:$A$780=DY12)*('Eval-Avec act. écol. envisagée'!$N$761:$P$780="LA"))+SUMPRODUCT(('Eval-Avec act. écol. envisagée'!$A$761:$A$780=DY12)*('Eval-Avec act. écol. envisagée'!$N$761:$P$780="L"))+SUMPRODUCT(('Eval-Avec act. écol. envisagée'!$A$761:$A$780=DY12)*('Eval-Avec act. écol. envisagée'!$N$761:$P$780="LS"))),1*(SUMPRODUCT(('Eval-Avec act. écol. envisagée'!$A$761:$A$780=DY12)*('Eval-Avec act. écol. envisagée'!$N$761:$P$780="SL"))+ SUMPRODUCT(('Eval-Avec act. écol. envisagée'!$A$761:$A$780=DY12)*('Eval-Avec act. écol. envisagée'!$N$761:$P$780="S"))))/(3*COUNTIF('Eval-Avec act. écol. envisagée'!$A$761:$A$780,DY12))),"")</f>
        <v/>
      </c>
      <c r="EP12" s="211" t="str">
        <f>IF(COUNTIF('Eval-Avec act. écol. envisagée'!$A$761:$A$780,DY12)&gt;0,IF(OR(AND('Eval-Avec act. écol. envisagée'!$A$761=DY12,EV9&lt;120),AND('Eval-Avec act. écol. envisagée'!$A$762=DY12,EV10&lt;120),AND('Eval-Avec act. écol. envisagée'!$A$763=DY12,EV11&lt;120),AND('Eval-Avec act. écol. envisagée'!$A$764=DY12,EV12&lt;120),AND('Eval-Avec act. écol. envisagée'!$A$765=DY12,EV13&lt;120),AND('Eval-Avec act. écol. envisagée'!$A$766=DY12,EV14&lt;120),AND('Eval-Avec act. écol. envisagée'!$A$767=DY12,EV15&lt;120),AND('Eval-Avec act. écol. envisagée'!$A$768=DY12,EV16&lt;120),AND('Eval-Avec act. écol. envisagée'!$A$769=DY12,EV17&lt;120),AND('Eval-Avec act. écol. envisagée'!$A$770=DY12,EV18&lt;120),AND('Eval-Avec act. écol. envisagée'!$A$771=DY12,EV19&lt;120),AND('Eval-Avec act. écol. envisagée'!$A$772=DY12,EV20&lt;120),AND('Eval-Avec act. écol. envisagée'!$A$773=DY12,EV21&lt;120),AND('Eval-Avec act. écol. envisagée'!$A$774=DY12,EV22&lt;120),AND('Eval-Avec act. écol. envisagée'!$A$775=DY12,EV23&lt;120),AND('Eval-Avec act. écol. envisagée'!$A$776=DY12,EV24&lt;120),AND('Eval-Avec act. écol. envisagée'!$A$777=DY12,EV25&lt;120),AND('Eval-Avec act. écol. envisagée'!$A$778=DY12,EV26&lt;120),AND('Eval-Avec act. écol. envisagée'!$A$779=DY12,EV27&lt;120),AND('Eval-Avec act. écol. envisagée'!$A$780=DY12,EV28&lt;120)),"",SUM(0.1*(SUMPRODUCT(('Eval-Avec act. écol. envisagée'!$A$761:$A$780=DY12)*('Eval-Avec act. écol. envisagée'!$Q$761:$Y$780="A"))+ SUMPRODUCT(('Eval-Avec act. écol. envisagée'!$A$761:$A$780=DY12)*('Eval-Avec act. écol. envisagée'!$Q$761:$Y$780="AL"))),0.7*(SUMPRODUCT(('Eval-Avec act. écol. envisagée'!$A$761:$A$780=DY12)*('Eval-Avec act. écol. envisagée'!$Q$761:$Y$780="TF"))+SUMPRODUCT(('Eval-Avec act. écol. envisagée'!$A$761:$A$780=DY12)*('Eval-Avec act. écol. envisagée'!$Q$761:$Y$780="TM"))+SUMPRODUCT(('Eval-Avec act. écol. envisagée'!$A$761:$A$780=DY12)*('Eval-Avec act. écol. envisagée'!$Q$761:$Y$780="TS"))),0.4*(SUMPRODUCT(('Eval-Avec act. écol. envisagée'!$A$761:$A$780=DY12)*('Eval-Avec act. écol. envisagée'!$Q$761:$Y$780="LA"))+SUMPRODUCT(('Eval-Avec act. écol. envisagée'!$A$761:$A$780=DY12)*('Eval-Avec act. écol. envisagée'!$Q$761:$Y$780="L"))+SUMPRODUCT(('Eval-Avec act. écol. envisagée'!$A$761:$A$780=DY12)*('Eval-Avec act. écol. envisagée'!$Q$761:$Y$780="LS"))),1*(SUMPRODUCT(('Eval-Avec act. écol. envisagée'!$A$761:$A$780=DY12)*('Eval-Avec act. écol. envisagée'!$Q$761:$Y$780="SL"))+ SUMPRODUCT(('Eval-Avec act. écol. envisagée'!$A$761:$A$780=DY12)*('Eval-Avec act. écol. envisagée'!$Q$761:$Y$780="S"))))/(9*COUNTIF('Eval-Avec act. écol. envisagée'!$A$761:$A$780,DY12))),"")</f>
        <v/>
      </c>
      <c r="EQ12" s="211" t="str">
        <f>IF(COUNTIF('Eval-Avec act. écol. envisagée'!$A$761:$A$780,DY12)&gt;0,IF(OR(AND('Eval-Avec act. écol. envisagée'!$A$761=DY12,OR(COUNTIF('Eval-Avec act. écol. envisagée'!$N$761:$P$761,"*T*")&gt;0,EV9&lt;30)),AND('Eval-Avec act. écol. envisagée'!$A$762=DY12,OR(COUNTIF('Eval-Avec act. écol. envisagée'!$N$762:$P$762,"*T*")&gt;0,EV10&lt;30)),AND('Eval-Avec act. écol. envisagée'!$A$763=DY12,OR(COUNTIF('Eval-Avec act. écol. envisagée'!$N$763:$P$763,"*T*")&gt;0,EV11&lt;30)),AND('Eval-Avec act. écol. envisagée'!$A$764=DY12,OR(COUNTIF('Eval-Avec act. écol. envisagée'!$N$764:$P$764,"*T*")&gt;0,EV12&lt;30)),AND('Eval-Avec act. écol. envisagée'!$A$765=DY12,OR(COUNTIF('Eval-Avec act. écol. envisagée'!$N$765:$P$765,"*T*")&gt;0,EV13&lt;30)),AND('Eval-Avec act. écol. envisagée'!$A$766=DY12,OR(COUNTIF('Eval-Avec act. écol. envisagée'!$N$766:$P$766,"*T*")&gt;0,EV14&lt;30)),AND('Eval-Avec act. écol. envisagée'!$A$767=DY12,OR(COUNTIF('Eval-Avec act. écol. envisagée'!$N$767:$P$767,"*T*")&gt;0,EV15&lt;30)),AND('Eval-Avec act. écol. envisagée'!$A$768=DY12,OR(COUNTIF('Eval-Avec act. écol. envisagée'!$N$768:$P$768,"*T*")&gt;0,EV16&lt;30)),AND('Eval-Avec act. écol. envisagée'!$A$769=DY12,OR(COUNTIF('Eval-Avec act. écol. envisagée'!$N$769:$P$769,"*T*")&gt;0,EV17&lt;30)),AND('Eval-Avec act. écol. envisagée'!$A$770=DY12,OR(COUNTIF('Eval-Avec act. écol. envisagée'!$N$770:$P$770,"*T*")&gt;0,EV18&lt;30)),AND('Eval-Avec act. écol. envisagée'!$A$771=DY12,OR(COUNTIF('Eval-Avec act. écol. envisagée'!$N$771:$P$771,"*T*")&gt;0,EV19&lt;30)),AND('Eval-Avec act. écol. envisagée'!$A$772=DY12,OR(COUNTIF('Eval-Avec act. écol. envisagée'!$N$772:$P$772,"*T*")&gt;0,EV20&lt;30)),AND('Eval-Avec act. écol. envisagée'!$A$773=DY12,OR(COUNTIF('Eval-Avec act. écol. envisagée'!$N$773:$P$773,"*T*")&gt;0,EV21&lt;30)),AND('Eval-Avec act. écol. envisagée'!$A$774=DY12,OR(COUNTIF('Eval-Avec act. écol. envisagée'!$N$774:$P$774,"*T*")&gt;0,EV22&lt;30)),AND('Eval-Avec act. écol. envisagée'!$A$775=DY12,OR(COUNTIF('Eval-Avec act. écol. envisagée'!$N$775:$P$775,"*T*")&gt;0,EV23&lt;30)),AND('Eval-Avec act. écol. envisagée'!$A$776=DY12,OR(COUNTIF('Eval-Avec act. écol. envisagée'!$N$776:$P$776,"*T*")&gt;0,EV24&lt;30)),AND('Eval-Avec act. écol. envisagée'!$A$777=DY12,OR(COUNTIF('Eval-Avec act. écol. envisagée'!$N$777:$P$777,"*T*")&gt;0,EV25&lt;30)),AND('Eval-Avec act. écol. envisagée'!$A$778=DY12,OR(COUNTIF('Eval-Avec act. écol. envisagée'!$N$778:$P$778,"*T*")&gt;0,EV26&lt;30)),AND('Eval-Avec act. écol. envisagée'!$A$779=DY12,OR(COUNTIF('Eval-Avec act. écol. envisagée'!$N$779:$P$779,"*T*")&gt;0,EV27&lt;30)),AND('Eval-Avec act. écol. envisagée'!$A$780=DY12,OR(COUNTIF('Eval-Avec act. écol. envisagée'!$N$780:$P$780,"*T*")&gt;0,EV28&lt;30))),"",SUM(0.1*(SUMPRODUCT(('Eval-Avec act. écol. envisagée'!$A$761:$A$780=DY12)*('Eval-Avec act. écol. envisagée'!$N$761:$P$780="L"))),0.4*(SUMPRODUCT(('Eval-Avec act. écol. envisagée'!$A$761:$A$780=DY12)*('Eval-Avec act. écol. envisagée'!$N$761:$P$780="LA"))+SUMPRODUCT(('Eval-Avec act. écol. envisagée'!$A$761:$A$780=DY12)*('Eval-Avec act. écol. envisagée'!$N$761:$P$780="LS"))),0.7*(SUMPRODUCT(('Eval-Avec act. écol. envisagée'!$A$761:$A$780=DY12)*('Eval-Avec act. écol. envisagée'!$N$761:$P$780="AL"))+SUMPRODUCT(('Eval-Avec act. écol. envisagée'!$A$761:$A$780=DY12)*('Eval-Avec act. écol. envisagée'!$N$761:$P$780="SL"))),1*(SUMPRODUCT(('Eval-Avec act. écol. envisagée'!$A$761:$A$780=DY12)*('Eval-Avec act. écol. envisagée'!$N$761:$P$780="S"))+ SUMPRODUCT(('Eval-Avec act. écol. envisagée'!$A$761:$A$780=DY12)*('Eval-Avec act. écol. envisagée'!$N$761:$P$780="A"))))/(3*COUNTIF('Eval-Avec act. écol. envisagée'!$A$761:$A$780,DY12))),"")</f>
        <v/>
      </c>
      <c r="ER12" s="211" t="str">
        <f>IF(COUNTIF('Eval-Avec act. écol. envisagée'!$A$761:$A$780,DY12)&gt;0,IF(OR(AND('Eval-Avec act. écol. envisagée'!$A$761=DY12,OR(COUNTIF('Eval-Avec act. écol. envisagée'!$N$761:$P$761,"*T*")&gt;0,EV9&lt;30)),AND('Eval-Avec act. écol. envisagée'!$A$762=DY12,OR(COUNTIF('Eval-Avec act. écol. envisagée'!$N$762:$P$762,"*T*")&gt;0,EV10&lt;30)),AND('Eval-Avec act. écol. envisagée'!$A$763=DY12,OR(COUNTIF('Eval-Avec act. écol. envisagée'!$N$763:$P$763,"*T*")&gt;0,EV11&lt;30)),AND('Eval-Avec act. écol. envisagée'!$A$764=DY12,OR(COUNTIF('Eval-Avec act. écol. envisagée'!$N$764:$P$764,"*T*")&gt;0,EV12&lt;30)),AND('Eval-Avec act. écol. envisagée'!$A$765=DY12,OR(COUNTIF('Eval-Avec act. écol. envisagée'!$N$765:$P$765,"*T*")&gt;0,EV13&lt;30)),AND('Eval-Avec act. écol. envisagée'!$A$766=DY12,OR(COUNTIF('Eval-Avec act. écol. envisagée'!$N$766:$P$766,"*T*")&gt;0,EV14&lt;30)),AND('Eval-Avec act. écol. envisagée'!$A$767=DY12,OR(COUNTIF('Eval-Avec act. écol. envisagée'!$N$767:$P$767,"*T*")&gt;0,EV15&lt;30)),AND('Eval-Avec act. écol. envisagée'!$A$768=DY12,OR(COUNTIF('Eval-Avec act. écol. envisagée'!$N$768:$P$768,"*T*")&gt;0,EV16&lt;30)),AND('Eval-Avec act. écol. envisagée'!$A$769=DY12,OR(COUNTIF('Eval-Avec act. écol. envisagée'!$N$769:$P$769,"*T*")&gt;0,EV17&lt;30)),AND('Eval-Avec act. écol. envisagée'!$A$770=DY12,OR(COUNTIF('Eval-Avec act. écol. envisagée'!$N$770:$P$770,"*T*")&gt;0,EV18&lt;30)),AND('Eval-Avec act. écol. envisagée'!$A$771=DY12,OR(COUNTIF('Eval-Avec act. écol. envisagée'!$N$771:$P$771,"*T*")&gt;0,EV19&lt;30)),AND('Eval-Avec act. écol. envisagée'!$A$772=DY12,OR(COUNTIF('Eval-Avec act. écol. envisagée'!$N$772:$P$772,"*T*")&gt;0,EV20&lt;30)),AND('Eval-Avec act. écol. envisagée'!$A$773=DY12,OR(COUNTIF('Eval-Avec act. écol. envisagée'!$N$773:$P$773,"*T*")&gt;0,EV21&lt;30)),AND('Eval-Avec act. écol. envisagée'!$A$774=DY12,OR(COUNTIF('Eval-Avec act. écol. envisagée'!$N$774:$P$774,"*T*")&gt;0,EV22&lt;30)),AND('Eval-Avec act. écol. envisagée'!$A$775=DY12,OR(COUNTIF('Eval-Avec act. écol. envisagée'!$N$775:$P$775,"*T*")&gt;0,EV23&lt;30)),AND('Eval-Avec act. écol. envisagée'!$A$776=DY12,OR(COUNTIF('Eval-Avec act. écol. envisagée'!$N$776:$P$776,"*T*")&gt;0,EV24&lt;30)),AND('Eval-Avec act. écol. envisagée'!$A$777=DY12,OR(COUNTIF('Eval-Avec act. écol. envisagée'!$N$777:$P$777,"*T*")&gt;0,EV25&lt;30)),AND('Eval-Avec act. écol. envisagée'!$A$778=DY12,OR(COUNTIF('Eval-Avec act. écol. envisagée'!$N$778:$P$778,"*T*")&gt;0,EV26&lt;30)),AND('Eval-Avec act. écol. envisagée'!$A$779=DY12,OR(COUNTIF('Eval-Avec act. écol. envisagée'!$N$779:$P$779,"*T*")&gt;0,EV27&lt;30)),AND('Eval-Avec act. écol. envisagée'!$A$780=DY12,OR(COUNTIF('Eval-Avec act. écol. envisagée'!$N$780:$P$780,"*T*")&gt;0,EV28&lt;30))),"",SUM(1*(SUMPRODUCT(('Eval-Avec act. écol. envisagée'!$A$761:$A$780=DY12)*('Eval-Avec act. écol. envisagée'!$N$761:$P$780="A"))),0.85*(SUMPRODUCT(('Eval-Avec act. écol. envisagée'!$A$761:$A$780=DY12)*('Eval-Avec act. écol. envisagée'!$N$761:$P$780="AL"))),0.7*(SUMPRODUCT(('Eval-Avec act. écol. envisagée'!$A$761:$A$780=DY12)*('Eval-Avec act. écol. envisagée'!$N$761:$P$780="LA"))),0.55*(SUMPRODUCT(('Eval-Avec act. écol. envisagée'!$A$761:$A$780=DY12)*('Eval-Avec act. écol. envisagée'!$N$761:$P$780="L"))),0.4*(SUMPRODUCT(('Eval-Avec act. écol. envisagée'!$A$761:$A$780=DY12)*('Eval-Avec act. écol. envisagée'!$N$761:$P$780="LS"))),0.25*(SUMPRODUCT(('Eval-Avec act. écol. envisagée'!$A$761:$A$780=DY12)*('Eval-Avec act. écol. envisagée'!$N$761:$P$780="SL"))),0.1*(SUMPRODUCT(('Eval-Avec act. écol. envisagée'!$A$761:$A$780=DY12)*('Eval-Avec act. écol. envisagée'!$N$761:$P$780="S"))))/(3*COUNTIF('Eval-Avec act. écol. envisagée'!$A$761:$A$780,DY12))),"")</f>
        <v/>
      </c>
      <c r="ES12" s="214" t="str">
        <f>IF(COUNTIF('Eval-Avec act. écol. envisagée'!$A$761:$A$780,DY12)&gt;0,IF(OR(AND('Eval-Avec act. écol. envisagée'!$A$761=DY12,OR(COUNTIF('Eval-Avec act. écol. envisagée'!$Q$761:$Y$761,"*T*")&gt;0,EV9&lt;120)),AND('Eval-Avec act. écol. envisagée'!$A$762=DY12,OR(COUNTIF('Eval-Avec act. écol. envisagée'!$Q$762:$Y$762,"*T*")&gt;0,EV10&lt;120)),AND('Eval-Avec act. écol. envisagée'!$A$763=DY12,OR(COUNTIF('Eval-Avec act. écol. envisagée'!$Q$763:$Y$763,"*T*")&gt;0,EV11&lt;120)),AND('Eval-Avec act. écol. envisagée'!$A$764=DY12,OR(COUNTIF('Eval-Avec act. écol. envisagée'!$Q$764:$Y$764,"*T*")&gt;0,EV12&lt;120)),AND('Eval-Avec act. écol. envisagée'!$A$765=DY12,OR(COUNTIF('Eval-Avec act. écol. envisagée'!$Q$765:$Y$765,"*T*")&gt;0,EV13&lt;120)),AND('Eval-Avec act. écol. envisagée'!$A$766=DY12,OR(COUNTIF('Eval-Avec act. écol. envisagée'!$Q$766:$Y$766,"*T*")&gt;0,EV14&lt;120)),AND('Eval-Avec act. écol. envisagée'!$A$767=DY12,OR(COUNTIF('Eval-Avec act. écol. envisagée'!$Q$767:$Y$767,"*T*")&gt;0,EV15&lt;120)),AND('Eval-Avec act. écol. envisagée'!$A$768=DY12,OR(COUNTIF('Eval-Avec act. écol. envisagée'!$Q$768:$Y$768,"*T*")&gt;0,EV16&lt;120)),AND('Eval-Avec act. écol. envisagée'!$A$769=DY12,OR(COUNTIF('Eval-Avec act. écol. envisagée'!$Q$769:$Y$769,"*T*")&gt;0,EV17&lt;120)),AND('Eval-Avec act. écol. envisagée'!$A$770=DY12,OR(COUNTIF('Eval-Avec act. écol. envisagée'!$Q$770:$Y$770,"*T*")&gt;0,EV18&lt;120)),AND('Eval-Avec act. écol. envisagée'!$A$771=DY12,OR(COUNTIF('Eval-Avec act. écol. envisagée'!$Q$771:$Y$771,"*T*")&gt;0,EV19&lt;120)),AND('Eval-Avec act. écol. envisagée'!$A$772=DY12,OR(COUNTIF('Eval-Avec act. écol. envisagée'!$Q$772:$Y$772,"*T*")&gt;0,EV20&lt;120)),AND('Eval-Avec act. écol. envisagée'!$A$773=DY12,OR(COUNTIF('Eval-Avec act. écol. envisagée'!$Q$773:$Y$773,"*T*")&gt;0,EV21&lt;120)),AND('Eval-Avec act. écol. envisagée'!$A$774=DY12,OR(COUNTIF('Eval-Avec act. écol. envisagée'!$Q$774:$Y$774,"*T*")&gt;0,EV22&lt;120)),AND('Eval-Avec act. écol. envisagée'!$A$775=DY12,OR(COUNTIF('Eval-Avec act. écol. envisagée'!$Q$775:$Y$775,"*T*")&gt;0,EV23&lt;120)),AND('Eval-Avec act. écol. envisagée'!$A$776=DY12,OR(COUNTIF('Eval-Avec act. écol. envisagée'!$Q$776:$Y$776,"*T*")&gt;0,EV24&lt;120)),AND('Eval-Avec act. écol. envisagée'!$A$777=DY12,OR(COUNTIF('Eval-Avec act. écol. envisagée'!$Q$777:$Y$777,"*T*")&gt;0,EV25&lt;120)),AND('Eval-Avec act. écol. envisagée'!$A$778=DY12,OR(COUNTIF('Eval-Avec act. écol. envisagée'!$Q$778:$Y$778,"*T*")&gt;0,EV26&lt;120)),AND('Eval-Avec act. écol. envisagée'!$A$779=DY12,OR(COUNTIF('Eval-Avec act. écol. envisagée'!$Q$779:$Y$779,"*T*")&gt;0,EV27&lt;120)),AND('Eval-Avec act. écol. envisagée'!$A$780=DY12,OR(COUNTIF('Eval-Avec act. écol. envisagée'!$Q$780:$Y$780,"*T*")&gt;0,EV28&lt;120))),"",SUM(1*(SUMPRODUCT(('Eval-Avec act. écol. envisagée'!$A$761:$A$780=DY12)*('Eval-Avec act. écol. envisagée'!$Q$761:$Y$780="A"))),0.85*(SUMPRODUCT(('Eval-Avec act. écol. envisagée'!$A$761:$A$780=DY12)*('Eval-Avec act. écol. envisagée'!$Q$761:$Y$780="AL"))),0.7*(SUMPRODUCT(('Eval-Avec act. écol. envisagée'!$A$761:$A$780=DY12)*('Eval-Avec act. écol. envisagée'!$Q$761:$Y$780="LA"))),0.55*(SUMPRODUCT(('Eval-Avec act. écol. envisagée'!$A$761:$A$780=DY12)*('Eval-Avec act. écol. envisagée'!$Q$761:$Y$780="L"))),0.4*(SUMPRODUCT(('Eval-Avec act. écol. envisagée'!$A$761:$A$780=DY12)*('Eval-Avec act. écol. envisagée'!$Q$761:$Y$780="LS"))),0.25*(SUMPRODUCT(('Eval-Avec act. écol. envisagée'!$A$761:$A$780=DY12)*('Eval-Avec act. écol. envisagée'!$Q$761:$Y$780="SL"))),0.1*(SUMPRODUCT(('Eval-Avec act. écol. envisagée'!$A$761:$A$780=DY12)*('Eval-Avec act. écol. envisagée'!$Q$761:$Y$780="S"))))/(9*COUNTIF('Eval-Avec act. écol. envisagée'!$A$761:$A$780,DY12))),"")</f>
        <v/>
      </c>
      <c r="ET12" s="215"/>
      <c r="EU12" s="216">
        <f>'Eval-Avec act. écol. envisagée'!$D$764</f>
        <v>4</v>
      </c>
      <c r="EV12" s="217" t="str">
        <f>IF(EW12="C",0,IF(IF(COUNTIF('Eval-Avec act. écol. envisagée'!$N$764:$Y$764,"=C")&gt;0,(COUNTA('Eval-Avec act. écol. envisagée'!$N$764:$Y$764)-1)*10,COUNTA('Eval-Avec act. écol. envisagée'!$N$764:$Y$764)*10)=0,"",IF(COUNTIF('Eval-Avec act. écol. envisagée'!$N$764:$Y$764,"=C")&gt;0,(COUNTA('Eval-Avec act. écol. envisagée'!$N$764:$Y$764)-1)*10,COUNTA('Eval-Avec act. écol. envisagée'!$N$764:$Y$764)*10)))</f>
        <v/>
      </c>
      <c r="EW12" s="217" t="str">
        <f>CONCATENATE('Eval-Avec act. écol. envisagée'!$N$764,'Eval-Avec act. écol. envisagée'!$O$764,'Eval-Avec act. écol. envisagée'!$P$764,'Eval-Avec act. écol. envisagée'!$Q$764,'Eval-Avec act. écol. envisagée'!$R$764,'Eval-Avec act. écol. envisagée'!$S$764,'Eval-Avec act. écol. envisagée'!$T$764,'Eval-Avec act. écol. envisagée'!$U$764,'Eval-Avec act. écol. envisagée'!$V$764,'Eval-Avec act. écol. envisagée'!$W$764,'Eval-Avec act. écol. envisagée'!$X$764,'Eval-Avec act. écol. envisagée'!$Y$764)</f>
        <v/>
      </c>
      <c r="EX12" s="217" t="str">
        <f t="shared" si="16"/>
        <v/>
      </c>
      <c r="EY12" s="217" t="str">
        <f t="shared" si="17"/>
        <v/>
      </c>
      <c r="EZ12" s="217" t="str">
        <f>IF(COUNTIF('Eval-Avec act. écol. envisagée'!$N$764:$Y$764,"=C")&gt;0,"X","")</f>
        <v/>
      </c>
      <c r="FA12" s="217" t="str">
        <f t="shared" si="18"/>
        <v/>
      </c>
      <c r="FB12" s="218" t="str">
        <f t="shared" si="19"/>
        <v/>
      </c>
      <c r="FC12" s="197"/>
      <c r="FE12" s="210">
        <v>4</v>
      </c>
      <c r="FF12" s="211" t="str">
        <f>IF(COUNTIF('Eval-Après action écologique'!$A$761:$A$780,FE12)&gt;0,SUM(IF('Eval-Après action écologique'!$A$761=FE12,'Eval-Après action écologique'!$B$761,0),IF('Eval-Après action écologique'!$A$762=FE12, 'Eval-Après action écologique'!$B$762,0),IF('Eval-Après action écologique'!$A$763=FE12, 'Eval-Après action écologique'!$B$763,0),IF('Eval-Après action écologique'!$A$764=FE12, 'Eval-Après action écologique'!$B$764,0),IF('Eval-Après action écologique'!$A$765=FE12, 'Eval-Après action écologique'!$B$765,0),IF('Eval-Après action écologique'!$A$766=FE12, 'Eval-Après action écologique'!$B$766,0),IF('Eval-Après action écologique'!$A$767=FE12, 'Eval-Après action écologique'!$B$767,0),IF('Eval-Après action écologique'!$A$768=FE12, 'Eval-Après action écologique'!$B$768,0),IF('Eval-Après action écologique'!$A$769=FE12, 'Eval-Après action écologique'!$B$769,0),IF('Eval-Après action écologique'!$A$770=FE12, 'Eval-Après action écologique'!$B$770,0),IF('Eval-Après action écologique'!$A$771=FE12, 'Eval-Après action écologique'!$B$771,0),IF('Eval-Après action écologique'!$A$772=FE12, 'Eval-Après action écologique'!$B$772,0),IF('Eval-Après action écologique'!$A$773=FE12, 'Eval-Après action écologique'!$B$773,0),IF('Eval-Après action écologique'!$A$774=FE12, 'Eval-Après action écologique'!$B$774,0),IF('Eval-Après action écologique'!$A$775=FE12, 'Eval-Après action écologique'!$B$775,0),IF('Eval-Après action écologique'!$A$776=FE12, 'Eval-Après action écologique'!$B$776,0),IF('Eval-Après action écologique'!$A$777=FE12, 'Eval-Après action écologique'!$B$777,0),IF('Eval-Après action écologique'!$A$778=FE12, 'Eval-Après action écologique'!$B$778,0),IF('Eval-Après action écologique'!$A$779=FE12, 'Eval-Après action écologique'!$B$779,0),IF('Eval-Après action écologique'!$A$780=FE12, 'Eval-Après action écologique'!$B$780,0))/COUNTIF('Eval-Après action écologique'!$A$761:$A$780,FE12),"")</f>
        <v/>
      </c>
      <c r="FG12" s="212" t="str">
        <f>IF(COUNTIF('Eval-Après action écologique'!$A$761:$A$780,FE12)&gt;0,COUNTIF('Eval-Après action écologique'!$A$761:$A$780,FE12),"")</f>
        <v/>
      </c>
      <c r="FH12" s="211" t="str">
        <f>IF(COUNTIF('Eval-Après action écologique'!$A$761:$A$780,FE12)&gt;0,IF(OR(AND('Eval-Après action écologique'!$A$761=FE12, 'Eval-Après action écologique'!$G$761=""),AND('Eval-Après action écologique'!$A$762=FE12, 'Eval-Après action écologique'!$G$762=""),AND('Eval-Après action écologique'!$A$763=FE12, 'Eval-Après action écologique'!$G$763=""),AND('Eval-Après action écologique'!$A$764=FE12, 'Eval-Après action écologique'!$G$764=""),AND('Eval-Après action écologique'!$A$765=FE12, 'Eval-Après action écologique'!$G$765=""),AND('Eval-Après action écologique'!$A$766=FE12, 'Eval-Après action écologique'!$G$766=""),AND('Eval-Après action écologique'!$A$767=FE12, 'Eval-Après action écologique'!$G$767=""),AND('Eval-Après action écologique'!$A$768=FE12, 'Eval-Après action écologique'!$G$768=""),AND('Eval-Après action écologique'!$A$769=FE12, 'Eval-Après action écologique'!$G$769=""),AND('Eval-Après action écologique'!$A$770=FE12, 'Eval-Après action écologique'!$G$770=""),AND('Eval-Après action écologique'!$A$771=FE12, 'Eval-Après action écologique'!$G$771=""),AND('Eval-Après action écologique'!$A$772=FE12, 'Eval-Après action écologique'!$G$772=""),AND('Eval-Après action écologique'!$A$773=FE12, 'Eval-Après action écologique'!$G$773=""),AND('Eval-Après action écologique'!$A$774=FE12, 'Eval-Après action écologique'!$G$774=""),AND('Eval-Après action écologique'!$A$775=FE12, 'Eval-Après action écologique'!$G$775=""),AND('Eval-Après action écologique'!$A$776=FE12, 'Eval-Après action écologique'!$G$776=""),AND('Eval-Après action écologique'!$A$777=FE12, 'Eval-Après action écologique'!$G$777=""),AND('Eval-Après action écologique'!$A$778=FE12, 'Eval-Après action écologique'!$G$778=""),AND('Eval-Après action écologique'!$A$779=FE12, 'Eval-Après action écologique'!$G$779=""),AND('Eval-Après action écologique'!$A$780=FE12, 'Eval-Après action écologique'!$G$780="")),"",SUM(IF('Eval-Après action écologique'!$A$761=FE12,'Eval-Après action écologique'!$G$761,0),IF('Eval-Après action écologique'!$A$762=FE12,'Eval-Après action écologique'!$G$762,0),IF('Eval-Après action écologique'!$A$763=FE12,'Eval-Après action écologique'!$G$763,0),IF('Eval-Après action écologique'!$A$764=FE12,'Eval-Après action écologique'!$G$764,0),IF('Eval-Après action écologique'!$A$765=FE12,'Eval-Après action écologique'!$G$765,0),IF('Eval-Après action écologique'!$A$766=FE12,'Eval-Après action écologique'!$G$766,0),IF('Eval-Après action écologique'!$A$767=FE12,'Eval-Après action écologique'!$G$767,0),IF('Eval-Après action écologique'!$A$768=FE12,'Eval-Après action écologique'!$G$768,0),IF('Eval-Après action écologique'!$A$769=FE12,'Eval-Après action écologique'!$G$769,0),IF('Eval-Après action écologique'!$A$770=FE12,'Eval-Après action écologique'!$G$770,0),IF('Eval-Après action écologique'!$A$771=FE12,'Eval-Après action écologique'!$G$771,0),IF('Eval-Après action écologique'!$A$772=FE12,'Eval-Après action écologique'!$G$772,0),IF('Eval-Après action écologique'!$A$773=FE12,'Eval-Après action écologique'!$G$773,0),IF('Eval-Après action écologique'!$A$774=FE12,'Eval-Après action écologique'!$G$774,0),IF('Eval-Après action écologique'!$A$775=FE12,'Eval-Après action écologique'!$G$775,0), IF('Eval-Après action écologique'!$A$776=FE12,'Eval-Après action écologique'!$G$776,0), IF('Eval-Après action écologique'!$A$777=FE12,'Eval-Après action écologique'!$G$777,0), IF('Eval-Après action écologique'!$A$778=FE12,'Eval-Après action écologique'!$G$778,0), IF('Eval-Après action écologique'!$A$779=FE12,'Eval-Après action écologique'!$G$779,0), IF('Eval-Après action écologique'!$A$780=FE12,'Eval-Après action écologique'!$G$780,0))/ COUNTIF('Eval-Après action écologique'!$A$761:$A$780,FE12)),"")</f>
        <v/>
      </c>
      <c r="FI12" s="212" t="str">
        <f>IF(COUNTIF('Eval-Après action écologique'!$A$761:$A$780,FE12)&gt;0,IF(SUM(IF('Eval-Après action écologique'!$A$761=FE12,COUNTA('Eval-Après action écologique'!$H$761),0),IF('Eval-Après action écologique'!$A$762=FE12,COUNTA('Eval-Après action écologique'!$H$762),0),IF('Eval-Après action écologique'!$A$763=FE12,COUNTA('Eval-Après action écologique'!$H$763),0),IF('Eval-Après action écologique'!$A$764=FE12,COUNTA('Eval-Après action écologique'!$H$764),0),IF('Eval-Après action écologique'!$A$765=FE12,COUNTA('Eval-Après action écologique'!$H$765),0),IF('Eval-Après action écologique'!$A$766=FE12,COUNTA('Eval-Après action écologique'!$H$766),0),IF('Eval-Après action écologique'!$A$767=FE12,COUNTA('Eval-Après action écologique'!$H$767),0),IF('Eval-Après action écologique'!$A$768=FE12,COUNTA('Eval-Après action écologique'!$H$768),0),IF('Eval-Après action écologique'!$A$769=FE12,COUNTA('Eval-Après action écologique'!$H$769),0),IF('Eval-Après action écologique'!$A$770=FE12,COUNTA('Eval-Après action écologique'!$H$770),0),IF('Eval-Après action écologique'!$A$771=FE12,COUNTA('Eval-Après action écologique'!$H$771),0),IF('Eval-Après action écologique'!$A$772=FE12,COUNTA('Eval-Après action écologique'!$H$772),0),IF('Eval-Après action écologique'!$A$773=FE12,COUNTA('Eval-Après action écologique'!$H$773),0),IF('Eval-Après action écologique'!$A$774=FE12,COUNTA('Eval-Après action écologique'!$H$774),0),IF('Eval-Après action écologique'!$A$775=FE12,COUNTA('Eval-Après action écologique'!$H$775),0),IF('Eval-Après action écologique'!$A$776=FE12,COUNTA('Eval-Après action écologique'!$H$776),0),IF('Eval-Après action écologique'!$A$777=FE12,COUNTA('Eval-Après action écologique'!$H$777),0),IF('Eval-Après action écologique'!$A$778=FE12,COUNTA('Eval-Après action écologique'!$H$778),0),IF('Eval-Après action écologique'!$A$779=FE12,COUNTA('Eval-Après action écologique'!$H$779),0),IF('Eval-Après action écologique'!$A$780=FE12,COUNTA('Eval-Après action écologique'!$H$780),0))&gt;0,"X",0),"")</f>
        <v/>
      </c>
      <c r="FJ12" s="213" t="str">
        <f>IF(COUNTIF('Eval-Après action écologique'!$A$761:$A$780,FE12)&gt;0,IF(SUM(IF('Eval-Après action écologique'!$A$761=FE12,COUNTA('Eval-Après action écologique'!$I$761),0),IF('Eval-Après action écologique'!$A$762=FE12,COUNTA('Eval-Après action écologique'!$I$762),0),IF('Eval-Après action écologique'!$A$763=FE12,COUNTA('Eval-Après action écologique'!$I$763),0),IF('Eval-Après action écologique'!$A$764=FE12,COUNTA('Eval-Après action écologique'!$I$764),0),IF('Eval-Après action écologique'!$A$765=FE12,COUNTA('Eval-Après action écologique'!$I$765),0),IF('Eval-Après action écologique'!$A$766=FE12,COUNTA('Eval-Après action écologique'!$I$766),0),IF('Eval-Après action écologique'!$A$767=FE12,COUNTA('Eval-Après action écologique'!$I$767),0),IF('Eval-Après action écologique'!$A$768=FE12,COUNTA('Eval-Après action écologique'!$I$768),0),IF('Eval-Après action écologique'!$A$769=FE12,COUNTA('Eval-Après action écologique'!$I$769),0),IF('Eval-Après action écologique'!$A$770=FE12,COUNTA('Eval-Après action écologique'!$I$770),0),IF('Eval-Après action écologique'!$A$771=FE12,COUNTA('Eval-Après action écologique'!$I$771),0),IF('Eval-Après action écologique'!$A$772=FE12,COUNTA('Eval-Après action écologique'!$I$772),0),IF('Eval-Après action écologique'!$A$773=FE12,COUNTA('Eval-Après action écologique'!$I$773),0),IF('Eval-Après action écologique'!$A$774=FE12,COUNTA('Eval-Après action écologique'!$I$774),0),IF('Eval-Après action écologique'!$A$775=FE12,COUNTA('Eval-Après action écologique'!$I$775),0),IF('Eval-Après action écologique'!$A$776=FE12,COUNTA('Eval-Après action écologique'!$I$776),0),IF('Eval-Après action écologique'!$A$777=FE12,COUNTA('Eval-Après action écologique'!$I$777),0),IF('Eval-Après action écologique'!$A$778=FE12,COUNTA('Eval-Après action écologique'!$I$778),0),IF('Eval-Après action écologique'!$A$779=FE12,COUNTA('Eval-Après action écologique'!$I$779),0),IF('Eval-Après action écologique'!$A$780=FE12,COUNTA('Eval-Après action écologique'!$I$780),0))&gt;0,"X",0),"")</f>
        <v/>
      </c>
      <c r="FK12" s="213" t="str">
        <f>IF(COUNTIF('Eval-Après action écologique'!$A$761:$A$780,FE12)&gt;0,IF(SUM(IF('Eval-Après action écologique'!$A$761=FE12,COUNTA('Eval-Après action écologique'!$J$761),0),IF('Eval-Après action écologique'!$A$762=FE12,COUNTA('Eval-Après action écologique'!$J$762),0),IF('Eval-Après action écologique'!$A$763=FE12,COUNTA('Eval-Après action écologique'!$J$763),0),IF('Eval-Après action écologique'!$A$764=FE12,COUNTA('Eval-Après action écologique'!$J$764),0),IF('Eval-Après action écologique'!$A$765=FE12,COUNTA('Eval-Après action écologique'!$J$765),0),IF('Eval-Après action écologique'!$A$766=FE12,COUNTA('Eval-Après action écologique'!$J$766),0),IF('Eval-Après action écologique'!$A$767=FE12,COUNTA('Eval-Après action écologique'!$J$767),0),IF('Eval-Après action écologique'!$A$768=FE12,COUNTA('Eval-Après action écologique'!$J$768),0),IF('Eval-Après action écologique'!$A$769=FE12,COUNTA('Eval-Après action écologique'!$J$769),0),IF('Eval-Après action écologique'!$A$770=FE12,COUNTA('Eval-Après action écologique'!$J$770),0),IF('Eval-Après action écologique'!$A$771=FE12,COUNTA('Eval-Après action écologique'!$J$771),0),IF('Eval-Après action écologique'!$A$772=FE12,COUNTA('Eval-Après action écologique'!$J$772),0),IF('Eval-Après action écologique'!$A$773=FE12,COUNTA('Eval-Après action écologique'!$J$773),0),IF('Eval-Après action écologique'!$A$774=FE12,COUNTA('Eval-Après action écologique'!$J$774),0),IF('Eval-Après action écologique'!$A$775=FE12,COUNTA('Eval-Après action écologique'!$J$775),0),IF('Eval-Après action écologique'!$A$776=FE12,COUNTA('Eval-Après action écologique'!$J$776),0),IF('Eval-Après action écologique'!$A$777=FE12,COUNTA('Eval-Après action écologique'!$J$777),0),IF('Eval-Après action écologique'!$A$778=FE12,COUNTA('Eval-Après action écologique'!$J$778),0),IF('Eval-Après action écologique'!$A$779=FE12,COUNTA('Eval-Après action écologique'!$J$779),0),IF('Eval-Après action écologique'!$A$780=FE12,COUNTA('Eval-Après action écologique'!$J$780),0))&gt;0,"X",0),"")</f>
        <v/>
      </c>
      <c r="FL12" s="213" t="str">
        <f>IF(COUNTIF('Eval-Après action écologique'!$A$761:$A$780,FE12)&gt;0,IF(SUM(IF('Eval-Après action écologique'!$A$761=FE12,COUNTA('Eval-Après action écologique'!$K$761),0),IF('Eval-Après action écologique'!$A$762=FE12,COUNTA('Eval-Après action écologique'!$K$762),0),IF('Eval-Après action écologique'!$A$763=FE12,COUNTA('Eval-Après action écologique'!$K$763),0),IF('Eval-Après action écologique'!$A$764=FE12,COUNTA('Eval-Après action écologique'!$K$764),0),IF('Eval-Après action écologique'!$A$765=FE12,COUNTA('Eval-Après action écologique'!$K$765),0),IF('Eval-Après action écologique'!$A$766=FE12,COUNTA('Eval-Après action écologique'!$K$766),0),IF('Eval-Après action écologique'!$A$767=FE12,COUNTA('Eval-Après action écologique'!$K$767),0),IF('Eval-Après action écologique'!$A$768=FE12,COUNTA('Eval-Après action écologique'!$K$768),0),IF('Eval-Après action écologique'!$A$769=FE12,COUNTA('Eval-Après action écologique'!$K$769),0),IF('Eval-Après action écologique'!$A$770=FE12,COUNTA('Eval-Après action écologique'!$K$770),0),IF('Eval-Après action écologique'!$A$771=FE12,COUNTA('Eval-Après action écologique'!$K$771),0),IF('Eval-Après action écologique'!$A$772=FE12,COUNTA('Eval-Après action écologique'!$K$772),0),IF('Eval-Après action écologique'!$A$773=FE12,COUNTA('Eval-Après action écologique'!$K$773),0),IF('Eval-Après action écologique'!$A$774=FE12,COUNTA('Eval-Après action écologique'!$K$774),0),IF('Eval-Après action écologique'!$A$775=FE12,COUNTA('Eval-Après action écologique'!$K$775),0),IF('Eval-Après action écologique'!$A$776=FE12,COUNTA('Eval-Après action écologique'!$K$776),0),IF('Eval-Après action écologique'!$A$777=FE12,COUNTA('Eval-Après action écologique'!$K$777),0),IF('Eval-Après action écologique'!$A$778=FE12,COUNTA('Eval-Après action écologique'!$K$778),0),IF('Eval-Après action écologique'!$A$779=FE12,COUNTA('Eval-Après action écologique'!$K$779),0),IF('Eval-Après action écologique'!$A$780=FE12,COUNTA('Eval-Après action écologique'!$K$780),0))&gt;0,"X",0),"")</f>
        <v/>
      </c>
      <c r="FM12" s="211" t="str">
        <f>IF(COUNTIF('Eval-Après action écologique'!$A$761:$A$780,FE12)&gt;0,IF(OR(AND('Eval-Après action écologique'!$A$761=FE12,'Eval-Après action écologique'!$L$761&lt;120,'Eval-Après action écologique'!$L$761&gt;=GB9),AND('Eval-Après action écologique'!$A$762=FE12,'Eval-Après action écologique'!$L$762&lt;120,'Eval-Après action écologique'!$L$762&gt;=GB10),AND('Eval-Après action écologique'!$A$763=FE12,'Eval-Après action écologique'!$L$763&lt;120,'Eval-Après action écologique'!$L$763&gt;=GB11),AND('Eval-Après action écologique'!$A$764=FE12,'Eval-Après action écologique'!$L$764&lt;120,'Eval-Après action écologique'!$L$764&gt;=GB12),AND('Eval-Après action écologique'!$A$765=FE12,'Eval-Après action écologique'!$L$765&lt;120,'Eval-Après action écologique'!$L$765&gt;=GB13),AND('Eval-Après action écologique'!$A$766=FE12,'Eval-Après action écologique'!$L$766&lt;120,'Eval-Après action écologique'!$L$766&gt;=GB14),AND('Eval-Après action écologique'!$A$767=FE12,'Eval-Après action écologique'!$L$767&lt;120,'Eval-Après action écologique'!$L$767&gt;=GB15),AND('Eval-Après action écologique'!$A$768=FE12,'Eval-Après action écologique'!$L$768&lt;120,'Eval-Après action écologique'!$L$768&gt;=GB16),AND('Eval-Après action écologique'!$A$769=FE12,'Eval-Après action écologique'!$L$769&lt;120,'Eval-Après action écologique'!$L$769&gt;=GB17),AND('Eval-Après action écologique'!$A$770=FE12,'Eval-Après action écologique'!$L$770&lt;120,'Eval-Après action écologique'!$L$770&gt;=GB18),AND('Eval-Après action écologique'!$A$771=FE12,'Eval-Après action écologique'!$L$771&lt;120,'Eval-Après action écologique'!$L$771&gt;=GB19),AND('Eval-Après action écologique'!$A$772=FE12,'Eval-Après action écologique'!$L$772&lt;120,'Eval-Après action écologique'!$L$772&gt;=GB20),AND('Eval-Après action écologique'!$A$773=FE12,'Eval-Après action écologique'!$L$773&lt;120,'Eval-Après action écologique'!$L$773&gt;=GB21),AND('Eval-Après action écologique'!$A$774=FE12,'Eval-Après action écologique'!$L$774&lt;120,'Eval-Après action écologique'!$L$774&gt;=GB22),AND('Eval-Après action écologique'!$A$775=FE12,'Eval-Après action écologique'!$L$775&lt;120,'Eval-Après action écologique'!$L$775&gt;=GB23),AND('Eval-Après action écologique'!$A$776=FE12,'Eval-Après action écologique'!$L$776&lt;120,'Eval-Après action écologique'!$L$776&gt;=GB24),AND('Eval-Après action écologique'!$A$777=FE12,'Eval-Après action écologique'!$L$777&lt;120,'Eval-Après action écologique'!$L$777&gt;=GB25),AND('Eval-Après action écologique'!$A$778=FE12,'Eval-Après action écologique'!$L$778&lt;120,'Eval-Après action écologique'!$L$778&gt;=GB26),AND('Eval-Après action écologique'!$A$779=FE12,'Eval-Après action écologique'!$L$779&lt;120,'Eval-Après action écologique'!$L$779&gt;=GB27),AND('Eval-Après action écologique'!$A$780=FE12,'Eval-Après action écologique'!$L$780&lt;120,'Eval-Après action écologique'!$L$780&gt;=GB28)),"",SUM(IF('Eval-Après action écologique'!$A$761=FE12,'Eval-Après action écologique'!$L$761,0),IF('Eval-Après action écologique'!$A$762=FE12,'Eval-Après action écologique'!$L$762,0),IF('Eval-Après action écologique'!$A$763=FE12,'Eval-Après action écologique'!$L$763,0),IF('Eval-Après action écologique'!$A$764=FE12,'Eval-Après action écologique'!$L$764,0),IF('Eval-Après action écologique'!$A$765=FE12,'Eval-Après action écologique'!$L$765,0),IF('Eval-Après action écologique'!$A$766=FE12,'Eval-Après action écologique'!$L$766,0),IF('Eval-Après action écologique'!$A$767=FE12,'Eval-Après action écologique'!$L$767,0),IF('Eval-Après action écologique'!$A$768=FE12,'Eval-Après action écologique'!$L$768,0),IF('Eval-Après action écologique'!$A$769=FE12,'Eval-Après action écologique'!$L$769,0),IF('Eval-Après action écologique'!$A$770=FE12,'Eval-Après action écologique'!$L$770,0),IF('Eval-Après action écologique'!$A$771=FE12,'Eval-Après action écologique'!$L$771,0),IF('Eval-Après action écologique'!$A$772=FE12,'Eval-Après action écologique'!$L$772,0),IF('Eval-Après action écologique'!$A$773=FE12,'Eval-Après action écologique'!$L$773,0),IF('Eval-Après action écologique'!$A$774=FE12,'Eval-Après action écologique'!$L$774,0),IF('Eval-Après action écologique'!$A$775=FE12,'Eval-Après action écologique'!$L$775,0),IF('Eval-Après action écologique'!$A$776=FE12,'Eval-Après action écologique'!$L$776,0),IF('Eval-Après action écologique'!$A$777=FE12,'Eval-Après action écologique'!$L$777,0),IF('Eval-Après action écologique'!$A$778=FE12,'Eval-Après action écologique'!$L$778,0),IF('Eval-Après action écologique'!$A$779=FE12,'Eval-Après action écologique'!$L$779,0),IF('Eval-Après action écologique'!$A$780=FE12,'Eval-Après action écologique'!$L$780,0))/ COUNTIF('Eval-Après action écologique'!$A$761:$A$780,FE12)),"")</f>
        <v/>
      </c>
      <c r="FN12" s="211" t="str">
        <f>IF(COUNTIF('Eval-Après action écologique'!$A$761:$A$780,FE12)&gt;0,IF(OR(AND('Eval-Après action écologique'!$A$761=FE12, GB9&lt;120),AND(GB10&lt;120),AND(GB11&lt;120),AND(GB12&lt;120),AND(GB13&lt;120),AND(GB14&lt;120),AND(GB15&lt;120),AND(GB16&lt;120),AND(GB17&lt;120),AND(GB18&lt;120),AND(GB19&lt;120),AND(GB20&lt;120),AND(GB21&lt;120),AND(GB22&lt;120),AND(GB23&lt;120),AND(GB24&lt;120),AND(GB25&lt;120),AND(GB26&lt;120),AND(GB27&lt;120),AND(GB28&lt;120)),"",SUM(IF('Eval-Après action écologique'!$A$761=FE12,'Eval-Après action écologique'!$M$761,0),IF('Eval-Après action écologique'!$A$762=FE12,'Eval-Après action écologique'!$M$762,0),IF('Eval-Après action écologique'!$A$763=FE12,'Eval-Après action écologique'!$M$763,0),IF('Eval-Après action écologique'!$A$764=FE12,'Eval-Après action écologique'!$M$764,0),IF('Eval-Après action écologique'!$A$765=FE12,'Eval-Après action écologique'!$M$765,0),IF('Eval-Après action écologique'!$A$766=FE12,'Eval-Après action écologique'!$M$766,0),IF('Eval-Après action écologique'!$A$767=FE12,'Eval-Après action écologique'!$M$767,0),IF('Eval-Après action écologique'!$A$768=FE12,'Eval-Après action écologique'!$M$768,0),IF('Eval-Après action écologique'!$A$769=FE12,'Eval-Après action écologique'!$M$769,0),IF('Eval-Après action écologique'!$A$770=FE12,'Eval-Après action écologique'!$M$770,0),IF('Eval-Après action écologique'!$A$771=FE12,'Eval-Après action écologique'!$M$771,0),IF('Eval-Après action écologique'!$A$772=FE12,'Eval-Après action écologique'!$M$772,0),IF('Eval-Après action écologique'!$A$773=FE12,'Eval-Après action écologique'!$M$773,0),IF('Eval-Après action écologique'!$A$774=FE12,'Eval-Après action écologique'!$M$774,0),IF('Eval-Après action écologique'!$A$775=FE12,'Eval-Après action écologique'!$M$775,0), IF('Eval-Après action écologique'!$A$776=FE12,'Eval-Après action écologique'!$M$776,0), IF('Eval-Après action écologique'!$A$777=FE12,'Eval-Après action écologique'!$M$777,0), IF('Eval-Après action écologique'!$A$778=FE12,'Eval-Après action écologique'!$M$778,0), IF('Eval-Après action écologique'!$A$779=FE12,'Eval-Après action écologique'!$M$779,0), IF('Eval-Après action écologique'!$A$780=FE12,'Eval-Après action écologique'!$M$780,0))/COUNTIF('Eval-Après action écologique'!$A$761:$A$780,FE12)),"")</f>
        <v/>
      </c>
      <c r="FO12" s="211" t="str">
        <f>IF(COUNTIF('Eval-Après action écologique'!$A$761:$A$780,FE12)&gt;0,SUM(IF('Eval-Après action écologique'!$A$761=FE12,LEN(SUBSTITUTE((SUBSTITUTE(GD9,"TM","")),"TS",""))*10/2,0),IF('Eval-Après action écologique'!$A$762=FE12,LEN(SUBSTITUTE((SUBSTITUTE(GD10,"TM","")),"TS",""))*10/2,0),IF('Eval-Après action écologique'!$A$763=FE12,LEN(SUBSTITUTE((SUBSTITUTE(GD11,"TM","")),"TS",""))*10/2,0),IF('Eval-Après action écologique'!$A$764=FE12,LEN(SUBSTITUTE((SUBSTITUTE(GD12,"TM","")),"TS",""))*10/2,0),IF('Eval-Après action écologique'!$A$765=FE12,LEN(SUBSTITUTE((SUBSTITUTE(GD13,"TM","")),"TS",""))*10/2,0),IF('Eval-Après action écologique'!$A$766=FE12,LEN(SUBSTITUTE((SUBSTITUTE(GD14,"TM","")),"TS",""))*10/2,0),IF('Eval-Après action écologique'!$A$767=FE12,LEN(SUBSTITUTE((SUBSTITUTE(GD15,"TM","")),"TS",""))*10/2,0),IF('Eval-Après action écologique'!$A$768=FE12,LEN(SUBSTITUTE((SUBSTITUTE(GD16,"TM","")),"TS",""))*10/2,0),IF('Eval-Après action écologique'!$A$769=FE12,LEN(SUBSTITUTE((SUBSTITUTE(GD17,"TM","")),"TS",""))*10/2,0),IF('Eval-Après action écologique'!$A$770=FE12,LEN(SUBSTITUTE((SUBSTITUTE(GD18,"TM","")),"TS",""))*10/2,0),IF('Eval-Après action écologique'!$A$771=FE12,LEN(SUBSTITUTE((SUBSTITUTE(GD19,"TM","")),"TS",""))*10/2,0),IF('Eval-Après action écologique'!$A$772=FE12,LEN(SUBSTITUTE((SUBSTITUTE(GD20,"TM","")),"TS",""))*10/2,0),IF('Eval-Après action écologique'!$A$773=FE12,LEN(SUBSTITUTE((SUBSTITUTE(GD21,"TM","")),"TS",""))*10/2,0),IF('Eval-Après action écologique'!$A$774=FE12,LEN(SUBSTITUTE((SUBSTITUTE(GD22,"TM","")),"TS",""))*10/2,0),IF('Eval-Après action écologique'!$A$775=FE12,LEN(SUBSTITUTE((SUBSTITUTE(GD23,"TM","")),"TS",""))*10/2,0),IF('Eval-Après action écologique'!$A$776=FE12,LEN(SUBSTITUTE((SUBSTITUTE(GD24,"TM","")),"TS",""))*10/2,0),IF('Eval-Après action écologique'!$A$777=FE12,LEN(SUBSTITUTE((SUBSTITUTE(GD25,"TM","")),"TS",""))*10/2,0),IF('Eval-Après action écologique'!$A$778=FE12,LEN(SUBSTITUTE((SUBSTITUTE(GD26,"TM","")),"TS",""))*10/2,0),IF('Eval-Après action écologique'!$A$779=FE12,LEN(SUBSTITUTE((SUBSTITUTE(GD27,"TM","")),"TS",""))*10/2,0),IF('Eval-Après action écologique'!$A$780=FE12,LEN(SUBSTITUTE((SUBSTITUTE(GD28,"TM","")),"TS",""))*10/2,0))/COUNTIF('Eval-Après action écologique'!$A$761:$A$780,FE12),"")</f>
        <v/>
      </c>
      <c r="FP12" s="211" t="str">
        <f>IF(COUNTIF('Eval-Après action écologique'!$A$761:$A$780,FE12)&gt;0,SUM(IF('Eval-Après action écologique'!$A$761=FE12,LEN(SUBSTITUTE((SUBSTITUTE(GD9,"TF","")),"TS",""))*10/2,0),IF('Eval-Après action écologique'!$A$762=FE12,LEN(SUBSTITUTE((SUBSTITUTE(GD10,"TF","")),"TS",""))*10/2,0),IF('Eval-Après action écologique'!$A$763=FE12,LEN(SUBSTITUTE((SUBSTITUTE(GD11,"TF","")),"TS",""))*10/2,0),IF('Eval-Après action écologique'!$A$764=FE12,LEN(SUBSTITUTE((SUBSTITUTE(GD12,"TF","")),"TS",""))*10/2,0),IF('Eval-Après action écologique'!$A$765=FE12,LEN(SUBSTITUTE((SUBSTITUTE(GD13,"TF","")),"TS",""))*10/2,0),IF('Eval-Après action écologique'!$A$766=FE12,LEN(SUBSTITUTE((SUBSTITUTE(GD14,"TF","")),"TS",""))*10/2,0),IF('Eval-Après action écologique'!$A$767=FE12,LEN(SUBSTITUTE((SUBSTITUTE(GD15,"TF","")),"TS",""))*10/2,0),IF('Eval-Après action écologique'!$A$768=FE12,LEN(SUBSTITUTE((SUBSTITUTE(GD16,"TF","")),"TS",""))*10/2,0),IF('Eval-Après action écologique'!$A$769=FE12,LEN(SUBSTITUTE((SUBSTITUTE(GD17,"TF","")),"TS",""))*10/2,0),IF('Eval-Après action écologique'!$A$770=FE12,LEN(SUBSTITUTE((SUBSTITUTE(GD18,"TF","")),"TS",""))*10/2,0),IF('Eval-Après action écologique'!$A$771=FE12,LEN(SUBSTITUTE((SUBSTITUTE(GD19,"TF","")),"TS",""))*10/2,0),IF('Eval-Après action écologique'!$A$772=FE12,LEN(SUBSTITUTE((SUBSTITUTE(GD20,"TF","")),"TS",""))*10/2,0),IF('Eval-Après action écologique'!$A$773=FE12,LEN(SUBSTITUTE((SUBSTITUTE(GD21,"TF","")),"TS",""))*10/2,0),IF('Eval-Après action écologique'!$A$774=FE12,LEN(SUBSTITUTE((SUBSTITUTE(GD22,"TF","")),"TS",""))*10/2,0),IF('Eval-Après action écologique'!$A$775=FE12,LEN(SUBSTITUTE((SUBSTITUTE(GD23,"TF","")),"TS",""))*10/2,0),IF('Eval-Après action écologique'!$A$776=FE12,LEN(SUBSTITUTE((SUBSTITUTE(GD24,"TF","")),"TS",""))*10/2,0),IF('Eval-Après action écologique'!$A$777=FE12,LEN(SUBSTITUTE((SUBSTITUTE(GD25,"TF","")),"TS",""))*10/2,0),IF('Eval-Après action écologique'!$A$778=FE12,LEN(SUBSTITUTE((SUBSTITUTE(GD26,"TF","")),"TS",""))*10/2,0),IF('Eval-Après action écologique'!$A$779=FE12,LEN(SUBSTITUTE((SUBSTITUTE(GD27,"TF","")),"TS",""))*10/2,0),IF('Eval-Après action écologique'!$A$780=FE12,LEN(SUBSTITUTE((SUBSTITUTE(GD28,"TF","")),"TS",""))*10/2,0))/COUNTIF('Eval-Après action écologique'!$A$761:$A$780,FE12),"")</f>
        <v/>
      </c>
      <c r="FQ12" s="211" t="str">
        <f>IF(COUNTIF('Eval-Après action écologique'!$A$761:$A$780,FE12)&gt;0,SUM(IF('Eval-Après action écologique'!$A$761=FE12,LEN(SUBSTITUTE((SUBSTITUTE(GD9,"TF","")),"TM",""))*10/2,0),IF('Eval-Après action écologique'!$A$762=FE12,LEN(SUBSTITUTE((SUBSTITUTE(GD10,"TF","")),"TM",""))*10/2,0),IF('Eval-Après action écologique'!$A$763=FE12,LEN(SUBSTITUTE((SUBSTITUTE(GD11,"TF","")),"TM",""))*10/2,0),IF('Eval-Après action écologique'!$A$764=FE12,LEN(SUBSTITUTE((SUBSTITUTE(GD12,"TF","")),"TM",""))*10/2,0),IF('Eval-Après action écologique'!$A$765=FE12,LEN(SUBSTITUTE((SUBSTITUTE(GD13,"TF","")),"TM",""))*10/2,0),IF('Eval-Après action écologique'!$A$766=FE12,LEN(SUBSTITUTE((SUBSTITUTE(GD14,"TF","")),"TM",""))*10/2,0),IF('Eval-Après action écologique'!$A$767=FE12,LEN(SUBSTITUTE((SUBSTITUTE(GD15,"TF","")),"TM",""))*10/2,0),IF('Eval-Après action écologique'!$A$768=FE12,LEN(SUBSTITUTE((SUBSTITUTE(GD16,"TF","")),"TM",""))*10/2,0),IF('Eval-Après action écologique'!$A$769=FE12,LEN(SUBSTITUTE((SUBSTITUTE(GD17,"TF","")),"TM",""))*10/2,0),IF('Eval-Après action écologique'!$A$770=FE12,LEN(SUBSTITUTE((SUBSTITUTE(GD18,"TF","")),"TM",""))*10/2,0),IF('Eval-Après action écologique'!$A$771=FE12,LEN(SUBSTITUTE((SUBSTITUTE(GD19,"TF","")),"TM",""))*10/2,0),IF('Eval-Après action écologique'!$A$772=FE12,LEN(SUBSTITUTE((SUBSTITUTE(GD20,"TF","")),"TM",""))*10/2,0),IF('Eval-Après action écologique'!$A$773=FE12,LEN(SUBSTITUTE((SUBSTITUTE(GD21,"TF","")),"TM",""))*10/2,0),IF('Eval-Après action écologique'!$A$774=FE12,LEN(SUBSTITUTE((SUBSTITUTE(GD22,"TF","")),"TM",""))*10/2,0),IF('Eval-Après action écologique'!$A$775=FE12,LEN(SUBSTITUTE((SUBSTITUTE(GD23,"TF","")),"TM",""))*10/2,0),IF('Eval-Après action écologique'!$A$776=FE12,LEN(SUBSTITUTE((SUBSTITUTE(GD24,"TF","")),"TM",""))*10/2,0),IF('Eval-Après action écologique'!$A$777=FE12,LEN(SUBSTITUTE((SUBSTITUTE(GD25,"TF","")),"TM",""))*10/2,0),IF('Eval-Après action écologique'!$A$778=FE12,LEN(SUBSTITUTE((SUBSTITUTE(GD26,"TF","")),"TM",""))*10/2,0),IF('Eval-Après action écologique'!$A$779=FE12,LEN(SUBSTITUTE((SUBSTITUTE(GD27,"TF","")),"TM",""))*10/2,0),IF('Eval-Après action écologique'!$A$780=FE12,LEN(SUBSTITUTE((SUBSTITUTE(GD28,"TF","")),"TM",""))*10/2,0))/COUNTIF('Eval-Après action écologique'!$A$761:$A$780,FE12),"")</f>
        <v/>
      </c>
      <c r="FR12" s="211" t="str">
        <f>IF(COUNTIF('Eval-Après action écologique'!$A$761:$A$780,FE12)&gt;0,SUM(IF('Eval-Après action écologique'!$A$761=FE12,LEN(SUBSTITUTE((SUBSTITUTE(GE9,"TM","")),"TS",""))*10/2,0),IF('Eval-Après action écologique'!$A$762=FE12,LEN(SUBSTITUTE((SUBSTITUTE(GE10,"TM","")),"TS",""))*10/2,0),IF('Eval-Après action écologique'!$A$763=FE12,LEN(SUBSTITUTE((SUBSTITUTE(GE11,"TM","")),"TS",""))*10/2,0),IF('Eval-Après action écologique'!$A$764=FE12,LEN(SUBSTITUTE((SUBSTITUTE(GE12,"TM","")),"TS",""))*10/2,0),IF('Eval-Après action écologique'!$A$765=FE12,LEN(SUBSTITUTE((SUBSTITUTE(GE13,"TM","")),"TS",""))*10/2,0),IF('Eval-Après action écologique'!$A$766=FE12,LEN(SUBSTITUTE((SUBSTITUTE(GE14,"TM","")),"TS",""))*10/2,0),IF('Eval-Après action écologique'!$A$767=FE12,LEN(SUBSTITUTE((SUBSTITUTE(GE15,"TM","")),"TS",""))*10/2,0),IF('Eval-Après action écologique'!$A$768=FE12,LEN(SUBSTITUTE((SUBSTITUTE(GE16,"TM","")),"TS",""))*10/2,0),IF('Eval-Après action écologique'!$A$769=FE12,LEN(SUBSTITUTE((SUBSTITUTE(GE17,"TM","")),"TS",""))*10/2,0),IF('Eval-Après action écologique'!$A$770=FE12,LEN(SUBSTITUTE((SUBSTITUTE(GE18,"TM","")),"TS",""))*10/2,0),IF('Eval-Après action écologique'!$A$771=FE12,LEN(SUBSTITUTE((SUBSTITUTE(GE19,"TM","")),"TS",""))*10/2,0),IF('Eval-Après action écologique'!$A$772=FE12,LEN(SUBSTITUTE((SUBSTITUTE(GE20,"TM","")),"TS",""))*10/2,0),IF('Eval-Après action écologique'!$A$773=FE12,LEN(SUBSTITUTE((SUBSTITUTE(GE21,"TM","")),"TS",""))*10/2,0),IF('Eval-Après action écologique'!$A$774=FE12,LEN(SUBSTITUTE((SUBSTITUTE(GE22,"TM","")),"TS",""))*10/2,0),IF('Eval-Après action écologique'!$A$775=FE12,LEN(SUBSTITUTE((SUBSTITUTE(GE23,"TM","")),"TS",""))*10/2,0),IF('Eval-Après action écologique'!$A$776=FE12,LEN(SUBSTITUTE((SUBSTITUTE(GE24,"TM","")),"TS",""))*10/2,0),IF('Eval-Après action écologique'!$A$777=FE12,LEN(SUBSTITUTE((SUBSTITUTE(GE25,"TM","")),"TS",""))*10/2,0),IF('Eval-Après action écologique'!$A$778=FE12,LEN(SUBSTITUTE((SUBSTITUTE(GE26,"TM","")),"TS",""))*10/2,0),IF('Eval-Après action écologique'!$A$779=FE12,LEN(SUBSTITUTE((SUBSTITUTE(GE27,"TM","")),"TS",""))*10/2,0),IF('Eval-Après action écologique'!$A$780=FE12,LEN(SUBSTITUTE((SUBSTITUTE(GE28,"TM","")),"TS",""))*10/2,0))/COUNTIF('Eval-Après action écologique'!$A$761:$A$780,FE12),"")</f>
        <v/>
      </c>
      <c r="FS12" s="211" t="str">
        <f>IF(COUNTIF('Eval-Après action écologique'!$A$761:$A$780,FE12)&gt;0,SUM(IF('Eval-Après action écologique'!$A$761=FE12,LEN(SUBSTITUTE((SUBSTITUTE(GE9,"TF","")),"TS",""))*10/2,0),IF('Eval-Après action écologique'!$A$762=FE12,LEN(SUBSTITUTE((SUBSTITUTE(GE10,"TF","")),"TS",""))*10/2,0),IF('Eval-Après action écologique'!$A$763=FE12,LEN(SUBSTITUTE((SUBSTITUTE(GE11,"TF","")),"TS",""))*10/2,0),IF('Eval-Après action écologique'!$A$764=FE12,LEN(SUBSTITUTE((SUBSTITUTE(GE12,"TF","")),"TS",""))*10/2,0),IF('Eval-Après action écologique'!$A$765=FE12,LEN(SUBSTITUTE((SUBSTITUTE(GE13,"TF","")),"TS",""))*10/2,0),IF('Eval-Après action écologique'!$A$766=FE12,LEN(SUBSTITUTE((SUBSTITUTE(GE14,"TF","")),"TS",""))*10/2,0),IF('Eval-Après action écologique'!$A$767=FE12,LEN(SUBSTITUTE((SUBSTITUTE(GE15,"TF","")),"TS",""))*10/2,0),IF('Eval-Après action écologique'!$A$768=FE12,LEN(SUBSTITUTE((SUBSTITUTE(GE16,"TF","")),"TS",""))*10/2,0),IF('Eval-Après action écologique'!$A$769=FE12,LEN(SUBSTITUTE((SUBSTITUTE(GE17,"TF","")),"TS",""))*10/2,0),IF('Eval-Après action écologique'!$A$770=FE12,LEN(SUBSTITUTE((SUBSTITUTE(GE18,"TF","")),"TS",""))*10/2,0),IF('Eval-Après action écologique'!$A$771=FE12,LEN(SUBSTITUTE((SUBSTITUTE(GE19,"TF","")),"TS",""))*10/2,0),IF('Eval-Après action écologique'!$A$772=FE12,LEN(SUBSTITUTE((SUBSTITUTE(GE20,"TF","")),"TS",""))*10/2,0),IF('Eval-Après action écologique'!$A$773=FE12,LEN(SUBSTITUTE((SUBSTITUTE(GE21,"TF","")),"TS",""))*10/2,0),IF('Eval-Après action écologique'!$A$774=FE12,LEN(SUBSTITUTE((SUBSTITUTE(GE22,"TF","")),"TS",""))*10/2,0),IF('Eval-Après action écologique'!$A$775=FE12,LEN(SUBSTITUTE((SUBSTITUTE(GE23,"TF","")),"TS",""))*10/2,0),IF('Eval-Après action écologique'!$A$776=FE12,LEN(SUBSTITUTE((SUBSTITUTE(GE24,"TF","")),"TS",""))*10/2,0),IF('Eval-Après action écologique'!$A$777=FE12,LEN(SUBSTITUTE((SUBSTITUTE(GE25,"TF","")),"TS",""))*10/2,0),IF('Eval-Après action écologique'!$A$778=FE12,LEN(SUBSTITUTE((SUBSTITUTE(GE26,"TF","")),"TS",""))*10/2,0),IF('Eval-Après action écologique'!$A$779=FE12,LEN(SUBSTITUTE((SUBSTITUTE(GE27,"TF","")),"TS",""))*10/2,0),IF('Eval-Après action écologique'!$A$780=FE12,LEN(SUBSTITUTE((SUBSTITUTE(GE28,"TF","")),"TS",""))*10/2,0))/COUNTIF('Eval-Après action écologique'!$A$761:$A$780,FE12),"")</f>
        <v/>
      </c>
      <c r="FT12" s="211" t="str">
        <f>IF(COUNTIF('Eval-Après action écologique'!$A$761:$A$780,FE12)&gt;0,SUM(IF('Eval-Après action écologique'!$A$761=FE12,LEN(SUBSTITUTE((SUBSTITUTE(GE9,"TF","")),"TM",""))*10/2,0),IF('Eval-Après action écologique'!$A$762=FE12,LEN(SUBSTITUTE((SUBSTITUTE(GE10,"TF","")),"TM",""))*10/2,0),IF('Eval-Après action écologique'!$A$763=FE12,LEN(SUBSTITUTE((SUBSTITUTE(GE11,"TF","")),"TM",""))*10/2,0),IF('Eval-Après action écologique'!$A$764=FE12,LEN(SUBSTITUTE((SUBSTITUTE(GE12,"TF","")),"TM",""))*10/2,0),IF('Eval-Après action écologique'!$A$765=FE12,LEN(SUBSTITUTE((SUBSTITUTE(GE13,"TF","")),"TM",""))*10/2,0),IF('Eval-Après action écologique'!$A$766=FE12,LEN(SUBSTITUTE((SUBSTITUTE(GE14,"TF","")),"TM",""))*10/2,0),IF('Eval-Après action écologique'!$A$767=FE12,LEN(SUBSTITUTE((SUBSTITUTE(GE15,"TF","")),"TM",""))*10/2,0),IF('Eval-Après action écologique'!$A$768=FE12,LEN(SUBSTITUTE((SUBSTITUTE(GE16,"TF","")),"TM",""))*10/2,0),IF('Eval-Après action écologique'!$A$769=FE12,LEN(SUBSTITUTE((SUBSTITUTE(GE17,"TF","")),"TM",""))*10/2,0),IF('Eval-Après action écologique'!$A$770=FE12,LEN(SUBSTITUTE((SUBSTITUTE(GE18,"TF","")),"TM",""))*10/2,0),IF('Eval-Après action écologique'!$A$771=FE12,LEN(SUBSTITUTE((SUBSTITUTE(GE19,"TF","")),"TM",""))*10/2,0),IF('Eval-Après action écologique'!$A$772=FE12,LEN(SUBSTITUTE((SUBSTITUTE(GE20,"TF","")),"TM",""))*10/2,0),IF('Eval-Après action écologique'!$A$773=FE12,LEN(SUBSTITUTE((SUBSTITUTE(GE21,"TF","")),"TM",""))*10/2,0),IF('Eval-Après action écologique'!$A$774=FE12,LEN(SUBSTITUTE((SUBSTITUTE(GE22,"TF","")),"TM",""))*10/2,0),IF('Eval-Après action écologique'!$A$775=FE12,LEN(SUBSTITUTE((SUBSTITUTE(GE23,"TF","")),"TM",""))*10/2,0),IF('Eval-Après action écologique'!$A$776=FE12,LEN(SUBSTITUTE((SUBSTITUTE(GE24,"TF","")),"TM",""))*10/2,0),IF('Eval-Après action écologique'!$A$777=FE12,LEN(SUBSTITUTE((SUBSTITUTE(GE25,"TF","")),"TM",""))*10/2,0),IF('Eval-Après action écologique'!$A$778=FE12,LEN(SUBSTITUTE((SUBSTITUTE(GE26,"TF","")),"TM",""))*10/2,0),IF('Eval-Après action écologique'!$A$779=FE12,LEN(SUBSTITUTE((SUBSTITUTE(GE27,"TF","")),"TM",""))*10/2,0),IF('Eval-Après action écologique'!$A$780=FE12,LEN(SUBSTITUTE((SUBSTITUTE(GE28,"TF","")),"TM",""))*10/2,0))/COUNTIF('Eval-Après action écologique'!$A$761:$A$780,FE12),"")</f>
        <v/>
      </c>
      <c r="FU12" s="211" t="str">
        <f>IF(COUNTIF('Eval-Après action écologique'!$A$761:$A$780,FE12)&gt;0,IF(OR(AND('Eval-Après action écologique'!$A$761=FE12,GB9&lt;30),AND('Eval-Après action écologique'!$A$762=FE12,GB10&lt;30),AND('Eval-Après action écologique'!$A$763=FE12,GB11&lt;30),AND('Eval-Après action écologique'!$A$764=FE12,GB12&lt;30),AND('Eval-Après action écologique'!$A$765=FE12,GB13&lt;30),AND('Eval-Après action écologique'!$A$766=FE12,GB14&lt;30),AND('Eval-Après action écologique'!$A$767=FE12,GB15&lt;30),AND('Eval-Après action écologique'!$A$768=FE12,GB16&lt;30),AND('Eval-Après action écologique'!$A$769=FE12,GB17&lt;30),AND('Eval-Après action écologique'!$A$770=FE12,GB18&lt;30),AND('Eval-Après action écologique'!$A$771=FE12,GB19&lt;30),AND('Eval-Après action écologique'!$A$772=FE12,GB20&lt;30),AND('Eval-Après action écologique'!$A$773=FE12,GB21&lt;30),AND('Eval-Après action écologique'!$A$774=FE12,GB22&lt;30),AND('Eval-Après action écologique'!$A$775=FE12,GB23&lt;30),AND('Eval-Après action écologique'!$A$776=FE12,GB24&lt;30),AND('Eval-Après action écologique'!$A$777=FE12,GB25&lt;30),AND('Eval-Après action écologique'!$A$778=FE12,GB26&lt;30),AND('Eval-Après action écologique'!$A$779=FE12,GB27&lt;30),AND('Eval-Après action écologique'!$A$780=FE12,GB28&lt;30)),"",SUM(0.1*(SUMPRODUCT(('Eval-Après action écologique'!$A$761:$A$780=FE12)*('Eval-Après action écologique'!$N$761:$P$780="A"))+ SUMPRODUCT(('Eval-Après action écologique'!$A$761:$A$780=FE12)*('Eval-Après action écologique'!$N$761:$P$780="AL"))),0.7*(SUMPRODUCT(('Eval-Après action écologique'!$A$761:$A$780=FE12)*('Eval-Après action écologique'!$N$761:$P$780="TF"))+SUMPRODUCT(('Eval-Après action écologique'!$A$761:$A$780=FE12)*('Eval-Après action écologique'!$N$761:$P$780="TM"))+SUMPRODUCT(('Eval-Après action écologique'!$A$761:$A$780=FE12)*('Eval-Après action écologique'!$N$761:$P$780="TS"))),0.4*(SUMPRODUCT(('Eval-Après action écologique'!$A$761:$A$780=FE12)*('Eval-Après action écologique'!$N$761:$P$780="LA"))+SUMPRODUCT(('Eval-Après action écologique'!$A$761:$A$780=FE12)*('Eval-Après action écologique'!$N$761:$P$780="L"))+SUMPRODUCT(('Eval-Après action écologique'!$A$761:$A$780=FE12)*('Eval-Après action écologique'!$N$761:$P$780="LS"))),1*(SUMPRODUCT(('Eval-Après action écologique'!$A$761:$A$780=FE12)*('Eval-Après action écologique'!$N$761:$P$780="SL"))+ SUMPRODUCT(('Eval-Après action écologique'!$A$761:$A$780=FE12)*('Eval-Après action écologique'!$N$761:$P$780="S"))))/(3*COUNTIF('Eval-Après action écologique'!$A$761:$A$780,FE12))),"")</f>
        <v/>
      </c>
      <c r="FV12" s="211" t="str">
        <f>IF(COUNTIF('Eval-Après action écologique'!$A$761:$A$780,FE12)&gt;0,IF(OR(AND('Eval-Après action écologique'!$A$761=FE12,GB9&lt;120),AND('Eval-Après action écologique'!$A$762=FE12,GB10&lt;120),AND('Eval-Après action écologique'!$A$763=FE12,GB11&lt;120),AND('Eval-Après action écologique'!$A$764=FE12,GB12&lt;120),AND('Eval-Après action écologique'!$A$765=FE12,GB13&lt;120),AND('Eval-Après action écologique'!$A$766=FE12,GB14&lt;120),AND('Eval-Après action écologique'!$A$767=FE12,GB15&lt;120),AND('Eval-Après action écologique'!$A$768=FE12,GB16&lt;120),AND('Eval-Après action écologique'!$A$769=FE12,GB17&lt;120),AND('Eval-Après action écologique'!$A$770=FE12,GB18&lt;120),AND('Eval-Après action écologique'!$A$771=FE12,GB19&lt;120),AND('Eval-Après action écologique'!$A$772=FE12,GB20&lt;120),AND('Eval-Après action écologique'!$A$773=FE12,GB21&lt;120),AND('Eval-Après action écologique'!$A$774=FE12,GB22&lt;120),AND('Eval-Après action écologique'!$A$775=FE12,GB23&lt;120),AND('Eval-Après action écologique'!$A$776=FE12,GB24&lt;120),AND('Eval-Après action écologique'!$A$777=FE12,GB25&lt;120),AND('Eval-Après action écologique'!$A$778=FE12,GB26&lt;120),AND('Eval-Après action écologique'!$A$779=FE12,GB27&lt;120),AND('Eval-Après action écologique'!$A$780=FE12,GB28&lt;120)),"",SUM(0.1*(SUMPRODUCT(('Eval-Après action écologique'!$A$761:$A$780=FE12)*('Eval-Après action écologique'!$Q$761:$Y$780="A"))+ SUMPRODUCT(('Eval-Après action écologique'!$A$761:$A$780=FE12)*('Eval-Après action écologique'!$Q$761:$Y$780="AL"))),0.7*(SUMPRODUCT(('Eval-Après action écologique'!$A$761:$A$780=FE12)*('Eval-Après action écologique'!$Q$761:$Y$780="TF"))+SUMPRODUCT(('Eval-Après action écologique'!$A$761:$A$780=FE12)*('Eval-Après action écologique'!$Q$761:$Y$780="TM"))+SUMPRODUCT(('Eval-Après action écologique'!$A$761:$A$780=FE12)*('Eval-Après action écologique'!$Q$761:$Y$780="TS"))),0.4*(SUMPRODUCT(('Eval-Après action écologique'!$A$761:$A$780=FE12)*('Eval-Après action écologique'!$Q$761:$Y$780="LA"))+SUMPRODUCT(('Eval-Après action écologique'!$A$761:$A$780=FE12)*('Eval-Après action écologique'!$Q$761:$Y$780="L"))+SUMPRODUCT(('Eval-Après action écologique'!$A$761:$A$780=FE12)*('Eval-Après action écologique'!$Q$761:$Y$780="LS"))),1*(SUMPRODUCT(('Eval-Après action écologique'!$A$761:$A$780=FE12)*('Eval-Après action écologique'!$Q$761:$Y$780="SL"))+ SUMPRODUCT(('Eval-Après action écologique'!$A$761:$A$780=FE12)*('Eval-Après action écologique'!$Q$761:$Y$780="S"))))/(9*COUNTIF('Eval-Après action écologique'!$A$761:$A$780,FE12))),"")</f>
        <v/>
      </c>
      <c r="FW12" s="211" t="str">
        <f>IF(COUNTIF('Eval-Après action écologique'!$A$761:$A$780,FE12)&gt;0,IF(OR(AND('Eval-Après action écologique'!$A$761=FE12,OR(COUNTIF('Eval-Après action écologique'!$N$761:$P$761,"*T*")&gt;0,GB9&lt;30)),AND('Eval-Après action écologique'!$A$762=FE12,OR(COUNTIF('Eval-Après action écologique'!$N$762:$P$762,"*T*")&gt;0,GB10&lt;30)),AND('Eval-Après action écologique'!$A$763=FE12,OR(COUNTIF('Eval-Après action écologique'!$N$763:$P$763,"*T*")&gt;0,GB11&lt;30)),AND('Eval-Après action écologique'!$A$764=FE12,OR(COUNTIF('Eval-Après action écologique'!$N$764:$P$764,"*T*")&gt;0,GB12&lt;30)),AND('Eval-Après action écologique'!$A$765=FE12,OR(COUNTIF('Eval-Après action écologique'!$N$765:$P$765,"*T*")&gt;0,GB13&lt;30)),AND('Eval-Après action écologique'!$A$766=FE12,OR(COUNTIF('Eval-Après action écologique'!$N$766:$P$766,"*T*")&gt;0,GB14&lt;30)),AND('Eval-Après action écologique'!$A$767=FE12,OR(COUNTIF('Eval-Après action écologique'!$N$767:$P$767,"*T*")&gt;0,GB15&lt;30)),AND('Eval-Après action écologique'!$A$768=FE12,OR(COUNTIF('Eval-Après action écologique'!$N$768:$P$768,"*T*")&gt;0,GB16&lt;30)),AND('Eval-Après action écologique'!$A$769=FE12,OR(COUNTIF('Eval-Après action écologique'!$N$769:$P$769,"*T*")&gt;0,GB17&lt;30)),AND('Eval-Après action écologique'!$A$770=FE12,OR(COUNTIF('Eval-Après action écologique'!$N$770:$P$770,"*T*")&gt;0,GB18&lt;30)),AND('Eval-Après action écologique'!$A$771=FE12,OR(COUNTIF('Eval-Après action écologique'!$N$771:$P$771,"*T*")&gt;0,GB19&lt;30)),AND('Eval-Après action écologique'!$A$772=FE12,OR(COUNTIF('Eval-Après action écologique'!$N$772:$P$772,"*T*")&gt;0,GB20&lt;30)),AND('Eval-Après action écologique'!$A$773=FE12,OR(COUNTIF('Eval-Après action écologique'!$N$773:$P$773,"*T*")&gt;0,GB21&lt;30)),AND('Eval-Après action écologique'!$A$774=FE12,OR(COUNTIF('Eval-Après action écologique'!$N$774:$P$774,"*T*")&gt;0,GB22&lt;30)),AND('Eval-Après action écologique'!$A$775=FE12,OR(COUNTIF('Eval-Après action écologique'!$N$775:$P$775,"*T*")&gt;0,GB23&lt;30)),AND('Eval-Après action écologique'!$A$776=FE12,OR(COUNTIF('Eval-Après action écologique'!$N$776:$P$776,"*T*")&gt;0,GB24&lt;30)),AND('Eval-Après action écologique'!$A$777=FE12,OR(COUNTIF('Eval-Après action écologique'!$N$777:$P$777,"*T*")&gt;0,GB25&lt;30)),AND('Eval-Après action écologique'!$A$778=FE12,OR(COUNTIF('Eval-Après action écologique'!$N$778:$P$778,"*T*")&gt;0,GB26&lt;30)),AND('Eval-Après action écologique'!$A$779=FE12,OR(COUNTIF('Eval-Après action écologique'!$N$779:$P$779,"*T*")&gt;0,GB27&lt;30)),AND('Eval-Après action écologique'!$A$780=FE12,OR(COUNTIF('Eval-Après action écologique'!$N$780:$P$780,"*T*")&gt;0,GB28&lt;30))),"",SUM(0.1*(SUMPRODUCT(('Eval-Après action écologique'!$A$761:$A$780=FE12)*('Eval-Après action écologique'!$N$761:$P$780="L"))),0.4*(SUMPRODUCT(('Eval-Après action écologique'!$A$761:$A$780=FE12)*('Eval-Après action écologique'!$N$761:$P$780="LA"))+SUMPRODUCT(('Eval-Après action écologique'!$A$761:$A$780=FE12)*('Eval-Après action écologique'!$N$761:$P$780="LS"))),0.7*(SUMPRODUCT(('Eval-Après action écologique'!$A$761:$A$780=FE12)*('Eval-Après action écologique'!$N$761:$P$780="AL"))+SUMPRODUCT(('Eval-Après action écologique'!$A$761:$A$780=FE12)*('Eval-Après action écologique'!$N$761:$P$780="SL"))),1*(SUMPRODUCT(('Eval-Après action écologique'!$A$761:$A$780=FE12)*('Eval-Après action écologique'!$N$761:$P$780="S"))+ SUMPRODUCT(('Eval-Après action écologique'!$A$761:$A$780=FE12)*('Eval-Après action écologique'!$N$761:$P$780="A"))))/(3*COUNTIF('Eval-Après action écologique'!$A$761:$A$780,FE12))),"")</f>
        <v/>
      </c>
      <c r="FX12" s="211" t="str">
        <f>IF(COUNTIF('Eval-Après action écologique'!$A$761:$A$780,FE12)&gt;0,IF(OR(AND('Eval-Après action écologique'!$A$761=FE12,OR(COUNTIF('Eval-Après action écologique'!$N$761:$P$761,"*T*")&gt;0,GB9&lt;30)),AND('Eval-Après action écologique'!$A$762=FE12,OR(COUNTIF('Eval-Après action écologique'!$N$762:$P$762,"*T*")&gt;0,GB10&lt;30)),AND('Eval-Après action écologique'!$A$763=FE12,OR(COUNTIF('Eval-Après action écologique'!$N$763:$P$763,"*T*")&gt;0,GB11&lt;30)),AND('Eval-Après action écologique'!$A$764=FE12,OR(COUNTIF('Eval-Après action écologique'!$N$764:$P$764,"*T*")&gt;0,GB12&lt;30)),AND('Eval-Après action écologique'!$A$765=FE12,OR(COUNTIF('Eval-Après action écologique'!$N$765:$P$765,"*T*")&gt;0,GB13&lt;30)),AND('Eval-Après action écologique'!$A$766=FE12,OR(COUNTIF('Eval-Après action écologique'!$N$766:$P$766,"*T*")&gt;0,GB14&lt;30)),AND('Eval-Après action écologique'!$A$767=FE12,OR(COUNTIF('Eval-Après action écologique'!$N$767:$P$767,"*T*")&gt;0,GB15&lt;30)),AND('Eval-Après action écologique'!$A$768=FE12,OR(COUNTIF('Eval-Après action écologique'!$N$768:$P$768,"*T*")&gt;0,GB16&lt;30)),AND('Eval-Après action écologique'!$A$769=FE12,OR(COUNTIF('Eval-Après action écologique'!$N$769:$P$769,"*T*")&gt;0,GB17&lt;30)),AND('Eval-Après action écologique'!$A$770=FE12,OR(COUNTIF('Eval-Après action écologique'!$N$770:$P$770,"*T*")&gt;0,GB18&lt;30)),AND('Eval-Après action écologique'!$A$771=FE12,OR(COUNTIF('Eval-Après action écologique'!$N$771:$P$771,"*T*")&gt;0,GB19&lt;30)),AND('Eval-Après action écologique'!$A$772=FE12,OR(COUNTIF('Eval-Après action écologique'!$N$772:$P$772,"*T*")&gt;0,GB20&lt;30)),AND('Eval-Après action écologique'!$A$773=FE12,OR(COUNTIF('Eval-Après action écologique'!$N$773:$P$773,"*T*")&gt;0,GB21&lt;30)),AND('Eval-Après action écologique'!$A$774=FE12,OR(COUNTIF('Eval-Après action écologique'!$N$774:$P$774,"*T*")&gt;0,GB22&lt;30)),AND('Eval-Après action écologique'!$A$775=FE12,OR(COUNTIF('Eval-Après action écologique'!$N$775:$P$775,"*T*")&gt;0,GB23&lt;30)),AND('Eval-Après action écologique'!$A$776=FE12,OR(COUNTIF('Eval-Après action écologique'!$N$776:$P$776,"*T*")&gt;0,GB24&lt;30)),AND('Eval-Après action écologique'!$A$777=FE12,OR(COUNTIF('Eval-Après action écologique'!$N$777:$P$777,"*T*")&gt;0,GB25&lt;30)),AND('Eval-Après action écologique'!$A$778=FE12,OR(COUNTIF('Eval-Après action écologique'!$N$778:$P$778,"*T*")&gt;0,GB26&lt;30)),AND('Eval-Après action écologique'!$A$779=FE12,OR(COUNTIF('Eval-Après action écologique'!$N$779:$P$779,"*T*")&gt;0,GB27&lt;30)),AND('Eval-Après action écologique'!$A$780=FE12,OR(COUNTIF('Eval-Après action écologique'!$N$780:$P$780,"*T*")&gt;0,GB28&lt;30))),"",SUM(1*(SUMPRODUCT(('Eval-Après action écologique'!$A$761:$A$780=FE12)*('Eval-Après action écologique'!$N$761:$P$780="A"))),0.85*(SUMPRODUCT(('Eval-Après action écologique'!$A$761:$A$780=FE12)*('Eval-Après action écologique'!$N$761:$P$780="AL"))),0.7*(SUMPRODUCT(('Eval-Après action écologique'!$A$761:$A$780=FE12)*('Eval-Après action écologique'!$N$761:$P$780="LA"))),0.55*(SUMPRODUCT(('Eval-Après action écologique'!$A$761:$A$780=FE12)*('Eval-Après action écologique'!$N$761:$P$780="L"))),0.4*(SUMPRODUCT(('Eval-Après action écologique'!$A$761:$A$780=FE12)*('Eval-Après action écologique'!$N$761:$P$780="LS"))),0.25*(SUMPRODUCT(('Eval-Après action écologique'!$A$761:$A$780=FE12)*('Eval-Après action écologique'!$N$761:$P$780="SL"))),0.1*(SUMPRODUCT(('Eval-Après action écologique'!$A$761:$A$780=FE12)*('Eval-Après action écologique'!$N$761:$P$780="S"))))/(3*COUNTIF('Eval-Après action écologique'!$A$761:$A$780,FE12))),"")</f>
        <v/>
      </c>
      <c r="FY12" s="214" t="str">
        <f>IF(COUNTIF('Eval-Après action écologique'!$A$761:$A$780,FE12)&gt;0,IF(OR(AND('Eval-Après action écologique'!$A$761=FE12,OR(COUNTIF('Eval-Après action écologique'!$Q$761:$Y$761,"*T*")&gt;0,GB9&lt;120)),AND('Eval-Après action écologique'!$A$762=FE12,OR(COUNTIF('Eval-Après action écologique'!$Q$762:$Y$762,"*T*")&gt;0,GB10&lt;120)),AND('Eval-Après action écologique'!$A$763=FE12,OR(COUNTIF('Eval-Après action écologique'!$Q$763:$Y$763,"*T*")&gt;0,GB11&lt;120)),AND('Eval-Après action écologique'!$A$764=FE12,OR(COUNTIF('Eval-Après action écologique'!$Q$764:$Y$764,"*T*")&gt;0,GB12&lt;120)),AND('Eval-Après action écologique'!$A$765=FE12,OR(COUNTIF('Eval-Après action écologique'!$Q$765:$Y$765,"*T*")&gt;0,GB13&lt;120)),AND('Eval-Après action écologique'!$A$766=FE12,OR(COUNTIF('Eval-Après action écologique'!$Q$766:$Y$766,"*T*")&gt;0,GB14&lt;120)),AND('Eval-Après action écologique'!$A$767=FE12,OR(COUNTIF('Eval-Après action écologique'!$Q$767:$Y$767,"*T*")&gt;0,GB15&lt;120)),AND('Eval-Après action écologique'!$A$768=FE12,OR(COUNTIF('Eval-Après action écologique'!$Q$768:$Y$768,"*T*")&gt;0,GB16&lt;120)),AND('Eval-Après action écologique'!$A$769=FE12,OR(COUNTIF('Eval-Après action écologique'!$Q$769:$Y$769,"*T*")&gt;0,GB17&lt;120)),AND('Eval-Après action écologique'!$A$770=FE12,OR(COUNTIF('Eval-Après action écologique'!$Q$770:$Y$770,"*T*")&gt;0,GB18&lt;120)),AND('Eval-Après action écologique'!$A$771=FE12,OR(COUNTIF('Eval-Après action écologique'!$Q$771:$Y$771,"*T*")&gt;0,GB19&lt;120)),AND('Eval-Après action écologique'!$A$772=FE12,OR(COUNTIF('Eval-Après action écologique'!$Q$772:$Y$772,"*T*")&gt;0,GB20&lt;120)),AND('Eval-Après action écologique'!$A$773=FE12,OR(COUNTIF('Eval-Après action écologique'!$Q$773:$Y$773,"*T*")&gt;0,GB21&lt;120)),AND('Eval-Après action écologique'!$A$774=FE12,OR(COUNTIF('Eval-Après action écologique'!$Q$774:$Y$774,"*T*")&gt;0,GB22&lt;120)),AND('Eval-Après action écologique'!$A$775=FE12,OR(COUNTIF('Eval-Après action écologique'!$Q$775:$Y$775,"*T*")&gt;0,GB23&lt;120)),AND('Eval-Après action écologique'!$A$776=FE12,OR(COUNTIF('Eval-Après action écologique'!$Q$776:$Y$776,"*T*")&gt;0,GB24&lt;120)),AND('Eval-Après action écologique'!$A$777=FE12,OR(COUNTIF('Eval-Après action écologique'!$Q$777:$Y$777,"*T*")&gt;0,GB25&lt;120)),AND('Eval-Après action écologique'!$A$778=FE12,OR(COUNTIF('Eval-Après action écologique'!$Q$778:$Y$778,"*T*")&gt;0,GB26&lt;120)),AND('Eval-Après action écologique'!$A$779=FE12,OR(COUNTIF('Eval-Après action écologique'!$Q$779:$Y$779,"*T*")&gt;0,GB27&lt;120)),AND('Eval-Après action écologique'!$A$780=FE12,OR(COUNTIF('Eval-Après action écologique'!$Q$780:$Y$780,"*T*")&gt;0,GB28&lt;120))),"",SUM(1*(SUMPRODUCT(('Eval-Après action écologique'!$A$761:$A$780=FE12)*('Eval-Après action écologique'!$Q$761:$Y$780="A"))),0.85*(SUMPRODUCT(('Eval-Après action écologique'!$A$761:$A$780=FE12)*('Eval-Après action écologique'!$Q$761:$Y$780="AL"))),0.7*(SUMPRODUCT(('Eval-Après action écologique'!$A$761:$A$780=FE12)*('Eval-Après action écologique'!$Q$761:$Y$780="LA"))),0.55*(SUMPRODUCT(('Eval-Après action écologique'!$A$761:$A$780=FE12)*('Eval-Après action écologique'!$Q$761:$Y$780="L"))),0.4*(SUMPRODUCT(('Eval-Après action écologique'!$A$761:$A$780=FE12)*('Eval-Après action écologique'!$Q$761:$Y$780="LS"))),0.25*(SUMPRODUCT(('Eval-Après action écologique'!$A$761:$A$780=FE12)*('Eval-Après action écologique'!$Q$761:$Y$780="SL"))),0.1*(SUMPRODUCT(('Eval-Après action écologique'!$A$761:$A$780=FE12)*('Eval-Après action écologique'!$Q$761:$Y$780="S"))))/(9*COUNTIF('Eval-Après action écologique'!$A$761:$A$780,FE12))),"")</f>
        <v/>
      </c>
      <c r="FZ12" s="215"/>
      <c r="GA12" s="216">
        <f>'Eval-Après action écologique'!$D$764</f>
        <v>4</v>
      </c>
      <c r="GB12" s="217" t="str">
        <f>IF(GC12="C",0,IF(IF(COUNTIF('Eval-Après action écologique'!$N$764:$Y$764,"=C")&gt;0,(COUNTA('Eval-Après action écologique'!$N$764:$Y$764)-1)*10,COUNTA('Eval-Après action écologique'!$N$764:$Y$764)*10)=0,"",IF(COUNTIF('Eval-Après action écologique'!$N$764:$Y$764,"=C")&gt;0,(COUNTA('Eval-Après action écologique'!$N$764:$Y$764)-1)*10,COUNTA('Eval-Après action écologique'!$N$764:$Y$764)*10)))</f>
        <v/>
      </c>
      <c r="GC12" s="217" t="str">
        <f>CONCATENATE('Eval-Après action écologique'!$N$764,'Eval-Après action écologique'!$O$764,'Eval-Après action écologique'!$P$764,'Eval-Après action écologique'!$Q$764,'Eval-Après action écologique'!$R$764,'Eval-Après action écologique'!$S$764,'Eval-Après action écologique'!$T$764,'Eval-Après action écologique'!$U$764,'Eval-Après action écologique'!$V$764,'Eval-Après action écologique'!$W$764,'Eval-Après action écologique'!$X$764,'Eval-Après action écologique'!$Y$764)</f>
        <v/>
      </c>
      <c r="GD12" s="217" t="str">
        <f t="shared" si="20"/>
        <v/>
      </c>
      <c r="GE12" s="217" t="str">
        <f t="shared" si="21"/>
        <v/>
      </c>
      <c r="GF12" s="217" t="str">
        <f>IF(COUNTIF('Eval-Après action écologique'!$N$764:$Y$764,"=C")&gt;0,"X","")</f>
        <v/>
      </c>
      <c r="GG12" s="217" t="str">
        <f t="shared" si="22"/>
        <v/>
      </c>
      <c r="GH12" s="218" t="str">
        <f t="shared" si="23"/>
        <v/>
      </c>
      <c r="GI12" s="197"/>
    </row>
    <row r="13" spans="1:191" ht="18" customHeight="1" x14ac:dyDescent="0.2">
      <c r="A13" s="210">
        <v>5</v>
      </c>
      <c r="B13" s="211" t="str">
        <f>IF(COUNTIF('Eval-Avant impact'!$A$761:$A$780,A13)&gt;0,SUM(IF('Eval-Avant impact'!$A$761=A13,'Eval-Avant impact'!$B$761,0),IF('Eval-Avant impact'!$A$762=A13, 'Eval-Avant impact'!$B$762,0),IF('Eval-Avant impact'!$A$763=A13, 'Eval-Avant impact'!$B$763,0),IF('Eval-Avant impact'!$A$764=A13, 'Eval-Avant impact'!$B$764,0),IF('Eval-Avant impact'!$A$765=A13, 'Eval-Avant impact'!$B$765,0),IF('Eval-Avant impact'!$A$766=A13, 'Eval-Avant impact'!$B$766,0),IF('Eval-Avant impact'!$A$767=A13, 'Eval-Avant impact'!$B$767,0),IF('Eval-Avant impact'!$A$768=A13, 'Eval-Avant impact'!$B$768,0),IF('Eval-Avant impact'!$A$769=A13, 'Eval-Avant impact'!$B$769,0),IF('Eval-Avant impact'!$A$770=A13, 'Eval-Avant impact'!$B$770,0),IF('Eval-Avant impact'!$A$771=A13, 'Eval-Avant impact'!$B$771,0),IF('Eval-Avant impact'!$A$772=A13, 'Eval-Avant impact'!$B$772,0),IF('Eval-Avant impact'!$A$773=A13, 'Eval-Avant impact'!$B$773,0),IF('Eval-Avant impact'!$A$774=A13, 'Eval-Avant impact'!$B$774,0),IF('Eval-Avant impact'!$A$775=A13, 'Eval-Avant impact'!$B$775,0),IF('Eval-Avant impact'!$A$776=A13, 'Eval-Avant impact'!$B$776,0),IF('Eval-Avant impact'!$A$777=A13, 'Eval-Avant impact'!$B$777,0),IF('Eval-Avant impact'!$A$778=A13, 'Eval-Avant impact'!$B$778,0),IF('Eval-Avant impact'!$A$779=A13, 'Eval-Avant impact'!$B$779,0),IF('Eval-Avant impact'!$A$780=A13, 'Eval-Avant impact'!$B$780,0))/COUNTIF('Eval-Avant impact'!$A$761:$A$780,A13),"")</f>
        <v/>
      </c>
      <c r="C13" s="212" t="str">
        <f>IF(COUNTIF('Eval-Avant impact'!$A$761:$A$780,A13)&gt;0,COUNTIF('Eval-Avant impact'!$A$761:$A$780,A13),"")</f>
        <v/>
      </c>
      <c r="D13" s="211" t="str">
        <f>IF(COUNTIF('Eval-Avant impact'!$A$761:$A$780,A13)&gt;0,IF(OR(AND('Eval-Avant impact'!$A$761=A13, 'Eval-Avant impact'!$G$761=""),AND('Eval-Avant impact'!$A$762=A13, 'Eval-Avant impact'!$G$762=""),AND('Eval-Avant impact'!$A$763=A13, 'Eval-Avant impact'!$G$763=""),AND('Eval-Avant impact'!$A$764=A13, 'Eval-Avant impact'!$G$764=""),AND('Eval-Avant impact'!$A$765=A13, 'Eval-Avant impact'!$G$765=""),AND('Eval-Avant impact'!$A$766=A13, 'Eval-Avant impact'!$G$766=""),AND('Eval-Avant impact'!$A$767=A13, 'Eval-Avant impact'!$G$767=""),AND('Eval-Avant impact'!$A$768=A13, 'Eval-Avant impact'!$G$768=""),AND('Eval-Avant impact'!$A$769=A13, 'Eval-Avant impact'!$G$769=""),AND('Eval-Avant impact'!$A$770=A13, 'Eval-Avant impact'!$G$770=""),AND('Eval-Avant impact'!$A$771=A13, 'Eval-Avant impact'!$G$771=""),AND('Eval-Avant impact'!$A$772=A13, 'Eval-Avant impact'!$G$772=""),AND('Eval-Avant impact'!$A$773=A13, 'Eval-Avant impact'!$G$773=""),AND('Eval-Avant impact'!$A$774=A13, 'Eval-Avant impact'!$G$774=""),AND('Eval-Avant impact'!$A$775=A13, 'Eval-Avant impact'!$G$775=""),AND('Eval-Avant impact'!$A$776=A13, 'Eval-Avant impact'!$G$776=""),AND('Eval-Avant impact'!$A$777=A13, 'Eval-Avant impact'!$G$777=""),AND('Eval-Avant impact'!$A$778=A13, 'Eval-Avant impact'!$G$778=""),AND('Eval-Avant impact'!$A$779=A13, 'Eval-Avant impact'!$G$779=""),AND('Eval-Avant impact'!$A$780=A13, 'Eval-Avant impact'!$G$780="")),"",SUM(IF('Eval-Avant impact'!$A$761=A13,'Eval-Avant impact'!$G$761,0),IF('Eval-Avant impact'!$A$762=A13,'Eval-Avant impact'!$G$762,0),IF('Eval-Avant impact'!$A$763=A13,'Eval-Avant impact'!$G$763,0),IF('Eval-Avant impact'!$A$764=A13,'Eval-Avant impact'!$G$764,0),IF('Eval-Avant impact'!$A$765=A13,'Eval-Avant impact'!$G$765,0),IF('Eval-Avant impact'!$A$766=A13,'Eval-Avant impact'!$G$766,0),IF('Eval-Avant impact'!$A$767=A13,'Eval-Avant impact'!$G$767,0),IF('Eval-Avant impact'!$A$768=A13,'Eval-Avant impact'!$G$768,0),IF('Eval-Avant impact'!$A$769=A13,'Eval-Avant impact'!$G$769,0),IF('Eval-Avant impact'!$A$770=A13,'Eval-Avant impact'!$G$770,0),IF('Eval-Avant impact'!$A$771=A13,'Eval-Avant impact'!$G$771,0),IF('Eval-Avant impact'!$A$772=A13,'Eval-Avant impact'!$G$772,0),IF('Eval-Avant impact'!$A$773=A13,'Eval-Avant impact'!$G$773,0),IF('Eval-Avant impact'!$A$774=A13,'Eval-Avant impact'!$G$774,0),IF('Eval-Avant impact'!$A$775=A13,'Eval-Avant impact'!$G$775,0), IF('Eval-Avant impact'!$A$776=A13,'Eval-Avant impact'!$G$776,0), IF('Eval-Avant impact'!$A$777=A13,'Eval-Avant impact'!$G$777,0), IF('Eval-Avant impact'!$A$778=A13,'Eval-Avant impact'!$G$778,0), IF('Eval-Avant impact'!$A$779=A13,'Eval-Avant impact'!$G$779,0), IF('Eval-Avant impact'!$A$780=A13,'Eval-Avant impact'!$G$780,0))/ COUNTIF('Eval-Avant impact'!$A$761:$A$780,A13)),"")</f>
        <v/>
      </c>
      <c r="E13" s="212" t="str">
        <f>IF(COUNTIF('Eval-Avant impact'!$A$761:$A$780,A13)&gt;0,IF(SUM(IF('Eval-Avant impact'!$A$761=A13,COUNTA('Eval-Avant impact'!$H$761),0),IF('Eval-Avant impact'!$A$762=A13,COUNTA('Eval-Avant impact'!$H$762),0),IF('Eval-Avant impact'!$A$763=A13,COUNTA('Eval-Avant impact'!$H$763),0),IF('Eval-Avant impact'!$A$764=A13,COUNTA('Eval-Avant impact'!$H$764),0),IF('Eval-Avant impact'!$A$765=A13,COUNTA('Eval-Avant impact'!$H$765),0),IF('Eval-Avant impact'!$A$766=A13,COUNTA('Eval-Avant impact'!$H$766),0),IF('Eval-Avant impact'!$A$767=A13,COUNTA('Eval-Avant impact'!$H$767),0),IF('Eval-Avant impact'!$A$768=A13,COUNTA('Eval-Avant impact'!$H$768),0),IF('Eval-Avant impact'!$A$769=A13,COUNTA('Eval-Avant impact'!$H$769),0),IF('Eval-Avant impact'!$A$770=A13,COUNTA('Eval-Avant impact'!$H$770),0),IF('Eval-Avant impact'!$A$771=A13,COUNTA('Eval-Avant impact'!$H$771),0),IF('Eval-Avant impact'!$A$772=A13,COUNTA('Eval-Avant impact'!$H$772),0),IF('Eval-Avant impact'!$A$773=A13,COUNTA('Eval-Avant impact'!$H$773),0),IF('Eval-Avant impact'!$A$774=A13,COUNTA('Eval-Avant impact'!$H$774),0),IF('Eval-Avant impact'!$A$775=A13,COUNTA('Eval-Avant impact'!$H$775),0),IF('Eval-Avant impact'!$A$776=A13,COUNTA('Eval-Avant impact'!$H$776),0),IF('Eval-Avant impact'!$A$777=A13,COUNTA('Eval-Avant impact'!$H$777),0),IF('Eval-Avant impact'!$A$778=A13,COUNTA('Eval-Avant impact'!$H$778),0),IF('Eval-Avant impact'!$A$779=A13,COUNTA('Eval-Avant impact'!$H$779),0),IF('Eval-Avant impact'!$A$780=A13,COUNTA('Eval-Avant impact'!$H$780),0))&gt;0,"X",0),"")</f>
        <v/>
      </c>
      <c r="F13" s="213" t="str">
        <f>IF(COUNTIF('Eval-Avant impact'!$A$761:$A$780,A13)&gt;0,IF(SUM(IF('Eval-Avant impact'!$A$761=A13,COUNTA('Eval-Avant impact'!$I$761),0),IF('Eval-Avant impact'!$A$762=A13,COUNTA('Eval-Avant impact'!$I$762),0),IF('Eval-Avant impact'!$A$763=A13,COUNTA('Eval-Avant impact'!$I$763),0),IF('Eval-Avant impact'!$A$764=A13,COUNTA('Eval-Avant impact'!$I$764),0),IF('Eval-Avant impact'!$A$765=A13,COUNTA('Eval-Avant impact'!$I$765),0),IF('Eval-Avant impact'!$A$766=A13,COUNTA('Eval-Avant impact'!$I$766),0),IF('Eval-Avant impact'!$A$767=A13,COUNTA('Eval-Avant impact'!$I$767),0),IF('Eval-Avant impact'!$A$768=A13,COUNTA('Eval-Avant impact'!$I$768),0),IF('Eval-Avant impact'!$A$769=A13,COUNTA('Eval-Avant impact'!$I$769),0),IF('Eval-Avant impact'!$A$770=A13,COUNTA('Eval-Avant impact'!$I$770),0),IF('Eval-Avant impact'!$A$771=A13,COUNTA('Eval-Avant impact'!$I$771),0),IF('Eval-Avant impact'!$A$772=A13,COUNTA('Eval-Avant impact'!$I$772),0),IF('Eval-Avant impact'!$A$773=A13,COUNTA('Eval-Avant impact'!$I$773),0),IF('Eval-Avant impact'!$A$774=A13,COUNTA('Eval-Avant impact'!$I$774),0),IF('Eval-Avant impact'!$A$775=A13,COUNTA('Eval-Avant impact'!$I$775),0),IF('Eval-Avant impact'!$A$776=A13,COUNTA('Eval-Avant impact'!$I$776),0),IF('Eval-Avant impact'!$A$777=A13,COUNTA('Eval-Avant impact'!$I$777),0),IF('Eval-Avant impact'!$A$778=A13,COUNTA('Eval-Avant impact'!$I$778),0),IF('Eval-Avant impact'!$A$779=A13,COUNTA('Eval-Avant impact'!$I$779),0),IF('Eval-Avant impact'!$A$780=A13,COUNTA('Eval-Avant impact'!$I$780),0))&gt;0,"X",0),"")</f>
        <v/>
      </c>
      <c r="G13" s="213" t="str">
        <f>IF(COUNTIF('Eval-Avant impact'!$A$761:$A$780,A13)&gt;0,IF(SUM(IF('Eval-Avant impact'!$A$761=A13,COUNTA('Eval-Avant impact'!$J$761),0),IF('Eval-Avant impact'!$A$762=A13,COUNTA('Eval-Avant impact'!$J$762),0),IF('Eval-Avant impact'!$A$763=A13,COUNTA('Eval-Avant impact'!$J$763),0),IF('Eval-Avant impact'!$A$764=A13,COUNTA('Eval-Avant impact'!$J$764),0),IF('Eval-Avant impact'!$A$765=A13,COUNTA('Eval-Avant impact'!$J$765),0),IF('Eval-Avant impact'!$A$766=A13,COUNTA('Eval-Avant impact'!$J$766),0),IF('Eval-Avant impact'!$A$767=A13,COUNTA('Eval-Avant impact'!$J$767),0),IF('Eval-Avant impact'!$A$768=A13,COUNTA('Eval-Avant impact'!$J$768),0),IF('Eval-Avant impact'!$A$769=A13,COUNTA('Eval-Avant impact'!$J$769),0),IF('Eval-Avant impact'!$A$770=A13,COUNTA('Eval-Avant impact'!$J$770),0),IF('Eval-Avant impact'!$A$771=A13,COUNTA('Eval-Avant impact'!$J$771),0),IF('Eval-Avant impact'!$A$772=A13,COUNTA('Eval-Avant impact'!$J$772),0),IF('Eval-Avant impact'!$A$773=A13,COUNTA('Eval-Avant impact'!$J$773),0),IF('Eval-Avant impact'!$A$774=A13,COUNTA('Eval-Avant impact'!$J$774),0),IF('Eval-Avant impact'!$A$775=A13,COUNTA('Eval-Avant impact'!$J$775),0),IF('Eval-Avant impact'!$A$776=A13,COUNTA('Eval-Avant impact'!$J$776),0),IF('Eval-Avant impact'!$A$777=A13,COUNTA('Eval-Avant impact'!$J$777),0),IF('Eval-Avant impact'!$A$778=A13,COUNTA('Eval-Avant impact'!$J$778),0),IF('Eval-Avant impact'!$A$779=A13,COUNTA('Eval-Avant impact'!$J$779),0),IF('Eval-Avant impact'!$A$780=A13,COUNTA('Eval-Avant impact'!$J$780),0))&gt;0,"X",0),"")</f>
        <v/>
      </c>
      <c r="H13" s="213" t="str">
        <f>IF(COUNTIF('Eval-Avant impact'!$A$761:$A$780,A13)&gt;0,IF(SUM(IF('Eval-Avant impact'!$A$761=A13,COUNTA('Eval-Avant impact'!$K$761),0),IF('Eval-Avant impact'!$A$762=A13,COUNTA('Eval-Avant impact'!$K$762),0),IF('Eval-Avant impact'!$A$763=A13,COUNTA('Eval-Avant impact'!$K$763),0),IF('Eval-Avant impact'!$A$764=A13,COUNTA('Eval-Avant impact'!$K$764),0),IF('Eval-Avant impact'!$A$765=A13,COUNTA('Eval-Avant impact'!$K$765),0),IF('Eval-Avant impact'!$A$766=A13,COUNTA('Eval-Avant impact'!$K$766),0),IF('Eval-Avant impact'!$A$767=A13,COUNTA('Eval-Avant impact'!$K$767),0),IF('Eval-Avant impact'!$A$768=A13,COUNTA('Eval-Avant impact'!$K$768),0),IF('Eval-Avant impact'!$A$769=A13,COUNTA('Eval-Avant impact'!$K$769),0),IF('Eval-Avant impact'!$A$770=A13,COUNTA('Eval-Avant impact'!$K$770),0),IF('Eval-Avant impact'!$A$771=A13,COUNTA('Eval-Avant impact'!$K$771),0),IF('Eval-Avant impact'!$A$772=A13,COUNTA('Eval-Avant impact'!$K$772),0),IF('Eval-Avant impact'!$A$773=A13,COUNTA('Eval-Avant impact'!$K$773),0),IF('Eval-Avant impact'!$A$774=A13,COUNTA('Eval-Avant impact'!$K$774),0),IF('Eval-Avant impact'!$A$775=A13,COUNTA('Eval-Avant impact'!$K$775),0),IF('Eval-Avant impact'!$A$776=A13,COUNTA('Eval-Avant impact'!$K$776),0),IF('Eval-Avant impact'!$A$777=A13,COUNTA('Eval-Avant impact'!$K$777),0),IF('Eval-Avant impact'!$A$778=A13,COUNTA('Eval-Avant impact'!$K$778),0),IF('Eval-Avant impact'!$A$779=A13,COUNTA('Eval-Avant impact'!$K$779),0),IF('Eval-Avant impact'!$A$780=A13,COUNTA('Eval-Avant impact'!$K$780),0))&gt;0,"X",0),"")</f>
        <v/>
      </c>
      <c r="I13" s="211" t="str">
        <f>IF(COUNTIF('Eval-Avant impact'!$A$761:$A$780,A13)&gt;0,IF(OR(AND('Eval-Avant impact'!$A$761=A13,'Eval-Avant impact'!$L$761&lt;120,'Eval-Avant impact'!$L$761&gt;=X9),AND('Eval-Avant impact'!$A$762=A13,'Eval-Avant impact'!$L$762&lt;120,'Eval-Avant impact'!$L$762&gt;=X10),AND('Eval-Avant impact'!$A$763=A13,'Eval-Avant impact'!$L$763&lt;120,'Eval-Avant impact'!$L$763&gt;=X11),AND('Eval-Avant impact'!$A$764=A13,'Eval-Avant impact'!$L$764&lt;120,'Eval-Avant impact'!$L$764&gt;=X12),AND('Eval-Avant impact'!$A$765=A13,'Eval-Avant impact'!$L$765&lt;120,'Eval-Avant impact'!$L$765&gt;=X13),AND('Eval-Avant impact'!$A$766=A13,'Eval-Avant impact'!$L$766&lt;120,'Eval-Avant impact'!$L$766&gt;=X14),AND('Eval-Avant impact'!$A$767=A13,'Eval-Avant impact'!$L$767&lt;120,'Eval-Avant impact'!$L$767&gt;=X15),AND('Eval-Avant impact'!$A$768=A13,'Eval-Avant impact'!$L$768&lt;120,'Eval-Avant impact'!$L$768&gt;=X16),AND('Eval-Avant impact'!$A$769=A13,'Eval-Avant impact'!$L$769&lt;120,'Eval-Avant impact'!$L$769&gt;=X17),AND('Eval-Avant impact'!$A$770=A13,'Eval-Avant impact'!$L$770&lt;120,'Eval-Avant impact'!$L$770&gt;=X18),AND('Eval-Avant impact'!$A$771=A13,'Eval-Avant impact'!$L$771&lt;120,'Eval-Avant impact'!$L$771&gt;=X19),AND('Eval-Avant impact'!$A$772=A13,'Eval-Avant impact'!$L$772&lt;120,'Eval-Avant impact'!$L$772&gt;=X20),AND('Eval-Avant impact'!$A$773=A13,'Eval-Avant impact'!$L$773&lt;120,'Eval-Avant impact'!$L$773&gt;=X21),AND('Eval-Avant impact'!$A$774=A13,'Eval-Avant impact'!$L$774&lt;120,'Eval-Avant impact'!$L$774&gt;=X22),AND('Eval-Avant impact'!$A$775=A13,'Eval-Avant impact'!$L$775&lt;120,'Eval-Avant impact'!$L$775&gt;=X23),AND('Eval-Avant impact'!$A$776=A13,'Eval-Avant impact'!$L$776&lt;120,'Eval-Avant impact'!$L$776&gt;=X24),AND('Eval-Avant impact'!$A$777=A13,'Eval-Avant impact'!$L$777&lt;120,'Eval-Avant impact'!$L$777&gt;=X25),AND('Eval-Avant impact'!$A$778=A13,'Eval-Avant impact'!$L$778&lt;120,'Eval-Avant impact'!$L$778&gt;=X26),AND('Eval-Avant impact'!$A$779=A13,'Eval-Avant impact'!$L$779&lt;120,'Eval-Avant impact'!$L$779&gt;=X27),AND('Eval-Avant impact'!$A$780=A13,'Eval-Avant impact'!$L$780&lt;120,'Eval-Avant impact'!$L$780&gt;=X28)),"",SUM(IF('Eval-Avant impact'!$A$761=A13,'Eval-Avant impact'!$L$761,0),IF('Eval-Avant impact'!$A$762=A13,'Eval-Avant impact'!$L$762,0),IF('Eval-Avant impact'!$A$763=A13,'Eval-Avant impact'!$L$763,0),IF('Eval-Avant impact'!$A$764=A13,'Eval-Avant impact'!$L$764,0),IF('Eval-Avant impact'!$A$765=A13,'Eval-Avant impact'!$L$765,0),IF('Eval-Avant impact'!$A$766=A13,'Eval-Avant impact'!$L$766,0),IF('Eval-Avant impact'!$A$767=A13,'Eval-Avant impact'!$L$767,0),IF('Eval-Avant impact'!$A$768=A13,'Eval-Avant impact'!$L$768,0),IF('Eval-Avant impact'!$A$769=A13,'Eval-Avant impact'!$L$769,0),IF('Eval-Avant impact'!$A$770=A13,'Eval-Avant impact'!$L$770,0),IF('Eval-Avant impact'!$A$771=A13,'Eval-Avant impact'!$L$771,0),IF('Eval-Avant impact'!$A$772=A13,'Eval-Avant impact'!$L$772,0),IF('Eval-Avant impact'!$A$773=A13,'Eval-Avant impact'!$L$773,0),IF('Eval-Avant impact'!$A$774=A13,'Eval-Avant impact'!$L$774,0),IF('Eval-Avant impact'!$A$775=A13,'Eval-Avant impact'!$L$775,0),IF('Eval-Avant impact'!$A$776=A13,'Eval-Avant impact'!$L$776,0),IF('Eval-Avant impact'!$A$777=A13,'Eval-Avant impact'!$L$777,0),IF('Eval-Avant impact'!$A$778=A13,'Eval-Avant impact'!$L$778,0),IF('Eval-Avant impact'!$A$779=A13,'Eval-Avant impact'!$L$779,0),IF('Eval-Avant impact'!$A$780=A13,'Eval-Avant impact'!$L$780,0))/ COUNTIF('Eval-Avant impact'!$A$761:$A$780,A13)),"")</f>
        <v/>
      </c>
      <c r="J13" s="211" t="str">
        <f>IF(COUNTIF('Eval-Avant impact'!$A$761:$A$780,A13)&gt;0,IF(OR(AND('Eval-Avant impact'!$A$761=A13, X9&lt;120),AND(X10&lt;120),AND(X11&lt;120),AND(X12&lt;120),AND(X13&lt;120),AND(X14&lt;120),AND(X15&lt;120),AND(X16&lt;120),AND(X17&lt;120),AND(X18&lt;120),AND(X19&lt;120),AND(X20&lt;120),AND(X21&lt;120),AND(X22&lt;120),AND(X23&lt;120),AND(X24&lt;120),AND(X25&lt;120),AND(X26&lt;120),AND(X27&lt;120),AND(X28&lt;120)),"",SUM(IF('Eval-Avant impact'!$A$761=A13,'Eval-Avant impact'!$M$761,0),IF('Eval-Avant impact'!$A$762=A13,'Eval-Avant impact'!$M$762,0),IF('Eval-Avant impact'!$A$763=A13,'Eval-Avant impact'!$M$763,0),IF('Eval-Avant impact'!$A$764=A13,'Eval-Avant impact'!$M$764,0),IF('Eval-Avant impact'!$A$765=A13,'Eval-Avant impact'!$M$765,0),IF('Eval-Avant impact'!$A$766=A13,'Eval-Avant impact'!$M$766,0),IF('Eval-Avant impact'!$A$767=A13,'Eval-Avant impact'!$M$767,0),IF('Eval-Avant impact'!$A$768=A13,'Eval-Avant impact'!$M$768,0),IF('Eval-Avant impact'!$A$769=A13,'Eval-Avant impact'!$M$769,0),IF('Eval-Avant impact'!$A$770=A13,'Eval-Avant impact'!$M$770,0),IF('Eval-Avant impact'!$A$771=A13,'Eval-Avant impact'!$M$771,0),IF('Eval-Avant impact'!$A$772=A13,'Eval-Avant impact'!$M$772,0),IF('Eval-Avant impact'!$A$773=A13,'Eval-Avant impact'!$M$773,0),IF('Eval-Avant impact'!$A$774=A13,'Eval-Avant impact'!$M$774,0),IF('Eval-Avant impact'!$A$775=A13,'Eval-Avant impact'!$M$775,0), IF('Eval-Avant impact'!$A$776=A13,'Eval-Avant impact'!$M$776,0), IF('Eval-Avant impact'!$A$777=A13,'Eval-Avant impact'!$M$777,0), IF('Eval-Avant impact'!$A$778=A13,'Eval-Avant impact'!$M$778,0), IF('Eval-Avant impact'!$A$779=A13,'Eval-Avant impact'!$M$779,0), IF('Eval-Avant impact'!$A$780=A13,'Eval-Avant impact'!$M$780,0))/COUNTIF('Eval-Avant impact'!$A$761:$A$780,A13)),"")</f>
        <v/>
      </c>
      <c r="K13" s="211" t="str">
        <f>IF(COUNTIF('Eval-Avant impact'!$A$761:$A$780,A13)&gt;0,SUM(IF('Eval-Avant impact'!$A$761=A13,LEN(SUBSTITUTE((SUBSTITUTE(Z9,"TM","")),"TS",""))*10/2,0),IF('Eval-Avant impact'!$A$762=A13,LEN(SUBSTITUTE((SUBSTITUTE(Z10,"TM","")),"TS",""))*10/2,0),IF('Eval-Avant impact'!$A$763=A13,LEN(SUBSTITUTE((SUBSTITUTE(Z11,"TM","")),"TS",""))*10/2,0),IF('Eval-Avant impact'!$A$764=A13,LEN(SUBSTITUTE((SUBSTITUTE(Z12,"TM","")),"TS",""))*10/2,0),IF('Eval-Avant impact'!$A$765=A13,LEN(SUBSTITUTE((SUBSTITUTE(Z13,"TM","")),"TS",""))*10/2,0),IF('Eval-Avant impact'!$A$766=A13,LEN(SUBSTITUTE((SUBSTITUTE(Z14,"TM","")),"TS",""))*10/2,0),IF('Eval-Avant impact'!$A$767=A13,LEN(SUBSTITUTE((SUBSTITUTE(Z15,"TM","")),"TS",""))*10/2,0),IF('Eval-Avant impact'!$A$768=A13,LEN(SUBSTITUTE((SUBSTITUTE(Z16,"TM","")),"TS",""))*10/2,0),IF('Eval-Avant impact'!$A$769=A13,LEN(SUBSTITUTE((SUBSTITUTE(Z17,"TM","")),"TS",""))*10/2,0),IF('Eval-Avant impact'!$A$770=A13,LEN(SUBSTITUTE((SUBSTITUTE(Z18,"TM","")),"TS",""))*10/2,0),IF('Eval-Avant impact'!$A$771=A13,LEN(SUBSTITUTE((SUBSTITUTE(Z19,"TM","")),"TS",""))*10/2,0),IF('Eval-Avant impact'!$A$772=A13,LEN(SUBSTITUTE((SUBSTITUTE(Z20,"TM","")),"TS",""))*10/2,0),IF('Eval-Avant impact'!$A$773=A13,LEN(SUBSTITUTE((SUBSTITUTE(Z21,"TM","")),"TS",""))*10/2,0),IF('Eval-Avant impact'!$A$774=A13,LEN(SUBSTITUTE((SUBSTITUTE(Z22,"TM","")),"TS",""))*10/2,0),IF('Eval-Avant impact'!$A$775=A13,LEN(SUBSTITUTE((SUBSTITUTE(Z23,"TM","")),"TS",""))*10/2,0),IF('Eval-Avant impact'!$A$776=A13,LEN(SUBSTITUTE((SUBSTITUTE(Z24,"TM","")),"TS",""))*10/2,0),IF('Eval-Avant impact'!$A$777=A13,LEN(SUBSTITUTE((SUBSTITUTE(Z25,"TM","")),"TS",""))*10/2,0),IF('Eval-Avant impact'!$A$778=A13,LEN(SUBSTITUTE((SUBSTITUTE(Z26,"TM","")),"TS",""))*10/2,0),IF('Eval-Avant impact'!$A$779=A13,LEN(SUBSTITUTE((SUBSTITUTE(Z27,"TM","")),"TS",""))*10/2,0),IF('Eval-Avant impact'!$A$780=A13,LEN(SUBSTITUTE((SUBSTITUTE(Z28,"TM","")),"TS",""))*10/2,0))/COUNTIF('Eval-Avant impact'!$A$761:$A$780,A13),"")</f>
        <v/>
      </c>
      <c r="L13" s="211" t="str">
        <f>IF(COUNTIF('Eval-Avant impact'!$A$761:$A$780,A13)&gt;0,SUM(IF('Eval-Avant impact'!$A$761=A13,LEN(SUBSTITUTE((SUBSTITUTE(Z9,"TF","")),"TS",""))*10/2,0),IF('Eval-Avant impact'!$A$762=A13,LEN(SUBSTITUTE((SUBSTITUTE(Z10,"TF","")),"TS",""))*10/2,0),IF('Eval-Avant impact'!$A$763=A13,LEN(SUBSTITUTE((SUBSTITUTE(Z11,"TF","")),"TS",""))*10/2,0),IF('Eval-Avant impact'!$A$764=A13,LEN(SUBSTITUTE((SUBSTITUTE(Z12,"TF","")),"TS",""))*10/2,0),IF('Eval-Avant impact'!$A$765=A13,LEN(SUBSTITUTE((SUBSTITUTE(Z13,"TF","")),"TS",""))*10/2,0),IF('Eval-Avant impact'!$A$766=A13,LEN(SUBSTITUTE((SUBSTITUTE(Z14,"TF","")),"TS",""))*10/2,0),IF('Eval-Avant impact'!$A$767=A13,LEN(SUBSTITUTE((SUBSTITUTE(Z15,"TF","")),"TS",""))*10/2,0),IF('Eval-Avant impact'!$A$768=A13,LEN(SUBSTITUTE((SUBSTITUTE(Z16,"TF","")),"TS",""))*10/2,0),IF('Eval-Avant impact'!$A$769=A13,LEN(SUBSTITUTE((SUBSTITUTE(Z17,"TF","")),"TS",""))*10/2,0),IF('Eval-Avant impact'!$A$770=A13,LEN(SUBSTITUTE((SUBSTITUTE(Z18,"TF","")),"TS",""))*10/2,0),IF('Eval-Avant impact'!$A$771=A13,LEN(SUBSTITUTE((SUBSTITUTE(Z19,"TF","")),"TS",""))*10/2,0),IF('Eval-Avant impact'!$A$772=A13,LEN(SUBSTITUTE((SUBSTITUTE(Z20,"TF","")),"TS",""))*10/2,0),IF('Eval-Avant impact'!$A$773=A13,LEN(SUBSTITUTE((SUBSTITUTE(Z21,"TF","")),"TS",""))*10/2,0),IF('Eval-Avant impact'!$A$774=A13,LEN(SUBSTITUTE((SUBSTITUTE(Z22,"TF","")),"TS",""))*10/2,0),IF('Eval-Avant impact'!$A$775=A13,LEN(SUBSTITUTE((SUBSTITUTE(Z23,"TF","")),"TS",""))*10/2,0),IF('Eval-Avant impact'!$A$776=A13,LEN(SUBSTITUTE((SUBSTITUTE(Z24,"TF","")),"TS",""))*10/2,0),IF('Eval-Avant impact'!$A$777=A13,LEN(SUBSTITUTE((SUBSTITUTE(Z25,"TF","")),"TS",""))*10/2,0),IF('Eval-Avant impact'!$A$778=A13,LEN(SUBSTITUTE((SUBSTITUTE(Z26,"TF","")),"TS",""))*10/2,0),IF('Eval-Avant impact'!$A$779=A13,LEN(SUBSTITUTE((SUBSTITUTE(Z27,"TF","")),"TS",""))*10/2,0),IF('Eval-Avant impact'!$A$780=A13,LEN(SUBSTITUTE((SUBSTITUTE(Z28,"TF","")),"TS",""))*10/2,0))/COUNTIF('Eval-Avant impact'!$A$761:$A$780,A13),"")</f>
        <v/>
      </c>
      <c r="M13" s="211" t="str">
        <f>IF(COUNTIF('Eval-Avant impact'!$A$761:$A$780,A13)&gt;0,SUM(IF('Eval-Avant impact'!$A$761=A13,LEN(SUBSTITUTE((SUBSTITUTE(Z9,"TF","")),"TM",""))*10/2,0),IF('Eval-Avant impact'!$A$762=A13,LEN(SUBSTITUTE((SUBSTITUTE(Z10,"TF","")),"TM",""))*10/2,0),IF('Eval-Avant impact'!$A$763=A13,LEN(SUBSTITUTE((SUBSTITUTE(Z11,"TF","")),"TM",""))*10/2,0),IF('Eval-Avant impact'!$A$764=A13,LEN(SUBSTITUTE((SUBSTITUTE(Z12,"TF","")),"TM",""))*10/2,0),IF('Eval-Avant impact'!$A$765=A13,LEN(SUBSTITUTE((SUBSTITUTE(Z13,"TF","")),"TM",""))*10/2,0),IF('Eval-Avant impact'!$A$766=A13,LEN(SUBSTITUTE((SUBSTITUTE(Z14,"TF","")),"TM",""))*10/2,0),IF('Eval-Avant impact'!$A$767=A13,LEN(SUBSTITUTE((SUBSTITUTE(Z15,"TF","")),"TM",""))*10/2,0),IF('Eval-Avant impact'!$A$768=A13,LEN(SUBSTITUTE((SUBSTITUTE(Z16,"TF","")),"TM",""))*10/2,0),IF('Eval-Avant impact'!$A$769=A13,LEN(SUBSTITUTE((SUBSTITUTE(Z17,"TF","")),"TM",""))*10/2,0),IF('Eval-Avant impact'!$A$770=A13,LEN(SUBSTITUTE((SUBSTITUTE(Z18,"TF","")),"TM",""))*10/2,0),IF('Eval-Avant impact'!$A$771=A13,LEN(SUBSTITUTE((SUBSTITUTE(Z19,"TF","")),"TM",""))*10/2,0),IF('Eval-Avant impact'!$A$772=A13,LEN(SUBSTITUTE((SUBSTITUTE(Z20,"TF","")),"TM",""))*10/2,0),IF('Eval-Avant impact'!$A$773=A13,LEN(SUBSTITUTE((SUBSTITUTE(Z21,"TF","")),"TM",""))*10/2,0),IF('Eval-Avant impact'!$A$774=A13,LEN(SUBSTITUTE((SUBSTITUTE(Z22,"TF","")),"TM",""))*10/2,0),IF('Eval-Avant impact'!$A$775=A13,LEN(SUBSTITUTE((SUBSTITUTE(Z23,"TF","")),"TM",""))*10/2,0),IF('Eval-Avant impact'!$A$776=A13,LEN(SUBSTITUTE((SUBSTITUTE(Z24,"TF","")),"TM",""))*10/2,0),IF('Eval-Avant impact'!$A$777=A13,LEN(SUBSTITUTE((SUBSTITUTE(Z25,"TF","")),"TM",""))*10/2,0),IF('Eval-Avant impact'!$A$778=A13,LEN(SUBSTITUTE((SUBSTITUTE(Z26,"TF","")),"TM",""))*10/2,0),IF('Eval-Avant impact'!$A$779=A13,LEN(SUBSTITUTE((SUBSTITUTE(Z27,"TF","")),"TM",""))*10/2,0),IF('Eval-Avant impact'!$A$780=A13,LEN(SUBSTITUTE((SUBSTITUTE(Z28,"TF","")),"TM",""))*10/2,0))/COUNTIF('Eval-Avant impact'!$A$761:$A$780,A13),"")</f>
        <v/>
      </c>
      <c r="N13" s="211" t="str">
        <f>IF(COUNTIF('Eval-Avant impact'!$A$761:$A$780,A13)&gt;0,SUM(IF('Eval-Avant impact'!$A$761=A13,LEN(SUBSTITUTE((SUBSTITUTE(AA9,"TM","")),"TS",""))*10/2,0),IF('Eval-Avant impact'!$A$762=A13,LEN(SUBSTITUTE((SUBSTITUTE(AA10,"TM","")),"TS",""))*10/2,0),IF('Eval-Avant impact'!$A$763=A13,LEN(SUBSTITUTE((SUBSTITUTE(AA11,"TM","")),"TS",""))*10/2,0),IF('Eval-Avant impact'!$A$764=A13,LEN(SUBSTITUTE((SUBSTITUTE(AA12,"TM","")),"TS",""))*10/2,0),IF('Eval-Avant impact'!$A$765=A13,LEN(SUBSTITUTE((SUBSTITUTE(AA13,"TM","")),"TS",""))*10/2,0),IF('Eval-Avant impact'!$A$766=A13,LEN(SUBSTITUTE((SUBSTITUTE(AA14,"TM","")),"TS",""))*10/2,0),IF('Eval-Avant impact'!$A$767=A13,LEN(SUBSTITUTE((SUBSTITUTE(AA15,"TM","")),"TS",""))*10/2,0),IF('Eval-Avant impact'!$A$768=A13,LEN(SUBSTITUTE((SUBSTITUTE(AA16,"TM","")),"TS",""))*10/2,0),IF('Eval-Avant impact'!$A$769=A13,LEN(SUBSTITUTE((SUBSTITUTE(AA17,"TM","")),"TS",""))*10/2,0),IF('Eval-Avant impact'!$A$770=A13,LEN(SUBSTITUTE((SUBSTITUTE(AA18,"TM","")),"TS",""))*10/2,0),IF('Eval-Avant impact'!$A$771=A13,LEN(SUBSTITUTE((SUBSTITUTE(AA19,"TM","")),"TS",""))*10/2,0),IF('Eval-Avant impact'!$A$772=A13,LEN(SUBSTITUTE((SUBSTITUTE(AA20,"TM","")),"TS",""))*10/2,0),IF('Eval-Avant impact'!$A$773=A13,LEN(SUBSTITUTE((SUBSTITUTE(AA21,"TM","")),"TS",""))*10/2,0),IF('Eval-Avant impact'!$A$774=A13,LEN(SUBSTITUTE((SUBSTITUTE(AA22,"TM","")),"TS",""))*10/2,0),IF('Eval-Avant impact'!$A$775=A13,LEN(SUBSTITUTE((SUBSTITUTE(AA23,"TM","")),"TS",""))*10/2,0),IF('Eval-Avant impact'!$A$776=A13,LEN(SUBSTITUTE((SUBSTITUTE(AA24,"TM","")),"TS",""))*10/2,0),IF('Eval-Avant impact'!$A$777=A13,LEN(SUBSTITUTE((SUBSTITUTE(AA25,"TM","")),"TS",""))*10/2,0),IF('Eval-Avant impact'!$A$778=A13,LEN(SUBSTITUTE((SUBSTITUTE(AA26,"TM","")),"TS",""))*10/2,0),IF('Eval-Avant impact'!$A$779=A13,LEN(SUBSTITUTE((SUBSTITUTE(AA27,"TM","")),"TS",""))*10/2,0),IF('Eval-Avant impact'!$A$780=A13,LEN(SUBSTITUTE((SUBSTITUTE(AA28,"TM","")),"TS",""))*10/2,0))/COUNTIF('Eval-Avant impact'!$A$761:$A$780,A13),"")</f>
        <v/>
      </c>
      <c r="O13" s="211" t="str">
        <f>IF(COUNTIF('Eval-Avant impact'!$A$761:$A$780,A13)&gt;0,SUM(IF('Eval-Avant impact'!$A$761=A13,LEN(SUBSTITUTE((SUBSTITUTE(AA9,"TF","")),"TS",""))*10/2,0),IF('Eval-Avant impact'!$A$762=A13,LEN(SUBSTITUTE((SUBSTITUTE(AA10,"TF","")),"TS",""))*10/2,0),IF('Eval-Avant impact'!$A$763=A13,LEN(SUBSTITUTE((SUBSTITUTE(AA11,"TF","")),"TS",""))*10/2,0),IF('Eval-Avant impact'!$A$764=A13,LEN(SUBSTITUTE((SUBSTITUTE(AA12,"TF","")),"TS",""))*10/2,0),IF('Eval-Avant impact'!$A$765=A13,LEN(SUBSTITUTE((SUBSTITUTE(AA13,"TF","")),"TS",""))*10/2,0),IF('Eval-Avant impact'!$A$766=A13,LEN(SUBSTITUTE((SUBSTITUTE(AA14,"TF","")),"TS",""))*10/2,0),IF('Eval-Avant impact'!$A$767=A13,LEN(SUBSTITUTE((SUBSTITUTE(AA15,"TF","")),"TS",""))*10/2,0),IF('Eval-Avant impact'!$A$768=A13,LEN(SUBSTITUTE((SUBSTITUTE(AA16,"TF","")),"TS",""))*10/2,0),IF('Eval-Avant impact'!$A$769=A13,LEN(SUBSTITUTE((SUBSTITUTE(AA17,"TF","")),"TS",""))*10/2,0),IF('Eval-Avant impact'!$A$770=A13,LEN(SUBSTITUTE((SUBSTITUTE(AA18,"TF","")),"TS",""))*10/2,0),IF('Eval-Avant impact'!$A$771=A13,LEN(SUBSTITUTE((SUBSTITUTE(AA19,"TF","")),"TS",""))*10/2,0),IF('Eval-Avant impact'!$A$772=A13,LEN(SUBSTITUTE((SUBSTITUTE(AA20,"TF","")),"TS",""))*10/2,0),IF('Eval-Avant impact'!$A$773=A13,LEN(SUBSTITUTE((SUBSTITUTE(AA21,"TF","")),"TS",""))*10/2,0),IF('Eval-Avant impact'!$A$774=A13,LEN(SUBSTITUTE((SUBSTITUTE(AA22,"TF","")),"TS",""))*10/2,0),IF('Eval-Avant impact'!$A$775=A13,LEN(SUBSTITUTE((SUBSTITUTE(AA23,"TF","")),"TS",""))*10/2,0),IF('Eval-Avant impact'!$A$776=A13,LEN(SUBSTITUTE((SUBSTITUTE(AA24,"TF","")),"TS",""))*10/2,0),IF('Eval-Avant impact'!$A$777=A13,LEN(SUBSTITUTE((SUBSTITUTE(AA25,"TF","")),"TS",""))*10/2,0),IF('Eval-Avant impact'!$A$778=A13,LEN(SUBSTITUTE((SUBSTITUTE(AA26,"TF","")),"TS",""))*10/2,0),IF('Eval-Avant impact'!$A$779=A13,LEN(SUBSTITUTE((SUBSTITUTE(AA27,"TF","")),"TS",""))*10/2,0),IF('Eval-Avant impact'!$A$780=A13,LEN(SUBSTITUTE((SUBSTITUTE(AA28,"TF","")),"TS",""))*10/2,0))/COUNTIF('Eval-Avant impact'!$A$761:$A$780,A13),"")</f>
        <v/>
      </c>
      <c r="P13" s="211" t="str">
        <f>IF(COUNTIF('Eval-Avant impact'!$A$761:$A$780,A13)&gt;0,SUM(IF('Eval-Avant impact'!$A$761=A13,LEN(SUBSTITUTE((SUBSTITUTE(AA9,"TF","")),"TM",""))*10/2,0),IF('Eval-Avant impact'!$A$762=A13,LEN(SUBSTITUTE((SUBSTITUTE(AA10,"TF","")),"TM",""))*10/2,0),IF('Eval-Avant impact'!$A$763=A13,LEN(SUBSTITUTE((SUBSTITUTE(AA11,"TF","")),"TM",""))*10/2,0),IF('Eval-Avant impact'!$A$764=A13,LEN(SUBSTITUTE((SUBSTITUTE(AA12,"TF","")),"TM",""))*10/2,0),IF('Eval-Avant impact'!$A$765=A13,LEN(SUBSTITUTE((SUBSTITUTE(AA13,"TF","")),"TM",""))*10/2,0),IF('Eval-Avant impact'!$A$766=A13,LEN(SUBSTITUTE((SUBSTITUTE(AA14,"TF","")),"TM",""))*10/2,0),IF('Eval-Avant impact'!$A$767=A13,LEN(SUBSTITUTE((SUBSTITUTE(AA15,"TF","")),"TM",""))*10/2,0),IF('Eval-Avant impact'!$A$768=A13,LEN(SUBSTITUTE((SUBSTITUTE(AA16,"TF","")),"TM",""))*10/2,0),IF('Eval-Avant impact'!$A$769=A13,LEN(SUBSTITUTE((SUBSTITUTE(AA17,"TF","")),"TM",""))*10/2,0),IF('Eval-Avant impact'!$A$770=A13,LEN(SUBSTITUTE((SUBSTITUTE(AA18,"TF","")),"TM",""))*10/2,0),IF('Eval-Avant impact'!$A$771=A13,LEN(SUBSTITUTE((SUBSTITUTE(AA19,"TF","")),"TM",""))*10/2,0),IF('Eval-Avant impact'!$A$772=A13,LEN(SUBSTITUTE((SUBSTITUTE(AA20,"TF","")),"TM",""))*10/2,0),IF('Eval-Avant impact'!$A$773=A13,LEN(SUBSTITUTE((SUBSTITUTE(AA21,"TF","")),"TM",""))*10/2,0),IF('Eval-Avant impact'!$A$774=A13,LEN(SUBSTITUTE((SUBSTITUTE(AA22,"TF","")),"TM",""))*10/2,0),IF('Eval-Avant impact'!$A$775=A13,LEN(SUBSTITUTE((SUBSTITUTE(AA23,"TF","")),"TM",""))*10/2,0),IF('Eval-Avant impact'!$A$776=A13,LEN(SUBSTITUTE((SUBSTITUTE(AA24,"TF","")),"TM",""))*10/2,0),IF('Eval-Avant impact'!$A$777=A13,LEN(SUBSTITUTE((SUBSTITUTE(AA25,"TF","")),"TM",""))*10/2,0),IF('Eval-Avant impact'!$A$778=A13,LEN(SUBSTITUTE((SUBSTITUTE(AA26,"TF","")),"TM",""))*10/2,0),IF('Eval-Avant impact'!$A$779=A13,LEN(SUBSTITUTE((SUBSTITUTE(AA27,"TF","")),"TM",""))*10/2,0),IF('Eval-Avant impact'!$A$780=A13,LEN(SUBSTITUTE((SUBSTITUTE(AA28,"TF","")),"TM",""))*10/2,0))/COUNTIF('Eval-Avant impact'!$A$761:$A$780,A13),"")</f>
        <v/>
      </c>
      <c r="Q13" s="211" t="str">
        <f>IF(COUNTIF('Eval-Avant impact'!$A$761:$A$780,A13)&gt;0,IF(OR(AND('Eval-Avant impact'!$A$761=A13,X9&lt;30),AND('Eval-Avant impact'!$A$762=A13,X10&lt;30),AND('Eval-Avant impact'!$A$763=A13,X11&lt;30),AND('Eval-Avant impact'!$A$764=A13,X12&lt;30),AND('Eval-Avant impact'!$A$765=A13,X13&lt;30),AND('Eval-Avant impact'!$A$766=A13,X14&lt;30),AND('Eval-Avant impact'!$A$767=A13,X15&lt;30),AND('Eval-Avant impact'!$A$768=A13,X16&lt;30),AND('Eval-Avant impact'!$A$769=A13,X17&lt;30),AND('Eval-Avant impact'!$A$770=A13,X18&lt;30),AND('Eval-Avant impact'!$A$771=A13,X19&lt;30),AND('Eval-Avant impact'!$A$772=A13,X20&lt;30),AND('Eval-Avant impact'!$A$773=A13,X21&lt;30),AND('Eval-Avant impact'!$A$774=A13,X22&lt;30),AND('Eval-Avant impact'!$A$775=A13,X23&lt;30),AND('Eval-Avant impact'!$A$776=A13,X24&lt;30),AND('Eval-Avant impact'!$A$777=A13,X25&lt;30),AND('Eval-Avant impact'!$A$778=A13,X26&lt;30),AND('Eval-Avant impact'!$A$779=A13,X27&lt;30),AND('Eval-Avant impact'!$A$780=A13,X28&lt;30)),"",SUM(0.1*(SUMPRODUCT(('Eval-Avant impact'!$A$761:$A$780=A13)*('Eval-Avant impact'!$N$761:$P$780="A"))+ SUMPRODUCT(('Eval-Avant impact'!$A$761:$A$780=A13)*('Eval-Avant impact'!$N$761:$P$780="AL"))),0.7*(SUMPRODUCT(('Eval-Avant impact'!$A$761:$A$780=A13)*('Eval-Avant impact'!$N$761:$P$780="TF"))+SUMPRODUCT(('Eval-Avant impact'!$A$761:$A$780=A13)*('Eval-Avant impact'!$N$761:$P$780="TM"))+SUMPRODUCT(('Eval-Avant impact'!$A$761:$A$780=A13)*('Eval-Avant impact'!$N$761:$P$780="TS"))),0.4*(SUMPRODUCT(('Eval-Avant impact'!$A$761:$A$780=A13)*('Eval-Avant impact'!$N$761:$P$780="LA"))+SUMPRODUCT(('Eval-Avant impact'!$A$761:$A$780=A13)*('Eval-Avant impact'!$N$761:$P$780="L"))+SUMPRODUCT(('Eval-Avant impact'!$A$761:$A$780=A13)*('Eval-Avant impact'!$N$761:$P$780="LS"))),1*(SUMPRODUCT(('Eval-Avant impact'!$A$761:$A$780=A13)*('Eval-Avant impact'!$N$761:$P$780="SL"))+ SUMPRODUCT(('Eval-Avant impact'!$A$761:$A$780=A13)*('Eval-Avant impact'!$N$761:$P$780="S"))))/(3*COUNTIF('Eval-Avant impact'!$A$761:$A$780,A13))),"")</f>
        <v/>
      </c>
      <c r="R13" s="211" t="str">
        <f>IF(COUNTIF('Eval-Avant impact'!$A$761:$A$780,A13)&gt;0,IF(OR(AND('Eval-Avant impact'!$A$761=A13,X9&lt;120),AND('Eval-Avant impact'!$A$762=A13,X10&lt;120),AND('Eval-Avant impact'!$A$763=A13,X11&lt;120),AND('Eval-Avant impact'!$A$764=A13,X12&lt;120),AND('Eval-Avant impact'!$A$765=A13,X13&lt;120),AND('Eval-Avant impact'!$A$766=A13,X14&lt;120),AND('Eval-Avant impact'!$A$767=A13,X15&lt;120),AND('Eval-Avant impact'!$A$768=A13,X16&lt;120),AND('Eval-Avant impact'!$A$769=A13,X17&lt;120),AND('Eval-Avant impact'!$A$770=A13,X18&lt;120),AND('Eval-Avant impact'!$A$771=A13,X19&lt;120),AND('Eval-Avant impact'!$A$772=A13,X20&lt;120),AND('Eval-Avant impact'!$A$773=A13,X21&lt;120),AND('Eval-Avant impact'!$A$774=A13,X22&lt;120),AND('Eval-Avant impact'!$A$775=A13,X23&lt;120),AND('Eval-Avant impact'!$A$776=A13,X24&lt;120),AND('Eval-Avant impact'!$A$777=A13,X25&lt;120),AND('Eval-Avant impact'!$A$778=A13,X26&lt;120),AND('Eval-Avant impact'!$A$779=A13,X27&lt;120),AND('Eval-Avant impact'!$A$780=A13,X28&lt;120)),"",SUM(0.1*(SUMPRODUCT(('Eval-Avant impact'!$A$761:$A$780=A13)*('Eval-Avant impact'!$Q$761:$Y$780="A"))+ SUMPRODUCT(('Eval-Avant impact'!$A$761:$A$780=A13)*('Eval-Avant impact'!$Q$761:$Y$780="AL"))),0.7*(SUMPRODUCT(('Eval-Avant impact'!$A$761:$A$780=A13)*('Eval-Avant impact'!$Q$761:$Y$780="TF"))+SUMPRODUCT(('Eval-Avant impact'!$A$761:$A$780=A13)*('Eval-Avant impact'!$Q$761:$Y$780="TM"))+SUMPRODUCT(('Eval-Avant impact'!$A$761:$A$780=A13)*('Eval-Avant impact'!$Q$761:$Y$780="TS"))),0.4*(SUMPRODUCT(('Eval-Avant impact'!$A$761:$A$780=A13)*('Eval-Avant impact'!$Q$761:$Y$780="LA"))+SUMPRODUCT(('Eval-Avant impact'!$A$761:$A$780=A13)*('Eval-Avant impact'!$Q$761:$Y$780="L"))+SUMPRODUCT(('Eval-Avant impact'!$A$761:$A$780=A13)*('Eval-Avant impact'!$Q$761:$Y$780="LS"))),1*(SUMPRODUCT(('Eval-Avant impact'!$A$761:$A$780=A13)*('Eval-Avant impact'!$Q$761:$Y$780="SL"))+ SUMPRODUCT(('Eval-Avant impact'!$A$761:$A$780=A13)*('Eval-Avant impact'!$Q$761:$Y$780="S"))))/(9*COUNTIF('Eval-Avant impact'!$A$761:$A$780,A13))),"")</f>
        <v/>
      </c>
      <c r="S13" s="211" t="str">
        <f>IF(COUNTIF('Eval-Avant impact'!$A$761:$A$780,A13)&gt;0,IF(OR(AND('Eval-Avant impact'!$A$761=A13,OR(COUNTIF('Eval-Avant impact'!$N$761:$P$761,"*T*")&gt;0,X9&lt;30)),AND('Eval-Avant impact'!$A$762=A13,OR(COUNTIF('Eval-Avant impact'!$N$762:$P$762,"*T*")&gt;0,X10&lt;30)),AND('Eval-Avant impact'!$A$763=A13,OR(COUNTIF('Eval-Avant impact'!$N$763:$P$763,"*T*")&gt;0,X11&lt;30)),AND('Eval-Avant impact'!$A$764=A13,OR(COUNTIF('Eval-Avant impact'!$N$764:$P$764,"*T*")&gt;0,X12&lt;30)),AND('Eval-Avant impact'!$A$765=A13,OR(COUNTIF('Eval-Avant impact'!$N$765:$P$765,"*T*")&gt;0,X13&lt;30)),AND('Eval-Avant impact'!$A$766=A13,OR(COUNTIF('Eval-Avant impact'!$N$766:$P$766,"*T*")&gt;0,X14&lt;30)),AND('Eval-Avant impact'!$A$767=A13,OR(COUNTIF('Eval-Avant impact'!$N$767:$P$767,"*T*")&gt;0,X15&lt;30)),AND('Eval-Avant impact'!$A$768=A13,OR(COUNTIF('Eval-Avant impact'!$N$768:$P$768,"*T*")&gt;0,X16&lt;30)),AND('Eval-Avant impact'!$A$769=A13,OR(COUNTIF('Eval-Avant impact'!$N$769:$P$769,"*T*")&gt;0,X17&lt;30)),AND('Eval-Avant impact'!$A$770=A13,OR(COUNTIF('Eval-Avant impact'!$N$770:$P$770,"*T*")&gt;0,X18&lt;30)),AND('Eval-Avant impact'!$A$771=A13,OR(COUNTIF('Eval-Avant impact'!$N$771:$P$771,"*T*")&gt;0,X19&lt;30)),AND('Eval-Avant impact'!$A$772=A13,OR(COUNTIF('Eval-Avant impact'!$N$772:$P$772,"*T*")&gt;0,X20&lt;30)),AND('Eval-Avant impact'!$A$773=A13,OR(COUNTIF('Eval-Avant impact'!$N$773:$P$773,"*T*")&gt;0,X21&lt;30)),AND('Eval-Avant impact'!$A$774=A13,OR(COUNTIF('Eval-Avant impact'!$N$774:$P$774,"*T*")&gt;0,X22&lt;30)),AND('Eval-Avant impact'!$A$775=A13,OR(COUNTIF('Eval-Avant impact'!$N$775:$P$775,"*T*")&gt;0,X23&lt;30)),AND('Eval-Avant impact'!$A$776=A13,OR(COUNTIF('Eval-Avant impact'!$N$776:$P$776,"*T*")&gt;0,X24&lt;30)),AND('Eval-Avant impact'!$A$777=A13,OR(COUNTIF('Eval-Avant impact'!$N$777:$P$777,"*T*")&gt;0,X25&lt;30)),AND('Eval-Avant impact'!$A$778=A13,OR(COUNTIF('Eval-Avant impact'!$N$778:$P$778,"*T*")&gt;0,X26&lt;30)),AND('Eval-Avant impact'!$A$779=A13,OR(COUNTIF('Eval-Avant impact'!$N$779:$P$779,"*T*")&gt;0,X27&lt;30)),AND('Eval-Avant impact'!$A$780=A13,OR(COUNTIF('Eval-Avant impact'!$N$780:$P$780,"*T*")&gt;0,X28&lt;30))),"",SUM(0.1*(SUMPRODUCT(('Eval-Avant impact'!$A$761:$A$780=A13)*('Eval-Avant impact'!$N$761:$P$780="L"))),0.4*(SUMPRODUCT(('Eval-Avant impact'!$A$761:$A$780=A13)*('Eval-Avant impact'!$N$761:$P$780="LA"))+SUMPRODUCT(('Eval-Avant impact'!$A$761:$A$780=A13)*('Eval-Avant impact'!$N$761:$P$780="LS"))),0.7*(SUMPRODUCT(('Eval-Avant impact'!$A$761:$A$780=A13)*('Eval-Avant impact'!$N$761:$P$780="AL"))+SUMPRODUCT(('Eval-Avant impact'!$A$761:$A$780=A13)*('Eval-Avant impact'!$N$761:$P$780="SL"))),1*(SUMPRODUCT(('Eval-Avant impact'!$A$761:$A$780=A13)*('Eval-Avant impact'!$N$761:$P$780="S"))+ SUMPRODUCT(('Eval-Avant impact'!$A$761:$A$780=A13)*('Eval-Avant impact'!$N$761:$P$780="A"))))/(3*COUNTIF('Eval-Avant impact'!$A$761:$A$780,A13))),"")</f>
        <v/>
      </c>
      <c r="T13" s="211" t="str">
        <f>IF(COUNTIF('Eval-Avant impact'!$A$761:$A$780,A13)&gt;0,IF(OR(AND('Eval-Avant impact'!$A$761=A13,OR(COUNTIF('Eval-Avant impact'!$N$761:$P$761,"*T*")&gt;0,X9&lt;30)),AND('Eval-Avant impact'!$A$762=A13,OR(COUNTIF('Eval-Avant impact'!$N$762:$P$762,"*T*")&gt;0,X10&lt;30)),AND('Eval-Avant impact'!$A$763=A13,OR(COUNTIF('Eval-Avant impact'!$N$763:$P$763,"*T*")&gt;0,X11&lt;30)),AND('Eval-Avant impact'!$A$764=A13,OR(COUNTIF('Eval-Avant impact'!$N$764:$P$764,"*T*")&gt;0,X12&lt;30)),AND('Eval-Avant impact'!$A$765=A13,OR(COUNTIF('Eval-Avant impact'!$N$765:$P$765,"*T*")&gt;0,X13&lt;30)),AND('Eval-Avant impact'!$A$766=A13,OR(COUNTIF('Eval-Avant impact'!$N$766:$P$766,"*T*")&gt;0,X14&lt;30)),AND('Eval-Avant impact'!$A$767=A13,OR(COUNTIF('Eval-Avant impact'!$N$767:$P$767,"*T*")&gt;0,X15&lt;30)),AND('Eval-Avant impact'!$A$768=A13,OR(COUNTIF('Eval-Avant impact'!$N$768:$P$768,"*T*")&gt;0,X16&lt;30)),AND('Eval-Avant impact'!$A$769=A13,OR(COUNTIF('Eval-Avant impact'!$N$769:$P$769,"*T*")&gt;0,X17&lt;30)),AND('Eval-Avant impact'!$A$770=A13,OR(COUNTIF('Eval-Avant impact'!$N$770:$P$770,"*T*")&gt;0,X18&lt;30)),AND('Eval-Avant impact'!$A$771=A13,OR(COUNTIF('Eval-Avant impact'!$N$771:$P$771,"*T*")&gt;0,X19&lt;30)),AND('Eval-Avant impact'!$A$772=A13,OR(COUNTIF('Eval-Avant impact'!$N$772:$P$772,"*T*")&gt;0,X20&lt;30)),AND('Eval-Avant impact'!$A$773=A13,OR(COUNTIF('Eval-Avant impact'!$N$773:$P$773,"*T*")&gt;0,X21&lt;30)),AND('Eval-Avant impact'!$A$774=A13,OR(COUNTIF('Eval-Avant impact'!$N$774:$P$774,"*T*")&gt;0,X22&lt;30)),AND('Eval-Avant impact'!$A$775=A13,OR(COUNTIF('Eval-Avant impact'!$N$775:$P$775,"*T*")&gt;0,X23&lt;30)),AND('Eval-Avant impact'!$A$776=A13,OR(COUNTIF('Eval-Avant impact'!$N$776:$P$776,"*T*")&gt;0,X24&lt;30)),AND('Eval-Avant impact'!$A$777=A13,OR(COUNTIF('Eval-Avant impact'!$N$777:$P$777,"*T*")&gt;0,X25&lt;30)),AND('Eval-Avant impact'!$A$778=A13,OR(COUNTIF('Eval-Avant impact'!$N$778:$P$778,"*T*")&gt;0,X26&lt;30)),AND('Eval-Avant impact'!$A$779=A13,OR(COUNTIF('Eval-Avant impact'!$N$779:$P$779,"*T*")&gt;0,X27&lt;30)),AND('Eval-Avant impact'!$A$780=A13,OR(COUNTIF('Eval-Avant impact'!$N$780:$P$780,"*T*")&gt;0,X28&lt;30))),"",SUM(1*(SUMPRODUCT(('Eval-Avant impact'!$A$761:$A$780=A13)*('Eval-Avant impact'!$N$761:$P$780="A"))),0.85*(SUMPRODUCT(('Eval-Avant impact'!$A$761:$A$780=A13)*('Eval-Avant impact'!$N$761:$P$780="AL"))),0.7*(SUMPRODUCT(('Eval-Avant impact'!$A$761:$A$780=A13)*('Eval-Avant impact'!$N$761:$P$780="LA"))),0.55*(SUMPRODUCT(('Eval-Avant impact'!$A$761:$A$780=A13)*('Eval-Avant impact'!$N$761:$P$780="L"))),0.4*(SUMPRODUCT(('Eval-Avant impact'!$A$761:$A$780=A13)*('Eval-Avant impact'!$N$761:$P$780="LS"))),0.25*(SUMPRODUCT(('Eval-Avant impact'!$A$761:$A$780=A13)*('Eval-Avant impact'!$N$761:$P$780="SL"))),0.1*(SUMPRODUCT(('Eval-Avant impact'!$A$761:$A$780=A13)*('Eval-Avant impact'!$N$761:$P$780="S"))))/(3*COUNTIF('Eval-Avant impact'!$A$761:$A$780,A13))),"")</f>
        <v/>
      </c>
      <c r="U13" s="214" t="str">
        <f>IF(COUNTIF('Eval-Avant impact'!$A$761:$A$780,A13)&gt;0,IF(OR(AND('Eval-Avant impact'!$A$761=A13,OR(COUNTIF('Eval-Avant impact'!$Q$761:$Y$761,"*T*")&gt;0,X9&lt;120)),AND('Eval-Avant impact'!$A$762=A13,OR(COUNTIF('Eval-Avant impact'!$Q$762:$Y$762,"*T*")&gt;0,X10&lt;120)),AND('Eval-Avant impact'!$A$763=A13,OR(COUNTIF('Eval-Avant impact'!$Q$763:$Y$763,"*T*")&gt;0,X11&lt;120)),AND('Eval-Avant impact'!$A$764=A13,OR(COUNTIF('Eval-Avant impact'!$Q$764:$Y$764,"*T*")&gt;0,X12&lt;120)),AND('Eval-Avant impact'!$A$765=A13,OR(COUNTIF('Eval-Avant impact'!$Q$765:$Y$765,"*T*")&gt;0,X13&lt;120)),AND('Eval-Avant impact'!$A$766=A13,OR(COUNTIF('Eval-Avant impact'!$Q$766:$Y$766,"*T*")&gt;0,X14&lt;120)),AND('Eval-Avant impact'!$A$767=A13,OR(COUNTIF('Eval-Avant impact'!$Q$767:$Y$767,"*T*")&gt;0,X15&lt;120)),AND('Eval-Avant impact'!$A$768=A13,OR(COUNTIF('Eval-Avant impact'!$Q$768:$Y$768,"*T*")&gt;0,X16&lt;120)),AND('Eval-Avant impact'!$A$769=A13,OR(COUNTIF('Eval-Avant impact'!$Q$769:$Y$769,"*T*")&gt;0,X17&lt;120)),AND('Eval-Avant impact'!$A$770=A13,OR(COUNTIF('Eval-Avant impact'!$Q$770:$Y$770,"*T*")&gt;0,X18&lt;120)),AND('Eval-Avant impact'!$A$771=A13,OR(COUNTIF('Eval-Avant impact'!$Q$771:$Y$771,"*T*")&gt;0,X19&lt;120)),AND('Eval-Avant impact'!$A$772=A13,OR(COUNTIF('Eval-Avant impact'!$Q$772:$Y$772,"*T*")&gt;0,X20&lt;120)),AND('Eval-Avant impact'!$A$773=A13,OR(COUNTIF('Eval-Avant impact'!$Q$773:$Y$773,"*T*")&gt;0,X21&lt;120)),AND('Eval-Avant impact'!$A$774=A13,OR(COUNTIF('Eval-Avant impact'!$Q$774:$Y$774,"*T*")&gt;0,X22&lt;120)),AND('Eval-Avant impact'!$A$775=A13,OR(COUNTIF('Eval-Avant impact'!$Q$775:$Y$775,"*T*")&gt;0,X23&lt;120)),AND('Eval-Avant impact'!$A$776=A13,OR(COUNTIF('Eval-Avant impact'!$Q$776:$Y$776,"*T*")&gt;0,X24&lt;120)),AND('Eval-Avant impact'!$A$777=A13,OR(COUNTIF('Eval-Avant impact'!$Q$777:$Y$777,"*T*")&gt;0,X25&lt;120)),AND('Eval-Avant impact'!$A$778=A13,OR(COUNTIF('Eval-Avant impact'!$Q$778:$Y$778,"*T*")&gt;0,X26&lt;120)),AND('Eval-Avant impact'!$A$779=A13,OR(COUNTIF('Eval-Avant impact'!$Q$779:$Y$779,"*T*")&gt;0,X27&lt;120)),AND('Eval-Avant impact'!$A$780=A13,OR(COUNTIF('Eval-Avant impact'!$Q$780:$Y$780,"*T*")&gt;0,X28&lt;120))),"",SUM(1*(SUMPRODUCT(('Eval-Avant impact'!$A$761:$A$780=A13)*('Eval-Avant impact'!$Q$761:$Y$780="A"))),0.85*(SUMPRODUCT(('Eval-Avant impact'!$A$761:$A$780=A13)*('Eval-Avant impact'!$Q$761:$Y$780="AL"))),0.7*(SUMPRODUCT(('Eval-Avant impact'!$A$761:$A$780=A13)*('Eval-Avant impact'!$Q$761:$Y$780="LA"))),0.55*(SUMPRODUCT(('Eval-Avant impact'!$A$761:$A$780=A13)*('Eval-Avant impact'!$Q$761:$Y$780="L"))),0.4*(SUMPRODUCT(('Eval-Avant impact'!$A$761:$A$780=A13)*('Eval-Avant impact'!$Q$761:$Y$780="LS"))),0.25*(SUMPRODUCT(('Eval-Avant impact'!$A$761:$A$780=A13)*('Eval-Avant impact'!$Q$761:$Y$780="SL"))),0.1*(SUMPRODUCT(('Eval-Avant impact'!$A$761:$A$780=A13)*('Eval-Avant impact'!$Q$761:$Y$780="S"))))/(9*COUNTIF('Eval-Avant impact'!$A$761:$A$780,A13))),"")</f>
        <v/>
      </c>
      <c r="V13" s="215"/>
      <c r="W13" s="216">
        <f>'Eval-Avant impact'!$D$765</f>
        <v>5</v>
      </c>
      <c r="X13" s="217" t="str">
        <f>IF(Y13="C",0,IF(IF(COUNTIF('Eval-Avant impact'!$N$765:$Y$765,"=C")&gt;0,(COUNTA('Eval-Avant impact'!$N$765:$Y$765)-1)*10,COUNTA('Eval-Avant impact'!$N$765:$Y$765)*10)=0,"",IF(COUNTIF('Eval-Avant impact'!$N$765:$Y$765,"=C")&gt;0,(COUNTA('Eval-Avant impact'!$N$765:$Y$765)-1)*10,COUNTA('Eval-Avant impact'!$N$765:$Y$765)*10)))</f>
        <v/>
      </c>
      <c r="Y13" s="217" t="str">
        <f>CONCATENATE('Eval-Avant impact'!$N$765,'Eval-Avant impact'!$O$765,'Eval-Avant impact'!$P$765,'Eval-Avant impact'!$Q$765,'Eval-Avant impact'!$R$765,'Eval-Avant impact'!$S$765,'Eval-Avant impact'!$T$765,'Eval-Avant impact'!$U$765,'Eval-Avant impact'!$V$765,'Eval-Avant impact'!$W$765,'Eval-Avant impact'!$X$765,'Eval-Avant impact'!$Y$765)</f>
        <v/>
      </c>
      <c r="Z13" s="217" t="str">
        <f t="shared" si="0"/>
        <v/>
      </c>
      <c r="AA13" s="217" t="str">
        <f t="shared" si="1"/>
        <v/>
      </c>
      <c r="AB13" s="217" t="str">
        <f>IF(COUNTIF('Eval-Avant impact'!$N$765:$Y$765,"=C")&gt;0,"X","")</f>
        <v/>
      </c>
      <c r="AC13" s="217" t="str">
        <f t="shared" si="2"/>
        <v/>
      </c>
      <c r="AD13" s="218" t="str">
        <f t="shared" si="3"/>
        <v/>
      </c>
      <c r="AE13" s="197"/>
      <c r="AG13" s="210">
        <v>5</v>
      </c>
      <c r="AH13" s="211" t="str">
        <f>IF(COUNTIF('Eval-Avec impact envisagé'!$A$761:$A$780,AG13)&gt;0,SUM(IF('Eval-Avec impact envisagé'!$A$761=AG13,'Eval-Avec impact envisagé'!$B$761,0),IF('Eval-Avec impact envisagé'!$A$762=AG13, 'Eval-Avec impact envisagé'!$B$762,0),IF('Eval-Avec impact envisagé'!$A$763=AG13, 'Eval-Avec impact envisagé'!$B$763,0),IF('Eval-Avec impact envisagé'!$A$764=AG13, 'Eval-Avec impact envisagé'!$B$764,0),IF('Eval-Avec impact envisagé'!$A$765=AG13, 'Eval-Avec impact envisagé'!$B$765,0),IF('Eval-Avec impact envisagé'!$A$766=AG13, 'Eval-Avec impact envisagé'!$B$766,0),IF('Eval-Avec impact envisagé'!$A$767=AG13, 'Eval-Avec impact envisagé'!$B$767,0),IF('Eval-Avec impact envisagé'!$A$768=AG13, 'Eval-Avec impact envisagé'!$B$768,0),IF('Eval-Avec impact envisagé'!$A$769=AG13, 'Eval-Avec impact envisagé'!$B$769,0),IF('Eval-Avec impact envisagé'!$A$770=AG13, 'Eval-Avec impact envisagé'!$B$770,0),IF('Eval-Avec impact envisagé'!$A$771=AG13, 'Eval-Avec impact envisagé'!$B$771,0),IF('Eval-Avec impact envisagé'!$A$772=AG13, 'Eval-Avec impact envisagé'!$B$772,0),IF('Eval-Avec impact envisagé'!$A$773=AG13, 'Eval-Avec impact envisagé'!$B$773,0),IF('Eval-Avec impact envisagé'!$A$774=AG13, 'Eval-Avec impact envisagé'!$B$774,0),IF('Eval-Avec impact envisagé'!$A$775=AG13, 'Eval-Avec impact envisagé'!$B$775,0),IF('Eval-Avec impact envisagé'!$A$776=AG13, 'Eval-Avec impact envisagé'!$B$776,0),IF('Eval-Avec impact envisagé'!$A$777=AG13, 'Eval-Avec impact envisagé'!$B$777,0),IF('Eval-Avec impact envisagé'!$A$778=AG13, 'Eval-Avec impact envisagé'!$B$778,0),IF('Eval-Avec impact envisagé'!$A$779=AG13, 'Eval-Avec impact envisagé'!$B$779,0),IF('Eval-Avec impact envisagé'!$A$780=AG13, 'Eval-Avec impact envisagé'!$B$780,0))/COUNTIF('Eval-Avec impact envisagé'!$A$761:$A$780,AG13),"")</f>
        <v/>
      </c>
      <c r="AI13" s="212" t="str">
        <f>IF(COUNTIF('Eval-Avec impact envisagé'!$A$761:$A$780,AG13)&gt;0,COUNTIF('Eval-Avec impact envisagé'!$A$761:$A$780,AG13),"")</f>
        <v/>
      </c>
      <c r="AJ13" s="211" t="str">
        <f>IF(COUNTIF('Eval-Avec impact envisagé'!$A$761:$A$780,AG13)&gt;0,IF(OR(AND('Eval-Avec impact envisagé'!$A$761=AG13, 'Eval-Avec impact envisagé'!$G$761=""),AND('Eval-Avec impact envisagé'!$A$762=AG13, 'Eval-Avec impact envisagé'!$G$762=""),AND('Eval-Avec impact envisagé'!$A$763=AG13, 'Eval-Avec impact envisagé'!$G$763=""),AND('Eval-Avec impact envisagé'!$A$764=AG13, 'Eval-Avec impact envisagé'!$G$764=""),AND('Eval-Avec impact envisagé'!$A$765=AG13, 'Eval-Avec impact envisagé'!$G$765=""),AND('Eval-Avec impact envisagé'!$A$766=AG13, 'Eval-Avec impact envisagé'!$G$766=""),AND('Eval-Avec impact envisagé'!$A$767=AG13, 'Eval-Avec impact envisagé'!$G$767=""),AND('Eval-Avec impact envisagé'!$A$768=AG13, 'Eval-Avec impact envisagé'!$G$768=""),AND('Eval-Avec impact envisagé'!$A$769=AG13, 'Eval-Avec impact envisagé'!$G$769=""),AND('Eval-Avec impact envisagé'!$A$770=AG13, 'Eval-Avec impact envisagé'!$G$770=""),AND('Eval-Avec impact envisagé'!$A$771=AG13, 'Eval-Avec impact envisagé'!$G$771=""),AND('Eval-Avec impact envisagé'!$A$772=AG13, 'Eval-Avec impact envisagé'!$G$772=""),AND('Eval-Avec impact envisagé'!$A$773=AG13, 'Eval-Avec impact envisagé'!$G$773=""),AND('Eval-Avec impact envisagé'!$A$774=AG13, 'Eval-Avec impact envisagé'!$G$774=""),AND('Eval-Avec impact envisagé'!$A$775=AG13, 'Eval-Avec impact envisagé'!$G$775=""),AND('Eval-Avec impact envisagé'!$A$776=AG13, 'Eval-Avec impact envisagé'!$G$776=""),AND('Eval-Avec impact envisagé'!$A$777=AG13, 'Eval-Avec impact envisagé'!$G$777=""),AND('Eval-Avec impact envisagé'!$A$778=AG13, 'Eval-Avec impact envisagé'!$G$778=""),AND('Eval-Avec impact envisagé'!$A$779=AG13, 'Eval-Avec impact envisagé'!$G$779=""),AND('Eval-Avec impact envisagé'!$A$780=AG13, 'Eval-Avec impact envisagé'!$G$780="")),"",SUM(IF('Eval-Avec impact envisagé'!$A$761=AG13,'Eval-Avec impact envisagé'!$G$761,0),IF('Eval-Avec impact envisagé'!$A$762=AG13,'Eval-Avec impact envisagé'!$G$762,0),IF('Eval-Avec impact envisagé'!$A$763=AG13,'Eval-Avec impact envisagé'!$G$763,0),IF('Eval-Avec impact envisagé'!$A$764=AG13,'Eval-Avec impact envisagé'!$G$764,0),IF('Eval-Avec impact envisagé'!$A$765=AG13,'Eval-Avec impact envisagé'!$G$765,0),IF('Eval-Avec impact envisagé'!$A$766=AG13,'Eval-Avec impact envisagé'!$G$766,0),IF('Eval-Avec impact envisagé'!$A$767=AG13,'Eval-Avec impact envisagé'!$G$767,0),IF('Eval-Avec impact envisagé'!$A$768=AG13,'Eval-Avec impact envisagé'!$G$768,0),IF('Eval-Avec impact envisagé'!$A$769=AG13,'Eval-Avec impact envisagé'!$G$769,0),IF('Eval-Avec impact envisagé'!$A$770=AG13,'Eval-Avec impact envisagé'!$G$770,0),IF('Eval-Avec impact envisagé'!$A$771=AG13,'Eval-Avec impact envisagé'!$G$771,0),IF('Eval-Avec impact envisagé'!$A$772=AG13,'Eval-Avec impact envisagé'!$G$772,0),IF('Eval-Avec impact envisagé'!$A$773=AG13,'Eval-Avec impact envisagé'!$G$773,0),IF('Eval-Avec impact envisagé'!$A$774=AG13,'Eval-Avec impact envisagé'!$G$774,0),IF('Eval-Avec impact envisagé'!$A$775=AG13,'Eval-Avec impact envisagé'!$G$775,0), IF('Eval-Avec impact envisagé'!$A$776=AG13,'Eval-Avec impact envisagé'!$G$776,0), IF('Eval-Avec impact envisagé'!$A$777=AG13,'Eval-Avec impact envisagé'!$G$777,0), IF('Eval-Avec impact envisagé'!$A$778=AG13,'Eval-Avec impact envisagé'!$G$778,0), IF('Eval-Avec impact envisagé'!$A$779=AG13,'Eval-Avec impact envisagé'!$G$779,0), IF('Eval-Avec impact envisagé'!$A$780=AG13,'Eval-Avec impact envisagé'!$G$780,0))/ COUNTIF('Eval-Avec impact envisagé'!$A$761:$A$780,AG13)),"")</f>
        <v/>
      </c>
      <c r="AK13" s="212" t="str">
        <f>IF(COUNTIF('Eval-Avec impact envisagé'!$A$761:$A$780,AG13)&gt;0,IF(SUM(IF('Eval-Avec impact envisagé'!$A$761=AG13,COUNTA('Eval-Avec impact envisagé'!$H$761),0),IF('Eval-Avec impact envisagé'!$A$762=AG13,COUNTA('Eval-Avec impact envisagé'!$H$762),0),IF('Eval-Avec impact envisagé'!$A$763=AG13,COUNTA('Eval-Avec impact envisagé'!$H$763),0),IF('Eval-Avec impact envisagé'!$A$764=AG13,COUNTA('Eval-Avec impact envisagé'!$H$764),0),IF('Eval-Avec impact envisagé'!$A$765=AG13,COUNTA('Eval-Avec impact envisagé'!$H$765),0),IF('Eval-Avec impact envisagé'!$A$766=AG13,COUNTA('Eval-Avec impact envisagé'!$H$766),0),IF('Eval-Avec impact envisagé'!$A$767=AG13,COUNTA('Eval-Avec impact envisagé'!$H$767),0),IF('Eval-Avec impact envisagé'!$A$768=AG13,COUNTA('Eval-Avec impact envisagé'!$H$768),0),IF('Eval-Avec impact envisagé'!$A$769=AG13,COUNTA('Eval-Avec impact envisagé'!$H$769),0),IF('Eval-Avec impact envisagé'!$A$770=AG13,COUNTA('Eval-Avec impact envisagé'!$H$770),0),IF('Eval-Avec impact envisagé'!$A$771=AG13,COUNTA('Eval-Avec impact envisagé'!$H$771),0),IF('Eval-Avec impact envisagé'!$A$772=AG13,COUNTA('Eval-Avec impact envisagé'!$H$772),0),IF('Eval-Avec impact envisagé'!$A$773=AG13,COUNTA('Eval-Avec impact envisagé'!$H$773),0),IF('Eval-Avec impact envisagé'!$A$774=AG13,COUNTA('Eval-Avec impact envisagé'!$H$774),0),IF('Eval-Avec impact envisagé'!$A$775=AG13,COUNTA('Eval-Avec impact envisagé'!$H$775),0),IF('Eval-Avec impact envisagé'!$A$776=AG13,COUNTA('Eval-Avec impact envisagé'!$H$776),0),IF('Eval-Avec impact envisagé'!$A$777=AG13,COUNTA('Eval-Avec impact envisagé'!$H$777),0),IF('Eval-Avec impact envisagé'!$A$778=AG13,COUNTA('Eval-Avec impact envisagé'!$H$778),0),IF('Eval-Avec impact envisagé'!$A$779=AG13,COUNTA('Eval-Avec impact envisagé'!$H$779),0),IF('Eval-Avec impact envisagé'!$A$780=AG13,COUNTA('Eval-Avec impact envisagé'!$H$780),0))&gt;0,"X",0),"")</f>
        <v/>
      </c>
      <c r="AL13" s="213" t="str">
        <f>IF(COUNTIF('Eval-Avec impact envisagé'!$A$761:$A$780,AG13)&gt;0,IF(SUM(IF('Eval-Avec impact envisagé'!$A$761=AG13,COUNTA('Eval-Avec impact envisagé'!$I$761),0),IF('Eval-Avec impact envisagé'!$A$762=AG13,COUNTA('Eval-Avec impact envisagé'!$I$762),0),IF('Eval-Avec impact envisagé'!$A$763=AG13,COUNTA('Eval-Avec impact envisagé'!$I$763),0),IF('Eval-Avec impact envisagé'!$A$764=AG13,COUNTA('Eval-Avec impact envisagé'!$I$764),0),IF('Eval-Avec impact envisagé'!$A$765=AG13,COUNTA('Eval-Avec impact envisagé'!$I$765),0),IF('Eval-Avec impact envisagé'!$A$766=AG13,COUNTA('Eval-Avec impact envisagé'!$I$766),0),IF('Eval-Avec impact envisagé'!$A$767=AG13,COUNTA('Eval-Avec impact envisagé'!$I$767),0),IF('Eval-Avec impact envisagé'!$A$768=AG13,COUNTA('Eval-Avec impact envisagé'!$I$768),0),IF('Eval-Avec impact envisagé'!$A$769=AG13,COUNTA('Eval-Avec impact envisagé'!$I$769),0),IF('Eval-Avec impact envisagé'!$A$770=AG13,COUNTA('Eval-Avec impact envisagé'!$I$770),0),IF('Eval-Avec impact envisagé'!$A$771=AG13,COUNTA('Eval-Avec impact envisagé'!$I$771),0),IF('Eval-Avec impact envisagé'!$A$772=AG13,COUNTA('Eval-Avec impact envisagé'!$I$772),0),IF('Eval-Avec impact envisagé'!$A$773=AG13,COUNTA('Eval-Avec impact envisagé'!$I$773),0),IF('Eval-Avec impact envisagé'!$A$774=AG13,COUNTA('Eval-Avec impact envisagé'!$I$774),0),IF('Eval-Avec impact envisagé'!$A$775=AG13,COUNTA('Eval-Avec impact envisagé'!$I$775),0),IF('Eval-Avec impact envisagé'!$A$776=AG13,COUNTA('Eval-Avec impact envisagé'!$I$776),0),IF('Eval-Avec impact envisagé'!$A$777=AG13,COUNTA('Eval-Avec impact envisagé'!$I$777),0),IF('Eval-Avec impact envisagé'!$A$778=AG13,COUNTA('Eval-Avec impact envisagé'!$I$778),0),IF('Eval-Avec impact envisagé'!$A$779=AG13,COUNTA('Eval-Avec impact envisagé'!$I$779),0),IF('Eval-Avec impact envisagé'!$A$780=AG13,COUNTA('Eval-Avec impact envisagé'!$I$780),0))&gt;0,"X",0),"")</f>
        <v/>
      </c>
      <c r="AM13" s="213" t="str">
        <f>IF(COUNTIF('Eval-Avec impact envisagé'!$A$761:$A$780,AG13)&gt;0,IF(SUM(IF('Eval-Avec impact envisagé'!$A$761=AG13,COUNTA('Eval-Avec impact envisagé'!$J$761),0),IF('Eval-Avec impact envisagé'!$A$762=AG13,COUNTA('Eval-Avec impact envisagé'!$J$762),0),IF('Eval-Avec impact envisagé'!$A$763=AG13,COUNTA('Eval-Avec impact envisagé'!$J$763),0),IF('Eval-Avec impact envisagé'!$A$764=AG13,COUNTA('Eval-Avec impact envisagé'!$J$764),0),IF('Eval-Avec impact envisagé'!$A$765=AG13,COUNTA('Eval-Avec impact envisagé'!$J$765),0),IF('Eval-Avec impact envisagé'!$A$766=AG13,COUNTA('Eval-Avec impact envisagé'!$J$766),0),IF('Eval-Avec impact envisagé'!$A$767=AG13,COUNTA('Eval-Avec impact envisagé'!$J$767),0),IF('Eval-Avec impact envisagé'!$A$768=AG13,COUNTA('Eval-Avec impact envisagé'!$J$768),0),IF('Eval-Avec impact envisagé'!$A$769=AG13,COUNTA('Eval-Avec impact envisagé'!$J$769),0),IF('Eval-Avec impact envisagé'!$A$770=AG13,COUNTA('Eval-Avec impact envisagé'!$J$770),0),IF('Eval-Avec impact envisagé'!$A$771=AG13,COUNTA('Eval-Avec impact envisagé'!$J$771),0),IF('Eval-Avec impact envisagé'!$A$772=AG13,COUNTA('Eval-Avec impact envisagé'!$J$772),0),IF('Eval-Avec impact envisagé'!$A$773=AG13,COUNTA('Eval-Avec impact envisagé'!$J$773),0),IF('Eval-Avec impact envisagé'!$A$774=AG13,COUNTA('Eval-Avec impact envisagé'!$J$774),0),IF('Eval-Avec impact envisagé'!$A$775=AG13,COUNTA('Eval-Avec impact envisagé'!$J$775),0),IF('Eval-Avec impact envisagé'!$A$776=AG13,COUNTA('Eval-Avec impact envisagé'!$J$776),0),IF('Eval-Avec impact envisagé'!$A$777=AG13,COUNTA('Eval-Avec impact envisagé'!$J$777),0),IF('Eval-Avec impact envisagé'!$A$778=AG13,COUNTA('Eval-Avec impact envisagé'!$J$778),0),IF('Eval-Avec impact envisagé'!$A$779=AG13,COUNTA('Eval-Avec impact envisagé'!$J$779),0),IF('Eval-Avec impact envisagé'!$A$780=AG13,COUNTA('Eval-Avec impact envisagé'!$J$780),0))&gt;0,"X",0),"")</f>
        <v/>
      </c>
      <c r="AN13" s="213" t="str">
        <f>IF(COUNTIF('Eval-Avec impact envisagé'!$A$761:$A$780,AG13)&gt;0,IF(SUM(IF('Eval-Avec impact envisagé'!$A$761=AG13,COUNTA('Eval-Avec impact envisagé'!$K$761),0),IF('Eval-Avec impact envisagé'!$A$762=AG13,COUNTA('Eval-Avec impact envisagé'!$K$762),0),IF('Eval-Avec impact envisagé'!$A$763=AG13,COUNTA('Eval-Avec impact envisagé'!$K$763),0),IF('Eval-Avec impact envisagé'!$A$764=AG13,COUNTA('Eval-Avec impact envisagé'!$K$764),0),IF('Eval-Avec impact envisagé'!$A$765=AG13,COUNTA('Eval-Avec impact envisagé'!$K$765),0),IF('Eval-Avec impact envisagé'!$A$766=AG13,COUNTA('Eval-Avec impact envisagé'!$K$766),0),IF('Eval-Avec impact envisagé'!$A$767=AG13,COUNTA('Eval-Avec impact envisagé'!$K$767),0),IF('Eval-Avec impact envisagé'!$A$768=AG13,COUNTA('Eval-Avec impact envisagé'!$K$768),0),IF('Eval-Avec impact envisagé'!$A$769=AG13,COUNTA('Eval-Avec impact envisagé'!$K$769),0),IF('Eval-Avec impact envisagé'!$A$770=AG13,COUNTA('Eval-Avec impact envisagé'!$K$770),0),IF('Eval-Avec impact envisagé'!$A$771=AG13,COUNTA('Eval-Avec impact envisagé'!$K$771),0),IF('Eval-Avec impact envisagé'!$A$772=AG13,COUNTA('Eval-Avec impact envisagé'!$K$772),0),IF('Eval-Avec impact envisagé'!$A$773=AG13,COUNTA('Eval-Avec impact envisagé'!$K$773),0),IF('Eval-Avec impact envisagé'!$A$774=AG13,COUNTA('Eval-Avec impact envisagé'!$K$774),0),IF('Eval-Avec impact envisagé'!$A$775=AG13,COUNTA('Eval-Avec impact envisagé'!$K$775),0),IF('Eval-Avec impact envisagé'!$A$776=AG13,COUNTA('Eval-Avec impact envisagé'!$K$776),0),IF('Eval-Avec impact envisagé'!$A$777=AG13,COUNTA('Eval-Avec impact envisagé'!$K$777),0),IF('Eval-Avec impact envisagé'!$A$778=AG13,COUNTA('Eval-Avec impact envisagé'!$K$778),0),IF('Eval-Avec impact envisagé'!$A$779=AG13,COUNTA('Eval-Avec impact envisagé'!$K$779),0),IF('Eval-Avec impact envisagé'!$A$780=AG13,COUNTA('Eval-Avec impact envisagé'!$K$780),0))&gt;0,"X",0),"")</f>
        <v/>
      </c>
      <c r="AO13" s="211" t="str">
        <f>IF(COUNTIF('Eval-Avec impact envisagé'!$A$761:$A$780,AG13)&gt;0,IF(OR(AND('Eval-Avec impact envisagé'!$A$761=AG13,'Eval-Avec impact envisagé'!$L$761&lt;120,'Eval-Avec impact envisagé'!$L$761&gt;=BD9),AND('Eval-Avec impact envisagé'!$A$762=AG13,'Eval-Avec impact envisagé'!$L$762&lt;120,'Eval-Avec impact envisagé'!$L$762&gt;=BD10),AND('Eval-Avec impact envisagé'!$A$763=AG13,'Eval-Avec impact envisagé'!$L$763&lt;120,'Eval-Avec impact envisagé'!$L$763&gt;=BD11),AND('Eval-Avec impact envisagé'!$A$764=AG13,'Eval-Avec impact envisagé'!$L$764&lt;120,'Eval-Avec impact envisagé'!$L$764&gt;=BD12),AND('Eval-Avec impact envisagé'!$A$765=AG13,'Eval-Avec impact envisagé'!$L$765&lt;120,'Eval-Avec impact envisagé'!$L$765&gt;=BD13),AND('Eval-Avec impact envisagé'!$A$766=AG13,'Eval-Avec impact envisagé'!$L$766&lt;120,'Eval-Avec impact envisagé'!$L$766&gt;=BD14),AND('Eval-Avec impact envisagé'!$A$767=AG13,'Eval-Avec impact envisagé'!$L$767&lt;120,'Eval-Avec impact envisagé'!$L$767&gt;=BD15),AND('Eval-Avec impact envisagé'!$A$768=AG13,'Eval-Avec impact envisagé'!$L$768&lt;120,'Eval-Avec impact envisagé'!$L$768&gt;=BD16),AND('Eval-Avec impact envisagé'!$A$769=AG13,'Eval-Avec impact envisagé'!$L$769&lt;120,'Eval-Avec impact envisagé'!$L$769&gt;=BD17),AND('Eval-Avec impact envisagé'!$A$770=AG13,'Eval-Avec impact envisagé'!$L$770&lt;120,'Eval-Avec impact envisagé'!$L$770&gt;=BD18),AND('Eval-Avec impact envisagé'!$A$771=AG13,'Eval-Avec impact envisagé'!$L$771&lt;120,'Eval-Avec impact envisagé'!$L$771&gt;=BD19),AND('Eval-Avec impact envisagé'!$A$772=AG13,'Eval-Avec impact envisagé'!$L$772&lt;120,'Eval-Avec impact envisagé'!$L$772&gt;=BD20),AND('Eval-Avec impact envisagé'!$A$773=AG13,'Eval-Avec impact envisagé'!$L$773&lt;120,'Eval-Avec impact envisagé'!$L$773&gt;=BD21),AND('Eval-Avec impact envisagé'!$A$774=AG13,'Eval-Avec impact envisagé'!$L$774&lt;120,'Eval-Avec impact envisagé'!$L$774&gt;=BD22),AND('Eval-Avec impact envisagé'!$A$775=AG13,'Eval-Avec impact envisagé'!$L$775&lt;120,'Eval-Avec impact envisagé'!$L$775&gt;=BD23),AND('Eval-Avec impact envisagé'!$A$776=AG13,'Eval-Avec impact envisagé'!$L$776&lt;120,'Eval-Avec impact envisagé'!$L$776&gt;=BD24),AND('Eval-Avec impact envisagé'!$A$777=AG13,'Eval-Avec impact envisagé'!$L$777&lt;120,'Eval-Avec impact envisagé'!$L$777&gt;=BD25),AND('Eval-Avec impact envisagé'!$A$778=AG13,'Eval-Avec impact envisagé'!$L$778&lt;120,'Eval-Avec impact envisagé'!$L$778&gt;=BD26),AND('Eval-Avec impact envisagé'!$A$779=AG13,'Eval-Avec impact envisagé'!$L$779&lt;120,'Eval-Avec impact envisagé'!$L$779&gt;=BD27),AND('Eval-Avec impact envisagé'!$A$780=AG13,'Eval-Avec impact envisagé'!$L$780&lt;120,'Eval-Avec impact envisagé'!$L$780&gt;=BD28)),"",SUM(IF('Eval-Avec impact envisagé'!$A$761=AG13,'Eval-Avec impact envisagé'!$L$761,0),IF('Eval-Avec impact envisagé'!$A$762=AG13,'Eval-Avec impact envisagé'!$L$762,0),IF('Eval-Avec impact envisagé'!$A$763=AG13,'Eval-Avec impact envisagé'!$L$763,0),IF('Eval-Avec impact envisagé'!$A$764=AG13,'Eval-Avec impact envisagé'!$L$764,0),IF('Eval-Avec impact envisagé'!$A$765=AG13,'Eval-Avec impact envisagé'!$L$765,0),IF('Eval-Avec impact envisagé'!$A$766=AG13,'Eval-Avec impact envisagé'!$L$766,0),IF('Eval-Avec impact envisagé'!$A$767=AG13,'Eval-Avec impact envisagé'!$L$767,0),IF('Eval-Avec impact envisagé'!$A$768=AG13,'Eval-Avec impact envisagé'!$L$768,0),IF('Eval-Avec impact envisagé'!$A$769=AG13,'Eval-Avec impact envisagé'!$L$769,0),IF('Eval-Avec impact envisagé'!$A$770=AG13,'Eval-Avec impact envisagé'!$L$770,0),IF('Eval-Avec impact envisagé'!$A$771=AG13,'Eval-Avec impact envisagé'!$L$771,0),IF('Eval-Avec impact envisagé'!$A$772=AG13,'Eval-Avec impact envisagé'!$L$772,0),IF('Eval-Avec impact envisagé'!$A$773=AG13,'Eval-Avec impact envisagé'!$L$773,0),IF('Eval-Avec impact envisagé'!$A$774=AG13,'Eval-Avec impact envisagé'!$L$774,0),IF('Eval-Avec impact envisagé'!$A$775=AG13,'Eval-Avec impact envisagé'!$L$775,0),IF('Eval-Avec impact envisagé'!$A$776=AG13,'Eval-Avec impact envisagé'!$L$776,0),IF('Eval-Avec impact envisagé'!$A$777=AG13,'Eval-Avec impact envisagé'!$L$777,0),IF('Eval-Avec impact envisagé'!$A$778=AG13,'Eval-Avec impact envisagé'!$L$778,0),IF('Eval-Avec impact envisagé'!$A$779=AG13,'Eval-Avec impact envisagé'!$L$779,0),IF('Eval-Avec impact envisagé'!$A$780=AG13,'Eval-Avec impact envisagé'!$L$780,0))/ COUNTIF('Eval-Avec impact envisagé'!$A$761:$A$780,AG13)),"")</f>
        <v/>
      </c>
      <c r="AP13" s="211" t="str">
        <f>IF(COUNTIF('Eval-Avec impact envisagé'!$A$761:$A$780,AG13)&gt;0,IF(OR(AND('Eval-Avec impact envisagé'!$A$761=AG13, BD9&lt;120),AND(BD10&lt;120),AND(BD11&lt;120),AND(BD12&lt;120),AND(BD13&lt;120),AND(BD14&lt;120),AND(BD15&lt;120),AND(BD16&lt;120),AND(BD17&lt;120),AND(BD18&lt;120),AND(BD19&lt;120),AND(BD20&lt;120),AND(BD21&lt;120),AND(BD22&lt;120),AND(BD23&lt;120),AND(BD24&lt;120),AND(BD25&lt;120),AND(BD26&lt;120),AND(BD27&lt;120),AND(BD28&lt;120)),"",SUM(IF('Eval-Avec impact envisagé'!$A$761=AG13,'Eval-Avec impact envisagé'!$M$761,0),IF('Eval-Avec impact envisagé'!$A$762=AG13,'Eval-Avec impact envisagé'!$M$762,0),IF('Eval-Avec impact envisagé'!$A$763=AG13,'Eval-Avec impact envisagé'!$M$763,0),IF('Eval-Avec impact envisagé'!$A$764=AG13,'Eval-Avec impact envisagé'!$M$764,0),IF('Eval-Avec impact envisagé'!$A$765=AG13,'Eval-Avec impact envisagé'!$M$765,0),IF('Eval-Avec impact envisagé'!$A$766=AG13,'Eval-Avec impact envisagé'!$M$766,0),IF('Eval-Avec impact envisagé'!$A$767=AG13,'Eval-Avec impact envisagé'!$M$767,0),IF('Eval-Avec impact envisagé'!$A$768=AG13,'Eval-Avec impact envisagé'!$M$768,0),IF('Eval-Avec impact envisagé'!$A$769=AG13,'Eval-Avec impact envisagé'!$M$769,0),IF('Eval-Avec impact envisagé'!$A$770=AG13,'Eval-Avec impact envisagé'!$M$770,0),IF('Eval-Avec impact envisagé'!$A$771=AG13,'Eval-Avec impact envisagé'!$M$771,0),IF('Eval-Avec impact envisagé'!$A$772=AG13,'Eval-Avec impact envisagé'!$M$772,0),IF('Eval-Avec impact envisagé'!$A$773=AG13,'Eval-Avec impact envisagé'!$M$773,0),IF('Eval-Avec impact envisagé'!$A$774=AG13,'Eval-Avec impact envisagé'!$M$774,0),IF('Eval-Avec impact envisagé'!$A$775=AG13,'Eval-Avec impact envisagé'!$M$775,0), IF('Eval-Avec impact envisagé'!$A$776=AG13,'Eval-Avec impact envisagé'!$M$776,0), IF('Eval-Avec impact envisagé'!$A$777=AG13,'Eval-Avec impact envisagé'!$M$777,0), IF('Eval-Avec impact envisagé'!$A$778=AG13,'Eval-Avec impact envisagé'!$M$778,0), IF('Eval-Avec impact envisagé'!$A$779=AG13,'Eval-Avec impact envisagé'!$M$779,0), IF('Eval-Avec impact envisagé'!$A$780=AG13,'Eval-Avec impact envisagé'!$M$780,0))/COUNTIF('Eval-Avec impact envisagé'!$A$761:$A$780,AG13)),"")</f>
        <v/>
      </c>
      <c r="AQ13" s="211" t="str">
        <f>IF(COUNTIF('Eval-Avec impact envisagé'!$A$761:$A$780,AG13)&gt;0,SUM(IF('Eval-Avec impact envisagé'!$A$761=AG13,LEN(SUBSTITUTE((SUBSTITUTE(BF9,"TM","")),"TS",""))*10/2,0),IF('Eval-Avec impact envisagé'!$A$762=AG13,LEN(SUBSTITUTE((SUBSTITUTE(BF10,"TM","")),"TS",""))*10/2,0),IF('Eval-Avec impact envisagé'!$A$763=AG13,LEN(SUBSTITUTE((SUBSTITUTE(BF11,"TM","")),"TS",""))*10/2,0),IF('Eval-Avec impact envisagé'!$A$764=AG13,LEN(SUBSTITUTE((SUBSTITUTE(BF12,"TM","")),"TS",""))*10/2,0),IF('Eval-Avec impact envisagé'!$A$765=AG13,LEN(SUBSTITUTE((SUBSTITUTE(BF13,"TM","")),"TS",""))*10/2,0),IF('Eval-Avec impact envisagé'!$A$766=AG13,LEN(SUBSTITUTE((SUBSTITUTE(BF14,"TM","")),"TS",""))*10/2,0),IF('Eval-Avec impact envisagé'!$A$767=AG13,LEN(SUBSTITUTE((SUBSTITUTE(BF15,"TM","")),"TS",""))*10/2,0),IF('Eval-Avec impact envisagé'!$A$768=AG13,LEN(SUBSTITUTE((SUBSTITUTE(BF16,"TM","")),"TS",""))*10/2,0),IF('Eval-Avec impact envisagé'!$A$769=AG13,LEN(SUBSTITUTE((SUBSTITUTE(BF17,"TM","")),"TS",""))*10/2,0),IF('Eval-Avec impact envisagé'!$A$770=AG13,LEN(SUBSTITUTE((SUBSTITUTE(BF18,"TM","")),"TS",""))*10/2,0),IF('Eval-Avec impact envisagé'!$A$771=AG13,LEN(SUBSTITUTE((SUBSTITUTE(BF19,"TM","")),"TS",""))*10/2,0),IF('Eval-Avec impact envisagé'!$A$772=AG13,LEN(SUBSTITUTE((SUBSTITUTE(BF20,"TM","")),"TS",""))*10/2,0),IF('Eval-Avec impact envisagé'!$A$773=AG13,LEN(SUBSTITUTE((SUBSTITUTE(BF21,"TM","")),"TS",""))*10/2,0),IF('Eval-Avec impact envisagé'!$A$774=AG13,LEN(SUBSTITUTE((SUBSTITUTE(BF22,"TM","")),"TS",""))*10/2,0),IF('Eval-Avec impact envisagé'!$A$775=AG13,LEN(SUBSTITUTE((SUBSTITUTE(BF23,"TM","")),"TS",""))*10/2,0),IF('Eval-Avec impact envisagé'!$A$776=AG13,LEN(SUBSTITUTE((SUBSTITUTE(BF24,"TM","")),"TS",""))*10/2,0),IF('Eval-Avec impact envisagé'!$A$777=AG13,LEN(SUBSTITUTE((SUBSTITUTE(BF25,"TM","")),"TS",""))*10/2,0),IF('Eval-Avec impact envisagé'!$A$778=AG13,LEN(SUBSTITUTE((SUBSTITUTE(BF26,"TM","")),"TS",""))*10/2,0),IF('Eval-Avec impact envisagé'!$A$779=AG13,LEN(SUBSTITUTE((SUBSTITUTE(BF27,"TM","")),"TS",""))*10/2,0),IF('Eval-Avec impact envisagé'!$A$780=AG13,LEN(SUBSTITUTE((SUBSTITUTE(BF28,"TM","")),"TS",""))*10/2,0))/COUNTIF('Eval-Avec impact envisagé'!$A$761:$A$780,AG13),"")</f>
        <v/>
      </c>
      <c r="AR13" s="211" t="str">
        <f>IF(COUNTIF('Eval-Avec impact envisagé'!$A$761:$A$780,AG13)&gt;0,SUM(IF('Eval-Avec impact envisagé'!$A$761=AG13,LEN(SUBSTITUTE((SUBSTITUTE(BF9,"TF","")),"TS",""))*10/2,0),IF('Eval-Avec impact envisagé'!$A$762=AG13,LEN(SUBSTITUTE((SUBSTITUTE(BF10,"TF","")),"TS",""))*10/2,0),IF('Eval-Avec impact envisagé'!$A$763=AG13,LEN(SUBSTITUTE((SUBSTITUTE(BF11,"TF","")),"TS",""))*10/2,0),IF('Eval-Avec impact envisagé'!$A$764=AG13,LEN(SUBSTITUTE((SUBSTITUTE(BF12,"TF","")),"TS",""))*10/2,0),IF('Eval-Avec impact envisagé'!$A$765=AG13,LEN(SUBSTITUTE((SUBSTITUTE(BF13,"TF","")),"TS",""))*10/2,0),IF('Eval-Avec impact envisagé'!$A$766=AG13,LEN(SUBSTITUTE((SUBSTITUTE(BF14,"TF","")),"TS",""))*10/2,0),IF('Eval-Avec impact envisagé'!$A$767=AG13,LEN(SUBSTITUTE((SUBSTITUTE(BF15,"TF","")),"TS",""))*10/2,0),IF('Eval-Avec impact envisagé'!$A$768=AG13,LEN(SUBSTITUTE((SUBSTITUTE(BF16,"TF","")),"TS",""))*10/2,0),IF('Eval-Avec impact envisagé'!$A$769=AG13,LEN(SUBSTITUTE((SUBSTITUTE(BF17,"TF","")),"TS",""))*10/2,0),IF('Eval-Avec impact envisagé'!$A$770=AG13,LEN(SUBSTITUTE((SUBSTITUTE(BF18,"TF","")),"TS",""))*10/2,0),IF('Eval-Avec impact envisagé'!$A$771=AG13,LEN(SUBSTITUTE((SUBSTITUTE(BF19,"TF","")),"TS",""))*10/2,0),IF('Eval-Avec impact envisagé'!$A$772=AG13,LEN(SUBSTITUTE((SUBSTITUTE(BF20,"TF","")),"TS",""))*10/2,0),IF('Eval-Avec impact envisagé'!$A$773=AG13,LEN(SUBSTITUTE((SUBSTITUTE(BF21,"TF","")),"TS",""))*10/2,0),IF('Eval-Avec impact envisagé'!$A$774=AG13,LEN(SUBSTITUTE((SUBSTITUTE(BF22,"TF","")),"TS",""))*10/2,0),IF('Eval-Avec impact envisagé'!$A$775=AG13,LEN(SUBSTITUTE((SUBSTITUTE(BF23,"TF","")),"TS",""))*10/2,0),IF('Eval-Avec impact envisagé'!$A$776=AG13,LEN(SUBSTITUTE((SUBSTITUTE(BF24,"TF","")),"TS",""))*10/2,0),IF('Eval-Avec impact envisagé'!$A$777=AG13,LEN(SUBSTITUTE((SUBSTITUTE(BF25,"TF","")),"TS",""))*10/2,0),IF('Eval-Avec impact envisagé'!$A$778=AG13,LEN(SUBSTITUTE((SUBSTITUTE(BF26,"TF","")),"TS",""))*10/2,0),IF('Eval-Avec impact envisagé'!$A$779=AG13,LEN(SUBSTITUTE((SUBSTITUTE(BF27,"TF","")),"TS",""))*10/2,0),IF('Eval-Avec impact envisagé'!$A$780=AG13,LEN(SUBSTITUTE((SUBSTITUTE(BF28,"TF","")),"TS",""))*10/2,0))/COUNTIF('Eval-Avec impact envisagé'!$A$761:$A$780,AG13),"")</f>
        <v/>
      </c>
      <c r="AS13" s="211" t="str">
        <f>IF(COUNTIF('Eval-Avec impact envisagé'!$A$761:$A$780,AG13)&gt;0,SUM(IF('Eval-Avec impact envisagé'!$A$761=AG13,LEN(SUBSTITUTE((SUBSTITUTE(BF9,"TF","")),"TM",""))*10/2,0),IF('Eval-Avec impact envisagé'!$A$762=AG13,LEN(SUBSTITUTE((SUBSTITUTE(BF10,"TF","")),"TM",""))*10/2,0),IF('Eval-Avec impact envisagé'!$A$763=AG13,LEN(SUBSTITUTE((SUBSTITUTE(BF11,"TF","")),"TM",""))*10/2,0),IF('Eval-Avec impact envisagé'!$A$764=AG13,LEN(SUBSTITUTE((SUBSTITUTE(BF12,"TF","")),"TM",""))*10/2,0),IF('Eval-Avec impact envisagé'!$A$765=AG13,LEN(SUBSTITUTE((SUBSTITUTE(BF13,"TF","")),"TM",""))*10/2,0),IF('Eval-Avec impact envisagé'!$A$766=AG13,LEN(SUBSTITUTE((SUBSTITUTE(BF14,"TF","")),"TM",""))*10/2,0),IF('Eval-Avec impact envisagé'!$A$767=AG13,LEN(SUBSTITUTE((SUBSTITUTE(BF15,"TF","")),"TM",""))*10/2,0),IF('Eval-Avec impact envisagé'!$A$768=AG13,LEN(SUBSTITUTE((SUBSTITUTE(BF16,"TF","")),"TM",""))*10/2,0),IF('Eval-Avec impact envisagé'!$A$769=AG13,LEN(SUBSTITUTE((SUBSTITUTE(BF17,"TF","")),"TM",""))*10/2,0),IF('Eval-Avec impact envisagé'!$A$770=AG13,LEN(SUBSTITUTE((SUBSTITUTE(BF18,"TF","")),"TM",""))*10/2,0),IF('Eval-Avec impact envisagé'!$A$771=AG13,LEN(SUBSTITUTE((SUBSTITUTE(BF19,"TF","")),"TM",""))*10/2,0),IF('Eval-Avec impact envisagé'!$A$772=AG13,LEN(SUBSTITUTE((SUBSTITUTE(BF20,"TF","")),"TM",""))*10/2,0),IF('Eval-Avec impact envisagé'!$A$773=AG13,LEN(SUBSTITUTE((SUBSTITUTE(BF21,"TF","")),"TM",""))*10/2,0),IF('Eval-Avec impact envisagé'!$A$774=AG13,LEN(SUBSTITUTE((SUBSTITUTE(BF22,"TF","")),"TM",""))*10/2,0),IF('Eval-Avec impact envisagé'!$A$775=AG13,LEN(SUBSTITUTE((SUBSTITUTE(BF23,"TF","")),"TM",""))*10/2,0),IF('Eval-Avec impact envisagé'!$A$776=AG13,LEN(SUBSTITUTE((SUBSTITUTE(BF24,"TF","")),"TM",""))*10/2,0),IF('Eval-Avec impact envisagé'!$A$777=AG13,LEN(SUBSTITUTE((SUBSTITUTE(BF25,"TF","")),"TM",""))*10/2,0),IF('Eval-Avec impact envisagé'!$A$778=AG13,LEN(SUBSTITUTE((SUBSTITUTE(BF26,"TF","")),"TM",""))*10/2,0),IF('Eval-Avec impact envisagé'!$A$779=AG13,LEN(SUBSTITUTE((SUBSTITUTE(BF27,"TF","")),"TM",""))*10/2,0),IF('Eval-Avec impact envisagé'!$A$780=AG13,LEN(SUBSTITUTE((SUBSTITUTE(BF28,"TF","")),"TM",""))*10/2,0))/COUNTIF('Eval-Avec impact envisagé'!$A$761:$A$780,AG13),"")</f>
        <v/>
      </c>
      <c r="AT13" s="211" t="str">
        <f>IF(COUNTIF('Eval-Avec impact envisagé'!$A$761:$A$780,AG13)&gt;0,SUM(IF('Eval-Avec impact envisagé'!$A$761=AG13,LEN(SUBSTITUTE((SUBSTITUTE(BG9,"TM","")),"TS",""))*10/2,0),IF('Eval-Avec impact envisagé'!$A$762=AG13,LEN(SUBSTITUTE((SUBSTITUTE(BG10,"TM","")),"TS",""))*10/2,0),IF('Eval-Avec impact envisagé'!$A$763=AG13,LEN(SUBSTITUTE((SUBSTITUTE(BG11,"TM","")),"TS",""))*10/2,0),IF('Eval-Avec impact envisagé'!$A$764=AG13,LEN(SUBSTITUTE((SUBSTITUTE(BG12,"TM","")),"TS",""))*10/2,0),IF('Eval-Avec impact envisagé'!$A$765=AG13,LEN(SUBSTITUTE((SUBSTITUTE(BG13,"TM","")),"TS",""))*10/2,0),IF('Eval-Avec impact envisagé'!$A$766=AG13,LEN(SUBSTITUTE((SUBSTITUTE(BG14,"TM","")),"TS",""))*10/2,0),IF('Eval-Avec impact envisagé'!$A$767=AG13,LEN(SUBSTITUTE((SUBSTITUTE(BG15,"TM","")),"TS",""))*10/2,0),IF('Eval-Avec impact envisagé'!$A$768=AG13,LEN(SUBSTITUTE((SUBSTITUTE(BG16,"TM","")),"TS",""))*10/2,0),IF('Eval-Avec impact envisagé'!$A$769=AG13,LEN(SUBSTITUTE((SUBSTITUTE(BG17,"TM","")),"TS",""))*10/2,0),IF('Eval-Avec impact envisagé'!$A$770=AG13,LEN(SUBSTITUTE((SUBSTITUTE(BG18,"TM","")),"TS",""))*10/2,0),IF('Eval-Avec impact envisagé'!$A$771=AG13,LEN(SUBSTITUTE((SUBSTITUTE(BG19,"TM","")),"TS",""))*10/2,0),IF('Eval-Avec impact envisagé'!$A$772=AG13,LEN(SUBSTITUTE((SUBSTITUTE(BG20,"TM","")),"TS",""))*10/2,0),IF('Eval-Avec impact envisagé'!$A$773=AG13,LEN(SUBSTITUTE((SUBSTITUTE(BG21,"TM","")),"TS",""))*10/2,0),IF('Eval-Avec impact envisagé'!$A$774=AG13,LEN(SUBSTITUTE((SUBSTITUTE(BG22,"TM","")),"TS",""))*10/2,0),IF('Eval-Avec impact envisagé'!$A$775=AG13,LEN(SUBSTITUTE((SUBSTITUTE(BG23,"TM","")),"TS",""))*10/2,0),IF('Eval-Avec impact envisagé'!$A$776=AG13,LEN(SUBSTITUTE((SUBSTITUTE(BG24,"TM","")),"TS",""))*10/2,0),IF('Eval-Avec impact envisagé'!$A$777=AG13,LEN(SUBSTITUTE((SUBSTITUTE(BG25,"TM","")),"TS",""))*10/2,0),IF('Eval-Avec impact envisagé'!$A$778=AG13,LEN(SUBSTITUTE((SUBSTITUTE(BG26,"TM","")),"TS",""))*10/2,0),IF('Eval-Avec impact envisagé'!$A$779=AG13,LEN(SUBSTITUTE((SUBSTITUTE(BG27,"TM","")),"TS",""))*10/2,0),IF('Eval-Avec impact envisagé'!$A$780=AG13,LEN(SUBSTITUTE((SUBSTITUTE(BG28,"TM","")),"TS",""))*10/2,0))/COUNTIF('Eval-Avec impact envisagé'!$A$761:$A$780,AG13),"")</f>
        <v/>
      </c>
      <c r="AU13" s="211" t="str">
        <f>IF(COUNTIF('Eval-Avec impact envisagé'!$A$761:$A$780,AG13)&gt;0,SUM(IF('Eval-Avec impact envisagé'!$A$761=AG13,LEN(SUBSTITUTE((SUBSTITUTE(BG9,"TF","")),"TS",""))*10/2,0),IF('Eval-Avec impact envisagé'!$A$762=AG13,LEN(SUBSTITUTE((SUBSTITUTE(BG10,"TF","")),"TS",""))*10/2,0),IF('Eval-Avec impact envisagé'!$A$763=AG13,LEN(SUBSTITUTE((SUBSTITUTE(BG11,"TF","")),"TS",""))*10/2,0),IF('Eval-Avec impact envisagé'!$A$764=AG13,LEN(SUBSTITUTE((SUBSTITUTE(BG12,"TF","")),"TS",""))*10/2,0),IF('Eval-Avec impact envisagé'!$A$765=AG13,LEN(SUBSTITUTE((SUBSTITUTE(BG13,"TF","")),"TS",""))*10/2,0),IF('Eval-Avec impact envisagé'!$A$766=AG13,LEN(SUBSTITUTE((SUBSTITUTE(BG14,"TF","")),"TS",""))*10/2,0),IF('Eval-Avec impact envisagé'!$A$767=AG13,LEN(SUBSTITUTE((SUBSTITUTE(BG15,"TF","")),"TS",""))*10/2,0),IF('Eval-Avec impact envisagé'!$A$768=AG13,LEN(SUBSTITUTE((SUBSTITUTE(BG16,"TF","")),"TS",""))*10/2,0),IF('Eval-Avec impact envisagé'!$A$769=AG13,LEN(SUBSTITUTE((SUBSTITUTE(BG17,"TF","")),"TS",""))*10/2,0),IF('Eval-Avec impact envisagé'!$A$770=AG13,LEN(SUBSTITUTE((SUBSTITUTE(BG18,"TF","")),"TS",""))*10/2,0),IF('Eval-Avec impact envisagé'!$A$771=AG13,LEN(SUBSTITUTE((SUBSTITUTE(BG19,"TF","")),"TS",""))*10/2,0),IF('Eval-Avec impact envisagé'!$A$772=AG13,LEN(SUBSTITUTE((SUBSTITUTE(BG20,"TF","")),"TS",""))*10/2,0),IF('Eval-Avec impact envisagé'!$A$773=AG13,LEN(SUBSTITUTE((SUBSTITUTE(BG21,"TF","")),"TS",""))*10/2,0),IF('Eval-Avec impact envisagé'!$A$774=AG13,LEN(SUBSTITUTE((SUBSTITUTE(BG22,"TF","")),"TS",""))*10/2,0),IF('Eval-Avec impact envisagé'!$A$775=AG13,LEN(SUBSTITUTE((SUBSTITUTE(BG23,"TF","")),"TS",""))*10/2,0),IF('Eval-Avec impact envisagé'!$A$776=AG13,LEN(SUBSTITUTE((SUBSTITUTE(BG24,"TF","")),"TS",""))*10/2,0),IF('Eval-Avec impact envisagé'!$A$777=AG13,LEN(SUBSTITUTE((SUBSTITUTE(BG25,"TF","")),"TS",""))*10/2,0),IF('Eval-Avec impact envisagé'!$A$778=AG13,LEN(SUBSTITUTE((SUBSTITUTE(BG26,"TF","")),"TS",""))*10/2,0),IF('Eval-Avec impact envisagé'!$A$779=AG13,LEN(SUBSTITUTE((SUBSTITUTE(BG27,"TF","")),"TS",""))*10/2,0),IF('Eval-Avec impact envisagé'!$A$780=AG13,LEN(SUBSTITUTE((SUBSTITUTE(BG28,"TF","")),"TS",""))*10/2,0))/COUNTIF('Eval-Avec impact envisagé'!$A$761:$A$780,AG13),"")</f>
        <v/>
      </c>
      <c r="AV13" s="211" t="str">
        <f>IF(COUNTIF('Eval-Avec impact envisagé'!$A$761:$A$780,AG13)&gt;0,SUM(IF('Eval-Avec impact envisagé'!$A$761=AG13,LEN(SUBSTITUTE((SUBSTITUTE(BG9,"TF","")),"TM",""))*10/2,0),IF('Eval-Avec impact envisagé'!$A$762=AG13,LEN(SUBSTITUTE((SUBSTITUTE(BG10,"TF","")),"TM",""))*10/2,0),IF('Eval-Avec impact envisagé'!$A$763=AG13,LEN(SUBSTITUTE((SUBSTITUTE(BG11,"TF","")),"TM",""))*10/2,0),IF('Eval-Avec impact envisagé'!$A$764=AG13,LEN(SUBSTITUTE((SUBSTITUTE(BG12,"TF","")),"TM",""))*10/2,0),IF('Eval-Avec impact envisagé'!$A$765=AG13,LEN(SUBSTITUTE((SUBSTITUTE(BG13,"TF","")),"TM",""))*10/2,0),IF('Eval-Avec impact envisagé'!$A$766=AG13,LEN(SUBSTITUTE((SUBSTITUTE(BG14,"TF","")),"TM",""))*10/2,0),IF('Eval-Avec impact envisagé'!$A$767=AG13,LEN(SUBSTITUTE((SUBSTITUTE(BG15,"TF","")),"TM",""))*10/2,0),IF('Eval-Avec impact envisagé'!$A$768=AG13,LEN(SUBSTITUTE((SUBSTITUTE(BG16,"TF","")),"TM",""))*10/2,0),IF('Eval-Avec impact envisagé'!$A$769=AG13,LEN(SUBSTITUTE((SUBSTITUTE(BG17,"TF","")),"TM",""))*10/2,0),IF('Eval-Avec impact envisagé'!$A$770=AG13,LEN(SUBSTITUTE((SUBSTITUTE(BG18,"TF","")),"TM",""))*10/2,0),IF('Eval-Avec impact envisagé'!$A$771=AG13,LEN(SUBSTITUTE((SUBSTITUTE(BG19,"TF","")),"TM",""))*10/2,0),IF('Eval-Avec impact envisagé'!$A$772=AG13,LEN(SUBSTITUTE((SUBSTITUTE(BG20,"TF","")),"TM",""))*10/2,0),IF('Eval-Avec impact envisagé'!$A$773=AG13,LEN(SUBSTITUTE((SUBSTITUTE(BG21,"TF","")),"TM",""))*10/2,0),IF('Eval-Avec impact envisagé'!$A$774=AG13,LEN(SUBSTITUTE((SUBSTITUTE(BG22,"TF","")),"TM",""))*10/2,0),IF('Eval-Avec impact envisagé'!$A$775=AG13,LEN(SUBSTITUTE((SUBSTITUTE(BG23,"TF","")),"TM",""))*10/2,0),IF('Eval-Avec impact envisagé'!$A$776=AG13,LEN(SUBSTITUTE((SUBSTITUTE(BG24,"TF","")),"TM",""))*10/2,0),IF('Eval-Avec impact envisagé'!$A$777=AG13,LEN(SUBSTITUTE((SUBSTITUTE(BG25,"TF","")),"TM",""))*10/2,0),IF('Eval-Avec impact envisagé'!$A$778=AG13,LEN(SUBSTITUTE((SUBSTITUTE(BG26,"TF","")),"TM",""))*10/2,0),IF('Eval-Avec impact envisagé'!$A$779=AG13,LEN(SUBSTITUTE((SUBSTITUTE(BG27,"TF","")),"TM",""))*10/2,0),IF('Eval-Avec impact envisagé'!$A$780=AG13,LEN(SUBSTITUTE((SUBSTITUTE(BG28,"TF","")),"TM",""))*10/2,0))/COUNTIF('Eval-Avec impact envisagé'!$A$761:$A$780,AG13),"")</f>
        <v/>
      </c>
      <c r="AW13" s="211" t="str">
        <f>IF(COUNTIF('Eval-Avec impact envisagé'!$A$761:$A$780,AG13)&gt;0,IF(OR(AND('Eval-Avec impact envisagé'!$A$761=AG13,BD9&lt;30),AND('Eval-Avec impact envisagé'!$A$762=AG13,BD10&lt;30),AND('Eval-Avec impact envisagé'!$A$763=AG13,BD11&lt;30),AND('Eval-Avec impact envisagé'!$A$764=AG13,BD12&lt;30),AND('Eval-Avec impact envisagé'!$A$765=AG13,BD13&lt;30),AND('Eval-Avec impact envisagé'!$A$766=AG13,BD14&lt;30),AND('Eval-Avec impact envisagé'!$A$767=AG13,BD15&lt;30),AND('Eval-Avec impact envisagé'!$A$768=AG13,BD16&lt;30),AND('Eval-Avec impact envisagé'!$A$769=AG13,BD17&lt;30),AND('Eval-Avec impact envisagé'!$A$770=AG13,BD18&lt;30),AND('Eval-Avec impact envisagé'!$A$771=AG13,BD19&lt;30),AND('Eval-Avec impact envisagé'!$A$772=AG13,BD20&lt;30),AND('Eval-Avec impact envisagé'!$A$773=AG13,BD21&lt;30),AND('Eval-Avec impact envisagé'!$A$774=AG13,BD22&lt;30),AND('Eval-Avec impact envisagé'!$A$775=AG13,BD23&lt;30),AND('Eval-Avec impact envisagé'!$A$776=AG13,BD24&lt;30),AND('Eval-Avec impact envisagé'!$A$777=AG13,BD25&lt;30),AND('Eval-Avec impact envisagé'!$A$778=AG13,BD26&lt;30),AND('Eval-Avec impact envisagé'!$A$779=AG13,BD27&lt;30),AND('Eval-Avec impact envisagé'!$A$780=AG13,BD28&lt;30)),"",SUM(0.1*(SUMPRODUCT(('Eval-Avec impact envisagé'!$A$761:$A$780=AG13)*('Eval-Avec impact envisagé'!$N$761:$P$780="A"))+ SUMPRODUCT(('Eval-Avec impact envisagé'!$A$761:$A$780=AG13)*('Eval-Avec impact envisagé'!$N$761:$P$780="AL"))),0.7*(SUMPRODUCT(('Eval-Avec impact envisagé'!$A$761:$A$780=AG13)*('Eval-Avec impact envisagé'!$N$761:$P$780="TF"))+SUMPRODUCT(('Eval-Avec impact envisagé'!$A$761:$A$780=AG13)*('Eval-Avec impact envisagé'!$N$761:$P$780="TM"))+SUMPRODUCT(('Eval-Avec impact envisagé'!$A$761:$A$780=AG13)*('Eval-Avec impact envisagé'!$N$761:$P$780="TS"))),0.4*(SUMPRODUCT(('Eval-Avec impact envisagé'!$A$761:$A$780=AG13)*('Eval-Avec impact envisagé'!$N$761:$P$780="LA"))+SUMPRODUCT(('Eval-Avec impact envisagé'!$A$761:$A$780=AG13)*('Eval-Avec impact envisagé'!$N$761:$P$780="L"))+SUMPRODUCT(('Eval-Avec impact envisagé'!$A$761:$A$780=AG13)*('Eval-Avec impact envisagé'!$N$761:$P$780="LS"))),1*(SUMPRODUCT(('Eval-Avec impact envisagé'!$A$761:$A$780=AG13)*('Eval-Avec impact envisagé'!$N$761:$P$780="SL"))+ SUMPRODUCT(('Eval-Avec impact envisagé'!$A$761:$A$780=AG13)*('Eval-Avec impact envisagé'!$N$761:$P$780="S"))))/(3*COUNTIF('Eval-Avec impact envisagé'!$A$761:$A$780,AG13))),"")</f>
        <v/>
      </c>
      <c r="AX13" s="211" t="str">
        <f>IF(COUNTIF('Eval-Avec impact envisagé'!$A$761:$A$780,AG13)&gt;0,IF(OR(AND('Eval-Avec impact envisagé'!$A$761=AG13,BD9&lt;120),AND('Eval-Avec impact envisagé'!$A$762=AG13,BD10&lt;120),AND('Eval-Avec impact envisagé'!$A$763=AG13,BD11&lt;120),AND('Eval-Avec impact envisagé'!$A$764=AG13,BD12&lt;120),AND('Eval-Avec impact envisagé'!$A$765=AG13,BD13&lt;120),AND('Eval-Avec impact envisagé'!$A$766=AG13,BD14&lt;120),AND('Eval-Avec impact envisagé'!$A$767=AG13,BD15&lt;120),AND('Eval-Avec impact envisagé'!$A$768=AG13,BD16&lt;120),AND('Eval-Avec impact envisagé'!$A$769=AG13,BD17&lt;120),AND('Eval-Avec impact envisagé'!$A$770=AG13,BD18&lt;120),AND('Eval-Avec impact envisagé'!$A$771=AG13,BD19&lt;120),AND('Eval-Avec impact envisagé'!$A$772=AG13,BD20&lt;120),AND('Eval-Avec impact envisagé'!$A$773=AG13,BD21&lt;120),AND('Eval-Avec impact envisagé'!$A$774=AG13,BD22&lt;120),AND('Eval-Avec impact envisagé'!$A$775=AG13,BD23&lt;120),AND('Eval-Avec impact envisagé'!$A$776=AG13,BD24&lt;120),AND('Eval-Avec impact envisagé'!$A$777=AG13,BD25&lt;120),AND('Eval-Avec impact envisagé'!$A$778=AG13,BD26&lt;120),AND('Eval-Avec impact envisagé'!$A$779=AG13,BD27&lt;120),AND('Eval-Avec impact envisagé'!$A$780=AG13,BD28&lt;120)),"",SUM(0.1*(SUMPRODUCT(('Eval-Avec impact envisagé'!$A$761:$A$780=AG13)*('Eval-Avec impact envisagé'!$Q$761:$Y$780="A"))+ SUMPRODUCT(('Eval-Avec impact envisagé'!$A$761:$A$780=AG13)*('Eval-Avec impact envisagé'!$Q$761:$Y$780="AL"))),0.7*(SUMPRODUCT(('Eval-Avec impact envisagé'!$A$761:$A$780=AG13)*('Eval-Avec impact envisagé'!$Q$761:$Y$780="TF"))+SUMPRODUCT(('Eval-Avec impact envisagé'!$A$761:$A$780=AG13)*('Eval-Avec impact envisagé'!$Q$761:$Y$780="TM"))+SUMPRODUCT(('Eval-Avec impact envisagé'!$A$761:$A$780=AG13)*('Eval-Avec impact envisagé'!$Q$761:$Y$780="TS"))),0.4*(SUMPRODUCT(('Eval-Avec impact envisagé'!$A$761:$A$780=AG13)*('Eval-Avec impact envisagé'!$Q$761:$Y$780="LA"))+SUMPRODUCT(('Eval-Avec impact envisagé'!$A$761:$A$780=AG13)*('Eval-Avec impact envisagé'!$Q$761:$Y$780="L"))+SUMPRODUCT(('Eval-Avec impact envisagé'!$A$761:$A$780=AG13)*('Eval-Avec impact envisagé'!$Q$761:$Y$780="LS"))),1*(SUMPRODUCT(('Eval-Avec impact envisagé'!$A$761:$A$780=AG13)*('Eval-Avec impact envisagé'!$Q$761:$Y$780="SL"))+ SUMPRODUCT(('Eval-Avec impact envisagé'!$A$761:$A$780=AG13)*('Eval-Avec impact envisagé'!$Q$761:$Y$780="S"))))/(9*COUNTIF('Eval-Avec impact envisagé'!$A$761:$A$780,AG13))),"")</f>
        <v/>
      </c>
      <c r="AY13" s="211" t="str">
        <f>IF(COUNTIF('Eval-Avec impact envisagé'!$A$761:$A$780,AG13)&gt;0,IF(OR(AND('Eval-Avec impact envisagé'!$A$761=AG13,OR(COUNTIF('Eval-Avec impact envisagé'!$N$761:$P$761,"*T*")&gt;0,BD9&lt;30)),AND('Eval-Avec impact envisagé'!$A$762=AG13,OR(COUNTIF('Eval-Avec impact envisagé'!$N$762:$P$762,"*T*")&gt;0,BD10&lt;30)),AND('Eval-Avec impact envisagé'!$A$763=AG13,OR(COUNTIF('Eval-Avec impact envisagé'!$N$763:$P$763,"*T*")&gt;0,BD11&lt;30)),AND('Eval-Avec impact envisagé'!$A$764=AG13,OR(COUNTIF('Eval-Avec impact envisagé'!$N$764:$P$764,"*T*")&gt;0,BD12&lt;30)),AND('Eval-Avec impact envisagé'!$A$765=AG13,OR(COUNTIF('Eval-Avec impact envisagé'!$N$765:$P$765,"*T*")&gt;0,BD13&lt;30)),AND('Eval-Avec impact envisagé'!$A$766=AG13,OR(COUNTIF('Eval-Avec impact envisagé'!$N$766:$P$766,"*T*")&gt;0,BD14&lt;30)),AND('Eval-Avec impact envisagé'!$A$767=AG13,OR(COUNTIF('Eval-Avec impact envisagé'!$N$767:$P$767,"*T*")&gt;0,BD15&lt;30)),AND('Eval-Avec impact envisagé'!$A$768=AG13,OR(COUNTIF('Eval-Avec impact envisagé'!$N$768:$P$768,"*T*")&gt;0,BD16&lt;30)),AND('Eval-Avec impact envisagé'!$A$769=AG13,OR(COUNTIF('Eval-Avec impact envisagé'!$N$769:$P$769,"*T*")&gt;0,BD17&lt;30)),AND('Eval-Avec impact envisagé'!$A$770=AG13,OR(COUNTIF('Eval-Avec impact envisagé'!$N$770:$P$770,"*T*")&gt;0,BD18&lt;30)),AND('Eval-Avec impact envisagé'!$A$771=AG13,OR(COUNTIF('Eval-Avec impact envisagé'!$N$771:$P$771,"*T*")&gt;0,BD19&lt;30)),AND('Eval-Avec impact envisagé'!$A$772=AG13,OR(COUNTIF('Eval-Avec impact envisagé'!$N$772:$P$772,"*T*")&gt;0,BD20&lt;30)),AND('Eval-Avec impact envisagé'!$A$773=AG13,OR(COUNTIF('Eval-Avec impact envisagé'!$N$773:$P$773,"*T*")&gt;0,BD21&lt;30)),AND('Eval-Avec impact envisagé'!$A$774=AG13,OR(COUNTIF('Eval-Avec impact envisagé'!$N$774:$P$774,"*T*")&gt;0,BD22&lt;30)),AND('Eval-Avec impact envisagé'!$A$775=AG13,OR(COUNTIF('Eval-Avec impact envisagé'!$N$775:$P$775,"*T*")&gt;0,BD23&lt;30)),AND('Eval-Avec impact envisagé'!$A$776=AG13,OR(COUNTIF('Eval-Avec impact envisagé'!$N$776:$P$776,"*T*")&gt;0,BD24&lt;30)),AND('Eval-Avec impact envisagé'!$A$777=AG13,OR(COUNTIF('Eval-Avec impact envisagé'!$N$777:$P$777,"*T*")&gt;0,BD25&lt;30)),AND('Eval-Avec impact envisagé'!$A$778=AG13,OR(COUNTIF('Eval-Avec impact envisagé'!$N$778:$P$778,"*T*")&gt;0,BD26&lt;30)),AND('Eval-Avec impact envisagé'!$A$779=AG13,OR(COUNTIF('Eval-Avec impact envisagé'!$N$779:$P$779,"*T*")&gt;0,BD27&lt;30)),AND('Eval-Avec impact envisagé'!$A$780=AG13,OR(COUNTIF('Eval-Avec impact envisagé'!$N$780:$P$780,"*T*")&gt;0,BD28&lt;30))),"",SUM(0.1*(SUMPRODUCT(('Eval-Avec impact envisagé'!$A$761:$A$780=AG13)*('Eval-Avec impact envisagé'!$N$761:$P$780="L"))),0.4*(SUMPRODUCT(('Eval-Avec impact envisagé'!$A$761:$A$780=AG13)*('Eval-Avec impact envisagé'!$N$761:$P$780="LA"))+SUMPRODUCT(('Eval-Avec impact envisagé'!$A$761:$A$780=AG13)*('Eval-Avec impact envisagé'!$N$761:$P$780="LS"))),0.7*(SUMPRODUCT(('Eval-Avec impact envisagé'!$A$761:$A$780=AG13)*('Eval-Avec impact envisagé'!$N$761:$P$780="AL"))+SUMPRODUCT(('Eval-Avec impact envisagé'!$A$761:$A$780=AG13)*('Eval-Avec impact envisagé'!$N$761:$P$780="SL"))),1*(SUMPRODUCT(('Eval-Avec impact envisagé'!$A$761:$A$780=AG13)*('Eval-Avec impact envisagé'!$N$761:$P$780="S"))+ SUMPRODUCT(('Eval-Avec impact envisagé'!$A$761:$A$780=AG13)*('Eval-Avec impact envisagé'!$N$761:$P$780="A"))))/(3*COUNTIF('Eval-Avec impact envisagé'!$A$761:$A$780,AG13))),"")</f>
        <v/>
      </c>
      <c r="AZ13" s="211" t="str">
        <f>IF(COUNTIF('Eval-Avec impact envisagé'!$A$761:$A$780,AG13)&gt;0,IF(OR(AND('Eval-Avec impact envisagé'!$A$761=AG13,OR(COUNTIF('Eval-Avec impact envisagé'!$N$761:$P$761,"*T*")&gt;0,BD9&lt;30)),AND('Eval-Avec impact envisagé'!$A$762=AG13,OR(COUNTIF('Eval-Avec impact envisagé'!$N$762:$P$762,"*T*")&gt;0,BD10&lt;30)),AND('Eval-Avec impact envisagé'!$A$763=AG13,OR(COUNTIF('Eval-Avec impact envisagé'!$N$763:$P$763,"*T*")&gt;0,BD11&lt;30)),AND('Eval-Avec impact envisagé'!$A$764=AG13,OR(COUNTIF('Eval-Avec impact envisagé'!$N$764:$P$764,"*T*")&gt;0,BD12&lt;30)),AND('Eval-Avec impact envisagé'!$A$765=AG13,OR(COUNTIF('Eval-Avec impact envisagé'!$N$765:$P$765,"*T*")&gt;0,BD13&lt;30)),AND('Eval-Avec impact envisagé'!$A$766=AG13,OR(COUNTIF('Eval-Avec impact envisagé'!$N$766:$P$766,"*T*")&gt;0,BD14&lt;30)),AND('Eval-Avec impact envisagé'!$A$767=AG13,OR(COUNTIF('Eval-Avec impact envisagé'!$N$767:$P$767,"*T*")&gt;0,BD15&lt;30)),AND('Eval-Avec impact envisagé'!$A$768=AG13,OR(COUNTIF('Eval-Avec impact envisagé'!$N$768:$P$768,"*T*")&gt;0,BD16&lt;30)),AND('Eval-Avec impact envisagé'!$A$769=AG13,OR(COUNTIF('Eval-Avec impact envisagé'!$N$769:$P$769,"*T*")&gt;0,BD17&lt;30)),AND('Eval-Avec impact envisagé'!$A$770=AG13,OR(COUNTIF('Eval-Avec impact envisagé'!$N$770:$P$770,"*T*")&gt;0,BD18&lt;30)),AND('Eval-Avec impact envisagé'!$A$771=AG13,OR(COUNTIF('Eval-Avec impact envisagé'!$N$771:$P$771,"*T*")&gt;0,BD19&lt;30)),AND('Eval-Avec impact envisagé'!$A$772=AG13,OR(COUNTIF('Eval-Avec impact envisagé'!$N$772:$P$772,"*T*")&gt;0,BD20&lt;30)),AND('Eval-Avec impact envisagé'!$A$773=AG13,OR(COUNTIF('Eval-Avec impact envisagé'!$N$773:$P$773,"*T*")&gt;0,BD21&lt;30)),AND('Eval-Avec impact envisagé'!$A$774=AG13,OR(COUNTIF('Eval-Avec impact envisagé'!$N$774:$P$774,"*T*")&gt;0,BD22&lt;30)),AND('Eval-Avec impact envisagé'!$A$775=AG13,OR(COUNTIF('Eval-Avec impact envisagé'!$N$775:$P$775,"*T*")&gt;0,BD23&lt;30)),AND('Eval-Avec impact envisagé'!$A$776=AG13,OR(COUNTIF('Eval-Avec impact envisagé'!$N$776:$P$776,"*T*")&gt;0,BD24&lt;30)),AND('Eval-Avec impact envisagé'!$A$777=AG13,OR(COUNTIF('Eval-Avec impact envisagé'!$N$777:$P$777,"*T*")&gt;0,BD25&lt;30)),AND('Eval-Avec impact envisagé'!$A$778=AG13,OR(COUNTIF('Eval-Avec impact envisagé'!$N$778:$P$778,"*T*")&gt;0,BD26&lt;30)),AND('Eval-Avec impact envisagé'!$A$779=AG13,OR(COUNTIF('Eval-Avec impact envisagé'!$N$779:$P$779,"*T*")&gt;0,BD27&lt;30)),AND('Eval-Avec impact envisagé'!$A$780=AG13,OR(COUNTIF('Eval-Avec impact envisagé'!$N$780:$P$780,"*T*")&gt;0,BD28&lt;30))),"",SUM(1*(SUMPRODUCT(('Eval-Avec impact envisagé'!$A$761:$A$780=AG13)*('Eval-Avec impact envisagé'!$N$761:$P$780="A"))),0.85*(SUMPRODUCT(('Eval-Avec impact envisagé'!$A$761:$A$780=AG13)*('Eval-Avec impact envisagé'!$N$761:$P$780="AL"))),0.7*(SUMPRODUCT(('Eval-Avec impact envisagé'!$A$761:$A$780=AG13)*('Eval-Avec impact envisagé'!$N$761:$P$780="LA"))),0.55*(SUMPRODUCT(('Eval-Avec impact envisagé'!$A$761:$A$780=AG13)*('Eval-Avec impact envisagé'!$N$761:$P$780="L"))),0.4*(SUMPRODUCT(('Eval-Avec impact envisagé'!$A$761:$A$780=AG13)*('Eval-Avec impact envisagé'!$N$761:$P$780="LS"))),0.25*(SUMPRODUCT(('Eval-Avec impact envisagé'!$A$761:$A$780=AG13)*('Eval-Avec impact envisagé'!$N$761:$P$780="SL"))),0.1*(SUMPRODUCT(('Eval-Avec impact envisagé'!$A$761:$A$780=AG13)*('Eval-Avec impact envisagé'!$N$761:$P$780="S"))))/(3*COUNTIF('Eval-Avec impact envisagé'!$A$761:$A$780,AG13))),"")</f>
        <v/>
      </c>
      <c r="BA13" s="214" t="str">
        <f>IF(COUNTIF('Eval-Avec impact envisagé'!$A$761:$A$780,AG13)&gt;0,IF(OR(AND('Eval-Avec impact envisagé'!$A$761=AG13,OR(COUNTIF('Eval-Avec impact envisagé'!$Q$761:$Y$761,"*T*")&gt;0,BD9&lt;120)),AND('Eval-Avec impact envisagé'!$A$762=AG13,OR(COUNTIF('Eval-Avec impact envisagé'!$Q$762:$Y$762,"*T*")&gt;0,BD10&lt;120)),AND('Eval-Avec impact envisagé'!$A$763=AG13,OR(COUNTIF('Eval-Avec impact envisagé'!$Q$763:$Y$763,"*T*")&gt;0,BD11&lt;120)),AND('Eval-Avec impact envisagé'!$A$764=AG13,OR(COUNTIF('Eval-Avec impact envisagé'!$Q$764:$Y$764,"*T*")&gt;0,BD12&lt;120)),AND('Eval-Avec impact envisagé'!$A$765=AG13,OR(COUNTIF('Eval-Avec impact envisagé'!$Q$765:$Y$765,"*T*")&gt;0,BD13&lt;120)),AND('Eval-Avec impact envisagé'!$A$766=AG13,OR(COUNTIF('Eval-Avec impact envisagé'!$Q$766:$Y$766,"*T*")&gt;0,BD14&lt;120)),AND('Eval-Avec impact envisagé'!$A$767=AG13,OR(COUNTIF('Eval-Avec impact envisagé'!$Q$767:$Y$767,"*T*")&gt;0,BD15&lt;120)),AND('Eval-Avec impact envisagé'!$A$768=AG13,OR(COUNTIF('Eval-Avec impact envisagé'!$Q$768:$Y$768,"*T*")&gt;0,BD16&lt;120)),AND('Eval-Avec impact envisagé'!$A$769=AG13,OR(COUNTIF('Eval-Avec impact envisagé'!$Q$769:$Y$769,"*T*")&gt;0,BD17&lt;120)),AND('Eval-Avec impact envisagé'!$A$770=AG13,OR(COUNTIF('Eval-Avec impact envisagé'!$Q$770:$Y$770,"*T*")&gt;0,BD18&lt;120)),AND('Eval-Avec impact envisagé'!$A$771=AG13,OR(COUNTIF('Eval-Avec impact envisagé'!$Q$771:$Y$771,"*T*")&gt;0,BD19&lt;120)),AND('Eval-Avec impact envisagé'!$A$772=AG13,OR(COUNTIF('Eval-Avec impact envisagé'!$Q$772:$Y$772,"*T*")&gt;0,BD20&lt;120)),AND('Eval-Avec impact envisagé'!$A$773=AG13,OR(COUNTIF('Eval-Avec impact envisagé'!$Q$773:$Y$773,"*T*")&gt;0,BD21&lt;120)),AND('Eval-Avec impact envisagé'!$A$774=AG13,OR(COUNTIF('Eval-Avec impact envisagé'!$Q$774:$Y$774,"*T*")&gt;0,BD22&lt;120)),AND('Eval-Avec impact envisagé'!$A$775=AG13,OR(COUNTIF('Eval-Avec impact envisagé'!$Q$775:$Y$775,"*T*")&gt;0,BD23&lt;120)),AND('Eval-Avec impact envisagé'!$A$776=AG13,OR(COUNTIF('Eval-Avec impact envisagé'!$Q$776:$Y$776,"*T*")&gt;0,BD24&lt;120)),AND('Eval-Avec impact envisagé'!$A$777=AG13,OR(COUNTIF('Eval-Avec impact envisagé'!$Q$777:$Y$777,"*T*")&gt;0,BD25&lt;120)),AND('Eval-Avec impact envisagé'!$A$778=AG13,OR(COUNTIF('Eval-Avec impact envisagé'!$Q$778:$Y$778,"*T*")&gt;0,BD26&lt;120)),AND('Eval-Avec impact envisagé'!$A$779=AG13,OR(COUNTIF('Eval-Avec impact envisagé'!$Q$779:$Y$779,"*T*")&gt;0,BD27&lt;120)),AND('Eval-Avec impact envisagé'!$A$780=AG13,OR(COUNTIF('Eval-Avec impact envisagé'!$Q$780:$Y$780,"*T*")&gt;0,BD28&lt;120))),"",SUM(1*(SUMPRODUCT(('Eval-Avec impact envisagé'!$A$761:$A$780=AG13)*('Eval-Avec impact envisagé'!$Q$761:$Y$780="A"))),0.85*(SUMPRODUCT(('Eval-Avec impact envisagé'!$A$761:$A$780=AG13)*('Eval-Avec impact envisagé'!$Q$761:$Y$780="AL"))),0.7*(SUMPRODUCT(('Eval-Avec impact envisagé'!$A$761:$A$780=AG13)*('Eval-Avec impact envisagé'!$Q$761:$Y$780="LA"))),0.55*(SUMPRODUCT(('Eval-Avec impact envisagé'!$A$761:$A$780=AG13)*('Eval-Avec impact envisagé'!$Q$761:$Y$780="L"))),0.4*(SUMPRODUCT(('Eval-Avec impact envisagé'!$A$761:$A$780=AG13)*('Eval-Avec impact envisagé'!$Q$761:$Y$780="LS"))),0.25*(SUMPRODUCT(('Eval-Avec impact envisagé'!$A$761:$A$780=AG13)*('Eval-Avec impact envisagé'!$Q$761:$Y$780="SL"))),0.1*(SUMPRODUCT(('Eval-Avec impact envisagé'!$A$761:$A$780=AG13)*('Eval-Avec impact envisagé'!$Q$761:$Y$780="S"))))/(9*COUNTIF('Eval-Avec impact envisagé'!$A$761:$A$780,AG13))),"")</f>
        <v/>
      </c>
      <c r="BB13" s="215"/>
      <c r="BC13" s="216">
        <f>'Eval-Avec impact envisagé'!$D$765</f>
        <v>5</v>
      </c>
      <c r="BD13" s="217" t="str">
        <f>IF(BE13="C",0,IF(IF(COUNTIF('Eval-Avec impact envisagé'!$N$765:$Y$765,"=C")&gt;0,(COUNTA('Eval-Avec impact envisagé'!$N$765:$Y$765)-1)*10,COUNTA('Eval-Avec impact envisagé'!$N$765:$Y$765)*10)=0,"",IF(COUNTIF('Eval-Avec impact envisagé'!$N$765:$Y$765,"=C")&gt;0,(COUNTA('Eval-Avec impact envisagé'!$N$765:$Y$765)-1)*10,COUNTA('Eval-Avec impact envisagé'!$N$765:$Y$765)*10)))</f>
        <v/>
      </c>
      <c r="BE13" s="217" t="str">
        <f>CONCATENATE('Eval-Avec impact envisagé'!$N$765,'Eval-Avec impact envisagé'!$O$765,'Eval-Avec impact envisagé'!$P$765,'Eval-Avec impact envisagé'!$Q$765,'Eval-Avec impact envisagé'!$R$765,'Eval-Avec impact envisagé'!$S$765,'Eval-Avec impact envisagé'!$T$765,'Eval-Avec impact envisagé'!$U$765,'Eval-Avec impact envisagé'!$V$765,'Eval-Avec impact envisagé'!$W$765,'Eval-Avec impact envisagé'!$X$765,'Eval-Avec impact envisagé'!$Y$765)</f>
        <v/>
      </c>
      <c r="BF13" s="217" t="str">
        <f t="shared" si="4"/>
        <v/>
      </c>
      <c r="BG13" s="217" t="str">
        <f t="shared" si="5"/>
        <v/>
      </c>
      <c r="BH13" s="217" t="str">
        <f>IF(COUNTIF('Eval-Avec impact envisagé'!$N$765:$Y$765,"=C")&gt;0,"X","")</f>
        <v/>
      </c>
      <c r="BI13" s="217" t="str">
        <f t="shared" si="6"/>
        <v/>
      </c>
      <c r="BJ13" s="218" t="str">
        <f t="shared" si="7"/>
        <v/>
      </c>
      <c r="BK13" s="197"/>
      <c r="BM13" s="210">
        <v>5</v>
      </c>
      <c r="BN13" s="211" t="str">
        <f>IF(COUNTIF('Eval-Après impact'!$A$761:$A$780,BM13)&gt;0,SUM(IF('Eval-Après impact'!$A$761=BM13,'Eval-Après impact'!$B$761,0),IF('Eval-Après impact'!$A$762=BM13, 'Eval-Après impact'!$B$762,0),IF('Eval-Après impact'!$A$763=BM13, 'Eval-Après impact'!$B$763,0),IF('Eval-Après impact'!$A$764=BM13, 'Eval-Après impact'!$B$764,0),IF('Eval-Après impact'!$A$765=BM13, 'Eval-Après impact'!$B$765,0),IF('Eval-Après impact'!$A$766=BM13, 'Eval-Après impact'!$B$766,0),IF('Eval-Après impact'!$A$767=BM13, 'Eval-Après impact'!$B$767,0),IF('Eval-Après impact'!$A$768=BM13, 'Eval-Après impact'!$B$768,0),IF('Eval-Après impact'!$A$769=BM13, 'Eval-Après impact'!$B$769,0),IF('Eval-Après impact'!$A$770=BM13, 'Eval-Après impact'!$B$770,0),IF('Eval-Après impact'!$A$771=BM13, 'Eval-Après impact'!$B$771,0),IF('Eval-Après impact'!$A$772=BM13, 'Eval-Après impact'!$B$772,0),IF('Eval-Après impact'!$A$773=BM13, 'Eval-Après impact'!$B$773,0),IF('Eval-Après impact'!$A$774=BM13, 'Eval-Après impact'!$B$774,0),IF('Eval-Après impact'!$A$775=BM13, 'Eval-Après impact'!$B$775,0),IF('Eval-Après impact'!$A$776=BM13, 'Eval-Après impact'!$B$776,0),IF('Eval-Après impact'!$A$777=BM13, 'Eval-Après impact'!$B$777,0),IF('Eval-Après impact'!$A$778=BM13, 'Eval-Après impact'!$B$778,0),IF('Eval-Après impact'!$A$779=BM13, 'Eval-Après impact'!$B$779,0),IF('Eval-Après impact'!$A$780=BM13, 'Eval-Après impact'!$B$780,0))/COUNTIF('Eval-Après impact'!$A$761:$A$780,BM13),"")</f>
        <v/>
      </c>
      <c r="BO13" s="212" t="str">
        <f>IF(COUNTIF('Eval-Après impact'!$A$761:$A$780,BM13)&gt;0,COUNTIF('Eval-Après impact'!$A$761:$A$780,BM13),"")</f>
        <v/>
      </c>
      <c r="BP13" s="211" t="str">
        <f>IF(COUNTIF('Eval-Après impact'!$A$761:$A$780,BM13)&gt;0,IF(OR(AND('Eval-Après impact'!$A$761=BM13, 'Eval-Après impact'!$G$761=""),AND('Eval-Après impact'!$A$762=BM13, 'Eval-Après impact'!$G$762=""),AND('Eval-Après impact'!$A$763=BM13, 'Eval-Après impact'!$G$763=""),AND('Eval-Après impact'!$A$764=BM13, 'Eval-Après impact'!$G$764=""),AND('Eval-Après impact'!$A$765=BM13, 'Eval-Après impact'!$G$765=""),AND('Eval-Après impact'!$A$766=BM13, 'Eval-Après impact'!$G$766=""),AND('Eval-Après impact'!$A$767=BM13, 'Eval-Après impact'!$G$767=""),AND('Eval-Après impact'!$A$768=BM13, 'Eval-Après impact'!$G$768=""),AND('Eval-Après impact'!$A$769=BM13, 'Eval-Après impact'!$G$769=""),AND('Eval-Après impact'!$A$770=BM13, 'Eval-Après impact'!$G$770=""),AND('Eval-Après impact'!$A$771=BM13, 'Eval-Après impact'!$G$771=""),AND('Eval-Après impact'!$A$772=BM13, 'Eval-Après impact'!$G$772=""),AND('Eval-Après impact'!$A$773=BM13, 'Eval-Après impact'!$G$773=""),AND('Eval-Après impact'!$A$774=BM13, 'Eval-Après impact'!$G$774=""),AND('Eval-Après impact'!$A$775=BM13, 'Eval-Après impact'!$G$775=""),AND('Eval-Après impact'!$A$776=BM13, 'Eval-Après impact'!$G$776=""),AND('Eval-Après impact'!$A$777=BM13, 'Eval-Après impact'!$G$777=""),AND('Eval-Après impact'!$A$778=BM13, 'Eval-Après impact'!$G$778=""),AND('Eval-Après impact'!$A$779=BM13, 'Eval-Après impact'!$G$779=""),AND('Eval-Après impact'!$A$780=BM13, 'Eval-Après impact'!$G$780="")),"",SUM(IF('Eval-Après impact'!$A$761=BM13,'Eval-Après impact'!$G$761,0),IF('Eval-Après impact'!$A$762=BM13,'Eval-Après impact'!$G$762,0),IF('Eval-Après impact'!$A$763=BM13,'Eval-Après impact'!$G$763,0),IF('Eval-Après impact'!$A$764=BM13,'Eval-Après impact'!$G$764,0),IF('Eval-Après impact'!$A$765=BM13,'Eval-Après impact'!$G$765,0),IF('Eval-Après impact'!$A$766=BM13,'Eval-Après impact'!$G$766,0),IF('Eval-Après impact'!$A$767=BM13,'Eval-Après impact'!$G$767,0),IF('Eval-Après impact'!$A$768=BM13,'Eval-Après impact'!$G$768,0),IF('Eval-Après impact'!$A$769=BM13,'Eval-Après impact'!$G$769,0),IF('Eval-Après impact'!$A$770=BM13,'Eval-Après impact'!$G$770,0),IF('Eval-Après impact'!$A$771=BM13,'Eval-Après impact'!$G$771,0),IF('Eval-Après impact'!$A$772=BM13,'Eval-Après impact'!$G$772,0),IF('Eval-Après impact'!$A$773=BM13,'Eval-Après impact'!$G$773,0),IF('Eval-Après impact'!$A$774=BM13,'Eval-Après impact'!$G$774,0),IF('Eval-Après impact'!$A$775=BM13,'Eval-Après impact'!$G$775,0), IF('Eval-Après impact'!$A$776=BM13,'Eval-Après impact'!$G$776,0), IF('Eval-Après impact'!$A$777=BM13,'Eval-Après impact'!$G$777,0), IF('Eval-Après impact'!$A$778=BM13,'Eval-Après impact'!$G$778,0), IF('Eval-Après impact'!$A$779=BM13,'Eval-Après impact'!$G$779,0), IF('Eval-Après impact'!$A$780=BM13,'Eval-Après impact'!$G$780,0))/ COUNTIF('Eval-Après impact'!$A$761:$A$780,BM13)),"")</f>
        <v/>
      </c>
      <c r="BQ13" s="212" t="str">
        <f>IF(COUNTIF('Eval-Après impact'!$A$761:$A$780,BM13)&gt;0,IF(SUM(IF('Eval-Après impact'!$A$761=BM13,COUNTA('Eval-Après impact'!$H$761),0),IF('Eval-Après impact'!$A$762=BM13,COUNTA('Eval-Après impact'!$H$762),0),IF('Eval-Après impact'!$A$763=BM13,COUNTA('Eval-Après impact'!$H$763),0),IF('Eval-Après impact'!$A$764=BM13,COUNTA('Eval-Après impact'!$H$764),0),IF('Eval-Après impact'!$A$765=BM13,COUNTA('Eval-Après impact'!$H$765),0),IF('Eval-Après impact'!$A$766=BM13,COUNTA('Eval-Après impact'!$H$766),0),IF('Eval-Après impact'!$A$767=BM13,COUNTA('Eval-Après impact'!$H$767),0),IF('Eval-Après impact'!$A$768=BM13,COUNTA('Eval-Après impact'!$H$768),0),IF('Eval-Après impact'!$A$769=BM13,COUNTA('Eval-Après impact'!$H$769),0),IF('Eval-Après impact'!$A$770=BM13,COUNTA('Eval-Après impact'!$H$770),0),IF('Eval-Après impact'!$A$771=BM13,COUNTA('Eval-Après impact'!$H$771),0),IF('Eval-Après impact'!$A$772=BM13,COUNTA('Eval-Après impact'!$H$772),0),IF('Eval-Après impact'!$A$773=BM13,COUNTA('Eval-Après impact'!$H$773),0),IF('Eval-Après impact'!$A$774=BM13,COUNTA('Eval-Après impact'!$H$774),0),IF('Eval-Après impact'!$A$775=BM13,COUNTA('Eval-Après impact'!$H$775),0),IF('Eval-Après impact'!$A$776=BM13,COUNTA('Eval-Après impact'!$H$776),0),IF('Eval-Après impact'!$A$777=BM13,COUNTA('Eval-Après impact'!$H$777),0),IF('Eval-Après impact'!$A$778=BM13,COUNTA('Eval-Après impact'!$H$778),0),IF('Eval-Après impact'!$A$779=BM13,COUNTA('Eval-Après impact'!$H$779),0),IF('Eval-Après impact'!$A$780=BM13,COUNTA('Eval-Après impact'!$H$780),0))&gt;0,"X",0),"")</f>
        <v/>
      </c>
      <c r="BR13" s="213" t="str">
        <f>IF(COUNTIF('Eval-Après impact'!$A$761:$A$780,BM13)&gt;0,IF(SUM(IF('Eval-Après impact'!$A$761=BM13,COUNTA('Eval-Après impact'!$I$761),0),IF('Eval-Après impact'!$A$762=BM13,COUNTA('Eval-Après impact'!$I$762),0),IF('Eval-Après impact'!$A$763=BM13,COUNTA('Eval-Après impact'!$I$763),0),IF('Eval-Après impact'!$A$764=BM13,COUNTA('Eval-Après impact'!$I$764),0),IF('Eval-Après impact'!$A$765=BM13,COUNTA('Eval-Après impact'!$I$765),0),IF('Eval-Après impact'!$A$766=BM13,COUNTA('Eval-Après impact'!$I$766),0),IF('Eval-Après impact'!$A$767=BM13,COUNTA('Eval-Après impact'!$I$767),0),IF('Eval-Après impact'!$A$768=BM13,COUNTA('Eval-Après impact'!$I$768),0),IF('Eval-Après impact'!$A$769=BM13,COUNTA('Eval-Après impact'!$I$769),0),IF('Eval-Après impact'!$A$770=BM13,COUNTA('Eval-Après impact'!$I$770),0),IF('Eval-Après impact'!$A$771=BM13,COUNTA('Eval-Après impact'!$I$771),0),IF('Eval-Après impact'!$A$772=BM13,COUNTA('Eval-Après impact'!$I$772),0),IF('Eval-Après impact'!$A$773=BM13,COUNTA('Eval-Après impact'!$I$773),0),IF('Eval-Après impact'!$A$774=BM13,COUNTA('Eval-Après impact'!$I$774),0),IF('Eval-Après impact'!$A$775=BM13,COUNTA('Eval-Après impact'!$I$775),0),IF('Eval-Après impact'!$A$776=BM13,COUNTA('Eval-Après impact'!$I$776),0),IF('Eval-Après impact'!$A$777=BM13,COUNTA('Eval-Après impact'!$I$777),0),IF('Eval-Après impact'!$A$778=BM13,COUNTA('Eval-Après impact'!$I$778),0),IF('Eval-Après impact'!$A$779=BM13,COUNTA('Eval-Après impact'!$I$779),0),IF('Eval-Après impact'!$A$780=BM13,COUNTA('Eval-Après impact'!$I$780),0))&gt;0,"X",0),"")</f>
        <v/>
      </c>
      <c r="BS13" s="213" t="str">
        <f>IF(COUNTIF('Eval-Après impact'!$A$761:$A$780,BM13)&gt;0,IF(SUM(IF('Eval-Après impact'!$A$761=BM13,COUNTA('Eval-Après impact'!$J$761),0),IF('Eval-Après impact'!$A$762=BM13,COUNTA('Eval-Après impact'!$J$762),0),IF('Eval-Après impact'!$A$763=BM13,COUNTA('Eval-Après impact'!$J$763),0),IF('Eval-Après impact'!$A$764=BM13,COUNTA('Eval-Après impact'!$J$764),0),IF('Eval-Après impact'!$A$765=BM13,COUNTA('Eval-Après impact'!$J$765),0),IF('Eval-Après impact'!$A$766=BM13,COUNTA('Eval-Après impact'!$J$766),0),IF('Eval-Après impact'!$A$767=BM13,COUNTA('Eval-Après impact'!$J$767),0),IF('Eval-Après impact'!$A$768=BM13,COUNTA('Eval-Après impact'!$J$768),0),IF('Eval-Après impact'!$A$769=BM13,COUNTA('Eval-Après impact'!$J$769),0),IF('Eval-Après impact'!$A$770=BM13,COUNTA('Eval-Après impact'!$J$770),0),IF('Eval-Après impact'!$A$771=BM13,COUNTA('Eval-Après impact'!$J$771),0),IF('Eval-Après impact'!$A$772=BM13,COUNTA('Eval-Après impact'!$J$772),0),IF('Eval-Après impact'!$A$773=BM13,COUNTA('Eval-Après impact'!$J$773),0),IF('Eval-Après impact'!$A$774=BM13,COUNTA('Eval-Après impact'!$J$774),0),IF('Eval-Après impact'!$A$775=BM13,COUNTA('Eval-Après impact'!$J$775),0),IF('Eval-Après impact'!$A$776=BM13,COUNTA('Eval-Après impact'!$J$776),0),IF('Eval-Après impact'!$A$777=BM13,COUNTA('Eval-Après impact'!$J$777),0),IF('Eval-Après impact'!$A$778=BM13,COUNTA('Eval-Après impact'!$J$778),0),IF('Eval-Après impact'!$A$779=BM13,COUNTA('Eval-Après impact'!$J$779),0),IF('Eval-Après impact'!$A$780=BM13,COUNTA('Eval-Après impact'!$J$780),0))&gt;0,"X",0),"")</f>
        <v/>
      </c>
      <c r="BT13" s="213" t="str">
        <f>IF(COUNTIF('Eval-Après impact'!$A$761:$A$780,BM13)&gt;0,IF(SUM(IF('Eval-Après impact'!$A$761=BM13,COUNTA('Eval-Après impact'!$K$761),0),IF('Eval-Après impact'!$A$762=BM13,COUNTA('Eval-Après impact'!$K$762),0),IF('Eval-Après impact'!$A$763=BM13,COUNTA('Eval-Après impact'!$K$763),0),IF('Eval-Après impact'!$A$764=BM13,COUNTA('Eval-Après impact'!$K$764),0),IF('Eval-Après impact'!$A$765=BM13,COUNTA('Eval-Après impact'!$K$765),0),IF('Eval-Après impact'!$A$766=BM13,COUNTA('Eval-Après impact'!$K$766),0),IF('Eval-Après impact'!$A$767=BM13,COUNTA('Eval-Après impact'!$K$767),0),IF('Eval-Après impact'!$A$768=BM13,COUNTA('Eval-Après impact'!$K$768),0),IF('Eval-Après impact'!$A$769=BM13,COUNTA('Eval-Après impact'!$K$769),0),IF('Eval-Après impact'!$A$770=BM13,COUNTA('Eval-Après impact'!$K$770),0),IF('Eval-Après impact'!$A$771=BM13,COUNTA('Eval-Après impact'!$K$771),0),IF('Eval-Après impact'!$A$772=BM13,COUNTA('Eval-Après impact'!$K$772),0),IF('Eval-Après impact'!$A$773=BM13,COUNTA('Eval-Après impact'!$K$773),0),IF('Eval-Après impact'!$A$774=BM13,COUNTA('Eval-Après impact'!$K$774),0),IF('Eval-Après impact'!$A$775=BM13,COUNTA('Eval-Après impact'!$K$775),0),IF('Eval-Après impact'!$A$776=BM13,COUNTA('Eval-Après impact'!$K$776),0),IF('Eval-Après impact'!$A$777=BM13,COUNTA('Eval-Après impact'!$K$777),0),IF('Eval-Après impact'!$A$778=BM13,COUNTA('Eval-Après impact'!$K$778),0),IF('Eval-Après impact'!$A$779=BM13,COUNTA('Eval-Après impact'!$K$779),0),IF('Eval-Après impact'!$A$780=BM13,COUNTA('Eval-Après impact'!$K$780),0))&gt;0,"X",0),"")</f>
        <v/>
      </c>
      <c r="BU13" s="211" t="str">
        <f>IF(COUNTIF('Eval-Après impact'!$A$761:$A$780,BM13)&gt;0,IF(OR(AND('Eval-Après impact'!$A$761=BM13,'Eval-Après impact'!$L$761&lt;120,'Eval-Après impact'!$L$761&gt;=CJ9),AND('Eval-Après impact'!$A$762=BM13,'Eval-Après impact'!$L$762&lt;120,'Eval-Après impact'!$L$762&gt;=CJ10),AND('Eval-Après impact'!$A$763=BM13,'Eval-Après impact'!$L$763&lt;120,'Eval-Après impact'!$L$763&gt;=CJ11),AND('Eval-Après impact'!$A$764=BM13,'Eval-Après impact'!$L$764&lt;120,'Eval-Après impact'!$L$764&gt;=CJ12),AND('Eval-Après impact'!$A$765=BM13,'Eval-Après impact'!$L$765&lt;120,'Eval-Après impact'!$L$765&gt;=CJ13),AND('Eval-Après impact'!$A$766=BM13,'Eval-Après impact'!$L$766&lt;120,'Eval-Après impact'!$L$766&gt;=CJ14),AND('Eval-Après impact'!$A$767=BM13,'Eval-Après impact'!$L$767&lt;120,'Eval-Après impact'!$L$767&gt;=CJ15),AND('Eval-Après impact'!$A$768=BM13,'Eval-Après impact'!$L$768&lt;120,'Eval-Après impact'!$L$768&gt;=CJ16),AND('Eval-Après impact'!$A$769=BM13,'Eval-Après impact'!$L$769&lt;120,'Eval-Après impact'!$L$769&gt;=CJ17),AND('Eval-Après impact'!$A$770=BM13,'Eval-Après impact'!$L$770&lt;120,'Eval-Après impact'!$L$770&gt;=CJ18),AND('Eval-Après impact'!$A$771=BM13,'Eval-Après impact'!$L$771&lt;120,'Eval-Après impact'!$L$771&gt;=CJ19),AND('Eval-Après impact'!$A$772=BM13,'Eval-Après impact'!$L$772&lt;120,'Eval-Après impact'!$L$772&gt;=CJ20),AND('Eval-Après impact'!$A$773=BM13,'Eval-Après impact'!$L$773&lt;120,'Eval-Après impact'!$L$773&gt;=CJ21),AND('Eval-Après impact'!$A$774=BM13,'Eval-Après impact'!$L$774&lt;120,'Eval-Après impact'!$L$774&gt;=CJ22),AND('Eval-Après impact'!$A$775=BM13,'Eval-Après impact'!$L$775&lt;120,'Eval-Après impact'!$L$775&gt;=CJ23),AND('Eval-Après impact'!$A$776=BM13,'Eval-Après impact'!$L$776&lt;120,'Eval-Après impact'!$L$776&gt;=CJ24),AND('Eval-Après impact'!$A$777=BM13,'Eval-Après impact'!$L$777&lt;120,'Eval-Après impact'!$L$777&gt;=CJ25),AND('Eval-Après impact'!$A$778=BM13,'Eval-Après impact'!$L$778&lt;120,'Eval-Après impact'!$L$778&gt;=CJ26),AND('Eval-Après impact'!$A$779=BM13,'Eval-Après impact'!$L$779&lt;120,'Eval-Après impact'!$L$779&gt;=CJ27),AND('Eval-Après impact'!$A$780=BM13,'Eval-Après impact'!$L$780&lt;120,'Eval-Après impact'!$L$780&gt;=CJ28)),"",SUM(IF('Eval-Après impact'!$A$761=BM13,'Eval-Après impact'!$L$761,0),IF('Eval-Après impact'!$A$762=BM13,'Eval-Après impact'!$L$762,0),IF('Eval-Après impact'!$A$763=BM13,'Eval-Après impact'!$L$763,0),IF('Eval-Après impact'!$A$764=BM13,'Eval-Après impact'!$L$764,0),IF('Eval-Après impact'!$A$765=BM13,'Eval-Après impact'!$L$765,0),IF('Eval-Après impact'!$A$766=BM13,'Eval-Après impact'!$L$766,0),IF('Eval-Après impact'!$A$767=BM13,'Eval-Après impact'!$L$767,0),IF('Eval-Après impact'!$A$768=BM13,'Eval-Après impact'!$L$768,0),IF('Eval-Après impact'!$A$769=BM13,'Eval-Après impact'!$L$769,0),IF('Eval-Après impact'!$A$770=BM13,'Eval-Après impact'!$L$770,0),IF('Eval-Après impact'!$A$771=BM13,'Eval-Après impact'!$L$771,0),IF('Eval-Après impact'!$A$772=BM13,'Eval-Après impact'!$L$772,0),IF('Eval-Après impact'!$A$773=BM13,'Eval-Après impact'!$L$773,0),IF('Eval-Après impact'!$A$774=BM13,'Eval-Après impact'!$L$774,0),IF('Eval-Après impact'!$A$775=BM13,'Eval-Après impact'!$L$775,0),IF('Eval-Après impact'!$A$776=BM13,'Eval-Après impact'!$L$776,0),IF('Eval-Après impact'!$A$777=BM13,'Eval-Après impact'!$L$777,0),IF('Eval-Après impact'!$A$778=BM13,'Eval-Après impact'!$L$778,0),IF('Eval-Après impact'!$A$779=BM13,'Eval-Après impact'!$L$779,0),IF('Eval-Après impact'!$A$780=BM13,'Eval-Après impact'!$L$780,0))/ COUNTIF('Eval-Après impact'!$A$761:$A$780,BM13)),"")</f>
        <v/>
      </c>
      <c r="BV13" s="211" t="str">
        <f>IF(COUNTIF('Eval-Après impact'!$A$761:$A$780,BM13)&gt;0,IF(OR(AND('Eval-Après impact'!$A$761=BM13, CJ9&lt;120),AND(CJ10&lt;120),AND(CJ11&lt;120),AND(CJ12&lt;120),AND(CJ13&lt;120),AND(CJ14&lt;120),AND(CJ15&lt;120),AND(CJ16&lt;120),AND(CJ17&lt;120),AND(CJ18&lt;120),AND(CJ19&lt;120),AND(CJ20&lt;120),AND(CJ21&lt;120),AND(CJ22&lt;120),AND(CJ23&lt;120),AND(CJ24&lt;120),AND(CJ25&lt;120),AND(CJ26&lt;120),AND(CJ27&lt;120),AND(CJ28&lt;120)),"",SUM(IF('Eval-Après impact'!$A$761=BM13,'Eval-Après impact'!$M$761,0),IF('Eval-Après impact'!$A$762=BM13,'Eval-Après impact'!$M$762,0),IF('Eval-Après impact'!$A$763=BM13,'Eval-Après impact'!$M$763,0),IF('Eval-Après impact'!$A$764=BM13,'Eval-Après impact'!$M$764,0),IF('Eval-Après impact'!$A$765=BM13,'Eval-Après impact'!$M$765,0),IF('Eval-Après impact'!$A$766=BM13,'Eval-Après impact'!$M$766,0),IF('Eval-Après impact'!$A$767=BM13,'Eval-Après impact'!$M$767,0),IF('Eval-Après impact'!$A$768=BM13,'Eval-Après impact'!$M$768,0),IF('Eval-Après impact'!$A$769=BM13,'Eval-Après impact'!$M$769,0),IF('Eval-Après impact'!$A$770=BM13,'Eval-Après impact'!$M$770,0),IF('Eval-Après impact'!$A$771=BM13,'Eval-Après impact'!$M$771,0),IF('Eval-Après impact'!$A$772=BM13,'Eval-Après impact'!$M$772,0),IF('Eval-Après impact'!$A$773=BM13,'Eval-Après impact'!$M$773,0),IF('Eval-Après impact'!$A$774=BM13,'Eval-Après impact'!$M$774,0),IF('Eval-Après impact'!$A$775=BM13,'Eval-Après impact'!$M$775,0), IF('Eval-Après impact'!$A$776=BM13,'Eval-Après impact'!$M$776,0), IF('Eval-Après impact'!$A$777=BM13,'Eval-Après impact'!$M$777,0), IF('Eval-Après impact'!$A$778=BM13,'Eval-Après impact'!$M$778,0), IF('Eval-Après impact'!$A$779=BM13,'Eval-Après impact'!$M$779,0), IF('Eval-Après impact'!$A$780=BM13,'Eval-Après impact'!$M$780,0))/COUNTIF('Eval-Après impact'!$A$761:$A$780,BM13)),"")</f>
        <v/>
      </c>
      <c r="BW13" s="211" t="str">
        <f>IF(COUNTIF('Eval-Après impact'!$A$761:$A$780,BM13)&gt;0,SUM(IF('Eval-Après impact'!$A$761=BM13,LEN(SUBSTITUTE((SUBSTITUTE(CL9,"TM","")),"TS",""))*10/2,0),IF('Eval-Après impact'!$A$762=BM13,LEN(SUBSTITUTE((SUBSTITUTE(CL10,"TM","")),"TS",""))*10/2,0),IF('Eval-Après impact'!$A$763=BM13,LEN(SUBSTITUTE((SUBSTITUTE(CL11,"TM","")),"TS",""))*10/2,0),IF('Eval-Après impact'!$A$764=BM13,LEN(SUBSTITUTE((SUBSTITUTE(CL12,"TM","")),"TS",""))*10/2,0),IF('Eval-Après impact'!$A$765=BM13,LEN(SUBSTITUTE((SUBSTITUTE(CL13,"TM","")),"TS",""))*10/2,0),IF('Eval-Après impact'!$A$766=BM13,LEN(SUBSTITUTE((SUBSTITUTE(CL14,"TM","")),"TS",""))*10/2,0),IF('Eval-Après impact'!$A$767=BM13,LEN(SUBSTITUTE((SUBSTITUTE(CL15,"TM","")),"TS",""))*10/2,0),IF('Eval-Après impact'!$A$768=BM13,LEN(SUBSTITUTE((SUBSTITUTE(CL16,"TM","")),"TS",""))*10/2,0),IF('Eval-Après impact'!$A$769=BM13,LEN(SUBSTITUTE((SUBSTITUTE(CL17,"TM","")),"TS",""))*10/2,0),IF('Eval-Après impact'!$A$770=BM13,LEN(SUBSTITUTE((SUBSTITUTE(CL18,"TM","")),"TS",""))*10/2,0),IF('Eval-Après impact'!$A$771=BM13,LEN(SUBSTITUTE((SUBSTITUTE(CL19,"TM","")),"TS",""))*10/2,0),IF('Eval-Après impact'!$A$772=BM13,LEN(SUBSTITUTE((SUBSTITUTE(CL20,"TM","")),"TS",""))*10/2,0),IF('Eval-Après impact'!$A$773=BM13,LEN(SUBSTITUTE((SUBSTITUTE(CL21,"TM","")),"TS",""))*10/2,0),IF('Eval-Après impact'!$A$774=BM13,LEN(SUBSTITUTE((SUBSTITUTE(CL22,"TM","")),"TS",""))*10/2,0),IF('Eval-Après impact'!$A$775=BM13,LEN(SUBSTITUTE((SUBSTITUTE(CL23,"TM","")),"TS",""))*10/2,0),IF('Eval-Après impact'!$A$776=BM13,LEN(SUBSTITUTE((SUBSTITUTE(CL24,"TM","")),"TS",""))*10/2,0),IF('Eval-Après impact'!$A$777=BM13,LEN(SUBSTITUTE((SUBSTITUTE(CL25,"TM","")),"TS",""))*10/2,0),IF('Eval-Après impact'!$A$778=BM13,LEN(SUBSTITUTE((SUBSTITUTE(CL26,"TM","")),"TS",""))*10/2,0),IF('Eval-Après impact'!$A$779=BM13,LEN(SUBSTITUTE((SUBSTITUTE(CL27,"TM","")),"TS",""))*10/2,0),IF('Eval-Après impact'!$A$780=BM13,LEN(SUBSTITUTE((SUBSTITUTE(CL28,"TM","")),"TS",""))*10/2,0))/COUNTIF('Eval-Après impact'!$A$761:$A$780,BM13),"")</f>
        <v/>
      </c>
      <c r="BX13" s="211" t="str">
        <f>IF(COUNTIF('Eval-Après impact'!$A$761:$A$780,BM13)&gt;0,SUM(IF('Eval-Après impact'!$A$761=BM13,LEN(SUBSTITUTE((SUBSTITUTE(CL9,"TF","")),"TS",""))*10/2,0),IF('Eval-Après impact'!$A$762=BM13,LEN(SUBSTITUTE((SUBSTITUTE(CL10,"TF","")),"TS",""))*10/2,0),IF('Eval-Après impact'!$A$763=BM13,LEN(SUBSTITUTE((SUBSTITUTE(CL11,"TF","")),"TS",""))*10/2,0),IF('Eval-Après impact'!$A$764=BM13,LEN(SUBSTITUTE((SUBSTITUTE(CL12,"TF","")),"TS",""))*10/2,0),IF('Eval-Après impact'!$A$765=BM13,LEN(SUBSTITUTE((SUBSTITUTE(CL13,"TF","")),"TS",""))*10/2,0),IF('Eval-Après impact'!$A$766=BM13,LEN(SUBSTITUTE((SUBSTITUTE(CL14,"TF","")),"TS",""))*10/2,0),IF('Eval-Après impact'!$A$767=BM13,LEN(SUBSTITUTE((SUBSTITUTE(CL15,"TF","")),"TS",""))*10/2,0),IF('Eval-Après impact'!$A$768=BM13,LEN(SUBSTITUTE((SUBSTITUTE(CL16,"TF","")),"TS",""))*10/2,0),IF('Eval-Après impact'!$A$769=BM13,LEN(SUBSTITUTE((SUBSTITUTE(CL17,"TF","")),"TS",""))*10/2,0),IF('Eval-Après impact'!$A$770=BM13,LEN(SUBSTITUTE((SUBSTITUTE(CL18,"TF","")),"TS",""))*10/2,0),IF('Eval-Après impact'!$A$771=BM13,LEN(SUBSTITUTE((SUBSTITUTE(CL19,"TF","")),"TS",""))*10/2,0),IF('Eval-Après impact'!$A$772=BM13,LEN(SUBSTITUTE((SUBSTITUTE(CL20,"TF","")),"TS",""))*10/2,0),IF('Eval-Après impact'!$A$773=BM13,LEN(SUBSTITUTE((SUBSTITUTE(CL21,"TF","")),"TS",""))*10/2,0),IF('Eval-Après impact'!$A$774=BM13,LEN(SUBSTITUTE((SUBSTITUTE(CL22,"TF","")),"TS",""))*10/2,0),IF('Eval-Après impact'!$A$775=BM13,LEN(SUBSTITUTE((SUBSTITUTE(CL23,"TF","")),"TS",""))*10/2,0),IF('Eval-Après impact'!$A$776=BM13,LEN(SUBSTITUTE((SUBSTITUTE(CL24,"TF","")),"TS",""))*10/2,0),IF('Eval-Après impact'!$A$777=BM13,LEN(SUBSTITUTE((SUBSTITUTE(CL25,"TF","")),"TS",""))*10/2,0),IF('Eval-Après impact'!$A$778=BM13,LEN(SUBSTITUTE((SUBSTITUTE(CL26,"TF","")),"TS",""))*10/2,0),IF('Eval-Après impact'!$A$779=BM13,LEN(SUBSTITUTE((SUBSTITUTE(CL27,"TF","")),"TS",""))*10/2,0),IF('Eval-Après impact'!$A$780=BM13,LEN(SUBSTITUTE((SUBSTITUTE(CL28,"TF","")),"TS",""))*10/2,0))/COUNTIF('Eval-Après impact'!$A$761:$A$780,BM13),"")</f>
        <v/>
      </c>
      <c r="BY13" s="211" t="str">
        <f>IF(COUNTIF('Eval-Après impact'!$A$761:$A$780,BM13)&gt;0,SUM(IF('Eval-Après impact'!$A$761=BM13,LEN(SUBSTITUTE((SUBSTITUTE(CL9,"TF","")),"TM",""))*10/2,0),IF('Eval-Après impact'!$A$762=BM13,LEN(SUBSTITUTE((SUBSTITUTE(CL10,"TF","")),"TM",""))*10/2,0),IF('Eval-Après impact'!$A$763=BM13,LEN(SUBSTITUTE((SUBSTITUTE(CL11,"TF","")),"TM",""))*10/2,0),IF('Eval-Après impact'!$A$764=BM13,LEN(SUBSTITUTE((SUBSTITUTE(CL12,"TF","")),"TM",""))*10/2,0),IF('Eval-Après impact'!$A$765=BM13,LEN(SUBSTITUTE((SUBSTITUTE(CL13,"TF","")),"TM",""))*10/2,0),IF('Eval-Après impact'!$A$766=BM13,LEN(SUBSTITUTE((SUBSTITUTE(CL14,"TF","")),"TM",""))*10/2,0),IF('Eval-Après impact'!$A$767=BM13,LEN(SUBSTITUTE((SUBSTITUTE(CL15,"TF","")),"TM",""))*10/2,0),IF('Eval-Après impact'!$A$768=BM13,LEN(SUBSTITUTE((SUBSTITUTE(CL16,"TF","")),"TM",""))*10/2,0),IF('Eval-Après impact'!$A$769=BM13,LEN(SUBSTITUTE((SUBSTITUTE(CL17,"TF","")),"TM",""))*10/2,0),IF('Eval-Après impact'!$A$770=BM13,LEN(SUBSTITUTE((SUBSTITUTE(CL18,"TF","")),"TM",""))*10/2,0),IF('Eval-Après impact'!$A$771=BM13,LEN(SUBSTITUTE((SUBSTITUTE(CL19,"TF","")),"TM",""))*10/2,0),IF('Eval-Après impact'!$A$772=BM13,LEN(SUBSTITUTE((SUBSTITUTE(CL20,"TF","")),"TM",""))*10/2,0),IF('Eval-Après impact'!$A$773=BM13,LEN(SUBSTITUTE((SUBSTITUTE(CL21,"TF","")),"TM",""))*10/2,0),IF('Eval-Après impact'!$A$774=BM13,LEN(SUBSTITUTE((SUBSTITUTE(CL22,"TF","")),"TM",""))*10/2,0),IF('Eval-Après impact'!$A$775=BM13,LEN(SUBSTITUTE((SUBSTITUTE(CL23,"TF","")),"TM",""))*10/2,0),IF('Eval-Après impact'!$A$776=BM13,LEN(SUBSTITUTE((SUBSTITUTE(CL24,"TF","")),"TM",""))*10/2,0),IF('Eval-Après impact'!$A$777=BM13,LEN(SUBSTITUTE((SUBSTITUTE(CL25,"TF","")),"TM",""))*10/2,0),IF('Eval-Après impact'!$A$778=BM13,LEN(SUBSTITUTE((SUBSTITUTE(CL26,"TF","")),"TM",""))*10/2,0),IF('Eval-Après impact'!$A$779=BM13,LEN(SUBSTITUTE((SUBSTITUTE(CL27,"TF","")),"TM",""))*10/2,0),IF('Eval-Après impact'!$A$780=BM13,LEN(SUBSTITUTE((SUBSTITUTE(CL28,"TF","")),"TM",""))*10/2,0))/COUNTIF('Eval-Après impact'!$A$761:$A$780,BM13),"")</f>
        <v/>
      </c>
      <c r="BZ13" s="211" t="str">
        <f>IF(COUNTIF('Eval-Après impact'!$A$761:$A$780,BM13)&gt;0,SUM(IF('Eval-Après impact'!$A$761=BM13,LEN(SUBSTITUTE((SUBSTITUTE(CM9,"TM","")),"TS",""))*10/2,0),IF('Eval-Après impact'!$A$762=BM13,LEN(SUBSTITUTE((SUBSTITUTE(CM10,"TM","")),"TS",""))*10/2,0),IF('Eval-Après impact'!$A$763=BM13,LEN(SUBSTITUTE((SUBSTITUTE(CM11,"TM","")),"TS",""))*10/2,0),IF('Eval-Après impact'!$A$764=BM13,LEN(SUBSTITUTE((SUBSTITUTE(CM12,"TM","")),"TS",""))*10/2,0),IF('Eval-Après impact'!$A$765=BM13,LEN(SUBSTITUTE((SUBSTITUTE(CM13,"TM","")),"TS",""))*10/2,0),IF('Eval-Après impact'!$A$766=BM13,LEN(SUBSTITUTE((SUBSTITUTE(CM14,"TM","")),"TS",""))*10/2,0),IF('Eval-Après impact'!$A$767=BM13,LEN(SUBSTITUTE((SUBSTITUTE(CM15,"TM","")),"TS",""))*10/2,0),IF('Eval-Après impact'!$A$768=BM13,LEN(SUBSTITUTE((SUBSTITUTE(CM16,"TM","")),"TS",""))*10/2,0),IF('Eval-Après impact'!$A$769=BM13,LEN(SUBSTITUTE((SUBSTITUTE(CM17,"TM","")),"TS",""))*10/2,0),IF('Eval-Après impact'!$A$770=BM13,LEN(SUBSTITUTE((SUBSTITUTE(CM18,"TM","")),"TS",""))*10/2,0),IF('Eval-Après impact'!$A$771=BM13,LEN(SUBSTITUTE((SUBSTITUTE(CM19,"TM","")),"TS",""))*10/2,0),IF('Eval-Après impact'!$A$772=BM13,LEN(SUBSTITUTE((SUBSTITUTE(CM20,"TM","")),"TS",""))*10/2,0),IF('Eval-Après impact'!$A$773=BM13,LEN(SUBSTITUTE((SUBSTITUTE(CM21,"TM","")),"TS",""))*10/2,0),IF('Eval-Après impact'!$A$774=BM13,LEN(SUBSTITUTE((SUBSTITUTE(CM22,"TM","")),"TS",""))*10/2,0),IF('Eval-Après impact'!$A$775=BM13,LEN(SUBSTITUTE((SUBSTITUTE(CM23,"TM","")),"TS",""))*10/2,0),IF('Eval-Après impact'!$A$776=BM13,LEN(SUBSTITUTE((SUBSTITUTE(CM24,"TM","")),"TS",""))*10/2,0),IF('Eval-Après impact'!$A$777=BM13,LEN(SUBSTITUTE((SUBSTITUTE(CM25,"TM","")),"TS",""))*10/2,0),IF('Eval-Après impact'!$A$778=BM13,LEN(SUBSTITUTE((SUBSTITUTE(CM26,"TM","")),"TS",""))*10/2,0),IF('Eval-Après impact'!$A$779=BM13,LEN(SUBSTITUTE((SUBSTITUTE(CM27,"TM","")),"TS",""))*10/2,0),IF('Eval-Après impact'!$A$780=BM13,LEN(SUBSTITUTE((SUBSTITUTE(CM28,"TM","")),"TS",""))*10/2,0))/COUNTIF('Eval-Après impact'!$A$761:$A$780,BM13),"")</f>
        <v/>
      </c>
      <c r="CA13" s="211" t="str">
        <f>IF(COUNTIF('Eval-Après impact'!$A$761:$A$780,BM13)&gt;0,SUM(IF('Eval-Après impact'!$A$761=BM13,LEN(SUBSTITUTE((SUBSTITUTE(CM9,"TF","")),"TS",""))*10/2,0),IF('Eval-Après impact'!$A$762=BM13,LEN(SUBSTITUTE((SUBSTITUTE(CM10,"TF","")),"TS",""))*10/2,0),IF('Eval-Après impact'!$A$763=BM13,LEN(SUBSTITUTE((SUBSTITUTE(CM11,"TF","")),"TS",""))*10/2,0),IF('Eval-Après impact'!$A$764=BM13,LEN(SUBSTITUTE((SUBSTITUTE(CM12,"TF","")),"TS",""))*10/2,0),IF('Eval-Après impact'!$A$765=BM13,LEN(SUBSTITUTE((SUBSTITUTE(CM13,"TF","")),"TS",""))*10/2,0),IF('Eval-Après impact'!$A$766=BM13,LEN(SUBSTITUTE((SUBSTITUTE(CM14,"TF","")),"TS",""))*10/2,0),IF('Eval-Après impact'!$A$767=BM13,LEN(SUBSTITUTE((SUBSTITUTE(CM15,"TF","")),"TS",""))*10/2,0),IF('Eval-Après impact'!$A$768=BM13,LEN(SUBSTITUTE((SUBSTITUTE(CM16,"TF","")),"TS",""))*10/2,0),IF('Eval-Après impact'!$A$769=BM13,LEN(SUBSTITUTE((SUBSTITUTE(CM17,"TF","")),"TS",""))*10/2,0),IF('Eval-Après impact'!$A$770=BM13,LEN(SUBSTITUTE((SUBSTITUTE(CM18,"TF","")),"TS",""))*10/2,0),IF('Eval-Après impact'!$A$771=BM13,LEN(SUBSTITUTE((SUBSTITUTE(CM19,"TF","")),"TS",""))*10/2,0),IF('Eval-Après impact'!$A$772=BM13,LEN(SUBSTITUTE((SUBSTITUTE(CM20,"TF","")),"TS",""))*10/2,0),IF('Eval-Après impact'!$A$773=BM13,LEN(SUBSTITUTE((SUBSTITUTE(CM21,"TF","")),"TS",""))*10/2,0),IF('Eval-Après impact'!$A$774=BM13,LEN(SUBSTITUTE((SUBSTITUTE(CM22,"TF","")),"TS",""))*10/2,0),IF('Eval-Après impact'!$A$775=BM13,LEN(SUBSTITUTE((SUBSTITUTE(CM23,"TF","")),"TS",""))*10/2,0),IF('Eval-Après impact'!$A$776=BM13,LEN(SUBSTITUTE((SUBSTITUTE(CM24,"TF","")),"TS",""))*10/2,0),IF('Eval-Après impact'!$A$777=BM13,LEN(SUBSTITUTE((SUBSTITUTE(CM25,"TF","")),"TS",""))*10/2,0),IF('Eval-Après impact'!$A$778=BM13,LEN(SUBSTITUTE((SUBSTITUTE(CM26,"TF","")),"TS",""))*10/2,0),IF('Eval-Après impact'!$A$779=BM13,LEN(SUBSTITUTE((SUBSTITUTE(CM27,"TF","")),"TS",""))*10/2,0),IF('Eval-Après impact'!$A$780=BM13,LEN(SUBSTITUTE((SUBSTITUTE(CM28,"TF","")),"TS",""))*10/2,0))/COUNTIF('Eval-Après impact'!$A$761:$A$780,BM13),"")</f>
        <v/>
      </c>
      <c r="CB13" s="211" t="str">
        <f>IF(COUNTIF('Eval-Après impact'!$A$761:$A$780,BM13)&gt;0,SUM(IF('Eval-Après impact'!$A$761=BM13,LEN(SUBSTITUTE((SUBSTITUTE(CM9,"TF","")),"TM",""))*10/2,0),IF('Eval-Après impact'!$A$762=BM13,LEN(SUBSTITUTE((SUBSTITUTE(CM10,"TF","")),"TM",""))*10/2,0),IF('Eval-Après impact'!$A$763=BM13,LEN(SUBSTITUTE((SUBSTITUTE(CM11,"TF","")),"TM",""))*10/2,0),IF('Eval-Après impact'!$A$764=BM13,LEN(SUBSTITUTE((SUBSTITUTE(CM12,"TF","")),"TM",""))*10/2,0),IF('Eval-Après impact'!$A$765=BM13,LEN(SUBSTITUTE((SUBSTITUTE(CM13,"TF","")),"TM",""))*10/2,0),IF('Eval-Après impact'!$A$766=BM13,LEN(SUBSTITUTE((SUBSTITUTE(CM14,"TF","")),"TM",""))*10/2,0),IF('Eval-Après impact'!$A$767=BM13,LEN(SUBSTITUTE((SUBSTITUTE(CM15,"TF","")),"TM",""))*10/2,0),IF('Eval-Après impact'!$A$768=BM13,LEN(SUBSTITUTE((SUBSTITUTE(CM16,"TF","")),"TM",""))*10/2,0),IF('Eval-Après impact'!$A$769=BM13,LEN(SUBSTITUTE((SUBSTITUTE(CM17,"TF","")),"TM",""))*10/2,0),IF('Eval-Après impact'!$A$770=BM13,LEN(SUBSTITUTE((SUBSTITUTE(CM18,"TF","")),"TM",""))*10/2,0),IF('Eval-Après impact'!$A$771=BM13,LEN(SUBSTITUTE((SUBSTITUTE(CM19,"TF","")),"TM",""))*10/2,0),IF('Eval-Après impact'!$A$772=BM13,LEN(SUBSTITUTE((SUBSTITUTE(CM20,"TF","")),"TM",""))*10/2,0),IF('Eval-Après impact'!$A$773=BM13,LEN(SUBSTITUTE((SUBSTITUTE(CM21,"TF","")),"TM",""))*10/2,0),IF('Eval-Après impact'!$A$774=BM13,LEN(SUBSTITUTE((SUBSTITUTE(CM22,"TF","")),"TM",""))*10/2,0),IF('Eval-Après impact'!$A$775=BM13,LEN(SUBSTITUTE((SUBSTITUTE(CM23,"TF","")),"TM",""))*10/2,0),IF('Eval-Après impact'!$A$776=BM13,LEN(SUBSTITUTE((SUBSTITUTE(CM24,"TF","")),"TM",""))*10/2,0),IF('Eval-Après impact'!$A$777=BM13,LEN(SUBSTITUTE((SUBSTITUTE(CM25,"TF","")),"TM",""))*10/2,0),IF('Eval-Après impact'!$A$778=BM13,LEN(SUBSTITUTE((SUBSTITUTE(CM26,"TF","")),"TM",""))*10/2,0),IF('Eval-Après impact'!$A$779=BM13,LEN(SUBSTITUTE((SUBSTITUTE(CM27,"TF","")),"TM",""))*10/2,0),IF('Eval-Après impact'!$A$780=BM13,LEN(SUBSTITUTE((SUBSTITUTE(CM28,"TF","")),"TM",""))*10/2,0))/COUNTIF('Eval-Après impact'!$A$761:$A$780,BM13),"")</f>
        <v/>
      </c>
      <c r="CC13" s="211" t="str">
        <f>IF(COUNTIF('Eval-Après impact'!$A$761:$A$780,BM13)&gt;0,IF(OR(AND('Eval-Après impact'!$A$761=BM13,CJ9&lt;30),AND('Eval-Après impact'!$A$762=BM13,CJ10&lt;30),AND('Eval-Après impact'!$A$763=BM13,CJ11&lt;30),AND('Eval-Après impact'!$A$764=BM13,CJ12&lt;30),AND('Eval-Après impact'!$A$765=BM13,CJ13&lt;30),AND('Eval-Après impact'!$A$766=BM13,CJ14&lt;30),AND('Eval-Après impact'!$A$767=BM13,CJ15&lt;30),AND('Eval-Après impact'!$A$768=BM13,CJ16&lt;30),AND('Eval-Après impact'!$A$769=BM13,CJ17&lt;30),AND('Eval-Après impact'!$A$770=BM13,CJ18&lt;30),AND('Eval-Après impact'!$A$771=BM13,CJ19&lt;30),AND('Eval-Après impact'!$A$772=BM13,CJ20&lt;30),AND('Eval-Après impact'!$A$773=BM13,CJ21&lt;30),AND('Eval-Après impact'!$A$774=BM13,CJ22&lt;30),AND('Eval-Après impact'!$A$775=BM13,CJ23&lt;30),AND('Eval-Après impact'!$A$776=BM13,CJ24&lt;30),AND('Eval-Après impact'!$A$777=BM13,CJ25&lt;30),AND('Eval-Après impact'!$A$778=BM13,CJ26&lt;30),AND('Eval-Après impact'!$A$779=BM13,CJ27&lt;30),AND('Eval-Après impact'!$A$780=BM13,CJ28&lt;30)),"",SUM(0.1*(SUMPRODUCT(('Eval-Après impact'!$A$761:$A$780=BM13)*('Eval-Après impact'!$N$761:$P$780="A"))+ SUMPRODUCT(('Eval-Après impact'!$A$761:$A$780=BM13)*('Eval-Après impact'!$N$761:$P$780="AL"))),0.7*(SUMPRODUCT(('Eval-Après impact'!$A$761:$A$780=BM13)*('Eval-Après impact'!$N$761:$P$780="TF"))+SUMPRODUCT(('Eval-Après impact'!$A$761:$A$780=BM13)*('Eval-Après impact'!$N$761:$P$780="TM"))+SUMPRODUCT(('Eval-Après impact'!$A$761:$A$780=BM13)*('Eval-Après impact'!$N$761:$P$780="TS"))),0.4*(SUMPRODUCT(('Eval-Après impact'!$A$761:$A$780=BM13)*('Eval-Après impact'!$N$761:$P$780="LA"))+SUMPRODUCT(('Eval-Après impact'!$A$761:$A$780=BM13)*('Eval-Après impact'!$N$761:$P$780="L"))+SUMPRODUCT(('Eval-Après impact'!$A$761:$A$780=BM13)*('Eval-Après impact'!$N$761:$P$780="LS"))),1*(SUMPRODUCT(('Eval-Après impact'!$A$761:$A$780=BM13)*('Eval-Après impact'!$N$761:$P$780="SL"))+ SUMPRODUCT(('Eval-Après impact'!$A$761:$A$780=BM13)*('Eval-Après impact'!$N$761:$P$780="S"))))/(3*COUNTIF('Eval-Après impact'!$A$761:$A$780,BM13))),"")</f>
        <v/>
      </c>
      <c r="CD13" s="211" t="str">
        <f>IF(COUNTIF('Eval-Après impact'!$A$761:$A$780,BM13)&gt;0,IF(OR(AND('Eval-Après impact'!$A$761=BM13,CJ9&lt;120),AND('Eval-Après impact'!$A$762=BM13,CJ10&lt;120),AND('Eval-Après impact'!$A$763=BM13,CJ11&lt;120),AND('Eval-Après impact'!$A$764=BM13,CJ12&lt;120),AND('Eval-Après impact'!$A$765=BM13,CJ13&lt;120),AND('Eval-Après impact'!$A$766=BM13,CJ14&lt;120),AND('Eval-Après impact'!$A$767=BM13,CJ15&lt;120),AND('Eval-Après impact'!$A$768=BM13,CJ16&lt;120),AND('Eval-Après impact'!$A$769=BM13,CJ17&lt;120),AND('Eval-Après impact'!$A$770=BM13,CJ18&lt;120),AND('Eval-Après impact'!$A$771=BM13,CJ19&lt;120),AND('Eval-Après impact'!$A$772=BM13,CJ20&lt;120),AND('Eval-Après impact'!$A$773=BM13,CJ21&lt;120),AND('Eval-Après impact'!$A$774=BM13,CJ22&lt;120),AND('Eval-Après impact'!$A$775=BM13,CJ23&lt;120),AND('Eval-Après impact'!$A$776=BM13,CJ24&lt;120),AND('Eval-Après impact'!$A$777=BM13,CJ25&lt;120),AND('Eval-Après impact'!$A$778=BM13,CJ26&lt;120),AND('Eval-Après impact'!$A$779=BM13,CJ27&lt;120),AND('Eval-Après impact'!$A$780=BM13,CJ28&lt;120)),"",SUM(0.1*(SUMPRODUCT(('Eval-Après impact'!$A$761:$A$780=BM13)*('Eval-Après impact'!$Q$761:$Y$780="A"))+ SUMPRODUCT(('Eval-Après impact'!$A$761:$A$780=BM13)*('Eval-Après impact'!$Q$761:$Y$780="AL"))),0.7*(SUMPRODUCT(('Eval-Après impact'!$A$761:$A$780=BM13)*('Eval-Après impact'!$Q$761:$Y$780="TF"))+SUMPRODUCT(('Eval-Après impact'!$A$761:$A$780=BM13)*('Eval-Après impact'!$Q$761:$Y$780="TM"))+SUMPRODUCT(('Eval-Après impact'!$A$761:$A$780=BM13)*('Eval-Après impact'!$Q$761:$Y$780="TS"))),0.4*(SUMPRODUCT(('Eval-Après impact'!$A$761:$A$780=BM13)*('Eval-Après impact'!$Q$761:$Y$780="LA"))+SUMPRODUCT(('Eval-Après impact'!$A$761:$A$780=BM13)*('Eval-Après impact'!$Q$761:$Y$780="L"))+SUMPRODUCT(('Eval-Après impact'!$A$761:$A$780=BM13)*('Eval-Après impact'!$Q$761:$Y$780="LS"))),1*(SUMPRODUCT(('Eval-Après impact'!$A$761:$A$780=BM13)*('Eval-Après impact'!$Q$761:$Y$780="SL"))+ SUMPRODUCT(('Eval-Après impact'!$A$761:$A$780=BM13)*('Eval-Après impact'!$Q$761:$Y$780="S"))))/(9*COUNTIF('Eval-Après impact'!$A$761:$A$780,BM13))),"")</f>
        <v/>
      </c>
      <c r="CE13" s="211" t="str">
        <f>IF(COUNTIF('Eval-Après impact'!$A$761:$A$780,BM13)&gt;0,IF(OR(AND('Eval-Après impact'!$A$761=BM13,OR(COUNTIF('Eval-Après impact'!$N$761:$P$761,"*T*")&gt;0,CJ9&lt;30)),AND('Eval-Après impact'!$A$762=BM13,OR(COUNTIF('Eval-Après impact'!$N$762:$P$762,"*T*")&gt;0,CJ10&lt;30)),AND('Eval-Après impact'!$A$763=BM13,OR(COUNTIF('Eval-Après impact'!$N$763:$P$763,"*T*")&gt;0,CJ11&lt;30)),AND('Eval-Après impact'!$A$764=BM13,OR(COUNTIF('Eval-Après impact'!$N$764:$P$764,"*T*")&gt;0,CJ12&lt;30)),AND('Eval-Après impact'!$A$765=BM13,OR(COUNTIF('Eval-Après impact'!$N$765:$P$765,"*T*")&gt;0,CJ13&lt;30)),AND('Eval-Après impact'!$A$766=BM13,OR(COUNTIF('Eval-Après impact'!$N$766:$P$766,"*T*")&gt;0,CJ14&lt;30)),AND('Eval-Après impact'!$A$767=BM13,OR(COUNTIF('Eval-Après impact'!$N$767:$P$767,"*T*")&gt;0,CJ15&lt;30)),AND('Eval-Après impact'!$A$768=BM13,OR(COUNTIF('Eval-Après impact'!$N$768:$P$768,"*T*")&gt;0,CJ16&lt;30)),AND('Eval-Après impact'!$A$769=BM13,OR(COUNTIF('Eval-Après impact'!$N$769:$P$769,"*T*")&gt;0,CJ17&lt;30)),AND('Eval-Après impact'!$A$770=BM13,OR(COUNTIF('Eval-Après impact'!$N$770:$P$770,"*T*")&gt;0,CJ18&lt;30)),AND('Eval-Après impact'!$A$771=BM13,OR(COUNTIF('Eval-Après impact'!$N$771:$P$771,"*T*")&gt;0,CJ19&lt;30)),AND('Eval-Après impact'!$A$772=BM13,OR(COUNTIF('Eval-Après impact'!$N$772:$P$772,"*T*")&gt;0,CJ20&lt;30)),AND('Eval-Après impact'!$A$773=BM13,OR(COUNTIF('Eval-Après impact'!$N$773:$P$773,"*T*")&gt;0,CJ21&lt;30)),AND('Eval-Après impact'!$A$774=BM13,OR(COUNTIF('Eval-Après impact'!$N$774:$P$774,"*T*")&gt;0,CJ22&lt;30)),AND('Eval-Après impact'!$A$775=BM13,OR(COUNTIF('Eval-Après impact'!$N$775:$P$775,"*T*")&gt;0,CJ23&lt;30)),AND('Eval-Après impact'!$A$776=BM13,OR(COUNTIF('Eval-Après impact'!$N$776:$P$776,"*T*")&gt;0,CJ24&lt;30)),AND('Eval-Après impact'!$A$777=BM13,OR(COUNTIF('Eval-Après impact'!$N$777:$P$777,"*T*")&gt;0,CJ25&lt;30)),AND('Eval-Après impact'!$A$778=BM13,OR(COUNTIF('Eval-Après impact'!$N$778:$P$778,"*T*")&gt;0,CJ26&lt;30)),AND('Eval-Après impact'!$A$779=BM13,OR(COUNTIF('Eval-Après impact'!$N$779:$P$779,"*T*")&gt;0,CJ27&lt;30)),AND('Eval-Après impact'!$A$780=BM13,OR(COUNTIF('Eval-Après impact'!$N$780:$P$780,"*T*")&gt;0,CJ28&lt;30))),"",SUM(0.1*(SUMPRODUCT(('Eval-Après impact'!$A$761:$A$780=BM13)*('Eval-Après impact'!$N$761:$P$780="L"))),0.4*(SUMPRODUCT(('Eval-Après impact'!$A$761:$A$780=BM13)*('Eval-Après impact'!$N$761:$P$780="LA"))+SUMPRODUCT(('Eval-Après impact'!$A$761:$A$780=BM13)*('Eval-Après impact'!$N$761:$P$780="LS"))),0.7*(SUMPRODUCT(('Eval-Après impact'!$A$761:$A$780=BM13)*('Eval-Après impact'!$N$761:$P$780="AL"))+SUMPRODUCT(('Eval-Après impact'!$A$761:$A$780=BM13)*('Eval-Après impact'!$N$761:$P$780="SL"))),1*(SUMPRODUCT(('Eval-Après impact'!$A$761:$A$780=BM13)*('Eval-Après impact'!$N$761:$P$780="S"))+ SUMPRODUCT(('Eval-Après impact'!$A$761:$A$780=BM13)*('Eval-Après impact'!$N$761:$P$780="A"))))/(3*COUNTIF('Eval-Après impact'!$A$761:$A$780,BM13))),"")</f>
        <v/>
      </c>
      <c r="CF13" s="211" t="str">
        <f>IF(COUNTIF('Eval-Après impact'!$A$761:$A$780,BM13)&gt;0,IF(OR(AND('Eval-Après impact'!$A$761=BM13,OR(COUNTIF('Eval-Après impact'!$N$761:$P$761,"*T*")&gt;0,CJ9&lt;30)),AND('Eval-Après impact'!$A$762=BM13,OR(COUNTIF('Eval-Après impact'!$N$762:$P$762,"*T*")&gt;0,CJ10&lt;30)),AND('Eval-Après impact'!$A$763=BM13,OR(COUNTIF('Eval-Après impact'!$N$763:$P$763,"*T*")&gt;0,CJ11&lt;30)),AND('Eval-Après impact'!$A$764=BM13,OR(COUNTIF('Eval-Après impact'!$N$764:$P$764,"*T*")&gt;0,CJ12&lt;30)),AND('Eval-Après impact'!$A$765=BM13,OR(COUNTIF('Eval-Après impact'!$N$765:$P$765,"*T*")&gt;0,CJ13&lt;30)),AND('Eval-Après impact'!$A$766=BM13,OR(COUNTIF('Eval-Après impact'!$N$766:$P$766,"*T*")&gt;0,CJ14&lt;30)),AND('Eval-Après impact'!$A$767=BM13,OR(COUNTIF('Eval-Après impact'!$N$767:$P$767,"*T*")&gt;0,CJ15&lt;30)),AND('Eval-Après impact'!$A$768=BM13,OR(COUNTIF('Eval-Après impact'!$N$768:$P$768,"*T*")&gt;0,CJ16&lt;30)),AND('Eval-Après impact'!$A$769=BM13,OR(COUNTIF('Eval-Après impact'!$N$769:$P$769,"*T*")&gt;0,CJ17&lt;30)),AND('Eval-Après impact'!$A$770=BM13,OR(COUNTIF('Eval-Après impact'!$N$770:$P$770,"*T*")&gt;0,CJ18&lt;30)),AND('Eval-Après impact'!$A$771=BM13,OR(COUNTIF('Eval-Après impact'!$N$771:$P$771,"*T*")&gt;0,CJ19&lt;30)),AND('Eval-Après impact'!$A$772=BM13,OR(COUNTIF('Eval-Après impact'!$N$772:$P$772,"*T*")&gt;0,CJ20&lt;30)),AND('Eval-Après impact'!$A$773=BM13,OR(COUNTIF('Eval-Après impact'!$N$773:$P$773,"*T*")&gt;0,CJ21&lt;30)),AND('Eval-Après impact'!$A$774=BM13,OR(COUNTIF('Eval-Après impact'!$N$774:$P$774,"*T*")&gt;0,CJ22&lt;30)),AND('Eval-Après impact'!$A$775=BM13,OR(COUNTIF('Eval-Après impact'!$N$775:$P$775,"*T*")&gt;0,CJ23&lt;30)),AND('Eval-Après impact'!$A$776=BM13,OR(COUNTIF('Eval-Après impact'!$N$776:$P$776,"*T*")&gt;0,CJ24&lt;30)),AND('Eval-Après impact'!$A$777=BM13,OR(COUNTIF('Eval-Après impact'!$N$777:$P$777,"*T*")&gt;0,CJ25&lt;30)),AND('Eval-Après impact'!$A$778=BM13,OR(COUNTIF('Eval-Après impact'!$N$778:$P$778,"*T*")&gt;0,CJ26&lt;30)),AND('Eval-Après impact'!$A$779=BM13,OR(COUNTIF('Eval-Après impact'!$N$779:$P$779,"*T*")&gt;0,CJ27&lt;30)),AND('Eval-Après impact'!$A$780=BM13,OR(COUNTIF('Eval-Après impact'!$N$780:$P$780,"*T*")&gt;0,CJ28&lt;30))),"",SUM(1*(SUMPRODUCT(('Eval-Après impact'!$A$761:$A$780=BM13)*('Eval-Après impact'!$N$761:$P$780="A"))),0.85*(SUMPRODUCT(('Eval-Après impact'!$A$761:$A$780=BM13)*('Eval-Après impact'!$N$761:$P$780="AL"))),0.7*(SUMPRODUCT(('Eval-Après impact'!$A$761:$A$780=BM13)*('Eval-Après impact'!$N$761:$P$780="LA"))),0.55*(SUMPRODUCT(('Eval-Après impact'!$A$761:$A$780=BM13)*('Eval-Après impact'!$N$761:$P$780="L"))),0.4*(SUMPRODUCT(('Eval-Après impact'!$A$761:$A$780=BM13)*('Eval-Après impact'!$N$761:$P$780="LS"))),0.25*(SUMPRODUCT(('Eval-Après impact'!$A$761:$A$780=BM13)*('Eval-Après impact'!$N$761:$P$780="SL"))),0.1*(SUMPRODUCT(('Eval-Après impact'!$A$761:$A$780=BM13)*('Eval-Après impact'!$N$761:$P$780="S"))))/(3*COUNTIF('Eval-Après impact'!$A$761:$A$780,BM13))),"")</f>
        <v/>
      </c>
      <c r="CG13" s="214" t="str">
        <f>IF(COUNTIF('Eval-Après impact'!$A$761:$A$780,BM13)&gt;0,IF(OR(AND('Eval-Après impact'!$A$761=BM13,OR(COUNTIF('Eval-Après impact'!$Q$761:$Y$761,"*T*")&gt;0,CJ9&lt;120)),AND('Eval-Après impact'!$A$762=BM13,OR(COUNTIF('Eval-Après impact'!$Q$762:$Y$762,"*T*")&gt;0,CJ10&lt;120)),AND('Eval-Après impact'!$A$763=BM13,OR(COUNTIF('Eval-Après impact'!$Q$763:$Y$763,"*T*")&gt;0,CJ11&lt;120)),AND('Eval-Après impact'!$A$764=BM13,OR(COUNTIF('Eval-Après impact'!$Q$764:$Y$764,"*T*")&gt;0,CJ12&lt;120)),AND('Eval-Après impact'!$A$765=BM13,OR(COUNTIF('Eval-Après impact'!$Q$765:$Y$765,"*T*")&gt;0,CJ13&lt;120)),AND('Eval-Après impact'!$A$766=BM13,OR(COUNTIF('Eval-Après impact'!$Q$766:$Y$766,"*T*")&gt;0,CJ14&lt;120)),AND('Eval-Après impact'!$A$767=BM13,OR(COUNTIF('Eval-Après impact'!$Q$767:$Y$767,"*T*")&gt;0,CJ15&lt;120)),AND('Eval-Après impact'!$A$768=BM13,OR(COUNTIF('Eval-Après impact'!$Q$768:$Y$768,"*T*")&gt;0,CJ16&lt;120)),AND('Eval-Après impact'!$A$769=BM13,OR(COUNTIF('Eval-Après impact'!$Q$769:$Y$769,"*T*")&gt;0,CJ17&lt;120)),AND('Eval-Après impact'!$A$770=BM13,OR(COUNTIF('Eval-Après impact'!$Q$770:$Y$770,"*T*")&gt;0,CJ18&lt;120)),AND('Eval-Après impact'!$A$771=BM13,OR(COUNTIF('Eval-Après impact'!$Q$771:$Y$771,"*T*")&gt;0,CJ19&lt;120)),AND('Eval-Après impact'!$A$772=BM13,OR(COUNTIF('Eval-Après impact'!$Q$772:$Y$772,"*T*")&gt;0,CJ20&lt;120)),AND('Eval-Après impact'!$A$773=BM13,OR(COUNTIF('Eval-Après impact'!$Q$773:$Y$773,"*T*")&gt;0,CJ21&lt;120)),AND('Eval-Après impact'!$A$774=BM13,OR(COUNTIF('Eval-Après impact'!$Q$774:$Y$774,"*T*")&gt;0,CJ22&lt;120)),AND('Eval-Après impact'!$A$775=BM13,OR(COUNTIF('Eval-Après impact'!$Q$775:$Y$775,"*T*")&gt;0,CJ23&lt;120)),AND('Eval-Après impact'!$A$776=BM13,OR(COUNTIF('Eval-Après impact'!$Q$776:$Y$776,"*T*")&gt;0,CJ24&lt;120)),AND('Eval-Après impact'!$A$777=BM13,OR(COUNTIF('Eval-Après impact'!$Q$777:$Y$777,"*T*")&gt;0,CJ25&lt;120)),AND('Eval-Après impact'!$A$778=BM13,OR(COUNTIF('Eval-Après impact'!$Q$778:$Y$778,"*T*")&gt;0,CJ26&lt;120)),AND('Eval-Après impact'!$A$779=BM13,OR(COUNTIF('Eval-Après impact'!$Q$779:$Y$779,"*T*")&gt;0,CJ27&lt;120)),AND('Eval-Après impact'!$A$780=BM13,OR(COUNTIF('Eval-Après impact'!$Q$780:$Y$780,"*T*")&gt;0,CJ28&lt;120))),"",SUM(1*(SUMPRODUCT(('Eval-Après impact'!$A$761:$A$780=BM13)*('Eval-Après impact'!$Q$761:$Y$780="A"))),0.85*(SUMPRODUCT(('Eval-Après impact'!$A$761:$A$780=BM13)*('Eval-Après impact'!$Q$761:$Y$780="AL"))),0.7*(SUMPRODUCT(('Eval-Après impact'!$A$761:$A$780=BM13)*('Eval-Après impact'!$Q$761:$Y$780="LA"))),0.55*(SUMPRODUCT(('Eval-Après impact'!$A$761:$A$780=BM13)*('Eval-Après impact'!$Q$761:$Y$780="L"))),0.4*(SUMPRODUCT(('Eval-Après impact'!$A$761:$A$780=BM13)*('Eval-Après impact'!$Q$761:$Y$780="LS"))),0.25*(SUMPRODUCT(('Eval-Après impact'!$A$761:$A$780=BM13)*('Eval-Après impact'!$Q$761:$Y$780="SL"))),0.1*(SUMPRODUCT(('Eval-Après impact'!$A$761:$A$780=BM13)*('Eval-Après impact'!$Q$761:$Y$780="S"))))/(9*COUNTIF('Eval-Après impact'!$A$761:$A$780,BM13))),"")</f>
        <v/>
      </c>
      <c r="CH13" s="215"/>
      <c r="CI13" s="216">
        <f>'Eval-Après impact'!$D$765</f>
        <v>5</v>
      </c>
      <c r="CJ13" s="217" t="str">
        <f>IF(CK13="C",0,IF(IF(COUNTIF('Eval-Après impact'!$N$765:$Y$765,"=C")&gt;0,(COUNTA('Eval-Après impact'!$N$765:$Y$765)-1)*10,COUNTA('Eval-Après impact'!$N$765:$Y$765)*10)=0,"",IF(COUNTIF('Eval-Après impact'!$N$765:$Y$765,"=C")&gt;0,(COUNTA('Eval-Après impact'!$N$765:$Y$765)-1)*10,COUNTA('Eval-Après impact'!$N$765:$Y$765)*10)))</f>
        <v/>
      </c>
      <c r="CK13" s="217" t="str">
        <f>CONCATENATE('Eval-Après impact'!$N$765,'Eval-Après impact'!$O$765,'Eval-Après impact'!$P$765,'Eval-Après impact'!$Q$765,'Eval-Après impact'!$R$765,'Eval-Après impact'!$S$765,'Eval-Après impact'!$T$765,'Eval-Après impact'!$U$765,'Eval-Après impact'!$V$765,'Eval-Après impact'!$W$765,'Eval-Après impact'!$X$765,'Eval-Après impact'!$Y$765)</f>
        <v/>
      </c>
      <c r="CL13" s="217" t="str">
        <f t="shared" si="8"/>
        <v/>
      </c>
      <c r="CM13" s="217" t="str">
        <f t="shared" si="9"/>
        <v/>
      </c>
      <c r="CN13" s="217" t="str">
        <f>IF(COUNTIF('Eval-Après impact'!$N$765:$Y$765,"=C")&gt;0,"X","")</f>
        <v/>
      </c>
      <c r="CO13" s="217" t="str">
        <f t="shared" si="10"/>
        <v/>
      </c>
      <c r="CP13" s="218" t="str">
        <f t="shared" si="11"/>
        <v/>
      </c>
      <c r="CQ13" s="197"/>
      <c r="CS13" s="210">
        <v>5</v>
      </c>
      <c r="CT13" s="211" t="str">
        <f>IF(COUNTIF('Eval-Avant action écologique'!$A$761:$A$780,CS13)&gt;0,SUM(IF('Eval-Avant action écologique'!$A$761=CS13,'Eval-Avant action écologique'!$B$761,0),IF('Eval-Avant action écologique'!$A$762=CS13, 'Eval-Avant action écologique'!$B$762,0),IF('Eval-Avant action écologique'!$A$763=CS13, 'Eval-Avant action écologique'!$B$763,0),IF('Eval-Avant action écologique'!$A$764=CS13, 'Eval-Avant action écologique'!$B$764,0),IF('Eval-Avant action écologique'!$A$765=CS13, 'Eval-Avant action écologique'!$B$765,0),IF('Eval-Avant action écologique'!$A$766=CS13, 'Eval-Avant action écologique'!$B$766,0),IF('Eval-Avant action écologique'!$A$767=CS13, 'Eval-Avant action écologique'!$B$767,0),IF('Eval-Avant action écologique'!$A$768=CS13, 'Eval-Avant action écologique'!$B$768,0),IF('Eval-Avant action écologique'!$A$769=CS13, 'Eval-Avant action écologique'!$B$769,0),IF('Eval-Avant action écologique'!$A$770=CS13, 'Eval-Avant action écologique'!$B$770,0),IF('Eval-Avant action écologique'!$A$771=CS13, 'Eval-Avant action écologique'!$B$771,0),IF('Eval-Avant action écologique'!$A$772=CS13, 'Eval-Avant action écologique'!$B$772,0),IF('Eval-Avant action écologique'!$A$773=CS13, 'Eval-Avant action écologique'!$B$773,0),IF('Eval-Avant action écologique'!$A$774=CS13, 'Eval-Avant action écologique'!$B$774,0),IF('Eval-Avant action écologique'!$A$775=CS13, 'Eval-Avant action écologique'!$B$775,0),IF('Eval-Avant action écologique'!$A$776=CS13, 'Eval-Avant action écologique'!$B$776,0),IF('Eval-Avant action écologique'!$A$777=CS13, 'Eval-Avant action écologique'!$B$777,0),IF('Eval-Avant action écologique'!$A$778=CS13, 'Eval-Avant action écologique'!$B$778,0),IF('Eval-Avant action écologique'!$A$779=CS13, 'Eval-Avant action écologique'!$B$779,0),IF('Eval-Avant action écologique'!$A$780=CS13, 'Eval-Avant action écologique'!$B$780,0))/COUNTIF('Eval-Avant action écologique'!$A$761:$A$780,CS13),"")</f>
        <v/>
      </c>
      <c r="CU13" s="212" t="str">
        <f>IF(COUNTIF('Eval-Avant action écologique'!$A$761:$A$780,CS13)&gt;0,COUNTIF('Eval-Avant action écologique'!$A$761:$A$780,CS13),"")</f>
        <v/>
      </c>
      <c r="CV13" s="211" t="str">
        <f>IF(COUNTIF('Eval-Avant action écologique'!$A$761:$A$780,CS13)&gt;0,IF(OR(AND('Eval-Avant action écologique'!$A$761=CS13, 'Eval-Avant action écologique'!$G$761=""),AND('Eval-Avant action écologique'!$A$762=CS13, 'Eval-Avant action écologique'!$G$762=""),AND('Eval-Avant action écologique'!$A$763=CS13, 'Eval-Avant action écologique'!$G$763=""),AND('Eval-Avant action écologique'!$A$764=CS13, 'Eval-Avant action écologique'!$G$764=""),AND('Eval-Avant action écologique'!$A$765=CS13, 'Eval-Avant action écologique'!$G$765=""),AND('Eval-Avant action écologique'!$A$766=CS13, 'Eval-Avant action écologique'!$G$766=""),AND('Eval-Avant action écologique'!$A$767=CS13, 'Eval-Avant action écologique'!$G$767=""),AND('Eval-Avant action écologique'!$A$768=CS13, 'Eval-Avant action écologique'!$G$768=""),AND('Eval-Avant action écologique'!$A$769=CS13, 'Eval-Avant action écologique'!$G$769=""),AND('Eval-Avant action écologique'!$A$770=CS13, 'Eval-Avant action écologique'!$G$770=""),AND('Eval-Avant action écologique'!$A$771=CS13, 'Eval-Avant action écologique'!$G$771=""),AND('Eval-Avant action écologique'!$A$772=CS13, 'Eval-Avant action écologique'!$G$772=""),AND('Eval-Avant action écologique'!$A$773=CS13, 'Eval-Avant action écologique'!$G$773=""),AND('Eval-Avant action écologique'!$A$774=CS13, 'Eval-Avant action écologique'!$G$774=""),AND('Eval-Avant action écologique'!$A$775=CS13, 'Eval-Avant action écologique'!$G$775=""),AND('Eval-Avant action écologique'!$A$776=CS13, 'Eval-Avant action écologique'!$G$776=""),AND('Eval-Avant action écologique'!$A$777=CS13, 'Eval-Avant action écologique'!$G$777=""),AND('Eval-Avant action écologique'!$A$778=CS13, 'Eval-Avant action écologique'!$G$778=""),AND('Eval-Avant action écologique'!$A$779=CS13, 'Eval-Avant action écologique'!$G$779=""),AND('Eval-Avant action écologique'!$A$780=CS13, 'Eval-Avant action écologique'!$G$780="")),"",SUM(IF('Eval-Avant action écologique'!$A$761=CS13,'Eval-Avant action écologique'!$G$761,0),IF('Eval-Avant action écologique'!$A$762=CS13,'Eval-Avant action écologique'!$G$762,0),IF('Eval-Avant action écologique'!$A$763=CS13,'Eval-Avant action écologique'!$G$763,0),IF('Eval-Avant action écologique'!$A$764=CS13,'Eval-Avant action écologique'!$G$764,0),IF('Eval-Avant action écologique'!$A$765=CS13,'Eval-Avant action écologique'!$G$765,0),IF('Eval-Avant action écologique'!$A$766=CS13,'Eval-Avant action écologique'!$G$766,0),IF('Eval-Avant action écologique'!$A$767=CS13,'Eval-Avant action écologique'!$G$767,0),IF('Eval-Avant action écologique'!$A$768=CS13,'Eval-Avant action écologique'!$G$768,0),IF('Eval-Avant action écologique'!$A$769=CS13,'Eval-Avant action écologique'!$G$769,0),IF('Eval-Avant action écologique'!$A$770=CS13,'Eval-Avant action écologique'!$G$770,0),IF('Eval-Avant action écologique'!$A$771=CS13,'Eval-Avant action écologique'!$G$771,0),IF('Eval-Avant action écologique'!$A$772=CS13,'Eval-Avant action écologique'!$G$772,0),IF('Eval-Avant action écologique'!$A$773=CS13,'Eval-Avant action écologique'!$G$773,0),IF('Eval-Avant action écologique'!$A$774=CS13,'Eval-Avant action écologique'!$G$774,0),IF('Eval-Avant action écologique'!$A$775=CS13,'Eval-Avant action écologique'!$G$775,0), IF('Eval-Avant action écologique'!$A$776=CS13,'Eval-Avant action écologique'!$G$776,0), IF('Eval-Avant action écologique'!$A$777=CS13,'Eval-Avant action écologique'!$G$777,0), IF('Eval-Avant action écologique'!$A$778=CS13,'Eval-Avant action écologique'!$G$778,0), IF('Eval-Avant action écologique'!$A$779=CS13,'Eval-Avant action écologique'!$G$779,0), IF('Eval-Avant action écologique'!$A$780=CS13,'Eval-Avant action écologique'!$G$780,0))/ COUNTIF('Eval-Avant action écologique'!$A$761:$A$780,CS13)),"")</f>
        <v/>
      </c>
      <c r="CW13" s="212" t="str">
        <f>IF(COUNTIF('Eval-Avant action écologique'!$A$761:$A$780,CS13)&gt;0,IF(SUM(IF('Eval-Avant action écologique'!$A$761=CS13,COUNTA('Eval-Avant action écologique'!$H$761),0),IF('Eval-Avant action écologique'!$A$762=CS13,COUNTA('Eval-Avant action écologique'!$H$762),0),IF('Eval-Avant action écologique'!$A$763=CS13,COUNTA('Eval-Avant action écologique'!$H$763),0),IF('Eval-Avant action écologique'!$A$764=CS13,COUNTA('Eval-Avant action écologique'!$H$764),0),IF('Eval-Avant action écologique'!$A$765=CS13,COUNTA('Eval-Avant action écologique'!$H$765),0),IF('Eval-Avant action écologique'!$A$766=CS13,COUNTA('Eval-Avant action écologique'!$H$766),0),IF('Eval-Avant action écologique'!$A$767=CS13,COUNTA('Eval-Avant action écologique'!$H$767),0),IF('Eval-Avant action écologique'!$A$768=CS13,COUNTA('Eval-Avant action écologique'!$H$768),0),IF('Eval-Avant action écologique'!$A$769=CS13,COUNTA('Eval-Avant action écologique'!$H$769),0),IF('Eval-Avant action écologique'!$A$770=CS13,COUNTA('Eval-Avant action écologique'!$H$770),0),IF('Eval-Avant action écologique'!$A$771=CS13,COUNTA('Eval-Avant action écologique'!$H$771),0),IF('Eval-Avant action écologique'!$A$772=CS13,COUNTA('Eval-Avant action écologique'!$H$772),0),IF('Eval-Avant action écologique'!$A$773=CS13,COUNTA('Eval-Avant action écologique'!$H$773),0),IF('Eval-Avant action écologique'!$A$774=CS13,COUNTA('Eval-Avant action écologique'!$H$774),0),IF('Eval-Avant action écologique'!$A$775=CS13,COUNTA('Eval-Avant action écologique'!$H$775),0),IF('Eval-Avant action écologique'!$A$776=CS13,COUNTA('Eval-Avant action écologique'!$H$776),0),IF('Eval-Avant action écologique'!$A$777=CS13,COUNTA('Eval-Avant action écologique'!$H$777),0),IF('Eval-Avant action écologique'!$A$778=CS13,COUNTA('Eval-Avant action écologique'!$H$778),0),IF('Eval-Avant action écologique'!$A$779=CS13,COUNTA('Eval-Avant action écologique'!$H$779),0),IF('Eval-Avant action écologique'!$A$780=CS13,COUNTA('Eval-Avant action écologique'!$H$780),0))&gt;0,"X",0),"")</f>
        <v/>
      </c>
      <c r="CX13" s="213" t="str">
        <f>IF(COUNTIF('Eval-Avant action écologique'!$A$761:$A$780,CS13)&gt;0,IF(SUM(IF('Eval-Avant action écologique'!$A$761=CS13,COUNTA('Eval-Avant action écologique'!$I$761),0),IF('Eval-Avant action écologique'!$A$762=CS13,COUNTA('Eval-Avant action écologique'!$I$762),0),IF('Eval-Avant action écologique'!$A$763=CS13,COUNTA('Eval-Avant action écologique'!$I$763),0),IF('Eval-Avant action écologique'!$A$764=CS13,COUNTA('Eval-Avant action écologique'!$I$764),0),IF('Eval-Avant action écologique'!$A$765=CS13,COUNTA('Eval-Avant action écologique'!$I$765),0),IF('Eval-Avant action écologique'!$A$766=CS13,COUNTA('Eval-Avant action écologique'!$I$766),0),IF('Eval-Avant action écologique'!$A$767=CS13,COUNTA('Eval-Avant action écologique'!$I$767),0),IF('Eval-Avant action écologique'!$A$768=CS13,COUNTA('Eval-Avant action écologique'!$I$768),0),IF('Eval-Avant action écologique'!$A$769=CS13,COUNTA('Eval-Avant action écologique'!$I$769),0),IF('Eval-Avant action écologique'!$A$770=CS13,COUNTA('Eval-Avant action écologique'!$I$770),0),IF('Eval-Avant action écologique'!$A$771=CS13,COUNTA('Eval-Avant action écologique'!$I$771),0),IF('Eval-Avant action écologique'!$A$772=CS13,COUNTA('Eval-Avant action écologique'!$I$772),0),IF('Eval-Avant action écologique'!$A$773=CS13,COUNTA('Eval-Avant action écologique'!$I$773),0),IF('Eval-Avant action écologique'!$A$774=CS13,COUNTA('Eval-Avant action écologique'!$I$774),0),IF('Eval-Avant action écologique'!$A$775=CS13,COUNTA('Eval-Avant action écologique'!$I$775),0),IF('Eval-Avant action écologique'!$A$776=CS13,COUNTA('Eval-Avant action écologique'!$I$776),0),IF('Eval-Avant action écologique'!$A$777=CS13,COUNTA('Eval-Avant action écologique'!$I$777),0),IF('Eval-Avant action écologique'!$A$778=CS13,COUNTA('Eval-Avant action écologique'!$I$778),0),IF('Eval-Avant action écologique'!$A$779=CS13,COUNTA('Eval-Avant action écologique'!$I$779),0),IF('Eval-Avant action écologique'!$A$780=CS13,COUNTA('Eval-Avant action écologique'!$I$780),0))&gt;0,"X",0),"")</f>
        <v/>
      </c>
      <c r="CY13" s="213" t="str">
        <f>IF(COUNTIF('Eval-Avant action écologique'!$A$761:$A$780,CS13)&gt;0,IF(SUM(IF('Eval-Avant action écologique'!$A$761=CS13,COUNTA('Eval-Avant action écologique'!$J$761),0),IF('Eval-Avant action écologique'!$A$762=CS13,COUNTA('Eval-Avant action écologique'!$J$762),0),IF('Eval-Avant action écologique'!$A$763=CS13,COUNTA('Eval-Avant action écologique'!$J$763),0),IF('Eval-Avant action écologique'!$A$764=CS13,COUNTA('Eval-Avant action écologique'!$J$764),0),IF('Eval-Avant action écologique'!$A$765=CS13,COUNTA('Eval-Avant action écologique'!$J$765),0),IF('Eval-Avant action écologique'!$A$766=CS13,COUNTA('Eval-Avant action écologique'!$J$766),0),IF('Eval-Avant action écologique'!$A$767=CS13,COUNTA('Eval-Avant action écologique'!$J$767),0),IF('Eval-Avant action écologique'!$A$768=CS13,COUNTA('Eval-Avant action écologique'!$J$768),0),IF('Eval-Avant action écologique'!$A$769=CS13,COUNTA('Eval-Avant action écologique'!$J$769),0),IF('Eval-Avant action écologique'!$A$770=CS13,COUNTA('Eval-Avant action écologique'!$J$770),0),IF('Eval-Avant action écologique'!$A$771=CS13,COUNTA('Eval-Avant action écologique'!$J$771),0),IF('Eval-Avant action écologique'!$A$772=CS13,COUNTA('Eval-Avant action écologique'!$J$772),0),IF('Eval-Avant action écologique'!$A$773=CS13,COUNTA('Eval-Avant action écologique'!$J$773),0),IF('Eval-Avant action écologique'!$A$774=CS13,COUNTA('Eval-Avant action écologique'!$J$774),0),IF('Eval-Avant action écologique'!$A$775=CS13,COUNTA('Eval-Avant action écologique'!$J$775),0),IF('Eval-Avant action écologique'!$A$776=CS13,COUNTA('Eval-Avant action écologique'!$J$776),0),IF('Eval-Avant action écologique'!$A$777=CS13,COUNTA('Eval-Avant action écologique'!$J$777),0),IF('Eval-Avant action écologique'!$A$778=CS13,COUNTA('Eval-Avant action écologique'!$J$778),0),IF('Eval-Avant action écologique'!$A$779=CS13,COUNTA('Eval-Avant action écologique'!$J$779),0),IF('Eval-Avant action écologique'!$A$780=CS13,COUNTA('Eval-Avant action écologique'!$J$780),0))&gt;0,"X",0),"")</f>
        <v/>
      </c>
      <c r="CZ13" s="213" t="str">
        <f>IF(COUNTIF('Eval-Avant action écologique'!$A$761:$A$780,CS13)&gt;0,IF(SUM(IF('Eval-Avant action écologique'!$A$761=CS13,COUNTA('Eval-Avant action écologique'!$K$761),0),IF('Eval-Avant action écologique'!$A$762=CS13,COUNTA('Eval-Avant action écologique'!$K$762),0),IF('Eval-Avant action écologique'!$A$763=CS13,COUNTA('Eval-Avant action écologique'!$K$763),0),IF('Eval-Avant action écologique'!$A$764=CS13,COUNTA('Eval-Avant action écologique'!$K$764),0),IF('Eval-Avant action écologique'!$A$765=CS13,COUNTA('Eval-Avant action écologique'!$K$765),0),IF('Eval-Avant action écologique'!$A$766=CS13,COUNTA('Eval-Avant action écologique'!$K$766),0),IF('Eval-Avant action écologique'!$A$767=CS13,COUNTA('Eval-Avant action écologique'!$K$767),0),IF('Eval-Avant action écologique'!$A$768=CS13,COUNTA('Eval-Avant action écologique'!$K$768),0),IF('Eval-Avant action écologique'!$A$769=CS13,COUNTA('Eval-Avant action écologique'!$K$769),0),IF('Eval-Avant action écologique'!$A$770=CS13,COUNTA('Eval-Avant action écologique'!$K$770),0),IF('Eval-Avant action écologique'!$A$771=CS13,COUNTA('Eval-Avant action écologique'!$K$771),0),IF('Eval-Avant action écologique'!$A$772=CS13,COUNTA('Eval-Avant action écologique'!$K$772),0),IF('Eval-Avant action écologique'!$A$773=CS13,COUNTA('Eval-Avant action écologique'!$K$773),0),IF('Eval-Avant action écologique'!$A$774=CS13,COUNTA('Eval-Avant action écologique'!$K$774),0),IF('Eval-Avant action écologique'!$A$775=CS13,COUNTA('Eval-Avant action écologique'!$K$775),0),IF('Eval-Avant action écologique'!$A$776=CS13,COUNTA('Eval-Avant action écologique'!$K$776),0),IF('Eval-Avant action écologique'!$A$777=CS13,COUNTA('Eval-Avant action écologique'!$K$777),0),IF('Eval-Avant action écologique'!$A$778=CS13,COUNTA('Eval-Avant action écologique'!$K$778),0),IF('Eval-Avant action écologique'!$A$779=CS13,COUNTA('Eval-Avant action écologique'!$K$779),0),IF('Eval-Avant action écologique'!$A$780=CS13,COUNTA('Eval-Avant action écologique'!$K$780),0))&gt;0,"X",0),"")</f>
        <v/>
      </c>
      <c r="DA13" s="211" t="str">
        <f>IF(COUNTIF('Eval-Avant action écologique'!$A$761:$A$780,CS13)&gt;0,IF(OR(AND('Eval-Avant action écologique'!$A$761=CS13,'Eval-Avant action écologique'!$L$761&lt;120,'Eval-Avant action écologique'!$L$761&gt;=DP9),AND('Eval-Avant action écologique'!$A$762=CS13,'Eval-Avant action écologique'!$L$762&lt;120,'Eval-Avant action écologique'!$L$762&gt;=DP10),AND('Eval-Avant action écologique'!$A$763=CS13,'Eval-Avant action écologique'!$L$763&lt;120,'Eval-Avant action écologique'!$L$763&gt;=DP11),AND('Eval-Avant action écologique'!$A$764=CS13,'Eval-Avant action écologique'!$L$764&lt;120,'Eval-Avant action écologique'!$L$764&gt;=DP12),AND('Eval-Avant action écologique'!$A$765=CS13,'Eval-Avant action écologique'!$L$765&lt;120,'Eval-Avant action écologique'!$L$765&gt;=DP13),AND('Eval-Avant action écologique'!$A$766=CS13,'Eval-Avant action écologique'!$L$766&lt;120,'Eval-Avant action écologique'!$L$766&gt;=DP14),AND('Eval-Avant action écologique'!$A$767=CS13,'Eval-Avant action écologique'!$L$767&lt;120,'Eval-Avant action écologique'!$L$767&gt;=DP15),AND('Eval-Avant action écologique'!$A$768=CS13,'Eval-Avant action écologique'!$L$768&lt;120,'Eval-Avant action écologique'!$L$768&gt;=DP16),AND('Eval-Avant action écologique'!$A$769=CS13,'Eval-Avant action écologique'!$L$769&lt;120,'Eval-Avant action écologique'!$L$769&gt;=DP17),AND('Eval-Avant action écologique'!$A$770=CS13,'Eval-Avant action écologique'!$L$770&lt;120,'Eval-Avant action écologique'!$L$770&gt;=DP18),AND('Eval-Avant action écologique'!$A$771=CS13,'Eval-Avant action écologique'!$L$771&lt;120,'Eval-Avant action écologique'!$L$771&gt;=DP19),AND('Eval-Avant action écologique'!$A$772=CS13,'Eval-Avant action écologique'!$L$772&lt;120,'Eval-Avant action écologique'!$L$772&gt;=DP20),AND('Eval-Avant action écologique'!$A$773=CS13,'Eval-Avant action écologique'!$L$773&lt;120,'Eval-Avant action écologique'!$L$773&gt;=DP21),AND('Eval-Avant action écologique'!$A$774=CS13,'Eval-Avant action écologique'!$L$774&lt;120,'Eval-Avant action écologique'!$L$774&gt;=DP22),AND('Eval-Avant action écologique'!$A$775=CS13,'Eval-Avant action écologique'!$L$775&lt;120,'Eval-Avant action écologique'!$L$775&gt;=DP23),AND('Eval-Avant action écologique'!$A$776=CS13,'Eval-Avant action écologique'!$L$776&lt;120,'Eval-Avant action écologique'!$L$776&gt;=DP24),AND('Eval-Avant action écologique'!$A$777=CS13,'Eval-Avant action écologique'!$L$777&lt;120,'Eval-Avant action écologique'!$L$777&gt;=DP25),AND('Eval-Avant action écologique'!$A$778=CS13,'Eval-Avant action écologique'!$L$778&lt;120,'Eval-Avant action écologique'!$L$778&gt;=DP26),AND('Eval-Avant action écologique'!$A$779=CS13,'Eval-Avant action écologique'!$L$779&lt;120,'Eval-Avant action écologique'!$L$779&gt;=DP27),AND('Eval-Avant action écologique'!$A$780=CS13,'Eval-Avant action écologique'!$L$780&lt;120,'Eval-Avant action écologique'!$L$780&gt;=DP28)),"",SUM(IF('Eval-Avant action écologique'!$A$761=CS13,'Eval-Avant action écologique'!$L$761,0),IF('Eval-Avant action écologique'!$A$762=CS13,'Eval-Avant action écologique'!$L$762,0),IF('Eval-Avant action écologique'!$A$763=CS13,'Eval-Avant action écologique'!$L$763,0),IF('Eval-Avant action écologique'!$A$764=CS13,'Eval-Avant action écologique'!$L$764,0),IF('Eval-Avant action écologique'!$A$765=CS13,'Eval-Avant action écologique'!$L$765,0),IF('Eval-Avant action écologique'!$A$766=CS13,'Eval-Avant action écologique'!$L$766,0),IF('Eval-Avant action écologique'!$A$767=CS13,'Eval-Avant action écologique'!$L$767,0),IF('Eval-Avant action écologique'!$A$768=CS13,'Eval-Avant action écologique'!$L$768,0),IF('Eval-Avant action écologique'!$A$769=CS13,'Eval-Avant action écologique'!$L$769,0),IF('Eval-Avant action écologique'!$A$770=CS13,'Eval-Avant action écologique'!$L$770,0),IF('Eval-Avant action écologique'!$A$771=CS13,'Eval-Avant action écologique'!$L$771,0),IF('Eval-Avant action écologique'!$A$772=CS13,'Eval-Avant action écologique'!$L$772,0),IF('Eval-Avant action écologique'!$A$773=CS13,'Eval-Avant action écologique'!$L$773,0),IF('Eval-Avant action écologique'!$A$774=CS13,'Eval-Avant action écologique'!$L$774,0),IF('Eval-Avant action écologique'!$A$775=CS13,'Eval-Avant action écologique'!$L$775,0),IF('Eval-Avant action écologique'!$A$776=CS13,'Eval-Avant action écologique'!$L$776,0),IF('Eval-Avant action écologique'!$A$777=CS13,'Eval-Avant action écologique'!$L$777,0),IF('Eval-Avant action écologique'!$A$778=CS13,'Eval-Avant action écologique'!$L$778,0),IF('Eval-Avant action écologique'!$A$779=CS13,'Eval-Avant action écologique'!$L$779,0),IF('Eval-Avant action écologique'!$A$780=CS13,'Eval-Avant action écologique'!$L$780,0))/ COUNTIF('Eval-Avant action écologique'!$A$761:$A$780,CS13)),"")</f>
        <v/>
      </c>
      <c r="DB13" s="211" t="str">
        <f>IF(COUNTIF('Eval-Avant action écologique'!$A$761:$A$780,CS13)&gt;0,IF(OR(AND('Eval-Avant action écologique'!$A$761=CS13, DP9&lt;120),AND(DP10&lt;120),AND(DP11&lt;120),AND(DP12&lt;120),AND(DP13&lt;120),AND(DP14&lt;120),AND(DP15&lt;120),AND(DP16&lt;120),AND(DP17&lt;120),AND(DP18&lt;120),AND(DP19&lt;120),AND(DP20&lt;120),AND(DP21&lt;120),AND(DP22&lt;120),AND(DP23&lt;120),AND(DP24&lt;120),AND(DP25&lt;120),AND(DP26&lt;120),AND(DP27&lt;120),AND(DP28&lt;120)),"",SUM(IF('Eval-Avant action écologique'!$A$761=CS13,'Eval-Avant action écologique'!$M$761,0),IF('Eval-Avant action écologique'!$A$762=CS13,'Eval-Avant action écologique'!$M$762,0),IF('Eval-Avant action écologique'!$A$763=CS13,'Eval-Avant action écologique'!$M$763,0),IF('Eval-Avant action écologique'!$A$764=CS13,'Eval-Avant action écologique'!$M$764,0),IF('Eval-Avant action écologique'!$A$765=CS13,'Eval-Avant action écologique'!$M$765,0),IF('Eval-Avant action écologique'!$A$766=CS13,'Eval-Avant action écologique'!$M$766,0),IF('Eval-Avant action écologique'!$A$767=CS13,'Eval-Avant action écologique'!$M$767,0),IF('Eval-Avant action écologique'!$A$768=CS13,'Eval-Avant action écologique'!$M$768,0),IF('Eval-Avant action écologique'!$A$769=CS13,'Eval-Avant action écologique'!$M$769,0),IF('Eval-Avant action écologique'!$A$770=CS13,'Eval-Avant action écologique'!$M$770,0),IF('Eval-Avant action écologique'!$A$771=CS13,'Eval-Avant action écologique'!$M$771,0),IF('Eval-Avant action écologique'!$A$772=CS13,'Eval-Avant action écologique'!$M$772,0),IF('Eval-Avant action écologique'!$A$773=CS13,'Eval-Avant action écologique'!$M$773,0),IF('Eval-Avant action écologique'!$A$774=CS13,'Eval-Avant action écologique'!$M$774,0),IF('Eval-Avant action écologique'!$A$775=CS13,'Eval-Avant action écologique'!$M$775,0), IF('Eval-Avant action écologique'!$A$776=CS13,'Eval-Avant action écologique'!$M$776,0), IF('Eval-Avant action écologique'!$A$777=CS13,'Eval-Avant action écologique'!$M$777,0), IF('Eval-Avant action écologique'!$A$778=CS13,'Eval-Avant action écologique'!$M$778,0), IF('Eval-Avant action écologique'!$A$779=CS13,'Eval-Avant action écologique'!$M$779,0), IF('Eval-Avant action écologique'!$A$780=CS13,'Eval-Avant action écologique'!$M$780,0))/COUNTIF('Eval-Avant action écologique'!$A$761:$A$780,CS13)),"")</f>
        <v/>
      </c>
      <c r="DC13" s="211" t="str">
        <f>IF(COUNTIF('Eval-Avant action écologique'!$A$761:$A$780,CS13)&gt;0,SUM(IF('Eval-Avant action écologique'!$A$761=CS13,LEN(SUBSTITUTE((SUBSTITUTE(DR9,"TM","")),"TS",""))*10/2,0),IF('Eval-Avant action écologique'!$A$762=CS13,LEN(SUBSTITUTE((SUBSTITUTE(DR10,"TM","")),"TS",""))*10/2,0),IF('Eval-Avant action écologique'!$A$763=CS13,LEN(SUBSTITUTE((SUBSTITUTE(DR11,"TM","")),"TS",""))*10/2,0),IF('Eval-Avant action écologique'!$A$764=CS13,LEN(SUBSTITUTE((SUBSTITUTE(DR12,"TM","")),"TS",""))*10/2,0),IF('Eval-Avant action écologique'!$A$765=CS13,LEN(SUBSTITUTE((SUBSTITUTE(DR13,"TM","")),"TS",""))*10/2,0),IF('Eval-Avant action écologique'!$A$766=CS13,LEN(SUBSTITUTE((SUBSTITUTE(DR14,"TM","")),"TS",""))*10/2,0),IF('Eval-Avant action écologique'!$A$767=CS13,LEN(SUBSTITUTE((SUBSTITUTE(DR15,"TM","")),"TS",""))*10/2,0),IF('Eval-Avant action écologique'!$A$768=CS13,LEN(SUBSTITUTE((SUBSTITUTE(DR16,"TM","")),"TS",""))*10/2,0),IF('Eval-Avant action écologique'!$A$769=CS13,LEN(SUBSTITUTE((SUBSTITUTE(DR17,"TM","")),"TS",""))*10/2,0),IF('Eval-Avant action écologique'!$A$770=CS13,LEN(SUBSTITUTE((SUBSTITUTE(DR18,"TM","")),"TS",""))*10/2,0),IF('Eval-Avant action écologique'!$A$771=CS13,LEN(SUBSTITUTE((SUBSTITUTE(DR19,"TM","")),"TS",""))*10/2,0),IF('Eval-Avant action écologique'!$A$772=CS13,LEN(SUBSTITUTE((SUBSTITUTE(DR20,"TM","")),"TS",""))*10/2,0),IF('Eval-Avant action écologique'!$A$773=CS13,LEN(SUBSTITUTE((SUBSTITUTE(DR21,"TM","")),"TS",""))*10/2,0),IF('Eval-Avant action écologique'!$A$774=CS13,LEN(SUBSTITUTE((SUBSTITUTE(DR22,"TM","")),"TS",""))*10/2,0),IF('Eval-Avant action écologique'!$A$775=CS13,LEN(SUBSTITUTE((SUBSTITUTE(DR23,"TM","")),"TS",""))*10/2,0),IF('Eval-Avant action écologique'!$A$776=CS13,LEN(SUBSTITUTE((SUBSTITUTE(DR24,"TM","")),"TS",""))*10/2,0),IF('Eval-Avant action écologique'!$A$777=CS13,LEN(SUBSTITUTE((SUBSTITUTE(DR25,"TM","")),"TS",""))*10/2,0),IF('Eval-Avant action écologique'!$A$778=CS13,LEN(SUBSTITUTE((SUBSTITUTE(DR26,"TM","")),"TS",""))*10/2,0),IF('Eval-Avant action écologique'!$A$779=CS13,LEN(SUBSTITUTE((SUBSTITUTE(DR27,"TM","")),"TS",""))*10/2,0),IF('Eval-Avant action écologique'!$A$780=CS13,LEN(SUBSTITUTE((SUBSTITUTE(DR28,"TM","")),"TS",""))*10/2,0))/COUNTIF('Eval-Avant action écologique'!$A$761:$A$780,CS13),"")</f>
        <v/>
      </c>
      <c r="DD13" s="211" t="str">
        <f>IF(COUNTIF('Eval-Avant action écologique'!$A$761:$A$780,CS13)&gt;0,SUM(IF('Eval-Avant action écologique'!$A$761=CS13,LEN(SUBSTITUTE((SUBSTITUTE(DR9,"TF","")),"TS",""))*10/2,0),IF('Eval-Avant action écologique'!$A$762=CS13,LEN(SUBSTITUTE((SUBSTITUTE(DR10,"TF","")),"TS",""))*10/2,0),IF('Eval-Avant action écologique'!$A$763=CS13,LEN(SUBSTITUTE((SUBSTITUTE(DR11,"TF","")),"TS",""))*10/2,0),IF('Eval-Avant action écologique'!$A$764=CS13,LEN(SUBSTITUTE((SUBSTITUTE(DR12,"TF","")),"TS",""))*10/2,0),IF('Eval-Avant action écologique'!$A$765=CS13,LEN(SUBSTITUTE((SUBSTITUTE(DR13,"TF","")),"TS",""))*10/2,0),IF('Eval-Avant action écologique'!$A$766=CS13,LEN(SUBSTITUTE((SUBSTITUTE(DR14,"TF","")),"TS",""))*10/2,0),IF('Eval-Avant action écologique'!$A$767=CS13,LEN(SUBSTITUTE((SUBSTITUTE(DR15,"TF","")),"TS",""))*10/2,0),IF('Eval-Avant action écologique'!$A$768=CS13,LEN(SUBSTITUTE((SUBSTITUTE(DR16,"TF","")),"TS",""))*10/2,0),IF('Eval-Avant action écologique'!$A$769=CS13,LEN(SUBSTITUTE((SUBSTITUTE(DR17,"TF","")),"TS",""))*10/2,0),IF('Eval-Avant action écologique'!$A$770=CS13,LEN(SUBSTITUTE((SUBSTITUTE(DR18,"TF","")),"TS",""))*10/2,0),IF('Eval-Avant action écologique'!$A$771=CS13,LEN(SUBSTITUTE((SUBSTITUTE(DR19,"TF","")),"TS",""))*10/2,0),IF('Eval-Avant action écologique'!$A$772=CS13,LEN(SUBSTITUTE((SUBSTITUTE(DR20,"TF","")),"TS",""))*10/2,0),IF('Eval-Avant action écologique'!$A$773=CS13,LEN(SUBSTITUTE((SUBSTITUTE(DR21,"TF","")),"TS",""))*10/2,0),IF('Eval-Avant action écologique'!$A$774=CS13,LEN(SUBSTITUTE((SUBSTITUTE(DR22,"TF","")),"TS",""))*10/2,0),IF('Eval-Avant action écologique'!$A$775=CS13,LEN(SUBSTITUTE((SUBSTITUTE(DR23,"TF","")),"TS",""))*10/2,0),IF('Eval-Avant action écologique'!$A$776=CS13,LEN(SUBSTITUTE((SUBSTITUTE(DR24,"TF","")),"TS",""))*10/2,0),IF('Eval-Avant action écologique'!$A$777=CS13,LEN(SUBSTITUTE((SUBSTITUTE(DR25,"TF","")),"TS",""))*10/2,0),IF('Eval-Avant action écologique'!$A$778=CS13,LEN(SUBSTITUTE((SUBSTITUTE(DR26,"TF","")),"TS",""))*10/2,0),IF('Eval-Avant action écologique'!$A$779=CS13,LEN(SUBSTITUTE((SUBSTITUTE(DR27,"TF","")),"TS",""))*10/2,0),IF('Eval-Avant action écologique'!$A$780=CS13,LEN(SUBSTITUTE((SUBSTITUTE(DR28,"TF","")),"TS",""))*10/2,0))/COUNTIF('Eval-Avant action écologique'!$A$761:$A$780,CS13),"")</f>
        <v/>
      </c>
      <c r="DE13" s="211" t="str">
        <f>IF(COUNTIF('Eval-Avant action écologique'!$A$761:$A$780,CS13)&gt;0,SUM(IF('Eval-Avant action écologique'!$A$761=CS13,LEN(SUBSTITUTE((SUBSTITUTE(DR9,"TF","")),"TM",""))*10/2,0),IF('Eval-Avant action écologique'!$A$762=CS13,LEN(SUBSTITUTE((SUBSTITUTE(DR10,"TF","")),"TM",""))*10/2,0),IF('Eval-Avant action écologique'!$A$763=CS13,LEN(SUBSTITUTE((SUBSTITUTE(DR11,"TF","")),"TM",""))*10/2,0),IF('Eval-Avant action écologique'!$A$764=CS13,LEN(SUBSTITUTE((SUBSTITUTE(DR12,"TF","")),"TM",""))*10/2,0),IF('Eval-Avant action écologique'!$A$765=CS13,LEN(SUBSTITUTE((SUBSTITUTE(DR13,"TF","")),"TM",""))*10/2,0),IF('Eval-Avant action écologique'!$A$766=CS13,LEN(SUBSTITUTE((SUBSTITUTE(DR14,"TF","")),"TM",""))*10/2,0),IF('Eval-Avant action écologique'!$A$767=CS13,LEN(SUBSTITUTE((SUBSTITUTE(DR15,"TF","")),"TM",""))*10/2,0),IF('Eval-Avant action écologique'!$A$768=CS13,LEN(SUBSTITUTE((SUBSTITUTE(DR16,"TF","")),"TM",""))*10/2,0),IF('Eval-Avant action écologique'!$A$769=CS13,LEN(SUBSTITUTE((SUBSTITUTE(DR17,"TF","")),"TM",""))*10/2,0),IF('Eval-Avant action écologique'!$A$770=CS13,LEN(SUBSTITUTE((SUBSTITUTE(DR18,"TF","")),"TM",""))*10/2,0),IF('Eval-Avant action écologique'!$A$771=CS13,LEN(SUBSTITUTE((SUBSTITUTE(DR19,"TF","")),"TM",""))*10/2,0),IF('Eval-Avant action écologique'!$A$772=CS13,LEN(SUBSTITUTE((SUBSTITUTE(DR20,"TF","")),"TM",""))*10/2,0),IF('Eval-Avant action écologique'!$A$773=CS13,LEN(SUBSTITUTE((SUBSTITUTE(DR21,"TF","")),"TM",""))*10/2,0),IF('Eval-Avant action écologique'!$A$774=CS13,LEN(SUBSTITUTE((SUBSTITUTE(DR22,"TF","")),"TM",""))*10/2,0),IF('Eval-Avant action écologique'!$A$775=CS13,LEN(SUBSTITUTE((SUBSTITUTE(DR23,"TF","")),"TM",""))*10/2,0),IF('Eval-Avant action écologique'!$A$776=CS13,LEN(SUBSTITUTE((SUBSTITUTE(DR24,"TF","")),"TM",""))*10/2,0),IF('Eval-Avant action écologique'!$A$777=CS13,LEN(SUBSTITUTE((SUBSTITUTE(DR25,"TF","")),"TM",""))*10/2,0),IF('Eval-Avant action écologique'!$A$778=CS13,LEN(SUBSTITUTE((SUBSTITUTE(DR26,"TF","")),"TM",""))*10/2,0),IF('Eval-Avant action écologique'!$A$779=CS13,LEN(SUBSTITUTE((SUBSTITUTE(DR27,"TF","")),"TM",""))*10/2,0),IF('Eval-Avant action écologique'!$A$780=CS13,LEN(SUBSTITUTE((SUBSTITUTE(DR28,"TF","")),"TM",""))*10/2,0))/COUNTIF('Eval-Avant action écologique'!$A$761:$A$780,CS13),"")</f>
        <v/>
      </c>
      <c r="DF13" s="211" t="str">
        <f>IF(COUNTIF('Eval-Avant action écologique'!$A$761:$A$780,CS13)&gt;0,SUM(IF('Eval-Avant action écologique'!$A$761=CS13,LEN(SUBSTITUTE((SUBSTITUTE(DS9,"TM","")),"TS",""))*10/2,0),IF('Eval-Avant action écologique'!$A$762=CS13,LEN(SUBSTITUTE((SUBSTITUTE(DS10,"TM","")),"TS",""))*10/2,0),IF('Eval-Avant action écologique'!$A$763=CS13,LEN(SUBSTITUTE((SUBSTITUTE(DS11,"TM","")),"TS",""))*10/2,0),IF('Eval-Avant action écologique'!$A$764=CS13,LEN(SUBSTITUTE((SUBSTITUTE(DS12,"TM","")),"TS",""))*10/2,0),IF('Eval-Avant action écologique'!$A$765=CS13,LEN(SUBSTITUTE((SUBSTITUTE(DS13,"TM","")),"TS",""))*10/2,0),IF('Eval-Avant action écologique'!$A$766=CS13,LEN(SUBSTITUTE((SUBSTITUTE(DS14,"TM","")),"TS",""))*10/2,0),IF('Eval-Avant action écologique'!$A$767=CS13,LEN(SUBSTITUTE((SUBSTITUTE(DS15,"TM","")),"TS",""))*10/2,0),IF('Eval-Avant action écologique'!$A$768=CS13,LEN(SUBSTITUTE((SUBSTITUTE(DS16,"TM","")),"TS",""))*10/2,0),IF('Eval-Avant action écologique'!$A$769=CS13,LEN(SUBSTITUTE((SUBSTITUTE(DS17,"TM","")),"TS",""))*10/2,0),IF('Eval-Avant action écologique'!$A$770=CS13,LEN(SUBSTITUTE((SUBSTITUTE(DS18,"TM","")),"TS",""))*10/2,0),IF('Eval-Avant action écologique'!$A$771=CS13,LEN(SUBSTITUTE((SUBSTITUTE(DS19,"TM","")),"TS",""))*10/2,0),IF('Eval-Avant action écologique'!$A$772=CS13,LEN(SUBSTITUTE((SUBSTITUTE(DS20,"TM","")),"TS",""))*10/2,0),IF('Eval-Avant action écologique'!$A$773=CS13,LEN(SUBSTITUTE((SUBSTITUTE(DS21,"TM","")),"TS",""))*10/2,0),IF('Eval-Avant action écologique'!$A$774=CS13,LEN(SUBSTITUTE((SUBSTITUTE(DS22,"TM","")),"TS",""))*10/2,0),IF('Eval-Avant action écologique'!$A$775=CS13,LEN(SUBSTITUTE((SUBSTITUTE(DS23,"TM","")),"TS",""))*10/2,0),IF('Eval-Avant action écologique'!$A$776=CS13,LEN(SUBSTITUTE((SUBSTITUTE(DS24,"TM","")),"TS",""))*10/2,0),IF('Eval-Avant action écologique'!$A$777=CS13,LEN(SUBSTITUTE((SUBSTITUTE(DS25,"TM","")),"TS",""))*10/2,0),IF('Eval-Avant action écologique'!$A$778=CS13,LEN(SUBSTITUTE((SUBSTITUTE(DS26,"TM","")),"TS",""))*10/2,0),IF('Eval-Avant action écologique'!$A$779=CS13,LEN(SUBSTITUTE((SUBSTITUTE(DS27,"TM","")),"TS",""))*10/2,0),IF('Eval-Avant action écologique'!$A$780=CS13,LEN(SUBSTITUTE((SUBSTITUTE(DS28,"TM","")),"TS",""))*10/2,0))/COUNTIF('Eval-Avant action écologique'!$A$761:$A$780,CS13),"")</f>
        <v/>
      </c>
      <c r="DG13" s="211" t="str">
        <f>IF(COUNTIF('Eval-Avant action écologique'!$A$761:$A$780,CS13)&gt;0,SUM(IF('Eval-Avant action écologique'!$A$761=CS13,LEN(SUBSTITUTE((SUBSTITUTE(DS9,"TF","")),"TS",""))*10/2,0),IF('Eval-Avant action écologique'!$A$762=CS13,LEN(SUBSTITUTE((SUBSTITUTE(DS10,"TF","")),"TS",""))*10/2,0),IF('Eval-Avant action écologique'!$A$763=CS13,LEN(SUBSTITUTE((SUBSTITUTE(DS11,"TF","")),"TS",""))*10/2,0),IF('Eval-Avant action écologique'!$A$764=CS13,LEN(SUBSTITUTE((SUBSTITUTE(DS12,"TF","")),"TS",""))*10/2,0),IF('Eval-Avant action écologique'!$A$765=CS13,LEN(SUBSTITUTE((SUBSTITUTE(DS13,"TF","")),"TS",""))*10/2,0),IF('Eval-Avant action écologique'!$A$766=CS13,LEN(SUBSTITUTE((SUBSTITUTE(DS14,"TF","")),"TS",""))*10/2,0),IF('Eval-Avant action écologique'!$A$767=CS13,LEN(SUBSTITUTE((SUBSTITUTE(DS15,"TF","")),"TS",""))*10/2,0),IF('Eval-Avant action écologique'!$A$768=CS13,LEN(SUBSTITUTE((SUBSTITUTE(DS16,"TF","")),"TS",""))*10/2,0),IF('Eval-Avant action écologique'!$A$769=CS13,LEN(SUBSTITUTE((SUBSTITUTE(DS17,"TF","")),"TS",""))*10/2,0),IF('Eval-Avant action écologique'!$A$770=CS13,LEN(SUBSTITUTE((SUBSTITUTE(DS18,"TF","")),"TS",""))*10/2,0),IF('Eval-Avant action écologique'!$A$771=CS13,LEN(SUBSTITUTE((SUBSTITUTE(DS19,"TF","")),"TS",""))*10/2,0),IF('Eval-Avant action écologique'!$A$772=CS13,LEN(SUBSTITUTE((SUBSTITUTE(DS20,"TF","")),"TS",""))*10/2,0),IF('Eval-Avant action écologique'!$A$773=CS13,LEN(SUBSTITUTE((SUBSTITUTE(DS21,"TF","")),"TS",""))*10/2,0),IF('Eval-Avant action écologique'!$A$774=CS13,LEN(SUBSTITUTE((SUBSTITUTE(DS22,"TF","")),"TS",""))*10/2,0),IF('Eval-Avant action écologique'!$A$775=CS13,LEN(SUBSTITUTE((SUBSTITUTE(DS23,"TF","")),"TS",""))*10/2,0),IF('Eval-Avant action écologique'!$A$776=CS13,LEN(SUBSTITUTE((SUBSTITUTE(DS24,"TF","")),"TS",""))*10/2,0),IF('Eval-Avant action écologique'!$A$777=CS13,LEN(SUBSTITUTE((SUBSTITUTE(DS25,"TF","")),"TS",""))*10/2,0),IF('Eval-Avant action écologique'!$A$778=CS13,LEN(SUBSTITUTE((SUBSTITUTE(DS26,"TF","")),"TS",""))*10/2,0),IF('Eval-Avant action écologique'!$A$779=CS13,LEN(SUBSTITUTE((SUBSTITUTE(DS27,"TF","")),"TS",""))*10/2,0),IF('Eval-Avant action écologique'!$A$780=CS13,LEN(SUBSTITUTE((SUBSTITUTE(DS28,"TF","")),"TS",""))*10/2,0))/COUNTIF('Eval-Avant action écologique'!$A$761:$A$780,CS13),"")</f>
        <v/>
      </c>
      <c r="DH13" s="211" t="str">
        <f>IF(COUNTIF('Eval-Avant action écologique'!$A$761:$A$780,CS13)&gt;0,SUM(IF('Eval-Avant action écologique'!$A$761=CS13,LEN(SUBSTITUTE((SUBSTITUTE(DS9,"TF","")),"TM",""))*10/2,0),IF('Eval-Avant action écologique'!$A$762=CS13,LEN(SUBSTITUTE((SUBSTITUTE(DS10,"TF","")),"TM",""))*10/2,0),IF('Eval-Avant action écologique'!$A$763=CS13,LEN(SUBSTITUTE((SUBSTITUTE(DS11,"TF","")),"TM",""))*10/2,0),IF('Eval-Avant action écologique'!$A$764=CS13,LEN(SUBSTITUTE((SUBSTITUTE(DS12,"TF","")),"TM",""))*10/2,0),IF('Eval-Avant action écologique'!$A$765=CS13,LEN(SUBSTITUTE((SUBSTITUTE(DS13,"TF","")),"TM",""))*10/2,0),IF('Eval-Avant action écologique'!$A$766=CS13,LEN(SUBSTITUTE((SUBSTITUTE(DS14,"TF","")),"TM",""))*10/2,0),IF('Eval-Avant action écologique'!$A$767=CS13,LEN(SUBSTITUTE((SUBSTITUTE(DS15,"TF","")),"TM",""))*10/2,0),IF('Eval-Avant action écologique'!$A$768=CS13,LEN(SUBSTITUTE((SUBSTITUTE(DS16,"TF","")),"TM",""))*10/2,0),IF('Eval-Avant action écologique'!$A$769=CS13,LEN(SUBSTITUTE((SUBSTITUTE(DS17,"TF","")),"TM",""))*10/2,0),IF('Eval-Avant action écologique'!$A$770=CS13,LEN(SUBSTITUTE((SUBSTITUTE(DS18,"TF","")),"TM",""))*10/2,0),IF('Eval-Avant action écologique'!$A$771=CS13,LEN(SUBSTITUTE((SUBSTITUTE(DS19,"TF","")),"TM",""))*10/2,0),IF('Eval-Avant action écologique'!$A$772=CS13,LEN(SUBSTITUTE((SUBSTITUTE(DS20,"TF","")),"TM",""))*10/2,0),IF('Eval-Avant action écologique'!$A$773=CS13,LEN(SUBSTITUTE((SUBSTITUTE(DS21,"TF","")),"TM",""))*10/2,0),IF('Eval-Avant action écologique'!$A$774=CS13,LEN(SUBSTITUTE((SUBSTITUTE(DS22,"TF","")),"TM",""))*10/2,0),IF('Eval-Avant action écologique'!$A$775=CS13,LEN(SUBSTITUTE((SUBSTITUTE(DS23,"TF","")),"TM",""))*10/2,0),IF('Eval-Avant action écologique'!$A$776=CS13,LEN(SUBSTITUTE((SUBSTITUTE(DS24,"TF","")),"TM",""))*10/2,0),IF('Eval-Avant action écologique'!$A$777=CS13,LEN(SUBSTITUTE((SUBSTITUTE(DS25,"TF","")),"TM",""))*10/2,0),IF('Eval-Avant action écologique'!$A$778=CS13,LEN(SUBSTITUTE((SUBSTITUTE(DS26,"TF","")),"TM",""))*10/2,0),IF('Eval-Avant action écologique'!$A$779=CS13,LEN(SUBSTITUTE((SUBSTITUTE(DS27,"TF","")),"TM",""))*10/2,0),IF('Eval-Avant action écologique'!$A$780=CS13,LEN(SUBSTITUTE((SUBSTITUTE(DS28,"TF","")),"TM",""))*10/2,0))/COUNTIF('Eval-Avant action écologique'!$A$761:$A$780,CS13),"")</f>
        <v/>
      </c>
      <c r="DI13" s="211" t="str">
        <f>IF(COUNTIF('Eval-Avant action écologique'!$A$761:$A$780,CS13)&gt;0,IF(OR(AND('Eval-Avant action écologique'!$A$761=CS13,DP9&lt;30),AND('Eval-Avant action écologique'!$A$762=CS13,DP10&lt;30),AND('Eval-Avant action écologique'!$A$763=CS13,DP11&lt;30),AND('Eval-Avant action écologique'!$A$764=CS13,DP12&lt;30),AND('Eval-Avant action écologique'!$A$765=CS13,DP13&lt;30),AND('Eval-Avant action écologique'!$A$766=CS13,DP14&lt;30),AND('Eval-Avant action écologique'!$A$767=CS13,DP15&lt;30),AND('Eval-Avant action écologique'!$A$768=CS13,DP16&lt;30),AND('Eval-Avant action écologique'!$A$769=CS13,DP17&lt;30),AND('Eval-Avant action écologique'!$A$770=CS13,DP18&lt;30),AND('Eval-Avant action écologique'!$A$771=CS13,DP19&lt;30),AND('Eval-Avant action écologique'!$A$772=CS13,DP20&lt;30),AND('Eval-Avant action écologique'!$A$773=CS13,DP21&lt;30),AND('Eval-Avant action écologique'!$A$774=CS13,DP22&lt;30),AND('Eval-Avant action écologique'!$A$775=CS13,DP23&lt;30),AND('Eval-Avant action écologique'!$A$776=CS13,DP24&lt;30),AND('Eval-Avant action écologique'!$A$777=CS13,DP25&lt;30),AND('Eval-Avant action écologique'!$A$778=CS13,DP26&lt;30),AND('Eval-Avant action écologique'!$A$779=CS13,DP27&lt;30),AND('Eval-Avant action écologique'!$A$780=CS13,DP28&lt;30)),"",SUM(0.1*(SUMPRODUCT(('Eval-Avant action écologique'!$A$761:$A$780=CS13)*('Eval-Avant action écologique'!$N$761:$P$780="A"))+ SUMPRODUCT(('Eval-Avant action écologique'!$A$761:$A$780=CS13)*('Eval-Avant action écologique'!$N$761:$P$780="AL"))),0.7*(SUMPRODUCT(('Eval-Avant action écologique'!$A$761:$A$780=CS13)*('Eval-Avant action écologique'!$N$761:$P$780="TF"))+SUMPRODUCT(('Eval-Avant action écologique'!$A$761:$A$780=CS13)*('Eval-Avant action écologique'!$N$761:$P$780="TM"))+SUMPRODUCT(('Eval-Avant action écologique'!$A$761:$A$780=CS13)*('Eval-Avant action écologique'!$N$761:$P$780="TS"))),0.4*(SUMPRODUCT(('Eval-Avant action écologique'!$A$761:$A$780=CS13)*('Eval-Avant action écologique'!$N$761:$P$780="LA"))+SUMPRODUCT(('Eval-Avant action écologique'!$A$761:$A$780=CS13)*('Eval-Avant action écologique'!$N$761:$P$780="L"))+SUMPRODUCT(('Eval-Avant action écologique'!$A$761:$A$780=CS13)*('Eval-Avant action écologique'!$N$761:$P$780="LS"))),1*(SUMPRODUCT(('Eval-Avant action écologique'!$A$761:$A$780=CS13)*('Eval-Avant action écologique'!$N$761:$P$780="SL"))+ SUMPRODUCT(('Eval-Avant action écologique'!$A$761:$A$780=CS13)*('Eval-Avant action écologique'!$N$761:$P$780="S"))))/(3*COUNTIF('Eval-Avant action écologique'!$A$761:$A$780,CS13))),"")</f>
        <v/>
      </c>
      <c r="DJ13" s="211" t="str">
        <f>IF(COUNTIF('Eval-Avant action écologique'!$A$761:$A$780,CS13)&gt;0,IF(OR(AND('Eval-Avant action écologique'!$A$761=CS13,DP9&lt;120),AND('Eval-Avant action écologique'!$A$762=CS13,DP10&lt;120),AND('Eval-Avant action écologique'!$A$763=CS13,DP11&lt;120),AND('Eval-Avant action écologique'!$A$764=CS13,DP12&lt;120),AND('Eval-Avant action écologique'!$A$765=CS13,DP13&lt;120),AND('Eval-Avant action écologique'!$A$766=CS13,DP14&lt;120),AND('Eval-Avant action écologique'!$A$767=CS13,DP15&lt;120),AND('Eval-Avant action écologique'!$A$768=CS13,DP16&lt;120),AND('Eval-Avant action écologique'!$A$769=CS13,DP17&lt;120),AND('Eval-Avant action écologique'!$A$770=CS13,DP18&lt;120),AND('Eval-Avant action écologique'!$A$771=CS13,DP19&lt;120),AND('Eval-Avant action écologique'!$A$772=CS13,DP20&lt;120),AND('Eval-Avant action écologique'!$A$773=CS13,DP21&lt;120),AND('Eval-Avant action écologique'!$A$774=CS13,DP22&lt;120),AND('Eval-Avant action écologique'!$A$775=CS13,DP23&lt;120),AND('Eval-Avant action écologique'!$A$776=CS13,DP24&lt;120),AND('Eval-Avant action écologique'!$A$777=CS13,DP25&lt;120),AND('Eval-Avant action écologique'!$A$778=CS13,DP26&lt;120),AND('Eval-Avant action écologique'!$A$779=CS13,DP27&lt;120),AND('Eval-Avant action écologique'!$A$780=CS13,DP28&lt;120)),"",SUM(0.1*(SUMPRODUCT(('Eval-Avant action écologique'!$A$761:$A$780=CS13)*('Eval-Avant action écologique'!$Q$761:$Y$780="A"))+ SUMPRODUCT(('Eval-Avant action écologique'!$A$761:$A$780=CS13)*('Eval-Avant action écologique'!$Q$761:$Y$780="AL"))),0.7*(SUMPRODUCT(('Eval-Avant action écologique'!$A$761:$A$780=CS13)*('Eval-Avant action écologique'!$Q$761:$Y$780="TF"))+SUMPRODUCT(('Eval-Avant action écologique'!$A$761:$A$780=CS13)*('Eval-Avant action écologique'!$Q$761:$Y$780="TM"))+SUMPRODUCT(('Eval-Avant action écologique'!$A$761:$A$780=CS13)*('Eval-Avant action écologique'!$Q$761:$Y$780="TS"))),0.4*(SUMPRODUCT(('Eval-Avant action écologique'!$A$761:$A$780=CS13)*('Eval-Avant action écologique'!$Q$761:$Y$780="LA"))+SUMPRODUCT(('Eval-Avant action écologique'!$A$761:$A$780=CS13)*('Eval-Avant action écologique'!$Q$761:$Y$780="L"))+SUMPRODUCT(('Eval-Avant action écologique'!$A$761:$A$780=CS13)*('Eval-Avant action écologique'!$Q$761:$Y$780="LS"))),1*(SUMPRODUCT(('Eval-Avant action écologique'!$A$761:$A$780=CS13)*('Eval-Avant action écologique'!$Q$761:$Y$780="SL"))+ SUMPRODUCT(('Eval-Avant action écologique'!$A$761:$A$780=CS13)*('Eval-Avant action écologique'!$Q$761:$Y$780="S"))))/(9*COUNTIF('Eval-Avant action écologique'!$A$761:$A$780,CS13))),"")</f>
        <v/>
      </c>
      <c r="DK13" s="211" t="str">
        <f>IF(COUNTIF('Eval-Avant action écologique'!$A$761:$A$780,CS13)&gt;0,IF(OR(AND('Eval-Avant action écologique'!$A$761=CS13,OR(COUNTIF('Eval-Avant action écologique'!$N$761:$P$761,"*T*")&gt;0,DP9&lt;30)),AND('Eval-Avant action écologique'!$A$762=CS13,OR(COUNTIF('Eval-Avant action écologique'!$N$762:$P$762,"*T*")&gt;0,DP10&lt;30)),AND('Eval-Avant action écologique'!$A$763=CS13,OR(COUNTIF('Eval-Avant action écologique'!$N$763:$P$763,"*T*")&gt;0,DP11&lt;30)),AND('Eval-Avant action écologique'!$A$764=CS13,OR(COUNTIF('Eval-Avant action écologique'!$N$764:$P$764,"*T*")&gt;0,DP12&lt;30)),AND('Eval-Avant action écologique'!$A$765=CS13,OR(COUNTIF('Eval-Avant action écologique'!$N$765:$P$765,"*T*")&gt;0,DP13&lt;30)),AND('Eval-Avant action écologique'!$A$766=CS13,OR(COUNTIF('Eval-Avant action écologique'!$N$766:$P$766,"*T*")&gt;0,DP14&lt;30)),AND('Eval-Avant action écologique'!$A$767=CS13,OR(COUNTIF('Eval-Avant action écologique'!$N$767:$P$767,"*T*")&gt;0,DP15&lt;30)),AND('Eval-Avant action écologique'!$A$768=CS13,OR(COUNTIF('Eval-Avant action écologique'!$N$768:$P$768,"*T*")&gt;0,DP16&lt;30)),AND('Eval-Avant action écologique'!$A$769=CS13,OR(COUNTIF('Eval-Avant action écologique'!$N$769:$P$769,"*T*")&gt;0,DP17&lt;30)),AND('Eval-Avant action écologique'!$A$770=CS13,OR(COUNTIF('Eval-Avant action écologique'!$N$770:$P$770,"*T*")&gt;0,DP18&lt;30)),AND('Eval-Avant action écologique'!$A$771=CS13,OR(COUNTIF('Eval-Avant action écologique'!$N$771:$P$771,"*T*")&gt;0,DP19&lt;30)),AND('Eval-Avant action écologique'!$A$772=CS13,OR(COUNTIF('Eval-Avant action écologique'!$N$772:$P$772,"*T*")&gt;0,DP20&lt;30)),AND('Eval-Avant action écologique'!$A$773=CS13,OR(COUNTIF('Eval-Avant action écologique'!$N$773:$P$773,"*T*")&gt;0,DP21&lt;30)),AND('Eval-Avant action écologique'!$A$774=CS13,OR(COUNTIF('Eval-Avant action écologique'!$N$774:$P$774,"*T*")&gt;0,DP22&lt;30)),AND('Eval-Avant action écologique'!$A$775=CS13,OR(COUNTIF('Eval-Avant action écologique'!$N$775:$P$775,"*T*")&gt;0,DP23&lt;30)),AND('Eval-Avant action écologique'!$A$776=CS13,OR(COUNTIF('Eval-Avant action écologique'!$N$776:$P$776,"*T*")&gt;0,DP24&lt;30)),AND('Eval-Avant action écologique'!$A$777=CS13,OR(COUNTIF('Eval-Avant action écologique'!$N$777:$P$777,"*T*")&gt;0,DP25&lt;30)),AND('Eval-Avant action écologique'!$A$778=CS13,OR(COUNTIF('Eval-Avant action écologique'!$N$778:$P$778,"*T*")&gt;0,DP26&lt;30)),AND('Eval-Avant action écologique'!$A$779=CS13,OR(COUNTIF('Eval-Avant action écologique'!$N$779:$P$779,"*T*")&gt;0,DP27&lt;30)),AND('Eval-Avant action écologique'!$A$780=CS13,OR(COUNTIF('Eval-Avant action écologique'!$N$780:$P$780,"*T*")&gt;0,DP28&lt;30))),"",SUM(0.1*(SUMPRODUCT(('Eval-Avant action écologique'!$A$761:$A$780=CS13)*('Eval-Avant action écologique'!$N$761:$P$780="L"))),0.4*(SUMPRODUCT(('Eval-Avant action écologique'!$A$761:$A$780=CS13)*('Eval-Avant action écologique'!$N$761:$P$780="LA"))+SUMPRODUCT(('Eval-Avant action écologique'!$A$761:$A$780=CS13)*('Eval-Avant action écologique'!$N$761:$P$780="LS"))),0.7*(SUMPRODUCT(('Eval-Avant action écologique'!$A$761:$A$780=CS13)*('Eval-Avant action écologique'!$N$761:$P$780="AL"))+SUMPRODUCT(('Eval-Avant action écologique'!$A$761:$A$780=CS13)*('Eval-Avant action écologique'!$N$761:$P$780="SL"))),1*(SUMPRODUCT(('Eval-Avant action écologique'!$A$761:$A$780=CS13)*('Eval-Avant action écologique'!$N$761:$P$780="S"))+ SUMPRODUCT(('Eval-Avant action écologique'!$A$761:$A$780=CS13)*('Eval-Avant action écologique'!$N$761:$P$780="A"))))/(3*COUNTIF('Eval-Avant action écologique'!$A$761:$A$780,CS13))),"")</f>
        <v/>
      </c>
      <c r="DL13" s="211" t="str">
        <f>IF(COUNTIF('Eval-Avant action écologique'!$A$761:$A$780,CS13)&gt;0,IF(OR(AND('Eval-Avant action écologique'!$A$761=CS13,OR(COUNTIF('Eval-Avant action écologique'!$N$761:$P$761,"*T*")&gt;0,DP9&lt;30)),AND('Eval-Avant action écologique'!$A$762=CS13,OR(COUNTIF('Eval-Avant action écologique'!$N$762:$P$762,"*T*")&gt;0,DP10&lt;30)),AND('Eval-Avant action écologique'!$A$763=CS13,OR(COUNTIF('Eval-Avant action écologique'!$N$763:$P$763,"*T*")&gt;0,DP11&lt;30)),AND('Eval-Avant action écologique'!$A$764=CS13,OR(COUNTIF('Eval-Avant action écologique'!$N$764:$P$764,"*T*")&gt;0,DP12&lt;30)),AND('Eval-Avant action écologique'!$A$765=CS13,OR(COUNTIF('Eval-Avant action écologique'!$N$765:$P$765,"*T*")&gt;0,DP13&lt;30)),AND('Eval-Avant action écologique'!$A$766=CS13,OR(COUNTIF('Eval-Avant action écologique'!$N$766:$P$766,"*T*")&gt;0,DP14&lt;30)),AND('Eval-Avant action écologique'!$A$767=CS13,OR(COUNTIF('Eval-Avant action écologique'!$N$767:$P$767,"*T*")&gt;0,DP15&lt;30)),AND('Eval-Avant action écologique'!$A$768=CS13,OR(COUNTIF('Eval-Avant action écologique'!$N$768:$P$768,"*T*")&gt;0,DP16&lt;30)),AND('Eval-Avant action écologique'!$A$769=CS13,OR(COUNTIF('Eval-Avant action écologique'!$N$769:$P$769,"*T*")&gt;0,DP17&lt;30)),AND('Eval-Avant action écologique'!$A$770=CS13,OR(COUNTIF('Eval-Avant action écologique'!$N$770:$P$770,"*T*")&gt;0,DP18&lt;30)),AND('Eval-Avant action écologique'!$A$771=CS13,OR(COUNTIF('Eval-Avant action écologique'!$N$771:$P$771,"*T*")&gt;0,DP19&lt;30)),AND('Eval-Avant action écologique'!$A$772=CS13,OR(COUNTIF('Eval-Avant action écologique'!$N$772:$P$772,"*T*")&gt;0,DP20&lt;30)),AND('Eval-Avant action écologique'!$A$773=CS13,OR(COUNTIF('Eval-Avant action écologique'!$N$773:$P$773,"*T*")&gt;0,DP21&lt;30)),AND('Eval-Avant action écologique'!$A$774=CS13,OR(COUNTIF('Eval-Avant action écologique'!$N$774:$P$774,"*T*")&gt;0,DP22&lt;30)),AND('Eval-Avant action écologique'!$A$775=CS13,OR(COUNTIF('Eval-Avant action écologique'!$N$775:$P$775,"*T*")&gt;0,DP23&lt;30)),AND('Eval-Avant action écologique'!$A$776=CS13,OR(COUNTIF('Eval-Avant action écologique'!$N$776:$P$776,"*T*")&gt;0,DP24&lt;30)),AND('Eval-Avant action écologique'!$A$777=CS13,OR(COUNTIF('Eval-Avant action écologique'!$N$777:$P$777,"*T*")&gt;0,DP25&lt;30)),AND('Eval-Avant action écologique'!$A$778=CS13,OR(COUNTIF('Eval-Avant action écologique'!$N$778:$P$778,"*T*")&gt;0,DP26&lt;30)),AND('Eval-Avant action écologique'!$A$779=CS13,OR(COUNTIF('Eval-Avant action écologique'!$N$779:$P$779,"*T*")&gt;0,DP27&lt;30)),AND('Eval-Avant action écologique'!$A$780=CS13,OR(COUNTIF('Eval-Avant action écologique'!$N$780:$P$780,"*T*")&gt;0,DP28&lt;30))),"",SUM(1*(SUMPRODUCT(('Eval-Avant action écologique'!$A$761:$A$780=CS13)*('Eval-Avant action écologique'!$N$761:$P$780="A"))),0.85*(SUMPRODUCT(('Eval-Avant action écologique'!$A$761:$A$780=CS13)*('Eval-Avant action écologique'!$N$761:$P$780="AL"))),0.7*(SUMPRODUCT(('Eval-Avant action écologique'!$A$761:$A$780=CS13)*('Eval-Avant action écologique'!$N$761:$P$780="LA"))),0.55*(SUMPRODUCT(('Eval-Avant action écologique'!$A$761:$A$780=CS13)*('Eval-Avant action écologique'!$N$761:$P$780="L"))),0.4*(SUMPRODUCT(('Eval-Avant action écologique'!$A$761:$A$780=CS13)*('Eval-Avant action écologique'!$N$761:$P$780="LS"))),0.25*(SUMPRODUCT(('Eval-Avant action écologique'!$A$761:$A$780=CS13)*('Eval-Avant action écologique'!$N$761:$P$780="SL"))),0.1*(SUMPRODUCT(('Eval-Avant action écologique'!$A$761:$A$780=CS13)*('Eval-Avant action écologique'!$N$761:$P$780="S"))))/(3*COUNTIF('Eval-Avant action écologique'!$A$761:$A$780,CS13))),"")</f>
        <v/>
      </c>
      <c r="DM13" s="214" t="str">
        <f>IF(COUNTIF('Eval-Avant action écologique'!$A$761:$A$780,CS13)&gt;0,IF(OR(AND('Eval-Avant action écologique'!$A$761=CS13,OR(COUNTIF('Eval-Avant action écologique'!$Q$761:$Y$761,"*T*")&gt;0,DP9&lt;120)),AND('Eval-Avant action écologique'!$A$762=CS13,OR(COUNTIF('Eval-Avant action écologique'!$Q$762:$Y$762,"*T*")&gt;0,DP10&lt;120)),AND('Eval-Avant action écologique'!$A$763=CS13,OR(COUNTIF('Eval-Avant action écologique'!$Q$763:$Y$763,"*T*")&gt;0,DP11&lt;120)),AND('Eval-Avant action écologique'!$A$764=CS13,OR(COUNTIF('Eval-Avant action écologique'!$Q$764:$Y$764,"*T*")&gt;0,DP12&lt;120)),AND('Eval-Avant action écologique'!$A$765=CS13,OR(COUNTIF('Eval-Avant action écologique'!$Q$765:$Y$765,"*T*")&gt;0,DP13&lt;120)),AND('Eval-Avant action écologique'!$A$766=CS13,OR(COUNTIF('Eval-Avant action écologique'!$Q$766:$Y$766,"*T*")&gt;0,DP14&lt;120)),AND('Eval-Avant action écologique'!$A$767=CS13,OR(COUNTIF('Eval-Avant action écologique'!$Q$767:$Y$767,"*T*")&gt;0,DP15&lt;120)),AND('Eval-Avant action écologique'!$A$768=CS13,OR(COUNTIF('Eval-Avant action écologique'!$Q$768:$Y$768,"*T*")&gt;0,DP16&lt;120)),AND('Eval-Avant action écologique'!$A$769=CS13,OR(COUNTIF('Eval-Avant action écologique'!$Q$769:$Y$769,"*T*")&gt;0,DP17&lt;120)),AND('Eval-Avant action écologique'!$A$770=CS13,OR(COUNTIF('Eval-Avant action écologique'!$Q$770:$Y$770,"*T*")&gt;0,DP18&lt;120)),AND('Eval-Avant action écologique'!$A$771=CS13,OR(COUNTIF('Eval-Avant action écologique'!$Q$771:$Y$771,"*T*")&gt;0,DP19&lt;120)),AND('Eval-Avant action écologique'!$A$772=CS13,OR(COUNTIF('Eval-Avant action écologique'!$Q$772:$Y$772,"*T*")&gt;0,DP20&lt;120)),AND('Eval-Avant action écologique'!$A$773=CS13,OR(COUNTIF('Eval-Avant action écologique'!$Q$773:$Y$773,"*T*")&gt;0,DP21&lt;120)),AND('Eval-Avant action écologique'!$A$774=CS13,OR(COUNTIF('Eval-Avant action écologique'!$Q$774:$Y$774,"*T*")&gt;0,DP22&lt;120)),AND('Eval-Avant action écologique'!$A$775=CS13,OR(COUNTIF('Eval-Avant action écologique'!$Q$775:$Y$775,"*T*")&gt;0,DP23&lt;120)),AND('Eval-Avant action écologique'!$A$776=CS13,OR(COUNTIF('Eval-Avant action écologique'!$Q$776:$Y$776,"*T*")&gt;0,DP24&lt;120)),AND('Eval-Avant action écologique'!$A$777=CS13,OR(COUNTIF('Eval-Avant action écologique'!$Q$777:$Y$777,"*T*")&gt;0,DP25&lt;120)),AND('Eval-Avant action écologique'!$A$778=CS13,OR(COUNTIF('Eval-Avant action écologique'!$Q$778:$Y$778,"*T*")&gt;0,DP26&lt;120)),AND('Eval-Avant action écologique'!$A$779=CS13,OR(COUNTIF('Eval-Avant action écologique'!$Q$779:$Y$779,"*T*")&gt;0,DP27&lt;120)),AND('Eval-Avant action écologique'!$A$780=CS13,OR(COUNTIF('Eval-Avant action écologique'!$Q$780:$Y$780,"*T*")&gt;0,DP28&lt;120))),"",SUM(1*(SUMPRODUCT(('Eval-Avant action écologique'!$A$761:$A$780=CS13)*('Eval-Avant action écologique'!$Q$761:$Y$780="A"))),0.85*(SUMPRODUCT(('Eval-Avant action écologique'!$A$761:$A$780=CS13)*('Eval-Avant action écologique'!$Q$761:$Y$780="AL"))),0.7*(SUMPRODUCT(('Eval-Avant action écologique'!$A$761:$A$780=CS13)*('Eval-Avant action écologique'!$Q$761:$Y$780="LA"))),0.55*(SUMPRODUCT(('Eval-Avant action écologique'!$A$761:$A$780=CS13)*('Eval-Avant action écologique'!$Q$761:$Y$780="L"))),0.4*(SUMPRODUCT(('Eval-Avant action écologique'!$A$761:$A$780=CS13)*('Eval-Avant action écologique'!$Q$761:$Y$780="LS"))),0.25*(SUMPRODUCT(('Eval-Avant action écologique'!$A$761:$A$780=CS13)*('Eval-Avant action écologique'!$Q$761:$Y$780="SL"))),0.1*(SUMPRODUCT(('Eval-Avant action écologique'!$A$761:$A$780=CS13)*('Eval-Avant action écologique'!$Q$761:$Y$780="S"))))/(9*COUNTIF('Eval-Avant action écologique'!$A$761:$A$780,CS13))),"")</f>
        <v/>
      </c>
      <c r="DN13" s="215"/>
      <c r="DO13" s="216">
        <f>'Eval-Avant action écologique'!$D$765</f>
        <v>5</v>
      </c>
      <c r="DP13" s="217" t="str">
        <f>IF(DQ13="C",0,IF(IF(COUNTIF('Eval-Avant action écologique'!$N$765:$Y$765,"=C")&gt;0,(COUNTA('Eval-Avant action écologique'!$N$765:$Y$765)-1)*10,COUNTA('Eval-Avant action écologique'!$N$765:$Y$765)*10)=0,"",IF(COUNTIF('Eval-Avant action écologique'!$N$765:$Y$765,"=C")&gt;0,(COUNTA('Eval-Avant action écologique'!$N$765:$Y$765)-1)*10,COUNTA('Eval-Avant action écologique'!$N$765:$Y$765)*10)))</f>
        <v/>
      </c>
      <c r="DQ13" s="217" t="str">
        <f>CONCATENATE('Eval-Avant action écologique'!$N$765,'Eval-Avant action écologique'!$O$765,'Eval-Avant action écologique'!$P$765,'Eval-Avant action écologique'!$Q$765,'Eval-Avant action écologique'!$R$765,'Eval-Avant action écologique'!$S$765,'Eval-Avant action écologique'!$T$765,'Eval-Avant action écologique'!$U$765,'Eval-Avant action écologique'!$V$765,'Eval-Avant action écologique'!$W$765,'Eval-Avant action écologique'!$X$765,'Eval-Avant action écologique'!$Y$765)</f>
        <v/>
      </c>
      <c r="DR13" s="217" t="str">
        <f t="shared" si="12"/>
        <v/>
      </c>
      <c r="DS13" s="217" t="str">
        <f t="shared" si="13"/>
        <v/>
      </c>
      <c r="DT13" s="217" t="str">
        <f>IF(COUNTIF('Eval-Avant action écologique'!$N$765:$Y$765,"=C")&gt;0,"X","")</f>
        <v/>
      </c>
      <c r="DU13" s="217" t="str">
        <f t="shared" si="14"/>
        <v/>
      </c>
      <c r="DV13" s="218" t="str">
        <f t="shared" si="15"/>
        <v/>
      </c>
      <c r="DW13" s="197"/>
      <c r="DY13" s="210">
        <v>5</v>
      </c>
      <c r="DZ13" s="211" t="str">
        <f>IF(COUNTIF('Eval-Avec act. écol. envisagée'!$A$761:$A$780,DY13)&gt;0,SUM(IF('Eval-Avec act. écol. envisagée'!$A$761=DY13,'Eval-Avec act. écol. envisagée'!$B$761,0),IF('Eval-Avec act. écol. envisagée'!$A$762=DY13, 'Eval-Avec act. écol. envisagée'!$B$762,0),IF('Eval-Avec act. écol. envisagée'!$A$763=DY13, 'Eval-Avec act. écol. envisagée'!$B$763,0),IF('Eval-Avec act. écol. envisagée'!$A$764=DY13, 'Eval-Avec act. écol. envisagée'!$B$764,0),IF('Eval-Avec act. écol. envisagée'!$A$765=DY13, 'Eval-Avec act. écol. envisagée'!$B$765,0),IF('Eval-Avec act. écol. envisagée'!$A$766=DY13, 'Eval-Avec act. écol. envisagée'!$B$766,0),IF('Eval-Avec act. écol. envisagée'!$A$767=DY13, 'Eval-Avec act. écol. envisagée'!$B$767,0),IF('Eval-Avec act. écol. envisagée'!$A$768=DY13, 'Eval-Avec act. écol. envisagée'!$B$768,0),IF('Eval-Avec act. écol. envisagée'!$A$769=DY13, 'Eval-Avec act. écol. envisagée'!$B$769,0),IF('Eval-Avec act. écol. envisagée'!$A$770=DY13, 'Eval-Avec act. écol. envisagée'!$B$770,0),IF('Eval-Avec act. écol. envisagée'!$A$771=DY13, 'Eval-Avec act. écol. envisagée'!$B$771,0),IF('Eval-Avec act. écol. envisagée'!$A$772=DY13, 'Eval-Avec act. écol. envisagée'!$B$772,0),IF('Eval-Avec act. écol. envisagée'!$A$773=DY13, 'Eval-Avec act. écol. envisagée'!$B$773,0),IF('Eval-Avec act. écol. envisagée'!$A$774=DY13, 'Eval-Avec act. écol. envisagée'!$B$774,0),IF('Eval-Avec act. écol. envisagée'!$A$775=DY13, 'Eval-Avec act. écol. envisagée'!$B$775,0),IF('Eval-Avec act. écol. envisagée'!$A$776=DY13, 'Eval-Avec act. écol. envisagée'!$B$776,0),IF('Eval-Avec act. écol. envisagée'!$A$777=DY13, 'Eval-Avec act. écol. envisagée'!$B$777,0),IF('Eval-Avec act. écol. envisagée'!$A$778=DY13, 'Eval-Avec act. écol. envisagée'!$B$778,0),IF('Eval-Avec act. écol. envisagée'!$A$779=DY13, 'Eval-Avec act. écol. envisagée'!$B$779,0),IF('Eval-Avec act. écol. envisagée'!$A$780=DY13, 'Eval-Avec act. écol. envisagée'!$B$780,0))/COUNTIF('Eval-Avec act. écol. envisagée'!$A$761:$A$780,DY13),"")</f>
        <v/>
      </c>
      <c r="EA13" s="212" t="str">
        <f>IF(COUNTIF('Eval-Avec act. écol. envisagée'!$A$761:$A$780,DY13)&gt;0,COUNTIF('Eval-Avec act. écol. envisagée'!$A$761:$A$780,DY13),"")</f>
        <v/>
      </c>
      <c r="EB13" s="211" t="str">
        <f>IF(COUNTIF('Eval-Avec act. écol. envisagée'!$A$761:$A$780,DY13)&gt;0,IF(OR(AND('Eval-Avec act. écol. envisagée'!$A$761=DY13, 'Eval-Avec act. écol. envisagée'!$G$761=""),AND('Eval-Avec act. écol. envisagée'!$A$762=DY13, 'Eval-Avec act. écol. envisagée'!$G$762=""),AND('Eval-Avec act. écol. envisagée'!$A$763=DY13, 'Eval-Avec act. écol. envisagée'!$G$763=""),AND('Eval-Avec act. écol. envisagée'!$A$764=DY13, 'Eval-Avec act. écol. envisagée'!$G$764=""),AND('Eval-Avec act. écol. envisagée'!$A$765=DY13, 'Eval-Avec act. écol. envisagée'!$G$765=""),AND('Eval-Avec act. écol. envisagée'!$A$766=DY13, 'Eval-Avec act. écol. envisagée'!$G$766=""),AND('Eval-Avec act. écol. envisagée'!$A$767=DY13, 'Eval-Avec act. écol. envisagée'!$G$767=""),AND('Eval-Avec act. écol. envisagée'!$A$768=DY13, 'Eval-Avec act. écol. envisagée'!$G$768=""),AND('Eval-Avec act. écol. envisagée'!$A$769=DY13, 'Eval-Avec act. écol. envisagée'!$G$769=""),AND('Eval-Avec act. écol. envisagée'!$A$770=DY13, 'Eval-Avec act. écol. envisagée'!$G$770=""),AND('Eval-Avec act. écol. envisagée'!$A$771=DY13, 'Eval-Avec act. écol. envisagée'!$G$771=""),AND('Eval-Avec act. écol. envisagée'!$A$772=DY13, 'Eval-Avec act. écol. envisagée'!$G$772=""),AND('Eval-Avec act. écol. envisagée'!$A$773=DY13, 'Eval-Avec act. écol. envisagée'!$G$773=""),AND('Eval-Avec act. écol. envisagée'!$A$774=DY13, 'Eval-Avec act. écol. envisagée'!$G$774=""),AND('Eval-Avec act. écol. envisagée'!$A$775=DY13, 'Eval-Avec act. écol. envisagée'!$G$775=""),AND('Eval-Avec act. écol. envisagée'!$A$776=DY13, 'Eval-Avec act. écol. envisagée'!$G$776=""),AND('Eval-Avec act. écol. envisagée'!$A$777=DY13, 'Eval-Avec act. écol. envisagée'!$G$777=""),AND('Eval-Avec act. écol. envisagée'!$A$778=DY13, 'Eval-Avec act. écol. envisagée'!$G$778=""),AND('Eval-Avec act. écol. envisagée'!$A$779=DY13, 'Eval-Avec act. écol. envisagée'!$G$779=""),AND('Eval-Avec act. écol. envisagée'!$A$780=DY13, 'Eval-Avec act. écol. envisagée'!$G$780="")),"",SUM(IF('Eval-Avec act. écol. envisagée'!$A$761=DY13,'Eval-Avec act. écol. envisagée'!$G$761,0),IF('Eval-Avec act. écol. envisagée'!$A$762=DY13,'Eval-Avec act. écol. envisagée'!$G$762,0),IF('Eval-Avec act. écol. envisagée'!$A$763=DY13,'Eval-Avec act. écol. envisagée'!$G$763,0),IF('Eval-Avec act. écol. envisagée'!$A$764=DY13,'Eval-Avec act. écol. envisagée'!$G$764,0),IF('Eval-Avec act. écol. envisagée'!$A$765=DY13,'Eval-Avec act. écol. envisagée'!$G$765,0),IF('Eval-Avec act. écol. envisagée'!$A$766=DY13,'Eval-Avec act. écol. envisagée'!$G$766,0),IF('Eval-Avec act. écol. envisagée'!$A$767=DY13,'Eval-Avec act. écol. envisagée'!$G$767,0),IF('Eval-Avec act. écol. envisagée'!$A$768=DY13,'Eval-Avec act. écol. envisagée'!$G$768,0),IF('Eval-Avec act. écol. envisagée'!$A$769=DY13,'Eval-Avec act. écol. envisagée'!$G$769,0),IF('Eval-Avec act. écol. envisagée'!$A$770=DY13,'Eval-Avec act. écol. envisagée'!$G$770,0),IF('Eval-Avec act. écol. envisagée'!$A$771=DY13,'Eval-Avec act. écol. envisagée'!$G$771,0),IF('Eval-Avec act. écol. envisagée'!$A$772=DY13,'Eval-Avec act. écol. envisagée'!$G$772,0),IF('Eval-Avec act. écol. envisagée'!$A$773=DY13,'Eval-Avec act. écol. envisagée'!$G$773,0),IF('Eval-Avec act. écol. envisagée'!$A$774=DY13,'Eval-Avec act. écol. envisagée'!$G$774,0),IF('Eval-Avec act. écol. envisagée'!$A$775=DY13,'Eval-Avec act. écol. envisagée'!$G$775,0), IF('Eval-Avec act. écol. envisagée'!$A$776=DY13,'Eval-Avec act. écol. envisagée'!$G$776,0), IF('Eval-Avec act. écol. envisagée'!$A$777=DY13,'Eval-Avec act. écol. envisagée'!$G$777,0), IF('Eval-Avec act. écol. envisagée'!$A$778=DY13,'Eval-Avec act. écol. envisagée'!$G$778,0), IF('Eval-Avec act. écol. envisagée'!$A$779=DY13,'Eval-Avec act. écol. envisagée'!$G$779,0), IF('Eval-Avec act. écol. envisagée'!$A$780=DY13,'Eval-Avec act. écol. envisagée'!$G$780,0))/ COUNTIF('Eval-Avec act. écol. envisagée'!$A$761:$A$780,DY13)),"")</f>
        <v/>
      </c>
      <c r="EC13" s="212" t="str">
        <f>IF(COUNTIF('Eval-Avec act. écol. envisagée'!$A$761:$A$780,DY13)&gt;0,IF(SUM(IF('Eval-Avec act. écol. envisagée'!$A$761=DY13,COUNTA('Eval-Avec act. écol. envisagée'!$H$761),0),IF('Eval-Avec act. écol. envisagée'!$A$762=DY13,COUNTA('Eval-Avec act. écol. envisagée'!$H$762),0),IF('Eval-Avec act. écol. envisagée'!$A$763=DY13,COUNTA('Eval-Avec act. écol. envisagée'!$H$763),0),IF('Eval-Avec act. écol. envisagée'!$A$764=DY13,COUNTA('Eval-Avec act. écol. envisagée'!$H$764),0),IF('Eval-Avec act. écol. envisagée'!$A$765=DY13,COUNTA('Eval-Avec act. écol. envisagée'!$H$765),0),IF('Eval-Avec act. écol. envisagée'!$A$766=DY13,COUNTA('Eval-Avec act. écol. envisagée'!$H$766),0),IF('Eval-Avec act. écol. envisagée'!$A$767=DY13,COUNTA('Eval-Avec act. écol. envisagée'!$H$767),0),IF('Eval-Avec act. écol. envisagée'!$A$768=DY13,COUNTA('Eval-Avec act. écol. envisagée'!$H$768),0),IF('Eval-Avec act. écol. envisagée'!$A$769=DY13,COUNTA('Eval-Avec act. écol. envisagée'!$H$769),0),IF('Eval-Avec act. écol. envisagée'!$A$770=DY13,COUNTA('Eval-Avec act. écol. envisagée'!$H$770),0),IF('Eval-Avec act. écol. envisagée'!$A$771=DY13,COUNTA('Eval-Avec act. écol. envisagée'!$H$771),0),IF('Eval-Avec act. écol. envisagée'!$A$772=DY13,COUNTA('Eval-Avec act. écol. envisagée'!$H$772),0),IF('Eval-Avec act. écol. envisagée'!$A$773=DY13,COUNTA('Eval-Avec act. écol. envisagée'!$H$773),0),IF('Eval-Avec act. écol. envisagée'!$A$774=DY13,COUNTA('Eval-Avec act. écol. envisagée'!$H$774),0),IF('Eval-Avec act. écol. envisagée'!$A$775=DY13,COUNTA('Eval-Avec act. écol. envisagée'!$H$775),0),IF('Eval-Avec act. écol. envisagée'!$A$776=DY13,COUNTA('Eval-Avec act. écol. envisagée'!$H$776),0),IF('Eval-Avec act. écol. envisagée'!$A$777=DY13,COUNTA('Eval-Avec act. écol. envisagée'!$H$777),0),IF('Eval-Avec act. écol. envisagée'!$A$778=DY13,COUNTA('Eval-Avec act. écol. envisagée'!$H$778),0),IF('Eval-Avec act. écol. envisagée'!$A$779=DY13,COUNTA('Eval-Avec act. écol. envisagée'!$H$779),0),IF('Eval-Avec act. écol. envisagée'!$A$780=DY13,COUNTA('Eval-Avec act. écol. envisagée'!$H$780),0))&gt;0,"X",0),"")</f>
        <v/>
      </c>
      <c r="ED13" s="213" t="str">
        <f>IF(COUNTIF('Eval-Avec act. écol. envisagée'!$A$761:$A$780,DY13)&gt;0,IF(SUM(IF('Eval-Avec act. écol. envisagée'!$A$761=DY13,COUNTA('Eval-Avec act. écol. envisagée'!$I$761),0),IF('Eval-Avec act. écol. envisagée'!$A$762=DY13,COUNTA('Eval-Avec act. écol. envisagée'!$I$762),0),IF('Eval-Avec act. écol. envisagée'!$A$763=DY13,COUNTA('Eval-Avec act. écol. envisagée'!$I$763),0),IF('Eval-Avec act. écol. envisagée'!$A$764=DY13,COUNTA('Eval-Avec act. écol. envisagée'!$I$764),0),IF('Eval-Avec act. écol. envisagée'!$A$765=DY13,COUNTA('Eval-Avec act. écol. envisagée'!$I$765),0),IF('Eval-Avec act. écol. envisagée'!$A$766=DY13,COUNTA('Eval-Avec act. écol. envisagée'!$I$766),0),IF('Eval-Avec act. écol. envisagée'!$A$767=DY13,COUNTA('Eval-Avec act. écol. envisagée'!$I$767),0),IF('Eval-Avec act. écol. envisagée'!$A$768=DY13,COUNTA('Eval-Avec act. écol. envisagée'!$I$768),0),IF('Eval-Avec act. écol. envisagée'!$A$769=DY13,COUNTA('Eval-Avec act. écol. envisagée'!$I$769),0),IF('Eval-Avec act. écol. envisagée'!$A$770=DY13,COUNTA('Eval-Avec act. écol. envisagée'!$I$770),0),IF('Eval-Avec act. écol. envisagée'!$A$771=DY13,COUNTA('Eval-Avec act. écol. envisagée'!$I$771),0),IF('Eval-Avec act. écol. envisagée'!$A$772=DY13,COUNTA('Eval-Avec act. écol. envisagée'!$I$772),0),IF('Eval-Avec act. écol. envisagée'!$A$773=DY13,COUNTA('Eval-Avec act. écol. envisagée'!$I$773),0),IF('Eval-Avec act. écol. envisagée'!$A$774=DY13,COUNTA('Eval-Avec act. écol. envisagée'!$I$774),0),IF('Eval-Avec act. écol. envisagée'!$A$775=DY13,COUNTA('Eval-Avec act. écol. envisagée'!$I$775),0),IF('Eval-Avec act. écol. envisagée'!$A$776=DY13,COUNTA('Eval-Avec act. écol. envisagée'!$I$776),0),IF('Eval-Avec act. écol. envisagée'!$A$777=DY13,COUNTA('Eval-Avec act. écol. envisagée'!$I$777),0),IF('Eval-Avec act. écol. envisagée'!$A$778=DY13,COUNTA('Eval-Avec act. écol. envisagée'!$I$778),0),IF('Eval-Avec act. écol. envisagée'!$A$779=DY13,COUNTA('Eval-Avec act. écol. envisagée'!$I$779),0),IF('Eval-Avec act. écol. envisagée'!$A$780=DY13,COUNTA('Eval-Avec act. écol. envisagée'!$I$780),0))&gt;0,"X",0),"")</f>
        <v/>
      </c>
      <c r="EE13" s="213" t="str">
        <f>IF(COUNTIF('Eval-Avec act. écol. envisagée'!$A$761:$A$780,DY13)&gt;0,IF(SUM(IF('Eval-Avec act. écol. envisagée'!$A$761=DY13,COUNTA('Eval-Avec act. écol. envisagée'!$J$761),0),IF('Eval-Avec act. écol. envisagée'!$A$762=DY13,COUNTA('Eval-Avec act. écol. envisagée'!$J$762),0),IF('Eval-Avec act. écol. envisagée'!$A$763=DY13,COUNTA('Eval-Avec act. écol. envisagée'!$J$763),0),IF('Eval-Avec act. écol. envisagée'!$A$764=DY13,COUNTA('Eval-Avec act. écol. envisagée'!$J$764),0),IF('Eval-Avec act. écol. envisagée'!$A$765=DY13,COUNTA('Eval-Avec act. écol. envisagée'!$J$765),0),IF('Eval-Avec act. écol. envisagée'!$A$766=DY13,COUNTA('Eval-Avec act. écol. envisagée'!$J$766),0),IF('Eval-Avec act. écol. envisagée'!$A$767=DY13,COUNTA('Eval-Avec act. écol. envisagée'!$J$767),0),IF('Eval-Avec act. écol. envisagée'!$A$768=DY13,COUNTA('Eval-Avec act. écol. envisagée'!$J$768),0),IF('Eval-Avec act. écol. envisagée'!$A$769=DY13,COUNTA('Eval-Avec act. écol. envisagée'!$J$769),0),IF('Eval-Avec act. écol. envisagée'!$A$770=DY13,COUNTA('Eval-Avec act. écol. envisagée'!$J$770),0),IF('Eval-Avec act. écol. envisagée'!$A$771=DY13,COUNTA('Eval-Avec act. écol. envisagée'!$J$771),0),IF('Eval-Avec act. écol. envisagée'!$A$772=DY13,COUNTA('Eval-Avec act. écol. envisagée'!$J$772),0),IF('Eval-Avec act. écol. envisagée'!$A$773=DY13,COUNTA('Eval-Avec act. écol. envisagée'!$J$773),0),IF('Eval-Avec act. écol. envisagée'!$A$774=DY13,COUNTA('Eval-Avec act. écol. envisagée'!$J$774),0),IF('Eval-Avec act. écol. envisagée'!$A$775=DY13,COUNTA('Eval-Avec act. écol. envisagée'!$J$775),0),IF('Eval-Avec act. écol. envisagée'!$A$776=DY13,COUNTA('Eval-Avec act. écol. envisagée'!$J$776),0),IF('Eval-Avec act. écol. envisagée'!$A$777=DY13,COUNTA('Eval-Avec act. écol. envisagée'!$J$777),0),IF('Eval-Avec act. écol. envisagée'!$A$778=DY13,COUNTA('Eval-Avec act. écol. envisagée'!$J$778),0),IF('Eval-Avec act. écol. envisagée'!$A$779=DY13,COUNTA('Eval-Avec act. écol. envisagée'!$J$779),0),IF('Eval-Avec act. écol. envisagée'!$A$780=DY13,COUNTA('Eval-Avec act. écol. envisagée'!$J$780),0))&gt;0,"X",0),"")</f>
        <v/>
      </c>
      <c r="EF13" s="213" t="str">
        <f>IF(COUNTIF('Eval-Avec act. écol. envisagée'!$A$761:$A$780,DY13)&gt;0,IF(SUM(IF('Eval-Avec act. écol. envisagée'!$A$761=DY13,COUNTA('Eval-Avec act. écol. envisagée'!$K$761),0),IF('Eval-Avec act. écol. envisagée'!$A$762=DY13,COUNTA('Eval-Avec act. écol. envisagée'!$K$762),0),IF('Eval-Avec act. écol. envisagée'!$A$763=DY13,COUNTA('Eval-Avec act. écol. envisagée'!$K$763),0),IF('Eval-Avec act. écol. envisagée'!$A$764=DY13,COUNTA('Eval-Avec act. écol. envisagée'!$K$764),0),IF('Eval-Avec act. écol. envisagée'!$A$765=DY13,COUNTA('Eval-Avec act. écol. envisagée'!$K$765),0),IF('Eval-Avec act. écol. envisagée'!$A$766=DY13,COUNTA('Eval-Avec act. écol. envisagée'!$K$766),0),IF('Eval-Avec act. écol. envisagée'!$A$767=DY13,COUNTA('Eval-Avec act. écol. envisagée'!$K$767),0),IF('Eval-Avec act. écol. envisagée'!$A$768=DY13,COUNTA('Eval-Avec act. écol. envisagée'!$K$768),0),IF('Eval-Avec act. écol. envisagée'!$A$769=DY13,COUNTA('Eval-Avec act. écol. envisagée'!$K$769),0),IF('Eval-Avec act. écol. envisagée'!$A$770=DY13,COUNTA('Eval-Avec act. écol. envisagée'!$K$770),0),IF('Eval-Avec act. écol. envisagée'!$A$771=DY13,COUNTA('Eval-Avec act. écol. envisagée'!$K$771),0),IF('Eval-Avec act. écol. envisagée'!$A$772=DY13,COUNTA('Eval-Avec act. écol. envisagée'!$K$772),0),IF('Eval-Avec act. écol. envisagée'!$A$773=DY13,COUNTA('Eval-Avec act. écol. envisagée'!$K$773),0),IF('Eval-Avec act. écol. envisagée'!$A$774=DY13,COUNTA('Eval-Avec act. écol. envisagée'!$K$774),0),IF('Eval-Avec act. écol. envisagée'!$A$775=DY13,COUNTA('Eval-Avec act. écol. envisagée'!$K$775),0),IF('Eval-Avec act. écol. envisagée'!$A$776=DY13,COUNTA('Eval-Avec act. écol. envisagée'!$K$776),0),IF('Eval-Avec act. écol. envisagée'!$A$777=DY13,COUNTA('Eval-Avec act. écol. envisagée'!$K$777),0),IF('Eval-Avec act. écol. envisagée'!$A$778=DY13,COUNTA('Eval-Avec act. écol. envisagée'!$K$778),0),IF('Eval-Avec act. écol. envisagée'!$A$779=DY13,COUNTA('Eval-Avec act. écol. envisagée'!$K$779),0),IF('Eval-Avec act. écol. envisagée'!$A$780=DY13,COUNTA('Eval-Avec act. écol. envisagée'!$K$780),0))&gt;0,"X",0),"")</f>
        <v/>
      </c>
      <c r="EG13" s="211" t="str">
        <f>IF(COUNTIF('Eval-Avec act. écol. envisagée'!$A$761:$A$780,DY13)&gt;0,IF(OR(AND('Eval-Avec act. écol. envisagée'!$A$761=DY13,'Eval-Avec act. écol. envisagée'!$L$761&lt;120,'Eval-Avec act. écol. envisagée'!$L$761&gt;=EV9),AND('Eval-Avec act. écol. envisagée'!$A$762=DY13,'Eval-Avec act. écol. envisagée'!$L$762&lt;120,'Eval-Avec act. écol. envisagée'!$L$762&gt;=EV10),AND('Eval-Avec act. écol. envisagée'!$A$763=DY13,'Eval-Avec act. écol. envisagée'!$L$763&lt;120,'Eval-Avec act. écol. envisagée'!$L$763&gt;=EV11),AND('Eval-Avec act. écol. envisagée'!$A$764=DY13,'Eval-Avec act. écol. envisagée'!$L$764&lt;120,'Eval-Avec act. écol. envisagée'!$L$764&gt;=EV12),AND('Eval-Avec act. écol. envisagée'!$A$765=DY13,'Eval-Avec act. écol. envisagée'!$L$765&lt;120,'Eval-Avec act. écol. envisagée'!$L$765&gt;=EV13),AND('Eval-Avec act. écol. envisagée'!$A$766=DY13,'Eval-Avec act. écol. envisagée'!$L$766&lt;120,'Eval-Avec act. écol. envisagée'!$L$766&gt;=EV14),AND('Eval-Avec act. écol. envisagée'!$A$767=DY13,'Eval-Avec act. écol. envisagée'!$L$767&lt;120,'Eval-Avec act. écol. envisagée'!$L$767&gt;=EV15),AND('Eval-Avec act. écol. envisagée'!$A$768=DY13,'Eval-Avec act. écol. envisagée'!$L$768&lt;120,'Eval-Avec act. écol. envisagée'!$L$768&gt;=EV16),AND('Eval-Avec act. écol. envisagée'!$A$769=DY13,'Eval-Avec act. écol. envisagée'!$L$769&lt;120,'Eval-Avec act. écol. envisagée'!$L$769&gt;=EV17),AND('Eval-Avec act. écol. envisagée'!$A$770=DY13,'Eval-Avec act. écol. envisagée'!$L$770&lt;120,'Eval-Avec act. écol. envisagée'!$L$770&gt;=EV18),AND('Eval-Avec act. écol. envisagée'!$A$771=DY13,'Eval-Avec act. écol. envisagée'!$L$771&lt;120,'Eval-Avec act. écol. envisagée'!$L$771&gt;=EV19),AND('Eval-Avec act. écol. envisagée'!$A$772=DY13,'Eval-Avec act. écol. envisagée'!$L$772&lt;120,'Eval-Avec act. écol. envisagée'!$L$772&gt;=EV20),AND('Eval-Avec act. écol. envisagée'!$A$773=DY13,'Eval-Avec act. écol. envisagée'!$L$773&lt;120,'Eval-Avec act. écol. envisagée'!$L$773&gt;=EV21),AND('Eval-Avec act. écol. envisagée'!$A$774=DY13,'Eval-Avec act. écol. envisagée'!$L$774&lt;120,'Eval-Avec act. écol. envisagée'!$L$774&gt;=EV22),AND('Eval-Avec act. écol. envisagée'!$A$775=DY13,'Eval-Avec act. écol. envisagée'!$L$775&lt;120,'Eval-Avec act. écol. envisagée'!$L$775&gt;=EV23),AND('Eval-Avec act. écol. envisagée'!$A$776=DY13,'Eval-Avec act. écol. envisagée'!$L$776&lt;120,'Eval-Avec act. écol. envisagée'!$L$776&gt;=EV24),AND('Eval-Avec act. écol. envisagée'!$A$777=DY13,'Eval-Avec act. écol. envisagée'!$L$777&lt;120,'Eval-Avec act. écol. envisagée'!$L$777&gt;=EV25),AND('Eval-Avec act. écol. envisagée'!$A$778=DY13,'Eval-Avec act. écol. envisagée'!$L$778&lt;120,'Eval-Avec act. écol. envisagée'!$L$778&gt;=EV26),AND('Eval-Avec act. écol. envisagée'!$A$779=DY13,'Eval-Avec act. écol. envisagée'!$L$779&lt;120,'Eval-Avec act. écol. envisagée'!$L$779&gt;=EV27),AND('Eval-Avec act. écol. envisagée'!$A$780=DY13,'Eval-Avec act. écol. envisagée'!$L$780&lt;120,'Eval-Avec act. écol. envisagée'!$L$780&gt;=EV28)),"",SUM(IF('Eval-Avec act. écol. envisagée'!$A$761=DY13,'Eval-Avec act. écol. envisagée'!$L$761,0),IF('Eval-Avec act. écol. envisagée'!$A$762=DY13,'Eval-Avec act. écol. envisagée'!$L$762,0),IF('Eval-Avec act. écol. envisagée'!$A$763=DY13,'Eval-Avec act. écol. envisagée'!$L$763,0),IF('Eval-Avec act. écol. envisagée'!$A$764=DY13,'Eval-Avec act. écol. envisagée'!$L$764,0),IF('Eval-Avec act. écol. envisagée'!$A$765=DY13,'Eval-Avec act. écol. envisagée'!$L$765,0),IF('Eval-Avec act. écol. envisagée'!$A$766=DY13,'Eval-Avec act. écol. envisagée'!$L$766,0),IF('Eval-Avec act. écol. envisagée'!$A$767=DY13,'Eval-Avec act. écol. envisagée'!$L$767,0),IF('Eval-Avec act. écol. envisagée'!$A$768=DY13,'Eval-Avec act. écol. envisagée'!$L$768,0),IF('Eval-Avec act. écol. envisagée'!$A$769=DY13,'Eval-Avec act. écol. envisagée'!$L$769,0),IF('Eval-Avec act. écol. envisagée'!$A$770=DY13,'Eval-Avec act. écol. envisagée'!$L$770,0),IF('Eval-Avec act. écol. envisagée'!$A$771=DY13,'Eval-Avec act. écol. envisagée'!$L$771,0),IF('Eval-Avec act. écol. envisagée'!$A$772=DY13,'Eval-Avec act. écol. envisagée'!$L$772,0),IF('Eval-Avec act. écol. envisagée'!$A$773=DY13,'Eval-Avec act. écol. envisagée'!$L$773,0),IF('Eval-Avec act. écol. envisagée'!$A$774=DY13,'Eval-Avec act. écol. envisagée'!$L$774,0),IF('Eval-Avec act. écol. envisagée'!$A$775=DY13,'Eval-Avec act. écol. envisagée'!$L$775,0),IF('Eval-Avec act. écol. envisagée'!$A$776=DY13,'Eval-Avec act. écol. envisagée'!$L$776,0),IF('Eval-Avec act. écol. envisagée'!$A$777=DY13,'Eval-Avec act. écol. envisagée'!$L$777,0),IF('Eval-Avec act. écol. envisagée'!$A$778=DY13,'Eval-Avec act. écol. envisagée'!$L$778,0),IF('Eval-Avec act. écol. envisagée'!$A$779=DY13,'Eval-Avec act. écol. envisagée'!$L$779,0),IF('Eval-Avec act. écol. envisagée'!$A$780=DY13,'Eval-Avec act. écol. envisagée'!$L$780,0))/ COUNTIF('Eval-Avec act. écol. envisagée'!$A$761:$A$780,DY13)),"")</f>
        <v/>
      </c>
      <c r="EH13" s="211" t="str">
        <f>IF(COUNTIF('Eval-Avec act. écol. envisagée'!$A$761:$A$780,DY13)&gt;0,IF(OR(AND('Eval-Avec act. écol. envisagée'!$A$761=DY13, EV9&lt;120),AND(EV10&lt;120),AND(EV11&lt;120),AND(EV12&lt;120),AND(EV13&lt;120),AND(EV14&lt;120),AND(EV15&lt;120),AND(EV16&lt;120),AND(EV17&lt;120),AND(EV18&lt;120),AND(EV19&lt;120),AND(EV20&lt;120),AND(EV21&lt;120),AND(EV22&lt;120),AND(EV23&lt;120),AND(EV24&lt;120),AND(EV25&lt;120),AND(EV26&lt;120),AND(EV27&lt;120),AND(EV28&lt;120)),"",SUM(IF('Eval-Avec act. écol. envisagée'!$A$761=DY13,'Eval-Avec act. écol. envisagée'!$M$761,0),IF('Eval-Avec act. écol. envisagée'!$A$762=DY13,'Eval-Avec act. écol. envisagée'!$M$762,0),IF('Eval-Avec act. écol. envisagée'!$A$763=DY13,'Eval-Avec act. écol. envisagée'!$M$763,0),IF('Eval-Avec act. écol. envisagée'!$A$764=DY13,'Eval-Avec act. écol. envisagée'!$M$764,0),IF('Eval-Avec act. écol. envisagée'!$A$765=DY13,'Eval-Avec act. écol. envisagée'!$M$765,0),IF('Eval-Avec act. écol. envisagée'!$A$766=DY13,'Eval-Avec act. écol. envisagée'!$M$766,0),IF('Eval-Avec act. écol. envisagée'!$A$767=DY13,'Eval-Avec act. écol. envisagée'!$M$767,0),IF('Eval-Avec act. écol. envisagée'!$A$768=DY13,'Eval-Avec act. écol. envisagée'!$M$768,0),IF('Eval-Avec act. écol. envisagée'!$A$769=DY13,'Eval-Avec act. écol. envisagée'!$M$769,0),IF('Eval-Avec act. écol. envisagée'!$A$770=DY13,'Eval-Avec act. écol. envisagée'!$M$770,0),IF('Eval-Avec act. écol. envisagée'!$A$771=DY13,'Eval-Avec act. écol. envisagée'!$M$771,0),IF('Eval-Avec act. écol. envisagée'!$A$772=DY13,'Eval-Avec act. écol. envisagée'!$M$772,0),IF('Eval-Avec act. écol. envisagée'!$A$773=DY13,'Eval-Avec act. écol. envisagée'!$M$773,0),IF('Eval-Avec act. écol. envisagée'!$A$774=DY13,'Eval-Avec act. écol. envisagée'!$M$774,0),IF('Eval-Avec act. écol. envisagée'!$A$775=DY13,'Eval-Avec act. écol. envisagée'!$M$775,0), IF('Eval-Avec act. écol. envisagée'!$A$776=DY13,'Eval-Avec act. écol. envisagée'!$M$776,0), IF('Eval-Avec act. écol. envisagée'!$A$777=DY13,'Eval-Avec act. écol. envisagée'!$M$777,0), IF('Eval-Avec act. écol. envisagée'!$A$778=DY13,'Eval-Avec act. écol. envisagée'!$M$778,0), IF('Eval-Avec act. écol. envisagée'!$A$779=DY13,'Eval-Avec act. écol. envisagée'!$M$779,0), IF('Eval-Avec act. écol. envisagée'!$A$780=DY13,'Eval-Avec act. écol. envisagée'!$M$780,0))/COUNTIF('Eval-Avec act. écol. envisagée'!$A$761:$A$780,DY13)),"")</f>
        <v/>
      </c>
      <c r="EI13" s="211" t="str">
        <f>IF(COUNTIF('Eval-Avec act. écol. envisagée'!$A$761:$A$780,DY13)&gt;0,SUM(IF('Eval-Avec act. écol. envisagée'!$A$761=DY13,LEN(SUBSTITUTE((SUBSTITUTE(EX9,"TM","")),"TS",""))*10/2,0),IF('Eval-Avec act. écol. envisagée'!$A$762=DY13,LEN(SUBSTITUTE((SUBSTITUTE(EX10,"TM","")),"TS",""))*10/2,0),IF('Eval-Avec act. écol. envisagée'!$A$763=DY13,LEN(SUBSTITUTE((SUBSTITUTE(EX11,"TM","")),"TS",""))*10/2,0),IF('Eval-Avec act. écol. envisagée'!$A$764=DY13,LEN(SUBSTITUTE((SUBSTITUTE(EX12,"TM","")),"TS",""))*10/2,0),IF('Eval-Avec act. écol. envisagée'!$A$765=DY13,LEN(SUBSTITUTE((SUBSTITUTE(EX13,"TM","")),"TS",""))*10/2,0),IF('Eval-Avec act. écol. envisagée'!$A$766=DY13,LEN(SUBSTITUTE((SUBSTITUTE(EX14,"TM","")),"TS",""))*10/2,0),IF('Eval-Avec act. écol. envisagée'!$A$767=DY13,LEN(SUBSTITUTE((SUBSTITUTE(EX15,"TM","")),"TS",""))*10/2,0),IF('Eval-Avec act. écol. envisagée'!$A$768=DY13,LEN(SUBSTITUTE((SUBSTITUTE(EX16,"TM","")),"TS",""))*10/2,0),IF('Eval-Avec act. écol. envisagée'!$A$769=DY13,LEN(SUBSTITUTE((SUBSTITUTE(EX17,"TM","")),"TS",""))*10/2,0),IF('Eval-Avec act. écol. envisagée'!$A$770=DY13,LEN(SUBSTITUTE((SUBSTITUTE(EX18,"TM","")),"TS",""))*10/2,0),IF('Eval-Avec act. écol. envisagée'!$A$771=DY13,LEN(SUBSTITUTE((SUBSTITUTE(EX19,"TM","")),"TS",""))*10/2,0),IF('Eval-Avec act. écol. envisagée'!$A$772=DY13,LEN(SUBSTITUTE((SUBSTITUTE(EX20,"TM","")),"TS",""))*10/2,0),IF('Eval-Avec act. écol. envisagée'!$A$773=DY13,LEN(SUBSTITUTE((SUBSTITUTE(EX21,"TM","")),"TS",""))*10/2,0),IF('Eval-Avec act. écol. envisagée'!$A$774=DY13,LEN(SUBSTITUTE((SUBSTITUTE(EX22,"TM","")),"TS",""))*10/2,0),IF('Eval-Avec act. écol. envisagée'!$A$775=DY13,LEN(SUBSTITUTE((SUBSTITUTE(EX23,"TM","")),"TS",""))*10/2,0),IF('Eval-Avec act. écol. envisagée'!$A$776=DY13,LEN(SUBSTITUTE((SUBSTITUTE(EX24,"TM","")),"TS",""))*10/2,0),IF('Eval-Avec act. écol. envisagée'!$A$777=DY13,LEN(SUBSTITUTE((SUBSTITUTE(EX25,"TM","")),"TS",""))*10/2,0),IF('Eval-Avec act. écol. envisagée'!$A$778=DY13,LEN(SUBSTITUTE((SUBSTITUTE(EX26,"TM","")),"TS",""))*10/2,0),IF('Eval-Avec act. écol. envisagée'!$A$779=DY13,LEN(SUBSTITUTE((SUBSTITUTE(EX27,"TM","")),"TS",""))*10/2,0),IF('Eval-Avec act. écol. envisagée'!$A$780=DY13,LEN(SUBSTITUTE((SUBSTITUTE(EX28,"TM","")),"TS",""))*10/2,0))/COUNTIF('Eval-Avec act. écol. envisagée'!$A$761:$A$780,DY13),"")</f>
        <v/>
      </c>
      <c r="EJ13" s="211" t="str">
        <f>IF(COUNTIF('Eval-Avec act. écol. envisagée'!$A$761:$A$780,DY13)&gt;0,SUM(IF('Eval-Avec act. écol. envisagée'!$A$761=DY13,LEN(SUBSTITUTE((SUBSTITUTE(EX9,"TF","")),"TS",""))*10/2,0),IF('Eval-Avec act. écol. envisagée'!$A$762=DY13,LEN(SUBSTITUTE((SUBSTITUTE(EX10,"TF","")),"TS",""))*10/2,0),IF('Eval-Avec act. écol. envisagée'!$A$763=DY13,LEN(SUBSTITUTE((SUBSTITUTE(EX11,"TF","")),"TS",""))*10/2,0),IF('Eval-Avec act. écol. envisagée'!$A$764=DY13,LEN(SUBSTITUTE((SUBSTITUTE(EX12,"TF","")),"TS",""))*10/2,0),IF('Eval-Avec act. écol. envisagée'!$A$765=DY13,LEN(SUBSTITUTE((SUBSTITUTE(EX13,"TF","")),"TS",""))*10/2,0),IF('Eval-Avec act. écol. envisagée'!$A$766=DY13,LEN(SUBSTITUTE((SUBSTITUTE(EX14,"TF","")),"TS",""))*10/2,0),IF('Eval-Avec act. écol. envisagée'!$A$767=DY13,LEN(SUBSTITUTE((SUBSTITUTE(EX15,"TF","")),"TS",""))*10/2,0),IF('Eval-Avec act. écol. envisagée'!$A$768=DY13,LEN(SUBSTITUTE((SUBSTITUTE(EX16,"TF","")),"TS",""))*10/2,0),IF('Eval-Avec act. écol. envisagée'!$A$769=DY13,LEN(SUBSTITUTE((SUBSTITUTE(EX17,"TF","")),"TS",""))*10/2,0),IF('Eval-Avec act. écol. envisagée'!$A$770=DY13,LEN(SUBSTITUTE((SUBSTITUTE(EX18,"TF","")),"TS",""))*10/2,0),IF('Eval-Avec act. écol. envisagée'!$A$771=DY13,LEN(SUBSTITUTE((SUBSTITUTE(EX19,"TF","")),"TS",""))*10/2,0),IF('Eval-Avec act. écol. envisagée'!$A$772=DY13,LEN(SUBSTITUTE((SUBSTITUTE(EX20,"TF","")),"TS",""))*10/2,0),IF('Eval-Avec act. écol. envisagée'!$A$773=DY13,LEN(SUBSTITUTE((SUBSTITUTE(EX21,"TF","")),"TS",""))*10/2,0),IF('Eval-Avec act. écol. envisagée'!$A$774=DY13,LEN(SUBSTITUTE((SUBSTITUTE(EX22,"TF","")),"TS",""))*10/2,0),IF('Eval-Avec act. écol. envisagée'!$A$775=DY13,LEN(SUBSTITUTE((SUBSTITUTE(EX23,"TF","")),"TS",""))*10/2,0),IF('Eval-Avec act. écol. envisagée'!$A$776=DY13,LEN(SUBSTITUTE((SUBSTITUTE(EX24,"TF","")),"TS",""))*10/2,0),IF('Eval-Avec act. écol. envisagée'!$A$777=DY13,LEN(SUBSTITUTE((SUBSTITUTE(EX25,"TF","")),"TS",""))*10/2,0),IF('Eval-Avec act. écol. envisagée'!$A$778=DY13,LEN(SUBSTITUTE((SUBSTITUTE(EX26,"TF","")),"TS",""))*10/2,0),IF('Eval-Avec act. écol. envisagée'!$A$779=DY13,LEN(SUBSTITUTE((SUBSTITUTE(EX27,"TF","")),"TS",""))*10/2,0),IF('Eval-Avec act. écol. envisagée'!$A$780=DY13,LEN(SUBSTITUTE((SUBSTITUTE(EX28,"TF","")),"TS",""))*10/2,0))/COUNTIF('Eval-Avec act. écol. envisagée'!$A$761:$A$780,DY13),"")</f>
        <v/>
      </c>
      <c r="EK13" s="211" t="str">
        <f>IF(COUNTIF('Eval-Avec act. écol. envisagée'!$A$761:$A$780,DY13)&gt;0,SUM(IF('Eval-Avec act. écol. envisagée'!$A$761=DY13,LEN(SUBSTITUTE((SUBSTITUTE(EX9,"TF","")),"TM",""))*10/2,0),IF('Eval-Avec act. écol. envisagée'!$A$762=DY13,LEN(SUBSTITUTE((SUBSTITUTE(EX10,"TF","")),"TM",""))*10/2,0),IF('Eval-Avec act. écol. envisagée'!$A$763=DY13,LEN(SUBSTITUTE((SUBSTITUTE(EX11,"TF","")),"TM",""))*10/2,0),IF('Eval-Avec act. écol. envisagée'!$A$764=DY13,LEN(SUBSTITUTE((SUBSTITUTE(EX12,"TF","")),"TM",""))*10/2,0),IF('Eval-Avec act. écol. envisagée'!$A$765=DY13,LEN(SUBSTITUTE((SUBSTITUTE(EX13,"TF","")),"TM",""))*10/2,0),IF('Eval-Avec act. écol. envisagée'!$A$766=DY13,LEN(SUBSTITUTE((SUBSTITUTE(EX14,"TF","")),"TM",""))*10/2,0),IF('Eval-Avec act. écol. envisagée'!$A$767=DY13,LEN(SUBSTITUTE((SUBSTITUTE(EX15,"TF","")),"TM",""))*10/2,0),IF('Eval-Avec act. écol. envisagée'!$A$768=DY13,LEN(SUBSTITUTE((SUBSTITUTE(EX16,"TF","")),"TM",""))*10/2,0),IF('Eval-Avec act. écol. envisagée'!$A$769=DY13,LEN(SUBSTITUTE((SUBSTITUTE(EX17,"TF","")),"TM",""))*10/2,0),IF('Eval-Avec act. écol. envisagée'!$A$770=DY13,LEN(SUBSTITUTE((SUBSTITUTE(EX18,"TF","")),"TM",""))*10/2,0),IF('Eval-Avec act. écol. envisagée'!$A$771=DY13,LEN(SUBSTITUTE((SUBSTITUTE(EX19,"TF","")),"TM",""))*10/2,0),IF('Eval-Avec act. écol. envisagée'!$A$772=DY13,LEN(SUBSTITUTE((SUBSTITUTE(EX20,"TF","")),"TM",""))*10/2,0),IF('Eval-Avec act. écol. envisagée'!$A$773=DY13,LEN(SUBSTITUTE((SUBSTITUTE(EX21,"TF","")),"TM",""))*10/2,0),IF('Eval-Avec act. écol. envisagée'!$A$774=DY13,LEN(SUBSTITUTE((SUBSTITUTE(EX22,"TF","")),"TM",""))*10/2,0),IF('Eval-Avec act. écol. envisagée'!$A$775=DY13,LEN(SUBSTITUTE((SUBSTITUTE(EX23,"TF","")),"TM",""))*10/2,0),IF('Eval-Avec act. écol. envisagée'!$A$776=DY13,LEN(SUBSTITUTE((SUBSTITUTE(EX24,"TF","")),"TM",""))*10/2,0),IF('Eval-Avec act. écol. envisagée'!$A$777=DY13,LEN(SUBSTITUTE((SUBSTITUTE(EX25,"TF","")),"TM",""))*10/2,0),IF('Eval-Avec act. écol. envisagée'!$A$778=DY13,LEN(SUBSTITUTE((SUBSTITUTE(EX26,"TF","")),"TM",""))*10/2,0),IF('Eval-Avec act. écol. envisagée'!$A$779=DY13,LEN(SUBSTITUTE((SUBSTITUTE(EX27,"TF","")),"TM",""))*10/2,0),IF('Eval-Avec act. écol. envisagée'!$A$780=DY13,LEN(SUBSTITUTE((SUBSTITUTE(EX28,"TF","")),"TM",""))*10/2,0))/COUNTIF('Eval-Avec act. écol. envisagée'!$A$761:$A$780,DY13),"")</f>
        <v/>
      </c>
      <c r="EL13" s="211" t="str">
        <f>IF(COUNTIF('Eval-Avec act. écol. envisagée'!$A$761:$A$780,DY13)&gt;0,SUM(IF('Eval-Avec act. écol. envisagée'!$A$761=DY13,LEN(SUBSTITUTE((SUBSTITUTE(EY9,"TM","")),"TS",""))*10/2,0),IF('Eval-Avec act. écol. envisagée'!$A$762=DY13,LEN(SUBSTITUTE((SUBSTITUTE(EY10,"TM","")),"TS",""))*10/2,0),IF('Eval-Avec act. écol. envisagée'!$A$763=DY13,LEN(SUBSTITUTE((SUBSTITUTE(EY11,"TM","")),"TS",""))*10/2,0),IF('Eval-Avec act. écol. envisagée'!$A$764=DY13,LEN(SUBSTITUTE((SUBSTITUTE(EY12,"TM","")),"TS",""))*10/2,0),IF('Eval-Avec act. écol. envisagée'!$A$765=DY13,LEN(SUBSTITUTE((SUBSTITUTE(EY13,"TM","")),"TS",""))*10/2,0),IF('Eval-Avec act. écol. envisagée'!$A$766=DY13,LEN(SUBSTITUTE((SUBSTITUTE(EY14,"TM","")),"TS",""))*10/2,0),IF('Eval-Avec act. écol. envisagée'!$A$767=DY13,LEN(SUBSTITUTE((SUBSTITUTE(EY15,"TM","")),"TS",""))*10/2,0),IF('Eval-Avec act. écol. envisagée'!$A$768=DY13,LEN(SUBSTITUTE((SUBSTITUTE(EY16,"TM","")),"TS",""))*10/2,0),IF('Eval-Avec act. écol. envisagée'!$A$769=DY13,LEN(SUBSTITUTE((SUBSTITUTE(EY17,"TM","")),"TS",""))*10/2,0),IF('Eval-Avec act. écol. envisagée'!$A$770=DY13,LEN(SUBSTITUTE((SUBSTITUTE(EY18,"TM","")),"TS",""))*10/2,0),IF('Eval-Avec act. écol. envisagée'!$A$771=DY13,LEN(SUBSTITUTE((SUBSTITUTE(EY19,"TM","")),"TS",""))*10/2,0),IF('Eval-Avec act. écol. envisagée'!$A$772=DY13,LEN(SUBSTITUTE((SUBSTITUTE(EY20,"TM","")),"TS",""))*10/2,0),IF('Eval-Avec act. écol. envisagée'!$A$773=DY13,LEN(SUBSTITUTE((SUBSTITUTE(EY21,"TM","")),"TS",""))*10/2,0),IF('Eval-Avec act. écol. envisagée'!$A$774=DY13,LEN(SUBSTITUTE((SUBSTITUTE(EY22,"TM","")),"TS",""))*10/2,0),IF('Eval-Avec act. écol. envisagée'!$A$775=DY13,LEN(SUBSTITUTE((SUBSTITUTE(EY23,"TM","")),"TS",""))*10/2,0),IF('Eval-Avec act. écol. envisagée'!$A$776=DY13,LEN(SUBSTITUTE((SUBSTITUTE(EY24,"TM","")),"TS",""))*10/2,0),IF('Eval-Avec act. écol. envisagée'!$A$777=DY13,LEN(SUBSTITUTE((SUBSTITUTE(EY25,"TM","")),"TS",""))*10/2,0),IF('Eval-Avec act. écol. envisagée'!$A$778=DY13,LEN(SUBSTITUTE((SUBSTITUTE(EY26,"TM","")),"TS",""))*10/2,0),IF('Eval-Avec act. écol. envisagée'!$A$779=DY13,LEN(SUBSTITUTE((SUBSTITUTE(EY27,"TM","")),"TS",""))*10/2,0),IF('Eval-Avec act. écol. envisagée'!$A$780=DY13,LEN(SUBSTITUTE((SUBSTITUTE(EY28,"TM","")),"TS",""))*10/2,0))/COUNTIF('Eval-Avec act. écol. envisagée'!$A$761:$A$780,DY13),"")</f>
        <v/>
      </c>
      <c r="EM13" s="211" t="str">
        <f>IF(COUNTIF('Eval-Avec act. écol. envisagée'!$A$761:$A$780,DY13)&gt;0,SUM(IF('Eval-Avec act. écol. envisagée'!$A$761=DY13,LEN(SUBSTITUTE((SUBSTITUTE(EY9,"TF","")),"TS",""))*10/2,0),IF('Eval-Avec act. écol. envisagée'!$A$762=DY13,LEN(SUBSTITUTE((SUBSTITUTE(EY10,"TF","")),"TS",""))*10/2,0),IF('Eval-Avec act. écol. envisagée'!$A$763=DY13,LEN(SUBSTITUTE((SUBSTITUTE(EY11,"TF","")),"TS",""))*10/2,0),IF('Eval-Avec act. écol. envisagée'!$A$764=DY13,LEN(SUBSTITUTE((SUBSTITUTE(EY12,"TF","")),"TS",""))*10/2,0),IF('Eval-Avec act. écol. envisagée'!$A$765=DY13,LEN(SUBSTITUTE((SUBSTITUTE(EY13,"TF","")),"TS",""))*10/2,0),IF('Eval-Avec act. écol. envisagée'!$A$766=DY13,LEN(SUBSTITUTE((SUBSTITUTE(EY14,"TF","")),"TS",""))*10/2,0),IF('Eval-Avec act. écol. envisagée'!$A$767=DY13,LEN(SUBSTITUTE((SUBSTITUTE(EY15,"TF","")),"TS",""))*10/2,0),IF('Eval-Avec act. écol. envisagée'!$A$768=DY13,LEN(SUBSTITUTE((SUBSTITUTE(EY16,"TF","")),"TS",""))*10/2,0),IF('Eval-Avec act. écol. envisagée'!$A$769=DY13,LEN(SUBSTITUTE((SUBSTITUTE(EY17,"TF","")),"TS",""))*10/2,0),IF('Eval-Avec act. écol. envisagée'!$A$770=DY13,LEN(SUBSTITUTE((SUBSTITUTE(EY18,"TF","")),"TS",""))*10/2,0),IF('Eval-Avec act. écol. envisagée'!$A$771=DY13,LEN(SUBSTITUTE((SUBSTITUTE(EY19,"TF","")),"TS",""))*10/2,0),IF('Eval-Avec act. écol. envisagée'!$A$772=DY13,LEN(SUBSTITUTE((SUBSTITUTE(EY20,"TF","")),"TS",""))*10/2,0),IF('Eval-Avec act. écol. envisagée'!$A$773=DY13,LEN(SUBSTITUTE((SUBSTITUTE(EY21,"TF","")),"TS",""))*10/2,0),IF('Eval-Avec act. écol. envisagée'!$A$774=DY13,LEN(SUBSTITUTE((SUBSTITUTE(EY22,"TF","")),"TS",""))*10/2,0),IF('Eval-Avec act. écol. envisagée'!$A$775=DY13,LEN(SUBSTITUTE((SUBSTITUTE(EY23,"TF","")),"TS",""))*10/2,0),IF('Eval-Avec act. écol. envisagée'!$A$776=DY13,LEN(SUBSTITUTE((SUBSTITUTE(EY24,"TF","")),"TS",""))*10/2,0),IF('Eval-Avec act. écol. envisagée'!$A$777=DY13,LEN(SUBSTITUTE((SUBSTITUTE(EY25,"TF","")),"TS",""))*10/2,0),IF('Eval-Avec act. écol. envisagée'!$A$778=DY13,LEN(SUBSTITUTE((SUBSTITUTE(EY26,"TF","")),"TS",""))*10/2,0),IF('Eval-Avec act. écol. envisagée'!$A$779=DY13,LEN(SUBSTITUTE((SUBSTITUTE(EY27,"TF","")),"TS",""))*10/2,0),IF('Eval-Avec act. écol. envisagée'!$A$780=DY13,LEN(SUBSTITUTE((SUBSTITUTE(EY28,"TF","")),"TS",""))*10/2,0))/COUNTIF('Eval-Avec act. écol. envisagée'!$A$761:$A$780,DY13),"")</f>
        <v/>
      </c>
      <c r="EN13" s="211" t="str">
        <f>IF(COUNTIF('Eval-Avec act. écol. envisagée'!$A$761:$A$780,DY13)&gt;0,SUM(IF('Eval-Avec act. écol. envisagée'!$A$761=DY13,LEN(SUBSTITUTE((SUBSTITUTE(EY9,"TF","")),"TM",""))*10/2,0),IF('Eval-Avec act. écol. envisagée'!$A$762=DY13,LEN(SUBSTITUTE((SUBSTITUTE(EY10,"TF","")),"TM",""))*10/2,0),IF('Eval-Avec act. écol. envisagée'!$A$763=DY13,LEN(SUBSTITUTE((SUBSTITUTE(EY11,"TF","")),"TM",""))*10/2,0),IF('Eval-Avec act. écol. envisagée'!$A$764=DY13,LEN(SUBSTITUTE((SUBSTITUTE(EY12,"TF","")),"TM",""))*10/2,0),IF('Eval-Avec act. écol. envisagée'!$A$765=DY13,LEN(SUBSTITUTE((SUBSTITUTE(EY13,"TF","")),"TM",""))*10/2,0),IF('Eval-Avec act. écol. envisagée'!$A$766=DY13,LEN(SUBSTITUTE((SUBSTITUTE(EY14,"TF","")),"TM",""))*10/2,0),IF('Eval-Avec act. écol. envisagée'!$A$767=DY13,LEN(SUBSTITUTE((SUBSTITUTE(EY15,"TF","")),"TM",""))*10/2,0),IF('Eval-Avec act. écol. envisagée'!$A$768=DY13,LEN(SUBSTITUTE((SUBSTITUTE(EY16,"TF","")),"TM",""))*10/2,0),IF('Eval-Avec act. écol. envisagée'!$A$769=DY13,LEN(SUBSTITUTE((SUBSTITUTE(EY17,"TF","")),"TM",""))*10/2,0),IF('Eval-Avec act. écol. envisagée'!$A$770=DY13,LEN(SUBSTITUTE((SUBSTITUTE(EY18,"TF","")),"TM",""))*10/2,0),IF('Eval-Avec act. écol. envisagée'!$A$771=DY13,LEN(SUBSTITUTE((SUBSTITUTE(EY19,"TF","")),"TM",""))*10/2,0),IF('Eval-Avec act. écol. envisagée'!$A$772=DY13,LEN(SUBSTITUTE((SUBSTITUTE(EY20,"TF","")),"TM",""))*10/2,0),IF('Eval-Avec act. écol. envisagée'!$A$773=DY13,LEN(SUBSTITUTE((SUBSTITUTE(EY21,"TF","")),"TM",""))*10/2,0),IF('Eval-Avec act. écol. envisagée'!$A$774=DY13,LEN(SUBSTITUTE((SUBSTITUTE(EY22,"TF","")),"TM",""))*10/2,0),IF('Eval-Avec act. écol. envisagée'!$A$775=DY13,LEN(SUBSTITUTE((SUBSTITUTE(EY23,"TF","")),"TM",""))*10/2,0),IF('Eval-Avec act. écol. envisagée'!$A$776=DY13,LEN(SUBSTITUTE((SUBSTITUTE(EY24,"TF","")),"TM",""))*10/2,0),IF('Eval-Avec act. écol. envisagée'!$A$777=DY13,LEN(SUBSTITUTE((SUBSTITUTE(EY25,"TF","")),"TM",""))*10/2,0),IF('Eval-Avec act. écol. envisagée'!$A$778=DY13,LEN(SUBSTITUTE((SUBSTITUTE(EY26,"TF","")),"TM",""))*10/2,0),IF('Eval-Avec act. écol. envisagée'!$A$779=DY13,LEN(SUBSTITUTE((SUBSTITUTE(EY27,"TF","")),"TM",""))*10/2,0),IF('Eval-Avec act. écol. envisagée'!$A$780=DY13,LEN(SUBSTITUTE((SUBSTITUTE(EY28,"TF","")),"TM",""))*10/2,0))/COUNTIF('Eval-Avec act. écol. envisagée'!$A$761:$A$780,DY13),"")</f>
        <v/>
      </c>
      <c r="EO13" s="211" t="str">
        <f>IF(COUNTIF('Eval-Avec act. écol. envisagée'!$A$761:$A$780,DY13)&gt;0,IF(OR(AND('Eval-Avec act. écol. envisagée'!$A$761=DY13,EV9&lt;30),AND('Eval-Avec act. écol. envisagée'!$A$762=DY13,EV10&lt;30),AND('Eval-Avec act. écol. envisagée'!$A$763=DY13,EV11&lt;30),AND('Eval-Avec act. écol. envisagée'!$A$764=DY13,EV12&lt;30),AND('Eval-Avec act. écol. envisagée'!$A$765=DY13,EV13&lt;30),AND('Eval-Avec act. écol. envisagée'!$A$766=DY13,EV14&lt;30),AND('Eval-Avec act. écol. envisagée'!$A$767=DY13,EV15&lt;30),AND('Eval-Avec act. écol. envisagée'!$A$768=DY13,EV16&lt;30),AND('Eval-Avec act. écol. envisagée'!$A$769=DY13,EV17&lt;30),AND('Eval-Avec act. écol. envisagée'!$A$770=DY13,EV18&lt;30),AND('Eval-Avec act. écol. envisagée'!$A$771=DY13,EV19&lt;30),AND('Eval-Avec act. écol. envisagée'!$A$772=DY13,EV20&lt;30),AND('Eval-Avec act. écol. envisagée'!$A$773=DY13,EV21&lt;30),AND('Eval-Avec act. écol. envisagée'!$A$774=DY13,EV22&lt;30),AND('Eval-Avec act. écol. envisagée'!$A$775=DY13,EV23&lt;30),AND('Eval-Avec act. écol. envisagée'!$A$776=DY13,EV24&lt;30),AND('Eval-Avec act. écol. envisagée'!$A$777=DY13,EV25&lt;30),AND('Eval-Avec act. écol. envisagée'!$A$778=DY13,EV26&lt;30),AND('Eval-Avec act. écol. envisagée'!$A$779=DY13,EV27&lt;30),AND('Eval-Avec act. écol. envisagée'!$A$780=DY13,EV28&lt;30)),"",SUM(0.1*(SUMPRODUCT(('Eval-Avec act. écol. envisagée'!$A$761:$A$780=DY13)*('Eval-Avec act. écol. envisagée'!$N$761:$P$780="A"))+ SUMPRODUCT(('Eval-Avec act. écol. envisagée'!$A$761:$A$780=DY13)*('Eval-Avec act. écol. envisagée'!$N$761:$P$780="AL"))),0.7*(SUMPRODUCT(('Eval-Avec act. écol. envisagée'!$A$761:$A$780=DY13)*('Eval-Avec act. écol. envisagée'!$N$761:$P$780="TF"))+SUMPRODUCT(('Eval-Avec act. écol. envisagée'!$A$761:$A$780=DY13)*('Eval-Avec act. écol. envisagée'!$N$761:$P$780="TM"))+SUMPRODUCT(('Eval-Avec act. écol. envisagée'!$A$761:$A$780=DY13)*('Eval-Avec act. écol. envisagée'!$N$761:$P$780="TS"))),0.4*(SUMPRODUCT(('Eval-Avec act. écol. envisagée'!$A$761:$A$780=DY13)*('Eval-Avec act. écol. envisagée'!$N$761:$P$780="LA"))+SUMPRODUCT(('Eval-Avec act. écol. envisagée'!$A$761:$A$780=DY13)*('Eval-Avec act. écol. envisagée'!$N$761:$P$780="L"))+SUMPRODUCT(('Eval-Avec act. écol. envisagée'!$A$761:$A$780=DY13)*('Eval-Avec act. écol. envisagée'!$N$761:$P$780="LS"))),1*(SUMPRODUCT(('Eval-Avec act. écol. envisagée'!$A$761:$A$780=DY13)*('Eval-Avec act. écol. envisagée'!$N$761:$P$780="SL"))+ SUMPRODUCT(('Eval-Avec act. écol. envisagée'!$A$761:$A$780=DY13)*('Eval-Avec act. écol. envisagée'!$N$761:$P$780="S"))))/(3*COUNTIF('Eval-Avec act. écol. envisagée'!$A$761:$A$780,DY13))),"")</f>
        <v/>
      </c>
      <c r="EP13" s="211" t="str">
        <f>IF(COUNTIF('Eval-Avec act. écol. envisagée'!$A$761:$A$780,DY13)&gt;0,IF(OR(AND('Eval-Avec act. écol. envisagée'!$A$761=DY13,EV9&lt;120),AND('Eval-Avec act. écol. envisagée'!$A$762=DY13,EV10&lt;120),AND('Eval-Avec act. écol. envisagée'!$A$763=DY13,EV11&lt;120),AND('Eval-Avec act. écol. envisagée'!$A$764=DY13,EV12&lt;120),AND('Eval-Avec act. écol. envisagée'!$A$765=DY13,EV13&lt;120),AND('Eval-Avec act. écol. envisagée'!$A$766=DY13,EV14&lt;120),AND('Eval-Avec act. écol. envisagée'!$A$767=DY13,EV15&lt;120),AND('Eval-Avec act. écol. envisagée'!$A$768=DY13,EV16&lt;120),AND('Eval-Avec act. écol. envisagée'!$A$769=DY13,EV17&lt;120),AND('Eval-Avec act. écol. envisagée'!$A$770=DY13,EV18&lt;120),AND('Eval-Avec act. écol. envisagée'!$A$771=DY13,EV19&lt;120),AND('Eval-Avec act. écol. envisagée'!$A$772=DY13,EV20&lt;120),AND('Eval-Avec act. écol. envisagée'!$A$773=DY13,EV21&lt;120),AND('Eval-Avec act. écol. envisagée'!$A$774=DY13,EV22&lt;120),AND('Eval-Avec act. écol. envisagée'!$A$775=DY13,EV23&lt;120),AND('Eval-Avec act. écol. envisagée'!$A$776=DY13,EV24&lt;120),AND('Eval-Avec act. écol. envisagée'!$A$777=DY13,EV25&lt;120),AND('Eval-Avec act. écol. envisagée'!$A$778=DY13,EV26&lt;120),AND('Eval-Avec act. écol. envisagée'!$A$779=DY13,EV27&lt;120),AND('Eval-Avec act. écol. envisagée'!$A$780=DY13,EV28&lt;120)),"",SUM(0.1*(SUMPRODUCT(('Eval-Avec act. écol. envisagée'!$A$761:$A$780=DY13)*('Eval-Avec act. écol. envisagée'!$Q$761:$Y$780="A"))+ SUMPRODUCT(('Eval-Avec act. écol. envisagée'!$A$761:$A$780=DY13)*('Eval-Avec act. écol. envisagée'!$Q$761:$Y$780="AL"))),0.7*(SUMPRODUCT(('Eval-Avec act. écol. envisagée'!$A$761:$A$780=DY13)*('Eval-Avec act. écol. envisagée'!$Q$761:$Y$780="TF"))+SUMPRODUCT(('Eval-Avec act. écol. envisagée'!$A$761:$A$780=DY13)*('Eval-Avec act. écol. envisagée'!$Q$761:$Y$780="TM"))+SUMPRODUCT(('Eval-Avec act. écol. envisagée'!$A$761:$A$780=DY13)*('Eval-Avec act. écol. envisagée'!$Q$761:$Y$780="TS"))),0.4*(SUMPRODUCT(('Eval-Avec act. écol. envisagée'!$A$761:$A$780=DY13)*('Eval-Avec act. écol. envisagée'!$Q$761:$Y$780="LA"))+SUMPRODUCT(('Eval-Avec act. écol. envisagée'!$A$761:$A$780=DY13)*('Eval-Avec act. écol. envisagée'!$Q$761:$Y$780="L"))+SUMPRODUCT(('Eval-Avec act. écol. envisagée'!$A$761:$A$780=DY13)*('Eval-Avec act. écol. envisagée'!$Q$761:$Y$780="LS"))),1*(SUMPRODUCT(('Eval-Avec act. écol. envisagée'!$A$761:$A$780=DY13)*('Eval-Avec act. écol. envisagée'!$Q$761:$Y$780="SL"))+ SUMPRODUCT(('Eval-Avec act. écol. envisagée'!$A$761:$A$780=DY13)*('Eval-Avec act. écol. envisagée'!$Q$761:$Y$780="S"))))/(9*COUNTIF('Eval-Avec act. écol. envisagée'!$A$761:$A$780,DY13))),"")</f>
        <v/>
      </c>
      <c r="EQ13" s="211" t="str">
        <f>IF(COUNTIF('Eval-Avec act. écol. envisagée'!$A$761:$A$780,DY13)&gt;0,IF(OR(AND('Eval-Avec act. écol. envisagée'!$A$761=DY13,OR(COUNTIF('Eval-Avec act. écol. envisagée'!$N$761:$P$761,"*T*")&gt;0,EV9&lt;30)),AND('Eval-Avec act. écol. envisagée'!$A$762=DY13,OR(COUNTIF('Eval-Avec act. écol. envisagée'!$N$762:$P$762,"*T*")&gt;0,EV10&lt;30)),AND('Eval-Avec act. écol. envisagée'!$A$763=DY13,OR(COUNTIF('Eval-Avec act. écol. envisagée'!$N$763:$P$763,"*T*")&gt;0,EV11&lt;30)),AND('Eval-Avec act. écol. envisagée'!$A$764=DY13,OR(COUNTIF('Eval-Avec act. écol. envisagée'!$N$764:$P$764,"*T*")&gt;0,EV12&lt;30)),AND('Eval-Avec act. écol. envisagée'!$A$765=DY13,OR(COUNTIF('Eval-Avec act. écol. envisagée'!$N$765:$P$765,"*T*")&gt;0,EV13&lt;30)),AND('Eval-Avec act. écol. envisagée'!$A$766=DY13,OR(COUNTIF('Eval-Avec act. écol. envisagée'!$N$766:$P$766,"*T*")&gt;0,EV14&lt;30)),AND('Eval-Avec act. écol. envisagée'!$A$767=DY13,OR(COUNTIF('Eval-Avec act. écol. envisagée'!$N$767:$P$767,"*T*")&gt;0,EV15&lt;30)),AND('Eval-Avec act. écol. envisagée'!$A$768=DY13,OR(COUNTIF('Eval-Avec act. écol. envisagée'!$N$768:$P$768,"*T*")&gt;0,EV16&lt;30)),AND('Eval-Avec act. écol. envisagée'!$A$769=DY13,OR(COUNTIF('Eval-Avec act. écol. envisagée'!$N$769:$P$769,"*T*")&gt;0,EV17&lt;30)),AND('Eval-Avec act. écol. envisagée'!$A$770=DY13,OR(COUNTIF('Eval-Avec act. écol. envisagée'!$N$770:$P$770,"*T*")&gt;0,EV18&lt;30)),AND('Eval-Avec act. écol. envisagée'!$A$771=DY13,OR(COUNTIF('Eval-Avec act. écol. envisagée'!$N$771:$P$771,"*T*")&gt;0,EV19&lt;30)),AND('Eval-Avec act. écol. envisagée'!$A$772=DY13,OR(COUNTIF('Eval-Avec act. écol. envisagée'!$N$772:$P$772,"*T*")&gt;0,EV20&lt;30)),AND('Eval-Avec act. écol. envisagée'!$A$773=DY13,OR(COUNTIF('Eval-Avec act. écol. envisagée'!$N$773:$P$773,"*T*")&gt;0,EV21&lt;30)),AND('Eval-Avec act. écol. envisagée'!$A$774=DY13,OR(COUNTIF('Eval-Avec act. écol. envisagée'!$N$774:$P$774,"*T*")&gt;0,EV22&lt;30)),AND('Eval-Avec act. écol. envisagée'!$A$775=DY13,OR(COUNTIF('Eval-Avec act. écol. envisagée'!$N$775:$P$775,"*T*")&gt;0,EV23&lt;30)),AND('Eval-Avec act. écol. envisagée'!$A$776=DY13,OR(COUNTIF('Eval-Avec act. écol. envisagée'!$N$776:$P$776,"*T*")&gt;0,EV24&lt;30)),AND('Eval-Avec act. écol. envisagée'!$A$777=DY13,OR(COUNTIF('Eval-Avec act. écol. envisagée'!$N$777:$P$777,"*T*")&gt;0,EV25&lt;30)),AND('Eval-Avec act. écol. envisagée'!$A$778=DY13,OR(COUNTIF('Eval-Avec act. écol. envisagée'!$N$778:$P$778,"*T*")&gt;0,EV26&lt;30)),AND('Eval-Avec act. écol. envisagée'!$A$779=DY13,OR(COUNTIF('Eval-Avec act. écol. envisagée'!$N$779:$P$779,"*T*")&gt;0,EV27&lt;30)),AND('Eval-Avec act. écol. envisagée'!$A$780=DY13,OR(COUNTIF('Eval-Avec act. écol. envisagée'!$N$780:$P$780,"*T*")&gt;0,EV28&lt;30))),"",SUM(0.1*(SUMPRODUCT(('Eval-Avec act. écol. envisagée'!$A$761:$A$780=DY13)*('Eval-Avec act. écol. envisagée'!$N$761:$P$780="L"))),0.4*(SUMPRODUCT(('Eval-Avec act. écol. envisagée'!$A$761:$A$780=DY13)*('Eval-Avec act. écol. envisagée'!$N$761:$P$780="LA"))+SUMPRODUCT(('Eval-Avec act. écol. envisagée'!$A$761:$A$780=DY13)*('Eval-Avec act. écol. envisagée'!$N$761:$P$780="LS"))),0.7*(SUMPRODUCT(('Eval-Avec act. écol. envisagée'!$A$761:$A$780=DY13)*('Eval-Avec act. écol. envisagée'!$N$761:$P$780="AL"))+SUMPRODUCT(('Eval-Avec act. écol. envisagée'!$A$761:$A$780=DY13)*('Eval-Avec act. écol. envisagée'!$N$761:$P$780="SL"))),1*(SUMPRODUCT(('Eval-Avec act. écol. envisagée'!$A$761:$A$780=DY13)*('Eval-Avec act. écol. envisagée'!$N$761:$P$780="S"))+ SUMPRODUCT(('Eval-Avec act. écol. envisagée'!$A$761:$A$780=DY13)*('Eval-Avec act. écol. envisagée'!$N$761:$P$780="A"))))/(3*COUNTIF('Eval-Avec act. écol. envisagée'!$A$761:$A$780,DY13))),"")</f>
        <v/>
      </c>
      <c r="ER13" s="211" t="str">
        <f>IF(COUNTIF('Eval-Avec act. écol. envisagée'!$A$761:$A$780,DY13)&gt;0,IF(OR(AND('Eval-Avec act. écol. envisagée'!$A$761=DY13,OR(COUNTIF('Eval-Avec act. écol. envisagée'!$N$761:$P$761,"*T*")&gt;0,EV9&lt;30)),AND('Eval-Avec act. écol. envisagée'!$A$762=DY13,OR(COUNTIF('Eval-Avec act. écol. envisagée'!$N$762:$P$762,"*T*")&gt;0,EV10&lt;30)),AND('Eval-Avec act. écol. envisagée'!$A$763=DY13,OR(COUNTIF('Eval-Avec act. écol. envisagée'!$N$763:$P$763,"*T*")&gt;0,EV11&lt;30)),AND('Eval-Avec act. écol. envisagée'!$A$764=DY13,OR(COUNTIF('Eval-Avec act. écol. envisagée'!$N$764:$P$764,"*T*")&gt;0,EV12&lt;30)),AND('Eval-Avec act. écol. envisagée'!$A$765=DY13,OR(COUNTIF('Eval-Avec act. écol. envisagée'!$N$765:$P$765,"*T*")&gt;0,EV13&lt;30)),AND('Eval-Avec act. écol. envisagée'!$A$766=DY13,OR(COUNTIF('Eval-Avec act. écol. envisagée'!$N$766:$P$766,"*T*")&gt;0,EV14&lt;30)),AND('Eval-Avec act. écol. envisagée'!$A$767=DY13,OR(COUNTIF('Eval-Avec act. écol. envisagée'!$N$767:$P$767,"*T*")&gt;0,EV15&lt;30)),AND('Eval-Avec act. écol. envisagée'!$A$768=DY13,OR(COUNTIF('Eval-Avec act. écol. envisagée'!$N$768:$P$768,"*T*")&gt;0,EV16&lt;30)),AND('Eval-Avec act. écol. envisagée'!$A$769=DY13,OR(COUNTIF('Eval-Avec act. écol. envisagée'!$N$769:$P$769,"*T*")&gt;0,EV17&lt;30)),AND('Eval-Avec act. écol. envisagée'!$A$770=DY13,OR(COUNTIF('Eval-Avec act. écol. envisagée'!$N$770:$P$770,"*T*")&gt;0,EV18&lt;30)),AND('Eval-Avec act. écol. envisagée'!$A$771=DY13,OR(COUNTIF('Eval-Avec act. écol. envisagée'!$N$771:$P$771,"*T*")&gt;0,EV19&lt;30)),AND('Eval-Avec act. écol. envisagée'!$A$772=DY13,OR(COUNTIF('Eval-Avec act. écol. envisagée'!$N$772:$P$772,"*T*")&gt;0,EV20&lt;30)),AND('Eval-Avec act. écol. envisagée'!$A$773=DY13,OR(COUNTIF('Eval-Avec act. écol. envisagée'!$N$773:$P$773,"*T*")&gt;0,EV21&lt;30)),AND('Eval-Avec act. écol. envisagée'!$A$774=DY13,OR(COUNTIF('Eval-Avec act. écol. envisagée'!$N$774:$P$774,"*T*")&gt;0,EV22&lt;30)),AND('Eval-Avec act. écol. envisagée'!$A$775=DY13,OR(COUNTIF('Eval-Avec act. écol. envisagée'!$N$775:$P$775,"*T*")&gt;0,EV23&lt;30)),AND('Eval-Avec act. écol. envisagée'!$A$776=DY13,OR(COUNTIF('Eval-Avec act. écol. envisagée'!$N$776:$P$776,"*T*")&gt;0,EV24&lt;30)),AND('Eval-Avec act. écol. envisagée'!$A$777=DY13,OR(COUNTIF('Eval-Avec act. écol. envisagée'!$N$777:$P$777,"*T*")&gt;0,EV25&lt;30)),AND('Eval-Avec act. écol. envisagée'!$A$778=DY13,OR(COUNTIF('Eval-Avec act. écol. envisagée'!$N$778:$P$778,"*T*")&gt;0,EV26&lt;30)),AND('Eval-Avec act. écol. envisagée'!$A$779=DY13,OR(COUNTIF('Eval-Avec act. écol. envisagée'!$N$779:$P$779,"*T*")&gt;0,EV27&lt;30)),AND('Eval-Avec act. écol. envisagée'!$A$780=DY13,OR(COUNTIF('Eval-Avec act. écol. envisagée'!$N$780:$P$780,"*T*")&gt;0,EV28&lt;30))),"",SUM(1*(SUMPRODUCT(('Eval-Avec act. écol. envisagée'!$A$761:$A$780=DY13)*('Eval-Avec act. écol. envisagée'!$N$761:$P$780="A"))),0.85*(SUMPRODUCT(('Eval-Avec act. écol. envisagée'!$A$761:$A$780=DY13)*('Eval-Avec act. écol. envisagée'!$N$761:$P$780="AL"))),0.7*(SUMPRODUCT(('Eval-Avec act. écol. envisagée'!$A$761:$A$780=DY13)*('Eval-Avec act. écol. envisagée'!$N$761:$P$780="LA"))),0.55*(SUMPRODUCT(('Eval-Avec act. écol. envisagée'!$A$761:$A$780=DY13)*('Eval-Avec act. écol. envisagée'!$N$761:$P$780="L"))),0.4*(SUMPRODUCT(('Eval-Avec act. écol. envisagée'!$A$761:$A$780=DY13)*('Eval-Avec act. écol. envisagée'!$N$761:$P$780="LS"))),0.25*(SUMPRODUCT(('Eval-Avec act. écol. envisagée'!$A$761:$A$780=DY13)*('Eval-Avec act. écol. envisagée'!$N$761:$P$780="SL"))),0.1*(SUMPRODUCT(('Eval-Avec act. écol. envisagée'!$A$761:$A$780=DY13)*('Eval-Avec act. écol. envisagée'!$N$761:$P$780="S"))))/(3*COUNTIF('Eval-Avec act. écol. envisagée'!$A$761:$A$780,DY13))),"")</f>
        <v/>
      </c>
      <c r="ES13" s="214" t="str">
        <f>IF(COUNTIF('Eval-Avec act. écol. envisagée'!$A$761:$A$780,DY13)&gt;0,IF(OR(AND('Eval-Avec act. écol. envisagée'!$A$761=DY13,OR(COUNTIF('Eval-Avec act. écol. envisagée'!$Q$761:$Y$761,"*T*")&gt;0,EV9&lt;120)),AND('Eval-Avec act. écol. envisagée'!$A$762=DY13,OR(COUNTIF('Eval-Avec act. écol. envisagée'!$Q$762:$Y$762,"*T*")&gt;0,EV10&lt;120)),AND('Eval-Avec act. écol. envisagée'!$A$763=DY13,OR(COUNTIF('Eval-Avec act. écol. envisagée'!$Q$763:$Y$763,"*T*")&gt;0,EV11&lt;120)),AND('Eval-Avec act. écol. envisagée'!$A$764=DY13,OR(COUNTIF('Eval-Avec act. écol. envisagée'!$Q$764:$Y$764,"*T*")&gt;0,EV12&lt;120)),AND('Eval-Avec act. écol. envisagée'!$A$765=DY13,OR(COUNTIF('Eval-Avec act. écol. envisagée'!$Q$765:$Y$765,"*T*")&gt;0,EV13&lt;120)),AND('Eval-Avec act. écol. envisagée'!$A$766=DY13,OR(COUNTIF('Eval-Avec act. écol. envisagée'!$Q$766:$Y$766,"*T*")&gt;0,EV14&lt;120)),AND('Eval-Avec act. écol. envisagée'!$A$767=DY13,OR(COUNTIF('Eval-Avec act. écol. envisagée'!$Q$767:$Y$767,"*T*")&gt;0,EV15&lt;120)),AND('Eval-Avec act. écol. envisagée'!$A$768=DY13,OR(COUNTIF('Eval-Avec act. écol. envisagée'!$Q$768:$Y$768,"*T*")&gt;0,EV16&lt;120)),AND('Eval-Avec act. écol. envisagée'!$A$769=DY13,OR(COUNTIF('Eval-Avec act. écol. envisagée'!$Q$769:$Y$769,"*T*")&gt;0,EV17&lt;120)),AND('Eval-Avec act. écol. envisagée'!$A$770=DY13,OR(COUNTIF('Eval-Avec act. écol. envisagée'!$Q$770:$Y$770,"*T*")&gt;0,EV18&lt;120)),AND('Eval-Avec act. écol. envisagée'!$A$771=DY13,OR(COUNTIF('Eval-Avec act. écol. envisagée'!$Q$771:$Y$771,"*T*")&gt;0,EV19&lt;120)),AND('Eval-Avec act. écol. envisagée'!$A$772=DY13,OR(COUNTIF('Eval-Avec act. écol. envisagée'!$Q$772:$Y$772,"*T*")&gt;0,EV20&lt;120)),AND('Eval-Avec act. écol. envisagée'!$A$773=DY13,OR(COUNTIF('Eval-Avec act. écol. envisagée'!$Q$773:$Y$773,"*T*")&gt;0,EV21&lt;120)),AND('Eval-Avec act. écol. envisagée'!$A$774=DY13,OR(COUNTIF('Eval-Avec act. écol. envisagée'!$Q$774:$Y$774,"*T*")&gt;0,EV22&lt;120)),AND('Eval-Avec act. écol. envisagée'!$A$775=DY13,OR(COUNTIF('Eval-Avec act. écol. envisagée'!$Q$775:$Y$775,"*T*")&gt;0,EV23&lt;120)),AND('Eval-Avec act. écol. envisagée'!$A$776=DY13,OR(COUNTIF('Eval-Avec act. écol. envisagée'!$Q$776:$Y$776,"*T*")&gt;0,EV24&lt;120)),AND('Eval-Avec act. écol. envisagée'!$A$777=DY13,OR(COUNTIF('Eval-Avec act. écol. envisagée'!$Q$777:$Y$777,"*T*")&gt;0,EV25&lt;120)),AND('Eval-Avec act. écol. envisagée'!$A$778=DY13,OR(COUNTIF('Eval-Avec act. écol. envisagée'!$Q$778:$Y$778,"*T*")&gt;0,EV26&lt;120)),AND('Eval-Avec act. écol. envisagée'!$A$779=DY13,OR(COUNTIF('Eval-Avec act. écol. envisagée'!$Q$779:$Y$779,"*T*")&gt;0,EV27&lt;120)),AND('Eval-Avec act. écol. envisagée'!$A$780=DY13,OR(COUNTIF('Eval-Avec act. écol. envisagée'!$Q$780:$Y$780,"*T*")&gt;0,EV28&lt;120))),"",SUM(1*(SUMPRODUCT(('Eval-Avec act. écol. envisagée'!$A$761:$A$780=DY13)*('Eval-Avec act. écol. envisagée'!$Q$761:$Y$780="A"))),0.85*(SUMPRODUCT(('Eval-Avec act. écol. envisagée'!$A$761:$A$780=DY13)*('Eval-Avec act. écol. envisagée'!$Q$761:$Y$780="AL"))),0.7*(SUMPRODUCT(('Eval-Avec act. écol. envisagée'!$A$761:$A$780=DY13)*('Eval-Avec act. écol. envisagée'!$Q$761:$Y$780="LA"))),0.55*(SUMPRODUCT(('Eval-Avec act. écol. envisagée'!$A$761:$A$780=DY13)*('Eval-Avec act. écol. envisagée'!$Q$761:$Y$780="L"))),0.4*(SUMPRODUCT(('Eval-Avec act. écol. envisagée'!$A$761:$A$780=DY13)*('Eval-Avec act. écol. envisagée'!$Q$761:$Y$780="LS"))),0.25*(SUMPRODUCT(('Eval-Avec act. écol. envisagée'!$A$761:$A$780=DY13)*('Eval-Avec act. écol. envisagée'!$Q$761:$Y$780="SL"))),0.1*(SUMPRODUCT(('Eval-Avec act. écol. envisagée'!$A$761:$A$780=DY13)*('Eval-Avec act. écol. envisagée'!$Q$761:$Y$780="S"))))/(9*COUNTIF('Eval-Avec act. écol. envisagée'!$A$761:$A$780,DY13))),"")</f>
        <v/>
      </c>
      <c r="ET13" s="215"/>
      <c r="EU13" s="216">
        <f>'Eval-Avec act. écol. envisagée'!$D$765</f>
        <v>5</v>
      </c>
      <c r="EV13" s="217" t="str">
        <f>IF(EW13="C",0,IF(IF(COUNTIF('Eval-Avec act. écol. envisagée'!$N$765:$Y$765,"=C")&gt;0,(COUNTA('Eval-Avec act. écol. envisagée'!$N$765:$Y$765)-1)*10,COUNTA('Eval-Avec act. écol. envisagée'!$N$765:$Y$765)*10)=0,"",IF(COUNTIF('Eval-Avec act. écol. envisagée'!$N$765:$Y$765,"=C")&gt;0,(COUNTA('Eval-Avec act. écol. envisagée'!$N$765:$Y$765)-1)*10,COUNTA('Eval-Avec act. écol. envisagée'!$N$765:$Y$765)*10)))</f>
        <v/>
      </c>
      <c r="EW13" s="217" t="str">
        <f>CONCATENATE('Eval-Avec act. écol. envisagée'!$N$765,'Eval-Avec act. écol. envisagée'!$O$765,'Eval-Avec act. écol. envisagée'!$P$765,'Eval-Avec act. écol. envisagée'!$Q$765,'Eval-Avec act. écol. envisagée'!$R$765,'Eval-Avec act. écol. envisagée'!$S$765,'Eval-Avec act. écol. envisagée'!$T$765,'Eval-Avec act. écol. envisagée'!$U$765,'Eval-Avec act. écol. envisagée'!$V$765,'Eval-Avec act. écol. envisagée'!$W$765,'Eval-Avec act. écol. envisagée'!$X$765,'Eval-Avec act. écol. envisagée'!$Y$765)</f>
        <v/>
      </c>
      <c r="EX13" s="217" t="str">
        <f t="shared" si="16"/>
        <v/>
      </c>
      <c r="EY13" s="217" t="str">
        <f t="shared" si="17"/>
        <v/>
      </c>
      <c r="EZ13" s="217" t="str">
        <f>IF(COUNTIF('Eval-Avec act. écol. envisagée'!$N$765:$Y$765,"=C")&gt;0,"X","")</f>
        <v/>
      </c>
      <c r="FA13" s="217" t="str">
        <f t="shared" si="18"/>
        <v/>
      </c>
      <c r="FB13" s="218" t="str">
        <f t="shared" si="19"/>
        <v/>
      </c>
      <c r="FC13" s="197"/>
      <c r="FE13" s="210">
        <v>5</v>
      </c>
      <c r="FF13" s="211" t="str">
        <f>IF(COUNTIF('Eval-Après action écologique'!$A$761:$A$780,FE13)&gt;0,SUM(IF('Eval-Après action écologique'!$A$761=FE13,'Eval-Après action écologique'!$B$761,0),IF('Eval-Après action écologique'!$A$762=FE13, 'Eval-Après action écologique'!$B$762,0),IF('Eval-Après action écologique'!$A$763=FE13, 'Eval-Après action écologique'!$B$763,0),IF('Eval-Après action écologique'!$A$764=FE13, 'Eval-Après action écologique'!$B$764,0),IF('Eval-Après action écologique'!$A$765=FE13, 'Eval-Après action écologique'!$B$765,0),IF('Eval-Après action écologique'!$A$766=FE13, 'Eval-Après action écologique'!$B$766,0),IF('Eval-Après action écologique'!$A$767=FE13, 'Eval-Après action écologique'!$B$767,0),IF('Eval-Après action écologique'!$A$768=FE13, 'Eval-Après action écologique'!$B$768,0),IF('Eval-Après action écologique'!$A$769=FE13, 'Eval-Après action écologique'!$B$769,0),IF('Eval-Après action écologique'!$A$770=FE13, 'Eval-Après action écologique'!$B$770,0),IF('Eval-Après action écologique'!$A$771=FE13, 'Eval-Après action écologique'!$B$771,0),IF('Eval-Après action écologique'!$A$772=FE13, 'Eval-Après action écologique'!$B$772,0),IF('Eval-Après action écologique'!$A$773=FE13, 'Eval-Après action écologique'!$B$773,0),IF('Eval-Après action écologique'!$A$774=FE13, 'Eval-Après action écologique'!$B$774,0),IF('Eval-Après action écologique'!$A$775=FE13, 'Eval-Après action écologique'!$B$775,0),IF('Eval-Après action écologique'!$A$776=FE13, 'Eval-Après action écologique'!$B$776,0),IF('Eval-Après action écologique'!$A$777=FE13, 'Eval-Après action écologique'!$B$777,0),IF('Eval-Après action écologique'!$A$778=FE13, 'Eval-Après action écologique'!$B$778,0),IF('Eval-Après action écologique'!$A$779=FE13, 'Eval-Après action écologique'!$B$779,0),IF('Eval-Après action écologique'!$A$780=FE13, 'Eval-Après action écologique'!$B$780,0))/COUNTIF('Eval-Après action écologique'!$A$761:$A$780,FE13),"")</f>
        <v/>
      </c>
      <c r="FG13" s="212" t="str">
        <f>IF(COUNTIF('Eval-Après action écologique'!$A$761:$A$780,FE13)&gt;0,COUNTIF('Eval-Après action écologique'!$A$761:$A$780,FE13),"")</f>
        <v/>
      </c>
      <c r="FH13" s="211" t="str">
        <f>IF(COUNTIF('Eval-Après action écologique'!$A$761:$A$780,FE13)&gt;0,IF(OR(AND('Eval-Après action écologique'!$A$761=FE13, 'Eval-Après action écologique'!$G$761=""),AND('Eval-Après action écologique'!$A$762=FE13, 'Eval-Après action écologique'!$G$762=""),AND('Eval-Après action écologique'!$A$763=FE13, 'Eval-Après action écologique'!$G$763=""),AND('Eval-Après action écologique'!$A$764=FE13, 'Eval-Après action écologique'!$G$764=""),AND('Eval-Après action écologique'!$A$765=FE13, 'Eval-Après action écologique'!$G$765=""),AND('Eval-Après action écologique'!$A$766=FE13, 'Eval-Après action écologique'!$G$766=""),AND('Eval-Après action écologique'!$A$767=FE13, 'Eval-Après action écologique'!$G$767=""),AND('Eval-Après action écologique'!$A$768=FE13, 'Eval-Après action écologique'!$G$768=""),AND('Eval-Après action écologique'!$A$769=FE13, 'Eval-Après action écologique'!$G$769=""),AND('Eval-Après action écologique'!$A$770=FE13, 'Eval-Après action écologique'!$G$770=""),AND('Eval-Après action écologique'!$A$771=FE13, 'Eval-Après action écologique'!$G$771=""),AND('Eval-Après action écologique'!$A$772=FE13, 'Eval-Après action écologique'!$G$772=""),AND('Eval-Après action écologique'!$A$773=FE13, 'Eval-Après action écologique'!$G$773=""),AND('Eval-Après action écologique'!$A$774=FE13, 'Eval-Après action écologique'!$G$774=""),AND('Eval-Après action écologique'!$A$775=FE13, 'Eval-Après action écologique'!$G$775=""),AND('Eval-Après action écologique'!$A$776=FE13, 'Eval-Après action écologique'!$G$776=""),AND('Eval-Après action écologique'!$A$777=FE13, 'Eval-Après action écologique'!$G$777=""),AND('Eval-Après action écologique'!$A$778=FE13, 'Eval-Après action écologique'!$G$778=""),AND('Eval-Après action écologique'!$A$779=FE13, 'Eval-Après action écologique'!$G$779=""),AND('Eval-Après action écologique'!$A$780=FE13, 'Eval-Après action écologique'!$G$780="")),"",SUM(IF('Eval-Après action écologique'!$A$761=FE13,'Eval-Après action écologique'!$G$761,0),IF('Eval-Après action écologique'!$A$762=FE13,'Eval-Après action écologique'!$G$762,0),IF('Eval-Après action écologique'!$A$763=FE13,'Eval-Après action écologique'!$G$763,0),IF('Eval-Après action écologique'!$A$764=FE13,'Eval-Après action écologique'!$G$764,0),IF('Eval-Après action écologique'!$A$765=FE13,'Eval-Après action écologique'!$G$765,0),IF('Eval-Après action écologique'!$A$766=FE13,'Eval-Après action écologique'!$G$766,0),IF('Eval-Après action écologique'!$A$767=FE13,'Eval-Après action écologique'!$G$767,0),IF('Eval-Après action écologique'!$A$768=FE13,'Eval-Après action écologique'!$G$768,0),IF('Eval-Après action écologique'!$A$769=FE13,'Eval-Après action écologique'!$G$769,0),IF('Eval-Après action écologique'!$A$770=FE13,'Eval-Après action écologique'!$G$770,0),IF('Eval-Après action écologique'!$A$771=FE13,'Eval-Après action écologique'!$G$771,0),IF('Eval-Après action écologique'!$A$772=FE13,'Eval-Après action écologique'!$G$772,0),IF('Eval-Après action écologique'!$A$773=FE13,'Eval-Après action écologique'!$G$773,0),IF('Eval-Après action écologique'!$A$774=FE13,'Eval-Après action écologique'!$G$774,0),IF('Eval-Après action écologique'!$A$775=FE13,'Eval-Après action écologique'!$G$775,0), IF('Eval-Après action écologique'!$A$776=FE13,'Eval-Après action écologique'!$G$776,0), IF('Eval-Après action écologique'!$A$777=FE13,'Eval-Après action écologique'!$G$777,0), IF('Eval-Après action écologique'!$A$778=FE13,'Eval-Après action écologique'!$G$778,0), IF('Eval-Après action écologique'!$A$779=FE13,'Eval-Après action écologique'!$G$779,0), IF('Eval-Après action écologique'!$A$780=FE13,'Eval-Après action écologique'!$G$780,0))/ COUNTIF('Eval-Après action écologique'!$A$761:$A$780,FE13)),"")</f>
        <v/>
      </c>
      <c r="FI13" s="212" t="str">
        <f>IF(COUNTIF('Eval-Après action écologique'!$A$761:$A$780,FE13)&gt;0,IF(SUM(IF('Eval-Après action écologique'!$A$761=FE13,COUNTA('Eval-Après action écologique'!$H$761),0),IF('Eval-Après action écologique'!$A$762=FE13,COUNTA('Eval-Après action écologique'!$H$762),0),IF('Eval-Après action écologique'!$A$763=FE13,COUNTA('Eval-Après action écologique'!$H$763),0),IF('Eval-Après action écologique'!$A$764=FE13,COUNTA('Eval-Après action écologique'!$H$764),0),IF('Eval-Après action écologique'!$A$765=FE13,COUNTA('Eval-Après action écologique'!$H$765),0),IF('Eval-Après action écologique'!$A$766=FE13,COUNTA('Eval-Après action écologique'!$H$766),0),IF('Eval-Après action écologique'!$A$767=FE13,COUNTA('Eval-Après action écologique'!$H$767),0),IF('Eval-Après action écologique'!$A$768=FE13,COUNTA('Eval-Après action écologique'!$H$768),0),IF('Eval-Après action écologique'!$A$769=FE13,COUNTA('Eval-Après action écologique'!$H$769),0),IF('Eval-Après action écologique'!$A$770=FE13,COUNTA('Eval-Après action écologique'!$H$770),0),IF('Eval-Après action écologique'!$A$771=FE13,COUNTA('Eval-Après action écologique'!$H$771),0),IF('Eval-Après action écologique'!$A$772=FE13,COUNTA('Eval-Après action écologique'!$H$772),0),IF('Eval-Après action écologique'!$A$773=FE13,COUNTA('Eval-Après action écologique'!$H$773),0),IF('Eval-Après action écologique'!$A$774=FE13,COUNTA('Eval-Après action écologique'!$H$774),0),IF('Eval-Après action écologique'!$A$775=FE13,COUNTA('Eval-Après action écologique'!$H$775),0),IF('Eval-Après action écologique'!$A$776=FE13,COUNTA('Eval-Après action écologique'!$H$776),0),IF('Eval-Après action écologique'!$A$777=FE13,COUNTA('Eval-Après action écologique'!$H$777),0),IF('Eval-Après action écologique'!$A$778=FE13,COUNTA('Eval-Après action écologique'!$H$778),0),IF('Eval-Après action écologique'!$A$779=FE13,COUNTA('Eval-Après action écologique'!$H$779),0),IF('Eval-Après action écologique'!$A$780=FE13,COUNTA('Eval-Après action écologique'!$H$780),0))&gt;0,"X",0),"")</f>
        <v/>
      </c>
      <c r="FJ13" s="213" t="str">
        <f>IF(COUNTIF('Eval-Après action écologique'!$A$761:$A$780,FE13)&gt;0,IF(SUM(IF('Eval-Après action écologique'!$A$761=FE13,COUNTA('Eval-Après action écologique'!$I$761),0),IF('Eval-Après action écologique'!$A$762=FE13,COUNTA('Eval-Après action écologique'!$I$762),0),IF('Eval-Après action écologique'!$A$763=FE13,COUNTA('Eval-Après action écologique'!$I$763),0),IF('Eval-Après action écologique'!$A$764=FE13,COUNTA('Eval-Après action écologique'!$I$764),0),IF('Eval-Après action écologique'!$A$765=FE13,COUNTA('Eval-Après action écologique'!$I$765),0),IF('Eval-Après action écologique'!$A$766=FE13,COUNTA('Eval-Après action écologique'!$I$766),0),IF('Eval-Après action écologique'!$A$767=FE13,COUNTA('Eval-Après action écologique'!$I$767),0),IF('Eval-Après action écologique'!$A$768=FE13,COUNTA('Eval-Après action écologique'!$I$768),0),IF('Eval-Après action écologique'!$A$769=FE13,COUNTA('Eval-Après action écologique'!$I$769),0),IF('Eval-Après action écologique'!$A$770=FE13,COUNTA('Eval-Après action écologique'!$I$770),0),IF('Eval-Après action écologique'!$A$771=FE13,COUNTA('Eval-Après action écologique'!$I$771),0),IF('Eval-Après action écologique'!$A$772=FE13,COUNTA('Eval-Après action écologique'!$I$772),0),IF('Eval-Après action écologique'!$A$773=FE13,COUNTA('Eval-Après action écologique'!$I$773),0),IF('Eval-Après action écologique'!$A$774=FE13,COUNTA('Eval-Après action écologique'!$I$774),0),IF('Eval-Après action écologique'!$A$775=FE13,COUNTA('Eval-Après action écologique'!$I$775),0),IF('Eval-Après action écologique'!$A$776=FE13,COUNTA('Eval-Après action écologique'!$I$776),0),IF('Eval-Après action écologique'!$A$777=FE13,COUNTA('Eval-Après action écologique'!$I$777),0),IF('Eval-Après action écologique'!$A$778=FE13,COUNTA('Eval-Après action écologique'!$I$778),0),IF('Eval-Après action écologique'!$A$779=FE13,COUNTA('Eval-Après action écologique'!$I$779),0),IF('Eval-Après action écologique'!$A$780=FE13,COUNTA('Eval-Après action écologique'!$I$780),0))&gt;0,"X",0),"")</f>
        <v/>
      </c>
      <c r="FK13" s="213" t="str">
        <f>IF(COUNTIF('Eval-Après action écologique'!$A$761:$A$780,FE13)&gt;0,IF(SUM(IF('Eval-Après action écologique'!$A$761=FE13,COUNTA('Eval-Après action écologique'!$J$761),0),IF('Eval-Après action écologique'!$A$762=FE13,COUNTA('Eval-Après action écologique'!$J$762),0),IF('Eval-Après action écologique'!$A$763=FE13,COUNTA('Eval-Après action écologique'!$J$763),0),IF('Eval-Après action écologique'!$A$764=FE13,COUNTA('Eval-Après action écologique'!$J$764),0),IF('Eval-Après action écologique'!$A$765=FE13,COUNTA('Eval-Après action écologique'!$J$765),0),IF('Eval-Après action écologique'!$A$766=FE13,COUNTA('Eval-Après action écologique'!$J$766),0),IF('Eval-Après action écologique'!$A$767=FE13,COUNTA('Eval-Après action écologique'!$J$767),0),IF('Eval-Après action écologique'!$A$768=FE13,COUNTA('Eval-Après action écologique'!$J$768),0),IF('Eval-Après action écologique'!$A$769=FE13,COUNTA('Eval-Après action écologique'!$J$769),0),IF('Eval-Après action écologique'!$A$770=FE13,COUNTA('Eval-Après action écologique'!$J$770),0),IF('Eval-Après action écologique'!$A$771=FE13,COUNTA('Eval-Après action écologique'!$J$771),0),IF('Eval-Après action écologique'!$A$772=FE13,COUNTA('Eval-Après action écologique'!$J$772),0),IF('Eval-Après action écologique'!$A$773=FE13,COUNTA('Eval-Après action écologique'!$J$773),0),IF('Eval-Après action écologique'!$A$774=FE13,COUNTA('Eval-Après action écologique'!$J$774),0),IF('Eval-Après action écologique'!$A$775=FE13,COUNTA('Eval-Après action écologique'!$J$775),0),IF('Eval-Après action écologique'!$A$776=FE13,COUNTA('Eval-Après action écologique'!$J$776),0),IF('Eval-Après action écologique'!$A$777=FE13,COUNTA('Eval-Après action écologique'!$J$777),0),IF('Eval-Après action écologique'!$A$778=FE13,COUNTA('Eval-Après action écologique'!$J$778),0),IF('Eval-Après action écologique'!$A$779=FE13,COUNTA('Eval-Après action écologique'!$J$779),0),IF('Eval-Après action écologique'!$A$780=FE13,COUNTA('Eval-Après action écologique'!$J$780),0))&gt;0,"X",0),"")</f>
        <v/>
      </c>
      <c r="FL13" s="213" t="str">
        <f>IF(COUNTIF('Eval-Après action écologique'!$A$761:$A$780,FE13)&gt;0,IF(SUM(IF('Eval-Après action écologique'!$A$761=FE13,COUNTA('Eval-Après action écologique'!$K$761),0),IF('Eval-Après action écologique'!$A$762=FE13,COUNTA('Eval-Après action écologique'!$K$762),0),IF('Eval-Après action écologique'!$A$763=FE13,COUNTA('Eval-Après action écologique'!$K$763),0),IF('Eval-Après action écologique'!$A$764=FE13,COUNTA('Eval-Après action écologique'!$K$764),0),IF('Eval-Après action écologique'!$A$765=FE13,COUNTA('Eval-Après action écologique'!$K$765),0),IF('Eval-Après action écologique'!$A$766=FE13,COUNTA('Eval-Après action écologique'!$K$766),0),IF('Eval-Après action écologique'!$A$767=FE13,COUNTA('Eval-Après action écologique'!$K$767),0),IF('Eval-Après action écologique'!$A$768=FE13,COUNTA('Eval-Après action écologique'!$K$768),0),IF('Eval-Après action écologique'!$A$769=FE13,COUNTA('Eval-Après action écologique'!$K$769),0),IF('Eval-Après action écologique'!$A$770=FE13,COUNTA('Eval-Après action écologique'!$K$770),0),IF('Eval-Après action écologique'!$A$771=FE13,COUNTA('Eval-Après action écologique'!$K$771),0),IF('Eval-Après action écologique'!$A$772=FE13,COUNTA('Eval-Après action écologique'!$K$772),0),IF('Eval-Après action écologique'!$A$773=FE13,COUNTA('Eval-Après action écologique'!$K$773),0),IF('Eval-Après action écologique'!$A$774=FE13,COUNTA('Eval-Après action écologique'!$K$774),0),IF('Eval-Après action écologique'!$A$775=FE13,COUNTA('Eval-Après action écologique'!$K$775),0),IF('Eval-Après action écologique'!$A$776=FE13,COUNTA('Eval-Après action écologique'!$K$776),0),IF('Eval-Après action écologique'!$A$777=FE13,COUNTA('Eval-Après action écologique'!$K$777),0),IF('Eval-Après action écologique'!$A$778=FE13,COUNTA('Eval-Après action écologique'!$K$778),0),IF('Eval-Après action écologique'!$A$779=FE13,COUNTA('Eval-Après action écologique'!$K$779),0),IF('Eval-Après action écologique'!$A$780=FE13,COUNTA('Eval-Après action écologique'!$K$780),0))&gt;0,"X",0),"")</f>
        <v/>
      </c>
      <c r="FM13" s="211" t="str">
        <f>IF(COUNTIF('Eval-Après action écologique'!$A$761:$A$780,FE13)&gt;0,IF(OR(AND('Eval-Après action écologique'!$A$761=FE13,'Eval-Après action écologique'!$L$761&lt;120,'Eval-Après action écologique'!$L$761&gt;=GB9),AND('Eval-Après action écologique'!$A$762=FE13,'Eval-Après action écologique'!$L$762&lt;120,'Eval-Après action écologique'!$L$762&gt;=GB10),AND('Eval-Après action écologique'!$A$763=FE13,'Eval-Après action écologique'!$L$763&lt;120,'Eval-Après action écologique'!$L$763&gt;=GB11),AND('Eval-Après action écologique'!$A$764=FE13,'Eval-Après action écologique'!$L$764&lt;120,'Eval-Après action écologique'!$L$764&gt;=GB12),AND('Eval-Après action écologique'!$A$765=FE13,'Eval-Après action écologique'!$L$765&lt;120,'Eval-Après action écologique'!$L$765&gt;=GB13),AND('Eval-Après action écologique'!$A$766=FE13,'Eval-Après action écologique'!$L$766&lt;120,'Eval-Après action écologique'!$L$766&gt;=GB14),AND('Eval-Après action écologique'!$A$767=FE13,'Eval-Après action écologique'!$L$767&lt;120,'Eval-Après action écologique'!$L$767&gt;=GB15),AND('Eval-Après action écologique'!$A$768=FE13,'Eval-Après action écologique'!$L$768&lt;120,'Eval-Après action écologique'!$L$768&gt;=GB16),AND('Eval-Après action écologique'!$A$769=FE13,'Eval-Après action écologique'!$L$769&lt;120,'Eval-Après action écologique'!$L$769&gt;=GB17),AND('Eval-Après action écologique'!$A$770=FE13,'Eval-Après action écologique'!$L$770&lt;120,'Eval-Après action écologique'!$L$770&gt;=GB18),AND('Eval-Après action écologique'!$A$771=FE13,'Eval-Après action écologique'!$L$771&lt;120,'Eval-Après action écologique'!$L$771&gt;=GB19),AND('Eval-Après action écologique'!$A$772=FE13,'Eval-Après action écologique'!$L$772&lt;120,'Eval-Après action écologique'!$L$772&gt;=GB20),AND('Eval-Après action écologique'!$A$773=FE13,'Eval-Après action écologique'!$L$773&lt;120,'Eval-Après action écologique'!$L$773&gt;=GB21),AND('Eval-Après action écologique'!$A$774=FE13,'Eval-Après action écologique'!$L$774&lt;120,'Eval-Après action écologique'!$L$774&gt;=GB22),AND('Eval-Après action écologique'!$A$775=FE13,'Eval-Après action écologique'!$L$775&lt;120,'Eval-Après action écologique'!$L$775&gt;=GB23),AND('Eval-Après action écologique'!$A$776=FE13,'Eval-Après action écologique'!$L$776&lt;120,'Eval-Après action écologique'!$L$776&gt;=GB24),AND('Eval-Après action écologique'!$A$777=FE13,'Eval-Après action écologique'!$L$777&lt;120,'Eval-Après action écologique'!$L$777&gt;=GB25),AND('Eval-Après action écologique'!$A$778=FE13,'Eval-Après action écologique'!$L$778&lt;120,'Eval-Après action écologique'!$L$778&gt;=GB26),AND('Eval-Après action écologique'!$A$779=FE13,'Eval-Après action écologique'!$L$779&lt;120,'Eval-Après action écologique'!$L$779&gt;=GB27),AND('Eval-Après action écologique'!$A$780=FE13,'Eval-Après action écologique'!$L$780&lt;120,'Eval-Après action écologique'!$L$780&gt;=GB28)),"",SUM(IF('Eval-Après action écologique'!$A$761=FE13,'Eval-Après action écologique'!$L$761,0),IF('Eval-Après action écologique'!$A$762=FE13,'Eval-Après action écologique'!$L$762,0),IF('Eval-Après action écologique'!$A$763=FE13,'Eval-Après action écologique'!$L$763,0),IF('Eval-Après action écologique'!$A$764=FE13,'Eval-Après action écologique'!$L$764,0),IF('Eval-Après action écologique'!$A$765=FE13,'Eval-Après action écologique'!$L$765,0),IF('Eval-Après action écologique'!$A$766=FE13,'Eval-Après action écologique'!$L$766,0),IF('Eval-Après action écologique'!$A$767=FE13,'Eval-Après action écologique'!$L$767,0),IF('Eval-Après action écologique'!$A$768=FE13,'Eval-Après action écologique'!$L$768,0),IF('Eval-Après action écologique'!$A$769=FE13,'Eval-Après action écologique'!$L$769,0),IF('Eval-Après action écologique'!$A$770=FE13,'Eval-Après action écologique'!$L$770,0),IF('Eval-Après action écologique'!$A$771=FE13,'Eval-Après action écologique'!$L$771,0),IF('Eval-Après action écologique'!$A$772=FE13,'Eval-Après action écologique'!$L$772,0),IF('Eval-Après action écologique'!$A$773=FE13,'Eval-Après action écologique'!$L$773,0),IF('Eval-Après action écologique'!$A$774=FE13,'Eval-Après action écologique'!$L$774,0),IF('Eval-Après action écologique'!$A$775=FE13,'Eval-Après action écologique'!$L$775,0),IF('Eval-Après action écologique'!$A$776=FE13,'Eval-Après action écologique'!$L$776,0),IF('Eval-Après action écologique'!$A$777=FE13,'Eval-Après action écologique'!$L$777,0),IF('Eval-Après action écologique'!$A$778=FE13,'Eval-Après action écologique'!$L$778,0),IF('Eval-Après action écologique'!$A$779=FE13,'Eval-Après action écologique'!$L$779,0),IF('Eval-Après action écologique'!$A$780=FE13,'Eval-Après action écologique'!$L$780,0))/ COUNTIF('Eval-Après action écologique'!$A$761:$A$780,FE13)),"")</f>
        <v/>
      </c>
      <c r="FN13" s="211" t="str">
        <f>IF(COUNTIF('Eval-Après action écologique'!$A$761:$A$780,FE13)&gt;0,IF(OR(AND('Eval-Après action écologique'!$A$761=FE13, GB9&lt;120),AND(GB10&lt;120),AND(GB11&lt;120),AND(GB12&lt;120),AND(GB13&lt;120),AND(GB14&lt;120),AND(GB15&lt;120),AND(GB16&lt;120),AND(GB17&lt;120),AND(GB18&lt;120),AND(GB19&lt;120),AND(GB20&lt;120),AND(GB21&lt;120),AND(GB22&lt;120),AND(GB23&lt;120),AND(GB24&lt;120),AND(GB25&lt;120),AND(GB26&lt;120),AND(GB27&lt;120),AND(GB28&lt;120)),"",SUM(IF('Eval-Après action écologique'!$A$761=FE13,'Eval-Après action écologique'!$M$761,0),IF('Eval-Après action écologique'!$A$762=FE13,'Eval-Après action écologique'!$M$762,0),IF('Eval-Après action écologique'!$A$763=FE13,'Eval-Après action écologique'!$M$763,0),IF('Eval-Après action écologique'!$A$764=FE13,'Eval-Après action écologique'!$M$764,0),IF('Eval-Après action écologique'!$A$765=FE13,'Eval-Après action écologique'!$M$765,0),IF('Eval-Après action écologique'!$A$766=FE13,'Eval-Après action écologique'!$M$766,0),IF('Eval-Après action écologique'!$A$767=FE13,'Eval-Après action écologique'!$M$767,0),IF('Eval-Après action écologique'!$A$768=FE13,'Eval-Après action écologique'!$M$768,0),IF('Eval-Après action écologique'!$A$769=FE13,'Eval-Après action écologique'!$M$769,0),IF('Eval-Après action écologique'!$A$770=FE13,'Eval-Après action écologique'!$M$770,0),IF('Eval-Après action écologique'!$A$771=FE13,'Eval-Après action écologique'!$M$771,0),IF('Eval-Après action écologique'!$A$772=FE13,'Eval-Après action écologique'!$M$772,0),IF('Eval-Après action écologique'!$A$773=FE13,'Eval-Après action écologique'!$M$773,0),IF('Eval-Après action écologique'!$A$774=FE13,'Eval-Après action écologique'!$M$774,0),IF('Eval-Après action écologique'!$A$775=FE13,'Eval-Après action écologique'!$M$775,0), IF('Eval-Après action écologique'!$A$776=FE13,'Eval-Après action écologique'!$M$776,0), IF('Eval-Après action écologique'!$A$777=FE13,'Eval-Après action écologique'!$M$777,0), IF('Eval-Après action écologique'!$A$778=FE13,'Eval-Après action écologique'!$M$778,0), IF('Eval-Après action écologique'!$A$779=FE13,'Eval-Après action écologique'!$M$779,0), IF('Eval-Après action écologique'!$A$780=FE13,'Eval-Après action écologique'!$M$780,0))/COUNTIF('Eval-Après action écologique'!$A$761:$A$780,FE13)),"")</f>
        <v/>
      </c>
      <c r="FO13" s="211" t="str">
        <f>IF(COUNTIF('Eval-Après action écologique'!$A$761:$A$780,FE13)&gt;0,SUM(IF('Eval-Après action écologique'!$A$761=FE13,LEN(SUBSTITUTE((SUBSTITUTE(GD9,"TM","")),"TS",""))*10/2,0),IF('Eval-Après action écologique'!$A$762=FE13,LEN(SUBSTITUTE((SUBSTITUTE(GD10,"TM","")),"TS",""))*10/2,0),IF('Eval-Après action écologique'!$A$763=FE13,LEN(SUBSTITUTE((SUBSTITUTE(GD11,"TM","")),"TS",""))*10/2,0),IF('Eval-Après action écologique'!$A$764=FE13,LEN(SUBSTITUTE((SUBSTITUTE(GD12,"TM","")),"TS",""))*10/2,0),IF('Eval-Après action écologique'!$A$765=FE13,LEN(SUBSTITUTE((SUBSTITUTE(GD13,"TM","")),"TS",""))*10/2,0),IF('Eval-Après action écologique'!$A$766=FE13,LEN(SUBSTITUTE((SUBSTITUTE(GD14,"TM","")),"TS",""))*10/2,0),IF('Eval-Après action écologique'!$A$767=FE13,LEN(SUBSTITUTE((SUBSTITUTE(GD15,"TM","")),"TS",""))*10/2,0),IF('Eval-Après action écologique'!$A$768=FE13,LEN(SUBSTITUTE((SUBSTITUTE(GD16,"TM","")),"TS",""))*10/2,0),IF('Eval-Après action écologique'!$A$769=FE13,LEN(SUBSTITUTE((SUBSTITUTE(GD17,"TM","")),"TS",""))*10/2,0),IF('Eval-Après action écologique'!$A$770=FE13,LEN(SUBSTITUTE((SUBSTITUTE(GD18,"TM","")),"TS",""))*10/2,0),IF('Eval-Après action écologique'!$A$771=FE13,LEN(SUBSTITUTE((SUBSTITUTE(GD19,"TM","")),"TS",""))*10/2,0),IF('Eval-Après action écologique'!$A$772=FE13,LEN(SUBSTITUTE((SUBSTITUTE(GD20,"TM","")),"TS",""))*10/2,0),IF('Eval-Après action écologique'!$A$773=FE13,LEN(SUBSTITUTE((SUBSTITUTE(GD21,"TM","")),"TS",""))*10/2,0),IF('Eval-Après action écologique'!$A$774=FE13,LEN(SUBSTITUTE((SUBSTITUTE(GD22,"TM","")),"TS",""))*10/2,0),IF('Eval-Après action écologique'!$A$775=FE13,LEN(SUBSTITUTE((SUBSTITUTE(GD23,"TM","")),"TS",""))*10/2,0),IF('Eval-Après action écologique'!$A$776=FE13,LEN(SUBSTITUTE((SUBSTITUTE(GD24,"TM","")),"TS",""))*10/2,0),IF('Eval-Après action écologique'!$A$777=FE13,LEN(SUBSTITUTE((SUBSTITUTE(GD25,"TM","")),"TS",""))*10/2,0),IF('Eval-Après action écologique'!$A$778=FE13,LEN(SUBSTITUTE((SUBSTITUTE(GD26,"TM","")),"TS",""))*10/2,0),IF('Eval-Après action écologique'!$A$779=FE13,LEN(SUBSTITUTE((SUBSTITUTE(GD27,"TM","")),"TS",""))*10/2,0),IF('Eval-Après action écologique'!$A$780=FE13,LEN(SUBSTITUTE((SUBSTITUTE(GD28,"TM","")),"TS",""))*10/2,0))/COUNTIF('Eval-Après action écologique'!$A$761:$A$780,FE13),"")</f>
        <v/>
      </c>
      <c r="FP13" s="211" t="str">
        <f>IF(COUNTIF('Eval-Après action écologique'!$A$761:$A$780,FE13)&gt;0,SUM(IF('Eval-Après action écologique'!$A$761=FE13,LEN(SUBSTITUTE((SUBSTITUTE(GD9,"TF","")),"TS",""))*10/2,0),IF('Eval-Après action écologique'!$A$762=FE13,LEN(SUBSTITUTE((SUBSTITUTE(GD10,"TF","")),"TS",""))*10/2,0),IF('Eval-Après action écologique'!$A$763=FE13,LEN(SUBSTITUTE((SUBSTITUTE(GD11,"TF","")),"TS",""))*10/2,0),IF('Eval-Après action écologique'!$A$764=FE13,LEN(SUBSTITUTE((SUBSTITUTE(GD12,"TF","")),"TS",""))*10/2,0),IF('Eval-Après action écologique'!$A$765=FE13,LEN(SUBSTITUTE((SUBSTITUTE(GD13,"TF","")),"TS",""))*10/2,0),IF('Eval-Après action écologique'!$A$766=FE13,LEN(SUBSTITUTE((SUBSTITUTE(GD14,"TF","")),"TS",""))*10/2,0),IF('Eval-Après action écologique'!$A$767=FE13,LEN(SUBSTITUTE((SUBSTITUTE(GD15,"TF","")),"TS",""))*10/2,0),IF('Eval-Après action écologique'!$A$768=FE13,LEN(SUBSTITUTE((SUBSTITUTE(GD16,"TF","")),"TS",""))*10/2,0),IF('Eval-Après action écologique'!$A$769=FE13,LEN(SUBSTITUTE((SUBSTITUTE(GD17,"TF","")),"TS",""))*10/2,0),IF('Eval-Après action écologique'!$A$770=FE13,LEN(SUBSTITUTE((SUBSTITUTE(GD18,"TF","")),"TS",""))*10/2,0),IF('Eval-Après action écologique'!$A$771=FE13,LEN(SUBSTITUTE((SUBSTITUTE(GD19,"TF","")),"TS",""))*10/2,0),IF('Eval-Après action écologique'!$A$772=FE13,LEN(SUBSTITUTE((SUBSTITUTE(GD20,"TF","")),"TS",""))*10/2,0),IF('Eval-Après action écologique'!$A$773=FE13,LEN(SUBSTITUTE((SUBSTITUTE(GD21,"TF","")),"TS",""))*10/2,0),IF('Eval-Après action écologique'!$A$774=FE13,LEN(SUBSTITUTE((SUBSTITUTE(GD22,"TF","")),"TS",""))*10/2,0),IF('Eval-Après action écologique'!$A$775=FE13,LEN(SUBSTITUTE((SUBSTITUTE(GD23,"TF","")),"TS",""))*10/2,0),IF('Eval-Après action écologique'!$A$776=FE13,LEN(SUBSTITUTE((SUBSTITUTE(GD24,"TF","")),"TS",""))*10/2,0),IF('Eval-Après action écologique'!$A$777=FE13,LEN(SUBSTITUTE((SUBSTITUTE(GD25,"TF","")),"TS",""))*10/2,0),IF('Eval-Après action écologique'!$A$778=FE13,LEN(SUBSTITUTE((SUBSTITUTE(GD26,"TF","")),"TS",""))*10/2,0),IF('Eval-Après action écologique'!$A$779=FE13,LEN(SUBSTITUTE((SUBSTITUTE(GD27,"TF","")),"TS",""))*10/2,0),IF('Eval-Après action écologique'!$A$780=FE13,LEN(SUBSTITUTE((SUBSTITUTE(GD28,"TF","")),"TS",""))*10/2,0))/COUNTIF('Eval-Après action écologique'!$A$761:$A$780,FE13),"")</f>
        <v/>
      </c>
      <c r="FQ13" s="211" t="str">
        <f>IF(COUNTIF('Eval-Après action écologique'!$A$761:$A$780,FE13)&gt;0,SUM(IF('Eval-Après action écologique'!$A$761=FE13,LEN(SUBSTITUTE((SUBSTITUTE(GD9,"TF","")),"TM",""))*10/2,0),IF('Eval-Après action écologique'!$A$762=FE13,LEN(SUBSTITUTE((SUBSTITUTE(GD10,"TF","")),"TM",""))*10/2,0),IF('Eval-Après action écologique'!$A$763=FE13,LEN(SUBSTITUTE((SUBSTITUTE(GD11,"TF","")),"TM",""))*10/2,0),IF('Eval-Après action écologique'!$A$764=FE13,LEN(SUBSTITUTE((SUBSTITUTE(GD12,"TF","")),"TM",""))*10/2,0),IF('Eval-Après action écologique'!$A$765=FE13,LEN(SUBSTITUTE((SUBSTITUTE(GD13,"TF","")),"TM",""))*10/2,0),IF('Eval-Après action écologique'!$A$766=FE13,LEN(SUBSTITUTE((SUBSTITUTE(GD14,"TF","")),"TM",""))*10/2,0),IF('Eval-Après action écologique'!$A$767=FE13,LEN(SUBSTITUTE((SUBSTITUTE(GD15,"TF","")),"TM",""))*10/2,0),IF('Eval-Après action écologique'!$A$768=FE13,LEN(SUBSTITUTE((SUBSTITUTE(GD16,"TF","")),"TM",""))*10/2,0),IF('Eval-Après action écologique'!$A$769=FE13,LEN(SUBSTITUTE((SUBSTITUTE(GD17,"TF","")),"TM",""))*10/2,0),IF('Eval-Après action écologique'!$A$770=FE13,LEN(SUBSTITUTE((SUBSTITUTE(GD18,"TF","")),"TM",""))*10/2,0),IF('Eval-Après action écologique'!$A$771=FE13,LEN(SUBSTITUTE((SUBSTITUTE(GD19,"TF","")),"TM",""))*10/2,0),IF('Eval-Après action écologique'!$A$772=FE13,LEN(SUBSTITUTE((SUBSTITUTE(GD20,"TF","")),"TM",""))*10/2,0),IF('Eval-Après action écologique'!$A$773=FE13,LEN(SUBSTITUTE((SUBSTITUTE(GD21,"TF","")),"TM",""))*10/2,0),IF('Eval-Après action écologique'!$A$774=FE13,LEN(SUBSTITUTE((SUBSTITUTE(GD22,"TF","")),"TM",""))*10/2,0),IF('Eval-Après action écologique'!$A$775=FE13,LEN(SUBSTITUTE((SUBSTITUTE(GD23,"TF","")),"TM",""))*10/2,0),IF('Eval-Après action écologique'!$A$776=FE13,LEN(SUBSTITUTE((SUBSTITUTE(GD24,"TF","")),"TM",""))*10/2,0),IF('Eval-Après action écologique'!$A$777=FE13,LEN(SUBSTITUTE((SUBSTITUTE(GD25,"TF","")),"TM",""))*10/2,0),IF('Eval-Après action écologique'!$A$778=FE13,LEN(SUBSTITUTE((SUBSTITUTE(GD26,"TF","")),"TM",""))*10/2,0),IF('Eval-Après action écologique'!$A$779=FE13,LEN(SUBSTITUTE((SUBSTITUTE(GD27,"TF","")),"TM",""))*10/2,0),IF('Eval-Après action écologique'!$A$780=FE13,LEN(SUBSTITUTE((SUBSTITUTE(GD28,"TF","")),"TM",""))*10/2,0))/COUNTIF('Eval-Après action écologique'!$A$761:$A$780,FE13),"")</f>
        <v/>
      </c>
      <c r="FR13" s="211" t="str">
        <f>IF(COUNTIF('Eval-Après action écologique'!$A$761:$A$780,FE13)&gt;0,SUM(IF('Eval-Après action écologique'!$A$761=FE13,LEN(SUBSTITUTE((SUBSTITUTE(GE9,"TM","")),"TS",""))*10/2,0),IF('Eval-Après action écologique'!$A$762=FE13,LEN(SUBSTITUTE((SUBSTITUTE(GE10,"TM","")),"TS",""))*10/2,0),IF('Eval-Après action écologique'!$A$763=FE13,LEN(SUBSTITUTE((SUBSTITUTE(GE11,"TM","")),"TS",""))*10/2,0),IF('Eval-Après action écologique'!$A$764=FE13,LEN(SUBSTITUTE((SUBSTITUTE(GE12,"TM","")),"TS",""))*10/2,0),IF('Eval-Après action écologique'!$A$765=FE13,LEN(SUBSTITUTE((SUBSTITUTE(GE13,"TM","")),"TS",""))*10/2,0),IF('Eval-Après action écologique'!$A$766=FE13,LEN(SUBSTITUTE((SUBSTITUTE(GE14,"TM","")),"TS",""))*10/2,0),IF('Eval-Après action écologique'!$A$767=FE13,LEN(SUBSTITUTE((SUBSTITUTE(GE15,"TM","")),"TS",""))*10/2,0),IF('Eval-Après action écologique'!$A$768=FE13,LEN(SUBSTITUTE((SUBSTITUTE(GE16,"TM","")),"TS",""))*10/2,0),IF('Eval-Après action écologique'!$A$769=FE13,LEN(SUBSTITUTE((SUBSTITUTE(GE17,"TM","")),"TS",""))*10/2,0),IF('Eval-Après action écologique'!$A$770=FE13,LEN(SUBSTITUTE((SUBSTITUTE(GE18,"TM","")),"TS",""))*10/2,0),IF('Eval-Après action écologique'!$A$771=FE13,LEN(SUBSTITUTE((SUBSTITUTE(GE19,"TM","")),"TS",""))*10/2,0),IF('Eval-Après action écologique'!$A$772=FE13,LEN(SUBSTITUTE((SUBSTITUTE(GE20,"TM","")),"TS",""))*10/2,0),IF('Eval-Après action écologique'!$A$773=FE13,LEN(SUBSTITUTE((SUBSTITUTE(GE21,"TM","")),"TS",""))*10/2,0),IF('Eval-Après action écologique'!$A$774=FE13,LEN(SUBSTITUTE((SUBSTITUTE(GE22,"TM","")),"TS",""))*10/2,0),IF('Eval-Après action écologique'!$A$775=FE13,LEN(SUBSTITUTE((SUBSTITUTE(GE23,"TM","")),"TS",""))*10/2,0),IF('Eval-Après action écologique'!$A$776=FE13,LEN(SUBSTITUTE((SUBSTITUTE(GE24,"TM","")),"TS",""))*10/2,0),IF('Eval-Après action écologique'!$A$777=FE13,LEN(SUBSTITUTE((SUBSTITUTE(GE25,"TM","")),"TS",""))*10/2,0),IF('Eval-Après action écologique'!$A$778=FE13,LEN(SUBSTITUTE((SUBSTITUTE(GE26,"TM","")),"TS",""))*10/2,0),IF('Eval-Après action écologique'!$A$779=FE13,LEN(SUBSTITUTE((SUBSTITUTE(GE27,"TM","")),"TS",""))*10/2,0),IF('Eval-Après action écologique'!$A$780=FE13,LEN(SUBSTITUTE((SUBSTITUTE(GE28,"TM","")),"TS",""))*10/2,0))/COUNTIF('Eval-Après action écologique'!$A$761:$A$780,FE13),"")</f>
        <v/>
      </c>
      <c r="FS13" s="211" t="str">
        <f>IF(COUNTIF('Eval-Après action écologique'!$A$761:$A$780,FE13)&gt;0,SUM(IF('Eval-Après action écologique'!$A$761=FE13,LEN(SUBSTITUTE((SUBSTITUTE(GE9,"TF","")),"TS",""))*10/2,0),IF('Eval-Après action écologique'!$A$762=FE13,LEN(SUBSTITUTE((SUBSTITUTE(GE10,"TF","")),"TS",""))*10/2,0),IF('Eval-Après action écologique'!$A$763=FE13,LEN(SUBSTITUTE((SUBSTITUTE(GE11,"TF","")),"TS",""))*10/2,0),IF('Eval-Après action écologique'!$A$764=FE13,LEN(SUBSTITUTE((SUBSTITUTE(GE12,"TF","")),"TS",""))*10/2,0),IF('Eval-Après action écologique'!$A$765=FE13,LEN(SUBSTITUTE((SUBSTITUTE(GE13,"TF","")),"TS",""))*10/2,0),IF('Eval-Après action écologique'!$A$766=FE13,LEN(SUBSTITUTE((SUBSTITUTE(GE14,"TF","")),"TS",""))*10/2,0),IF('Eval-Après action écologique'!$A$767=FE13,LEN(SUBSTITUTE((SUBSTITUTE(GE15,"TF","")),"TS",""))*10/2,0),IF('Eval-Après action écologique'!$A$768=FE13,LEN(SUBSTITUTE((SUBSTITUTE(GE16,"TF","")),"TS",""))*10/2,0),IF('Eval-Après action écologique'!$A$769=FE13,LEN(SUBSTITUTE((SUBSTITUTE(GE17,"TF","")),"TS",""))*10/2,0),IF('Eval-Après action écologique'!$A$770=FE13,LEN(SUBSTITUTE((SUBSTITUTE(GE18,"TF","")),"TS",""))*10/2,0),IF('Eval-Après action écologique'!$A$771=FE13,LEN(SUBSTITUTE((SUBSTITUTE(GE19,"TF","")),"TS",""))*10/2,0),IF('Eval-Après action écologique'!$A$772=FE13,LEN(SUBSTITUTE((SUBSTITUTE(GE20,"TF","")),"TS",""))*10/2,0),IF('Eval-Après action écologique'!$A$773=FE13,LEN(SUBSTITUTE((SUBSTITUTE(GE21,"TF","")),"TS",""))*10/2,0),IF('Eval-Après action écologique'!$A$774=FE13,LEN(SUBSTITUTE((SUBSTITUTE(GE22,"TF","")),"TS",""))*10/2,0),IF('Eval-Après action écologique'!$A$775=FE13,LEN(SUBSTITUTE((SUBSTITUTE(GE23,"TF","")),"TS",""))*10/2,0),IF('Eval-Après action écologique'!$A$776=FE13,LEN(SUBSTITUTE((SUBSTITUTE(GE24,"TF","")),"TS",""))*10/2,0),IF('Eval-Après action écologique'!$A$777=FE13,LEN(SUBSTITUTE((SUBSTITUTE(GE25,"TF","")),"TS",""))*10/2,0),IF('Eval-Après action écologique'!$A$778=FE13,LEN(SUBSTITUTE((SUBSTITUTE(GE26,"TF","")),"TS",""))*10/2,0),IF('Eval-Après action écologique'!$A$779=FE13,LEN(SUBSTITUTE((SUBSTITUTE(GE27,"TF","")),"TS",""))*10/2,0),IF('Eval-Après action écologique'!$A$780=FE13,LEN(SUBSTITUTE((SUBSTITUTE(GE28,"TF","")),"TS",""))*10/2,0))/COUNTIF('Eval-Après action écologique'!$A$761:$A$780,FE13),"")</f>
        <v/>
      </c>
      <c r="FT13" s="211" t="str">
        <f>IF(COUNTIF('Eval-Après action écologique'!$A$761:$A$780,FE13)&gt;0,SUM(IF('Eval-Après action écologique'!$A$761=FE13,LEN(SUBSTITUTE((SUBSTITUTE(GE9,"TF","")),"TM",""))*10/2,0),IF('Eval-Après action écologique'!$A$762=FE13,LEN(SUBSTITUTE((SUBSTITUTE(GE10,"TF","")),"TM",""))*10/2,0),IF('Eval-Après action écologique'!$A$763=FE13,LEN(SUBSTITUTE((SUBSTITUTE(GE11,"TF","")),"TM",""))*10/2,0),IF('Eval-Après action écologique'!$A$764=FE13,LEN(SUBSTITUTE((SUBSTITUTE(GE12,"TF","")),"TM",""))*10/2,0),IF('Eval-Après action écologique'!$A$765=FE13,LEN(SUBSTITUTE((SUBSTITUTE(GE13,"TF","")),"TM",""))*10/2,0),IF('Eval-Après action écologique'!$A$766=FE13,LEN(SUBSTITUTE((SUBSTITUTE(GE14,"TF","")),"TM",""))*10/2,0),IF('Eval-Après action écologique'!$A$767=FE13,LEN(SUBSTITUTE((SUBSTITUTE(GE15,"TF","")),"TM",""))*10/2,0),IF('Eval-Après action écologique'!$A$768=FE13,LEN(SUBSTITUTE((SUBSTITUTE(GE16,"TF","")),"TM",""))*10/2,0),IF('Eval-Après action écologique'!$A$769=FE13,LEN(SUBSTITUTE((SUBSTITUTE(GE17,"TF","")),"TM",""))*10/2,0),IF('Eval-Après action écologique'!$A$770=FE13,LEN(SUBSTITUTE((SUBSTITUTE(GE18,"TF","")),"TM",""))*10/2,0),IF('Eval-Après action écologique'!$A$771=FE13,LEN(SUBSTITUTE((SUBSTITUTE(GE19,"TF","")),"TM",""))*10/2,0),IF('Eval-Après action écologique'!$A$772=FE13,LEN(SUBSTITUTE((SUBSTITUTE(GE20,"TF","")),"TM",""))*10/2,0),IF('Eval-Après action écologique'!$A$773=FE13,LEN(SUBSTITUTE((SUBSTITUTE(GE21,"TF","")),"TM",""))*10/2,0),IF('Eval-Après action écologique'!$A$774=FE13,LEN(SUBSTITUTE((SUBSTITUTE(GE22,"TF","")),"TM",""))*10/2,0),IF('Eval-Après action écologique'!$A$775=FE13,LEN(SUBSTITUTE((SUBSTITUTE(GE23,"TF","")),"TM",""))*10/2,0),IF('Eval-Après action écologique'!$A$776=FE13,LEN(SUBSTITUTE((SUBSTITUTE(GE24,"TF","")),"TM",""))*10/2,0),IF('Eval-Après action écologique'!$A$777=FE13,LEN(SUBSTITUTE((SUBSTITUTE(GE25,"TF","")),"TM",""))*10/2,0),IF('Eval-Après action écologique'!$A$778=FE13,LEN(SUBSTITUTE((SUBSTITUTE(GE26,"TF","")),"TM",""))*10/2,0),IF('Eval-Après action écologique'!$A$779=FE13,LEN(SUBSTITUTE((SUBSTITUTE(GE27,"TF","")),"TM",""))*10/2,0),IF('Eval-Après action écologique'!$A$780=FE13,LEN(SUBSTITUTE((SUBSTITUTE(GE28,"TF","")),"TM",""))*10/2,0))/COUNTIF('Eval-Après action écologique'!$A$761:$A$780,FE13),"")</f>
        <v/>
      </c>
      <c r="FU13" s="211" t="str">
        <f>IF(COUNTIF('Eval-Après action écologique'!$A$761:$A$780,FE13)&gt;0,IF(OR(AND('Eval-Après action écologique'!$A$761=FE13,GB9&lt;30),AND('Eval-Après action écologique'!$A$762=FE13,GB10&lt;30),AND('Eval-Après action écologique'!$A$763=FE13,GB11&lt;30),AND('Eval-Après action écologique'!$A$764=FE13,GB12&lt;30),AND('Eval-Après action écologique'!$A$765=FE13,GB13&lt;30),AND('Eval-Après action écologique'!$A$766=FE13,GB14&lt;30),AND('Eval-Après action écologique'!$A$767=FE13,GB15&lt;30),AND('Eval-Après action écologique'!$A$768=FE13,GB16&lt;30),AND('Eval-Après action écologique'!$A$769=FE13,GB17&lt;30),AND('Eval-Après action écologique'!$A$770=FE13,GB18&lt;30),AND('Eval-Après action écologique'!$A$771=FE13,GB19&lt;30),AND('Eval-Après action écologique'!$A$772=FE13,GB20&lt;30),AND('Eval-Après action écologique'!$A$773=FE13,GB21&lt;30),AND('Eval-Après action écologique'!$A$774=FE13,GB22&lt;30),AND('Eval-Après action écologique'!$A$775=FE13,GB23&lt;30),AND('Eval-Après action écologique'!$A$776=FE13,GB24&lt;30),AND('Eval-Après action écologique'!$A$777=FE13,GB25&lt;30),AND('Eval-Après action écologique'!$A$778=FE13,GB26&lt;30),AND('Eval-Après action écologique'!$A$779=FE13,GB27&lt;30),AND('Eval-Après action écologique'!$A$780=FE13,GB28&lt;30)),"",SUM(0.1*(SUMPRODUCT(('Eval-Après action écologique'!$A$761:$A$780=FE13)*('Eval-Après action écologique'!$N$761:$P$780="A"))+ SUMPRODUCT(('Eval-Après action écologique'!$A$761:$A$780=FE13)*('Eval-Après action écologique'!$N$761:$P$780="AL"))),0.7*(SUMPRODUCT(('Eval-Après action écologique'!$A$761:$A$780=FE13)*('Eval-Après action écologique'!$N$761:$P$780="TF"))+SUMPRODUCT(('Eval-Après action écologique'!$A$761:$A$780=FE13)*('Eval-Après action écologique'!$N$761:$P$780="TM"))+SUMPRODUCT(('Eval-Après action écologique'!$A$761:$A$780=FE13)*('Eval-Après action écologique'!$N$761:$P$780="TS"))),0.4*(SUMPRODUCT(('Eval-Après action écologique'!$A$761:$A$780=FE13)*('Eval-Après action écologique'!$N$761:$P$780="LA"))+SUMPRODUCT(('Eval-Après action écologique'!$A$761:$A$780=FE13)*('Eval-Après action écologique'!$N$761:$P$780="L"))+SUMPRODUCT(('Eval-Après action écologique'!$A$761:$A$780=FE13)*('Eval-Après action écologique'!$N$761:$P$780="LS"))),1*(SUMPRODUCT(('Eval-Après action écologique'!$A$761:$A$780=FE13)*('Eval-Après action écologique'!$N$761:$P$780="SL"))+ SUMPRODUCT(('Eval-Après action écologique'!$A$761:$A$780=FE13)*('Eval-Après action écologique'!$N$761:$P$780="S"))))/(3*COUNTIF('Eval-Après action écologique'!$A$761:$A$780,FE13))),"")</f>
        <v/>
      </c>
      <c r="FV13" s="211" t="str">
        <f>IF(COUNTIF('Eval-Après action écologique'!$A$761:$A$780,FE13)&gt;0,IF(OR(AND('Eval-Après action écologique'!$A$761=FE13,GB9&lt;120),AND('Eval-Après action écologique'!$A$762=FE13,GB10&lt;120),AND('Eval-Après action écologique'!$A$763=FE13,GB11&lt;120),AND('Eval-Après action écologique'!$A$764=FE13,GB12&lt;120),AND('Eval-Après action écologique'!$A$765=FE13,GB13&lt;120),AND('Eval-Après action écologique'!$A$766=FE13,GB14&lt;120),AND('Eval-Après action écologique'!$A$767=FE13,GB15&lt;120),AND('Eval-Après action écologique'!$A$768=FE13,GB16&lt;120),AND('Eval-Après action écologique'!$A$769=FE13,GB17&lt;120),AND('Eval-Après action écologique'!$A$770=FE13,GB18&lt;120),AND('Eval-Après action écologique'!$A$771=FE13,GB19&lt;120),AND('Eval-Après action écologique'!$A$772=FE13,GB20&lt;120),AND('Eval-Après action écologique'!$A$773=FE13,GB21&lt;120),AND('Eval-Après action écologique'!$A$774=FE13,GB22&lt;120),AND('Eval-Après action écologique'!$A$775=FE13,GB23&lt;120),AND('Eval-Après action écologique'!$A$776=FE13,GB24&lt;120),AND('Eval-Après action écologique'!$A$777=FE13,GB25&lt;120),AND('Eval-Après action écologique'!$A$778=FE13,GB26&lt;120),AND('Eval-Après action écologique'!$A$779=FE13,GB27&lt;120),AND('Eval-Après action écologique'!$A$780=FE13,GB28&lt;120)),"",SUM(0.1*(SUMPRODUCT(('Eval-Après action écologique'!$A$761:$A$780=FE13)*('Eval-Après action écologique'!$Q$761:$Y$780="A"))+ SUMPRODUCT(('Eval-Après action écologique'!$A$761:$A$780=FE13)*('Eval-Après action écologique'!$Q$761:$Y$780="AL"))),0.7*(SUMPRODUCT(('Eval-Après action écologique'!$A$761:$A$780=FE13)*('Eval-Après action écologique'!$Q$761:$Y$780="TF"))+SUMPRODUCT(('Eval-Après action écologique'!$A$761:$A$780=FE13)*('Eval-Après action écologique'!$Q$761:$Y$780="TM"))+SUMPRODUCT(('Eval-Après action écologique'!$A$761:$A$780=FE13)*('Eval-Après action écologique'!$Q$761:$Y$780="TS"))),0.4*(SUMPRODUCT(('Eval-Après action écologique'!$A$761:$A$780=FE13)*('Eval-Après action écologique'!$Q$761:$Y$780="LA"))+SUMPRODUCT(('Eval-Après action écologique'!$A$761:$A$780=FE13)*('Eval-Après action écologique'!$Q$761:$Y$780="L"))+SUMPRODUCT(('Eval-Après action écologique'!$A$761:$A$780=FE13)*('Eval-Après action écologique'!$Q$761:$Y$780="LS"))),1*(SUMPRODUCT(('Eval-Après action écologique'!$A$761:$A$780=FE13)*('Eval-Après action écologique'!$Q$761:$Y$780="SL"))+ SUMPRODUCT(('Eval-Après action écologique'!$A$761:$A$780=FE13)*('Eval-Après action écologique'!$Q$761:$Y$780="S"))))/(9*COUNTIF('Eval-Après action écologique'!$A$761:$A$780,FE13))),"")</f>
        <v/>
      </c>
      <c r="FW13" s="211" t="str">
        <f>IF(COUNTIF('Eval-Après action écologique'!$A$761:$A$780,FE13)&gt;0,IF(OR(AND('Eval-Après action écologique'!$A$761=FE13,OR(COUNTIF('Eval-Après action écologique'!$N$761:$P$761,"*T*")&gt;0,GB9&lt;30)),AND('Eval-Après action écologique'!$A$762=FE13,OR(COUNTIF('Eval-Après action écologique'!$N$762:$P$762,"*T*")&gt;0,GB10&lt;30)),AND('Eval-Après action écologique'!$A$763=FE13,OR(COUNTIF('Eval-Après action écologique'!$N$763:$P$763,"*T*")&gt;0,GB11&lt;30)),AND('Eval-Après action écologique'!$A$764=FE13,OR(COUNTIF('Eval-Après action écologique'!$N$764:$P$764,"*T*")&gt;0,GB12&lt;30)),AND('Eval-Après action écologique'!$A$765=FE13,OR(COUNTIF('Eval-Après action écologique'!$N$765:$P$765,"*T*")&gt;0,GB13&lt;30)),AND('Eval-Après action écologique'!$A$766=FE13,OR(COUNTIF('Eval-Après action écologique'!$N$766:$P$766,"*T*")&gt;0,GB14&lt;30)),AND('Eval-Après action écologique'!$A$767=FE13,OR(COUNTIF('Eval-Après action écologique'!$N$767:$P$767,"*T*")&gt;0,GB15&lt;30)),AND('Eval-Après action écologique'!$A$768=FE13,OR(COUNTIF('Eval-Après action écologique'!$N$768:$P$768,"*T*")&gt;0,GB16&lt;30)),AND('Eval-Après action écologique'!$A$769=FE13,OR(COUNTIF('Eval-Après action écologique'!$N$769:$P$769,"*T*")&gt;0,GB17&lt;30)),AND('Eval-Après action écologique'!$A$770=FE13,OR(COUNTIF('Eval-Après action écologique'!$N$770:$P$770,"*T*")&gt;0,GB18&lt;30)),AND('Eval-Après action écologique'!$A$771=FE13,OR(COUNTIF('Eval-Après action écologique'!$N$771:$P$771,"*T*")&gt;0,GB19&lt;30)),AND('Eval-Après action écologique'!$A$772=FE13,OR(COUNTIF('Eval-Après action écologique'!$N$772:$P$772,"*T*")&gt;0,GB20&lt;30)),AND('Eval-Après action écologique'!$A$773=FE13,OR(COUNTIF('Eval-Après action écologique'!$N$773:$P$773,"*T*")&gt;0,GB21&lt;30)),AND('Eval-Après action écologique'!$A$774=FE13,OR(COUNTIF('Eval-Après action écologique'!$N$774:$P$774,"*T*")&gt;0,GB22&lt;30)),AND('Eval-Après action écologique'!$A$775=FE13,OR(COUNTIF('Eval-Après action écologique'!$N$775:$P$775,"*T*")&gt;0,GB23&lt;30)),AND('Eval-Après action écologique'!$A$776=FE13,OR(COUNTIF('Eval-Après action écologique'!$N$776:$P$776,"*T*")&gt;0,GB24&lt;30)),AND('Eval-Après action écologique'!$A$777=FE13,OR(COUNTIF('Eval-Après action écologique'!$N$777:$P$777,"*T*")&gt;0,GB25&lt;30)),AND('Eval-Après action écologique'!$A$778=FE13,OR(COUNTIF('Eval-Après action écologique'!$N$778:$P$778,"*T*")&gt;0,GB26&lt;30)),AND('Eval-Après action écologique'!$A$779=FE13,OR(COUNTIF('Eval-Après action écologique'!$N$779:$P$779,"*T*")&gt;0,GB27&lt;30)),AND('Eval-Après action écologique'!$A$780=FE13,OR(COUNTIF('Eval-Après action écologique'!$N$780:$P$780,"*T*")&gt;0,GB28&lt;30))),"",SUM(0.1*(SUMPRODUCT(('Eval-Après action écologique'!$A$761:$A$780=FE13)*('Eval-Après action écologique'!$N$761:$P$780="L"))),0.4*(SUMPRODUCT(('Eval-Après action écologique'!$A$761:$A$780=FE13)*('Eval-Après action écologique'!$N$761:$P$780="LA"))+SUMPRODUCT(('Eval-Après action écologique'!$A$761:$A$780=FE13)*('Eval-Après action écologique'!$N$761:$P$780="LS"))),0.7*(SUMPRODUCT(('Eval-Après action écologique'!$A$761:$A$780=FE13)*('Eval-Après action écologique'!$N$761:$P$780="AL"))+SUMPRODUCT(('Eval-Après action écologique'!$A$761:$A$780=FE13)*('Eval-Après action écologique'!$N$761:$P$780="SL"))),1*(SUMPRODUCT(('Eval-Après action écologique'!$A$761:$A$780=FE13)*('Eval-Après action écologique'!$N$761:$P$780="S"))+ SUMPRODUCT(('Eval-Après action écologique'!$A$761:$A$780=FE13)*('Eval-Après action écologique'!$N$761:$P$780="A"))))/(3*COUNTIF('Eval-Après action écologique'!$A$761:$A$780,FE13))),"")</f>
        <v/>
      </c>
      <c r="FX13" s="211" t="str">
        <f>IF(COUNTIF('Eval-Après action écologique'!$A$761:$A$780,FE13)&gt;0,IF(OR(AND('Eval-Après action écologique'!$A$761=FE13,OR(COUNTIF('Eval-Après action écologique'!$N$761:$P$761,"*T*")&gt;0,GB9&lt;30)),AND('Eval-Après action écologique'!$A$762=FE13,OR(COUNTIF('Eval-Après action écologique'!$N$762:$P$762,"*T*")&gt;0,GB10&lt;30)),AND('Eval-Après action écologique'!$A$763=FE13,OR(COUNTIF('Eval-Après action écologique'!$N$763:$P$763,"*T*")&gt;0,GB11&lt;30)),AND('Eval-Après action écologique'!$A$764=FE13,OR(COUNTIF('Eval-Après action écologique'!$N$764:$P$764,"*T*")&gt;0,GB12&lt;30)),AND('Eval-Après action écologique'!$A$765=FE13,OR(COUNTIF('Eval-Après action écologique'!$N$765:$P$765,"*T*")&gt;0,GB13&lt;30)),AND('Eval-Après action écologique'!$A$766=FE13,OR(COUNTIF('Eval-Après action écologique'!$N$766:$P$766,"*T*")&gt;0,GB14&lt;30)),AND('Eval-Après action écologique'!$A$767=FE13,OR(COUNTIF('Eval-Après action écologique'!$N$767:$P$767,"*T*")&gt;0,GB15&lt;30)),AND('Eval-Après action écologique'!$A$768=FE13,OR(COUNTIF('Eval-Après action écologique'!$N$768:$P$768,"*T*")&gt;0,GB16&lt;30)),AND('Eval-Après action écologique'!$A$769=FE13,OR(COUNTIF('Eval-Après action écologique'!$N$769:$P$769,"*T*")&gt;0,GB17&lt;30)),AND('Eval-Après action écologique'!$A$770=FE13,OR(COUNTIF('Eval-Après action écologique'!$N$770:$P$770,"*T*")&gt;0,GB18&lt;30)),AND('Eval-Après action écologique'!$A$771=FE13,OR(COUNTIF('Eval-Après action écologique'!$N$771:$P$771,"*T*")&gt;0,GB19&lt;30)),AND('Eval-Après action écologique'!$A$772=FE13,OR(COUNTIF('Eval-Après action écologique'!$N$772:$P$772,"*T*")&gt;0,GB20&lt;30)),AND('Eval-Après action écologique'!$A$773=FE13,OR(COUNTIF('Eval-Après action écologique'!$N$773:$P$773,"*T*")&gt;0,GB21&lt;30)),AND('Eval-Après action écologique'!$A$774=FE13,OR(COUNTIF('Eval-Après action écologique'!$N$774:$P$774,"*T*")&gt;0,GB22&lt;30)),AND('Eval-Après action écologique'!$A$775=FE13,OR(COUNTIF('Eval-Après action écologique'!$N$775:$P$775,"*T*")&gt;0,GB23&lt;30)),AND('Eval-Après action écologique'!$A$776=FE13,OR(COUNTIF('Eval-Après action écologique'!$N$776:$P$776,"*T*")&gt;0,GB24&lt;30)),AND('Eval-Après action écologique'!$A$777=FE13,OR(COUNTIF('Eval-Après action écologique'!$N$777:$P$777,"*T*")&gt;0,GB25&lt;30)),AND('Eval-Après action écologique'!$A$778=FE13,OR(COUNTIF('Eval-Après action écologique'!$N$778:$P$778,"*T*")&gt;0,GB26&lt;30)),AND('Eval-Après action écologique'!$A$779=FE13,OR(COUNTIF('Eval-Après action écologique'!$N$779:$P$779,"*T*")&gt;0,GB27&lt;30)),AND('Eval-Après action écologique'!$A$780=FE13,OR(COUNTIF('Eval-Après action écologique'!$N$780:$P$780,"*T*")&gt;0,GB28&lt;30))),"",SUM(1*(SUMPRODUCT(('Eval-Après action écologique'!$A$761:$A$780=FE13)*('Eval-Après action écologique'!$N$761:$P$780="A"))),0.85*(SUMPRODUCT(('Eval-Après action écologique'!$A$761:$A$780=FE13)*('Eval-Après action écologique'!$N$761:$P$780="AL"))),0.7*(SUMPRODUCT(('Eval-Après action écologique'!$A$761:$A$780=FE13)*('Eval-Après action écologique'!$N$761:$P$780="LA"))),0.55*(SUMPRODUCT(('Eval-Après action écologique'!$A$761:$A$780=FE13)*('Eval-Après action écologique'!$N$761:$P$780="L"))),0.4*(SUMPRODUCT(('Eval-Après action écologique'!$A$761:$A$780=FE13)*('Eval-Après action écologique'!$N$761:$P$780="LS"))),0.25*(SUMPRODUCT(('Eval-Après action écologique'!$A$761:$A$780=FE13)*('Eval-Après action écologique'!$N$761:$P$780="SL"))),0.1*(SUMPRODUCT(('Eval-Après action écologique'!$A$761:$A$780=FE13)*('Eval-Après action écologique'!$N$761:$P$780="S"))))/(3*COUNTIF('Eval-Après action écologique'!$A$761:$A$780,FE13))),"")</f>
        <v/>
      </c>
      <c r="FY13" s="214" t="str">
        <f>IF(COUNTIF('Eval-Après action écologique'!$A$761:$A$780,FE13)&gt;0,IF(OR(AND('Eval-Après action écologique'!$A$761=FE13,OR(COUNTIF('Eval-Après action écologique'!$Q$761:$Y$761,"*T*")&gt;0,GB9&lt;120)),AND('Eval-Après action écologique'!$A$762=FE13,OR(COUNTIF('Eval-Après action écologique'!$Q$762:$Y$762,"*T*")&gt;0,GB10&lt;120)),AND('Eval-Après action écologique'!$A$763=FE13,OR(COUNTIF('Eval-Après action écologique'!$Q$763:$Y$763,"*T*")&gt;0,GB11&lt;120)),AND('Eval-Après action écologique'!$A$764=FE13,OR(COUNTIF('Eval-Après action écologique'!$Q$764:$Y$764,"*T*")&gt;0,GB12&lt;120)),AND('Eval-Après action écologique'!$A$765=FE13,OR(COUNTIF('Eval-Après action écologique'!$Q$765:$Y$765,"*T*")&gt;0,GB13&lt;120)),AND('Eval-Après action écologique'!$A$766=FE13,OR(COUNTIF('Eval-Après action écologique'!$Q$766:$Y$766,"*T*")&gt;0,GB14&lt;120)),AND('Eval-Après action écologique'!$A$767=FE13,OR(COUNTIF('Eval-Après action écologique'!$Q$767:$Y$767,"*T*")&gt;0,GB15&lt;120)),AND('Eval-Après action écologique'!$A$768=FE13,OR(COUNTIF('Eval-Après action écologique'!$Q$768:$Y$768,"*T*")&gt;0,GB16&lt;120)),AND('Eval-Après action écologique'!$A$769=FE13,OR(COUNTIF('Eval-Après action écologique'!$Q$769:$Y$769,"*T*")&gt;0,GB17&lt;120)),AND('Eval-Après action écologique'!$A$770=FE13,OR(COUNTIF('Eval-Après action écologique'!$Q$770:$Y$770,"*T*")&gt;0,GB18&lt;120)),AND('Eval-Après action écologique'!$A$771=FE13,OR(COUNTIF('Eval-Après action écologique'!$Q$771:$Y$771,"*T*")&gt;0,GB19&lt;120)),AND('Eval-Après action écologique'!$A$772=FE13,OR(COUNTIF('Eval-Après action écologique'!$Q$772:$Y$772,"*T*")&gt;0,GB20&lt;120)),AND('Eval-Après action écologique'!$A$773=FE13,OR(COUNTIF('Eval-Après action écologique'!$Q$773:$Y$773,"*T*")&gt;0,GB21&lt;120)),AND('Eval-Après action écologique'!$A$774=FE13,OR(COUNTIF('Eval-Après action écologique'!$Q$774:$Y$774,"*T*")&gt;0,GB22&lt;120)),AND('Eval-Après action écologique'!$A$775=FE13,OR(COUNTIF('Eval-Après action écologique'!$Q$775:$Y$775,"*T*")&gt;0,GB23&lt;120)),AND('Eval-Après action écologique'!$A$776=FE13,OR(COUNTIF('Eval-Après action écologique'!$Q$776:$Y$776,"*T*")&gt;0,GB24&lt;120)),AND('Eval-Après action écologique'!$A$777=FE13,OR(COUNTIF('Eval-Après action écologique'!$Q$777:$Y$777,"*T*")&gt;0,GB25&lt;120)),AND('Eval-Après action écologique'!$A$778=FE13,OR(COUNTIF('Eval-Après action écologique'!$Q$778:$Y$778,"*T*")&gt;0,GB26&lt;120)),AND('Eval-Après action écologique'!$A$779=FE13,OR(COUNTIF('Eval-Après action écologique'!$Q$779:$Y$779,"*T*")&gt;0,GB27&lt;120)),AND('Eval-Après action écologique'!$A$780=FE13,OR(COUNTIF('Eval-Après action écologique'!$Q$780:$Y$780,"*T*")&gt;0,GB28&lt;120))),"",SUM(1*(SUMPRODUCT(('Eval-Après action écologique'!$A$761:$A$780=FE13)*('Eval-Après action écologique'!$Q$761:$Y$780="A"))),0.85*(SUMPRODUCT(('Eval-Après action écologique'!$A$761:$A$780=FE13)*('Eval-Après action écologique'!$Q$761:$Y$780="AL"))),0.7*(SUMPRODUCT(('Eval-Après action écologique'!$A$761:$A$780=FE13)*('Eval-Après action écologique'!$Q$761:$Y$780="LA"))),0.55*(SUMPRODUCT(('Eval-Après action écologique'!$A$761:$A$780=FE13)*('Eval-Après action écologique'!$Q$761:$Y$780="L"))),0.4*(SUMPRODUCT(('Eval-Après action écologique'!$A$761:$A$780=FE13)*('Eval-Après action écologique'!$Q$761:$Y$780="LS"))),0.25*(SUMPRODUCT(('Eval-Après action écologique'!$A$761:$A$780=FE13)*('Eval-Après action écologique'!$Q$761:$Y$780="SL"))),0.1*(SUMPRODUCT(('Eval-Après action écologique'!$A$761:$A$780=FE13)*('Eval-Après action écologique'!$Q$761:$Y$780="S"))))/(9*COUNTIF('Eval-Après action écologique'!$A$761:$A$780,FE13))),"")</f>
        <v/>
      </c>
      <c r="FZ13" s="215"/>
      <c r="GA13" s="216">
        <f>'Eval-Après action écologique'!$D$765</f>
        <v>5</v>
      </c>
      <c r="GB13" s="217" t="str">
        <f>IF(GC13="C",0,IF(IF(COUNTIF('Eval-Après action écologique'!$N$765:$Y$765,"=C")&gt;0,(COUNTA('Eval-Après action écologique'!$N$765:$Y$765)-1)*10,COUNTA('Eval-Après action écologique'!$N$765:$Y$765)*10)=0,"",IF(COUNTIF('Eval-Après action écologique'!$N$765:$Y$765,"=C")&gt;0,(COUNTA('Eval-Après action écologique'!$N$765:$Y$765)-1)*10,COUNTA('Eval-Après action écologique'!$N$765:$Y$765)*10)))</f>
        <v/>
      </c>
      <c r="GC13" s="217" t="str">
        <f>CONCATENATE('Eval-Après action écologique'!$N$765,'Eval-Après action écologique'!$O$765,'Eval-Après action écologique'!$P$765,'Eval-Après action écologique'!$Q$765,'Eval-Après action écologique'!$R$765,'Eval-Après action écologique'!$S$765,'Eval-Après action écologique'!$T$765,'Eval-Après action écologique'!$U$765,'Eval-Après action écologique'!$V$765,'Eval-Après action écologique'!$W$765,'Eval-Après action écologique'!$X$765,'Eval-Après action écologique'!$Y$765)</f>
        <v/>
      </c>
      <c r="GD13" s="217" t="str">
        <f t="shared" si="20"/>
        <v/>
      </c>
      <c r="GE13" s="217" t="str">
        <f t="shared" si="21"/>
        <v/>
      </c>
      <c r="GF13" s="217" t="str">
        <f>IF(COUNTIF('Eval-Après action écologique'!$N$765:$Y$765,"=C")&gt;0,"X","")</f>
        <v/>
      </c>
      <c r="GG13" s="217" t="str">
        <f t="shared" si="22"/>
        <v/>
      </c>
      <c r="GH13" s="218" t="str">
        <f t="shared" si="23"/>
        <v/>
      </c>
      <c r="GI13" s="197"/>
    </row>
    <row r="14" spans="1:191" ht="18" customHeight="1" x14ac:dyDescent="0.2">
      <c r="A14" s="210">
        <v>6</v>
      </c>
      <c r="B14" s="211" t="str">
        <f>IF(COUNTIF('Eval-Avant impact'!$A$761:$A$780,A14)&gt;0,SUM(IF('Eval-Avant impact'!$A$761=A14,'Eval-Avant impact'!$B$761,0),IF('Eval-Avant impact'!$A$762=A14, 'Eval-Avant impact'!$B$762,0),IF('Eval-Avant impact'!$A$763=A14, 'Eval-Avant impact'!$B$763,0),IF('Eval-Avant impact'!$A$764=A14, 'Eval-Avant impact'!$B$764,0),IF('Eval-Avant impact'!$A$765=A14, 'Eval-Avant impact'!$B$765,0),IF('Eval-Avant impact'!$A$766=A14, 'Eval-Avant impact'!$B$766,0),IF('Eval-Avant impact'!$A$767=A14, 'Eval-Avant impact'!$B$767,0),IF('Eval-Avant impact'!$A$768=A14, 'Eval-Avant impact'!$B$768,0),IF('Eval-Avant impact'!$A$769=A14, 'Eval-Avant impact'!$B$769,0),IF('Eval-Avant impact'!$A$770=A14, 'Eval-Avant impact'!$B$770,0),IF('Eval-Avant impact'!$A$771=A14, 'Eval-Avant impact'!$B$771,0),IF('Eval-Avant impact'!$A$772=A14, 'Eval-Avant impact'!$B$772,0),IF('Eval-Avant impact'!$A$773=A14, 'Eval-Avant impact'!$B$773,0),IF('Eval-Avant impact'!$A$774=A14, 'Eval-Avant impact'!$B$774,0),IF('Eval-Avant impact'!$A$775=A14, 'Eval-Avant impact'!$B$775,0),IF('Eval-Avant impact'!$A$776=A14, 'Eval-Avant impact'!$B$776,0),IF('Eval-Avant impact'!$A$777=A14, 'Eval-Avant impact'!$B$777,0),IF('Eval-Avant impact'!$A$778=A14, 'Eval-Avant impact'!$B$778,0),IF('Eval-Avant impact'!$A$779=A14, 'Eval-Avant impact'!$B$779,0),IF('Eval-Avant impact'!$A$780=A14, 'Eval-Avant impact'!$B$780,0))/COUNTIF('Eval-Avant impact'!$A$761:$A$780,A14),"")</f>
        <v/>
      </c>
      <c r="C14" s="212" t="str">
        <f>IF(COUNTIF('Eval-Avant impact'!$A$761:$A$780,A14)&gt;0,COUNTIF('Eval-Avant impact'!$A$761:$A$780,A14),"")</f>
        <v/>
      </c>
      <c r="D14" s="211" t="str">
        <f>IF(COUNTIF('Eval-Avant impact'!$A$761:$A$780,A14)&gt;0,IF(OR(AND('Eval-Avant impact'!$A$761=A14, 'Eval-Avant impact'!$G$761=""),AND('Eval-Avant impact'!$A$762=A14, 'Eval-Avant impact'!$G$762=""),AND('Eval-Avant impact'!$A$763=A14, 'Eval-Avant impact'!$G$763=""),AND('Eval-Avant impact'!$A$764=A14, 'Eval-Avant impact'!$G$764=""),AND('Eval-Avant impact'!$A$765=A14, 'Eval-Avant impact'!$G$765=""),AND('Eval-Avant impact'!$A$766=A14, 'Eval-Avant impact'!$G$766=""),AND('Eval-Avant impact'!$A$767=A14, 'Eval-Avant impact'!$G$767=""),AND('Eval-Avant impact'!$A$768=A14, 'Eval-Avant impact'!$G$768=""),AND('Eval-Avant impact'!$A$769=A14, 'Eval-Avant impact'!$G$769=""),AND('Eval-Avant impact'!$A$770=A14, 'Eval-Avant impact'!$G$770=""),AND('Eval-Avant impact'!$A$771=A14, 'Eval-Avant impact'!$G$771=""),AND('Eval-Avant impact'!$A$772=A14, 'Eval-Avant impact'!$G$772=""),AND('Eval-Avant impact'!$A$773=A14, 'Eval-Avant impact'!$G$773=""),AND('Eval-Avant impact'!$A$774=A14, 'Eval-Avant impact'!$G$774=""),AND('Eval-Avant impact'!$A$775=A14, 'Eval-Avant impact'!$G$775=""),AND('Eval-Avant impact'!$A$776=A14, 'Eval-Avant impact'!$G$776=""),AND('Eval-Avant impact'!$A$777=A14, 'Eval-Avant impact'!$G$777=""),AND('Eval-Avant impact'!$A$778=A14, 'Eval-Avant impact'!$G$778=""),AND('Eval-Avant impact'!$A$779=A14, 'Eval-Avant impact'!$G$779=""),AND('Eval-Avant impact'!$A$780=A14, 'Eval-Avant impact'!$G$780="")),"",SUM(IF('Eval-Avant impact'!$A$761=A14,'Eval-Avant impact'!$G$761,0),IF('Eval-Avant impact'!$A$762=A14,'Eval-Avant impact'!$G$762,0),IF('Eval-Avant impact'!$A$763=A14,'Eval-Avant impact'!$G$763,0),IF('Eval-Avant impact'!$A$764=A14,'Eval-Avant impact'!$G$764,0),IF('Eval-Avant impact'!$A$765=A14,'Eval-Avant impact'!$G$765,0),IF('Eval-Avant impact'!$A$766=A14,'Eval-Avant impact'!$G$766,0),IF('Eval-Avant impact'!$A$767=A14,'Eval-Avant impact'!$G$767,0),IF('Eval-Avant impact'!$A$768=A14,'Eval-Avant impact'!$G$768,0),IF('Eval-Avant impact'!$A$769=A14,'Eval-Avant impact'!$G$769,0),IF('Eval-Avant impact'!$A$770=A14,'Eval-Avant impact'!$G$770,0),IF('Eval-Avant impact'!$A$771=A14,'Eval-Avant impact'!$G$771,0),IF('Eval-Avant impact'!$A$772=A14,'Eval-Avant impact'!$G$772,0),IF('Eval-Avant impact'!$A$773=A14,'Eval-Avant impact'!$G$773,0),IF('Eval-Avant impact'!$A$774=A14,'Eval-Avant impact'!$G$774,0),IF('Eval-Avant impact'!$A$775=A14,'Eval-Avant impact'!$G$775,0), IF('Eval-Avant impact'!$A$776=A14,'Eval-Avant impact'!$G$776,0), IF('Eval-Avant impact'!$A$777=A14,'Eval-Avant impact'!$G$777,0), IF('Eval-Avant impact'!$A$778=A14,'Eval-Avant impact'!$G$778,0), IF('Eval-Avant impact'!$A$779=A14,'Eval-Avant impact'!$G$779,0), IF('Eval-Avant impact'!$A$780=A14,'Eval-Avant impact'!$G$780,0))/ COUNTIF('Eval-Avant impact'!$A$761:$A$780,A14)),"")</f>
        <v/>
      </c>
      <c r="E14" s="212" t="str">
        <f>IF(COUNTIF('Eval-Avant impact'!$A$761:$A$780,A14)&gt;0,IF(SUM(IF('Eval-Avant impact'!$A$761=A14,COUNTA('Eval-Avant impact'!$H$761),0),IF('Eval-Avant impact'!$A$762=A14,COUNTA('Eval-Avant impact'!$H$762),0),IF('Eval-Avant impact'!$A$763=A14,COUNTA('Eval-Avant impact'!$H$763),0),IF('Eval-Avant impact'!$A$764=A14,COUNTA('Eval-Avant impact'!$H$764),0),IF('Eval-Avant impact'!$A$765=A14,COUNTA('Eval-Avant impact'!$H$765),0),IF('Eval-Avant impact'!$A$766=A14,COUNTA('Eval-Avant impact'!$H$766),0),IF('Eval-Avant impact'!$A$767=A14,COUNTA('Eval-Avant impact'!$H$767),0),IF('Eval-Avant impact'!$A$768=A14,COUNTA('Eval-Avant impact'!$H$768),0),IF('Eval-Avant impact'!$A$769=A14,COUNTA('Eval-Avant impact'!$H$769),0),IF('Eval-Avant impact'!$A$770=A14,COUNTA('Eval-Avant impact'!$H$770),0),IF('Eval-Avant impact'!$A$771=A14,COUNTA('Eval-Avant impact'!$H$771),0),IF('Eval-Avant impact'!$A$772=A14,COUNTA('Eval-Avant impact'!$H$772),0),IF('Eval-Avant impact'!$A$773=A14,COUNTA('Eval-Avant impact'!$H$773),0),IF('Eval-Avant impact'!$A$774=A14,COUNTA('Eval-Avant impact'!$H$774),0),IF('Eval-Avant impact'!$A$775=A14,COUNTA('Eval-Avant impact'!$H$775),0),IF('Eval-Avant impact'!$A$776=A14,COUNTA('Eval-Avant impact'!$H$776),0),IF('Eval-Avant impact'!$A$777=A14,COUNTA('Eval-Avant impact'!$H$777),0),IF('Eval-Avant impact'!$A$778=A14,COUNTA('Eval-Avant impact'!$H$778),0),IF('Eval-Avant impact'!$A$779=A14,COUNTA('Eval-Avant impact'!$H$779),0),IF('Eval-Avant impact'!$A$780=A14,COUNTA('Eval-Avant impact'!$H$780),0))&gt;0,"X",0),"")</f>
        <v/>
      </c>
      <c r="F14" s="213" t="str">
        <f>IF(COUNTIF('Eval-Avant impact'!$A$761:$A$780,A14)&gt;0,IF(SUM(IF('Eval-Avant impact'!$A$761=A14,COUNTA('Eval-Avant impact'!$I$761),0),IF('Eval-Avant impact'!$A$762=A14,COUNTA('Eval-Avant impact'!$I$762),0),IF('Eval-Avant impact'!$A$763=A14,COUNTA('Eval-Avant impact'!$I$763),0),IF('Eval-Avant impact'!$A$764=A14,COUNTA('Eval-Avant impact'!$I$764),0),IF('Eval-Avant impact'!$A$765=A14,COUNTA('Eval-Avant impact'!$I$765),0),IF('Eval-Avant impact'!$A$766=A14,COUNTA('Eval-Avant impact'!$I$766),0),IF('Eval-Avant impact'!$A$767=A14,COUNTA('Eval-Avant impact'!$I$767),0),IF('Eval-Avant impact'!$A$768=A14,COUNTA('Eval-Avant impact'!$I$768),0),IF('Eval-Avant impact'!$A$769=A14,COUNTA('Eval-Avant impact'!$I$769),0),IF('Eval-Avant impact'!$A$770=A14,COUNTA('Eval-Avant impact'!$I$770),0),IF('Eval-Avant impact'!$A$771=A14,COUNTA('Eval-Avant impact'!$I$771),0),IF('Eval-Avant impact'!$A$772=A14,COUNTA('Eval-Avant impact'!$I$772),0),IF('Eval-Avant impact'!$A$773=A14,COUNTA('Eval-Avant impact'!$I$773),0),IF('Eval-Avant impact'!$A$774=A14,COUNTA('Eval-Avant impact'!$I$774),0),IF('Eval-Avant impact'!$A$775=A14,COUNTA('Eval-Avant impact'!$I$775),0),IF('Eval-Avant impact'!$A$776=A14,COUNTA('Eval-Avant impact'!$I$776),0),IF('Eval-Avant impact'!$A$777=A14,COUNTA('Eval-Avant impact'!$I$777),0),IF('Eval-Avant impact'!$A$778=A14,COUNTA('Eval-Avant impact'!$I$778),0),IF('Eval-Avant impact'!$A$779=A14,COUNTA('Eval-Avant impact'!$I$779),0),IF('Eval-Avant impact'!$A$780=A14,COUNTA('Eval-Avant impact'!$I$780),0))&gt;0,"X",0),"")</f>
        <v/>
      </c>
      <c r="G14" s="213" t="str">
        <f>IF(COUNTIF('Eval-Avant impact'!$A$761:$A$780,A14)&gt;0,IF(SUM(IF('Eval-Avant impact'!$A$761=A14,COUNTA('Eval-Avant impact'!$J$761),0),IF('Eval-Avant impact'!$A$762=A14,COUNTA('Eval-Avant impact'!$J$762),0),IF('Eval-Avant impact'!$A$763=A14,COUNTA('Eval-Avant impact'!$J$763),0),IF('Eval-Avant impact'!$A$764=A14,COUNTA('Eval-Avant impact'!$J$764),0),IF('Eval-Avant impact'!$A$765=A14,COUNTA('Eval-Avant impact'!$J$765),0),IF('Eval-Avant impact'!$A$766=A14,COUNTA('Eval-Avant impact'!$J$766),0),IF('Eval-Avant impact'!$A$767=A14,COUNTA('Eval-Avant impact'!$J$767),0),IF('Eval-Avant impact'!$A$768=A14,COUNTA('Eval-Avant impact'!$J$768),0),IF('Eval-Avant impact'!$A$769=A14,COUNTA('Eval-Avant impact'!$J$769),0),IF('Eval-Avant impact'!$A$770=A14,COUNTA('Eval-Avant impact'!$J$770),0),IF('Eval-Avant impact'!$A$771=A14,COUNTA('Eval-Avant impact'!$J$771),0),IF('Eval-Avant impact'!$A$772=A14,COUNTA('Eval-Avant impact'!$J$772),0),IF('Eval-Avant impact'!$A$773=A14,COUNTA('Eval-Avant impact'!$J$773),0),IF('Eval-Avant impact'!$A$774=A14,COUNTA('Eval-Avant impact'!$J$774),0),IF('Eval-Avant impact'!$A$775=A14,COUNTA('Eval-Avant impact'!$J$775),0),IF('Eval-Avant impact'!$A$776=A14,COUNTA('Eval-Avant impact'!$J$776),0),IF('Eval-Avant impact'!$A$777=A14,COUNTA('Eval-Avant impact'!$J$777),0),IF('Eval-Avant impact'!$A$778=A14,COUNTA('Eval-Avant impact'!$J$778),0),IF('Eval-Avant impact'!$A$779=A14,COUNTA('Eval-Avant impact'!$J$779),0),IF('Eval-Avant impact'!$A$780=A14,COUNTA('Eval-Avant impact'!$J$780),0))&gt;0,"X",0),"")</f>
        <v/>
      </c>
      <c r="H14" s="213" t="str">
        <f>IF(COUNTIF('Eval-Avant impact'!$A$761:$A$780,A14)&gt;0,IF(SUM(IF('Eval-Avant impact'!$A$761=A14,COUNTA('Eval-Avant impact'!$K$761),0),IF('Eval-Avant impact'!$A$762=A14,COUNTA('Eval-Avant impact'!$K$762),0),IF('Eval-Avant impact'!$A$763=A14,COUNTA('Eval-Avant impact'!$K$763),0),IF('Eval-Avant impact'!$A$764=A14,COUNTA('Eval-Avant impact'!$K$764),0),IF('Eval-Avant impact'!$A$765=A14,COUNTA('Eval-Avant impact'!$K$765),0),IF('Eval-Avant impact'!$A$766=A14,COUNTA('Eval-Avant impact'!$K$766),0),IF('Eval-Avant impact'!$A$767=A14,COUNTA('Eval-Avant impact'!$K$767),0),IF('Eval-Avant impact'!$A$768=A14,COUNTA('Eval-Avant impact'!$K$768),0),IF('Eval-Avant impact'!$A$769=A14,COUNTA('Eval-Avant impact'!$K$769),0),IF('Eval-Avant impact'!$A$770=A14,COUNTA('Eval-Avant impact'!$K$770),0),IF('Eval-Avant impact'!$A$771=A14,COUNTA('Eval-Avant impact'!$K$771),0),IF('Eval-Avant impact'!$A$772=A14,COUNTA('Eval-Avant impact'!$K$772),0),IF('Eval-Avant impact'!$A$773=A14,COUNTA('Eval-Avant impact'!$K$773),0),IF('Eval-Avant impact'!$A$774=A14,COUNTA('Eval-Avant impact'!$K$774),0),IF('Eval-Avant impact'!$A$775=A14,COUNTA('Eval-Avant impact'!$K$775),0),IF('Eval-Avant impact'!$A$776=A14,COUNTA('Eval-Avant impact'!$K$776),0),IF('Eval-Avant impact'!$A$777=A14,COUNTA('Eval-Avant impact'!$K$777),0),IF('Eval-Avant impact'!$A$778=A14,COUNTA('Eval-Avant impact'!$K$778),0),IF('Eval-Avant impact'!$A$779=A14,COUNTA('Eval-Avant impact'!$K$779),0),IF('Eval-Avant impact'!$A$780=A14,COUNTA('Eval-Avant impact'!$K$780),0))&gt;0,"X",0),"")</f>
        <v/>
      </c>
      <c r="I14" s="211" t="str">
        <f>IF(COUNTIF('Eval-Avant impact'!$A$761:$A$780,A14)&gt;0,IF(OR(AND('Eval-Avant impact'!$A$761=A14,'Eval-Avant impact'!$L$761&lt;120,'Eval-Avant impact'!$L$761&gt;=X9),AND('Eval-Avant impact'!$A$762=A14,'Eval-Avant impact'!$L$762&lt;120,'Eval-Avant impact'!$L$762&gt;=X10),AND('Eval-Avant impact'!$A$763=A14,'Eval-Avant impact'!$L$763&lt;120,'Eval-Avant impact'!$L$763&gt;=X11),AND('Eval-Avant impact'!$A$764=A14,'Eval-Avant impact'!$L$764&lt;120,'Eval-Avant impact'!$L$764&gt;=X12),AND('Eval-Avant impact'!$A$765=A14,'Eval-Avant impact'!$L$765&lt;120,'Eval-Avant impact'!$L$765&gt;=X13),AND('Eval-Avant impact'!$A$766=A14,'Eval-Avant impact'!$L$766&lt;120,'Eval-Avant impact'!$L$766&gt;=X14),AND('Eval-Avant impact'!$A$767=A14,'Eval-Avant impact'!$L$767&lt;120,'Eval-Avant impact'!$L$767&gt;=X15),AND('Eval-Avant impact'!$A$768=A14,'Eval-Avant impact'!$L$768&lt;120,'Eval-Avant impact'!$L$768&gt;=X16),AND('Eval-Avant impact'!$A$769=A14,'Eval-Avant impact'!$L$769&lt;120,'Eval-Avant impact'!$L$769&gt;=X17),AND('Eval-Avant impact'!$A$770=A14,'Eval-Avant impact'!$L$770&lt;120,'Eval-Avant impact'!$L$770&gt;=X18),AND('Eval-Avant impact'!$A$771=A14,'Eval-Avant impact'!$L$771&lt;120,'Eval-Avant impact'!$L$771&gt;=X19),AND('Eval-Avant impact'!$A$772=A14,'Eval-Avant impact'!$L$772&lt;120,'Eval-Avant impact'!$L$772&gt;=X20),AND('Eval-Avant impact'!$A$773=A14,'Eval-Avant impact'!$L$773&lt;120,'Eval-Avant impact'!$L$773&gt;=X21),AND('Eval-Avant impact'!$A$774=A14,'Eval-Avant impact'!$L$774&lt;120,'Eval-Avant impact'!$L$774&gt;=X22),AND('Eval-Avant impact'!$A$775=A14,'Eval-Avant impact'!$L$775&lt;120,'Eval-Avant impact'!$L$775&gt;=X23),AND('Eval-Avant impact'!$A$776=A14,'Eval-Avant impact'!$L$776&lt;120,'Eval-Avant impact'!$L$776&gt;=X24),AND('Eval-Avant impact'!$A$777=A14,'Eval-Avant impact'!$L$777&lt;120,'Eval-Avant impact'!$L$777&gt;=X25),AND('Eval-Avant impact'!$A$778=A14,'Eval-Avant impact'!$L$778&lt;120,'Eval-Avant impact'!$L$778&gt;=X26),AND('Eval-Avant impact'!$A$779=A14,'Eval-Avant impact'!$L$779&lt;120,'Eval-Avant impact'!$L$779&gt;=X27),AND('Eval-Avant impact'!$A$780=A14,'Eval-Avant impact'!$L$780&lt;120,'Eval-Avant impact'!$L$780&gt;=X28)),"",SUM(IF('Eval-Avant impact'!$A$761=A14,'Eval-Avant impact'!$L$761,0),IF('Eval-Avant impact'!$A$762=A14,'Eval-Avant impact'!$L$762,0),IF('Eval-Avant impact'!$A$763=A14,'Eval-Avant impact'!$L$763,0),IF('Eval-Avant impact'!$A$764=A14,'Eval-Avant impact'!$L$764,0),IF('Eval-Avant impact'!$A$765=A14,'Eval-Avant impact'!$L$765,0),IF('Eval-Avant impact'!$A$766=A14,'Eval-Avant impact'!$L$766,0),IF('Eval-Avant impact'!$A$767=A14,'Eval-Avant impact'!$L$767,0),IF('Eval-Avant impact'!$A$768=A14,'Eval-Avant impact'!$L$768,0),IF('Eval-Avant impact'!$A$769=A14,'Eval-Avant impact'!$L$769,0),IF('Eval-Avant impact'!$A$770=A14,'Eval-Avant impact'!$L$770,0),IF('Eval-Avant impact'!$A$771=A14,'Eval-Avant impact'!$L$771,0),IF('Eval-Avant impact'!$A$772=A14,'Eval-Avant impact'!$L$772,0),IF('Eval-Avant impact'!$A$773=A14,'Eval-Avant impact'!$L$773,0),IF('Eval-Avant impact'!$A$774=A14,'Eval-Avant impact'!$L$774,0),IF('Eval-Avant impact'!$A$775=A14,'Eval-Avant impact'!$L$775,0),IF('Eval-Avant impact'!$A$776=A14,'Eval-Avant impact'!$L$776,0),IF('Eval-Avant impact'!$A$777=A14,'Eval-Avant impact'!$L$777,0),IF('Eval-Avant impact'!$A$778=A14,'Eval-Avant impact'!$L$778,0),IF('Eval-Avant impact'!$A$779=A14,'Eval-Avant impact'!$L$779,0),IF('Eval-Avant impact'!$A$780=A14,'Eval-Avant impact'!$L$780,0))/ COUNTIF('Eval-Avant impact'!$A$761:$A$780,A14)),"")</f>
        <v/>
      </c>
      <c r="J14" s="211" t="str">
        <f>IF(COUNTIF('Eval-Avant impact'!$A$761:$A$780,A14)&gt;0,IF(OR(AND('Eval-Avant impact'!$A$761=A14, X9&lt;120),AND(X10&lt;120),AND(X11&lt;120),AND(X12&lt;120),AND(X13&lt;120),AND(X14&lt;120),AND(X15&lt;120),AND(X16&lt;120),AND(X17&lt;120),AND(X18&lt;120),AND(X19&lt;120),AND(X20&lt;120),AND(X21&lt;120),AND(X22&lt;120),AND(X23&lt;120),AND(X24&lt;120),AND(X25&lt;120),AND(X26&lt;120),AND(X27&lt;120),AND(X28&lt;120)),"",SUM(IF('Eval-Avant impact'!$A$761=A14,'Eval-Avant impact'!$M$761,0),IF('Eval-Avant impact'!$A$762=A14,'Eval-Avant impact'!$M$762,0),IF('Eval-Avant impact'!$A$763=A14,'Eval-Avant impact'!$M$763,0),IF('Eval-Avant impact'!$A$764=A14,'Eval-Avant impact'!$M$764,0),IF('Eval-Avant impact'!$A$765=A14,'Eval-Avant impact'!$M$765,0),IF('Eval-Avant impact'!$A$766=A14,'Eval-Avant impact'!$M$766,0),IF('Eval-Avant impact'!$A$767=A14,'Eval-Avant impact'!$M$767,0),IF('Eval-Avant impact'!$A$768=A14,'Eval-Avant impact'!$M$768,0),IF('Eval-Avant impact'!$A$769=A14,'Eval-Avant impact'!$M$769,0),IF('Eval-Avant impact'!$A$770=A14,'Eval-Avant impact'!$M$770,0),IF('Eval-Avant impact'!$A$771=A14,'Eval-Avant impact'!$M$771,0),IF('Eval-Avant impact'!$A$772=A14,'Eval-Avant impact'!$M$772,0),IF('Eval-Avant impact'!$A$773=A14,'Eval-Avant impact'!$M$773,0),IF('Eval-Avant impact'!$A$774=A14,'Eval-Avant impact'!$M$774,0),IF('Eval-Avant impact'!$A$775=A14,'Eval-Avant impact'!$M$775,0), IF('Eval-Avant impact'!$A$776=A14,'Eval-Avant impact'!$M$776,0), IF('Eval-Avant impact'!$A$777=A14,'Eval-Avant impact'!$M$777,0), IF('Eval-Avant impact'!$A$778=A14,'Eval-Avant impact'!$M$778,0), IF('Eval-Avant impact'!$A$779=A14,'Eval-Avant impact'!$M$779,0), IF('Eval-Avant impact'!$A$780=A14,'Eval-Avant impact'!$M$780,0))/COUNTIF('Eval-Avant impact'!$A$761:$A$780,A14)),"")</f>
        <v/>
      </c>
      <c r="K14" s="211" t="str">
        <f>IF(COUNTIF('Eval-Avant impact'!$A$761:$A$780,A14)&gt;0,SUM(IF('Eval-Avant impact'!$A$761=A14,LEN(SUBSTITUTE((SUBSTITUTE(Z9,"TM","")),"TS",""))*10/2,0),IF('Eval-Avant impact'!$A$762=A14,LEN(SUBSTITUTE((SUBSTITUTE(Z10,"TM","")),"TS",""))*10/2,0),IF('Eval-Avant impact'!$A$763=A14,LEN(SUBSTITUTE((SUBSTITUTE(Z11,"TM","")),"TS",""))*10/2,0),IF('Eval-Avant impact'!$A$764=A14,LEN(SUBSTITUTE((SUBSTITUTE(Z12,"TM","")),"TS",""))*10/2,0),IF('Eval-Avant impact'!$A$765=A14,LEN(SUBSTITUTE((SUBSTITUTE(Z13,"TM","")),"TS",""))*10/2,0),IF('Eval-Avant impact'!$A$766=A14,LEN(SUBSTITUTE((SUBSTITUTE(Z14,"TM","")),"TS",""))*10/2,0),IF('Eval-Avant impact'!$A$767=A14,LEN(SUBSTITUTE((SUBSTITUTE(Z15,"TM","")),"TS",""))*10/2,0),IF('Eval-Avant impact'!$A$768=A14,LEN(SUBSTITUTE((SUBSTITUTE(Z16,"TM","")),"TS",""))*10/2,0),IF('Eval-Avant impact'!$A$769=A14,LEN(SUBSTITUTE((SUBSTITUTE(Z17,"TM","")),"TS",""))*10/2,0),IF('Eval-Avant impact'!$A$770=A14,LEN(SUBSTITUTE((SUBSTITUTE(Z18,"TM","")),"TS",""))*10/2,0),IF('Eval-Avant impact'!$A$771=A14,LEN(SUBSTITUTE((SUBSTITUTE(Z19,"TM","")),"TS",""))*10/2,0),IF('Eval-Avant impact'!$A$772=A14,LEN(SUBSTITUTE((SUBSTITUTE(Z20,"TM","")),"TS",""))*10/2,0),IF('Eval-Avant impact'!$A$773=A14,LEN(SUBSTITUTE((SUBSTITUTE(Z21,"TM","")),"TS",""))*10/2,0),IF('Eval-Avant impact'!$A$774=A14,LEN(SUBSTITUTE((SUBSTITUTE(Z22,"TM","")),"TS",""))*10/2,0),IF('Eval-Avant impact'!$A$775=A14,LEN(SUBSTITUTE((SUBSTITUTE(Z23,"TM","")),"TS",""))*10/2,0),IF('Eval-Avant impact'!$A$776=A14,LEN(SUBSTITUTE((SUBSTITUTE(Z24,"TM","")),"TS",""))*10/2,0),IF('Eval-Avant impact'!$A$777=A14,LEN(SUBSTITUTE((SUBSTITUTE(Z25,"TM","")),"TS",""))*10/2,0),IF('Eval-Avant impact'!$A$778=A14,LEN(SUBSTITUTE((SUBSTITUTE(Z26,"TM","")),"TS",""))*10/2,0),IF('Eval-Avant impact'!$A$779=A14,LEN(SUBSTITUTE((SUBSTITUTE(Z27,"TM","")),"TS",""))*10/2,0),IF('Eval-Avant impact'!$A$780=A14,LEN(SUBSTITUTE((SUBSTITUTE(Z28,"TM","")),"TS",""))*10/2,0))/COUNTIF('Eval-Avant impact'!$A$761:$A$780,A14),"")</f>
        <v/>
      </c>
      <c r="L14" s="211" t="str">
        <f>IF(COUNTIF('Eval-Avant impact'!$A$761:$A$780,A14)&gt;0,SUM(IF('Eval-Avant impact'!$A$761=A14,LEN(SUBSTITUTE((SUBSTITUTE(Z9,"TF","")),"TS",""))*10/2,0),IF('Eval-Avant impact'!$A$762=A14,LEN(SUBSTITUTE((SUBSTITUTE(Z10,"TF","")),"TS",""))*10/2,0),IF('Eval-Avant impact'!$A$763=A14,LEN(SUBSTITUTE((SUBSTITUTE(Z11,"TF","")),"TS",""))*10/2,0),IF('Eval-Avant impact'!$A$764=A14,LEN(SUBSTITUTE((SUBSTITUTE(Z12,"TF","")),"TS",""))*10/2,0),IF('Eval-Avant impact'!$A$765=A14,LEN(SUBSTITUTE((SUBSTITUTE(Z13,"TF","")),"TS",""))*10/2,0),IF('Eval-Avant impact'!$A$766=A14,LEN(SUBSTITUTE((SUBSTITUTE(Z14,"TF","")),"TS",""))*10/2,0),IF('Eval-Avant impact'!$A$767=A14,LEN(SUBSTITUTE((SUBSTITUTE(Z15,"TF","")),"TS",""))*10/2,0),IF('Eval-Avant impact'!$A$768=A14,LEN(SUBSTITUTE((SUBSTITUTE(Z16,"TF","")),"TS",""))*10/2,0),IF('Eval-Avant impact'!$A$769=A14,LEN(SUBSTITUTE((SUBSTITUTE(Z17,"TF","")),"TS",""))*10/2,0),IF('Eval-Avant impact'!$A$770=A14,LEN(SUBSTITUTE((SUBSTITUTE(Z18,"TF","")),"TS",""))*10/2,0),IF('Eval-Avant impact'!$A$771=A14,LEN(SUBSTITUTE((SUBSTITUTE(Z19,"TF","")),"TS",""))*10/2,0),IF('Eval-Avant impact'!$A$772=A14,LEN(SUBSTITUTE((SUBSTITUTE(Z20,"TF","")),"TS",""))*10/2,0),IF('Eval-Avant impact'!$A$773=A14,LEN(SUBSTITUTE((SUBSTITUTE(Z21,"TF","")),"TS",""))*10/2,0),IF('Eval-Avant impact'!$A$774=A14,LEN(SUBSTITUTE((SUBSTITUTE(Z22,"TF","")),"TS",""))*10/2,0),IF('Eval-Avant impact'!$A$775=A14,LEN(SUBSTITUTE((SUBSTITUTE(Z23,"TF","")),"TS",""))*10/2,0),IF('Eval-Avant impact'!$A$776=A14,LEN(SUBSTITUTE((SUBSTITUTE(Z24,"TF","")),"TS",""))*10/2,0),IF('Eval-Avant impact'!$A$777=A14,LEN(SUBSTITUTE((SUBSTITUTE(Z25,"TF","")),"TS",""))*10/2,0),IF('Eval-Avant impact'!$A$778=A14,LEN(SUBSTITUTE((SUBSTITUTE(Z26,"TF","")),"TS",""))*10/2,0),IF('Eval-Avant impact'!$A$779=A14,LEN(SUBSTITUTE((SUBSTITUTE(Z27,"TF","")),"TS",""))*10/2,0),IF('Eval-Avant impact'!$A$780=A14,LEN(SUBSTITUTE((SUBSTITUTE(Z28,"TF","")),"TS",""))*10/2,0))/COUNTIF('Eval-Avant impact'!$A$761:$A$780,A14),"")</f>
        <v/>
      </c>
      <c r="M14" s="211" t="str">
        <f>IF(COUNTIF('Eval-Avant impact'!$A$761:$A$780,A14)&gt;0,SUM(IF('Eval-Avant impact'!$A$761=A14,LEN(SUBSTITUTE((SUBSTITUTE(Z9,"TF","")),"TM",""))*10/2,0),IF('Eval-Avant impact'!$A$762=A14,LEN(SUBSTITUTE((SUBSTITUTE(Z10,"TF","")),"TM",""))*10/2,0),IF('Eval-Avant impact'!$A$763=A14,LEN(SUBSTITUTE((SUBSTITUTE(Z11,"TF","")),"TM",""))*10/2,0),IF('Eval-Avant impact'!$A$764=A14,LEN(SUBSTITUTE((SUBSTITUTE(Z12,"TF","")),"TM",""))*10/2,0),IF('Eval-Avant impact'!$A$765=A14,LEN(SUBSTITUTE((SUBSTITUTE(Z13,"TF","")),"TM",""))*10/2,0),IF('Eval-Avant impact'!$A$766=A14,LEN(SUBSTITUTE((SUBSTITUTE(Z14,"TF","")),"TM",""))*10/2,0),IF('Eval-Avant impact'!$A$767=A14,LEN(SUBSTITUTE((SUBSTITUTE(Z15,"TF","")),"TM",""))*10/2,0),IF('Eval-Avant impact'!$A$768=A14,LEN(SUBSTITUTE((SUBSTITUTE(Z16,"TF","")),"TM",""))*10/2,0),IF('Eval-Avant impact'!$A$769=A14,LEN(SUBSTITUTE((SUBSTITUTE(Z17,"TF","")),"TM",""))*10/2,0),IF('Eval-Avant impact'!$A$770=A14,LEN(SUBSTITUTE((SUBSTITUTE(Z18,"TF","")),"TM",""))*10/2,0),IF('Eval-Avant impact'!$A$771=A14,LEN(SUBSTITUTE((SUBSTITUTE(Z19,"TF","")),"TM",""))*10/2,0),IF('Eval-Avant impact'!$A$772=A14,LEN(SUBSTITUTE((SUBSTITUTE(Z20,"TF","")),"TM",""))*10/2,0),IF('Eval-Avant impact'!$A$773=A14,LEN(SUBSTITUTE((SUBSTITUTE(Z21,"TF","")),"TM",""))*10/2,0),IF('Eval-Avant impact'!$A$774=A14,LEN(SUBSTITUTE((SUBSTITUTE(Z22,"TF","")),"TM",""))*10/2,0),IF('Eval-Avant impact'!$A$775=A14,LEN(SUBSTITUTE((SUBSTITUTE(Z23,"TF","")),"TM",""))*10/2,0),IF('Eval-Avant impact'!$A$776=A14,LEN(SUBSTITUTE((SUBSTITUTE(Z24,"TF","")),"TM",""))*10/2,0),IF('Eval-Avant impact'!$A$777=A14,LEN(SUBSTITUTE((SUBSTITUTE(Z25,"TF","")),"TM",""))*10/2,0),IF('Eval-Avant impact'!$A$778=A14,LEN(SUBSTITUTE((SUBSTITUTE(Z26,"TF","")),"TM",""))*10/2,0),IF('Eval-Avant impact'!$A$779=A14,LEN(SUBSTITUTE((SUBSTITUTE(Z27,"TF","")),"TM",""))*10/2,0),IF('Eval-Avant impact'!$A$780=A14,LEN(SUBSTITUTE((SUBSTITUTE(Z28,"TF","")),"TM",""))*10/2,0))/COUNTIF('Eval-Avant impact'!$A$761:$A$780,A14),"")</f>
        <v/>
      </c>
      <c r="N14" s="211" t="str">
        <f>IF(COUNTIF('Eval-Avant impact'!$A$761:$A$780,A14)&gt;0,SUM(IF('Eval-Avant impact'!$A$761=A14,LEN(SUBSTITUTE((SUBSTITUTE(AA9,"TM","")),"TS",""))*10/2,0),IF('Eval-Avant impact'!$A$762=A14,LEN(SUBSTITUTE((SUBSTITUTE(AA10,"TM","")),"TS",""))*10/2,0),IF('Eval-Avant impact'!$A$763=A14,LEN(SUBSTITUTE((SUBSTITUTE(AA11,"TM","")),"TS",""))*10/2,0),IF('Eval-Avant impact'!$A$764=A14,LEN(SUBSTITUTE((SUBSTITUTE(AA12,"TM","")),"TS",""))*10/2,0),IF('Eval-Avant impact'!$A$765=A14,LEN(SUBSTITUTE((SUBSTITUTE(AA13,"TM","")),"TS",""))*10/2,0),IF('Eval-Avant impact'!$A$766=A14,LEN(SUBSTITUTE((SUBSTITUTE(AA14,"TM","")),"TS",""))*10/2,0),IF('Eval-Avant impact'!$A$767=A14,LEN(SUBSTITUTE((SUBSTITUTE(AA15,"TM","")),"TS",""))*10/2,0),IF('Eval-Avant impact'!$A$768=A14,LEN(SUBSTITUTE((SUBSTITUTE(AA16,"TM","")),"TS",""))*10/2,0),IF('Eval-Avant impact'!$A$769=A14,LEN(SUBSTITUTE((SUBSTITUTE(AA17,"TM","")),"TS",""))*10/2,0),IF('Eval-Avant impact'!$A$770=A14,LEN(SUBSTITUTE((SUBSTITUTE(AA18,"TM","")),"TS",""))*10/2,0),IF('Eval-Avant impact'!$A$771=A14,LEN(SUBSTITUTE((SUBSTITUTE(AA19,"TM","")),"TS",""))*10/2,0),IF('Eval-Avant impact'!$A$772=A14,LEN(SUBSTITUTE((SUBSTITUTE(AA20,"TM","")),"TS",""))*10/2,0),IF('Eval-Avant impact'!$A$773=A14,LEN(SUBSTITUTE((SUBSTITUTE(AA21,"TM","")),"TS",""))*10/2,0),IF('Eval-Avant impact'!$A$774=A14,LEN(SUBSTITUTE((SUBSTITUTE(AA22,"TM","")),"TS",""))*10/2,0),IF('Eval-Avant impact'!$A$775=A14,LEN(SUBSTITUTE((SUBSTITUTE(AA23,"TM","")),"TS",""))*10/2,0),IF('Eval-Avant impact'!$A$776=A14,LEN(SUBSTITUTE((SUBSTITUTE(AA24,"TM","")),"TS",""))*10/2,0),IF('Eval-Avant impact'!$A$777=A14,LEN(SUBSTITUTE((SUBSTITUTE(AA25,"TM","")),"TS",""))*10/2,0),IF('Eval-Avant impact'!$A$778=A14,LEN(SUBSTITUTE((SUBSTITUTE(AA26,"TM","")),"TS",""))*10/2,0),IF('Eval-Avant impact'!$A$779=A14,LEN(SUBSTITUTE((SUBSTITUTE(AA27,"TM","")),"TS",""))*10/2,0),IF('Eval-Avant impact'!$A$780=A14,LEN(SUBSTITUTE((SUBSTITUTE(AA28,"TM","")),"TS",""))*10/2,0))/COUNTIF('Eval-Avant impact'!$A$761:$A$780,A14),"")</f>
        <v/>
      </c>
      <c r="O14" s="211" t="str">
        <f>IF(COUNTIF('Eval-Avant impact'!$A$761:$A$780,A14)&gt;0,SUM(IF('Eval-Avant impact'!$A$761=A14,LEN(SUBSTITUTE((SUBSTITUTE(AA9,"TF","")),"TS",""))*10/2,0),IF('Eval-Avant impact'!$A$762=A14,LEN(SUBSTITUTE((SUBSTITUTE(AA10,"TF","")),"TS",""))*10/2,0),IF('Eval-Avant impact'!$A$763=A14,LEN(SUBSTITUTE((SUBSTITUTE(AA11,"TF","")),"TS",""))*10/2,0),IF('Eval-Avant impact'!$A$764=A14,LEN(SUBSTITUTE((SUBSTITUTE(AA12,"TF","")),"TS",""))*10/2,0),IF('Eval-Avant impact'!$A$765=A14,LEN(SUBSTITUTE((SUBSTITUTE(AA13,"TF","")),"TS",""))*10/2,0),IF('Eval-Avant impact'!$A$766=A14,LEN(SUBSTITUTE((SUBSTITUTE(AA14,"TF","")),"TS",""))*10/2,0),IF('Eval-Avant impact'!$A$767=A14,LEN(SUBSTITUTE((SUBSTITUTE(AA15,"TF","")),"TS",""))*10/2,0),IF('Eval-Avant impact'!$A$768=A14,LEN(SUBSTITUTE((SUBSTITUTE(AA16,"TF","")),"TS",""))*10/2,0),IF('Eval-Avant impact'!$A$769=A14,LEN(SUBSTITUTE((SUBSTITUTE(AA17,"TF","")),"TS",""))*10/2,0),IF('Eval-Avant impact'!$A$770=A14,LEN(SUBSTITUTE((SUBSTITUTE(AA18,"TF","")),"TS",""))*10/2,0),IF('Eval-Avant impact'!$A$771=A14,LEN(SUBSTITUTE((SUBSTITUTE(AA19,"TF","")),"TS",""))*10/2,0),IF('Eval-Avant impact'!$A$772=A14,LEN(SUBSTITUTE((SUBSTITUTE(AA20,"TF","")),"TS",""))*10/2,0),IF('Eval-Avant impact'!$A$773=A14,LEN(SUBSTITUTE((SUBSTITUTE(AA21,"TF","")),"TS",""))*10/2,0),IF('Eval-Avant impact'!$A$774=A14,LEN(SUBSTITUTE((SUBSTITUTE(AA22,"TF","")),"TS",""))*10/2,0),IF('Eval-Avant impact'!$A$775=A14,LEN(SUBSTITUTE((SUBSTITUTE(AA23,"TF","")),"TS",""))*10/2,0),IF('Eval-Avant impact'!$A$776=A14,LEN(SUBSTITUTE((SUBSTITUTE(AA24,"TF","")),"TS",""))*10/2,0),IF('Eval-Avant impact'!$A$777=A14,LEN(SUBSTITUTE((SUBSTITUTE(AA25,"TF","")),"TS",""))*10/2,0),IF('Eval-Avant impact'!$A$778=A14,LEN(SUBSTITUTE((SUBSTITUTE(AA26,"TF","")),"TS",""))*10/2,0),IF('Eval-Avant impact'!$A$779=A14,LEN(SUBSTITUTE((SUBSTITUTE(AA27,"TF","")),"TS",""))*10/2,0),IF('Eval-Avant impact'!$A$780=A14,LEN(SUBSTITUTE((SUBSTITUTE(AA28,"TF","")),"TS",""))*10/2,0))/COUNTIF('Eval-Avant impact'!$A$761:$A$780,A14),"")</f>
        <v/>
      </c>
      <c r="P14" s="211" t="str">
        <f>IF(COUNTIF('Eval-Avant impact'!$A$761:$A$780,A14)&gt;0,SUM(IF('Eval-Avant impact'!$A$761=A14,LEN(SUBSTITUTE((SUBSTITUTE(AA9,"TF","")),"TM",""))*10/2,0),IF('Eval-Avant impact'!$A$762=A14,LEN(SUBSTITUTE((SUBSTITUTE(AA10,"TF","")),"TM",""))*10/2,0),IF('Eval-Avant impact'!$A$763=A14,LEN(SUBSTITUTE((SUBSTITUTE(AA11,"TF","")),"TM",""))*10/2,0),IF('Eval-Avant impact'!$A$764=A14,LEN(SUBSTITUTE((SUBSTITUTE(AA12,"TF","")),"TM",""))*10/2,0),IF('Eval-Avant impact'!$A$765=A14,LEN(SUBSTITUTE((SUBSTITUTE(AA13,"TF","")),"TM",""))*10/2,0),IF('Eval-Avant impact'!$A$766=A14,LEN(SUBSTITUTE((SUBSTITUTE(AA14,"TF","")),"TM",""))*10/2,0),IF('Eval-Avant impact'!$A$767=A14,LEN(SUBSTITUTE((SUBSTITUTE(AA15,"TF","")),"TM",""))*10/2,0),IF('Eval-Avant impact'!$A$768=A14,LEN(SUBSTITUTE((SUBSTITUTE(AA16,"TF","")),"TM",""))*10/2,0),IF('Eval-Avant impact'!$A$769=A14,LEN(SUBSTITUTE((SUBSTITUTE(AA17,"TF","")),"TM",""))*10/2,0),IF('Eval-Avant impact'!$A$770=A14,LEN(SUBSTITUTE((SUBSTITUTE(AA18,"TF","")),"TM",""))*10/2,0),IF('Eval-Avant impact'!$A$771=A14,LEN(SUBSTITUTE((SUBSTITUTE(AA19,"TF","")),"TM",""))*10/2,0),IF('Eval-Avant impact'!$A$772=A14,LEN(SUBSTITUTE((SUBSTITUTE(AA20,"TF","")),"TM",""))*10/2,0),IF('Eval-Avant impact'!$A$773=A14,LEN(SUBSTITUTE((SUBSTITUTE(AA21,"TF","")),"TM",""))*10/2,0),IF('Eval-Avant impact'!$A$774=A14,LEN(SUBSTITUTE((SUBSTITUTE(AA22,"TF","")),"TM",""))*10/2,0),IF('Eval-Avant impact'!$A$775=A14,LEN(SUBSTITUTE((SUBSTITUTE(AA23,"TF","")),"TM",""))*10/2,0),IF('Eval-Avant impact'!$A$776=A14,LEN(SUBSTITUTE((SUBSTITUTE(AA24,"TF","")),"TM",""))*10/2,0),IF('Eval-Avant impact'!$A$777=A14,LEN(SUBSTITUTE((SUBSTITUTE(AA25,"TF","")),"TM",""))*10/2,0),IF('Eval-Avant impact'!$A$778=A14,LEN(SUBSTITUTE((SUBSTITUTE(AA26,"TF","")),"TM",""))*10/2,0),IF('Eval-Avant impact'!$A$779=A14,LEN(SUBSTITUTE((SUBSTITUTE(AA27,"TF","")),"TM",""))*10/2,0),IF('Eval-Avant impact'!$A$780=A14,LEN(SUBSTITUTE((SUBSTITUTE(AA28,"TF","")),"TM",""))*10/2,0))/COUNTIF('Eval-Avant impact'!$A$761:$A$780,A14),"")</f>
        <v/>
      </c>
      <c r="Q14" s="211" t="str">
        <f>IF(COUNTIF('Eval-Avant impact'!$A$761:$A$780,A14)&gt;0,IF(OR(AND('Eval-Avant impact'!$A$761=A14,X9&lt;30),AND('Eval-Avant impact'!$A$762=A14,X10&lt;30),AND('Eval-Avant impact'!$A$763=A14,X11&lt;30),AND('Eval-Avant impact'!$A$764=A14,X12&lt;30),AND('Eval-Avant impact'!$A$765=A14,X13&lt;30),AND('Eval-Avant impact'!$A$766=A14,X14&lt;30),AND('Eval-Avant impact'!$A$767=A14,X15&lt;30),AND('Eval-Avant impact'!$A$768=A14,X16&lt;30),AND('Eval-Avant impact'!$A$769=A14,X17&lt;30),AND('Eval-Avant impact'!$A$770=A14,X18&lt;30),AND('Eval-Avant impact'!$A$771=A14,X19&lt;30),AND('Eval-Avant impact'!$A$772=A14,X20&lt;30),AND('Eval-Avant impact'!$A$773=A14,X21&lt;30),AND('Eval-Avant impact'!$A$774=A14,X22&lt;30),AND('Eval-Avant impact'!$A$775=A14,X23&lt;30),AND('Eval-Avant impact'!$A$776=A14,X24&lt;30),AND('Eval-Avant impact'!$A$777=A14,X25&lt;30),AND('Eval-Avant impact'!$A$778=A14,X26&lt;30),AND('Eval-Avant impact'!$A$779=A14,X27&lt;30),AND('Eval-Avant impact'!$A$780=A14,X28&lt;30)),"",SUM(0.1*(SUMPRODUCT(('Eval-Avant impact'!$A$761:$A$780=A14)*('Eval-Avant impact'!$N$761:$P$780="A"))+ SUMPRODUCT(('Eval-Avant impact'!$A$761:$A$780=A14)*('Eval-Avant impact'!$N$761:$P$780="AL"))),0.7*(SUMPRODUCT(('Eval-Avant impact'!$A$761:$A$780=A14)*('Eval-Avant impact'!$N$761:$P$780="TF"))+SUMPRODUCT(('Eval-Avant impact'!$A$761:$A$780=A14)*('Eval-Avant impact'!$N$761:$P$780="TM"))+SUMPRODUCT(('Eval-Avant impact'!$A$761:$A$780=A14)*('Eval-Avant impact'!$N$761:$P$780="TS"))),0.4*(SUMPRODUCT(('Eval-Avant impact'!$A$761:$A$780=A14)*('Eval-Avant impact'!$N$761:$P$780="LA"))+SUMPRODUCT(('Eval-Avant impact'!$A$761:$A$780=A14)*('Eval-Avant impact'!$N$761:$P$780="L"))+SUMPRODUCT(('Eval-Avant impact'!$A$761:$A$780=A14)*('Eval-Avant impact'!$N$761:$P$780="LS"))),1*(SUMPRODUCT(('Eval-Avant impact'!$A$761:$A$780=A14)*('Eval-Avant impact'!$N$761:$P$780="SL"))+ SUMPRODUCT(('Eval-Avant impact'!$A$761:$A$780=A14)*('Eval-Avant impact'!$N$761:$P$780="S"))))/(3*COUNTIF('Eval-Avant impact'!$A$761:$A$780,A14))),"")</f>
        <v/>
      </c>
      <c r="R14" s="211" t="str">
        <f>IF(COUNTIF('Eval-Avant impact'!$A$761:$A$780,A14)&gt;0,IF(OR(AND('Eval-Avant impact'!$A$761=A14,X9&lt;120),AND('Eval-Avant impact'!$A$762=A14,X10&lt;120),AND('Eval-Avant impact'!$A$763=A14,X11&lt;120),AND('Eval-Avant impact'!$A$764=A14,X12&lt;120),AND('Eval-Avant impact'!$A$765=A14,X13&lt;120),AND('Eval-Avant impact'!$A$766=A14,X14&lt;120),AND('Eval-Avant impact'!$A$767=A14,X15&lt;120),AND('Eval-Avant impact'!$A$768=A14,X16&lt;120),AND('Eval-Avant impact'!$A$769=A14,X17&lt;120),AND('Eval-Avant impact'!$A$770=A14,X18&lt;120),AND('Eval-Avant impact'!$A$771=A14,X19&lt;120),AND('Eval-Avant impact'!$A$772=A14,X20&lt;120),AND('Eval-Avant impact'!$A$773=A14,X21&lt;120),AND('Eval-Avant impact'!$A$774=A14,X22&lt;120),AND('Eval-Avant impact'!$A$775=A14,X23&lt;120),AND('Eval-Avant impact'!$A$776=A14,X24&lt;120),AND('Eval-Avant impact'!$A$777=A14,X25&lt;120),AND('Eval-Avant impact'!$A$778=A14,X26&lt;120),AND('Eval-Avant impact'!$A$779=A14,X27&lt;120),AND('Eval-Avant impact'!$A$780=A14,X28&lt;120)),"",SUM(0.1*(SUMPRODUCT(('Eval-Avant impact'!$A$761:$A$780=A14)*('Eval-Avant impact'!$Q$761:$Y$780="A"))+ SUMPRODUCT(('Eval-Avant impact'!$A$761:$A$780=A14)*('Eval-Avant impact'!$Q$761:$Y$780="AL"))),0.7*(SUMPRODUCT(('Eval-Avant impact'!$A$761:$A$780=A14)*('Eval-Avant impact'!$Q$761:$Y$780="TF"))+SUMPRODUCT(('Eval-Avant impact'!$A$761:$A$780=A14)*('Eval-Avant impact'!$Q$761:$Y$780="TM"))+SUMPRODUCT(('Eval-Avant impact'!$A$761:$A$780=A14)*('Eval-Avant impact'!$Q$761:$Y$780="TS"))),0.4*(SUMPRODUCT(('Eval-Avant impact'!$A$761:$A$780=A14)*('Eval-Avant impact'!$Q$761:$Y$780="LA"))+SUMPRODUCT(('Eval-Avant impact'!$A$761:$A$780=A14)*('Eval-Avant impact'!$Q$761:$Y$780="L"))+SUMPRODUCT(('Eval-Avant impact'!$A$761:$A$780=A14)*('Eval-Avant impact'!$Q$761:$Y$780="LS"))),1*(SUMPRODUCT(('Eval-Avant impact'!$A$761:$A$780=A14)*('Eval-Avant impact'!$Q$761:$Y$780="SL"))+ SUMPRODUCT(('Eval-Avant impact'!$A$761:$A$780=A14)*('Eval-Avant impact'!$Q$761:$Y$780="S"))))/(9*COUNTIF('Eval-Avant impact'!$A$761:$A$780,A14))),"")</f>
        <v/>
      </c>
      <c r="S14" s="211" t="str">
        <f>IF(COUNTIF('Eval-Avant impact'!$A$761:$A$780,A14)&gt;0,IF(OR(AND('Eval-Avant impact'!$A$761=A14,OR(COUNTIF('Eval-Avant impact'!$N$761:$P$761,"*T*")&gt;0,X9&lt;30)),AND('Eval-Avant impact'!$A$762=A14,OR(COUNTIF('Eval-Avant impact'!$N$762:$P$762,"*T*")&gt;0,X10&lt;30)),AND('Eval-Avant impact'!$A$763=A14,OR(COUNTIF('Eval-Avant impact'!$N$763:$P$763,"*T*")&gt;0,X11&lt;30)),AND('Eval-Avant impact'!$A$764=A14,OR(COUNTIF('Eval-Avant impact'!$N$764:$P$764,"*T*")&gt;0,X12&lt;30)),AND('Eval-Avant impact'!$A$765=A14,OR(COUNTIF('Eval-Avant impact'!$N$765:$P$765,"*T*")&gt;0,X13&lt;30)),AND('Eval-Avant impact'!$A$766=A14,OR(COUNTIF('Eval-Avant impact'!$N$766:$P$766,"*T*")&gt;0,X14&lt;30)),AND('Eval-Avant impact'!$A$767=A14,OR(COUNTIF('Eval-Avant impact'!$N$767:$P$767,"*T*")&gt;0,X15&lt;30)),AND('Eval-Avant impact'!$A$768=A14,OR(COUNTIF('Eval-Avant impact'!$N$768:$P$768,"*T*")&gt;0,X16&lt;30)),AND('Eval-Avant impact'!$A$769=A14,OR(COUNTIF('Eval-Avant impact'!$N$769:$P$769,"*T*")&gt;0,X17&lt;30)),AND('Eval-Avant impact'!$A$770=A14,OR(COUNTIF('Eval-Avant impact'!$N$770:$P$770,"*T*")&gt;0,X18&lt;30)),AND('Eval-Avant impact'!$A$771=A14,OR(COUNTIF('Eval-Avant impact'!$N$771:$P$771,"*T*")&gt;0,X19&lt;30)),AND('Eval-Avant impact'!$A$772=A14,OR(COUNTIF('Eval-Avant impact'!$N$772:$P$772,"*T*")&gt;0,X20&lt;30)),AND('Eval-Avant impact'!$A$773=A14,OR(COUNTIF('Eval-Avant impact'!$N$773:$P$773,"*T*")&gt;0,X21&lt;30)),AND('Eval-Avant impact'!$A$774=A14,OR(COUNTIF('Eval-Avant impact'!$N$774:$P$774,"*T*")&gt;0,X22&lt;30)),AND('Eval-Avant impact'!$A$775=A14,OR(COUNTIF('Eval-Avant impact'!$N$775:$P$775,"*T*")&gt;0,X23&lt;30)),AND('Eval-Avant impact'!$A$776=A14,OR(COUNTIF('Eval-Avant impact'!$N$776:$P$776,"*T*")&gt;0,X24&lt;30)),AND('Eval-Avant impact'!$A$777=A14,OR(COUNTIF('Eval-Avant impact'!$N$777:$P$777,"*T*")&gt;0,X25&lt;30)),AND('Eval-Avant impact'!$A$778=A14,OR(COUNTIF('Eval-Avant impact'!$N$778:$P$778,"*T*")&gt;0,X26&lt;30)),AND('Eval-Avant impact'!$A$779=A14,OR(COUNTIF('Eval-Avant impact'!$N$779:$P$779,"*T*")&gt;0,X27&lt;30)),AND('Eval-Avant impact'!$A$780=A14,OR(COUNTIF('Eval-Avant impact'!$N$780:$P$780,"*T*")&gt;0,X28&lt;30))),"",SUM(0.1*(SUMPRODUCT(('Eval-Avant impact'!$A$761:$A$780=A14)*('Eval-Avant impact'!$N$761:$P$780="L"))),0.4*(SUMPRODUCT(('Eval-Avant impact'!$A$761:$A$780=A14)*('Eval-Avant impact'!$N$761:$P$780="LA"))+SUMPRODUCT(('Eval-Avant impact'!$A$761:$A$780=A14)*('Eval-Avant impact'!$N$761:$P$780="LS"))),0.7*(SUMPRODUCT(('Eval-Avant impact'!$A$761:$A$780=A14)*('Eval-Avant impact'!$N$761:$P$780="AL"))+SUMPRODUCT(('Eval-Avant impact'!$A$761:$A$780=A14)*('Eval-Avant impact'!$N$761:$P$780="SL"))),1*(SUMPRODUCT(('Eval-Avant impact'!$A$761:$A$780=A14)*('Eval-Avant impact'!$N$761:$P$780="S"))+ SUMPRODUCT(('Eval-Avant impact'!$A$761:$A$780=A14)*('Eval-Avant impact'!$N$761:$P$780="A"))))/(3*COUNTIF('Eval-Avant impact'!$A$761:$A$780,A14))),"")</f>
        <v/>
      </c>
      <c r="T14" s="211" t="str">
        <f>IF(COUNTIF('Eval-Avant impact'!$A$761:$A$780,A14)&gt;0,IF(OR(AND('Eval-Avant impact'!$A$761=A14,OR(COUNTIF('Eval-Avant impact'!$N$761:$P$761,"*T*")&gt;0,X9&lt;30)),AND('Eval-Avant impact'!$A$762=A14,OR(COUNTIF('Eval-Avant impact'!$N$762:$P$762,"*T*")&gt;0,X10&lt;30)),AND('Eval-Avant impact'!$A$763=A14,OR(COUNTIF('Eval-Avant impact'!$N$763:$P$763,"*T*")&gt;0,X11&lt;30)),AND('Eval-Avant impact'!$A$764=A14,OR(COUNTIF('Eval-Avant impact'!$N$764:$P$764,"*T*")&gt;0,X12&lt;30)),AND('Eval-Avant impact'!$A$765=A14,OR(COUNTIF('Eval-Avant impact'!$N$765:$P$765,"*T*")&gt;0,X13&lt;30)),AND('Eval-Avant impact'!$A$766=A14,OR(COUNTIF('Eval-Avant impact'!$N$766:$P$766,"*T*")&gt;0,X14&lt;30)),AND('Eval-Avant impact'!$A$767=A14,OR(COUNTIF('Eval-Avant impact'!$N$767:$P$767,"*T*")&gt;0,X15&lt;30)),AND('Eval-Avant impact'!$A$768=A14,OR(COUNTIF('Eval-Avant impact'!$N$768:$P$768,"*T*")&gt;0,X16&lt;30)),AND('Eval-Avant impact'!$A$769=A14,OR(COUNTIF('Eval-Avant impact'!$N$769:$P$769,"*T*")&gt;0,X17&lt;30)),AND('Eval-Avant impact'!$A$770=A14,OR(COUNTIF('Eval-Avant impact'!$N$770:$P$770,"*T*")&gt;0,X18&lt;30)),AND('Eval-Avant impact'!$A$771=A14,OR(COUNTIF('Eval-Avant impact'!$N$771:$P$771,"*T*")&gt;0,X19&lt;30)),AND('Eval-Avant impact'!$A$772=A14,OR(COUNTIF('Eval-Avant impact'!$N$772:$P$772,"*T*")&gt;0,X20&lt;30)),AND('Eval-Avant impact'!$A$773=A14,OR(COUNTIF('Eval-Avant impact'!$N$773:$P$773,"*T*")&gt;0,X21&lt;30)),AND('Eval-Avant impact'!$A$774=A14,OR(COUNTIF('Eval-Avant impact'!$N$774:$P$774,"*T*")&gt;0,X22&lt;30)),AND('Eval-Avant impact'!$A$775=A14,OR(COUNTIF('Eval-Avant impact'!$N$775:$P$775,"*T*")&gt;0,X23&lt;30)),AND('Eval-Avant impact'!$A$776=A14,OR(COUNTIF('Eval-Avant impact'!$N$776:$P$776,"*T*")&gt;0,X24&lt;30)),AND('Eval-Avant impact'!$A$777=A14,OR(COUNTIF('Eval-Avant impact'!$N$777:$P$777,"*T*")&gt;0,X25&lt;30)),AND('Eval-Avant impact'!$A$778=A14,OR(COUNTIF('Eval-Avant impact'!$N$778:$P$778,"*T*")&gt;0,X26&lt;30)),AND('Eval-Avant impact'!$A$779=A14,OR(COUNTIF('Eval-Avant impact'!$N$779:$P$779,"*T*")&gt;0,X27&lt;30)),AND('Eval-Avant impact'!$A$780=A14,OR(COUNTIF('Eval-Avant impact'!$N$780:$P$780,"*T*")&gt;0,X28&lt;30))),"",SUM(1*(SUMPRODUCT(('Eval-Avant impact'!$A$761:$A$780=A14)*('Eval-Avant impact'!$N$761:$P$780="A"))),0.85*(SUMPRODUCT(('Eval-Avant impact'!$A$761:$A$780=A14)*('Eval-Avant impact'!$N$761:$P$780="AL"))),0.7*(SUMPRODUCT(('Eval-Avant impact'!$A$761:$A$780=A14)*('Eval-Avant impact'!$N$761:$P$780="LA"))),0.55*(SUMPRODUCT(('Eval-Avant impact'!$A$761:$A$780=A14)*('Eval-Avant impact'!$N$761:$P$780="L"))),0.4*(SUMPRODUCT(('Eval-Avant impact'!$A$761:$A$780=A14)*('Eval-Avant impact'!$N$761:$P$780="LS"))),0.25*(SUMPRODUCT(('Eval-Avant impact'!$A$761:$A$780=A14)*('Eval-Avant impact'!$N$761:$P$780="SL"))),0.1*(SUMPRODUCT(('Eval-Avant impact'!$A$761:$A$780=A14)*('Eval-Avant impact'!$N$761:$P$780="S"))))/(3*COUNTIF('Eval-Avant impact'!$A$761:$A$780,A14))),"")</f>
        <v/>
      </c>
      <c r="U14" s="214" t="str">
        <f>IF(COUNTIF('Eval-Avant impact'!$A$761:$A$780,A14)&gt;0,IF(OR(AND('Eval-Avant impact'!$A$761=A14,OR(COUNTIF('Eval-Avant impact'!$Q$761:$Y$761,"*T*")&gt;0,X9&lt;120)),AND('Eval-Avant impact'!$A$762=A14,OR(COUNTIF('Eval-Avant impact'!$Q$762:$Y$762,"*T*")&gt;0,X10&lt;120)),AND('Eval-Avant impact'!$A$763=A14,OR(COUNTIF('Eval-Avant impact'!$Q$763:$Y$763,"*T*")&gt;0,X11&lt;120)),AND('Eval-Avant impact'!$A$764=A14,OR(COUNTIF('Eval-Avant impact'!$Q$764:$Y$764,"*T*")&gt;0,X12&lt;120)),AND('Eval-Avant impact'!$A$765=A14,OR(COUNTIF('Eval-Avant impact'!$Q$765:$Y$765,"*T*")&gt;0,X13&lt;120)),AND('Eval-Avant impact'!$A$766=A14,OR(COUNTIF('Eval-Avant impact'!$Q$766:$Y$766,"*T*")&gt;0,X14&lt;120)),AND('Eval-Avant impact'!$A$767=A14,OR(COUNTIF('Eval-Avant impact'!$Q$767:$Y$767,"*T*")&gt;0,X15&lt;120)),AND('Eval-Avant impact'!$A$768=A14,OR(COUNTIF('Eval-Avant impact'!$Q$768:$Y$768,"*T*")&gt;0,X16&lt;120)),AND('Eval-Avant impact'!$A$769=A14,OR(COUNTIF('Eval-Avant impact'!$Q$769:$Y$769,"*T*")&gt;0,X17&lt;120)),AND('Eval-Avant impact'!$A$770=A14,OR(COUNTIF('Eval-Avant impact'!$Q$770:$Y$770,"*T*")&gt;0,X18&lt;120)),AND('Eval-Avant impact'!$A$771=A14,OR(COUNTIF('Eval-Avant impact'!$Q$771:$Y$771,"*T*")&gt;0,X19&lt;120)),AND('Eval-Avant impact'!$A$772=A14,OR(COUNTIF('Eval-Avant impact'!$Q$772:$Y$772,"*T*")&gt;0,X20&lt;120)),AND('Eval-Avant impact'!$A$773=A14,OR(COUNTIF('Eval-Avant impact'!$Q$773:$Y$773,"*T*")&gt;0,X21&lt;120)),AND('Eval-Avant impact'!$A$774=A14,OR(COUNTIF('Eval-Avant impact'!$Q$774:$Y$774,"*T*")&gt;0,X22&lt;120)),AND('Eval-Avant impact'!$A$775=A14,OR(COUNTIF('Eval-Avant impact'!$Q$775:$Y$775,"*T*")&gt;0,X23&lt;120)),AND('Eval-Avant impact'!$A$776=A14,OR(COUNTIF('Eval-Avant impact'!$Q$776:$Y$776,"*T*")&gt;0,X24&lt;120)),AND('Eval-Avant impact'!$A$777=A14,OR(COUNTIF('Eval-Avant impact'!$Q$777:$Y$777,"*T*")&gt;0,X25&lt;120)),AND('Eval-Avant impact'!$A$778=A14,OR(COUNTIF('Eval-Avant impact'!$Q$778:$Y$778,"*T*")&gt;0,X26&lt;120)),AND('Eval-Avant impact'!$A$779=A14,OR(COUNTIF('Eval-Avant impact'!$Q$779:$Y$779,"*T*")&gt;0,X27&lt;120)),AND('Eval-Avant impact'!$A$780=A14,OR(COUNTIF('Eval-Avant impact'!$Q$780:$Y$780,"*T*")&gt;0,X28&lt;120))),"",SUM(1*(SUMPRODUCT(('Eval-Avant impact'!$A$761:$A$780=A14)*('Eval-Avant impact'!$Q$761:$Y$780="A"))),0.85*(SUMPRODUCT(('Eval-Avant impact'!$A$761:$A$780=A14)*('Eval-Avant impact'!$Q$761:$Y$780="AL"))),0.7*(SUMPRODUCT(('Eval-Avant impact'!$A$761:$A$780=A14)*('Eval-Avant impact'!$Q$761:$Y$780="LA"))),0.55*(SUMPRODUCT(('Eval-Avant impact'!$A$761:$A$780=A14)*('Eval-Avant impact'!$Q$761:$Y$780="L"))),0.4*(SUMPRODUCT(('Eval-Avant impact'!$A$761:$A$780=A14)*('Eval-Avant impact'!$Q$761:$Y$780="LS"))),0.25*(SUMPRODUCT(('Eval-Avant impact'!$A$761:$A$780=A14)*('Eval-Avant impact'!$Q$761:$Y$780="SL"))),0.1*(SUMPRODUCT(('Eval-Avant impact'!$A$761:$A$780=A14)*('Eval-Avant impact'!$Q$761:$Y$780="S"))))/(9*COUNTIF('Eval-Avant impact'!$A$761:$A$780,A14))),"")</f>
        <v/>
      </c>
      <c r="V14" s="215"/>
      <c r="W14" s="216">
        <f>'Eval-Avant impact'!$D$766</f>
        <v>6</v>
      </c>
      <c r="X14" s="217" t="str">
        <f>IF(Y14="C",0,IF(IF(COUNTIF('Eval-Avant impact'!$N$766:$Y$766,"=C")&gt;0,(COUNTA('Eval-Avant impact'!$N$766:$Y$766)-1)*10,COUNTA('Eval-Avant impact'!$N$766:$Y$766)*10)=0,"",IF(COUNTIF('Eval-Avant impact'!$N$766:$Y$766,"=C")&gt;0,(COUNTA('Eval-Avant impact'!$N$766:$Y$766)-1)*10,COUNTA('Eval-Avant impact'!$N$766:$Y$766)*10)))</f>
        <v/>
      </c>
      <c r="Y14" s="217" t="str">
        <f>CONCATENATE('Eval-Avant impact'!$N$766,'Eval-Avant impact'!$O$766,'Eval-Avant impact'!$P$766,'Eval-Avant impact'!$Q$766,'Eval-Avant impact'!$R$766,'Eval-Avant impact'!$S$766,'Eval-Avant impact'!$T$766,'Eval-Avant impact'!$U$766,'Eval-Avant impact'!$V$766,'Eval-Avant impact'!$W$766,'Eval-Avant impact'!$X$766,'Eval-Avant impact'!$Y$766)</f>
        <v/>
      </c>
      <c r="Z14" s="217" t="str">
        <f t="shared" si="0"/>
        <v/>
      </c>
      <c r="AA14" s="217" t="str">
        <f t="shared" si="1"/>
        <v/>
      </c>
      <c r="AB14" s="217" t="str">
        <f>IF(COUNTIF('Eval-Avant impact'!$N$766:$Y$766,"=C")&gt;0,"X","")</f>
        <v/>
      </c>
      <c r="AC14" s="217" t="str">
        <f t="shared" si="2"/>
        <v/>
      </c>
      <c r="AD14" s="218" t="str">
        <f t="shared" si="3"/>
        <v/>
      </c>
      <c r="AE14" s="197"/>
      <c r="AG14" s="210">
        <v>6</v>
      </c>
      <c r="AH14" s="211" t="str">
        <f>IF(COUNTIF('Eval-Avec impact envisagé'!$A$761:$A$780,AG14)&gt;0,SUM(IF('Eval-Avec impact envisagé'!$A$761=AG14,'Eval-Avec impact envisagé'!$B$761,0),IF('Eval-Avec impact envisagé'!$A$762=AG14, 'Eval-Avec impact envisagé'!$B$762,0),IF('Eval-Avec impact envisagé'!$A$763=AG14, 'Eval-Avec impact envisagé'!$B$763,0),IF('Eval-Avec impact envisagé'!$A$764=AG14, 'Eval-Avec impact envisagé'!$B$764,0),IF('Eval-Avec impact envisagé'!$A$765=AG14, 'Eval-Avec impact envisagé'!$B$765,0),IF('Eval-Avec impact envisagé'!$A$766=AG14, 'Eval-Avec impact envisagé'!$B$766,0),IF('Eval-Avec impact envisagé'!$A$767=AG14, 'Eval-Avec impact envisagé'!$B$767,0),IF('Eval-Avec impact envisagé'!$A$768=AG14, 'Eval-Avec impact envisagé'!$B$768,0),IF('Eval-Avec impact envisagé'!$A$769=AG14, 'Eval-Avec impact envisagé'!$B$769,0),IF('Eval-Avec impact envisagé'!$A$770=AG14, 'Eval-Avec impact envisagé'!$B$770,0),IF('Eval-Avec impact envisagé'!$A$771=AG14, 'Eval-Avec impact envisagé'!$B$771,0),IF('Eval-Avec impact envisagé'!$A$772=AG14, 'Eval-Avec impact envisagé'!$B$772,0),IF('Eval-Avec impact envisagé'!$A$773=AG14, 'Eval-Avec impact envisagé'!$B$773,0),IF('Eval-Avec impact envisagé'!$A$774=AG14, 'Eval-Avec impact envisagé'!$B$774,0),IF('Eval-Avec impact envisagé'!$A$775=AG14, 'Eval-Avec impact envisagé'!$B$775,0),IF('Eval-Avec impact envisagé'!$A$776=AG14, 'Eval-Avec impact envisagé'!$B$776,0),IF('Eval-Avec impact envisagé'!$A$777=AG14, 'Eval-Avec impact envisagé'!$B$777,0),IF('Eval-Avec impact envisagé'!$A$778=AG14, 'Eval-Avec impact envisagé'!$B$778,0),IF('Eval-Avec impact envisagé'!$A$779=AG14, 'Eval-Avec impact envisagé'!$B$779,0),IF('Eval-Avec impact envisagé'!$A$780=AG14, 'Eval-Avec impact envisagé'!$B$780,0))/COUNTIF('Eval-Avec impact envisagé'!$A$761:$A$780,AG14),"")</f>
        <v/>
      </c>
      <c r="AI14" s="212" t="str">
        <f>IF(COUNTIF('Eval-Avec impact envisagé'!$A$761:$A$780,AG14)&gt;0,COUNTIF('Eval-Avec impact envisagé'!$A$761:$A$780,AG14),"")</f>
        <v/>
      </c>
      <c r="AJ14" s="211" t="str">
        <f>IF(COUNTIF('Eval-Avec impact envisagé'!$A$761:$A$780,AG14)&gt;0,IF(OR(AND('Eval-Avec impact envisagé'!$A$761=AG14, 'Eval-Avec impact envisagé'!$G$761=""),AND('Eval-Avec impact envisagé'!$A$762=AG14, 'Eval-Avec impact envisagé'!$G$762=""),AND('Eval-Avec impact envisagé'!$A$763=AG14, 'Eval-Avec impact envisagé'!$G$763=""),AND('Eval-Avec impact envisagé'!$A$764=AG14, 'Eval-Avec impact envisagé'!$G$764=""),AND('Eval-Avec impact envisagé'!$A$765=AG14, 'Eval-Avec impact envisagé'!$G$765=""),AND('Eval-Avec impact envisagé'!$A$766=AG14, 'Eval-Avec impact envisagé'!$G$766=""),AND('Eval-Avec impact envisagé'!$A$767=AG14, 'Eval-Avec impact envisagé'!$G$767=""),AND('Eval-Avec impact envisagé'!$A$768=AG14, 'Eval-Avec impact envisagé'!$G$768=""),AND('Eval-Avec impact envisagé'!$A$769=AG14, 'Eval-Avec impact envisagé'!$G$769=""),AND('Eval-Avec impact envisagé'!$A$770=AG14, 'Eval-Avec impact envisagé'!$G$770=""),AND('Eval-Avec impact envisagé'!$A$771=AG14, 'Eval-Avec impact envisagé'!$G$771=""),AND('Eval-Avec impact envisagé'!$A$772=AG14, 'Eval-Avec impact envisagé'!$G$772=""),AND('Eval-Avec impact envisagé'!$A$773=AG14, 'Eval-Avec impact envisagé'!$G$773=""),AND('Eval-Avec impact envisagé'!$A$774=AG14, 'Eval-Avec impact envisagé'!$G$774=""),AND('Eval-Avec impact envisagé'!$A$775=AG14, 'Eval-Avec impact envisagé'!$G$775=""),AND('Eval-Avec impact envisagé'!$A$776=AG14, 'Eval-Avec impact envisagé'!$G$776=""),AND('Eval-Avec impact envisagé'!$A$777=AG14, 'Eval-Avec impact envisagé'!$G$777=""),AND('Eval-Avec impact envisagé'!$A$778=AG14, 'Eval-Avec impact envisagé'!$G$778=""),AND('Eval-Avec impact envisagé'!$A$779=AG14, 'Eval-Avec impact envisagé'!$G$779=""),AND('Eval-Avec impact envisagé'!$A$780=AG14, 'Eval-Avec impact envisagé'!$G$780="")),"",SUM(IF('Eval-Avec impact envisagé'!$A$761=AG14,'Eval-Avec impact envisagé'!$G$761,0),IF('Eval-Avec impact envisagé'!$A$762=AG14,'Eval-Avec impact envisagé'!$G$762,0),IF('Eval-Avec impact envisagé'!$A$763=AG14,'Eval-Avec impact envisagé'!$G$763,0),IF('Eval-Avec impact envisagé'!$A$764=AG14,'Eval-Avec impact envisagé'!$G$764,0),IF('Eval-Avec impact envisagé'!$A$765=AG14,'Eval-Avec impact envisagé'!$G$765,0),IF('Eval-Avec impact envisagé'!$A$766=AG14,'Eval-Avec impact envisagé'!$G$766,0),IF('Eval-Avec impact envisagé'!$A$767=AG14,'Eval-Avec impact envisagé'!$G$767,0),IF('Eval-Avec impact envisagé'!$A$768=AG14,'Eval-Avec impact envisagé'!$G$768,0),IF('Eval-Avec impact envisagé'!$A$769=AG14,'Eval-Avec impact envisagé'!$G$769,0),IF('Eval-Avec impact envisagé'!$A$770=AG14,'Eval-Avec impact envisagé'!$G$770,0),IF('Eval-Avec impact envisagé'!$A$771=AG14,'Eval-Avec impact envisagé'!$G$771,0),IF('Eval-Avec impact envisagé'!$A$772=AG14,'Eval-Avec impact envisagé'!$G$772,0),IF('Eval-Avec impact envisagé'!$A$773=AG14,'Eval-Avec impact envisagé'!$G$773,0),IF('Eval-Avec impact envisagé'!$A$774=AG14,'Eval-Avec impact envisagé'!$G$774,0),IF('Eval-Avec impact envisagé'!$A$775=AG14,'Eval-Avec impact envisagé'!$G$775,0), IF('Eval-Avec impact envisagé'!$A$776=AG14,'Eval-Avec impact envisagé'!$G$776,0), IF('Eval-Avec impact envisagé'!$A$777=AG14,'Eval-Avec impact envisagé'!$G$777,0), IF('Eval-Avec impact envisagé'!$A$778=AG14,'Eval-Avec impact envisagé'!$G$778,0), IF('Eval-Avec impact envisagé'!$A$779=AG14,'Eval-Avec impact envisagé'!$G$779,0), IF('Eval-Avec impact envisagé'!$A$780=AG14,'Eval-Avec impact envisagé'!$G$780,0))/ COUNTIF('Eval-Avec impact envisagé'!$A$761:$A$780,AG14)),"")</f>
        <v/>
      </c>
      <c r="AK14" s="212" t="str">
        <f>IF(COUNTIF('Eval-Avec impact envisagé'!$A$761:$A$780,AG14)&gt;0,IF(SUM(IF('Eval-Avec impact envisagé'!$A$761=AG14,COUNTA('Eval-Avec impact envisagé'!$H$761),0),IF('Eval-Avec impact envisagé'!$A$762=AG14,COUNTA('Eval-Avec impact envisagé'!$H$762),0),IF('Eval-Avec impact envisagé'!$A$763=AG14,COUNTA('Eval-Avec impact envisagé'!$H$763),0),IF('Eval-Avec impact envisagé'!$A$764=AG14,COUNTA('Eval-Avec impact envisagé'!$H$764),0),IF('Eval-Avec impact envisagé'!$A$765=AG14,COUNTA('Eval-Avec impact envisagé'!$H$765),0),IF('Eval-Avec impact envisagé'!$A$766=AG14,COUNTA('Eval-Avec impact envisagé'!$H$766),0),IF('Eval-Avec impact envisagé'!$A$767=AG14,COUNTA('Eval-Avec impact envisagé'!$H$767),0),IF('Eval-Avec impact envisagé'!$A$768=AG14,COUNTA('Eval-Avec impact envisagé'!$H$768),0),IF('Eval-Avec impact envisagé'!$A$769=AG14,COUNTA('Eval-Avec impact envisagé'!$H$769),0),IF('Eval-Avec impact envisagé'!$A$770=AG14,COUNTA('Eval-Avec impact envisagé'!$H$770),0),IF('Eval-Avec impact envisagé'!$A$771=AG14,COUNTA('Eval-Avec impact envisagé'!$H$771),0),IF('Eval-Avec impact envisagé'!$A$772=AG14,COUNTA('Eval-Avec impact envisagé'!$H$772),0),IF('Eval-Avec impact envisagé'!$A$773=AG14,COUNTA('Eval-Avec impact envisagé'!$H$773),0),IF('Eval-Avec impact envisagé'!$A$774=AG14,COUNTA('Eval-Avec impact envisagé'!$H$774),0),IF('Eval-Avec impact envisagé'!$A$775=AG14,COUNTA('Eval-Avec impact envisagé'!$H$775),0),IF('Eval-Avec impact envisagé'!$A$776=AG14,COUNTA('Eval-Avec impact envisagé'!$H$776),0),IF('Eval-Avec impact envisagé'!$A$777=AG14,COUNTA('Eval-Avec impact envisagé'!$H$777),0),IF('Eval-Avec impact envisagé'!$A$778=AG14,COUNTA('Eval-Avec impact envisagé'!$H$778),0),IF('Eval-Avec impact envisagé'!$A$779=AG14,COUNTA('Eval-Avec impact envisagé'!$H$779),0),IF('Eval-Avec impact envisagé'!$A$780=AG14,COUNTA('Eval-Avec impact envisagé'!$H$780),0))&gt;0,"X",0),"")</f>
        <v/>
      </c>
      <c r="AL14" s="213" t="str">
        <f>IF(COUNTIF('Eval-Avec impact envisagé'!$A$761:$A$780,AG14)&gt;0,IF(SUM(IF('Eval-Avec impact envisagé'!$A$761=AG14,COUNTA('Eval-Avec impact envisagé'!$I$761),0),IF('Eval-Avec impact envisagé'!$A$762=AG14,COUNTA('Eval-Avec impact envisagé'!$I$762),0),IF('Eval-Avec impact envisagé'!$A$763=AG14,COUNTA('Eval-Avec impact envisagé'!$I$763),0),IF('Eval-Avec impact envisagé'!$A$764=AG14,COUNTA('Eval-Avec impact envisagé'!$I$764),0),IF('Eval-Avec impact envisagé'!$A$765=AG14,COUNTA('Eval-Avec impact envisagé'!$I$765),0),IF('Eval-Avec impact envisagé'!$A$766=AG14,COUNTA('Eval-Avec impact envisagé'!$I$766),0),IF('Eval-Avec impact envisagé'!$A$767=AG14,COUNTA('Eval-Avec impact envisagé'!$I$767),0),IF('Eval-Avec impact envisagé'!$A$768=AG14,COUNTA('Eval-Avec impact envisagé'!$I$768),0),IF('Eval-Avec impact envisagé'!$A$769=AG14,COUNTA('Eval-Avec impact envisagé'!$I$769),0),IF('Eval-Avec impact envisagé'!$A$770=AG14,COUNTA('Eval-Avec impact envisagé'!$I$770),0),IF('Eval-Avec impact envisagé'!$A$771=AG14,COUNTA('Eval-Avec impact envisagé'!$I$771),0),IF('Eval-Avec impact envisagé'!$A$772=AG14,COUNTA('Eval-Avec impact envisagé'!$I$772),0),IF('Eval-Avec impact envisagé'!$A$773=AG14,COUNTA('Eval-Avec impact envisagé'!$I$773),0),IF('Eval-Avec impact envisagé'!$A$774=AG14,COUNTA('Eval-Avec impact envisagé'!$I$774),0),IF('Eval-Avec impact envisagé'!$A$775=AG14,COUNTA('Eval-Avec impact envisagé'!$I$775),0),IF('Eval-Avec impact envisagé'!$A$776=AG14,COUNTA('Eval-Avec impact envisagé'!$I$776),0),IF('Eval-Avec impact envisagé'!$A$777=AG14,COUNTA('Eval-Avec impact envisagé'!$I$777),0),IF('Eval-Avec impact envisagé'!$A$778=AG14,COUNTA('Eval-Avec impact envisagé'!$I$778),0),IF('Eval-Avec impact envisagé'!$A$779=AG14,COUNTA('Eval-Avec impact envisagé'!$I$779),0),IF('Eval-Avec impact envisagé'!$A$780=AG14,COUNTA('Eval-Avec impact envisagé'!$I$780),0))&gt;0,"X",0),"")</f>
        <v/>
      </c>
      <c r="AM14" s="213" t="str">
        <f>IF(COUNTIF('Eval-Avec impact envisagé'!$A$761:$A$780,AG14)&gt;0,IF(SUM(IF('Eval-Avec impact envisagé'!$A$761=AG14,COUNTA('Eval-Avec impact envisagé'!$J$761),0),IF('Eval-Avec impact envisagé'!$A$762=AG14,COUNTA('Eval-Avec impact envisagé'!$J$762),0),IF('Eval-Avec impact envisagé'!$A$763=AG14,COUNTA('Eval-Avec impact envisagé'!$J$763),0),IF('Eval-Avec impact envisagé'!$A$764=AG14,COUNTA('Eval-Avec impact envisagé'!$J$764),0),IF('Eval-Avec impact envisagé'!$A$765=AG14,COUNTA('Eval-Avec impact envisagé'!$J$765),0),IF('Eval-Avec impact envisagé'!$A$766=AG14,COUNTA('Eval-Avec impact envisagé'!$J$766),0),IF('Eval-Avec impact envisagé'!$A$767=AG14,COUNTA('Eval-Avec impact envisagé'!$J$767),0),IF('Eval-Avec impact envisagé'!$A$768=AG14,COUNTA('Eval-Avec impact envisagé'!$J$768),0),IF('Eval-Avec impact envisagé'!$A$769=AG14,COUNTA('Eval-Avec impact envisagé'!$J$769),0),IF('Eval-Avec impact envisagé'!$A$770=AG14,COUNTA('Eval-Avec impact envisagé'!$J$770),0),IF('Eval-Avec impact envisagé'!$A$771=AG14,COUNTA('Eval-Avec impact envisagé'!$J$771),0),IF('Eval-Avec impact envisagé'!$A$772=AG14,COUNTA('Eval-Avec impact envisagé'!$J$772),0),IF('Eval-Avec impact envisagé'!$A$773=AG14,COUNTA('Eval-Avec impact envisagé'!$J$773),0),IF('Eval-Avec impact envisagé'!$A$774=AG14,COUNTA('Eval-Avec impact envisagé'!$J$774),0),IF('Eval-Avec impact envisagé'!$A$775=AG14,COUNTA('Eval-Avec impact envisagé'!$J$775),0),IF('Eval-Avec impact envisagé'!$A$776=AG14,COUNTA('Eval-Avec impact envisagé'!$J$776),0),IF('Eval-Avec impact envisagé'!$A$777=AG14,COUNTA('Eval-Avec impact envisagé'!$J$777),0),IF('Eval-Avec impact envisagé'!$A$778=AG14,COUNTA('Eval-Avec impact envisagé'!$J$778),0),IF('Eval-Avec impact envisagé'!$A$779=AG14,COUNTA('Eval-Avec impact envisagé'!$J$779),0),IF('Eval-Avec impact envisagé'!$A$780=AG14,COUNTA('Eval-Avec impact envisagé'!$J$780),0))&gt;0,"X",0),"")</f>
        <v/>
      </c>
      <c r="AN14" s="213" t="str">
        <f>IF(COUNTIF('Eval-Avec impact envisagé'!$A$761:$A$780,AG14)&gt;0,IF(SUM(IF('Eval-Avec impact envisagé'!$A$761=AG14,COUNTA('Eval-Avec impact envisagé'!$K$761),0),IF('Eval-Avec impact envisagé'!$A$762=AG14,COUNTA('Eval-Avec impact envisagé'!$K$762),0),IF('Eval-Avec impact envisagé'!$A$763=AG14,COUNTA('Eval-Avec impact envisagé'!$K$763),0),IF('Eval-Avec impact envisagé'!$A$764=AG14,COUNTA('Eval-Avec impact envisagé'!$K$764),0),IF('Eval-Avec impact envisagé'!$A$765=AG14,COUNTA('Eval-Avec impact envisagé'!$K$765),0),IF('Eval-Avec impact envisagé'!$A$766=AG14,COUNTA('Eval-Avec impact envisagé'!$K$766),0),IF('Eval-Avec impact envisagé'!$A$767=AG14,COUNTA('Eval-Avec impact envisagé'!$K$767),0),IF('Eval-Avec impact envisagé'!$A$768=AG14,COUNTA('Eval-Avec impact envisagé'!$K$768),0),IF('Eval-Avec impact envisagé'!$A$769=AG14,COUNTA('Eval-Avec impact envisagé'!$K$769),0),IF('Eval-Avec impact envisagé'!$A$770=AG14,COUNTA('Eval-Avec impact envisagé'!$K$770),0),IF('Eval-Avec impact envisagé'!$A$771=AG14,COUNTA('Eval-Avec impact envisagé'!$K$771),0),IF('Eval-Avec impact envisagé'!$A$772=AG14,COUNTA('Eval-Avec impact envisagé'!$K$772),0),IF('Eval-Avec impact envisagé'!$A$773=AG14,COUNTA('Eval-Avec impact envisagé'!$K$773),0),IF('Eval-Avec impact envisagé'!$A$774=AG14,COUNTA('Eval-Avec impact envisagé'!$K$774),0),IF('Eval-Avec impact envisagé'!$A$775=AG14,COUNTA('Eval-Avec impact envisagé'!$K$775),0),IF('Eval-Avec impact envisagé'!$A$776=AG14,COUNTA('Eval-Avec impact envisagé'!$K$776),0),IF('Eval-Avec impact envisagé'!$A$777=AG14,COUNTA('Eval-Avec impact envisagé'!$K$777),0),IF('Eval-Avec impact envisagé'!$A$778=AG14,COUNTA('Eval-Avec impact envisagé'!$K$778),0),IF('Eval-Avec impact envisagé'!$A$779=AG14,COUNTA('Eval-Avec impact envisagé'!$K$779),0),IF('Eval-Avec impact envisagé'!$A$780=AG14,COUNTA('Eval-Avec impact envisagé'!$K$780),0))&gt;0,"X",0),"")</f>
        <v/>
      </c>
      <c r="AO14" s="211" t="str">
        <f>IF(COUNTIF('Eval-Avec impact envisagé'!$A$761:$A$780,AG14)&gt;0,IF(OR(AND('Eval-Avec impact envisagé'!$A$761=AG14,'Eval-Avec impact envisagé'!$L$761&lt;120,'Eval-Avec impact envisagé'!$L$761&gt;=BD9),AND('Eval-Avec impact envisagé'!$A$762=AG14,'Eval-Avec impact envisagé'!$L$762&lt;120,'Eval-Avec impact envisagé'!$L$762&gt;=BD10),AND('Eval-Avec impact envisagé'!$A$763=AG14,'Eval-Avec impact envisagé'!$L$763&lt;120,'Eval-Avec impact envisagé'!$L$763&gt;=BD11),AND('Eval-Avec impact envisagé'!$A$764=AG14,'Eval-Avec impact envisagé'!$L$764&lt;120,'Eval-Avec impact envisagé'!$L$764&gt;=BD12),AND('Eval-Avec impact envisagé'!$A$765=AG14,'Eval-Avec impact envisagé'!$L$765&lt;120,'Eval-Avec impact envisagé'!$L$765&gt;=BD13),AND('Eval-Avec impact envisagé'!$A$766=AG14,'Eval-Avec impact envisagé'!$L$766&lt;120,'Eval-Avec impact envisagé'!$L$766&gt;=BD14),AND('Eval-Avec impact envisagé'!$A$767=AG14,'Eval-Avec impact envisagé'!$L$767&lt;120,'Eval-Avec impact envisagé'!$L$767&gt;=BD15),AND('Eval-Avec impact envisagé'!$A$768=AG14,'Eval-Avec impact envisagé'!$L$768&lt;120,'Eval-Avec impact envisagé'!$L$768&gt;=BD16),AND('Eval-Avec impact envisagé'!$A$769=AG14,'Eval-Avec impact envisagé'!$L$769&lt;120,'Eval-Avec impact envisagé'!$L$769&gt;=BD17),AND('Eval-Avec impact envisagé'!$A$770=AG14,'Eval-Avec impact envisagé'!$L$770&lt;120,'Eval-Avec impact envisagé'!$L$770&gt;=BD18),AND('Eval-Avec impact envisagé'!$A$771=AG14,'Eval-Avec impact envisagé'!$L$771&lt;120,'Eval-Avec impact envisagé'!$L$771&gt;=BD19),AND('Eval-Avec impact envisagé'!$A$772=AG14,'Eval-Avec impact envisagé'!$L$772&lt;120,'Eval-Avec impact envisagé'!$L$772&gt;=BD20),AND('Eval-Avec impact envisagé'!$A$773=AG14,'Eval-Avec impact envisagé'!$L$773&lt;120,'Eval-Avec impact envisagé'!$L$773&gt;=BD21),AND('Eval-Avec impact envisagé'!$A$774=AG14,'Eval-Avec impact envisagé'!$L$774&lt;120,'Eval-Avec impact envisagé'!$L$774&gt;=BD22),AND('Eval-Avec impact envisagé'!$A$775=AG14,'Eval-Avec impact envisagé'!$L$775&lt;120,'Eval-Avec impact envisagé'!$L$775&gt;=BD23),AND('Eval-Avec impact envisagé'!$A$776=AG14,'Eval-Avec impact envisagé'!$L$776&lt;120,'Eval-Avec impact envisagé'!$L$776&gt;=BD24),AND('Eval-Avec impact envisagé'!$A$777=AG14,'Eval-Avec impact envisagé'!$L$777&lt;120,'Eval-Avec impact envisagé'!$L$777&gt;=BD25),AND('Eval-Avec impact envisagé'!$A$778=AG14,'Eval-Avec impact envisagé'!$L$778&lt;120,'Eval-Avec impact envisagé'!$L$778&gt;=BD26),AND('Eval-Avec impact envisagé'!$A$779=AG14,'Eval-Avec impact envisagé'!$L$779&lt;120,'Eval-Avec impact envisagé'!$L$779&gt;=BD27),AND('Eval-Avec impact envisagé'!$A$780=AG14,'Eval-Avec impact envisagé'!$L$780&lt;120,'Eval-Avec impact envisagé'!$L$780&gt;=BD28)),"",SUM(IF('Eval-Avec impact envisagé'!$A$761=AG14,'Eval-Avec impact envisagé'!$L$761,0),IF('Eval-Avec impact envisagé'!$A$762=AG14,'Eval-Avec impact envisagé'!$L$762,0),IF('Eval-Avec impact envisagé'!$A$763=AG14,'Eval-Avec impact envisagé'!$L$763,0),IF('Eval-Avec impact envisagé'!$A$764=AG14,'Eval-Avec impact envisagé'!$L$764,0),IF('Eval-Avec impact envisagé'!$A$765=AG14,'Eval-Avec impact envisagé'!$L$765,0),IF('Eval-Avec impact envisagé'!$A$766=AG14,'Eval-Avec impact envisagé'!$L$766,0),IF('Eval-Avec impact envisagé'!$A$767=AG14,'Eval-Avec impact envisagé'!$L$767,0),IF('Eval-Avec impact envisagé'!$A$768=AG14,'Eval-Avec impact envisagé'!$L$768,0),IF('Eval-Avec impact envisagé'!$A$769=AG14,'Eval-Avec impact envisagé'!$L$769,0),IF('Eval-Avec impact envisagé'!$A$770=AG14,'Eval-Avec impact envisagé'!$L$770,0),IF('Eval-Avec impact envisagé'!$A$771=AG14,'Eval-Avec impact envisagé'!$L$771,0),IF('Eval-Avec impact envisagé'!$A$772=AG14,'Eval-Avec impact envisagé'!$L$772,0),IF('Eval-Avec impact envisagé'!$A$773=AG14,'Eval-Avec impact envisagé'!$L$773,0),IF('Eval-Avec impact envisagé'!$A$774=AG14,'Eval-Avec impact envisagé'!$L$774,0),IF('Eval-Avec impact envisagé'!$A$775=AG14,'Eval-Avec impact envisagé'!$L$775,0),IF('Eval-Avec impact envisagé'!$A$776=AG14,'Eval-Avec impact envisagé'!$L$776,0),IF('Eval-Avec impact envisagé'!$A$777=AG14,'Eval-Avec impact envisagé'!$L$777,0),IF('Eval-Avec impact envisagé'!$A$778=AG14,'Eval-Avec impact envisagé'!$L$778,0),IF('Eval-Avec impact envisagé'!$A$779=AG14,'Eval-Avec impact envisagé'!$L$779,0),IF('Eval-Avec impact envisagé'!$A$780=AG14,'Eval-Avec impact envisagé'!$L$780,0))/ COUNTIF('Eval-Avec impact envisagé'!$A$761:$A$780,AG14)),"")</f>
        <v/>
      </c>
      <c r="AP14" s="211" t="str">
        <f>IF(COUNTIF('Eval-Avec impact envisagé'!$A$761:$A$780,AG14)&gt;0,IF(OR(AND('Eval-Avec impact envisagé'!$A$761=AG14, BD9&lt;120),AND(BD10&lt;120),AND(BD11&lt;120),AND(BD12&lt;120),AND(BD13&lt;120),AND(BD14&lt;120),AND(BD15&lt;120),AND(BD16&lt;120),AND(BD17&lt;120),AND(BD18&lt;120),AND(BD19&lt;120),AND(BD20&lt;120),AND(BD21&lt;120),AND(BD22&lt;120),AND(BD23&lt;120),AND(BD24&lt;120),AND(BD25&lt;120),AND(BD26&lt;120),AND(BD27&lt;120),AND(BD28&lt;120)),"",SUM(IF('Eval-Avec impact envisagé'!$A$761=AG14,'Eval-Avec impact envisagé'!$M$761,0),IF('Eval-Avec impact envisagé'!$A$762=AG14,'Eval-Avec impact envisagé'!$M$762,0),IF('Eval-Avec impact envisagé'!$A$763=AG14,'Eval-Avec impact envisagé'!$M$763,0),IF('Eval-Avec impact envisagé'!$A$764=AG14,'Eval-Avec impact envisagé'!$M$764,0),IF('Eval-Avec impact envisagé'!$A$765=AG14,'Eval-Avec impact envisagé'!$M$765,0),IF('Eval-Avec impact envisagé'!$A$766=AG14,'Eval-Avec impact envisagé'!$M$766,0),IF('Eval-Avec impact envisagé'!$A$767=AG14,'Eval-Avec impact envisagé'!$M$767,0),IF('Eval-Avec impact envisagé'!$A$768=AG14,'Eval-Avec impact envisagé'!$M$768,0),IF('Eval-Avec impact envisagé'!$A$769=AG14,'Eval-Avec impact envisagé'!$M$769,0),IF('Eval-Avec impact envisagé'!$A$770=AG14,'Eval-Avec impact envisagé'!$M$770,0),IF('Eval-Avec impact envisagé'!$A$771=AG14,'Eval-Avec impact envisagé'!$M$771,0),IF('Eval-Avec impact envisagé'!$A$772=AG14,'Eval-Avec impact envisagé'!$M$772,0),IF('Eval-Avec impact envisagé'!$A$773=AG14,'Eval-Avec impact envisagé'!$M$773,0),IF('Eval-Avec impact envisagé'!$A$774=AG14,'Eval-Avec impact envisagé'!$M$774,0),IF('Eval-Avec impact envisagé'!$A$775=AG14,'Eval-Avec impact envisagé'!$M$775,0), IF('Eval-Avec impact envisagé'!$A$776=AG14,'Eval-Avec impact envisagé'!$M$776,0), IF('Eval-Avec impact envisagé'!$A$777=AG14,'Eval-Avec impact envisagé'!$M$777,0), IF('Eval-Avec impact envisagé'!$A$778=AG14,'Eval-Avec impact envisagé'!$M$778,0), IF('Eval-Avec impact envisagé'!$A$779=AG14,'Eval-Avec impact envisagé'!$M$779,0), IF('Eval-Avec impact envisagé'!$A$780=AG14,'Eval-Avec impact envisagé'!$M$780,0))/COUNTIF('Eval-Avec impact envisagé'!$A$761:$A$780,AG14)),"")</f>
        <v/>
      </c>
      <c r="AQ14" s="211" t="str">
        <f>IF(COUNTIF('Eval-Avec impact envisagé'!$A$761:$A$780,AG14)&gt;0,SUM(IF('Eval-Avec impact envisagé'!$A$761=AG14,LEN(SUBSTITUTE((SUBSTITUTE(BF9,"TM","")),"TS",""))*10/2,0),IF('Eval-Avec impact envisagé'!$A$762=AG14,LEN(SUBSTITUTE((SUBSTITUTE(BF10,"TM","")),"TS",""))*10/2,0),IF('Eval-Avec impact envisagé'!$A$763=AG14,LEN(SUBSTITUTE((SUBSTITUTE(BF11,"TM","")),"TS",""))*10/2,0),IF('Eval-Avec impact envisagé'!$A$764=AG14,LEN(SUBSTITUTE((SUBSTITUTE(BF12,"TM","")),"TS",""))*10/2,0),IF('Eval-Avec impact envisagé'!$A$765=AG14,LEN(SUBSTITUTE((SUBSTITUTE(BF13,"TM","")),"TS",""))*10/2,0),IF('Eval-Avec impact envisagé'!$A$766=AG14,LEN(SUBSTITUTE((SUBSTITUTE(BF14,"TM","")),"TS",""))*10/2,0),IF('Eval-Avec impact envisagé'!$A$767=AG14,LEN(SUBSTITUTE((SUBSTITUTE(BF15,"TM","")),"TS",""))*10/2,0),IF('Eval-Avec impact envisagé'!$A$768=AG14,LEN(SUBSTITUTE((SUBSTITUTE(BF16,"TM","")),"TS",""))*10/2,0),IF('Eval-Avec impact envisagé'!$A$769=AG14,LEN(SUBSTITUTE((SUBSTITUTE(BF17,"TM","")),"TS",""))*10/2,0),IF('Eval-Avec impact envisagé'!$A$770=AG14,LEN(SUBSTITUTE((SUBSTITUTE(BF18,"TM","")),"TS",""))*10/2,0),IF('Eval-Avec impact envisagé'!$A$771=AG14,LEN(SUBSTITUTE((SUBSTITUTE(BF19,"TM","")),"TS",""))*10/2,0),IF('Eval-Avec impact envisagé'!$A$772=AG14,LEN(SUBSTITUTE((SUBSTITUTE(BF20,"TM","")),"TS",""))*10/2,0),IF('Eval-Avec impact envisagé'!$A$773=AG14,LEN(SUBSTITUTE((SUBSTITUTE(BF21,"TM","")),"TS",""))*10/2,0),IF('Eval-Avec impact envisagé'!$A$774=AG14,LEN(SUBSTITUTE((SUBSTITUTE(BF22,"TM","")),"TS",""))*10/2,0),IF('Eval-Avec impact envisagé'!$A$775=AG14,LEN(SUBSTITUTE((SUBSTITUTE(BF23,"TM","")),"TS",""))*10/2,0),IF('Eval-Avec impact envisagé'!$A$776=AG14,LEN(SUBSTITUTE((SUBSTITUTE(BF24,"TM","")),"TS",""))*10/2,0),IF('Eval-Avec impact envisagé'!$A$777=AG14,LEN(SUBSTITUTE((SUBSTITUTE(BF25,"TM","")),"TS",""))*10/2,0),IF('Eval-Avec impact envisagé'!$A$778=AG14,LEN(SUBSTITUTE((SUBSTITUTE(BF26,"TM","")),"TS",""))*10/2,0),IF('Eval-Avec impact envisagé'!$A$779=AG14,LEN(SUBSTITUTE((SUBSTITUTE(BF27,"TM","")),"TS",""))*10/2,0),IF('Eval-Avec impact envisagé'!$A$780=AG14,LEN(SUBSTITUTE((SUBSTITUTE(BF28,"TM","")),"TS",""))*10/2,0))/COUNTIF('Eval-Avec impact envisagé'!$A$761:$A$780,AG14),"")</f>
        <v/>
      </c>
      <c r="AR14" s="211" t="str">
        <f>IF(COUNTIF('Eval-Avec impact envisagé'!$A$761:$A$780,AG14)&gt;0,SUM(IF('Eval-Avec impact envisagé'!$A$761=AG14,LEN(SUBSTITUTE((SUBSTITUTE(BF9,"TF","")),"TS",""))*10/2,0),IF('Eval-Avec impact envisagé'!$A$762=AG14,LEN(SUBSTITUTE((SUBSTITUTE(BF10,"TF","")),"TS",""))*10/2,0),IF('Eval-Avec impact envisagé'!$A$763=AG14,LEN(SUBSTITUTE((SUBSTITUTE(BF11,"TF","")),"TS",""))*10/2,0),IF('Eval-Avec impact envisagé'!$A$764=AG14,LEN(SUBSTITUTE((SUBSTITUTE(BF12,"TF","")),"TS",""))*10/2,0),IF('Eval-Avec impact envisagé'!$A$765=AG14,LEN(SUBSTITUTE((SUBSTITUTE(BF13,"TF","")),"TS",""))*10/2,0),IF('Eval-Avec impact envisagé'!$A$766=AG14,LEN(SUBSTITUTE((SUBSTITUTE(BF14,"TF","")),"TS",""))*10/2,0),IF('Eval-Avec impact envisagé'!$A$767=AG14,LEN(SUBSTITUTE((SUBSTITUTE(BF15,"TF","")),"TS",""))*10/2,0),IF('Eval-Avec impact envisagé'!$A$768=AG14,LEN(SUBSTITUTE((SUBSTITUTE(BF16,"TF","")),"TS",""))*10/2,0),IF('Eval-Avec impact envisagé'!$A$769=AG14,LEN(SUBSTITUTE((SUBSTITUTE(BF17,"TF","")),"TS",""))*10/2,0),IF('Eval-Avec impact envisagé'!$A$770=AG14,LEN(SUBSTITUTE((SUBSTITUTE(BF18,"TF","")),"TS",""))*10/2,0),IF('Eval-Avec impact envisagé'!$A$771=AG14,LEN(SUBSTITUTE((SUBSTITUTE(BF19,"TF","")),"TS",""))*10/2,0),IF('Eval-Avec impact envisagé'!$A$772=AG14,LEN(SUBSTITUTE((SUBSTITUTE(BF20,"TF","")),"TS",""))*10/2,0),IF('Eval-Avec impact envisagé'!$A$773=AG14,LEN(SUBSTITUTE((SUBSTITUTE(BF21,"TF","")),"TS",""))*10/2,0),IF('Eval-Avec impact envisagé'!$A$774=AG14,LEN(SUBSTITUTE((SUBSTITUTE(BF22,"TF","")),"TS",""))*10/2,0),IF('Eval-Avec impact envisagé'!$A$775=AG14,LEN(SUBSTITUTE((SUBSTITUTE(BF23,"TF","")),"TS",""))*10/2,0),IF('Eval-Avec impact envisagé'!$A$776=AG14,LEN(SUBSTITUTE((SUBSTITUTE(BF24,"TF","")),"TS",""))*10/2,0),IF('Eval-Avec impact envisagé'!$A$777=AG14,LEN(SUBSTITUTE((SUBSTITUTE(BF25,"TF","")),"TS",""))*10/2,0),IF('Eval-Avec impact envisagé'!$A$778=AG14,LEN(SUBSTITUTE((SUBSTITUTE(BF26,"TF","")),"TS",""))*10/2,0),IF('Eval-Avec impact envisagé'!$A$779=AG14,LEN(SUBSTITUTE((SUBSTITUTE(BF27,"TF","")),"TS",""))*10/2,0),IF('Eval-Avec impact envisagé'!$A$780=AG14,LEN(SUBSTITUTE((SUBSTITUTE(BF28,"TF","")),"TS",""))*10/2,0))/COUNTIF('Eval-Avec impact envisagé'!$A$761:$A$780,AG14),"")</f>
        <v/>
      </c>
      <c r="AS14" s="211" t="str">
        <f>IF(COUNTIF('Eval-Avec impact envisagé'!$A$761:$A$780,AG14)&gt;0,SUM(IF('Eval-Avec impact envisagé'!$A$761=AG14,LEN(SUBSTITUTE((SUBSTITUTE(BF9,"TF","")),"TM",""))*10/2,0),IF('Eval-Avec impact envisagé'!$A$762=AG14,LEN(SUBSTITUTE((SUBSTITUTE(BF10,"TF","")),"TM",""))*10/2,0),IF('Eval-Avec impact envisagé'!$A$763=AG14,LEN(SUBSTITUTE((SUBSTITUTE(BF11,"TF","")),"TM",""))*10/2,0),IF('Eval-Avec impact envisagé'!$A$764=AG14,LEN(SUBSTITUTE((SUBSTITUTE(BF12,"TF","")),"TM",""))*10/2,0),IF('Eval-Avec impact envisagé'!$A$765=AG14,LEN(SUBSTITUTE((SUBSTITUTE(BF13,"TF","")),"TM",""))*10/2,0),IF('Eval-Avec impact envisagé'!$A$766=AG14,LEN(SUBSTITUTE((SUBSTITUTE(BF14,"TF","")),"TM",""))*10/2,0),IF('Eval-Avec impact envisagé'!$A$767=AG14,LEN(SUBSTITUTE((SUBSTITUTE(BF15,"TF","")),"TM",""))*10/2,0),IF('Eval-Avec impact envisagé'!$A$768=AG14,LEN(SUBSTITUTE((SUBSTITUTE(BF16,"TF","")),"TM",""))*10/2,0),IF('Eval-Avec impact envisagé'!$A$769=AG14,LEN(SUBSTITUTE((SUBSTITUTE(BF17,"TF","")),"TM",""))*10/2,0),IF('Eval-Avec impact envisagé'!$A$770=AG14,LEN(SUBSTITUTE((SUBSTITUTE(BF18,"TF","")),"TM",""))*10/2,0),IF('Eval-Avec impact envisagé'!$A$771=AG14,LEN(SUBSTITUTE((SUBSTITUTE(BF19,"TF","")),"TM",""))*10/2,0),IF('Eval-Avec impact envisagé'!$A$772=AG14,LEN(SUBSTITUTE((SUBSTITUTE(BF20,"TF","")),"TM",""))*10/2,0),IF('Eval-Avec impact envisagé'!$A$773=AG14,LEN(SUBSTITUTE((SUBSTITUTE(BF21,"TF","")),"TM",""))*10/2,0),IF('Eval-Avec impact envisagé'!$A$774=AG14,LEN(SUBSTITUTE((SUBSTITUTE(BF22,"TF","")),"TM",""))*10/2,0),IF('Eval-Avec impact envisagé'!$A$775=AG14,LEN(SUBSTITUTE((SUBSTITUTE(BF23,"TF","")),"TM",""))*10/2,0),IF('Eval-Avec impact envisagé'!$A$776=AG14,LEN(SUBSTITUTE((SUBSTITUTE(BF24,"TF","")),"TM",""))*10/2,0),IF('Eval-Avec impact envisagé'!$A$777=AG14,LEN(SUBSTITUTE((SUBSTITUTE(BF25,"TF","")),"TM",""))*10/2,0),IF('Eval-Avec impact envisagé'!$A$778=AG14,LEN(SUBSTITUTE((SUBSTITUTE(BF26,"TF","")),"TM",""))*10/2,0),IF('Eval-Avec impact envisagé'!$A$779=AG14,LEN(SUBSTITUTE((SUBSTITUTE(BF27,"TF","")),"TM",""))*10/2,0),IF('Eval-Avec impact envisagé'!$A$780=AG14,LEN(SUBSTITUTE((SUBSTITUTE(BF28,"TF","")),"TM",""))*10/2,0))/COUNTIF('Eval-Avec impact envisagé'!$A$761:$A$780,AG14),"")</f>
        <v/>
      </c>
      <c r="AT14" s="211" t="str">
        <f>IF(COUNTIF('Eval-Avec impact envisagé'!$A$761:$A$780,AG14)&gt;0,SUM(IF('Eval-Avec impact envisagé'!$A$761=AG14,LEN(SUBSTITUTE((SUBSTITUTE(BG9,"TM","")),"TS",""))*10/2,0),IF('Eval-Avec impact envisagé'!$A$762=AG14,LEN(SUBSTITUTE((SUBSTITUTE(BG10,"TM","")),"TS",""))*10/2,0),IF('Eval-Avec impact envisagé'!$A$763=AG14,LEN(SUBSTITUTE((SUBSTITUTE(BG11,"TM","")),"TS",""))*10/2,0),IF('Eval-Avec impact envisagé'!$A$764=AG14,LEN(SUBSTITUTE((SUBSTITUTE(BG12,"TM","")),"TS",""))*10/2,0),IF('Eval-Avec impact envisagé'!$A$765=AG14,LEN(SUBSTITUTE((SUBSTITUTE(BG13,"TM","")),"TS",""))*10/2,0),IF('Eval-Avec impact envisagé'!$A$766=AG14,LEN(SUBSTITUTE((SUBSTITUTE(BG14,"TM","")),"TS",""))*10/2,0),IF('Eval-Avec impact envisagé'!$A$767=AG14,LEN(SUBSTITUTE((SUBSTITUTE(BG15,"TM","")),"TS",""))*10/2,0),IF('Eval-Avec impact envisagé'!$A$768=AG14,LEN(SUBSTITUTE((SUBSTITUTE(BG16,"TM","")),"TS",""))*10/2,0),IF('Eval-Avec impact envisagé'!$A$769=AG14,LEN(SUBSTITUTE((SUBSTITUTE(BG17,"TM","")),"TS",""))*10/2,0),IF('Eval-Avec impact envisagé'!$A$770=AG14,LEN(SUBSTITUTE((SUBSTITUTE(BG18,"TM","")),"TS",""))*10/2,0),IF('Eval-Avec impact envisagé'!$A$771=AG14,LEN(SUBSTITUTE((SUBSTITUTE(BG19,"TM","")),"TS",""))*10/2,0),IF('Eval-Avec impact envisagé'!$A$772=AG14,LEN(SUBSTITUTE((SUBSTITUTE(BG20,"TM","")),"TS",""))*10/2,0),IF('Eval-Avec impact envisagé'!$A$773=AG14,LEN(SUBSTITUTE((SUBSTITUTE(BG21,"TM","")),"TS",""))*10/2,0),IF('Eval-Avec impact envisagé'!$A$774=AG14,LEN(SUBSTITUTE((SUBSTITUTE(BG22,"TM","")),"TS",""))*10/2,0),IF('Eval-Avec impact envisagé'!$A$775=AG14,LEN(SUBSTITUTE((SUBSTITUTE(BG23,"TM","")),"TS",""))*10/2,0),IF('Eval-Avec impact envisagé'!$A$776=AG14,LEN(SUBSTITUTE((SUBSTITUTE(BG24,"TM","")),"TS",""))*10/2,0),IF('Eval-Avec impact envisagé'!$A$777=AG14,LEN(SUBSTITUTE((SUBSTITUTE(BG25,"TM","")),"TS",""))*10/2,0),IF('Eval-Avec impact envisagé'!$A$778=AG14,LEN(SUBSTITUTE((SUBSTITUTE(BG26,"TM","")),"TS",""))*10/2,0),IF('Eval-Avec impact envisagé'!$A$779=AG14,LEN(SUBSTITUTE((SUBSTITUTE(BG27,"TM","")),"TS",""))*10/2,0),IF('Eval-Avec impact envisagé'!$A$780=AG14,LEN(SUBSTITUTE((SUBSTITUTE(BG28,"TM","")),"TS",""))*10/2,0))/COUNTIF('Eval-Avec impact envisagé'!$A$761:$A$780,AG14),"")</f>
        <v/>
      </c>
      <c r="AU14" s="211" t="str">
        <f>IF(COUNTIF('Eval-Avec impact envisagé'!$A$761:$A$780,AG14)&gt;0,SUM(IF('Eval-Avec impact envisagé'!$A$761=AG14,LEN(SUBSTITUTE((SUBSTITUTE(BG9,"TF","")),"TS",""))*10/2,0),IF('Eval-Avec impact envisagé'!$A$762=AG14,LEN(SUBSTITUTE((SUBSTITUTE(BG10,"TF","")),"TS",""))*10/2,0),IF('Eval-Avec impact envisagé'!$A$763=AG14,LEN(SUBSTITUTE((SUBSTITUTE(BG11,"TF","")),"TS",""))*10/2,0),IF('Eval-Avec impact envisagé'!$A$764=AG14,LEN(SUBSTITUTE((SUBSTITUTE(BG12,"TF","")),"TS",""))*10/2,0),IF('Eval-Avec impact envisagé'!$A$765=AG14,LEN(SUBSTITUTE((SUBSTITUTE(BG13,"TF","")),"TS",""))*10/2,0),IF('Eval-Avec impact envisagé'!$A$766=AG14,LEN(SUBSTITUTE((SUBSTITUTE(BG14,"TF","")),"TS",""))*10/2,0),IF('Eval-Avec impact envisagé'!$A$767=AG14,LEN(SUBSTITUTE((SUBSTITUTE(BG15,"TF","")),"TS",""))*10/2,0),IF('Eval-Avec impact envisagé'!$A$768=AG14,LEN(SUBSTITUTE((SUBSTITUTE(BG16,"TF","")),"TS",""))*10/2,0),IF('Eval-Avec impact envisagé'!$A$769=AG14,LEN(SUBSTITUTE((SUBSTITUTE(BG17,"TF","")),"TS",""))*10/2,0),IF('Eval-Avec impact envisagé'!$A$770=AG14,LEN(SUBSTITUTE((SUBSTITUTE(BG18,"TF","")),"TS",""))*10/2,0),IF('Eval-Avec impact envisagé'!$A$771=AG14,LEN(SUBSTITUTE((SUBSTITUTE(BG19,"TF","")),"TS",""))*10/2,0),IF('Eval-Avec impact envisagé'!$A$772=AG14,LEN(SUBSTITUTE((SUBSTITUTE(BG20,"TF","")),"TS",""))*10/2,0),IF('Eval-Avec impact envisagé'!$A$773=AG14,LEN(SUBSTITUTE((SUBSTITUTE(BG21,"TF","")),"TS",""))*10/2,0),IF('Eval-Avec impact envisagé'!$A$774=AG14,LEN(SUBSTITUTE((SUBSTITUTE(BG22,"TF","")),"TS",""))*10/2,0),IF('Eval-Avec impact envisagé'!$A$775=AG14,LEN(SUBSTITUTE((SUBSTITUTE(BG23,"TF","")),"TS",""))*10/2,0),IF('Eval-Avec impact envisagé'!$A$776=AG14,LEN(SUBSTITUTE((SUBSTITUTE(BG24,"TF","")),"TS",""))*10/2,0),IF('Eval-Avec impact envisagé'!$A$777=AG14,LEN(SUBSTITUTE((SUBSTITUTE(BG25,"TF","")),"TS",""))*10/2,0),IF('Eval-Avec impact envisagé'!$A$778=AG14,LEN(SUBSTITUTE((SUBSTITUTE(BG26,"TF","")),"TS",""))*10/2,0),IF('Eval-Avec impact envisagé'!$A$779=AG14,LEN(SUBSTITUTE((SUBSTITUTE(BG27,"TF","")),"TS",""))*10/2,0),IF('Eval-Avec impact envisagé'!$A$780=AG14,LEN(SUBSTITUTE((SUBSTITUTE(BG28,"TF","")),"TS",""))*10/2,0))/COUNTIF('Eval-Avec impact envisagé'!$A$761:$A$780,AG14),"")</f>
        <v/>
      </c>
      <c r="AV14" s="211" t="str">
        <f>IF(COUNTIF('Eval-Avec impact envisagé'!$A$761:$A$780,AG14)&gt;0,SUM(IF('Eval-Avec impact envisagé'!$A$761=AG14,LEN(SUBSTITUTE((SUBSTITUTE(BG9,"TF","")),"TM",""))*10/2,0),IF('Eval-Avec impact envisagé'!$A$762=AG14,LEN(SUBSTITUTE((SUBSTITUTE(BG10,"TF","")),"TM",""))*10/2,0),IF('Eval-Avec impact envisagé'!$A$763=AG14,LEN(SUBSTITUTE((SUBSTITUTE(BG11,"TF","")),"TM",""))*10/2,0),IF('Eval-Avec impact envisagé'!$A$764=AG14,LEN(SUBSTITUTE((SUBSTITUTE(BG12,"TF","")),"TM",""))*10/2,0),IF('Eval-Avec impact envisagé'!$A$765=AG14,LEN(SUBSTITUTE((SUBSTITUTE(BG13,"TF","")),"TM",""))*10/2,0),IF('Eval-Avec impact envisagé'!$A$766=AG14,LEN(SUBSTITUTE((SUBSTITUTE(BG14,"TF","")),"TM",""))*10/2,0),IF('Eval-Avec impact envisagé'!$A$767=AG14,LEN(SUBSTITUTE((SUBSTITUTE(BG15,"TF","")),"TM",""))*10/2,0),IF('Eval-Avec impact envisagé'!$A$768=AG14,LEN(SUBSTITUTE((SUBSTITUTE(BG16,"TF","")),"TM",""))*10/2,0),IF('Eval-Avec impact envisagé'!$A$769=AG14,LEN(SUBSTITUTE((SUBSTITUTE(BG17,"TF","")),"TM",""))*10/2,0),IF('Eval-Avec impact envisagé'!$A$770=AG14,LEN(SUBSTITUTE((SUBSTITUTE(BG18,"TF","")),"TM",""))*10/2,0),IF('Eval-Avec impact envisagé'!$A$771=AG14,LEN(SUBSTITUTE((SUBSTITUTE(BG19,"TF","")),"TM",""))*10/2,0),IF('Eval-Avec impact envisagé'!$A$772=AG14,LEN(SUBSTITUTE((SUBSTITUTE(BG20,"TF","")),"TM",""))*10/2,0),IF('Eval-Avec impact envisagé'!$A$773=AG14,LEN(SUBSTITUTE((SUBSTITUTE(BG21,"TF","")),"TM",""))*10/2,0),IF('Eval-Avec impact envisagé'!$A$774=AG14,LEN(SUBSTITUTE((SUBSTITUTE(BG22,"TF","")),"TM",""))*10/2,0),IF('Eval-Avec impact envisagé'!$A$775=AG14,LEN(SUBSTITUTE((SUBSTITUTE(BG23,"TF","")),"TM",""))*10/2,0),IF('Eval-Avec impact envisagé'!$A$776=AG14,LEN(SUBSTITUTE((SUBSTITUTE(BG24,"TF","")),"TM",""))*10/2,0),IF('Eval-Avec impact envisagé'!$A$777=AG14,LEN(SUBSTITUTE((SUBSTITUTE(BG25,"TF","")),"TM",""))*10/2,0),IF('Eval-Avec impact envisagé'!$A$778=AG14,LEN(SUBSTITUTE((SUBSTITUTE(BG26,"TF","")),"TM",""))*10/2,0),IF('Eval-Avec impact envisagé'!$A$779=AG14,LEN(SUBSTITUTE((SUBSTITUTE(BG27,"TF","")),"TM",""))*10/2,0),IF('Eval-Avec impact envisagé'!$A$780=AG14,LEN(SUBSTITUTE((SUBSTITUTE(BG28,"TF","")),"TM",""))*10/2,0))/COUNTIF('Eval-Avec impact envisagé'!$A$761:$A$780,AG14),"")</f>
        <v/>
      </c>
      <c r="AW14" s="211" t="str">
        <f>IF(COUNTIF('Eval-Avec impact envisagé'!$A$761:$A$780,AG14)&gt;0,IF(OR(AND('Eval-Avec impact envisagé'!$A$761=AG14,BD9&lt;30),AND('Eval-Avec impact envisagé'!$A$762=AG14,BD10&lt;30),AND('Eval-Avec impact envisagé'!$A$763=AG14,BD11&lt;30),AND('Eval-Avec impact envisagé'!$A$764=AG14,BD12&lt;30),AND('Eval-Avec impact envisagé'!$A$765=AG14,BD13&lt;30),AND('Eval-Avec impact envisagé'!$A$766=AG14,BD14&lt;30),AND('Eval-Avec impact envisagé'!$A$767=AG14,BD15&lt;30),AND('Eval-Avec impact envisagé'!$A$768=AG14,BD16&lt;30),AND('Eval-Avec impact envisagé'!$A$769=AG14,BD17&lt;30),AND('Eval-Avec impact envisagé'!$A$770=AG14,BD18&lt;30),AND('Eval-Avec impact envisagé'!$A$771=AG14,BD19&lt;30),AND('Eval-Avec impact envisagé'!$A$772=AG14,BD20&lt;30),AND('Eval-Avec impact envisagé'!$A$773=AG14,BD21&lt;30),AND('Eval-Avec impact envisagé'!$A$774=AG14,BD22&lt;30),AND('Eval-Avec impact envisagé'!$A$775=AG14,BD23&lt;30),AND('Eval-Avec impact envisagé'!$A$776=AG14,BD24&lt;30),AND('Eval-Avec impact envisagé'!$A$777=AG14,BD25&lt;30),AND('Eval-Avec impact envisagé'!$A$778=AG14,BD26&lt;30),AND('Eval-Avec impact envisagé'!$A$779=AG14,BD27&lt;30),AND('Eval-Avec impact envisagé'!$A$780=AG14,BD28&lt;30)),"",SUM(0.1*(SUMPRODUCT(('Eval-Avec impact envisagé'!$A$761:$A$780=AG14)*('Eval-Avec impact envisagé'!$N$761:$P$780="A"))+ SUMPRODUCT(('Eval-Avec impact envisagé'!$A$761:$A$780=AG14)*('Eval-Avec impact envisagé'!$N$761:$P$780="AL"))),0.7*(SUMPRODUCT(('Eval-Avec impact envisagé'!$A$761:$A$780=AG14)*('Eval-Avec impact envisagé'!$N$761:$P$780="TF"))+SUMPRODUCT(('Eval-Avec impact envisagé'!$A$761:$A$780=AG14)*('Eval-Avec impact envisagé'!$N$761:$P$780="TM"))+SUMPRODUCT(('Eval-Avec impact envisagé'!$A$761:$A$780=AG14)*('Eval-Avec impact envisagé'!$N$761:$P$780="TS"))),0.4*(SUMPRODUCT(('Eval-Avec impact envisagé'!$A$761:$A$780=AG14)*('Eval-Avec impact envisagé'!$N$761:$P$780="LA"))+SUMPRODUCT(('Eval-Avec impact envisagé'!$A$761:$A$780=AG14)*('Eval-Avec impact envisagé'!$N$761:$P$780="L"))+SUMPRODUCT(('Eval-Avec impact envisagé'!$A$761:$A$780=AG14)*('Eval-Avec impact envisagé'!$N$761:$P$780="LS"))),1*(SUMPRODUCT(('Eval-Avec impact envisagé'!$A$761:$A$780=AG14)*('Eval-Avec impact envisagé'!$N$761:$P$780="SL"))+ SUMPRODUCT(('Eval-Avec impact envisagé'!$A$761:$A$780=AG14)*('Eval-Avec impact envisagé'!$N$761:$P$780="S"))))/(3*COUNTIF('Eval-Avec impact envisagé'!$A$761:$A$780,AG14))),"")</f>
        <v/>
      </c>
      <c r="AX14" s="211" t="str">
        <f>IF(COUNTIF('Eval-Avec impact envisagé'!$A$761:$A$780,AG14)&gt;0,IF(OR(AND('Eval-Avec impact envisagé'!$A$761=AG14,BD9&lt;120),AND('Eval-Avec impact envisagé'!$A$762=AG14,BD10&lt;120),AND('Eval-Avec impact envisagé'!$A$763=AG14,BD11&lt;120),AND('Eval-Avec impact envisagé'!$A$764=AG14,BD12&lt;120),AND('Eval-Avec impact envisagé'!$A$765=AG14,BD13&lt;120),AND('Eval-Avec impact envisagé'!$A$766=AG14,BD14&lt;120),AND('Eval-Avec impact envisagé'!$A$767=AG14,BD15&lt;120),AND('Eval-Avec impact envisagé'!$A$768=AG14,BD16&lt;120),AND('Eval-Avec impact envisagé'!$A$769=AG14,BD17&lt;120),AND('Eval-Avec impact envisagé'!$A$770=AG14,BD18&lt;120),AND('Eval-Avec impact envisagé'!$A$771=AG14,BD19&lt;120),AND('Eval-Avec impact envisagé'!$A$772=AG14,BD20&lt;120),AND('Eval-Avec impact envisagé'!$A$773=AG14,BD21&lt;120),AND('Eval-Avec impact envisagé'!$A$774=AG14,BD22&lt;120),AND('Eval-Avec impact envisagé'!$A$775=AG14,BD23&lt;120),AND('Eval-Avec impact envisagé'!$A$776=AG14,BD24&lt;120),AND('Eval-Avec impact envisagé'!$A$777=AG14,BD25&lt;120),AND('Eval-Avec impact envisagé'!$A$778=AG14,BD26&lt;120),AND('Eval-Avec impact envisagé'!$A$779=AG14,BD27&lt;120),AND('Eval-Avec impact envisagé'!$A$780=AG14,BD28&lt;120)),"",SUM(0.1*(SUMPRODUCT(('Eval-Avec impact envisagé'!$A$761:$A$780=AG14)*('Eval-Avec impact envisagé'!$Q$761:$Y$780="A"))+ SUMPRODUCT(('Eval-Avec impact envisagé'!$A$761:$A$780=AG14)*('Eval-Avec impact envisagé'!$Q$761:$Y$780="AL"))),0.7*(SUMPRODUCT(('Eval-Avec impact envisagé'!$A$761:$A$780=AG14)*('Eval-Avec impact envisagé'!$Q$761:$Y$780="TF"))+SUMPRODUCT(('Eval-Avec impact envisagé'!$A$761:$A$780=AG14)*('Eval-Avec impact envisagé'!$Q$761:$Y$780="TM"))+SUMPRODUCT(('Eval-Avec impact envisagé'!$A$761:$A$780=AG14)*('Eval-Avec impact envisagé'!$Q$761:$Y$780="TS"))),0.4*(SUMPRODUCT(('Eval-Avec impact envisagé'!$A$761:$A$780=AG14)*('Eval-Avec impact envisagé'!$Q$761:$Y$780="LA"))+SUMPRODUCT(('Eval-Avec impact envisagé'!$A$761:$A$780=AG14)*('Eval-Avec impact envisagé'!$Q$761:$Y$780="L"))+SUMPRODUCT(('Eval-Avec impact envisagé'!$A$761:$A$780=AG14)*('Eval-Avec impact envisagé'!$Q$761:$Y$780="LS"))),1*(SUMPRODUCT(('Eval-Avec impact envisagé'!$A$761:$A$780=AG14)*('Eval-Avec impact envisagé'!$Q$761:$Y$780="SL"))+ SUMPRODUCT(('Eval-Avec impact envisagé'!$A$761:$A$780=AG14)*('Eval-Avec impact envisagé'!$Q$761:$Y$780="S"))))/(9*COUNTIF('Eval-Avec impact envisagé'!$A$761:$A$780,AG14))),"")</f>
        <v/>
      </c>
      <c r="AY14" s="211" t="str">
        <f>IF(COUNTIF('Eval-Avec impact envisagé'!$A$761:$A$780,AG14)&gt;0,IF(OR(AND('Eval-Avec impact envisagé'!$A$761=AG14,OR(COUNTIF('Eval-Avec impact envisagé'!$N$761:$P$761,"*T*")&gt;0,BD9&lt;30)),AND('Eval-Avec impact envisagé'!$A$762=AG14,OR(COUNTIF('Eval-Avec impact envisagé'!$N$762:$P$762,"*T*")&gt;0,BD10&lt;30)),AND('Eval-Avec impact envisagé'!$A$763=AG14,OR(COUNTIF('Eval-Avec impact envisagé'!$N$763:$P$763,"*T*")&gt;0,BD11&lt;30)),AND('Eval-Avec impact envisagé'!$A$764=AG14,OR(COUNTIF('Eval-Avec impact envisagé'!$N$764:$P$764,"*T*")&gt;0,BD12&lt;30)),AND('Eval-Avec impact envisagé'!$A$765=AG14,OR(COUNTIF('Eval-Avec impact envisagé'!$N$765:$P$765,"*T*")&gt;0,BD13&lt;30)),AND('Eval-Avec impact envisagé'!$A$766=AG14,OR(COUNTIF('Eval-Avec impact envisagé'!$N$766:$P$766,"*T*")&gt;0,BD14&lt;30)),AND('Eval-Avec impact envisagé'!$A$767=AG14,OR(COUNTIF('Eval-Avec impact envisagé'!$N$767:$P$767,"*T*")&gt;0,BD15&lt;30)),AND('Eval-Avec impact envisagé'!$A$768=AG14,OR(COUNTIF('Eval-Avec impact envisagé'!$N$768:$P$768,"*T*")&gt;0,BD16&lt;30)),AND('Eval-Avec impact envisagé'!$A$769=AG14,OR(COUNTIF('Eval-Avec impact envisagé'!$N$769:$P$769,"*T*")&gt;0,BD17&lt;30)),AND('Eval-Avec impact envisagé'!$A$770=AG14,OR(COUNTIF('Eval-Avec impact envisagé'!$N$770:$P$770,"*T*")&gt;0,BD18&lt;30)),AND('Eval-Avec impact envisagé'!$A$771=AG14,OR(COUNTIF('Eval-Avec impact envisagé'!$N$771:$P$771,"*T*")&gt;0,BD19&lt;30)),AND('Eval-Avec impact envisagé'!$A$772=AG14,OR(COUNTIF('Eval-Avec impact envisagé'!$N$772:$P$772,"*T*")&gt;0,BD20&lt;30)),AND('Eval-Avec impact envisagé'!$A$773=AG14,OR(COUNTIF('Eval-Avec impact envisagé'!$N$773:$P$773,"*T*")&gt;0,BD21&lt;30)),AND('Eval-Avec impact envisagé'!$A$774=AG14,OR(COUNTIF('Eval-Avec impact envisagé'!$N$774:$P$774,"*T*")&gt;0,BD22&lt;30)),AND('Eval-Avec impact envisagé'!$A$775=AG14,OR(COUNTIF('Eval-Avec impact envisagé'!$N$775:$P$775,"*T*")&gt;0,BD23&lt;30)),AND('Eval-Avec impact envisagé'!$A$776=AG14,OR(COUNTIF('Eval-Avec impact envisagé'!$N$776:$P$776,"*T*")&gt;0,BD24&lt;30)),AND('Eval-Avec impact envisagé'!$A$777=AG14,OR(COUNTIF('Eval-Avec impact envisagé'!$N$777:$P$777,"*T*")&gt;0,BD25&lt;30)),AND('Eval-Avec impact envisagé'!$A$778=AG14,OR(COUNTIF('Eval-Avec impact envisagé'!$N$778:$P$778,"*T*")&gt;0,BD26&lt;30)),AND('Eval-Avec impact envisagé'!$A$779=AG14,OR(COUNTIF('Eval-Avec impact envisagé'!$N$779:$P$779,"*T*")&gt;0,BD27&lt;30)),AND('Eval-Avec impact envisagé'!$A$780=AG14,OR(COUNTIF('Eval-Avec impact envisagé'!$N$780:$P$780,"*T*")&gt;0,BD28&lt;30))),"",SUM(0.1*(SUMPRODUCT(('Eval-Avec impact envisagé'!$A$761:$A$780=AG14)*('Eval-Avec impact envisagé'!$N$761:$P$780="L"))),0.4*(SUMPRODUCT(('Eval-Avec impact envisagé'!$A$761:$A$780=AG14)*('Eval-Avec impact envisagé'!$N$761:$P$780="LA"))+SUMPRODUCT(('Eval-Avec impact envisagé'!$A$761:$A$780=AG14)*('Eval-Avec impact envisagé'!$N$761:$P$780="LS"))),0.7*(SUMPRODUCT(('Eval-Avec impact envisagé'!$A$761:$A$780=AG14)*('Eval-Avec impact envisagé'!$N$761:$P$780="AL"))+SUMPRODUCT(('Eval-Avec impact envisagé'!$A$761:$A$780=AG14)*('Eval-Avec impact envisagé'!$N$761:$P$780="SL"))),1*(SUMPRODUCT(('Eval-Avec impact envisagé'!$A$761:$A$780=AG14)*('Eval-Avec impact envisagé'!$N$761:$P$780="S"))+ SUMPRODUCT(('Eval-Avec impact envisagé'!$A$761:$A$780=AG14)*('Eval-Avec impact envisagé'!$N$761:$P$780="A"))))/(3*COUNTIF('Eval-Avec impact envisagé'!$A$761:$A$780,AG14))),"")</f>
        <v/>
      </c>
      <c r="AZ14" s="211" t="str">
        <f>IF(COUNTIF('Eval-Avec impact envisagé'!$A$761:$A$780,AG14)&gt;0,IF(OR(AND('Eval-Avec impact envisagé'!$A$761=AG14,OR(COUNTIF('Eval-Avec impact envisagé'!$N$761:$P$761,"*T*")&gt;0,BD9&lt;30)),AND('Eval-Avec impact envisagé'!$A$762=AG14,OR(COUNTIF('Eval-Avec impact envisagé'!$N$762:$P$762,"*T*")&gt;0,BD10&lt;30)),AND('Eval-Avec impact envisagé'!$A$763=AG14,OR(COUNTIF('Eval-Avec impact envisagé'!$N$763:$P$763,"*T*")&gt;0,BD11&lt;30)),AND('Eval-Avec impact envisagé'!$A$764=AG14,OR(COUNTIF('Eval-Avec impact envisagé'!$N$764:$P$764,"*T*")&gt;0,BD12&lt;30)),AND('Eval-Avec impact envisagé'!$A$765=AG14,OR(COUNTIF('Eval-Avec impact envisagé'!$N$765:$P$765,"*T*")&gt;0,BD13&lt;30)),AND('Eval-Avec impact envisagé'!$A$766=AG14,OR(COUNTIF('Eval-Avec impact envisagé'!$N$766:$P$766,"*T*")&gt;0,BD14&lt;30)),AND('Eval-Avec impact envisagé'!$A$767=AG14,OR(COUNTIF('Eval-Avec impact envisagé'!$N$767:$P$767,"*T*")&gt;0,BD15&lt;30)),AND('Eval-Avec impact envisagé'!$A$768=AG14,OR(COUNTIF('Eval-Avec impact envisagé'!$N$768:$P$768,"*T*")&gt;0,BD16&lt;30)),AND('Eval-Avec impact envisagé'!$A$769=AG14,OR(COUNTIF('Eval-Avec impact envisagé'!$N$769:$P$769,"*T*")&gt;0,BD17&lt;30)),AND('Eval-Avec impact envisagé'!$A$770=AG14,OR(COUNTIF('Eval-Avec impact envisagé'!$N$770:$P$770,"*T*")&gt;0,BD18&lt;30)),AND('Eval-Avec impact envisagé'!$A$771=AG14,OR(COUNTIF('Eval-Avec impact envisagé'!$N$771:$P$771,"*T*")&gt;0,BD19&lt;30)),AND('Eval-Avec impact envisagé'!$A$772=AG14,OR(COUNTIF('Eval-Avec impact envisagé'!$N$772:$P$772,"*T*")&gt;0,BD20&lt;30)),AND('Eval-Avec impact envisagé'!$A$773=AG14,OR(COUNTIF('Eval-Avec impact envisagé'!$N$773:$P$773,"*T*")&gt;0,BD21&lt;30)),AND('Eval-Avec impact envisagé'!$A$774=AG14,OR(COUNTIF('Eval-Avec impact envisagé'!$N$774:$P$774,"*T*")&gt;0,BD22&lt;30)),AND('Eval-Avec impact envisagé'!$A$775=AG14,OR(COUNTIF('Eval-Avec impact envisagé'!$N$775:$P$775,"*T*")&gt;0,BD23&lt;30)),AND('Eval-Avec impact envisagé'!$A$776=AG14,OR(COUNTIF('Eval-Avec impact envisagé'!$N$776:$P$776,"*T*")&gt;0,BD24&lt;30)),AND('Eval-Avec impact envisagé'!$A$777=AG14,OR(COUNTIF('Eval-Avec impact envisagé'!$N$777:$P$777,"*T*")&gt;0,BD25&lt;30)),AND('Eval-Avec impact envisagé'!$A$778=AG14,OR(COUNTIF('Eval-Avec impact envisagé'!$N$778:$P$778,"*T*")&gt;0,BD26&lt;30)),AND('Eval-Avec impact envisagé'!$A$779=AG14,OR(COUNTIF('Eval-Avec impact envisagé'!$N$779:$P$779,"*T*")&gt;0,BD27&lt;30)),AND('Eval-Avec impact envisagé'!$A$780=AG14,OR(COUNTIF('Eval-Avec impact envisagé'!$N$780:$P$780,"*T*")&gt;0,BD28&lt;30))),"",SUM(1*(SUMPRODUCT(('Eval-Avec impact envisagé'!$A$761:$A$780=AG14)*('Eval-Avec impact envisagé'!$N$761:$P$780="A"))),0.85*(SUMPRODUCT(('Eval-Avec impact envisagé'!$A$761:$A$780=AG14)*('Eval-Avec impact envisagé'!$N$761:$P$780="AL"))),0.7*(SUMPRODUCT(('Eval-Avec impact envisagé'!$A$761:$A$780=AG14)*('Eval-Avec impact envisagé'!$N$761:$P$780="LA"))),0.55*(SUMPRODUCT(('Eval-Avec impact envisagé'!$A$761:$A$780=AG14)*('Eval-Avec impact envisagé'!$N$761:$P$780="L"))),0.4*(SUMPRODUCT(('Eval-Avec impact envisagé'!$A$761:$A$780=AG14)*('Eval-Avec impact envisagé'!$N$761:$P$780="LS"))),0.25*(SUMPRODUCT(('Eval-Avec impact envisagé'!$A$761:$A$780=AG14)*('Eval-Avec impact envisagé'!$N$761:$P$780="SL"))),0.1*(SUMPRODUCT(('Eval-Avec impact envisagé'!$A$761:$A$780=AG14)*('Eval-Avec impact envisagé'!$N$761:$P$780="S"))))/(3*COUNTIF('Eval-Avec impact envisagé'!$A$761:$A$780,AG14))),"")</f>
        <v/>
      </c>
      <c r="BA14" s="214" t="str">
        <f>IF(COUNTIF('Eval-Avec impact envisagé'!$A$761:$A$780,AG14)&gt;0,IF(OR(AND('Eval-Avec impact envisagé'!$A$761=AG14,OR(COUNTIF('Eval-Avec impact envisagé'!$Q$761:$Y$761,"*T*")&gt;0,BD9&lt;120)),AND('Eval-Avec impact envisagé'!$A$762=AG14,OR(COUNTIF('Eval-Avec impact envisagé'!$Q$762:$Y$762,"*T*")&gt;0,BD10&lt;120)),AND('Eval-Avec impact envisagé'!$A$763=AG14,OR(COUNTIF('Eval-Avec impact envisagé'!$Q$763:$Y$763,"*T*")&gt;0,BD11&lt;120)),AND('Eval-Avec impact envisagé'!$A$764=AG14,OR(COUNTIF('Eval-Avec impact envisagé'!$Q$764:$Y$764,"*T*")&gt;0,BD12&lt;120)),AND('Eval-Avec impact envisagé'!$A$765=AG14,OR(COUNTIF('Eval-Avec impact envisagé'!$Q$765:$Y$765,"*T*")&gt;0,BD13&lt;120)),AND('Eval-Avec impact envisagé'!$A$766=AG14,OR(COUNTIF('Eval-Avec impact envisagé'!$Q$766:$Y$766,"*T*")&gt;0,BD14&lt;120)),AND('Eval-Avec impact envisagé'!$A$767=AG14,OR(COUNTIF('Eval-Avec impact envisagé'!$Q$767:$Y$767,"*T*")&gt;0,BD15&lt;120)),AND('Eval-Avec impact envisagé'!$A$768=AG14,OR(COUNTIF('Eval-Avec impact envisagé'!$Q$768:$Y$768,"*T*")&gt;0,BD16&lt;120)),AND('Eval-Avec impact envisagé'!$A$769=AG14,OR(COUNTIF('Eval-Avec impact envisagé'!$Q$769:$Y$769,"*T*")&gt;0,BD17&lt;120)),AND('Eval-Avec impact envisagé'!$A$770=AG14,OR(COUNTIF('Eval-Avec impact envisagé'!$Q$770:$Y$770,"*T*")&gt;0,BD18&lt;120)),AND('Eval-Avec impact envisagé'!$A$771=AG14,OR(COUNTIF('Eval-Avec impact envisagé'!$Q$771:$Y$771,"*T*")&gt;0,BD19&lt;120)),AND('Eval-Avec impact envisagé'!$A$772=AG14,OR(COUNTIF('Eval-Avec impact envisagé'!$Q$772:$Y$772,"*T*")&gt;0,BD20&lt;120)),AND('Eval-Avec impact envisagé'!$A$773=AG14,OR(COUNTIF('Eval-Avec impact envisagé'!$Q$773:$Y$773,"*T*")&gt;0,BD21&lt;120)),AND('Eval-Avec impact envisagé'!$A$774=AG14,OR(COUNTIF('Eval-Avec impact envisagé'!$Q$774:$Y$774,"*T*")&gt;0,BD22&lt;120)),AND('Eval-Avec impact envisagé'!$A$775=AG14,OR(COUNTIF('Eval-Avec impact envisagé'!$Q$775:$Y$775,"*T*")&gt;0,BD23&lt;120)),AND('Eval-Avec impact envisagé'!$A$776=AG14,OR(COUNTIF('Eval-Avec impact envisagé'!$Q$776:$Y$776,"*T*")&gt;0,BD24&lt;120)),AND('Eval-Avec impact envisagé'!$A$777=AG14,OR(COUNTIF('Eval-Avec impact envisagé'!$Q$777:$Y$777,"*T*")&gt;0,BD25&lt;120)),AND('Eval-Avec impact envisagé'!$A$778=AG14,OR(COUNTIF('Eval-Avec impact envisagé'!$Q$778:$Y$778,"*T*")&gt;0,BD26&lt;120)),AND('Eval-Avec impact envisagé'!$A$779=AG14,OR(COUNTIF('Eval-Avec impact envisagé'!$Q$779:$Y$779,"*T*")&gt;0,BD27&lt;120)),AND('Eval-Avec impact envisagé'!$A$780=AG14,OR(COUNTIF('Eval-Avec impact envisagé'!$Q$780:$Y$780,"*T*")&gt;0,BD28&lt;120))),"",SUM(1*(SUMPRODUCT(('Eval-Avec impact envisagé'!$A$761:$A$780=AG14)*('Eval-Avec impact envisagé'!$Q$761:$Y$780="A"))),0.85*(SUMPRODUCT(('Eval-Avec impact envisagé'!$A$761:$A$780=AG14)*('Eval-Avec impact envisagé'!$Q$761:$Y$780="AL"))),0.7*(SUMPRODUCT(('Eval-Avec impact envisagé'!$A$761:$A$780=AG14)*('Eval-Avec impact envisagé'!$Q$761:$Y$780="LA"))),0.55*(SUMPRODUCT(('Eval-Avec impact envisagé'!$A$761:$A$780=AG14)*('Eval-Avec impact envisagé'!$Q$761:$Y$780="L"))),0.4*(SUMPRODUCT(('Eval-Avec impact envisagé'!$A$761:$A$780=AG14)*('Eval-Avec impact envisagé'!$Q$761:$Y$780="LS"))),0.25*(SUMPRODUCT(('Eval-Avec impact envisagé'!$A$761:$A$780=AG14)*('Eval-Avec impact envisagé'!$Q$761:$Y$780="SL"))),0.1*(SUMPRODUCT(('Eval-Avec impact envisagé'!$A$761:$A$780=AG14)*('Eval-Avec impact envisagé'!$Q$761:$Y$780="S"))))/(9*COUNTIF('Eval-Avec impact envisagé'!$A$761:$A$780,AG14))),"")</f>
        <v/>
      </c>
      <c r="BB14" s="215"/>
      <c r="BC14" s="216">
        <f>'Eval-Avec impact envisagé'!$D$766</f>
        <v>6</v>
      </c>
      <c r="BD14" s="217" t="str">
        <f>IF(BE14="C",0,IF(IF(COUNTIF('Eval-Avec impact envisagé'!$N$766:$Y$766,"=C")&gt;0,(COUNTA('Eval-Avec impact envisagé'!$N$766:$Y$766)-1)*10,COUNTA('Eval-Avec impact envisagé'!$N$766:$Y$766)*10)=0,"",IF(COUNTIF('Eval-Avec impact envisagé'!$N$766:$Y$766,"=C")&gt;0,(COUNTA('Eval-Avec impact envisagé'!$N$766:$Y$766)-1)*10,COUNTA('Eval-Avec impact envisagé'!$N$766:$Y$766)*10)))</f>
        <v/>
      </c>
      <c r="BE14" s="217" t="str">
        <f>CONCATENATE('Eval-Avec impact envisagé'!$N$766,'Eval-Avec impact envisagé'!$O$766,'Eval-Avec impact envisagé'!$P$766,'Eval-Avec impact envisagé'!$Q$766,'Eval-Avec impact envisagé'!$R$766,'Eval-Avec impact envisagé'!$S$766,'Eval-Avec impact envisagé'!$T$766,'Eval-Avec impact envisagé'!$U$766,'Eval-Avec impact envisagé'!$V$766,'Eval-Avec impact envisagé'!$W$766,'Eval-Avec impact envisagé'!$X$766,'Eval-Avec impact envisagé'!$Y$766)</f>
        <v/>
      </c>
      <c r="BF14" s="217" t="str">
        <f t="shared" si="4"/>
        <v/>
      </c>
      <c r="BG14" s="217" t="str">
        <f t="shared" si="5"/>
        <v/>
      </c>
      <c r="BH14" s="217" t="str">
        <f>IF(COUNTIF('Eval-Avec impact envisagé'!$N$766:$Y$766,"=C")&gt;0,"X","")</f>
        <v/>
      </c>
      <c r="BI14" s="217" t="str">
        <f t="shared" si="6"/>
        <v/>
      </c>
      <c r="BJ14" s="218" t="str">
        <f t="shared" si="7"/>
        <v/>
      </c>
      <c r="BK14" s="197"/>
      <c r="BM14" s="210">
        <v>6</v>
      </c>
      <c r="BN14" s="211" t="str">
        <f>IF(COUNTIF('Eval-Après impact'!$A$761:$A$780,BM14)&gt;0,SUM(IF('Eval-Après impact'!$A$761=BM14,'Eval-Après impact'!$B$761,0),IF('Eval-Après impact'!$A$762=BM14, 'Eval-Après impact'!$B$762,0),IF('Eval-Après impact'!$A$763=BM14, 'Eval-Après impact'!$B$763,0),IF('Eval-Après impact'!$A$764=BM14, 'Eval-Après impact'!$B$764,0),IF('Eval-Après impact'!$A$765=BM14, 'Eval-Après impact'!$B$765,0),IF('Eval-Après impact'!$A$766=BM14, 'Eval-Après impact'!$B$766,0),IF('Eval-Après impact'!$A$767=BM14, 'Eval-Après impact'!$B$767,0),IF('Eval-Après impact'!$A$768=BM14, 'Eval-Après impact'!$B$768,0),IF('Eval-Après impact'!$A$769=BM14, 'Eval-Après impact'!$B$769,0),IF('Eval-Après impact'!$A$770=BM14, 'Eval-Après impact'!$B$770,0),IF('Eval-Après impact'!$A$771=BM14, 'Eval-Après impact'!$B$771,0),IF('Eval-Après impact'!$A$772=BM14, 'Eval-Après impact'!$B$772,0),IF('Eval-Après impact'!$A$773=BM14, 'Eval-Après impact'!$B$773,0),IF('Eval-Après impact'!$A$774=BM14, 'Eval-Après impact'!$B$774,0),IF('Eval-Après impact'!$A$775=BM14, 'Eval-Après impact'!$B$775,0),IF('Eval-Après impact'!$A$776=BM14, 'Eval-Après impact'!$B$776,0),IF('Eval-Après impact'!$A$777=BM14, 'Eval-Après impact'!$B$777,0),IF('Eval-Après impact'!$A$778=BM14, 'Eval-Après impact'!$B$778,0),IF('Eval-Après impact'!$A$779=BM14, 'Eval-Après impact'!$B$779,0),IF('Eval-Après impact'!$A$780=BM14, 'Eval-Après impact'!$B$780,0))/COUNTIF('Eval-Après impact'!$A$761:$A$780,BM14),"")</f>
        <v/>
      </c>
      <c r="BO14" s="212" t="str">
        <f>IF(COUNTIF('Eval-Après impact'!$A$761:$A$780,BM14)&gt;0,COUNTIF('Eval-Après impact'!$A$761:$A$780,BM14),"")</f>
        <v/>
      </c>
      <c r="BP14" s="211" t="str">
        <f>IF(COUNTIF('Eval-Après impact'!$A$761:$A$780,BM14)&gt;0,IF(OR(AND('Eval-Après impact'!$A$761=BM14, 'Eval-Après impact'!$G$761=""),AND('Eval-Après impact'!$A$762=BM14, 'Eval-Après impact'!$G$762=""),AND('Eval-Après impact'!$A$763=BM14, 'Eval-Après impact'!$G$763=""),AND('Eval-Après impact'!$A$764=BM14, 'Eval-Après impact'!$G$764=""),AND('Eval-Après impact'!$A$765=BM14, 'Eval-Après impact'!$G$765=""),AND('Eval-Après impact'!$A$766=BM14, 'Eval-Après impact'!$G$766=""),AND('Eval-Après impact'!$A$767=BM14, 'Eval-Après impact'!$G$767=""),AND('Eval-Après impact'!$A$768=BM14, 'Eval-Après impact'!$G$768=""),AND('Eval-Après impact'!$A$769=BM14, 'Eval-Après impact'!$G$769=""),AND('Eval-Après impact'!$A$770=BM14, 'Eval-Après impact'!$G$770=""),AND('Eval-Après impact'!$A$771=BM14, 'Eval-Après impact'!$G$771=""),AND('Eval-Après impact'!$A$772=BM14, 'Eval-Après impact'!$G$772=""),AND('Eval-Après impact'!$A$773=BM14, 'Eval-Après impact'!$G$773=""),AND('Eval-Après impact'!$A$774=BM14, 'Eval-Après impact'!$G$774=""),AND('Eval-Après impact'!$A$775=BM14, 'Eval-Après impact'!$G$775=""),AND('Eval-Après impact'!$A$776=BM14, 'Eval-Après impact'!$G$776=""),AND('Eval-Après impact'!$A$777=BM14, 'Eval-Après impact'!$G$777=""),AND('Eval-Après impact'!$A$778=BM14, 'Eval-Après impact'!$G$778=""),AND('Eval-Après impact'!$A$779=BM14, 'Eval-Après impact'!$G$779=""),AND('Eval-Après impact'!$A$780=BM14, 'Eval-Après impact'!$G$780="")),"",SUM(IF('Eval-Après impact'!$A$761=BM14,'Eval-Après impact'!$G$761,0),IF('Eval-Après impact'!$A$762=BM14,'Eval-Après impact'!$G$762,0),IF('Eval-Après impact'!$A$763=BM14,'Eval-Après impact'!$G$763,0),IF('Eval-Après impact'!$A$764=BM14,'Eval-Après impact'!$G$764,0),IF('Eval-Après impact'!$A$765=BM14,'Eval-Après impact'!$G$765,0),IF('Eval-Après impact'!$A$766=BM14,'Eval-Après impact'!$G$766,0),IF('Eval-Après impact'!$A$767=BM14,'Eval-Après impact'!$G$767,0),IF('Eval-Après impact'!$A$768=BM14,'Eval-Après impact'!$G$768,0),IF('Eval-Après impact'!$A$769=BM14,'Eval-Après impact'!$G$769,0),IF('Eval-Après impact'!$A$770=BM14,'Eval-Après impact'!$G$770,0),IF('Eval-Après impact'!$A$771=BM14,'Eval-Après impact'!$G$771,0),IF('Eval-Après impact'!$A$772=BM14,'Eval-Après impact'!$G$772,0),IF('Eval-Après impact'!$A$773=BM14,'Eval-Après impact'!$G$773,0),IF('Eval-Après impact'!$A$774=BM14,'Eval-Après impact'!$G$774,0),IF('Eval-Après impact'!$A$775=BM14,'Eval-Après impact'!$G$775,0), IF('Eval-Après impact'!$A$776=BM14,'Eval-Après impact'!$G$776,0), IF('Eval-Après impact'!$A$777=BM14,'Eval-Après impact'!$G$777,0), IF('Eval-Après impact'!$A$778=BM14,'Eval-Après impact'!$G$778,0), IF('Eval-Après impact'!$A$779=BM14,'Eval-Après impact'!$G$779,0), IF('Eval-Après impact'!$A$780=BM14,'Eval-Après impact'!$G$780,0))/ COUNTIF('Eval-Après impact'!$A$761:$A$780,BM14)),"")</f>
        <v/>
      </c>
      <c r="BQ14" s="212" t="str">
        <f>IF(COUNTIF('Eval-Après impact'!$A$761:$A$780,BM14)&gt;0,IF(SUM(IF('Eval-Après impact'!$A$761=BM14,COUNTA('Eval-Après impact'!$H$761),0),IF('Eval-Après impact'!$A$762=BM14,COUNTA('Eval-Après impact'!$H$762),0),IF('Eval-Après impact'!$A$763=BM14,COUNTA('Eval-Après impact'!$H$763),0),IF('Eval-Après impact'!$A$764=BM14,COUNTA('Eval-Après impact'!$H$764),0),IF('Eval-Après impact'!$A$765=BM14,COUNTA('Eval-Après impact'!$H$765),0),IF('Eval-Après impact'!$A$766=BM14,COUNTA('Eval-Après impact'!$H$766),0),IF('Eval-Après impact'!$A$767=BM14,COUNTA('Eval-Après impact'!$H$767),0),IF('Eval-Après impact'!$A$768=BM14,COUNTA('Eval-Après impact'!$H$768),0),IF('Eval-Après impact'!$A$769=BM14,COUNTA('Eval-Après impact'!$H$769),0),IF('Eval-Après impact'!$A$770=BM14,COUNTA('Eval-Après impact'!$H$770),0),IF('Eval-Après impact'!$A$771=BM14,COUNTA('Eval-Après impact'!$H$771),0),IF('Eval-Après impact'!$A$772=BM14,COUNTA('Eval-Après impact'!$H$772),0),IF('Eval-Après impact'!$A$773=BM14,COUNTA('Eval-Après impact'!$H$773),0),IF('Eval-Après impact'!$A$774=BM14,COUNTA('Eval-Après impact'!$H$774),0),IF('Eval-Après impact'!$A$775=BM14,COUNTA('Eval-Après impact'!$H$775),0),IF('Eval-Après impact'!$A$776=BM14,COUNTA('Eval-Après impact'!$H$776),0),IF('Eval-Après impact'!$A$777=BM14,COUNTA('Eval-Après impact'!$H$777),0),IF('Eval-Après impact'!$A$778=BM14,COUNTA('Eval-Après impact'!$H$778),0),IF('Eval-Après impact'!$A$779=BM14,COUNTA('Eval-Après impact'!$H$779),0),IF('Eval-Après impact'!$A$780=BM14,COUNTA('Eval-Après impact'!$H$780),0))&gt;0,"X",0),"")</f>
        <v/>
      </c>
      <c r="BR14" s="213" t="str">
        <f>IF(COUNTIF('Eval-Après impact'!$A$761:$A$780,BM14)&gt;0,IF(SUM(IF('Eval-Après impact'!$A$761=BM14,COUNTA('Eval-Après impact'!$I$761),0),IF('Eval-Après impact'!$A$762=BM14,COUNTA('Eval-Après impact'!$I$762),0),IF('Eval-Après impact'!$A$763=BM14,COUNTA('Eval-Après impact'!$I$763),0),IF('Eval-Après impact'!$A$764=BM14,COUNTA('Eval-Après impact'!$I$764),0),IF('Eval-Après impact'!$A$765=BM14,COUNTA('Eval-Après impact'!$I$765),0),IF('Eval-Après impact'!$A$766=BM14,COUNTA('Eval-Après impact'!$I$766),0),IF('Eval-Après impact'!$A$767=BM14,COUNTA('Eval-Après impact'!$I$767),0),IF('Eval-Après impact'!$A$768=BM14,COUNTA('Eval-Après impact'!$I$768),0),IF('Eval-Après impact'!$A$769=BM14,COUNTA('Eval-Après impact'!$I$769),0),IF('Eval-Après impact'!$A$770=BM14,COUNTA('Eval-Après impact'!$I$770),0),IF('Eval-Après impact'!$A$771=BM14,COUNTA('Eval-Après impact'!$I$771),0),IF('Eval-Après impact'!$A$772=BM14,COUNTA('Eval-Après impact'!$I$772),0),IF('Eval-Après impact'!$A$773=BM14,COUNTA('Eval-Après impact'!$I$773),0),IF('Eval-Après impact'!$A$774=BM14,COUNTA('Eval-Après impact'!$I$774),0),IF('Eval-Après impact'!$A$775=BM14,COUNTA('Eval-Après impact'!$I$775),0),IF('Eval-Après impact'!$A$776=BM14,COUNTA('Eval-Après impact'!$I$776),0),IF('Eval-Après impact'!$A$777=BM14,COUNTA('Eval-Après impact'!$I$777),0),IF('Eval-Après impact'!$A$778=BM14,COUNTA('Eval-Après impact'!$I$778),0),IF('Eval-Après impact'!$A$779=BM14,COUNTA('Eval-Après impact'!$I$779),0),IF('Eval-Après impact'!$A$780=BM14,COUNTA('Eval-Après impact'!$I$780),0))&gt;0,"X",0),"")</f>
        <v/>
      </c>
      <c r="BS14" s="213" t="str">
        <f>IF(COUNTIF('Eval-Après impact'!$A$761:$A$780,BM14)&gt;0,IF(SUM(IF('Eval-Après impact'!$A$761=BM14,COUNTA('Eval-Après impact'!$J$761),0),IF('Eval-Après impact'!$A$762=BM14,COUNTA('Eval-Après impact'!$J$762),0),IF('Eval-Après impact'!$A$763=BM14,COUNTA('Eval-Après impact'!$J$763),0),IF('Eval-Après impact'!$A$764=BM14,COUNTA('Eval-Après impact'!$J$764),0),IF('Eval-Après impact'!$A$765=BM14,COUNTA('Eval-Après impact'!$J$765),0),IF('Eval-Après impact'!$A$766=BM14,COUNTA('Eval-Après impact'!$J$766),0),IF('Eval-Après impact'!$A$767=BM14,COUNTA('Eval-Après impact'!$J$767),0),IF('Eval-Après impact'!$A$768=BM14,COUNTA('Eval-Après impact'!$J$768),0),IF('Eval-Après impact'!$A$769=BM14,COUNTA('Eval-Après impact'!$J$769),0),IF('Eval-Après impact'!$A$770=BM14,COUNTA('Eval-Après impact'!$J$770),0),IF('Eval-Après impact'!$A$771=BM14,COUNTA('Eval-Après impact'!$J$771),0),IF('Eval-Après impact'!$A$772=BM14,COUNTA('Eval-Après impact'!$J$772),0),IF('Eval-Après impact'!$A$773=BM14,COUNTA('Eval-Après impact'!$J$773),0),IF('Eval-Après impact'!$A$774=BM14,COUNTA('Eval-Après impact'!$J$774),0),IF('Eval-Après impact'!$A$775=BM14,COUNTA('Eval-Après impact'!$J$775),0),IF('Eval-Après impact'!$A$776=BM14,COUNTA('Eval-Après impact'!$J$776),0),IF('Eval-Après impact'!$A$777=BM14,COUNTA('Eval-Après impact'!$J$777),0),IF('Eval-Après impact'!$A$778=BM14,COUNTA('Eval-Après impact'!$J$778),0),IF('Eval-Après impact'!$A$779=BM14,COUNTA('Eval-Après impact'!$J$779),0),IF('Eval-Après impact'!$A$780=BM14,COUNTA('Eval-Après impact'!$J$780),0))&gt;0,"X",0),"")</f>
        <v/>
      </c>
      <c r="BT14" s="213" t="str">
        <f>IF(COUNTIF('Eval-Après impact'!$A$761:$A$780,BM14)&gt;0,IF(SUM(IF('Eval-Après impact'!$A$761=BM14,COUNTA('Eval-Après impact'!$K$761),0),IF('Eval-Après impact'!$A$762=BM14,COUNTA('Eval-Après impact'!$K$762),0),IF('Eval-Après impact'!$A$763=BM14,COUNTA('Eval-Après impact'!$K$763),0),IF('Eval-Après impact'!$A$764=BM14,COUNTA('Eval-Après impact'!$K$764),0),IF('Eval-Après impact'!$A$765=BM14,COUNTA('Eval-Après impact'!$K$765),0),IF('Eval-Après impact'!$A$766=BM14,COUNTA('Eval-Après impact'!$K$766),0),IF('Eval-Après impact'!$A$767=BM14,COUNTA('Eval-Après impact'!$K$767),0),IF('Eval-Après impact'!$A$768=BM14,COUNTA('Eval-Après impact'!$K$768),0),IF('Eval-Après impact'!$A$769=BM14,COUNTA('Eval-Après impact'!$K$769),0),IF('Eval-Après impact'!$A$770=BM14,COUNTA('Eval-Après impact'!$K$770),0),IF('Eval-Après impact'!$A$771=BM14,COUNTA('Eval-Après impact'!$K$771),0),IF('Eval-Après impact'!$A$772=BM14,COUNTA('Eval-Après impact'!$K$772),0),IF('Eval-Après impact'!$A$773=BM14,COUNTA('Eval-Après impact'!$K$773),0),IF('Eval-Après impact'!$A$774=BM14,COUNTA('Eval-Après impact'!$K$774),0),IF('Eval-Après impact'!$A$775=BM14,COUNTA('Eval-Après impact'!$K$775),0),IF('Eval-Après impact'!$A$776=BM14,COUNTA('Eval-Après impact'!$K$776),0),IF('Eval-Après impact'!$A$777=BM14,COUNTA('Eval-Après impact'!$K$777),0),IF('Eval-Après impact'!$A$778=BM14,COUNTA('Eval-Après impact'!$K$778),0),IF('Eval-Après impact'!$A$779=BM14,COUNTA('Eval-Après impact'!$K$779),0),IF('Eval-Après impact'!$A$780=BM14,COUNTA('Eval-Après impact'!$K$780),0))&gt;0,"X",0),"")</f>
        <v/>
      </c>
      <c r="BU14" s="211" t="str">
        <f>IF(COUNTIF('Eval-Après impact'!$A$761:$A$780,BM14)&gt;0,IF(OR(AND('Eval-Après impact'!$A$761=BM14,'Eval-Après impact'!$L$761&lt;120,'Eval-Après impact'!$L$761&gt;=CJ9),AND('Eval-Après impact'!$A$762=BM14,'Eval-Après impact'!$L$762&lt;120,'Eval-Après impact'!$L$762&gt;=CJ10),AND('Eval-Après impact'!$A$763=BM14,'Eval-Après impact'!$L$763&lt;120,'Eval-Après impact'!$L$763&gt;=CJ11),AND('Eval-Après impact'!$A$764=BM14,'Eval-Après impact'!$L$764&lt;120,'Eval-Après impact'!$L$764&gt;=CJ12),AND('Eval-Après impact'!$A$765=BM14,'Eval-Après impact'!$L$765&lt;120,'Eval-Après impact'!$L$765&gt;=CJ13),AND('Eval-Après impact'!$A$766=BM14,'Eval-Après impact'!$L$766&lt;120,'Eval-Après impact'!$L$766&gt;=CJ14),AND('Eval-Après impact'!$A$767=BM14,'Eval-Après impact'!$L$767&lt;120,'Eval-Après impact'!$L$767&gt;=CJ15),AND('Eval-Après impact'!$A$768=BM14,'Eval-Après impact'!$L$768&lt;120,'Eval-Après impact'!$L$768&gt;=CJ16),AND('Eval-Après impact'!$A$769=BM14,'Eval-Après impact'!$L$769&lt;120,'Eval-Après impact'!$L$769&gt;=CJ17),AND('Eval-Après impact'!$A$770=BM14,'Eval-Après impact'!$L$770&lt;120,'Eval-Après impact'!$L$770&gt;=CJ18),AND('Eval-Après impact'!$A$771=BM14,'Eval-Après impact'!$L$771&lt;120,'Eval-Après impact'!$L$771&gt;=CJ19),AND('Eval-Après impact'!$A$772=BM14,'Eval-Après impact'!$L$772&lt;120,'Eval-Après impact'!$L$772&gt;=CJ20),AND('Eval-Après impact'!$A$773=BM14,'Eval-Après impact'!$L$773&lt;120,'Eval-Après impact'!$L$773&gt;=CJ21),AND('Eval-Après impact'!$A$774=BM14,'Eval-Après impact'!$L$774&lt;120,'Eval-Après impact'!$L$774&gt;=CJ22),AND('Eval-Après impact'!$A$775=BM14,'Eval-Après impact'!$L$775&lt;120,'Eval-Après impact'!$L$775&gt;=CJ23),AND('Eval-Après impact'!$A$776=BM14,'Eval-Après impact'!$L$776&lt;120,'Eval-Après impact'!$L$776&gt;=CJ24),AND('Eval-Après impact'!$A$777=BM14,'Eval-Après impact'!$L$777&lt;120,'Eval-Après impact'!$L$777&gt;=CJ25),AND('Eval-Après impact'!$A$778=BM14,'Eval-Après impact'!$L$778&lt;120,'Eval-Après impact'!$L$778&gt;=CJ26),AND('Eval-Après impact'!$A$779=BM14,'Eval-Après impact'!$L$779&lt;120,'Eval-Après impact'!$L$779&gt;=CJ27),AND('Eval-Après impact'!$A$780=BM14,'Eval-Après impact'!$L$780&lt;120,'Eval-Après impact'!$L$780&gt;=CJ28)),"",SUM(IF('Eval-Après impact'!$A$761=BM14,'Eval-Après impact'!$L$761,0),IF('Eval-Après impact'!$A$762=BM14,'Eval-Après impact'!$L$762,0),IF('Eval-Après impact'!$A$763=BM14,'Eval-Après impact'!$L$763,0),IF('Eval-Après impact'!$A$764=BM14,'Eval-Après impact'!$L$764,0),IF('Eval-Après impact'!$A$765=BM14,'Eval-Après impact'!$L$765,0),IF('Eval-Après impact'!$A$766=BM14,'Eval-Après impact'!$L$766,0),IF('Eval-Après impact'!$A$767=BM14,'Eval-Après impact'!$L$767,0),IF('Eval-Après impact'!$A$768=BM14,'Eval-Après impact'!$L$768,0),IF('Eval-Après impact'!$A$769=BM14,'Eval-Après impact'!$L$769,0),IF('Eval-Après impact'!$A$770=BM14,'Eval-Après impact'!$L$770,0),IF('Eval-Après impact'!$A$771=BM14,'Eval-Après impact'!$L$771,0),IF('Eval-Après impact'!$A$772=BM14,'Eval-Après impact'!$L$772,0),IF('Eval-Après impact'!$A$773=BM14,'Eval-Après impact'!$L$773,0),IF('Eval-Après impact'!$A$774=BM14,'Eval-Après impact'!$L$774,0),IF('Eval-Après impact'!$A$775=BM14,'Eval-Après impact'!$L$775,0),IF('Eval-Après impact'!$A$776=BM14,'Eval-Après impact'!$L$776,0),IF('Eval-Après impact'!$A$777=BM14,'Eval-Après impact'!$L$777,0),IF('Eval-Après impact'!$A$778=BM14,'Eval-Après impact'!$L$778,0),IF('Eval-Après impact'!$A$779=BM14,'Eval-Après impact'!$L$779,0),IF('Eval-Après impact'!$A$780=BM14,'Eval-Après impact'!$L$780,0))/ COUNTIF('Eval-Après impact'!$A$761:$A$780,BM14)),"")</f>
        <v/>
      </c>
      <c r="BV14" s="211" t="str">
        <f>IF(COUNTIF('Eval-Après impact'!$A$761:$A$780,BM14)&gt;0,IF(OR(AND('Eval-Après impact'!$A$761=BM14, CJ9&lt;120),AND(CJ10&lt;120),AND(CJ11&lt;120),AND(CJ12&lt;120),AND(CJ13&lt;120),AND(CJ14&lt;120),AND(CJ15&lt;120),AND(CJ16&lt;120),AND(CJ17&lt;120),AND(CJ18&lt;120),AND(CJ19&lt;120),AND(CJ20&lt;120),AND(CJ21&lt;120),AND(CJ22&lt;120),AND(CJ23&lt;120),AND(CJ24&lt;120),AND(CJ25&lt;120),AND(CJ26&lt;120),AND(CJ27&lt;120),AND(CJ28&lt;120)),"",SUM(IF('Eval-Après impact'!$A$761=BM14,'Eval-Après impact'!$M$761,0),IF('Eval-Après impact'!$A$762=BM14,'Eval-Après impact'!$M$762,0),IF('Eval-Après impact'!$A$763=BM14,'Eval-Après impact'!$M$763,0),IF('Eval-Après impact'!$A$764=BM14,'Eval-Après impact'!$M$764,0),IF('Eval-Après impact'!$A$765=BM14,'Eval-Après impact'!$M$765,0),IF('Eval-Après impact'!$A$766=BM14,'Eval-Après impact'!$M$766,0),IF('Eval-Après impact'!$A$767=BM14,'Eval-Après impact'!$M$767,0),IF('Eval-Après impact'!$A$768=BM14,'Eval-Après impact'!$M$768,0),IF('Eval-Après impact'!$A$769=BM14,'Eval-Après impact'!$M$769,0),IF('Eval-Après impact'!$A$770=BM14,'Eval-Après impact'!$M$770,0),IF('Eval-Après impact'!$A$771=BM14,'Eval-Après impact'!$M$771,0),IF('Eval-Après impact'!$A$772=BM14,'Eval-Après impact'!$M$772,0),IF('Eval-Après impact'!$A$773=BM14,'Eval-Après impact'!$M$773,0),IF('Eval-Après impact'!$A$774=BM14,'Eval-Après impact'!$M$774,0),IF('Eval-Après impact'!$A$775=BM14,'Eval-Après impact'!$M$775,0), IF('Eval-Après impact'!$A$776=BM14,'Eval-Après impact'!$M$776,0), IF('Eval-Après impact'!$A$777=BM14,'Eval-Après impact'!$M$777,0), IF('Eval-Après impact'!$A$778=BM14,'Eval-Après impact'!$M$778,0), IF('Eval-Après impact'!$A$779=BM14,'Eval-Après impact'!$M$779,0), IF('Eval-Après impact'!$A$780=BM14,'Eval-Après impact'!$M$780,0))/COUNTIF('Eval-Après impact'!$A$761:$A$780,BM14)),"")</f>
        <v/>
      </c>
      <c r="BW14" s="211" t="str">
        <f>IF(COUNTIF('Eval-Après impact'!$A$761:$A$780,BM14)&gt;0,SUM(IF('Eval-Après impact'!$A$761=BM14,LEN(SUBSTITUTE((SUBSTITUTE(CL9,"TM","")),"TS",""))*10/2,0),IF('Eval-Après impact'!$A$762=BM14,LEN(SUBSTITUTE((SUBSTITUTE(CL10,"TM","")),"TS",""))*10/2,0),IF('Eval-Après impact'!$A$763=BM14,LEN(SUBSTITUTE((SUBSTITUTE(CL11,"TM","")),"TS",""))*10/2,0),IF('Eval-Après impact'!$A$764=BM14,LEN(SUBSTITUTE((SUBSTITUTE(CL12,"TM","")),"TS",""))*10/2,0),IF('Eval-Après impact'!$A$765=BM14,LEN(SUBSTITUTE((SUBSTITUTE(CL13,"TM","")),"TS",""))*10/2,0),IF('Eval-Après impact'!$A$766=BM14,LEN(SUBSTITUTE((SUBSTITUTE(CL14,"TM","")),"TS",""))*10/2,0),IF('Eval-Après impact'!$A$767=BM14,LEN(SUBSTITUTE((SUBSTITUTE(CL15,"TM","")),"TS",""))*10/2,0),IF('Eval-Après impact'!$A$768=BM14,LEN(SUBSTITUTE((SUBSTITUTE(CL16,"TM","")),"TS",""))*10/2,0),IF('Eval-Après impact'!$A$769=BM14,LEN(SUBSTITUTE((SUBSTITUTE(CL17,"TM","")),"TS",""))*10/2,0),IF('Eval-Après impact'!$A$770=BM14,LEN(SUBSTITUTE((SUBSTITUTE(CL18,"TM","")),"TS",""))*10/2,0),IF('Eval-Après impact'!$A$771=BM14,LEN(SUBSTITUTE((SUBSTITUTE(CL19,"TM","")),"TS",""))*10/2,0),IF('Eval-Après impact'!$A$772=BM14,LEN(SUBSTITUTE((SUBSTITUTE(CL20,"TM","")),"TS",""))*10/2,0),IF('Eval-Après impact'!$A$773=BM14,LEN(SUBSTITUTE((SUBSTITUTE(CL21,"TM","")),"TS",""))*10/2,0),IF('Eval-Après impact'!$A$774=BM14,LEN(SUBSTITUTE((SUBSTITUTE(CL22,"TM","")),"TS",""))*10/2,0),IF('Eval-Après impact'!$A$775=BM14,LEN(SUBSTITUTE((SUBSTITUTE(CL23,"TM","")),"TS",""))*10/2,0),IF('Eval-Après impact'!$A$776=BM14,LEN(SUBSTITUTE((SUBSTITUTE(CL24,"TM","")),"TS",""))*10/2,0),IF('Eval-Après impact'!$A$777=BM14,LEN(SUBSTITUTE((SUBSTITUTE(CL25,"TM","")),"TS",""))*10/2,0),IF('Eval-Après impact'!$A$778=BM14,LEN(SUBSTITUTE((SUBSTITUTE(CL26,"TM","")),"TS",""))*10/2,0),IF('Eval-Après impact'!$A$779=BM14,LEN(SUBSTITUTE((SUBSTITUTE(CL27,"TM","")),"TS",""))*10/2,0),IF('Eval-Après impact'!$A$780=BM14,LEN(SUBSTITUTE((SUBSTITUTE(CL28,"TM","")),"TS",""))*10/2,0))/COUNTIF('Eval-Après impact'!$A$761:$A$780,BM14),"")</f>
        <v/>
      </c>
      <c r="BX14" s="211" t="str">
        <f>IF(COUNTIF('Eval-Après impact'!$A$761:$A$780,BM14)&gt;0,SUM(IF('Eval-Après impact'!$A$761=BM14,LEN(SUBSTITUTE((SUBSTITUTE(CL9,"TF","")),"TS",""))*10/2,0),IF('Eval-Après impact'!$A$762=BM14,LEN(SUBSTITUTE((SUBSTITUTE(CL10,"TF","")),"TS",""))*10/2,0),IF('Eval-Après impact'!$A$763=BM14,LEN(SUBSTITUTE((SUBSTITUTE(CL11,"TF","")),"TS",""))*10/2,0),IF('Eval-Après impact'!$A$764=BM14,LEN(SUBSTITUTE((SUBSTITUTE(CL12,"TF","")),"TS",""))*10/2,0),IF('Eval-Après impact'!$A$765=BM14,LEN(SUBSTITUTE((SUBSTITUTE(CL13,"TF","")),"TS",""))*10/2,0),IF('Eval-Après impact'!$A$766=BM14,LEN(SUBSTITUTE((SUBSTITUTE(CL14,"TF","")),"TS",""))*10/2,0),IF('Eval-Après impact'!$A$767=BM14,LEN(SUBSTITUTE((SUBSTITUTE(CL15,"TF","")),"TS",""))*10/2,0),IF('Eval-Après impact'!$A$768=BM14,LEN(SUBSTITUTE((SUBSTITUTE(CL16,"TF","")),"TS",""))*10/2,0),IF('Eval-Après impact'!$A$769=BM14,LEN(SUBSTITUTE((SUBSTITUTE(CL17,"TF","")),"TS",""))*10/2,0),IF('Eval-Après impact'!$A$770=BM14,LEN(SUBSTITUTE((SUBSTITUTE(CL18,"TF","")),"TS",""))*10/2,0),IF('Eval-Après impact'!$A$771=BM14,LEN(SUBSTITUTE((SUBSTITUTE(CL19,"TF","")),"TS",""))*10/2,0),IF('Eval-Après impact'!$A$772=BM14,LEN(SUBSTITUTE((SUBSTITUTE(CL20,"TF","")),"TS",""))*10/2,0),IF('Eval-Après impact'!$A$773=BM14,LEN(SUBSTITUTE((SUBSTITUTE(CL21,"TF","")),"TS",""))*10/2,0),IF('Eval-Après impact'!$A$774=BM14,LEN(SUBSTITUTE((SUBSTITUTE(CL22,"TF","")),"TS",""))*10/2,0),IF('Eval-Après impact'!$A$775=BM14,LEN(SUBSTITUTE((SUBSTITUTE(CL23,"TF","")),"TS",""))*10/2,0),IF('Eval-Après impact'!$A$776=BM14,LEN(SUBSTITUTE((SUBSTITUTE(CL24,"TF","")),"TS",""))*10/2,0),IF('Eval-Après impact'!$A$777=BM14,LEN(SUBSTITUTE((SUBSTITUTE(CL25,"TF","")),"TS",""))*10/2,0),IF('Eval-Après impact'!$A$778=BM14,LEN(SUBSTITUTE((SUBSTITUTE(CL26,"TF","")),"TS",""))*10/2,0),IF('Eval-Après impact'!$A$779=BM14,LEN(SUBSTITUTE((SUBSTITUTE(CL27,"TF","")),"TS",""))*10/2,0),IF('Eval-Après impact'!$A$780=BM14,LEN(SUBSTITUTE((SUBSTITUTE(CL28,"TF","")),"TS",""))*10/2,0))/COUNTIF('Eval-Après impact'!$A$761:$A$780,BM14),"")</f>
        <v/>
      </c>
      <c r="BY14" s="211" t="str">
        <f>IF(COUNTIF('Eval-Après impact'!$A$761:$A$780,BM14)&gt;0,SUM(IF('Eval-Après impact'!$A$761=BM14,LEN(SUBSTITUTE((SUBSTITUTE(CL9,"TF","")),"TM",""))*10/2,0),IF('Eval-Après impact'!$A$762=BM14,LEN(SUBSTITUTE((SUBSTITUTE(CL10,"TF","")),"TM",""))*10/2,0),IF('Eval-Après impact'!$A$763=BM14,LEN(SUBSTITUTE((SUBSTITUTE(CL11,"TF","")),"TM",""))*10/2,0),IF('Eval-Après impact'!$A$764=BM14,LEN(SUBSTITUTE((SUBSTITUTE(CL12,"TF","")),"TM",""))*10/2,0),IF('Eval-Après impact'!$A$765=BM14,LEN(SUBSTITUTE((SUBSTITUTE(CL13,"TF","")),"TM",""))*10/2,0),IF('Eval-Après impact'!$A$766=BM14,LEN(SUBSTITUTE((SUBSTITUTE(CL14,"TF","")),"TM",""))*10/2,0),IF('Eval-Après impact'!$A$767=BM14,LEN(SUBSTITUTE((SUBSTITUTE(CL15,"TF","")),"TM",""))*10/2,0),IF('Eval-Après impact'!$A$768=BM14,LEN(SUBSTITUTE((SUBSTITUTE(CL16,"TF","")),"TM",""))*10/2,0),IF('Eval-Après impact'!$A$769=BM14,LEN(SUBSTITUTE((SUBSTITUTE(CL17,"TF","")),"TM",""))*10/2,0),IF('Eval-Après impact'!$A$770=BM14,LEN(SUBSTITUTE((SUBSTITUTE(CL18,"TF","")),"TM",""))*10/2,0),IF('Eval-Après impact'!$A$771=BM14,LEN(SUBSTITUTE((SUBSTITUTE(CL19,"TF","")),"TM",""))*10/2,0),IF('Eval-Après impact'!$A$772=BM14,LEN(SUBSTITUTE((SUBSTITUTE(CL20,"TF","")),"TM",""))*10/2,0),IF('Eval-Après impact'!$A$773=BM14,LEN(SUBSTITUTE((SUBSTITUTE(CL21,"TF","")),"TM",""))*10/2,0),IF('Eval-Après impact'!$A$774=BM14,LEN(SUBSTITUTE((SUBSTITUTE(CL22,"TF","")),"TM",""))*10/2,0),IF('Eval-Après impact'!$A$775=BM14,LEN(SUBSTITUTE((SUBSTITUTE(CL23,"TF","")),"TM",""))*10/2,0),IF('Eval-Après impact'!$A$776=BM14,LEN(SUBSTITUTE((SUBSTITUTE(CL24,"TF","")),"TM",""))*10/2,0),IF('Eval-Après impact'!$A$777=BM14,LEN(SUBSTITUTE((SUBSTITUTE(CL25,"TF","")),"TM",""))*10/2,0),IF('Eval-Après impact'!$A$778=BM14,LEN(SUBSTITUTE((SUBSTITUTE(CL26,"TF","")),"TM",""))*10/2,0),IF('Eval-Après impact'!$A$779=BM14,LEN(SUBSTITUTE((SUBSTITUTE(CL27,"TF","")),"TM",""))*10/2,0),IF('Eval-Après impact'!$A$780=BM14,LEN(SUBSTITUTE((SUBSTITUTE(CL28,"TF","")),"TM",""))*10/2,0))/COUNTIF('Eval-Après impact'!$A$761:$A$780,BM14),"")</f>
        <v/>
      </c>
      <c r="BZ14" s="211" t="str">
        <f>IF(COUNTIF('Eval-Après impact'!$A$761:$A$780,BM14)&gt;0,SUM(IF('Eval-Après impact'!$A$761=BM14,LEN(SUBSTITUTE((SUBSTITUTE(CM9,"TM","")),"TS",""))*10/2,0),IF('Eval-Après impact'!$A$762=BM14,LEN(SUBSTITUTE((SUBSTITUTE(CM10,"TM","")),"TS",""))*10/2,0),IF('Eval-Après impact'!$A$763=BM14,LEN(SUBSTITUTE((SUBSTITUTE(CM11,"TM","")),"TS",""))*10/2,0),IF('Eval-Après impact'!$A$764=BM14,LEN(SUBSTITUTE((SUBSTITUTE(CM12,"TM","")),"TS",""))*10/2,0),IF('Eval-Après impact'!$A$765=BM14,LEN(SUBSTITUTE((SUBSTITUTE(CM13,"TM","")),"TS",""))*10/2,0),IF('Eval-Après impact'!$A$766=BM14,LEN(SUBSTITUTE((SUBSTITUTE(CM14,"TM","")),"TS",""))*10/2,0),IF('Eval-Après impact'!$A$767=BM14,LEN(SUBSTITUTE((SUBSTITUTE(CM15,"TM","")),"TS",""))*10/2,0),IF('Eval-Après impact'!$A$768=BM14,LEN(SUBSTITUTE((SUBSTITUTE(CM16,"TM","")),"TS",""))*10/2,0),IF('Eval-Après impact'!$A$769=BM14,LEN(SUBSTITUTE((SUBSTITUTE(CM17,"TM","")),"TS",""))*10/2,0),IF('Eval-Après impact'!$A$770=BM14,LEN(SUBSTITUTE((SUBSTITUTE(CM18,"TM","")),"TS",""))*10/2,0),IF('Eval-Après impact'!$A$771=BM14,LEN(SUBSTITUTE((SUBSTITUTE(CM19,"TM","")),"TS",""))*10/2,0),IF('Eval-Après impact'!$A$772=BM14,LEN(SUBSTITUTE((SUBSTITUTE(CM20,"TM","")),"TS",""))*10/2,0),IF('Eval-Après impact'!$A$773=BM14,LEN(SUBSTITUTE((SUBSTITUTE(CM21,"TM","")),"TS",""))*10/2,0),IF('Eval-Après impact'!$A$774=BM14,LEN(SUBSTITUTE((SUBSTITUTE(CM22,"TM","")),"TS",""))*10/2,0),IF('Eval-Après impact'!$A$775=BM14,LEN(SUBSTITUTE((SUBSTITUTE(CM23,"TM","")),"TS",""))*10/2,0),IF('Eval-Après impact'!$A$776=BM14,LEN(SUBSTITUTE((SUBSTITUTE(CM24,"TM","")),"TS",""))*10/2,0),IF('Eval-Après impact'!$A$777=BM14,LEN(SUBSTITUTE((SUBSTITUTE(CM25,"TM","")),"TS",""))*10/2,0),IF('Eval-Après impact'!$A$778=BM14,LEN(SUBSTITUTE((SUBSTITUTE(CM26,"TM","")),"TS",""))*10/2,0),IF('Eval-Après impact'!$A$779=BM14,LEN(SUBSTITUTE((SUBSTITUTE(CM27,"TM","")),"TS",""))*10/2,0),IF('Eval-Après impact'!$A$780=BM14,LEN(SUBSTITUTE((SUBSTITUTE(CM28,"TM","")),"TS",""))*10/2,0))/COUNTIF('Eval-Après impact'!$A$761:$A$780,BM14),"")</f>
        <v/>
      </c>
      <c r="CA14" s="211" t="str">
        <f>IF(COUNTIF('Eval-Après impact'!$A$761:$A$780,BM14)&gt;0,SUM(IF('Eval-Après impact'!$A$761=BM14,LEN(SUBSTITUTE((SUBSTITUTE(CM9,"TF","")),"TS",""))*10/2,0),IF('Eval-Après impact'!$A$762=BM14,LEN(SUBSTITUTE((SUBSTITUTE(CM10,"TF","")),"TS",""))*10/2,0),IF('Eval-Après impact'!$A$763=BM14,LEN(SUBSTITUTE((SUBSTITUTE(CM11,"TF","")),"TS",""))*10/2,0),IF('Eval-Après impact'!$A$764=BM14,LEN(SUBSTITUTE((SUBSTITUTE(CM12,"TF","")),"TS",""))*10/2,0),IF('Eval-Après impact'!$A$765=BM14,LEN(SUBSTITUTE((SUBSTITUTE(CM13,"TF","")),"TS",""))*10/2,0),IF('Eval-Après impact'!$A$766=BM14,LEN(SUBSTITUTE((SUBSTITUTE(CM14,"TF","")),"TS",""))*10/2,0),IF('Eval-Après impact'!$A$767=BM14,LEN(SUBSTITUTE((SUBSTITUTE(CM15,"TF","")),"TS",""))*10/2,0),IF('Eval-Après impact'!$A$768=BM14,LEN(SUBSTITUTE((SUBSTITUTE(CM16,"TF","")),"TS",""))*10/2,0),IF('Eval-Après impact'!$A$769=BM14,LEN(SUBSTITUTE((SUBSTITUTE(CM17,"TF","")),"TS",""))*10/2,0),IF('Eval-Après impact'!$A$770=BM14,LEN(SUBSTITUTE((SUBSTITUTE(CM18,"TF","")),"TS",""))*10/2,0),IF('Eval-Après impact'!$A$771=BM14,LEN(SUBSTITUTE((SUBSTITUTE(CM19,"TF","")),"TS",""))*10/2,0),IF('Eval-Après impact'!$A$772=BM14,LEN(SUBSTITUTE((SUBSTITUTE(CM20,"TF","")),"TS",""))*10/2,0),IF('Eval-Après impact'!$A$773=BM14,LEN(SUBSTITUTE((SUBSTITUTE(CM21,"TF","")),"TS",""))*10/2,0),IF('Eval-Après impact'!$A$774=BM14,LEN(SUBSTITUTE((SUBSTITUTE(CM22,"TF","")),"TS",""))*10/2,0),IF('Eval-Après impact'!$A$775=BM14,LEN(SUBSTITUTE((SUBSTITUTE(CM23,"TF","")),"TS",""))*10/2,0),IF('Eval-Après impact'!$A$776=BM14,LEN(SUBSTITUTE((SUBSTITUTE(CM24,"TF","")),"TS",""))*10/2,0),IF('Eval-Après impact'!$A$777=BM14,LEN(SUBSTITUTE((SUBSTITUTE(CM25,"TF","")),"TS",""))*10/2,0),IF('Eval-Après impact'!$A$778=BM14,LEN(SUBSTITUTE((SUBSTITUTE(CM26,"TF","")),"TS",""))*10/2,0),IF('Eval-Après impact'!$A$779=BM14,LEN(SUBSTITUTE((SUBSTITUTE(CM27,"TF","")),"TS",""))*10/2,0),IF('Eval-Après impact'!$A$780=BM14,LEN(SUBSTITUTE((SUBSTITUTE(CM28,"TF","")),"TS",""))*10/2,0))/COUNTIF('Eval-Après impact'!$A$761:$A$780,BM14),"")</f>
        <v/>
      </c>
      <c r="CB14" s="211" t="str">
        <f>IF(COUNTIF('Eval-Après impact'!$A$761:$A$780,BM14)&gt;0,SUM(IF('Eval-Après impact'!$A$761=BM14,LEN(SUBSTITUTE((SUBSTITUTE(CM9,"TF","")),"TM",""))*10/2,0),IF('Eval-Après impact'!$A$762=BM14,LEN(SUBSTITUTE((SUBSTITUTE(CM10,"TF","")),"TM",""))*10/2,0),IF('Eval-Après impact'!$A$763=BM14,LEN(SUBSTITUTE((SUBSTITUTE(CM11,"TF","")),"TM",""))*10/2,0),IF('Eval-Après impact'!$A$764=BM14,LEN(SUBSTITUTE((SUBSTITUTE(CM12,"TF","")),"TM",""))*10/2,0),IF('Eval-Après impact'!$A$765=BM14,LEN(SUBSTITUTE((SUBSTITUTE(CM13,"TF","")),"TM",""))*10/2,0),IF('Eval-Après impact'!$A$766=BM14,LEN(SUBSTITUTE((SUBSTITUTE(CM14,"TF","")),"TM",""))*10/2,0),IF('Eval-Après impact'!$A$767=BM14,LEN(SUBSTITUTE((SUBSTITUTE(CM15,"TF","")),"TM",""))*10/2,0),IF('Eval-Après impact'!$A$768=BM14,LEN(SUBSTITUTE((SUBSTITUTE(CM16,"TF","")),"TM",""))*10/2,0),IF('Eval-Après impact'!$A$769=BM14,LEN(SUBSTITUTE((SUBSTITUTE(CM17,"TF","")),"TM",""))*10/2,0),IF('Eval-Après impact'!$A$770=BM14,LEN(SUBSTITUTE((SUBSTITUTE(CM18,"TF","")),"TM",""))*10/2,0),IF('Eval-Après impact'!$A$771=BM14,LEN(SUBSTITUTE((SUBSTITUTE(CM19,"TF","")),"TM",""))*10/2,0),IF('Eval-Après impact'!$A$772=BM14,LEN(SUBSTITUTE((SUBSTITUTE(CM20,"TF","")),"TM",""))*10/2,0),IF('Eval-Après impact'!$A$773=BM14,LEN(SUBSTITUTE((SUBSTITUTE(CM21,"TF","")),"TM",""))*10/2,0),IF('Eval-Après impact'!$A$774=BM14,LEN(SUBSTITUTE((SUBSTITUTE(CM22,"TF","")),"TM",""))*10/2,0),IF('Eval-Après impact'!$A$775=BM14,LEN(SUBSTITUTE((SUBSTITUTE(CM23,"TF","")),"TM",""))*10/2,0),IF('Eval-Après impact'!$A$776=BM14,LEN(SUBSTITUTE((SUBSTITUTE(CM24,"TF","")),"TM",""))*10/2,0),IF('Eval-Après impact'!$A$777=BM14,LEN(SUBSTITUTE((SUBSTITUTE(CM25,"TF","")),"TM",""))*10/2,0),IF('Eval-Après impact'!$A$778=BM14,LEN(SUBSTITUTE((SUBSTITUTE(CM26,"TF","")),"TM",""))*10/2,0),IF('Eval-Après impact'!$A$779=BM14,LEN(SUBSTITUTE((SUBSTITUTE(CM27,"TF","")),"TM",""))*10/2,0),IF('Eval-Après impact'!$A$780=BM14,LEN(SUBSTITUTE((SUBSTITUTE(CM28,"TF","")),"TM",""))*10/2,0))/COUNTIF('Eval-Après impact'!$A$761:$A$780,BM14),"")</f>
        <v/>
      </c>
      <c r="CC14" s="211" t="str">
        <f>IF(COUNTIF('Eval-Après impact'!$A$761:$A$780,BM14)&gt;0,IF(OR(AND('Eval-Après impact'!$A$761=BM14,CJ9&lt;30),AND('Eval-Après impact'!$A$762=BM14,CJ10&lt;30),AND('Eval-Après impact'!$A$763=BM14,CJ11&lt;30),AND('Eval-Après impact'!$A$764=BM14,CJ12&lt;30),AND('Eval-Après impact'!$A$765=BM14,CJ13&lt;30),AND('Eval-Après impact'!$A$766=BM14,CJ14&lt;30),AND('Eval-Après impact'!$A$767=BM14,CJ15&lt;30),AND('Eval-Après impact'!$A$768=BM14,CJ16&lt;30),AND('Eval-Après impact'!$A$769=BM14,CJ17&lt;30),AND('Eval-Après impact'!$A$770=BM14,CJ18&lt;30),AND('Eval-Après impact'!$A$771=BM14,CJ19&lt;30),AND('Eval-Après impact'!$A$772=BM14,CJ20&lt;30),AND('Eval-Après impact'!$A$773=BM14,CJ21&lt;30),AND('Eval-Après impact'!$A$774=BM14,CJ22&lt;30),AND('Eval-Après impact'!$A$775=BM14,CJ23&lt;30),AND('Eval-Après impact'!$A$776=BM14,CJ24&lt;30),AND('Eval-Après impact'!$A$777=BM14,CJ25&lt;30),AND('Eval-Après impact'!$A$778=BM14,CJ26&lt;30),AND('Eval-Après impact'!$A$779=BM14,CJ27&lt;30),AND('Eval-Après impact'!$A$780=BM14,CJ28&lt;30)),"",SUM(0.1*(SUMPRODUCT(('Eval-Après impact'!$A$761:$A$780=BM14)*('Eval-Après impact'!$N$761:$P$780="A"))+ SUMPRODUCT(('Eval-Après impact'!$A$761:$A$780=BM14)*('Eval-Après impact'!$N$761:$P$780="AL"))),0.7*(SUMPRODUCT(('Eval-Après impact'!$A$761:$A$780=BM14)*('Eval-Après impact'!$N$761:$P$780="TF"))+SUMPRODUCT(('Eval-Après impact'!$A$761:$A$780=BM14)*('Eval-Après impact'!$N$761:$P$780="TM"))+SUMPRODUCT(('Eval-Après impact'!$A$761:$A$780=BM14)*('Eval-Après impact'!$N$761:$P$780="TS"))),0.4*(SUMPRODUCT(('Eval-Après impact'!$A$761:$A$780=BM14)*('Eval-Après impact'!$N$761:$P$780="LA"))+SUMPRODUCT(('Eval-Après impact'!$A$761:$A$780=BM14)*('Eval-Après impact'!$N$761:$P$780="L"))+SUMPRODUCT(('Eval-Après impact'!$A$761:$A$780=BM14)*('Eval-Après impact'!$N$761:$P$780="LS"))),1*(SUMPRODUCT(('Eval-Après impact'!$A$761:$A$780=BM14)*('Eval-Après impact'!$N$761:$P$780="SL"))+ SUMPRODUCT(('Eval-Après impact'!$A$761:$A$780=BM14)*('Eval-Après impact'!$N$761:$P$780="S"))))/(3*COUNTIF('Eval-Après impact'!$A$761:$A$780,BM14))),"")</f>
        <v/>
      </c>
      <c r="CD14" s="211" t="str">
        <f>IF(COUNTIF('Eval-Après impact'!$A$761:$A$780,BM14)&gt;0,IF(OR(AND('Eval-Après impact'!$A$761=BM14,CJ9&lt;120),AND('Eval-Après impact'!$A$762=BM14,CJ10&lt;120),AND('Eval-Après impact'!$A$763=BM14,CJ11&lt;120),AND('Eval-Après impact'!$A$764=BM14,CJ12&lt;120),AND('Eval-Après impact'!$A$765=BM14,CJ13&lt;120),AND('Eval-Après impact'!$A$766=BM14,CJ14&lt;120),AND('Eval-Après impact'!$A$767=BM14,CJ15&lt;120),AND('Eval-Après impact'!$A$768=BM14,CJ16&lt;120),AND('Eval-Après impact'!$A$769=BM14,CJ17&lt;120),AND('Eval-Après impact'!$A$770=BM14,CJ18&lt;120),AND('Eval-Après impact'!$A$771=BM14,CJ19&lt;120),AND('Eval-Après impact'!$A$772=BM14,CJ20&lt;120),AND('Eval-Après impact'!$A$773=BM14,CJ21&lt;120),AND('Eval-Après impact'!$A$774=BM14,CJ22&lt;120),AND('Eval-Après impact'!$A$775=BM14,CJ23&lt;120),AND('Eval-Après impact'!$A$776=BM14,CJ24&lt;120),AND('Eval-Après impact'!$A$777=BM14,CJ25&lt;120),AND('Eval-Après impact'!$A$778=BM14,CJ26&lt;120),AND('Eval-Après impact'!$A$779=BM14,CJ27&lt;120),AND('Eval-Après impact'!$A$780=BM14,CJ28&lt;120)),"",SUM(0.1*(SUMPRODUCT(('Eval-Après impact'!$A$761:$A$780=BM14)*('Eval-Après impact'!$Q$761:$Y$780="A"))+ SUMPRODUCT(('Eval-Après impact'!$A$761:$A$780=BM14)*('Eval-Après impact'!$Q$761:$Y$780="AL"))),0.7*(SUMPRODUCT(('Eval-Après impact'!$A$761:$A$780=BM14)*('Eval-Après impact'!$Q$761:$Y$780="TF"))+SUMPRODUCT(('Eval-Après impact'!$A$761:$A$780=BM14)*('Eval-Après impact'!$Q$761:$Y$780="TM"))+SUMPRODUCT(('Eval-Après impact'!$A$761:$A$780=BM14)*('Eval-Après impact'!$Q$761:$Y$780="TS"))),0.4*(SUMPRODUCT(('Eval-Après impact'!$A$761:$A$780=BM14)*('Eval-Après impact'!$Q$761:$Y$780="LA"))+SUMPRODUCT(('Eval-Après impact'!$A$761:$A$780=BM14)*('Eval-Après impact'!$Q$761:$Y$780="L"))+SUMPRODUCT(('Eval-Après impact'!$A$761:$A$780=BM14)*('Eval-Après impact'!$Q$761:$Y$780="LS"))),1*(SUMPRODUCT(('Eval-Après impact'!$A$761:$A$780=BM14)*('Eval-Après impact'!$Q$761:$Y$780="SL"))+ SUMPRODUCT(('Eval-Après impact'!$A$761:$A$780=BM14)*('Eval-Après impact'!$Q$761:$Y$780="S"))))/(9*COUNTIF('Eval-Après impact'!$A$761:$A$780,BM14))),"")</f>
        <v/>
      </c>
      <c r="CE14" s="211" t="str">
        <f>IF(COUNTIF('Eval-Après impact'!$A$761:$A$780,BM14)&gt;0,IF(OR(AND('Eval-Après impact'!$A$761=BM14,OR(COUNTIF('Eval-Après impact'!$N$761:$P$761,"*T*")&gt;0,CJ9&lt;30)),AND('Eval-Après impact'!$A$762=BM14,OR(COUNTIF('Eval-Après impact'!$N$762:$P$762,"*T*")&gt;0,CJ10&lt;30)),AND('Eval-Après impact'!$A$763=BM14,OR(COUNTIF('Eval-Après impact'!$N$763:$P$763,"*T*")&gt;0,CJ11&lt;30)),AND('Eval-Après impact'!$A$764=BM14,OR(COUNTIF('Eval-Après impact'!$N$764:$P$764,"*T*")&gt;0,CJ12&lt;30)),AND('Eval-Après impact'!$A$765=BM14,OR(COUNTIF('Eval-Après impact'!$N$765:$P$765,"*T*")&gt;0,CJ13&lt;30)),AND('Eval-Après impact'!$A$766=BM14,OR(COUNTIF('Eval-Après impact'!$N$766:$P$766,"*T*")&gt;0,CJ14&lt;30)),AND('Eval-Après impact'!$A$767=BM14,OR(COUNTIF('Eval-Après impact'!$N$767:$P$767,"*T*")&gt;0,CJ15&lt;30)),AND('Eval-Après impact'!$A$768=BM14,OR(COUNTIF('Eval-Après impact'!$N$768:$P$768,"*T*")&gt;0,CJ16&lt;30)),AND('Eval-Après impact'!$A$769=BM14,OR(COUNTIF('Eval-Après impact'!$N$769:$P$769,"*T*")&gt;0,CJ17&lt;30)),AND('Eval-Après impact'!$A$770=BM14,OR(COUNTIF('Eval-Après impact'!$N$770:$P$770,"*T*")&gt;0,CJ18&lt;30)),AND('Eval-Après impact'!$A$771=BM14,OR(COUNTIF('Eval-Après impact'!$N$771:$P$771,"*T*")&gt;0,CJ19&lt;30)),AND('Eval-Après impact'!$A$772=BM14,OR(COUNTIF('Eval-Après impact'!$N$772:$P$772,"*T*")&gt;0,CJ20&lt;30)),AND('Eval-Après impact'!$A$773=BM14,OR(COUNTIF('Eval-Après impact'!$N$773:$P$773,"*T*")&gt;0,CJ21&lt;30)),AND('Eval-Après impact'!$A$774=BM14,OR(COUNTIF('Eval-Après impact'!$N$774:$P$774,"*T*")&gt;0,CJ22&lt;30)),AND('Eval-Après impact'!$A$775=BM14,OR(COUNTIF('Eval-Après impact'!$N$775:$P$775,"*T*")&gt;0,CJ23&lt;30)),AND('Eval-Après impact'!$A$776=BM14,OR(COUNTIF('Eval-Après impact'!$N$776:$P$776,"*T*")&gt;0,CJ24&lt;30)),AND('Eval-Après impact'!$A$777=BM14,OR(COUNTIF('Eval-Après impact'!$N$777:$P$777,"*T*")&gt;0,CJ25&lt;30)),AND('Eval-Après impact'!$A$778=BM14,OR(COUNTIF('Eval-Après impact'!$N$778:$P$778,"*T*")&gt;0,CJ26&lt;30)),AND('Eval-Après impact'!$A$779=BM14,OR(COUNTIF('Eval-Après impact'!$N$779:$P$779,"*T*")&gt;0,CJ27&lt;30)),AND('Eval-Après impact'!$A$780=BM14,OR(COUNTIF('Eval-Après impact'!$N$780:$P$780,"*T*")&gt;0,CJ28&lt;30))),"",SUM(0.1*(SUMPRODUCT(('Eval-Après impact'!$A$761:$A$780=BM14)*('Eval-Après impact'!$N$761:$P$780="L"))),0.4*(SUMPRODUCT(('Eval-Après impact'!$A$761:$A$780=BM14)*('Eval-Après impact'!$N$761:$P$780="LA"))+SUMPRODUCT(('Eval-Après impact'!$A$761:$A$780=BM14)*('Eval-Après impact'!$N$761:$P$780="LS"))),0.7*(SUMPRODUCT(('Eval-Après impact'!$A$761:$A$780=BM14)*('Eval-Après impact'!$N$761:$P$780="AL"))+SUMPRODUCT(('Eval-Après impact'!$A$761:$A$780=BM14)*('Eval-Après impact'!$N$761:$P$780="SL"))),1*(SUMPRODUCT(('Eval-Après impact'!$A$761:$A$780=BM14)*('Eval-Après impact'!$N$761:$P$780="S"))+ SUMPRODUCT(('Eval-Après impact'!$A$761:$A$780=BM14)*('Eval-Après impact'!$N$761:$P$780="A"))))/(3*COUNTIF('Eval-Après impact'!$A$761:$A$780,BM14))),"")</f>
        <v/>
      </c>
      <c r="CF14" s="211" t="str">
        <f>IF(COUNTIF('Eval-Après impact'!$A$761:$A$780,BM14)&gt;0,IF(OR(AND('Eval-Après impact'!$A$761=BM14,OR(COUNTIF('Eval-Après impact'!$N$761:$P$761,"*T*")&gt;0,CJ9&lt;30)),AND('Eval-Après impact'!$A$762=BM14,OR(COUNTIF('Eval-Après impact'!$N$762:$P$762,"*T*")&gt;0,CJ10&lt;30)),AND('Eval-Après impact'!$A$763=BM14,OR(COUNTIF('Eval-Après impact'!$N$763:$P$763,"*T*")&gt;0,CJ11&lt;30)),AND('Eval-Après impact'!$A$764=BM14,OR(COUNTIF('Eval-Après impact'!$N$764:$P$764,"*T*")&gt;0,CJ12&lt;30)),AND('Eval-Après impact'!$A$765=BM14,OR(COUNTIF('Eval-Après impact'!$N$765:$P$765,"*T*")&gt;0,CJ13&lt;30)),AND('Eval-Après impact'!$A$766=BM14,OR(COUNTIF('Eval-Après impact'!$N$766:$P$766,"*T*")&gt;0,CJ14&lt;30)),AND('Eval-Après impact'!$A$767=BM14,OR(COUNTIF('Eval-Après impact'!$N$767:$P$767,"*T*")&gt;0,CJ15&lt;30)),AND('Eval-Après impact'!$A$768=BM14,OR(COUNTIF('Eval-Après impact'!$N$768:$P$768,"*T*")&gt;0,CJ16&lt;30)),AND('Eval-Après impact'!$A$769=BM14,OR(COUNTIF('Eval-Après impact'!$N$769:$P$769,"*T*")&gt;0,CJ17&lt;30)),AND('Eval-Après impact'!$A$770=BM14,OR(COUNTIF('Eval-Après impact'!$N$770:$P$770,"*T*")&gt;0,CJ18&lt;30)),AND('Eval-Après impact'!$A$771=BM14,OR(COUNTIF('Eval-Après impact'!$N$771:$P$771,"*T*")&gt;0,CJ19&lt;30)),AND('Eval-Après impact'!$A$772=BM14,OR(COUNTIF('Eval-Après impact'!$N$772:$P$772,"*T*")&gt;0,CJ20&lt;30)),AND('Eval-Après impact'!$A$773=BM14,OR(COUNTIF('Eval-Après impact'!$N$773:$P$773,"*T*")&gt;0,CJ21&lt;30)),AND('Eval-Après impact'!$A$774=BM14,OR(COUNTIF('Eval-Après impact'!$N$774:$P$774,"*T*")&gt;0,CJ22&lt;30)),AND('Eval-Après impact'!$A$775=BM14,OR(COUNTIF('Eval-Après impact'!$N$775:$P$775,"*T*")&gt;0,CJ23&lt;30)),AND('Eval-Après impact'!$A$776=BM14,OR(COUNTIF('Eval-Après impact'!$N$776:$P$776,"*T*")&gt;0,CJ24&lt;30)),AND('Eval-Après impact'!$A$777=BM14,OR(COUNTIF('Eval-Après impact'!$N$777:$P$777,"*T*")&gt;0,CJ25&lt;30)),AND('Eval-Après impact'!$A$778=BM14,OR(COUNTIF('Eval-Après impact'!$N$778:$P$778,"*T*")&gt;0,CJ26&lt;30)),AND('Eval-Après impact'!$A$779=BM14,OR(COUNTIF('Eval-Après impact'!$N$779:$P$779,"*T*")&gt;0,CJ27&lt;30)),AND('Eval-Après impact'!$A$780=BM14,OR(COUNTIF('Eval-Après impact'!$N$780:$P$780,"*T*")&gt;0,CJ28&lt;30))),"",SUM(1*(SUMPRODUCT(('Eval-Après impact'!$A$761:$A$780=BM14)*('Eval-Après impact'!$N$761:$P$780="A"))),0.85*(SUMPRODUCT(('Eval-Après impact'!$A$761:$A$780=BM14)*('Eval-Après impact'!$N$761:$P$780="AL"))),0.7*(SUMPRODUCT(('Eval-Après impact'!$A$761:$A$780=BM14)*('Eval-Après impact'!$N$761:$P$780="LA"))),0.55*(SUMPRODUCT(('Eval-Après impact'!$A$761:$A$780=BM14)*('Eval-Après impact'!$N$761:$P$780="L"))),0.4*(SUMPRODUCT(('Eval-Après impact'!$A$761:$A$780=BM14)*('Eval-Après impact'!$N$761:$P$780="LS"))),0.25*(SUMPRODUCT(('Eval-Après impact'!$A$761:$A$780=BM14)*('Eval-Après impact'!$N$761:$P$780="SL"))),0.1*(SUMPRODUCT(('Eval-Après impact'!$A$761:$A$780=BM14)*('Eval-Après impact'!$N$761:$P$780="S"))))/(3*COUNTIF('Eval-Après impact'!$A$761:$A$780,BM14))),"")</f>
        <v/>
      </c>
      <c r="CG14" s="214" t="str">
        <f>IF(COUNTIF('Eval-Après impact'!$A$761:$A$780,BM14)&gt;0,IF(OR(AND('Eval-Après impact'!$A$761=BM14,OR(COUNTIF('Eval-Après impact'!$Q$761:$Y$761,"*T*")&gt;0,CJ9&lt;120)),AND('Eval-Après impact'!$A$762=BM14,OR(COUNTIF('Eval-Après impact'!$Q$762:$Y$762,"*T*")&gt;0,CJ10&lt;120)),AND('Eval-Après impact'!$A$763=BM14,OR(COUNTIF('Eval-Après impact'!$Q$763:$Y$763,"*T*")&gt;0,CJ11&lt;120)),AND('Eval-Après impact'!$A$764=BM14,OR(COUNTIF('Eval-Après impact'!$Q$764:$Y$764,"*T*")&gt;0,CJ12&lt;120)),AND('Eval-Après impact'!$A$765=BM14,OR(COUNTIF('Eval-Après impact'!$Q$765:$Y$765,"*T*")&gt;0,CJ13&lt;120)),AND('Eval-Après impact'!$A$766=BM14,OR(COUNTIF('Eval-Après impact'!$Q$766:$Y$766,"*T*")&gt;0,CJ14&lt;120)),AND('Eval-Après impact'!$A$767=BM14,OR(COUNTIF('Eval-Après impact'!$Q$767:$Y$767,"*T*")&gt;0,CJ15&lt;120)),AND('Eval-Après impact'!$A$768=BM14,OR(COUNTIF('Eval-Après impact'!$Q$768:$Y$768,"*T*")&gt;0,CJ16&lt;120)),AND('Eval-Après impact'!$A$769=BM14,OR(COUNTIF('Eval-Après impact'!$Q$769:$Y$769,"*T*")&gt;0,CJ17&lt;120)),AND('Eval-Après impact'!$A$770=BM14,OR(COUNTIF('Eval-Après impact'!$Q$770:$Y$770,"*T*")&gt;0,CJ18&lt;120)),AND('Eval-Après impact'!$A$771=BM14,OR(COUNTIF('Eval-Après impact'!$Q$771:$Y$771,"*T*")&gt;0,CJ19&lt;120)),AND('Eval-Après impact'!$A$772=BM14,OR(COUNTIF('Eval-Après impact'!$Q$772:$Y$772,"*T*")&gt;0,CJ20&lt;120)),AND('Eval-Après impact'!$A$773=BM14,OR(COUNTIF('Eval-Après impact'!$Q$773:$Y$773,"*T*")&gt;0,CJ21&lt;120)),AND('Eval-Après impact'!$A$774=BM14,OR(COUNTIF('Eval-Après impact'!$Q$774:$Y$774,"*T*")&gt;0,CJ22&lt;120)),AND('Eval-Après impact'!$A$775=BM14,OR(COUNTIF('Eval-Après impact'!$Q$775:$Y$775,"*T*")&gt;0,CJ23&lt;120)),AND('Eval-Après impact'!$A$776=BM14,OR(COUNTIF('Eval-Après impact'!$Q$776:$Y$776,"*T*")&gt;0,CJ24&lt;120)),AND('Eval-Après impact'!$A$777=BM14,OR(COUNTIF('Eval-Après impact'!$Q$777:$Y$777,"*T*")&gt;0,CJ25&lt;120)),AND('Eval-Après impact'!$A$778=BM14,OR(COUNTIF('Eval-Après impact'!$Q$778:$Y$778,"*T*")&gt;0,CJ26&lt;120)),AND('Eval-Après impact'!$A$779=BM14,OR(COUNTIF('Eval-Après impact'!$Q$779:$Y$779,"*T*")&gt;0,CJ27&lt;120)),AND('Eval-Après impact'!$A$780=BM14,OR(COUNTIF('Eval-Après impact'!$Q$780:$Y$780,"*T*")&gt;0,CJ28&lt;120))),"",SUM(1*(SUMPRODUCT(('Eval-Après impact'!$A$761:$A$780=BM14)*('Eval-Après impact'!$Q$761:$Y$780="A"))),0.85*(SUMPRODUCT(('Eval-Après impact'!$A$761:$A$780=BM14)*('Eval-Après impact'!$Q$761:$Y$780="AL"))),0.7*(SUMPRODUCT(('Eval-Après impact'!$A$761:$A$780=BM14)*('Eval-Après impact'!$Q$761:$Y$780="LA"))),0.55*(SUMPRODUCT(('Eval-Après impact'!$A$761:$A$780=BM14)*('Eval-Après impact'!$Q$761:$Y$780="L"))),0.4*(SUMPRODUCT(('Eval-Après impact'!$A$761:$A$780=BM14)*('Eval-Après impact'!$Q$761:$Y$780="LS"))),0.25*(SUMPRODUCT(('Eval-Après impact'!$A$761:$A$780=BM14)*('Eval-Après impact'!$Q$761:$Y$780="SL"))),0.1*(SUMPRODUCT(('Eval-Après impact'!$A$761:$A$780=BM14)*('Eval-Après impact'!$Q$761:$Y$780="S"))))/(9*COUNTIF('Eval-Après impact'!$A$761:$A$780,BM14))),"")</f>
        <v/>
      </c>
      <c r="CH14" s="215"/>
      <c r="CI14" s="216">
        <f>'Eval-Après impact'!$D$766</f>
        <v>6</v>
      </c>
      <c r="CJ14" s="217" t="str">
        <f>IF(CK14="C",0,IF(IF(COUNTIF('Eval-Après impact'!$N$766:$Y$766,"=C")&gt;0,(COUNTA('Eval-Après impact'!$N$766:$Y$766)-1)*10,COUNTA('Eval-Après impact'!$N$766:$Y$766)*10)=0,"",IF(COUNTIF('Eval-Après impact'!$N$766:$Y$766,"=C")&gt;0,(COUNTA('Eval-Après impact'!$N$766:$Y$766)-1)*10,COUNTA('Eval-Après impact'!$N$766:$Y$766)*10)))</f>
        <v/>
      </c>
      <c r="CK14" s="217" t="str">
        <f>CONCATENATE('Eval-Après impact'!$N$766,'Eval-Après impact'!$O$766,'Eval-Après impact'!$P$766,'Eval-Après impact'!$Q$766,'Eval-Après impact'!$R$766,'Eval-Après impact'!$S$766,'Eval-Après impact'!$T$766,'Eval-Après impact'!$U$766,'Eval-Après impact'!$V$766,'Eval-Après impact'!$W$766,'Eval-Après impact'!$X$766,'Eval-Après impact'!$Y$766)</f>
        <v/>
      </c>
      <c r="CL14" s="217" t="str">
        <f t="shared" si="8"/>
        <v/>
      </c>
      <c r="CM14" s="217" t="str">
        <f t="shared" si="9"/>
        <v/>
      </c>
      <c r="CN14" s="217" t="str">
        <f>IF(COUNTIF('Eval-Après impact'!$N$766:$Y$766,"=C")&gt;0,"X","")</f>
        <v/>
      </c>
      <c r="CO14" s="217" t="str">
        <f t="shared" si="10"/>
        <v/>
      </c>
      <c r="CP14" s="218" t="str">
        <f t="shared" si="11"/>
        <v/>
      </c>
      <c r="CQ14" s="197"/>
      <c r="CS14" s="210">
        <v>6</v>
      </c>
      <c r="CT14" s="211" t="str">
        <f>IF(COUNTIF('Eval-Avant action écologique'!$A$761:$A$780,CS14)&gt;0,SUM(IF('Eval-Avant action écologique'!$A$761=CS14,'Eval-Avant action écologique'!$B$761,0),IF('Eval-Avant action écologique'!$A$762=CS14, 'Eval-Avant action écologique'!$B$762,0),IF('Eval-Avant action écologique'!$A$763=CS14, 'Eval-Avant action écologique'!$B$763,0),IF('Eval-Avant action écologique'!$A$764=CS14, 'Eval-Avant action écologique'!$B$764,0),IF('Eval-Avant action écologique'!$A$765=CS14, 'Eval-Avant action écologique'!$B$765,0),IF('Eval-Avant action écologique'!$A$766=CS14, 'Eval-Avant action écologique'!$B$766,0),IF('Eval-Avant action écologique'!$A$767=CS14, 'Eval-Avant action écologique'!$B$767,0),IF('Eval-Avant action écologique'!$A$768=CS14, 'Eval-Avant action écologique'!$B$768,0),IF('Eval-Avant action écologique'!$A$769=CS14, 'Eval-Avant action écologique'!$B$769,0),IF('Eval-Avant action écologique'!$A$770=CS14, 'Eval-Avant action écologique'!$B$770,0),IF('Eval-Avant action écologique'!$A$771=CS14, 'Eval-Avant action écologique'!$B$771,0),IF('Eval-Avant action écologique'!$A$772=CS14, 'Eval-Avant action écologique'!$B$772,0),IF('Eval-Avant action écologique'!$A$773=CS14, 'Eval-Avant action écologique'!$B$773,0),IF('Eval-Avant action écologique'!$A$774=CS14, 'Eval-Avant action écologique'!$B$774,0),IF('Eval-Avant action écologique'!$A$775=CS14, 'Eval-Avant action écologique'!$B$775,0),IF('Eval-Avant action écologique'!$A$776=CS14, 'Eval-Avant action écologique'!$B$776,0),IF('Eval-Avant action écologique'!$A$777=CS14, 'Eval-Avant action écologique'!$B$777,0),IF('Eval-Avant action écologique'!$A$778=CS14, 'Eval-Avant action écologique'!$B$778,0),IF('Eval-Avant action écologique'!$A$779=CS14, 'Eval-Avant action écologique'!$B$779,0),IF('Eval-Avant action écologique'!$A$780=CS14, 'Eval-Avant action écologique'!$B$780,0))/COUNTIF('Eval-Avant action écologique'!$A$761:$A$780,CS14),"")</f>
        <v/>
      </c>
      <c r="CU14" s="212" t="str">
        <f>IF(COUNTIF('Eval-Avant action écologique'!$A$761:$A$780,CS14)&gt;0,COUNTIF('Eval-Avant action écologique'!$A$761:$A$780,CS14),"")</f>
        <v/>
      </c>
      <c r="CV14" s="211" t="str">
        <f>IF(COUNTIF('Eval-Avant action écologique'!$A$761:$A$780,CS14)&gt;0,IF(OR(AND('Eval-Avant action écologique'!$A$761=CS14, 'Eval-Avant action écologique'!$G$761=""),AND('Eval-Avant action écologique'!$A$762=CS14, 'Eval-Avant action écologique'!$G$762=""),AND('Eval-Avant action écologique'!$A$763=CS14, 'Eval-Avant action écologique'!$G$763=""),AND('Eval-Avant action écologique'!$A$764=CS14, 'Eval-Avant action écologique'!$G$764=""),AND('Eval-Avant action écologique'!$A$765=CS14, 'Eval-Avant action écologique'!$G$765=""),AND('Eval-Avant action écologique'!$A$766=CS14, 'Eval-Avant action écologique'!$G$766=""),AND('Eval-Avant action écologique'!$A$767=CS14, 'Eval-Avant action écologique'!$G$767=""),AND('Eval-Avant action écologique'!$A$768=CS14, 'Eval-Avant action écologique'!$G$768=""),AND('Eval-Avant action écologique'!$A$769=CS14, 'Eval-Avant action écologique'!$G$769=""),AND('Eval-Avant action écologique'!$A$770=CS14, 'Eval-Avant action écologique'!$G$770=""),AND('Eval-Avant action écologique'!$A$771=CS14, 'Eval-Avant action écologique'!$G$771=""),AND('Eval-Avant action écologique'!$A$772=CS14, 'Eval-Avant action écologique'!$G$772=""),AND('Eval-Avant action écologique'!$A$773=CS14, 'Eval-Avant action écologique'!$G$773=""),AND('Eval-Avant action écologique'!$A$774=CS14, 'Eval-Avant action écologique'!$G$774=""),AND('Eval-Avant action écologique'!$A$775=CS14, 'Eval-Avant action écologique'!$G$775=""),AND('Eval-Avant action écologique'!$A$776=CS14, 'Eval-Avant action écologique'!$G$776=""),AND('Eval-Avant action écologique'!$A$777=CS14, 'Eval-Avant action écologique'!$G$777=""),AND('Eval-Avant action écologique'!$A$778=CS14, 'Eval-Avant action écologique'!$G$778=""),AND('Eval-Avant action écologique'!$A$779=CS14, 'Eval-Avant action écologique'!$G$779=""),AND('Eval-Avant action écologique'!$A$780=CS14, 'Eval-Avant action écologique'!$G$780="")),"",SUM(IF('Eval-Avant action écologique'!$A$761=CS14,'Eval-Avant action écologique'!$G$761,0),IF('Eval-Avant action écologique'!$A$762=CS14,'Eval-Avant action écologique'!$G$762,0),IF('Eval-Avant action écologique'!$A$763=CS14,'Eval-Avant action écologique'!$G$763,0),IF('Eval-Avant action écologique'!$A$764=CS14,'Eval-Avant action écologique'!$G$764,0),IF('Eval-Avant action écologique'!$A$765=CS14,'Eval-Avant action écologique'!$G$765,0),IF('Eval-Avant action écologique'!$A$766=CS14,'Eval-Avant action écologique'!$G$766,0),IF('Eval-Avant action écologique'!$A$767=CS14,'Eval-Avant action écologique'!$G$767,0),IF('Eval-Avant action écologique'!$A$768=CS14,'Eval-Avant action écologique'!$G$768,0),IF('Eval-Avant action écologique'!$A$769=CS14,'Eval-Avant action écologique'!$G$769,0),IF('Eval-Avant action écologique'!$A$770=CS14,'Eval-Avant action écologique'!$G$770,0),IF('Eval-Avant action écologique'!$A$771=CS14,'Eval-Avant action écologique'!$G$771,0),IF('Eval-Avant action écologique'!$A$772=CS14,'Eval-Avant action écologique'!$G$772,0),IF('Eval-Avant action écologique'!$A$773=CS14,'Eval-Avant action écologique'!$G$773,0),IF('Eval-Avant action écologique'!$A$774=CS14,'Eval-Avant action écologique'!$G$774,0),IF('Eval-Avant action écologique'!$A$775=CS14,'Eval-Avant action écologique'!$G$775,0), IF('Eval-Avant action écologique'!$A$776=CS14,'Eval-Avant action écologique'!$G$776,0), IF('Eval-Avant action écologique'!$A$777=CS14,'Eval-Avant action écologique'!$G$777,0), IF('Eval-Avant action écologique'!$A$778=CS14,'Eval-Avant action écologique'!$G$778,0), IF('Eval-Avant action écologique'!$A$779=CS14,'Eval-Avant action écologique'!$G$779,0), IF('Eval-Avant action écologique'!$A$780=CS14,'Eval-Avant action écologique'!$G$780,0))/ COUNTIF('Eval-Avant action écologique'!$A$761:$A$780,CS14)),"")</f>
        <v/>
      </c>
      <c r="CW14" s="212" t="str">
        <f>IF(COUNTIF('Eval-Avant action écologique'!$A$761:$A$780,CS14)&gt;0,IF(SUM(IF('Eval-Avant action écologique'!$A$761=CS14,COUNTA('Eval-Avant action écologique'!$H$761),0),IF('Eval-Avant action écologique'!$A$762=CS14,COUNTA('Eval-Avant action écologique'!$H$762),0),IF('Eval-Avant action écologique'!$A$763=CS14,COUNTA('Eval-Avant action écologique'!$H$763),0),IF('Eval-Avant action écologique'!$A$764=CS14,COUNTA('Eval-Avant action écologique'!$H$764),0),IF('Eval-Avant action écologique'!$A$765=CS14,COUNTA('Eval-Avant action écologique'!$H$765),0),IF('Eval-Avant action écologique'!$A$766=CS14,COUNTA('Eval-Avant action écologique'!$H$766),0),IF('Eval-Avant action écologique'!$A$767=CS14,COUNTA('Eval-Avant action écologique'!$H$767),0),IF('Eval-Avant action écologique'!$A$768=CS14,COUNTA('Eval-Avant action écologique'!$H$768),0),IF('Eval-Avant action écologique'!$A$769=CS14,COUNTA('Eval-Avant action écologique'!$H$769),0),IF('Eval-Avant action écologique'!$A$770=CS14,COUNTA('Eval-Avant action écologique'!$H$770),0),IF('Eval-Avant action écologique'!$A$771=CS14,COUNTA('Eval-Avant action écologique'!$H$771),0),IF('Eval-Avant action écologique'!$A$772=CS14,COUNTA('Eval-Avant action écologique'!$H$772),0),IF('Eval-Avant action écologique'!$A$773=CS14,COUNTA('Eval-Avant action écologique'!$H$773),0),IF('Eval-Avant action écologique'!$A$774=CS14,COUNTA('Eval-Avant action écologique'!$H$774),0),IF('Eval-Avant action écologique'!$A$775=CS14,COUNTA('Eval-Avant action écologique'!$H$775),0),IF('Eval-Avant action écologique'!$A$776=CS14,COUNTA('Eval-Avant action écologique'!$H$776),0),IF('Eval-Avant action écologique'!$A$777=CS14,COUNTA('Eval-Avant action écologique'!$H$777),0),IF('Eval-Avant action écologique'!$A$778=CS14,COUNTA('Eval-Avant action écologique'!$H$778),0),IF('Eval-Avant action écologique'!$A$779=CS14,COUNTA('Eval-Avant action écologique'!$H$779),0),IF('Eval-Avant action écologique'!$A$780=CS14,COUNTA('Eval-Avant action écologique'!$H$780),0))&gt;0,"X",0),"")</f>
        <v/>
      </c>
      <c r="CX14" s="213" t="str">
        <f>IF(COUNTIF('Eval-Avant action écologique'!$A$761:$A$780,CS14)&gt;0,IF(SUM(IF('Eval-Avant action écologique'!$A$761=CS14,COUNTA('Eval-Avant action écologique'!$I$761),0),IF('Eval-Avant action écologique'!$A$762=CS14,COUNTA('Eval-Avant action écologique'!$I$762),0),IF('Eval-Avant action écologique'!$A$763=CS14,COUNTA('Eval-Avant action écologique'!$I$763),0),IF('Eval-Avant action écologique'!$A$764=CS14,COUNTA('Eval-Avant action écologique'!$I$764),0),IF('Eval-Avant action écologique'!$A$765=CS14,COUNTA('Eval-Avant action écologique'!$I$765),0),IF('Eval-Avant action écologique'!$A$766=CS14,COUNTA('Eval-Avant action écologique'!$I$766),0),IF('Eval-Avant action écologique'!$A$767=CS14,COUNTA('Eval-Avant action écologique'!$I$767),0),IF('Eval-Avant action écologique'!$A$768=CS14,COUNTA('Eval-Avant action écologique'!$I$768),0),IF('Eval-Avant action écologique'!$A$769=CS14,COUNTA('Eval-Avant action écologique'!$I$769),0),IF('Eval-Avant action écologique'!$A$770=CS14,COUNTA('Eval-Avant action écologique'!$I$770),0),IF('Eval-Avant action écologique'!$A$771=CS14,COUNTA('Eval-Avant action écologique'!$I$771),0),IF('Eval-Avant action écologique'!$A$772=CS14,COUNTA('Eval-Avant action écologique'!$I$772),0),IF('Eval-Avant action écologique'!$A$773=CS14,COUNTA('Eval-Avant action écologique'!$I$773),0),IF('Eval-Avant action écologique'!$A$774=CS14,COUNTA('Eval-Avant action écologique'!$I$774),0),IF('Eval-Avant action écologique'!$A$775=CS14,COUNTA('Eval-Avant action écologique'!$I$775),0),IF('Eval-Avant action écologique'!$A$776=CS14,COUNTA('Eval-Avant action écologique'!$I$776),0),IF('Eval-Avant action écologique'!$A$777=CS14,COUNTA('Eval-Avant action écologique'!$I$777),0),IF('Eval-Avant action écologique'!$A$778=CS14,COUNTA('Eval-Avant action écologique'!$I$778),0),IF('Eval-Avant action écologique'!$A$779=CS14,COUNTA('Eval-Avant action écologique'!$I$779),0),IF('Eval-Avant action écologique'!$A$780=CS14,COUNTA('Eval-Avant action écologique'!$I$780),0))&gt;0,"X",0),"")</f>
        <v/>
      </c>
      <c r="CY14" s="213" t="str">
        <f>IF(COUNTIF('Eval-Avant action écologique'!$A$761:$A$780,CS14)&gt;0,IF(SUM(IF('Eval-Avant action écologique'!$A$761=CS14,COUNTA('Eval-Avant action écologique'!$J$761),0),IF('Eval-Avant action écologique'!$A$762=CS14,COUNTA('Eval-Avant action écologique'!$J$762),0),IF('Eval-Avant action écologique'!$A$763=CS14,COUNTA('Eval-Avant action écologique'!$J$763),0),IF('Eval-Avant action écologique'!$A$764=CS14,COUNTA('Eval-Avant action écologique'!$J$764),0),IF('Eval-Avant action écologique'!$A$765=CS14,COUNTA('Eval-Avant action écologique'!$J$765),0),IF('Eval-Avant action écologique'!$A$766=CS14,COUNTA('Eval-Avant action écologique'!$J$766),0),IF('Eval-Avant action écologique'!$A$767=CS14,COUNTA('Eval-Avant action écologique'!$J$767),0),IF('Eval-Avant action écologique'!$A$768=CS14,COUNTA('Eval-Avant action écologique'!$J$768),0),IF('Eval-Avant action écologique'!$A$769=CS14,COUNTA('Eval-Avant action écologique'!$J$769),0),IF('Eval-Avant action écologique'!$A$770=CS14,COUNTA('Eval-Avant action écologique'!$J$770),0),IF('Eval-Avant action écologique'!$A$771=CS14,COUNTA('Eval-Avant action écologique'!$J$771),0),IF('Eval-Avant action écologique'!$A$772=CS14,COUNTA('Eval-Avant action écologique'!$J$772),0),IF('Eval-Avant action écologique'!$A$773=CS14,COUNTA('Eval-Avant action écologique'!$J$773),0),IF('Eval-Avant action écologique'!$A$774=CS14,COUNTA('Eval-Avant action écologique'!$J$774),0),IF('Eval-Avant action écologique'!$A$775=CS14,COUNTA('Eval-Avant action écologique'!$J$775),0),IF('Eval-Avant action écologique'!$A$776=CS14,COUNTA('Eval-Avant action écologique'!$J$776),0),IF('Eval-Avant action écologique'!$A$777=CS14,COUNTA('Eval-Avant action écologique'!$J$777),0),IF('Eval-Avant action écologique'!$A$778=CS14,COUNTA('Eval-Avant action écologique'!$J$778),0),IF('Eval-Avant action écologique'!$A$779=CS14,COUNTA('Eval-Avant action écologique'!$J$779),0),IF('Eval-Avant action écologique'!$A$780=CS14,COUNTA('Eval-Avant action écologique'!$J$780),0))&gt;0,"X",0),"")</f>
        <v/>
      </c>
      <c r="CZ14" s="213" t="str">
        <f>IF(COUNTIF('Eval-Avant action écologique'!$A$761:$A$780,CS14)&gt;0,IF(SUM(IF('Eval-Avant action écologique'!$A$761=CS14,COUNTA('Eval-Avant action écologique'!$K$761),0),IF('Eval-Avant action écologique'!$A$762=CS14,COUNTA('Eval-Avant action écologique'!$K$762),0),IF('Eval-Avant action écologique'!$A$763=CS14,COUNTA('Eval-Avant action écologique'!$K$763),0),IF('Eval-Avant action écologique'!$A$764=CS14,COUNTA('Eval-Avant action écologique'!$K$764),0),IF('Eval-Avant action écologique'!$A$765=CS14,COUNTA('Eval-Avant action écologique'!$K$765),0),IF('Eval-Avant action écologique'!$A$766=CS14,COUNTA('Eval-Avant action écologique'!$K$766),0),IF('Eval-Avant action écologique'!$A$767=CS14,COUNTA('Eval-Avant action écologique'!$K$767),0),IF('Eval-Avant action écologique'!$A$768=CS14,COUNTA('Eval-Avant action écologique'!$K$768),0),IF('Eval-Avant action écologique'!$A$769=CS14,COUNTA('Eval-Avant action écologique'!$K$769),0),IF('Eval-Avant action écologique'!$A$770=CS14,COUNTA('Eval-Avant action écologique'!$K$770),0),IF('Eval-Avant action écologique'!$A$771=CS14,COUNTA('Eval-Avant action écologique'!$K$771),0),IF('Eval-Avant action écologique'!$A$772=CS14,COUNTA('Eval-Avant action écologique'!$K$772),0),IF('Eval-Avant action écologique'!$A$773=CS14,COUNTA('Eval-Avant action écologique'!$K$773),0),IF('Eval-Avant action écologique'!$A$774=CS14,COUNTA('Eval-Avant action écologique'!$K$774),0),IF('Eval-Avant action écologique'!$A$775=CS14,COUNTA('Eval-Avant action écologique'!$K$775),0),IF('Eval-Avant action écologique'!$A$776=CS14,COUNTA('Eval-Avant action écologique'!$K$776),0),IF('Eval-Avant action écologique'!$A$777=CS14,COUNTA('Eval-Avant action écologique'!$K$777),0),IF('Eval-Avant action écologique'!$A$778=CS14,COUNTA('Eval-Avant action écologique'!$K$778),0),IF('Eval-Avant action écologique'!$A$779=CS14,COUNTA('Eval-Avant action écologique'!$K$779),0),IF('Eval-Avant action écologique'!$A$780=CS14,COUNTA('Eval-Avant action écologique'!$K$780),0))&gt;0,"X",0),"")</f>
        <v/>
      </c>
      <c r="DA14" s="211" t="str">
        <f>IF(COUNTIF('Eval-Avant action écologique'!$A$761:$A$780,CS14)&gt;0,IF(OR(AND('Eval-Avant action écologique'!$A$761=CS14,'Eval-Avant action écologique'!$L$761&lt;120,'Eval-Avant action écologique'!$L$761&gt;=DP9),AND('Eval-Avant action écologique'!$A$762=CS14,'Eval-Avant action écologique'!$L$762&lt;120,'Eval-Avant action écologique'!$L$762&gt;=DP10),AND('Eval-Avant action écologique'!$A$763=CS14,'Eval-Avant action écologique'!$L$763&lt;120,'Eval-Avant action écologique'!$L$763&gt;=DP11),AND('Eval-Avant action écologique'!$A$764=CS14,'Eval-Avant action écologique'!$L$764&lt;120,'Eval-Avant action écologique'!$L$764&gt;=DP12),AND('Eval-Avant action écologique'!$A$765=CS14,'Eval-Avant action écologique'!$L$765&lt;120,'Eval-Avant action écologique'!$L$765&gt;=DP13),AND('Eval-Avant action écologique'!$A$766=CS14,'Eval-Avant action écologique'!$L$766&lt;120,'Eval-Avant action écologique'!$L$766&gt;=DP14),AND('Eval-Avant action écologique'!$A$767=CS14,'Eval-Avant action écologique'!$L$767&lt;120,'Eval-Avant action écologique'!$L$767&gt;=DP15),AND('Eval-Avant action écologique'!$A$768=CS14,'Eval-Avant action écologique'!$L$768&lt;120,'Eval-Avant action écologique'!$L$768&gt;=DP16),AND('Eval-Avant action écologique'!$A$769=CS14,'Eval-Avant action écologique'!$L$769&lt;120,'Eval-Avant action écologique'!$L$769&gt;=DP17),AND('Eval-Avant action écologique'!$A$770=CS14,'Eval-Avant action écologique'!$L$770&lt;120,'Eval-Avant action écologique'!$L$770&gt;=DP18),AND('Eval-Avant action écologique'!$A$771=CS14,'Eval-Avant action écologique'!$L$771&lt;120,'Eval-Avant action écologique'!$L$771&gt;=DP19),AND('Eval-Avant action écologique'!$A$772=CS14,'Eval-Avant action écologique'!$L$772&lt;120,'Eval-Avant action écologique'!$L$772&gt;=DP20),AND('Eval-Avant action écologique'!$A$773=CS14,'Eval-Avant action écologique'!$L$773&lt;120,'Eval-Avant action écologique'!$L$773&gt;=DP21),AND('Eval-Avant action écologique'!$A$774=CS14,'Eval-Avant action écologique'!$L$774&lt;120,'Eval-Avant action écologique'!$L$774&gt;=DP22),AND('Eval-Avant action écologique'!$A$775=CS14,'Eval-Avant action écologique'!$L$775&lt;120,'Eval-Avant action écologique'!$L$775&gt;=DP23),AND('Eval-Avant action écologique'!$A$776=CS14,'Eval-Avant action écologique'!$L$776&lt;120,'Eval-Avant action écologique'!$L$776&gt;=DP24),AND('Eval-Avant action écologique'!$A$777=CS14,'Eval-Avant action écologique'!$L$777&lt;120,'Eval-Avant action écologique'!$L$777&gt;=DP25),AND('Eval-Avant action écologique'!$A$778=CS14,'Eval-Avant action écologique'!$L$778&lt;120,'Eval-Avant action écologique'!$L$778&gt;=DP26),AND('Eval-Avant action écologique'!$A$779=CS14,'Eval-Avant action écologique'!$L$779&lt;120,'Eval-Avant action écologique'!$L$779&gt;=DP27),AND('Eval-Avant action écologique'!$A$780=CS14,'Eval-Avant action écologique'!$L$780&lt;120,'Eval-Avant action écologique'!$L$780&gt;=DP28)),"",SUM(IF('Eval-Avant action écologique'!$A$761=CS14,'Eval-Avant action écologique'!$L$761,0),IF('Eval-Avant action écologique'!$A$762=CS14,'Eval-Avant action écologique'!$L$762,0),IF('Eval-Avant action écologique'!$A$763=CS14,'Eval-Avant action écologique'!$L$763,0),IF('Eval-Avant action écologique'!$A$764=CS14,'Eval-Avant action écologique'!$L$764,0),IF('Eval-Avant action écologique'!$A$765=CS14,'Eval-Avant action écologique'!$L$765,0),IF('Eval-Avant action écologique'!$A$766=CS14,'Eval-Avant action écologique'!$L$766,0),IF('Eval-Avant action écologique'!$A$767=CS14,'Eval-Avant action écologique'!$L$767,0),IF('Eval-Avant action écologique'!$A$768=CS14,'Eval-Avant action écologique'!$L$768,0),IF('Eval-Avant action écologique'!$A$769=CS14,'Eval-Avant action écologique'!$L$769,0),IF('Eval-Avant action écologique'!$A$770=CS14,'Eval-Avant action écologique'!$L$770,0),IF('Eval-Avant action écologique'!$A$771=CS14,'Eval-Avant action écologique'!$L$771,0),IF('Eval-Avant action écologique'!$A$772=CS14,'Eval-Avant action écologique'!$L$772,0),IF('Eval-Avant action écologique'!$A$773=CS14,'Eval-Avant action écologique'!$L$773,0),IF('Eval-Avant action écologique'!$A$774=CS14,'Eval-Avant action écologique'!$L$774,0),IF('Eval-Avant action écologique'!$A$775=CS14,'Eval-Avant action écologique'!$L$775,0),IF('Eval-Avant action écologique'!$A$776=CS14,'Eval-Avant action écologique'!$L$776,0),IF('Eval-Avant action écologique'!$A$777=CS14,'Eval-Avant action écologique'!$L$777,0),IF('Eval-Avant action écologique'!$A$778=CS14,'Eval-Avant action écologique'!$L$778,0),IF('Eval-Avant action écologique'!$A$779=CS14,'Eval-Avant action écologique'!$L$779,0),IF('Eval-Avant action écologique'!$A$780=CS14,'Eval-Avant action écologique'!$L$780,0))/ COUNTIF('Eval-Avant action écologique'!$A$761:$A$780,CS14)),"")</f>
        <v/>
      </c>
      <c r="DB14" s="211" t="str">
        <f>IF(COUNTIF('Eval-Avant action écologique'!$A$761:$A$780,CS14)&gt;0,IF(OR(AND('Eval-Avant action écologique'!$A$761=CS14, DP9&lt;120),AND(DP10&lt;120),AND(DP11&lt;120),AND(DP12&lt;120),AND(DP13&lt;120),AND(DP14&lt;120),AND(DP15&lt;120),AND(DP16&lt;120),AND(DP17&lt;120),AND(DP18&lt;120),AND(DP19&lt;120),AND(DP20&lt;120),AND(DP21&lt;120),AND(DP22&lt;120),AND(DP23&lt;120),AND(DP24&lt;120),AND(DP25&lt;120),AND(DP26&lt;120),AND(DP27&lt;120),AND(DP28&lt;120)),"",SUM(IF('Eval-Avant action écologique'!$A$761=CS14,'Eval-Avant action écologique'!$M$761,0),IF('Eval-Avant action écologique'!$A$762=CS14,'Eval-Avant action écologique'!$M$762,0),IF('Eval-Avant action écologique'!$A$763=CS14,'Eval-Avant action écologique'!$M$763,0),IF('Eval-Avant action écologique'!$A$764=CS14,'Eval-Avant action écologique'!$M$764,0),IF('Eval-Avant action écologique'!$A$765=CS14,'Eval-Avant action écologique'!$M$765,0),IF('Eval-Avant action écologique'!$A$766=CS14,'Eval-Avant action écologique'!$M$766,0),IF('Eval-Avant action écologique'!$A$767=CS14,'Eval-Avant action écologique'!$M$767,0),IF('Eval-Avant action écologique'!$A$768=CS14,'Eval-Avant action écologique'!$M$768,0),IF('Eval-Avant action écologique'!$A$769=CS14,'Eval-Avant action écologique'!$M$769,0),IF('Eval-Avant action écologique'!$A$770=CS14,'Eval-Avant action écologique'!$M$770,0),IF('Eval-Avant action écologique'!$A$771=CS14,'Eval-Avant action écologique'!$M$771,0),IF('Eval-Avant action écologique'!$A$772=CS14,'Eval-Avant action écologique'!$M$772,0),IF('Eval-Avant action écologique'!$A$773=CS14,'Eval-Avant action écologique'!$M$773,0),IF('Eval-Avant action écologique'!$A$774=CS14,'Eval-Avant action écologique'!$M$774,0),IF('Eval-Avant action écologique'!$A$775=CS14,'Eval-Avant action écologique'!$M$775,0), IF('Eval-Avant action écologique'!$A$776=CS14,'Eval-Avant action écologique'!$M$776,0), IF('Eval-Avant action écologique'!$A$777=CS14,'Eval-Avant action écologique'!$M$777,0), IF('Eval-Avant action écologique'!$A$778=CS14,'Eval-Avant action écologique'!$M$778,0), IF('Eval-Avant action écologique'!$A$779=CS14,'Eval-Avant action écologique'!$M$779,0), IF('Eval-Avant action écologique'!$A$780=CS14,'Eval-Avant action écologique'!$M$780,0))/COUNTIF('Eval-Avant action écologique'!$A$761:$A$780,CS14)),"")</f>
        <v/>
      </c>
      <c r="DC14" s="211" t="str">
        <f>IF(COUNTIF('Eval-Avant action écologique'!$A$761:$A$780,CS14)&gt;0,SUM(IF('Eval-Avant action écologique'!$A$761=CS14,LEN(SUBSTITUTE((SUBSTITUTE(DR9,"TM","")),"TS",""))*10/2,0),IF('Eval-Avant action écologique'!$A$762=CS14,LEN(SUBSTITUTE((SUBSTITUTE(DR10,"TM","")),"TS",""))*10/2,0),IF('Eval-Avant action écologique'!$A$763=CS14,LEN(SUBSTITUTE((SUBSTITUTE(DR11,"TM","")),"TS",""))*10/2,0),IF('Eval-Avant action écologique'!$A$764=CS14,LEN(SUBSTITUTE((SUBSTITUTE(DR12,"TM","")),"TS",""))*10/2,0),IF('Eval-Avant action écologique'!$A$765=CS14,LEN(SUBSTITUTE((SUBSTITUTE(DR13,"TM","")),"TS",""))*10/2,0),IF('Eval-Avant action écologique'!$A$766=CS14,LEN(SUBSTITUTE((SUBSTITUTE(DR14,"TM","")),"TS",""))*10/2,0),IF('Eval-Avant action écologique'!$A$767=CS14,LEN(SUBSTITUTE((SUBSTITUTE(DR15,"TM","")),"TS",""))*10/2,0),IF('Eval-Avant action écologique'!$A$768=CS14,LEN(SUBSTITUTE((SUBSTITUTE(DR16,"TM","")),"TS",""))*10/2,0),IF('Eval-Avant action écologique'!$A$769=CS14,LEN(SUBSTITUTE((SUBSTITUTE(DR17,"TM","")),"TS",""))*10/2,0),IF('Eval-Avant action écologique'!$A$770=CS14,LEN(SUBSTITUTE((SUBSTITUTE(DR18,"TM","")),"TS",""))*10/2,0),IF('Eval-Avant action écologique'!$A$771=CS14,LEN(SUBSTITUTE((SUBSTITUTE(DR19,"TM","")),"TS",""))*10/2,0),IF('Eval-Avant action écologique'!$A$772=CS14,LEN(SUBSTITUTE((SUBSTITUTE(DR20,"TM","")),"TS",""))*10/2,0),IF('Eval-Avant action écologique'!$A$773=CS14,LEN(SUBSTITUTE((SUBSTITUTE(DR21,"TM","")),"TS",""))*10/2,0),IF('Eval-Avant action écologique'!$A$774=CS14,LEN(SUBSTITUTE((SUBSTITUTE(DR22,"TM","")),"TS",""))*10/2,0),IF('Eval-Avant action écologique'!$A$775=CS14,LEN(SUBSTITUTE((SUBSTITUTE(DR23,"TM","")),"TS",""))*10/2,0),IF('Eval-Avant action écologique'!$A$776=CS14,LEN(SUBSTITUTE((SUBSTITUTE(DR24,"TM","")),"TS",""))*10/2,0),IF('Eval-Avant action écologique'!$A$777=CS14,LEN(SUBSTITUTE((SUBSTITUTE(DR25,"TM","")),"TS",""))*10/2,0),IF('Eval-Avant action écologique'!$A$778=CS14,LEN(SUBSTITUTE((SUBSTITUTE(DR26,"TM","")),"TS",""))*10/2,0),IF('Eval-Avant action écologique'!$A$779=CS14,LEN(SUBSTITUTE((SUBSTITUTE(DR27,"TM","")),"TS",""))*10/2,0),IF('Eval-Avant action écologique'!$A$780=CS14,LEN(SUBSTITUTE((SUBSTITUTE(DR28,"TM","")),"TS",""))*10/2,0))/COUNTIF('Eval-Avant action écologique'!$A$761:$A$780,CS14),"")</f>
        <v/>
      </c>
      <c r="DD14" s="211" t="str">
        <f>IF(COUNTIF('Eval-Avant action écologique'!$A$761:$A$780,CS14)&gt;0,SUM(IF('Eval-Avant action écologique'!$A$761=CS14,LEN(SUBSTITUTE((SUBSTITUTE(DR9,"TF","")),"TS",""))*10/2,0),IF('Eval-Avant action écologique'!$A$762=CS14,LEN(SUBSTITUTE((SUBSTITUTE(DR10,"TF","")),"TS",""))*10/2,0),IF('Eval-Avant action écologique'!$A$763=CS14,LEN(SUBSTITUTE((SUBSTITUTE(DR11,"TF","")),"TS",""))*10/2,0),IF('Eval-Avant action écologique'!$A$764=CS14,LEN(SUBSTITUTE((SUBSTITUTE(DR12,"TF","")),"TS",""))*10/2,0),IF('Eval-Avant action écologique'!$A$765=CS14,LEN(SUBSTITUTE((SUBSTITUTE(DR13,"TF","")),"TS",""))*10/2,0),IF('Eval-Avant action écologique'!$A$766=CS14,LEN(SUBSTITUTE((SUBSTITUTE(DR14,"TF","")),"TS",""))*10/2,0),IF('Eval-Avant action écologique'!$A$767=CS14,LEN(SUBSTITUTE((SUBSTITUTE(DR15,"TF","")),"TS",""))*10/2,0),IF('Eval-Avant action écologique'!$A$768=CS14,LEN(SUBSTITUTE((SUBSTITUTE(DR16,"TF","")),"TS",""))*10/2,0),IF('Eval-Avant action écologique'!$A$769=CS14,LEN(SUBSTITUTE((SUBSTITUTE(DR17,"TF","")),"TS",""))*10/2,0),IF('Eval-Avant action écologique'!$A$770=CS14,LEN(SUBSTITUTE((SUBSTITUTE(DR18,"TF","")),"TS",""))*10/2,0),IF('Eval-Avant action écologique'!$A$771=CS14,LEN(SUBSTITUTE((SUBSTITUTE(DR19,"TF","")),"TS",""))*10/2,0),IF('Eval-Avant action écologique'!$A$772=CS14,LEN(SUBSTITUTE((SUBSTITUTE(DR20,"TF","")),"TS",""))*10/2,0),IF('Eval-Avant action écologique'!$A$773=CS14,LEN(SUBSTITUTE((SUBSTITUTE(DR21,"TF","")),"TS",""))*10/2,0),IF('Eval-Avant action écologique'!$A$774=CS14,LEN(SUBSTITUTE((SUBSTITUTE(DR22,"TF","")),"TS",""))*10/2,0),IF('Eval-Avant action écologique'!$A$775=CS14,LEN(SUBSTITUTE((SUBSTITUTE(DR23,"TF","")),"TS",""))*10/2,0),IF('Eval-Avant action écologique'!$A$776=CS14,LEN(SUBSTITUTE((SUBSTITUTE(DR24,"TF","")),"TS",""))*10/2,0),IF('Eval-Avant action écologique'!$A$777=CS14,LEN(SUBSTITUTE((SUBSTITUTE(DR25,"TF","")),"TS",""))*10/2,0),IF('Eval-Avant action écologique'!$A$778=CS14,LEN(SUBSTITUTE((SUBSTITUTE(DR26,"TF","")),"TS",""))*10/2,0),IF('Eval-Avant action écologique'!$A$779=CS14,LEN(SUBSTITUTE((SUBSTITUTE(DR27,"TF","")),"TS",""))*10/2,0),IF('Eval-Avant action écologique'!$A$780=CS14,LEN(SUBSTITUTE((SUBSTITUTE(DR28,"TF","")),"TS",""))*10/2,0))/COUNTIF('Eval-Avant action écologique'!$A$761:$A$780,CS14),"")</f>
        <v/>
      </c>
      <c r="DE14" s="211" t="str">
        <f>IF(COUNTIF('Eval-Avant action écologique'!$A$761:$A$780,CS14)&gt;0,SUM(IF('Eval-Avant action écologique'!$A$761=CS14,LEN(SUBSTITUTE((SUBSTITUTE(DR9,"TF","")),"TM",""))*10/2,0),IF('Eval-Avant action écologique'!$A$762=CS14,LEN(SUBSTITUTE((SUBSTITUTE(DR10,"TF","")),"TM",""))*10/2,0),IF('Eval-Avant action écologique'!$A$763=CS14,LEN(SUBSTITUTE((SUBSTITUTE(DR11,"TF","")),"TM",""))*10/2,0),IF('Eval-Avant action écologique'!$A$764=CS14,LEN(SUBSTITUTE((SUBSTITUTE(DR12,"TF","")),"TM",""))*10/2,0),IF('Eval-Avant action écologique'!$A$765=CS14,LEN(SUBSTITUTE((SUBSTITUTE(DR13,"TF","")),"TM",""))*10/2,0),IF('Eval-Avant action écologique'!$A$766=CS14,LEN(SUBSTITUTE((SUBSTITUTE(DR14,"TF","")),"TM",""))*10/2,0),IF('Eval-Avant action écologique'!$A$767=CS14,LEN(SUBSTITUTE((SUBSTITUTE(DR15,"TF","")),"TM",""))*10/2,0),IF('Eval-Avant action écologique'!$A$768=CS14,LEN(SUBSTITUTE((SUBSTITUTE(DR16,"TF","")),"TM",""))*10/2,0),IF('Eval-Avant action écologique'!$A$769=CS14,LEN(SUBSTITUTE((SUBSTITUTE(DR17,"TF","")),"TM",""))*10/2,0),IF('Eval-Avant action écologique'!$A$770=CS14,LEN(SUBSTITUTE((SUBSTITUTE(DR18,"TF","")),"TM",""))*10/2,0),IF('Eval-Avant action écologique'!$A$771=CS14,LEN(SUBSTITUTE((SUBSTITUTE(DR19,"TF","")),"TM",""))*10/2,0),IF('Eval-Avant action écologique'!$A$772=CS14,LEN(SUBSTITUTE((SUBSTITUTE(DR20,"TF","")),"TM",""))*10/2,0),IF('Eval-Avant action écologique'!$A$773=CS14,LEN(SUBSTITUTE((SUBSTITUTE(DR21,"TF","")),"TM",""))*10/2,0),IF('Eval-Avant action écologique'!$A$774=CS14,LEN(SUBSTITUTE((SUBSTITUTE(DR22,"TF","")),"TM",""))*10/2,0),IF('Eval-Avant action écologique'!$A$775=CS14,LEN(SUBSTITUTE((SUBSTITUTE(DR23,"TF","")),"TM",""))*10/2,0),IF('Eval-Avant action écologique'!$A$776=CS14,LEN(SUBSTITUTE((SUBSTITUTE(DR24,"TF","")),"TM",""))*10/2,0),IF('Eval-Avant action écologique'!$A$777=CS14,LEN(SUBSTITUTE((SUBSTITUTE(DR25,"TF","")),"TM",""))*10/2,0),IF('Eval-Avant action écologique'!$A$778=CS14,LEN(SUBSTITUTE((SUBSTITUTE(DR26,"TF","")),"TM",""))*10/2,0),IF('Eval-Avant action écologique'!$A$779=CS14,LEN(SUBSTITUTE((SUBSTITUTE(DR27,"TF","")),"TM",""))*10/2,0),IF('Eval-Avant action écologique'!$A$780=CS14,LEN(SUBSTITUTE((SUBSTITUTE(DR28,"TF","")),"TM",""))*10/2,0))/COUNTIF('Eval-Avant action écologique'!$A$761:$A$780,CS14),"")</f>
        <v/>
      </c>
      <c r="DF14" s="211" t="str">
        <f>IF(COUNTIF('Eval-Avant action écologique'!$A$761:$A$780,CS14)&gt;0,SUM(IF('Eval-Avant action écologique'!$A$761=CS14,LEN(SUBSTITUTE((SUBSTITUTE(DS9,"TM","")),"TS",""))*10/2,0),IF('Eval-Avant action écologique'!$A$762=CS14,LEN(SUBSTITUTE((SUBSTITUTE(DS10,"TM","")),"TS",""))*10/2,0),IF('Eval-Avant action écologique'!$A$763=CS14,LEN(SUBSTITUTE((SUBSTITUTE(DS11,"TM","")),"TS",""))*10/2,0),IF('Eval-Avant action écologique'!$A$764=CS14,LEN(SUBSTITUTE((SUBSTITUTE(DS12,"TM","")),"TS",""))*10/2,0),IF('Eval-Avant action écologique'!$A$765=CS14,LEN(SUBSTITUTE((SUBSTITUTE(DS13,"TM","")),"TS",""))*10/2,0),IF('Eval-Avant action écologique'!$A$766=CS14,LEN(SUBSTITUTE((SUBSTITUTE(DS14,"TM","")),"TS",""))*10/2,0),IF('Eval-Avant action écologique'!$A$767=CS14,LEN(SUBSTITUTE((SUBSTITUTE(DS15,"TM","")),"TS",""))*10/2,0),IF('Eval-Avant action écologique'!$A$768=CS14,LEN(SUBSTITUTE((SUBSTITUTE(DS16,"TM","")),"TS",""))*10/2,0),IF('Eval-Avant action écologique'!$A$769=CS14,LEN(SUBSTITUTE((SUBSTITUTE(DS17,"TM","")),"TS",""))*10/2,0),IF('Eval-Avant action écologique'!$A$770=CS14,LEN(SUBSTITUTE((SUBSTITUTE(DS18,"TM","")),"TS",""))*10/2,0),IF('Eval-Avant action écologique'!$A$771=CS14,LEN(SUBSTITUTE((SUBSTITUTE(DS19,"TM","")),"TS",""))*10/2,0),IF('Eval-Avant action écologique'!$A$772=CS14,LEN(SUBSTITUTE((SUBSTITUTE(DS20,"TM","")),"TS",""))*10/2,0),IF('Eval-Avant action écologique'!$A$773=CS14,LEN(SUBSTITUTE((SUBSTITUTE(DS21,"TM","")),"TS",""))*10/2,0),IF('Eval-Avant action écologique'!$A$774=CS14,LEN(SUBSTITUTE((SUBSTITUTE(DS22,"TM","")),"TS",""))*10/2,0),IF('Eval-Avant action écologique'!$A$775=CS14,LEN(SUBSTITUTE((SUBSTITUTE(DS23,"TM","")),"TS",""))*10/2,0),IF('Eval-Avant action écologique'!$A$776=CS14,LEN(SUBSTITUTE((SUBSTITUTE(DS24,"TM","")),"TS",""))*10/2,0),IF('Eval-Avant action écologique'!$A$777=CS14,LEN(SUBSTITUTE((SUBSTITUTE(DS25,"TM","")),"TS",""))*10/2,0),IF('Eval-Avant action écologique'!$A$778=CS14,LEN(SUBSTITUTE((SUBSTITUTE(DS26,"TM","")),"TS",""))*10/2,0),IF('Eval-Avant action écologique'!$A$779=CS14,LEN(SUBSTITUTE((SUBSTITUTE(DS27,"TM","")),"TS",""))*10/2,0),IF('Eval-Avant action écologique'!$A$780=CS14,LEN(SUBSTITUTE((SUBSTITUTE(DS28,"TM","")),"TS",""))*10/2,0))/COUNTIF('Eval-Avant action écologique'!$A$761:$A$780,CS14),"")</f>
        <v/>
      </c>
      <c r="DG14" s="211" t="str">
        <f>IF(COUNTIF('Eval-Avant action écologique'!$A$761:$A$780,CS14)&gt;0,SUM(IF('Eval-Avant action écologique'!$A$761=CS14,LEN(SUBSTITUTE((SUBSTITUTE(DS9,"TF","")),"TS",""))*10/2,0),IF('Eval-Avant action écologique'!$A$762=CS14,LEN(SUBSTITUTE((SUBSTITUTE(DS10,"TF","")),"TS",""))*10/2,0),IF('Eval-Avant action écologique'!$A$763=CS14,LEN(SUBSTITUTE((SUBSTITUTE(DS11,"TF","")),"TS",""))*10/2,0),IF('Eval-Avant action écologique'!$A$764=CS14,LEN(SUBSTITUTE((SUBSTITUTE(DS12,"TF","")),"TS",""))*10/2,0),IF('Eval-Avant action écologique'!$A$765=CS14,LEN(SUBSTITUTE((SUBSTITUTE(DS13,"TF","")),"TS",""))*10/2,0),IF('Eval-Avant action écologique'!$A$766=CS14,LEN(SUBSTITUTE((SUBSTITUTE(DS14,"TF","")),"TS",""))*10/2,0),IF('Eval-Avant action écologique'!$A$767=CS14,LEN(SUBSTITUTE((SUBSTITUTE(DS15,"TF","")),"TS",""))*10/2,0),IF('Eval-Avant action écologique'!$A$768=CS14,LEN(SUBSTITUTE((SUBSTITUTE(DS16,"TF","")),"TS",""))*10/2,0),IF('Eval-Avant action écologique'!$A$769=CS14,LEN(SUBSTITUTE((SUBSTITUTE(DS17,"TF","")),"TS",""))*10/2,0),IF('Eval-Avant action écologique'!$A$770=CS14,LEN(SUBSTITUTE((SUBSTITUTE(DS18,"TF","")),"TS",""))*10/2,0),IF('Eval-Avant action écologique'!$A$771=CS14,LEN(SUBSTITUTE((SUBSTITUTE(DS19,"TF","")),"TS",""))*10/2,0),IF('Eval-Avant action écologique'!$A$772=CS14,LEN(SUBSTITUTE((SUBSTITUTE(DS20,"TF","")),"TS",""))*10/2,0),IF('Eval-Avant action écologique'!$A$773=CS14,LEN(SUBSTITUTE((SUBSTITUTE(DS21,"TF","")),"TS",""))*10/2,0),IF('Eval-Avant action écologique'!$A$774=CS14,LEN(SUBSTITUTE((SUBSTITUTE(DS22,"TF","")),"TS",""))*10/2,0),IF('Eval-Avant action écologique'!$A$775=CS14,LEN(SUBSTITUTE((SUBSTITUTE(DS23,"TF","")),"TS",""))*10/2,0),IF('Eval-Avant action écologique'!$A$776=CS14,LEN(SUBSTITUTE((SUBSTITUTE(DS24,"TF","")),"TS",""))*10/2,0),IF('Eval-Avant action écologique'!$A$777=CS14,LEN(SUBSTITUTE((SUBSTITUTE(DS25,"TF","")),"TS",""))*10/2,0),IF('Eval-Avant action écologique'!$A$778=CS14,LEN(SUBSTITUTE((SUBSTITUTE(DS26,"TF","")),"TS",""))*10/2,0),IF('Eval-Avant action écologique'!$A$779=CS14,LEN(SUBSTITUTE((SUBSTITUTE(DS27,"TF","")),"TS",""))*10/2,0),IF('Eval-Avant action écologique'!$A$780=CS14,LEN(SUBSTITUTE((SUBSTITUTE(DS28,"TF","")),"TS",""))*10/2,0))/COUNTIF('Eval-Avant action écologique'!$A$761:$A$780,CS14),"")</f>
        <v/>
      </c>
      <c r="DH14" s="211" t="str">
        <f>IF(COUNTIF('Eval-Avant action écologique'!$A$761:$A$780,CS14)&gt;0,SUM(IF('Eval-Avant action écologique'!$A$761=CS14,LEN(SUBSTITUTE((SUBSTITUTE(DS9,"TF","")),"TM",""))*10/2,0),IF('Eval-Avant action écologique'!$A$762=CS14,LEN(SUBSTITUTE((SUBSTITUTE(DS10,"TF","")),"TM",""))*10/2,0),IF('Eval-Avant action écologique'!$A$763=CS14,LEN(SUBSTITUTE((SUBSTITUTE(DS11,"TF","")),"TM",""))*10/2,0),IF('Eval-Avant action écologique'!$A$764=CS14,LEN(SUBSTITUTE((SUBSTITUTE(DS12,"TF","")),"TM",""))*10/2,0),IF('Eval-Avant action écologique'!$A$765=CS14,LEN(SUBSTITUTE((SUBSTITUTE(DS13,"TF","")),"TM",""))*10/2,0),IF('Eval-Avant action écologique'!$A$766=CS14,LEN(SUBSTITUTE((SUBSTITUTE(DS14,"TF","")),"TM",""))*10/2,0),IF('Eval-Avant action écologique'!$A$767=CS14,LEN(SUBSTITUTE((SUBSTITUTE(DS15,"TF","")),"TM",""))*10/2,0),IF('Eval-Avant action écologique'!$A$768=CS14,LEN(SUBSTITUTE((SUBSTITUTE(DS16,"TF","")),"TM",""))*10/2,0),IF('Eval-Avant action écologique'!$A$769=CS14,LEN(SUBSTITUTE((SUBSTITUTE(DS17,"TF","")),"TM",""))*10/2,0),IF('Eval-Avant action écologique'!$A$770=CS14,LEN(SUBSTITUTE((SUBSTITUTE(DS18,"TF","")),"TM",""))*10/2,0),IF('Eval-Avant action écologique'!$A$771=CS14,LEN(SUBSTITUTE((SUBSTITUTE(DS19,"TF","")),"TM",""))*10/2,0),IF('Eval-Avant action écologique'!$A$772=CS14,LEN(SUBSTITUTE((SUBSTITUTE(DS20,"TF","")),"TM",""))*10/2,0),IF('Eval-Avant action écologique'!$A$773=CS14,LEN(SUBSTITUTE((SUBSTITUTE(DS21,"TF","")),"TM",""))*10/2,0),IF('Eval-Avant action écologique'!$A$774=CS14,LEN(SUBSTITUTE((SUBSTITUTE(DS22,"TF","")),"TM",""))*10/2,0),IF('Eval-Avant action écologique'!$A$775=CS14,LEN(SUBSTITUTE((SUBSTITUTE(DS23,"TF","")),"TM",""))*10/2,0),IF('Eval-Avant action écologique'!$A$776=CS14,LEN(SUBSTITUTE((SUBSTITUTE(DS24,"TF","")),"TM",""))*10/2,0),IF('Eval-Avant action écologique'!$A$777=CS14,LEN(SUBSTITUTE((SUBSTITUTE(DS25,"TF","")),"TM",""))*10/2,0),IF('Eval-Avant action écologique'!$A$778=CS14,LEN(SUBSTITUTE((SUBSTITUTE(DS26,"TF","")),"TM",""))*10/2,0),IF('Eval-Avant action écologique'!$A$779=CS14,LEN(SUBSTITUTE((SUBSTITUTE(DS27,"TF","")),"TM",""))*10/2,0),IF('Eval-Avant action écologique'!$A$780=CS14,LEN(SUBSTITUTE((SUBSTITUTE(DS28,"TF","")),"TM",""))*10/2,0))/COUNTIF('Eval-Avant action écologique'!$A$761:$A$780,CS14),"")</f>
        <v/>
      </c>
      <c r="DI14" s="211" t="str">
        <f>IF(COUNTIF('Eval-Avant action écologique'!$A$761:$A$780,CS14)&gt;0,IF(OR(AND('Eval-Avant action écologique'!$A$761=CS14,DP9&lt;30),AND('Eval-Avant action écologique'!$A$762=CS14,DP10&lt;30),AND('Eval-Avant action écologique'!$A$763=CS14,DP11&lt;30),AND('Eval-Avant action écologique'!$A$764=CS14,DP12&lt;30),AND('Eval-Avant action écologique'!$A$765=CS14,DP13&lt;30),AND('Eval-Avant action écologique'!$A$766=CS14,DP14&lt;30),AND('Eval-Avant action écologique'!$A$767=CS14,DP15&lt;30),AND('Eval-Avant action écologique'!$A$768=CS14,DP16&lt;30),AND('Eval-Avant action écologique'!$A$769=CS14,DP17&lt;30),AND('Eval-Avant action écologique'!$A$770=CS14,DP18&lt;30),AND('Eval-Avant action écologique'!$A$771=CS14,DP19&lt;30),AND('Eval-Avant action écologique'!$A$772=CS14,DP20&lt;30),AND('Eval-Avant action écologique'!$A$773=CS14,DP21&lt;30),AND('Eval-Avant action écologique'!$A$774=CS14,DP22&lt;30),AND('Eval-Avant action écologique'!$A$775=CS14,DP23&lt;30),AND('Eval-Avant action écologique'!$A$776=CS14,DP24&lt;30),AND('Eval-Avant action écologique'!$A$777=CS14,DP25&lt;30),AND('Eval-Avant action écologique'!$A$778=CS14,DP26&lt;30),AND('Eval-Avant action écologique'!$A$779=CS14,DP27&lt;30),AND('Eval-Avant action écologique'!$A$780=CS14,DP28&lt;30)),"",SUM(0.1*(SUMPRODUCT(('Eval-Avant action écologique'!$A$761:$A$780=CS14)*('Eval-Avant action écologique'!$N$761:$P$780="A"))+ SUMPRODUCT(('Eval-Avant action écologique'!$A$761:$A$780=CS14)*('Eval-Avant action écologique'!$N$761:$P$780="AL"))),0.7*(SUMPRODUCT(('Eval-Avant action écologique'!$A$761:$A$780=CS14)*('Eval-Avant action écologique'!$N$761:$P$780="TF"))+SUMPRODUCT(('Eval-Avant action écologique'!$A$761:$A$780=CS14)*('Eval-Avant action écologique'!$N$761:$P$780="TM"))+SUMPRODUCT(('Eval-Avant action écologique'!$A$761:$A$780=CS14)*('Eval-Avant action écologique'!$N$761:$P$780="TS"))),0.4*(SUMPRODUCT(('Eval-Avant action écologique'!$A$761:$A$780=CS14)*('Eval-Avant action écologique'!$N$761:$P$780="LA"))+SUMPRODUCT(('Eval-Avant action écologique'!$A$761:$A$780=CS14)*('Eval-Avant action écologique'!$N$761:$P$780="L"))+SUMPRODUCT(('Eval-Avant action écologique'!$A$761:$A$780=CS14)*('Eval-Avant action écologique'!$N$761:$P$780="LS"))),1*(SUMPRODUCT(('Eval-Avant action écologique'!$A$761:$A$780=CS14)*('Eval-Avant action écologique'!$N$761:$P$780="SL"))+ SUMPRODUCT(('Eval-Avant action écologique'!$A$761:$A$780=CS14)*('Eval-Avant action écologique'!$N$761:$P$780="S"))))/(3*COUNTIF('Eval-Avant action écologique'!$A$761:$A$780,CS14))),"")</f>
        <v/>
      </c>
      <c r="DJ14" s="211" t="str">
        <f>IF(COUNTIF('Eval-Avant action écologique'!$A$761:$A$780,CS14)&gt;0,IF(OR(AND('Eval-Avant action écologique'!$A$761=CS14,DP9&lt;120),AND('Eval-Avant action écologique'!$A$762=CS14,DP10&lt;120),AND('Eval-Avant action écologique'!$A$763=CS14,DP11&lt;120),AND('Eval-Avant action écologique'!$A$764=CS14,DP12&lt;120),AND('Eval-Avant action écologique'!$A$765=CS14,DP13&lt;120),AND('Eval-Avant action écologique'!$A$766=CS14,DP14&lt;120),AND('Eval-Avant action écologique'!$A$767=CS14,DP15&lt;120),AND('Eval-Avant action écologique'!$A$768=CS14,DP16&lt;120),AND('Eval-Avant action écologique'!$A$769=CS14,DP17&lt;120),AND('Eval-Avant action écologique'!$A$770=CS14,DP18&lt;120),AND('Eval-Avant action écologique'!$A$771=CS14,DP19&lt;120),AND('Eval-Avant action écologique'!$A$772=CS14,DP20&lt;120),AND('Eval-Avant action écologique'!$A$773=CS14,DP21&lt;120),AND('Eval-Avant action écologique'!$A$774=CS14,DP22&lt;120),AND('Eval-Avant action écologique'!$A$775=CS14,DP23&lt;120),AND('Eval-Avant action écologique'!$A$776=CS14,DP24&lt;120),AND('Eval-Avant action écologique'!$A$777=CS14,DP25&lt;120),AND('Eval-Avant action écologique'!$A$778=CS14,DP26&lt;120),AND('Eval-Avant action écologique'!$A$779=CS14,DP27&lt;120),AND('Eval-Avant action écologique'!$A$780=CS14,DP28&lt;120)),"",SUM(0.1*(SUMPRODUCT(('Eval-Avant action écologique'!$A$761:$A$780=CS14)*('Eval-Avant action écologique'!$Q$761:$Y$780="A"))+ SUMPRODUCT(('Eval-Avant action écologique'!$A$761:$A$780=CS14)*('Eval-Avant action écologique'!$Q$761:$Y$780="AL"))),0.7*(SUMPRODUCT(('Eval-Avant action écologique'!$A$761:$A$780=CS14)*('Eval-Avant action écologique'!$Q$761:$Y$780="TF"))+SUMPRODUCT(('Eval-Avant action écologique'!$A$761:$A$780=CS14)*('Eval-Avant action écologique'!$Q$761:$Y$780="TM"))+SUMPRODUCT(('Eval-Avant action écologique'!$A$761:$A$780=CS14)*('Eval-Avant action écologique'!$Q$761:$Y$780="TS"))),0.4*(SUMPRODUCT(('Eval-Avant action écologique'!$A$761:$A$780=CS14)*('Eval-Avant action écologique'!$Q$761:$Y$780="LA"))+SUMPRODUCT(('Eval-Avant action écologique'!$A$761:$A$780=CS14)*('Eval-Avant action écologique'!$Q$761:$Y$780="L"))+SUMPRODUCT(('Eval-Avant action écologique'!$A$761:$A$780=CS14)*('Eval-Avant action écologique'!$Q$761:$Y$780="LS"))),1*(SUMPRODUCT(('Eval-Avant action écologique'!$A$761:$A$780=CS14)*('Eval-Avant action écologique'!$Q$761:$Y$780="SL"))+ SUMPRODUCT(('Eval-Avant action écologique'!$A$761:$A$780=CS14)*('Eval-Avant action écologique'!$Q$761:$Y$780="S"))))/(9*COUNTIF('Eval-Avant action écologique'!$A$761:$A$780,CS14))),"")</f>
        <v/>
      </c>
      <c r="DK14" s="211" t="str">
        <f>IF(COUNTIF('Eval-Avant action écologique'!$A$761:$A$780,CS14)&gt;0,IF(OR(AND('Eval-Avant action écologique'!$A$761=CS14,OR(COUNTIF('Eval-Avant action écologique'!$N$761:$P$761,"*T*")&gt;0,DP9&lt;30)),AND('Eval-Avant action écologique'!$A$762=CS14,OR(COUNTIF('Eval-Avant action écologique'!$N$762:$P$762,"*T*")&gt;0,DP10&lt;30)),AND('Eval-Avant action écologique'!$A$763=CS14,OR(COUNTIF('Eval-Avant action écologique'!$N$763:$P$763,"*T*")&gt;0,DP11&lt;30)),AND('Eval-Avant action écologique'!$A$764=CS14,OR(COUNTIF('Eval-Avant action écologique'!$N$764:$P$764,"*T*")&gt;0,DP12&lt;30)),AND('Eval-Avant action écologique'!$A$765=CS14,OR(COUNTIF('Eval-Avant action écologique'!$N$765:$P$765,"*T*")&gt;0,DP13&lt;30)),AND('Eval-Avant action écologique'!$A$766=CS14,OR(COUNTIF('Eval-Avant action écologique'!$N$766:$P$766,"*T*")&gt;0,DP14&lt;30)),AND('Eval-Avant action écologique'!$A$767=CS14,OR(COUNTIF('Eval-Avant action écologique'!$N$767:$P$767,"*T*")&gt;0,DP15&lt;30)),AND('Eval-Avant action écologique'!$A$768=CS14,OR(COUNTIF('Eval-Avant action écologique'!$N$768:$P$768,"*T*")&gt;0,DP16&lt;30)),AND('Eval-Avant action écologique'!$A$769=CS14,OR(COUNTIF('Eval-Avant action écologique'!$N$769:$P$769,"*T*")&gt;0,DP17&lt;30)),AND('Eval-Avant action écologique'!$A$770=CS14,OR(COUNTIF('Eval-Avant action écologique'!$N$770:$P$770,"*T*")&gt;0,DP18&lt;30)),AND('Eval-Avant action écologique'!$A$771=CS14,OR(COUNTIF('Eval-Avant action écologique'!$N$771:$P$771,"*T*")&gt;0,DP19&lt;30)),AND('Eval-Avant action écologique'!$A$772=CS14,OR(COUNTIF('Eval-Avant action écologique'!$N$772:$P$772,"*T*")&gt;0,DP20&lt;30)),AND('Eval-Avant action écologique'!$A$773=CS14,OR(COUNTIF('Eval-Avant action écologique'!$N$773:$P$773,"*T*")&gt;0,DP21&lt;30)),AND('Eval-Avant action écologique'!$A$774=CS14,OR(COUNTIF('Eval-Avant action écologique'!$N$774:$P$774,"*T*")&gt;0,DP22&lt;30)),AND('Eval-Avant action écologique'!$A$775=CS14,OR(COUNTIF('Eval-Avant action écologique'!$N$775:$P$775,"*T*")&gt;0,DP23&lt;30)),AND('Eval-Avant action écologique'!$A$776=CS14,OR(COUNTIF('Eval-Avant action écologique'!$N$776:$P$776,"*T*")&gt;0,DP24&lt;30)),AND('Eval-Avant action écologique'!$A$777=CS14,OR(COUNTIF('Eval-Avant action écologique'!$N$777:$P$777,"*T*")&gt;0,DP25&lt;30)),AND('Eval-Avant action écologique'!$A$778=CS14,OR(COUNTIF('Eval-Avant action écologique'!$N$778:$P$778,"*T*")&gt;0,DP26&lt;30)),AND('Eval-Avant action écologique'!$A$779=CS14,OR(COUNTIF('Eval-Avant action écologique'!$N$779:$P$779,"*T*")&gt;0,DP27&lt;30)),AND('Eval-Avant action écologique'!$A$780=CS14,OR(COUNTIF('Eval-Avant action écologique'!$N$780:$P$780,"*T*")&gt;0,DP28&lt;30))),"",SUM(0.1*(SUMPRODUCT(('Eval-Avant action écologique'!$A$761:$A$780=CS14)*('Eval-Avant action écologique'!$N$761:$P$780="L"))),0.4*(SUMPRODUCT(('Eval-Avant action écologique'!$A$761:$A$780=CS14)*('Eval-Avant action écologique'!$N$761:$P$780="LA"))+SUMPRODUCT(('Eval-Avant action écologique'!$A$761:$A$780=CS14)*('Eval-Avant action écologique'!$N$761:$P$780="LS"))),0.7*(SUMPRODUCT(('Eval-Avant action écologique'!$A$761:$A$780=CS14)*('Eval-Avant action écologique'!$N$761:$P$780="AL"))+SUMPRODUCT(('Eval-Avant action écologique'!$A$761:$A$780=CS14)*('Eval-Avant action écologique'!$N$761:$P$780="SL"))),1*(SUMPRODUCT(('Eval-Avant action écologique'!$A$761:$A$780=CS14)*('Eval-Avant action écologique'!$N$761:$P$780="S"))+ SUMPRODUCT(('Eval-Avant action écologique'!$A$761:$A$780=CS14)*('Eval-Avant action écologique'!$N$761:$P$780="A"))))/(3*COUNTIF('Eval-Avant action écologique'!$A$761:$A$780,CS14))),"")</f>
        <v/>
      </c>
      <c r="DL14" s="211" t="str">
        <f>IF(COUNTIF('Eval-Avant action écologique'!$A$761:$A$780,CS14)&gt;0,IF(OR(AND('Eval-Avant action écologique'!$A$761=CS14,OR(COUNTIF('Eval-Avant action écologique'!$N$761:$P$761,"*T*")&gt;0,DP9&lt;30)),AND('Eval-Avant action écologique'!$A$762=CS14,OR(COUNTIF('Eval-Avant action écologique'!$N$762:$P$762,"*T*")&gt;0,DP10&lt;30)),AND('Eval-Avant action écologique'!$A$763=CS14,OR(COUNTIF('Eval-Avant action écologique'!$N$763:$P$763,"*T*")&gt;0,DP11&lt;30)),AND('Eval-Avant action écologique'!$A$764=CS14,OR(COUNTIF('Eval-Avant action écologique'!$N$764:$P$764,"*T*")&gt;0,DP12&lt;30)),AND('Eval-Avant action écologique'!$A$765=CS14,OR(COUNTIF('Eval-Avant action écologique'!$N$765:$P$765,"*T*")&gt;0,DP13&lt;30)),AND('Eval-Avant action écologique'!$A$766=CS14,OR(COUNTIF('Eval-Avant action écologique'!$N$766:$P$766,"*T*")&gt;0,DP14&lt;30)),AND('Eval-Avant action écologique'!$A$767=CS14,OR(COUNTIF('Eval-Avant action écologique'!$N$767:$P$767,"*T*")&gt;0,DP15&lt;30)),AND('Eval-Avant action écologique'!$A$768=CS14,OR(COUNTIF('Eval-Avant action écologique'!$N$768:$P$768,"*T*")&gt;0,DP16&lt;30)),AND('Eval-Avant action écologique'!$A$769=CS14,OR(COUNTIF('Eval-Avant action écologique'!$N$769:$P$769,"*T*")&gt;0,DP17&lt;30)),AND('Eval-Avant action écologique'!$A$770=CS14,OR(COUNTIF('Eval-Avant action écologique'!$N$770:$P$770,"*T*")&gt;0,DP18&lt;30)),AND('Eval-Avant action écologique'!$A$771=CS14,OR(COUNTIF('Eval-Avant action écologique'!$N$771:$P$771,"*T*")&gt;0,DP19&lt;30)),AND('Eval-Avant action écologique'!$A$772=CS14,OR(COUNTIF('Eval-Avant action écologique'!$N$772:$P$772,"*T*")&gt;0,DP20&lt;30)),AND('Eval-Avant action écologique'!$A$773=CS14,OR(COUNTIF('Eval-Avant action écologique'!$N$773:$P$773,"*T*")&gt;0,DP21&lt;30)),AND('Eval-Avant action écologique'!$A$774=CS14,OR(COUNTIF('Eval-Avant action écologique'!$N$774:$P$774,"*T*")&gt;0,DP22&lt;30)),AND('Eval-Avant action écologique'!$A$775=CS14,OR(COUNTIF('Eval-Avant action écologique'!$N$775:$P$775,"*T*")&gt;0,DP23&lt;30)),AND('Eval-Avant action écologique'!$A$776=CS14,OR(COUNTIF('Eval-Avant action écologique'!$N$776:$P$776,"*T*")&gt;0,DP24&lt;30)),AND('Eval-Avant action écologique'!$A$777=CS14,OR(COUNTIF('Eval-Avant action écologique'!$N$777:$P$777,"*T*")&gt;0,DP25&lt;30)),AND('Eval-Avant action écologique'!$A$778=CS14,OR(COUNTIF('Eval-Avant action écologique'!$N$778:$P$778,"*T*")&gt;0,DP26&lt;30)),AND('Eval-Avant action écologique'!$A$779=CS14,OR(COUNTIF('Eval-Avant action écologique'!$N$779:$P$779,"*T*")&gt;0,DP27&lt;30)),AND('Eval-Avant action écologique'!$A$780=CS14,OR(COUNTIF('Eval-Avant action écologique'!$N$780:$P$780,"*T*")&gt;0,DP28&lt;30))),"",SUM(1*(SUMPRODUCT(('Eval-Avant action écologique'!$A$761:$A$780=CS14)*('Eval-Avant action écologique'!$N$761:$P$780="A"))),0.85*(SUMPRODUCT(('Eval-Avant action écologique'!$A$761:$A$780=CS14)*('Eval-Avant action écologique'!$N$761:$P$780="AL"))),0.7*(SUMPRODUCT(('Eval-Avant action écologique'!$A$761:$A$780=CS14)*('Eval-Avant action écologique'!$N$761:$P$780="LA"))),0.55*(SUMPRODUCT(('Eval-Avant action écologique'!$A$761:$A$780=CS14)*('Eval-Avant action écologique'!$N$761:$P$780="L"))),0.4*(SUMPRODUCT(('Eval-Avant action écologique'!$A$761:$A$780=CS14)*('Eval-Avant action écologique'!$N$761:$P$780="LS"))),0.25*(SUMPRODUCT(('Eval-Avant action écologique'!$A$761:$A$780=CS14)*('Eval-Avant action écologique'!$N$761:$P$780="SL"))),0.1*(SUMPRODUCT(('Eval-Avant action écologique'!$A$761:$A$780=CS14)*('Eval-Avant action écologique'!$N$761:$P$780="S"))))/(3*COUNTIF('Eval-Avant action écologique'!$A$761:$A$780,CS14))),"")</f>
        <v/>
      </c>
      <c r="DM14" s="214" t="str">
        <f>IF(COUNTIF('Eval-Avant action écologique'!$A$761:$A$780,CS14)&gt;0,IF(OR(AND('Eval-Avant action écologique'!$A$761=CS14,OR(COUNTIF('Eval-Avant action écologique'!$Q$761:$Y$761,"*T*")&gt;0,DP9&lt;120)),AND('Eval-Avant action écologique'!$A$762=CS14,OR(COUNTIF('Eval-Avant action écologique'!$Q$762:$Y$762,"*T*")&gt;0,DP10&lt;120)),AND('Eval-Avant action écologique'!$A$763=CS14,OR(COUNTIF('Eval-Avant action écologique'!$Q$763:$Y$763,"*T*")&gt;0,DP11&lt;120)),AND('Eval-Avant action écologique'!$A$764=CS14,OR(COUNTIF('Eval-Avant action écologique'!$Q$764:$Y$764,"*T*")&gt;0,DP12&lt;120)),AND('Eval-Avant action écologique'!$A$765=CS14,OR(COUNTIF('Eval-Avant action écologique'!$Q$765:$Y$765,"*T*")&gt;0,DP13&lt;120)),AND('Eval-Avant action écologique'!$A$766=CS14,OR(COUNTIF('Eval-Avant action écologique'!$Q$766:$Y$766,"*T*")&gt;0,DP14&lt;120)),AND('Eval-Avant action écologique'!$A$767=CS14,OR(COUNTIF('Eval-Avant action écologique'!$Q$767:$Y$767,"*T*")&gt;0,DP15&lt;120)),AND('Eval-Avant action écologique'!$A$768=CS14,OR(COUNTIF('Eval-Avant action écologique'!$Q$768:$Y$768,"*T*")&gt;0,DP16&lt;120)),AND('Eval-Avant action écologique'!$A$769=CS14,OR(COUNTIF('Eval-Avant action écologique'!$Q$769:$Y$769,"*T*")&gt;0,DP17&lt;120)),AND('Eval-Avant action écologique'!$A$770=CS14,OR(COUNTIF('Eval-Avant action écologique'!$Q$770:$Y$770,"*T*")&gt;0,DP18&lt;120)),AND('Eval-Avant action écologique'!$A$771=CS14,OR(COUNTIF('Eval-Avant action écologique'!$Q$771:$Y$771,"*T*")&gt;0,DP19&lt;120)),AND('Eval-Avant action écologique'!$A$772=CS14,OR(COUNTIF('Eval-Avant action écologique'!$Q$772:$Y$772,"*T*")&gt;0,DP20&lt;120)),AND('Eval-Avant action écologique'!$A$773=CS14,OR(COUNTIF('Eval-Avant action écologique'!$Q$773:$Y$773,"*T*")&gt;0,DP21&lt;120)),AND('Eval-Avant action écologique'!$A$774=CS14,OR(COUNTIF('Eval-Avant action écologique'!$Q$774:$Y$774,"*T*")&gt;0,DP22&lt;120)),AND('Eval-Avant action écologique'!$A$775=CS14,OR(COUNTIF('Eval-Avant action écologique'!$Q$775:$Y$775,"*T*")&gt;0,DP23&lt;120)),AND('Eval-Avant action écologique'!$A$776=CS14,OR(COUNTIF('Eval-Avant action écologique'!$Q$776:$Y$776,"*T*")&gt;0,DP24&lt;120)),AND('Eval-Avant action écologique'!$A$777=CS14,OR(COUNTIF('Eval-Avant action écologique'!$Q$777:$Y$777,"*T*")&gt;0,DP25&lt;120)),AND('Eval-Avant action écologique'!$A$778=CS14,OR(COUNTIF('Eval-Avant action écologique'!$Q$778:$Y$778,"*T*")&gt;0,DP26&lt;120)),AND('Eval-Avant action écologique'!$A$779=CS14,OR(COUNTIF('Eval-Avant action écologique'!$Q$779:$Y$779,"*T*")&gt;0,DP27&lt;120)),AND('Eval-Avant action écologique'!$A$780=CS14,OR(COUNTIF('Eval-Avant action écologique'!$Q$780:$Y$780,"*T*")&gt;0,DP28&lt;120))),"",SUM(1*(SUMPRODUCT(('Eval-Avant action écologique'!$A$761:$A$780=CS14)*('Eval-Avant action écologique'!$Q$761:$Y$780="A"))),0.85*(SUMPRODUCT(('Eval-Avant action écologique'!$A$761:$A$780=CS14)*('Eval-Avant action écologique'!$Q$761:$Y$780="AL"))),0.7*(SUMPRODUCT(('Eval-Avant action écologique'!$A$761:$A$780=CS14)*('Eval-Avant action écologique'!$Q$761:$Y$780="LA"))),0.55*(SUMPRODUCT(('Eval-Avant action écologique'!$A$761:$A$780=CS14)*('Eval-Avant action écologique'!$Q$761:$Y$780="L"))),0.4*(SUMPRODUCT(('Eval-Avant action écologique'!$A$761:$A$780=CS14)*('Eval-Avant action écologique'!$Q$761:$Y$780="LS"))),0.25*(SUMPRODUCT(('Eval-Avant action écologique'!$A$761:$A$780=CS14)*('Eval-Avant action écologique'!$Q$761:$Y$780="SL"))),0.1*(SUMPRODUCT(('Eval-Avant action écologique'!$A$761:$A$780=CS14)*('Eval-Avant action écologique'!$Q$761:$Y$780="S"))))/(9*COUNTIF('Eval-Avant action écologique'!$A$761:$A$780,CS14))),"")</f>
        <v/>
      </c>
      <c r="DN14" s="215"/>
      <c r="DO14" s="216">
        <f>'Eval-Avant action écologique'!$D$766</f>
        <v>6</v>
      </c>
      <c r="DP14" s="217" t="str">
        <f>IF(DQ14="C",0,IF(IF(COUNTIF('Eval-Avant action écologique'!$N$766:$Y$766,"=C")&gt;0,(COUNTA('Eval-Avant action écologique'!$N$766:$Y$766)-1)*10,COUNTA('Eval-Avant action écologique'!$N$766:$Y$766)*10)=0,"",IF(COUNTIF('Eval-Avant action écologique'!$N$766:$Y$766,"=C")&gt;0,(COUNTA('Eval-Avant action écologique'!$N$766:$Y$766)-1)*10,COUNTA('Eval-Avant action écologique'!$N$766:$Y$766)*10)))</f>
        <v/>
      </c>
      <c r="DQ14" s="217" t="str">
        <f>CONCATENATE('Eval-Avant action écologique'!$N$766,'Eval-Avant action écologique'!$O$766,'Eval-Avant action écologique'!$P$766,'Eval-Avant action écologique'!$Q$766,'Eval-Avant action écologique'!$R$766,'Eval-Avant action écologique'!$S$766,'Eval-Avant action écologique'!$T$766,'Eval-Avant action écologique'!$U$766,'Eval-Avant action écologique'!$V$766,'Eval-Avant action écologique'!$W$766,'Eval-Avant action écologique'!$X$766,'Eval-Avant action écologique'!$Y$766)</f>
        <v/>
      </c>
      <c r="DR14" s="217" t="str">
        <f t="shared" si="12"/>
        <v/>
      </c>
      <c r="DS14" s="217" t="str">
        <f t="shared" si="13"/>
        <v/>
      </c>
      <c r="DT14" s="217" t="str">
        <f>IF(COUNTIF('Eval-Avant action écologique'!$N$766:$Y$766,"=C")&gt;0,"X","")</f>
        <v/>
      </c>
      <c r="DU14" s="217" t="str">
        <f t="shared" si="14"/>
        <v/>
      </c>
      <c r="DV14" s="218" t="str">
        <f t="shared" si="15"/>
        <v/>
      </c>
      <c r="DW14" s="197"/>
      <c r="DY14" s="210">
        <v>6</v>
      </c>
      <c r="DZ14" s="211" t="str">
        <f>IF(COUNTIF('Eval-Avec act. écol. envisagée'!$A$761:$A$780,DY14)&gt;0,SUM(IF('Eval-Avec act. écol. envisagée'!$A$761=DY14,'Eval-Avec act. écol. envisagée'!$B$761,0),IF('Eval-Avec act. écol. envisagée'!$A$762=DY14, 'Eval-Avec act. écol. envisagée'!$B$762,0),IF('Eval-Avec act. écol. envisagée'!$A$763=DY14, 'Eval-Avec act. écol. envisagée'!$B$763,0),IF('Eval-Avec act. écol. envisagée'!$A$764=DY14, 'Eval-Avec act. écol. envisagée'!$B$764,0),IF('Eval-Avec act. écol. envisagée'!$A$765=DY14, 'Eval-Avec act. écol. envisagée'!$B$765,0),IF('Eval-Avec act. écol. envisagée'!$A$766=DY14, 'Eval-Avec act. écol. envisagée'!$B$766,0),IF('Eval-Avec act. écol. envisagée'!$A$767=DY14, 'Eval-Avec act. écol. envisagée'!$B$767,0),IF('Eval-Avec act. écol. envisagée'!$A$768=DY14, 'Eval-Avec act. écol. envisagée'!$B$768,0),IF('Eval-Avec act. écol. envisagée'!$A$769=DY14, 'Eval-Avec act. écol. envisagée'!$B$769,0),IF('Eval-Avec act. écol. envisagée'!$A$770=DY14, 'Eval-Avec act. écol. envisagée'!$B$770,0),IF('Eval-Avec act. écol. envisagée'!$A$771=DY14, 'Eval-Avec act. écol. envisagée'!$B$771,0),IF('Eval-Avec act. écol. envisagée'!$A$772=DY14, 'Eval-Avec act. écol. envisagée'!$B$772,0),IF('Eval-Avec act. écol. envisagée'!$A$773=DY14, 'Eval-Avec act. écol. envisagée'!$B$773,0),IF('Eval-Avec act. écol. envisagée'!$A$774=DY14, 'Eval-Avec act. écol. envisagée'!$B$774,0),IF('Eval-Avec act. écol. envisagée'!$A$775=DY14, 'Eval-Avec act. écol. envisagée'!$B$775,0),IF('Eval-Avec act. écol. envisagée'!$A$776=DY14, 'Eval-Avec act. écol. envisagée'!$B$776,0),IF('Eval-Avec act. écol. envisagée'!$A$777=DY14, 'Eval-Avec act. écol. envisagée'!$B$777,0),IF('Eval-Avec act. écol. envisagée'!$A$778=DY14, 'Eval-Avec act. écol. envisagée'!$B$778,0),IF('Eval-Avec act. écol. envisagée'!$A$779=DY14, 'Eval-Avec act. écol. envisagée'!$B$779,0),IF('Eval-Avec act. écol. envisagée'!$A$780=DY14, 'Eval-Avec act. écol. envisagée'!$B$780,0))/COUNTIF('Eval-Avec act. écol. envisagée'!$A$761:$A$780,DY14),"")</f>
        <v/>
      </c>
      <c r="EA14" s="212" t="str">
        <f>IF(COUNTIF('Eval-Avec act. écol. envisagée'!$A$761:$A$780,DY14)&gt;0,COUNTIF('Eval-Avec act. écol. envisagée'!$A$761:$A$780,DY14),"")</f>
        <v/>
      </c>
      <c r="EB14" s="211" t="str">
        <f>IF(COUNTIF('Eval-Avec act. écol. envisagée'!$A$761:$A$780,DY14)&gt;0,IF(OR(AND('Eval-Avec act. écol. envisagée'!$A$761=DY14, 'Eval-Avec act. écol. envisagée'!$G$761=""),AND('Eval-Avec act. écol. envisagée'!$A$762=DY14, 'Eval-Avec act. écol. envisagée'!$G$762=""),AND('Eval-Avec act. écol. envisagée'!$A$763=DY14, 'Eval-Avec act. écol. envisagée'!$G$763=""),AND('Eval-Avec act. écol. envisagée'!$A$764=DY14, 'Eval-Avec act. écol. envisagée'!$G$764=""),AND('Eval-Avec act. écol. envisagée'!$A$765=DY14, 'Eval-Avec act. écol. envisagée'!$G$765=""),AND('Eval-Avec act. écol. envisagée'!$A$766=DY14, 'Eval-Avec act. écol. envisagée'!$G$766=""),AND('Eval-Avec act. écol. envisagée'!$A$767=DY14, 'Eval-Avec act. écol. envisagée'!$G$767=""),AND('Eval-Avec act. écol. envisagée'!$A$768=DY14, 'Eval-Avec act. écol. envisagée'!$G$768=""),AND('Eval-Avec act. écol. envisagée'!$A$769=DY14, 'Eval-Avec act. écol. envisagée'!$G$769=""),AND('Eval-Avec act. écol. envisagée'!$A$770=DY14, 'Eval-Avec act. écol. envisagée'!$G$770=""),AND('Eval-Avec act. écol. envisagée'!$A$771=DY14, 'Eval-Avec act. écol. envisagée'!$G$771=""),AND('Eval-Avec act. écol. envisagée'!$A$772=DY14, 'Eval-Avec act. écol. envisagée'!$G$772=""),AND('Eval-Avec act. écol. envisagée'!$A$773=DY14, 'Eval-Avec act. écol. envisagée'!$G$773=""),AND('Eval-Avec act. écol. envisagée'!$A$774=DY14, 'Eval-Avec act. écol. envisagée'!$G$774=""),AND('Eval-Avec act. écol. envisagée'!$A$775=DY14, 'Eval-Avec act. écol. envisagée'!$G$775=""),AND('Eval-Avec act. écol. envisagée'!$A$776=DY14, 'Eval-Avec act. écol. envisagée'!$G$776=""),AND('Eval-Avec act. écol. envisagée'!$A$777=DY14, 'Eval-Avec act. écol. envisagée'!$G$777=""),AND('Eval-Avec act. écol. envisagée'!$A$778=DY14, 'Eval-Avec act. écol. envisagée'!$G$778=""),AND('Eval-Avec act. écol. envisagée'!$A$779=DY14, 'Eval-Avec act. écol. envisagée'!$G$779=""),AND('Eval-Avec act. écol. envisagée'!$A$780=DY14, 'Eval-Avec act. écol. envisagée'!$G$780="")),"",SUM(IF('Eval-Avec act. écol. envisagée'!$A$761=DY14,'Eval-Avec act. écol. envisagée'!$G$761,0),IF('Eval-Avec act. écol. envisagée'!$A$762=DY14,'Eval-Avec act. écol. envisagée'!$G$762,0),IF('Eval-Avec act. écol. envisagée'!$A$763=DY14,'Eval-Avec act. écol. envisagée'!$G$763,0),IF('Eval-Avec act. écol. envisagée'!$A$764=DY14,'Eval-Avec act. écol. envisagée'!$G$764,0),IF('Eval-Avec act. écol. envisagée'!$A$765=DY14,'Eval-Avec act. écol. envisagée'!$G$765,0),IF('Eval-Avec act. écol. envisagée'!$A$766=DY14,'Eval-Avec act. écol. envisagée'!$G$766,0),IF('Eval-Avec act. écol. envisagée'!$A$767=DY14,'Eval-Avec act. écol. envisagée'!$G$767,0),IF('Eval-Avec act. écol. envisagée'!$A$768=DY14,'Eval-Avec act. écol. envisagée'!$G$768,0),IF('Eval-Avec act. écol. envisagée'!$A$769=DY14,'Eval-Avec act. écol. envisagée'!$G$769,0),IF('Eval-Avec act. écol. envisagée'!$A$770=DY14,'Eval-Avec act. écol. envisagée'!$G$770,0),IF('Eval-Avec act. écol. envisagée'!$A$771=DY14,'Eval-Avec act. écol. envisagée'!$G$771,0),IF('Eval-Avec act. écol. envisagée'!$A$772=DY14,'Eval-Avec act. écol. envisagée'!$G$772,0),IF('Eval-Avec act. écol. envisagée'!$A$773=DY14,'Eval-Avec act. écol. envisagée'!$G$773,0),IF('Eval-Avec act. écol. envisagée'!$A$774=DY14,'Eval-Avec act. écol. envisagée'!$G$774,0),IF('Eval-Avec act. écol. envisagée'!$A$775=DY14,'Eval-Avec act. écol. envisagée'!$G$775,0), IF('Eval-Avec act. écol. envisagée'!$A$776=DY14,'Eval-Avec act. écol. envisagée'!$G$776,0), IF('Eval-Avec act. écol. envisagée'!$A$777=DY14,'Eval-Avec act. écol. envisagée'!$G$777,0), IF('Eval-Avec act. écol. envisagée'!$A$778=DY14,'Eval-Avec act. écol. envisagée'!$G$778,0), IF('Eval-Avec act. écol. envisagée'!$A$779=DY14,'Eval-Avec act. écol. envisagée'!$G$779,0), IF('Eval-Avec act. écol. envisagée'!$A$780=DY14,'Eval-Avec act. écol. envisagée'!$G$780,0))/ COUNTIF('Eval-Avec act. écol. envisagée'!$A$761:$A$780,DY14)),"")</f>
        <v/>
      </c>
      <c r="EC14" s="212" t="str">
        <f>IF(COUNTIF('Eval-Avec act. écol. envisagée'!$A$761:$A$780,DY14)&gt;0,IF(SUM(IF('Eval-Avec act. écol. envisagée'!$A$761=DY14,COUNTA('Eval-Avec act. écol. envisagée'!$H$761),0),IF('Eval-Avec act. écol. envisagée'!$A$762=DY14,COUNTA('Eval-Avec act. écol. envisagée'!$H$762),0),IF('Eval-Avec act. écol. envisagée'!$A$763=DY14,COUNTA('Eval-Avec act. écol. envisagée'!$H$763),0),IF('Eval-Avec act. écol. envisagée'!$A$764=DY14,COUNTA('Eval-Avec act. écol. envisagée'!$H$764),0),IF('Eval-Avec act. écol. envisagée'!$A$765=DY14,COUNTA('Eval-Avec act. écol. envisagée'!$H$765),0),IF('Eval-Avec act. écol. envisagée'!$A$766=DY14,COUNTA('Eval-Avec act. écol. envisagée'!$H$766),0),IF('Eval-Avec act. écol. envisagée'!$A$767=DY14,COUNTA('Eval-Avec act. écol. envisagée'!$H$767),0),IF('Eval-Avec act. écol. envisagée'!$A$768=DY14,COUNTA('Eval-Avec act. écol. envisagée'!$H$768),0),IF('Eval-Avec act. écol. envisagée'!$A$769=DY14,COUNTA('Eval-Avec act. écol. envisagée'!$H$769),0),IF('Eval-Avec act. écol. envisagée'!$A$770=DY14,COUNTA('Eval-Avec act. écol. envisagée'!$H$770),0),IF('Eval-Avec act. écol. envisagée'!$A$771=DY14,COUNTA('Eval-Avec act. écol. envisagée'!$H$771),0),IF('Eval-Avec act. écol. envisagée'!$A$772=DY14,COUNTA('Eval-Avec act. écol. envisagée'!$H$772),0),IF('Eval-Avec act. écol. envisagée'!$A$773=DY14,COUNTA('Eval-Avec act. écol. envisagée'!$H$773),0),IF('Eval-Avec act. écol. envisagée'!$A$774=DY14,COUNTA('Eval-Avec act. écol. envisagée'!$H$774),0),IF('Eval-Avec act. écol. envisagée'!$A$775=DY14,COUNTA('Eval-Avec act. écol. envisagée'!$H$775),0),IF('Eval-Avec act. écol. envisagée'!$A$776=DY14,COUNTA('Eval-Avec act. écol. envisagée'!$H$776),0),IF('Eval-Avec act. écol. envisagée'!$A$777=DY14,COUNTA('Eval-Avec act. écol. envisagée'!$H$777),0),IF('Eval-Avec act. écol. envisagée'!$A$778=DY14,COUNTA('Eval-Avec act. écol. envisagée'!$H$778),0),IF('Eval-Avec act. écol. envisagée'!$A$779=DY14,COUNTA('Eval-Avec act. écol. envisagée'!$H$779),0),IF('Eval-Avec act. écol. envisagée'!$A$780=DY14,COUNTA('Eval-Avec act. écol. envisagée'!$H$780),0))&gt;0,"X",0),"")</f>
        <v/>
      </c>
      <c r="ED14" s="213" t="str">
        <f>IF(COUNTIF('Eval-Avec act. écol. envisagée'!$A$761:$A$780,DY14)&gt;0,IF(SUM(IF('Eval-Avec act. écol. envisagée'!$A$761=DY14,COUNTA('Eval-Avec act. écol. envisagée'!$I$761),0),IF('Eval-Avec act. écol. envisagée'!$A$762=DY14,COUNTA('Eval-Avec act. écol. envisagée'!$I$762),0),IF('Eval-Avec act. écol. envisagée'!$A$763=DY14,COUNTA('Eval-Avec act. écol. envisagée'!$I$763),0),IF('Eval-Avec act. écol. envisagée'!$A$764=DY14,COUNTA('Eval-Avec act. écol. envisagée'!$I$764),0),IF('Eval-Avec act. écol. envisagée'!$A$765=DY14,COUNTA('Eval-Avec act. écol. envisagée'!$I$765),0),IF('Eval-Avec act. écol. envisagée'!$A$766=DY14,COUNTA('Eval-Avec act. écol. envisagée'!$I$766),0),IF('Eval-Avec act. écol. envisagée'!$A$767=DY14,COUNTA('Eval-Avec act. écol. envisagée'!$I$767),0),IF('Eval-Avec act. écol. envisagée'!$A$768=DY14,COUNTA('Eval-Avec act. écol. envisagée'!$I$768),0),IF('Eval-Avec act. écol. envisagée'!$A$769=DY14,COUNTA('Eval-Avec act. écol. envisagée'!$I$769),0),IF('Eval-Avec act. écol. envisagée'!$A$770=DY14,COUNTA('Eval-Avec act. écol. envisagée'!$I$770),0),IF('Eval-Avec act. écol. envisagée'!$A$771=DY14,COUNTA('Eval-Avec act. écol. envisagée'!$I$771),0),IF('Eval-Avec act. écol. envisagée'!$A$772=DY14,COUNTA('Eval-Avec act. écol. envisagée'!$I$772),0),IF('Eval-Avec act. écol. envisagée'!$A$773=DY14,COUNTA('Eval-Avec act. écol. envisagée'!$I$773),0),IF('Eval-Avec act. écol. envisagée'!$A$774=DY14,COUNTA('Eval-Avec act. écol. envisagée'!$I$774),0),IF('Eval-Avec act. écol. envisagée'!$A$775=DY14,COUNTA('Eval-Avec act. écol. envisagée'!$I$775),0),IF('Eval-Avec act. écol. envisagée'!$A$776=DY14,COUNTA('Eval-Avec act. écol. envisagée'!$I$776),0),IF('Eval-Avec act. écol. envisagée'!$A$777=DY14,COUNTA('Eval-Avec act. écol. envisagée'!$I$777),0),IF('Eval-Avec act. écol. envisagée'!$A$778=DY14,COUNTA('Eval-Avec act. écol. envisagée'!$I$778),0),IF('Eval-Avec act. écol. envisagée'!$A$779=DY14,COUNTA('Eval-Avec act. écol. envisagée'!$I$779),0),IF('Eval-Avec act. écol. envisagée'!$A$780=DY14,COUNTA('Eval-Avec act. écol. envisagée'!$I$780),0))&gt;0,"X",0),"")</f>
        <v/>
      </c>
      <c r="EE14" s="213" t="str">
        <f>IF(COUNTIF('Eval-Avec act. écol. envisagée'!$A$761:$A$780,DY14)&gt;0,IF(SUM(IF('Eval-Avec act. écol. envisagée'!$A$761=DY14,COUNTA('Eval-Avec act. écol. envisagée'!$J$761),0),IF('Eval-Avec act. écol. envisagée'!$A$762=DY14,COUNTA('Eval-Avec act. écol. envisagée'!$J$762),0),IF('Eval-Avec act. écol. envisagée'!$A$763=DY14,COUNTA('Eval-Avec act. écol. envisagée'!$J$763),0),IF('Eval-Avec act. écol. envisagée'!$A$764=DY14,COUNTA('Eval-Avec act. écol. envisagée'!$J$764),0),IF('Eval-Avec act. écol. envisagée'!$A$765=DY14,COUNTA('Eval-Avec act. écol. envisagée'!$J$765),0),IF('Eval-Avec act. écol. envisagée'!$A$766=DY14,COUNTA('Eval-Avec act. écol. envisagée'!$J$766),0),IF('Eval-Avec act. écol. envisagée'!$A$767=DY14,COUNTA('Eval-Avec act. écol. envisagée'!$J$767),0),IF('Eval-Avec act. écol. envisagée'!$A$768=DY14,COUNTA('Eval-Avec act. écol. envisagée'!$J$768),0),IF('Eval-Avec act. écol. envisagée'!$A$769=DY14,COUNTA('Eval-Avec act. écol. envisagée'!$J$769),0),IF('Eval-Avec act. écol. envisagée'!$A$770=DY14,COUNTA('Eval-Avec act. écol. envisagée'!$J$770),0),IF('Eval-Avec act. écol. envisagée'!$A$771=DY14,COUNTA('Eval-Avec act. écol. envisagée'!$J$771),0),IF('Eval-Avec act. écol. envisagée'!$A$772=DY14,COUNTA('Eval-Avec act. écol. envisagée'!$J$772),0),IF('Eval-Avec act. écol. envisagée'!$A$773=DY14,COUNTA('Eval-Avec act. écol. envisagée'!$J$773),0),IF('Eval-Avec act. écol. envisagée'!$A$774=DY14,COUNTA('Eval-Avec act. écol. envisagée'!$J$774),0),IF('Eval-Avec act. écol. envisagée'!$A$775=DY14,COUNTA('Eval-Avec act. écol. envisagée'!$J$775),0),IF('Eval-Avec act. écol. envisagée'!$A$776=DY14,COUNTA('Eval-Avec act. écol. envisagée'!$J$776),0),IF('Eval-Avec act. écol. envisagée'!$A$777=DY14,COUNTA('Eval-Avec act. écol. envisagée'!$J$777),0),IF('Eval-Avec act. écol. envisagée'!$A$778=DY14,COUNTA('Eval-Avec act. écol. envisagée'!$J$778),0),IF('Eval-Avec act. écol. envisagée'!$A$779=DY14,COUNTA('Eval-Avec act. écol. envisagée'!$J$779),0),IF('Eval-Avec act. écol. envisagée'!$A$780=DY14,COUNTA('Eval-Avec act. écol. envisagée'!$J$780),0))&gt;0,"X",0),"")</f>
        <v/>
      </c>
      <c r="EF14" s="213" t="str">
        <f>IF(COUNTIF('Eval-Avec act. écol. envisagée'!$A$761:$A$780,DY14)&gt;0,IF(SUM(IF('Eval-Avec act. écol. envisagée'!$A$761=DY14,COUNTA('Eval-Avec act. écol. envisagée'!$K$761),0),IF('Eval-Avec act. écol. envisagée'!$A$762=DY14,COUNTA('Eval-Avec act. écol. envisagée'!$K$762),0),IF('Eval-Avec act. écol. envisagée'!$A$763=DY14,COUNTA('Eval-Avec act. écol. envisagée'!$K$763),0),IF('Eval-Avec act. écol. envisagée'!$A$764=DY14,COUNTA('Eval-Avec act. écol. envisagée'!$K$764),0),IF('Eval-Avec act. écol. envisagée'!$A$765=DY14,COUNTA('Eval-Avec act. écol. envisagée'!$K$765),0),IF('Eval-Avec act. écol. envisagée'!$A$766=DY14,COUNTA('Eval-Avec act. écol. envisagée'!$K$766),0),IF('Eval-Avec act. écol. envisagée'!$A$767=DY14,COUNTA('Eval-Avec act. écol. envisagée'!$K$767),0),IF('Eval-Avec act. écol. envisagée'!$A$768=DY14,COUNTA('Eval-Avec act. écol. envisagée'!$K$768),0),IF('Eval-Avec act. écol. envisagée'!$A$769=DY14,COUNTA('Eval-Avec act. écol. envisagée'!$K$769),0),IF('Eval-Avec act. écol. envisagée'!$A$770=DY14,COUNTA('Eval-Avec act. écol. envisagée'!$K$770),0),IF('Eval-Avec act. écol. envisagée'!$A$771=DY14,COUNTA('Eval-Avec act. écol. envisagée'!$K$771),0),IF('Eval-Avec act. écol. envisagée'!$A$772=DY14,COUNTA('Eval-Avec act. écol. envisagée'!$K$772),0),IF('Eval-Avec act. écol. envisagée'!$A$773=DY14,COUNTA('Eval-Avec act. écol. envisagée'!$K$773),0),IF('Eval-Avec act. écol. envisagée'!$A$774=DY14,COUNTA('Eval-Avec act. écol. envisagée'!$K$774),0),IF('Eval-Avec act. écol. envisagée'!$A$775=DY14,COUNTA('Eval-Avec act. écol. envisagée'!$K$775),0),IF('Eval-Avec act. écol. envisagée'!$A$776=DY14,COUNTA('Eval-Avec act. écol. envisagée'!$K$776),0),IF('Eval-Avec act. écol. envisagée'!$A$777=DY14,COUNTA('Eval-Avec act. écol. envisagée'!$K$777),0),IF('Eval-Avec act. écol. envisagée'!$A$778=DY14,COUNTA('Eval-Avec act. écol. envisagée'!$K$778),0),IF('Eval-Avec act. écol. envisagée'!$A$779=DY14,COUNTA('Eval-Avec act. écol. envisagée'!$K$779),0),IF('Eval-Avec act. écol. envisagée'!$A$780=DY14,COUNTA('Eval-Avec act. écol. envisagée'!$K$780),0))&gt;0,"X",0),"")</f>
        <v/>
      </c>
      <c r="EG14" s="211" t="str">
        <f>IF(COUNTIF('Eval-Avec act. écol. envisagée'!$A$761:$A$780,DY14)&gt;0,IF(OR(AND('Eval-Avec act. écol. envisagée'!$A$761=DY14,'Eval-Avec act. écol. envisagée'!$L$761&lt;120,'Eval-Avec act. écol. envisagée'!$L$761&gt;=EV9),AND('Eval-Avec act. écol. envisagée'!$A$762=DY14,'Eval-Avec act. écol. envisagée'!$L$762&lt;120,'Eval-Avec act. écol. envisagée'!$L$762&gt;=EV10),AND('Eval-Avec act. écol. envisagée'!$A$763=DY14,'Eval-Avec act. écol. envisagée'!$L$763&lt;120,'Eval-Avec act. écol. envisagée'!$L$763&gt;=EV11),AND('Eval-Avec act. écol. envisagée'!$A$764=DY14,'Eval-Avec act. écol. envisagée'!$L$764&lt;120,'Eval-Avec act. écol. envisagée'!$L$764&gt;=EV12),AND('Eval-Avec act. écol. envisagée'!$A$765=DY14,'Eval-Avec act. écol. envisagée'!$L$765&lt;120,'Eval-Avec act. écol. envisagée'!$L$765&gt;=EV13),AND('Eval-Avec act. écol. envisagée'!$A$766=DY14,'Eval-Avec act. écol. envisagée'!$L$766&lt;120,'Eval-Avec act. écol. envisagée'!$L$766&gt;=EV14),AND('Eval-Avec act. écol. envisagée'!$A$767=DY14,'Eval-Avec act. écol. envisagée'!$L$767&lt;120,'Eval-Avec act. écol. envisagée'!$L$767&gt;=EV15),AND('Eval-Avec act. écol. envisagée'!$A$768=DY14,'Eval-Avec act. écol. envisagée'!$L$768&lt;120,'Eval-Avec act. écol. envisagée'!$L$768&gt;=EV16),AND('Eval-Avec act. écol. envisagée'!$A$769=DY14,'Eval-Avec act. écol. envisagée'!$L$769&lt;120,'Eval-Avec act. écol. envisagée'!$L$769&gt;=EV17),AND('Eval-Avec act. écol. envisagée'!$A$770=DY14,'Eval-Avec act. écol. envisagée'!$L$770&lt;120,'Eval-Avec act. écol. envisagée'!$L$770&gt;=EV18),AND('Eval-Avec act. écol. envisagée'!$A$771=DY14,'Eval-Avec act. écol. envisagée'!$L$771&lt;120,'Eval-Avec act. écol. envisagée'!$L$771&gt;=EV19),AND('Eval-Avec act. écol. envisagée'!$A$772=DY14,'Eval-Avec act. écol. envisagée'!$L$772&lt;120,'Eval-Avec act. écol. envisagée'!$L$772&gt;=EV20),AND('Eval-Avec act. écol. envisagée'!$A$773=DY14,'Eval-Avec act. écol. envisagée'!$L$773&lt;120,'Eval-Avec act. écol. envisagée'!$L$773&gt;=EV21),AND('Eval-Avec act. écol. envisagée'!$A$774=DY14,'Eval-Avec act. écol. envisagée'!$L$774&lt;120,'Eval-Avec act. écol. envisagée'!$L$774&gt;=EV22),AND('Eval-Avec act. écol. envisagée'!$A$775=DY14,'Eval-Avec act. écol. envisagée'!$L$775&lt;120,'Eval-Avec act. écol. envisagée'!$L$775&gt;=EV23),AND('Eval-Avec act. écol. envisagée'!$A$776=DY14,'Eval-Avec act. écol. envisagée'!$L$776&lt;120,'Eval-Avec act. écol. envisagée'!$L$776&gt;=EV24),AND('Eval-Avec act. écol. envisagée'!$A$777=DY14,'Eval-Avec act. écol. envisagée'!$L$777&lt;120,'Eval-Avec act. écol. envisagée'!$L$777&gt;=EV25),AND('Eval-Avec act. écol. envisagée'!$A$778=DY14,'Eval-Avec act. écol. envisagée'!$L$778&lt;120,'Eval-Avec act. écol. envisagée'!$L$778&gt;=EV26),AND('Eval-Avec act. écol. envisagée'!$A$779=DY14,'Eval-Avec act. écol. envisagée'!$L$779&lt;120,'Eval-Avec act. écol. envisagée'!$L$779&gt;=EV27),AND('Eval-Avec act. écol. envisagée'!$A$780=DY14,'Eval-Avec act. écol. envisagée'!$L$780&lt;120,'Eval-Avec act. écol. envisagée'!$L$780&gt;=EV28)),"",SUM(IF('Eval-Avec act. écol. envisagée'!$A$761=DY14,'Eval-Avec act. écol. envisagée'!$L$761,0),IF('Eval-Avec act. écol. envisagée'!$A$762=DY14,'Eval-Avec act. écol. envisagée'!$L$762,0),IF('Eval-Avec act. écol. envisagée'!$A$763=DY14,'Eval-Avec act. écol. envisagée'!$L$763,0),IF('Eval-Avec act. écol. envisagée'!$A$764=DY14,'Eval-Avec act. écol. envisagée'!$L$764,0),IF('Eval-Avec act. écol. envisagée'!$A$765=DY14,'Eval-Avec act. écol. envisagée'!$L$765,0),IF('Eval-Avec act. écol. envisagée'!$A$766=DY14,'Eval-Avec act. écol. envisagée'!$L$766,0),IF('Eval-Avec act. écol. envisagée'!$A$767=DY14,'Eval-Avec act. écol. envisagée'!$L$767,0),IF('Eval-Avec act. écol. envisagée'!$A$768=DY14,'Eval-Avec act. écol. envisagée'!$L$768,0),IF('Eval-Avec act. écol. envisagée'!$A$769=DY14,'Eval-Avec act. écol. envisagée'!$L$769,0),IF('Eval-Avec act. écol. envisagée'!$A$770=DY14,'Eval-Avec act. écol. envisagée'!$L$770,0),IF('Eval-Avec act. écol. envisagée'!$A$771=DY14,'Eval-Avec act. écol. envisagée'!$L$771,0),IF('Eval-Avec act. écol. envisagée'!$A$772=DY14,'Eval-Avec act. écol. envisagée'!$L$772,0),IF('Eval-Avec act. écol. envisagée'!$A$773=DY14,'Eval-Avec act. écol. envisagée'!$L$773,0),IF('Eval-Avec act. écol. envisagée'!$A$774=DY14,'Eval-Avec act. écol. envisagée'!$L$774,0),IF('Eval-Avec act. écol. envisagée'!$A$775=DY14,'Eval-Avec act. écol. envisagée'!$L$775,0),IF('Eval-Avec act. écol. envisagée'!$A$776=DY14,'Eval-Avec act. écol. envisagée'!$L$776,0),IF('Eval-Avec act. écol. envisagée'!$A$777=DY14,'Eval-Avec act. écol. envisagée'!$L$777,0),IF('Eval-Avec act. écol. envisagée'!$A$778=DY14,'Eval-Avec act. écol. envisagée'!$L$778,0),IF('Eval-Avec act. écol. envisagée'!$A$779=DY14,'Eval-Avec act. écol. envisagée'!$L$779,0),IF('Eval-Avec act. écol. envisagée'!$A$780=DY14,'Eval-Avec act. écol. envisagée'!$L$780,0))/ COUNTIF('Eval-Avec act. écol. envisagée'!$A$761:$A$780,DY14)),"")</f>
        <v/>
      </c>
      <c r="EH14" s="211" t="str">
        <f>IF(COUNTIF('Eval-Avec act. écol. envisagée'!$A$761:$A$780,DY14)&gt;0,IF(OR(AND('Eval-Avec act. écol. envisagée'!$A$761=DY14, EV9&lt;120),AND(EV10&lt;120),AND(EV11&lt;120),AND(EV12&lt;120),AND(EV13&lt;120),AND(EV14&lt;120),AND(EV15&lt;120),AND(EV16&lt;120),AND(EV17&lt;120),AND(EV18&lt;120),AND(EV19&lt;120),AND(EV20&lt;120),AND(EV21&lt;120),AND(EV22&lt;120),AND(EV23&lt;120),AND(EV24&lt;120),AND(EV25&lt;120),AND(EV26&lt;120),AND(EV27&lt;120),AND(EV28&lt;120)),"",SUM(IF('Eval-Avec act. écol. envisagée'!$A$761=DY14,'Eval-Avec act. écol. envisagée'!$M$761,0),IF('Eval-Avec act. écol. envisagée'!$A$762=DY14,'Eval-Avec act. écol. envisagée'!$M$762,0),IF('Eval-Avec act. écol. envisagée'!$A$763=DY14,'Eval-Avec act. écol. envisagée'!$M$763,0),IF('Eval-Avec act. écol. envisagée'!$A$764=DY14,'Eval-Avec act. écol. envisagée'!$M$764,0),IF('Eval-Avec act. écol. envisagée'!$A$765=DY14,'Eval-Avec act. écol. envisagée'!$M$765,0),IF('Eval-Avec act. écol. envisagée'!$A$766=DY14,'Eval-Avec act. écol. envisagée'!$M$766,0),IF('Eval-Avec act. écol. envisagée'!$A$767=DY14,'Eval-Avec act. écol. envisagée'!$M$767,0),IF('Eval-Avec act. écol. envisagée'!$A$768=DY14,'Eval-Avec act. écol. envisagée'!$M$768,0),IF('Eval-Avec act. écol. envisagée'!$A$769=DY14,'Eval-Avec act. écol. envisagée'!$M$769,0),IF('Eval-Avec act. écol. envisagée'!$A$770=DY14,'Eval-Avec act. écol. envisagée'!$M$770,0),IF('Eval-Avec act. écol. envisagée'!$A$771=DY14,'Eval-Avec act. écol. envisagée'!$M$771,0),IF('Eval-Avec act. écol. envisagée'!$A$772=DY14,'Eval-Avec act. écol. envisagée'!$M$772,0),IF('Eval-Avec act. écol. envisagée'!$A$773=DY14,'Eval-Avec act. écol. envisagée'!$M$773,0),IF('Eval-Avec act. écol. envisagée'!$A$774=DY14,'Eval-Avec act. écol. envisagée'!$M$774,0),IF('Eval-Avec act. écol. envisagée'!$A$775=DY14,'Eval-Avec act. écol. envisagée'!$M$775,0), IF('Eval-Avec act. écol. envisagée'!$A$776=DY14,'Eval-Avec act. écol. envisagée'!$M$776,0), IF('Eval-Avec act. écol. envisagée'!$A$777=DY14,'Eval-Avec act. écol. envisagée'!$M$777,0), IF('Eval-Avec act. écol. envisagée'!$A$778=DY14,'Eval-Avec act. écol. envisagée'!$M$778,0), IF('Eval-Avec act. écol. envisagée'!$A$779=DY14,'Eval-Avec act. écol. envisagée'!$M$779,0), IF('Eval-Avec act. écol. envisagée'!$A$780=DY14,'Eval-Avec act. écol. envisagée'!$M$780,0))/COUNTIF('Eval-Avec act. écol. envisagée'!$A$761:$A$780,DY14)),"")</f>
        <v/>
      </c>
      <c r="EI14" s="211" t="str">
        <f>IF(COUNTIF('Eval-Avec act. écol. envisagée'!$A$761:$A$780,DY14)&gt;0,SUM(IF('Eval-Avec act. écol. envisagée'!$A$761=DY14,LEN(SUBSTITUTE((SUBSTITUTE(EX9,"TM","")),"TS",""))*10/2,0),IF('Eval-Avec act. écol. envisagée'!$A$762=DY14,LEN(SUBSTITUTE((SUBSTITUTE(EX10,"TM","")),"TS",""))*10/2,0),IF('Eval-Avec act. écol. envisagée'!$A$763=DY14,LEN(SUBSTITUTE((SUBSTITUTE(EX11,"TM","")),"TS",""))*10/2,0),IF('Eval-Avec act. écol. envisagée'!$A$764=DY14,LEN(SUBSTITUTE((SUBSTITUTE(EX12,"TM","")),"TS",""))*10/2,0),IF('Eval-Avec act. écol. envisagée'!$A$765=DY14,LEN(SUBSTITUTE((SUBSTITUTE(EX13,"TM","")),"TS",""))*10/2,0),IF('Eval-Avec act. écol. envisagée'!$A$766=DY14,LEN(SUBSTITUTE((SUBSTITUTE(EX14,"TM","")),"TS",""))*10/2,0),IF('Eval-Avec act. écol. envisagée'!$A$767=DY14,LEN(SUBSTITUTE((SUBSTITUTE(EX15,"TM","")),"TS",""))*10/2,0),IF('Eval-Avec act. écol. envisagée'!$A$768=DY14,LEN(SUBSTITUTE((SUBSTITUTE(EX16,"TM","")),"TS",""))*10/2,0),IF('Eval-Avec act. écol. envisagée'!$A$769=DY14,LEN(SUBSTITUTE((SUBSTITUTE(EX17,"TM","")),"TS",""))*10/2,0),IF('Eval-Avec act. écol. envisagée'!$A$770=DY14,LEN(SUBSTITUTE((SUBSTITUTE(EX18,"TM","")),"TS",""))*10/2,0),IF('Eval-Avec act. écol. envisagée'!$A$771=DY14,LEN(SUBSTITUTE((SUBSTITUTE(EX19,"TM","")),"TS",""))*10/2,0),IF('Eval-Avec act. écol. envisagée'!$A$772=DY14,LEN(SUBSTITUTE((SUBSTITUTE(EX20,"TM","")),"TS",""))*10/2,0),IF('Eval-Avec act. écol. envisagée'!$A$773=DY14,LEN(SUBSTITUTE((SUBSTITUTE(EX21,"TM","")),"TS",""))*10/2,0),IF('Eval-Avec act. écol. envisagée'!$A$774=DY14,LEN(SUBSTITUTE((SUBSTITUTE(EX22,"TM","")),"TS",""))*10/2,0),IF('Eval-Avec act. écol. envisagée'!$A$775=DY14,LEN(SUBSTITUTE((SUBSTITUTE(EX23,"TM","")),"TS",""))*10/2,0),IF('Eval-Avec act. écol. envisagée'!$A$776=DY14,LEN(SUBSTITUTE((SUBSTITUTE(EX24,"TM","")),"TS",""))*10/2,0),IF('Eval-Avec act. écol. envisagée'!$A$777=DY14,LEN(SUBSTITUTE((SUBSTITUTE(EX25,"TM","")),"TS",""))*10/2,0),IF('Eval-Avec act. écol. envisagée'!$A$778=DY14,LEN(SUBSTITUTE((SUBSTITUTE(EX26,"TM","")),"TS",""))*10/2,0),IF('Eval-Avec act. écol. envisagée'!$A$779=DY14,LEN(SUBSTITUTE((SUBSTITUTE(EX27,"TM","")),"TS",""))*10/2,0),IF('Eval-Avec act. écol. envisagée'!$A$780=DY14,LEN(SUBSTITUTE((SUBSTITUTE(EX28,"TM","")),"TS",""))*10/2,0))/COUNTIF('Eval-Avec act. écol. envisagée'!$A$761:$A$780,DY14),"")</f>
        <v/>
      </c>
      <c r="EJ14" s="211" t="str">
        <f>IF(COUNTIF('Eval-Avec act. écol. envisagée'!$A$761:$A$780,DY14)&gt;0,SUM(IF('Eval-Avec act. écol. envisagée'!$A$761=DY14,LEN(SUBSTITUTE((SUBSTITUTE(EX9,"TF","")),"TS",""))*10/2,0),IF('Eval-Avec act. écol. envisagée'!$A$762=DY14,LEN(SUBSTITUTE((SUBSTITUTE(EX10,"TF","")),"TS",""))*10/2,0),IF('Eval-Avec act. écol. envisagée'!$A$763=DY14,LEN(SUBSTITUTE((SUBSTITUTE(EX11,"TF","")),"TS",""))*10/2,0),IF('Eval-Avec act. écol. envisagée'!$A$764=DY14,LEN(SUBSTITUTE((SUBSTITUTE(EX12,"TF","")),"TS",""))*10/2,0),IF('Eval-Avec act. écol. envisagée'!$A$765=DY14,LEN(SUBSTITUTE((SUBSTITUTE(EX13,"TF","")),"TS",""))*10/2,0),IF('Eval-Avec act. écol. envisagée'!$A$766=DY14,LEN(SUBSTITUTE((SUBSTITUTE(EX14,"TF","")),"TS",""))*10/2,0),IF('Eval-Avec act. écol. envisagée'!$A$767=DY14,LEN(SUBSTITUTE((SUBSTITUTE(EX15,"TF","")),"TS",""))*10/2,0),IF('Eval-Avec act. écol. envisagée'!$A$768=DY14,LEN(SUBSTITUTE((SUBSTITUTE(EX16,"TF","")),"TS",""))*10/2,0),IF('Eval-Avec act. écol. envisagée'!$A$769=DY14,LEN(SUBSTITUTE((SUBSTITUTE(EX17,"TF","")),"TS",""))*10/2,0),IF('Eval-Avec act. écol. envisagée'!$A$770=DY14,LEN(SUBSTITUTE((SUBSTITUTE(EX18,"TF","")),"TS",""))*10/2,0),IF('Eval-Avec act. écol. envisagée'!$A$771=DY14,LEN(SUBSTITUTE((SUBSTITUTE(EX19,"TF","")),"TS",""))*10/2,0),IF('Eval-Avec act. écol. envisagée'!$A$772=DY14,LEN(SUBSTITUTE((SUBSTITUTE(EX20,"TF","")),"TS",""))*10/2,0),IF('Eval-Avec act. écol. envisagée'!$A$773=DY14,LEN(SUBSTITUTE((SUBSTITUTE(EX21,"TF","")),"TS",""))*10/2,0),IF('Eval-Avec act. écol. envisagée'!$A$774=DY14,LEN(SUBSTITUTE((SUBSTITUTE(EX22,"TF","")),"TS",""))*10/2,0),IF('Eval-Avec act. écol. envisagée'!$A$775=DY14,LEN(SUBSTITUTE((SUBSTITUTE(EX23,"TF","")),"TS",""))*10/2,0),IF('Eval-Avec act. écol. envisagée'!$A$776=DY14,LEN(SUBSTITUTE((SUBSTITUTE(EX24,"TF","")),"TS",""))*10/2,0),IF('Eval-Avec act. écol. envisagée'!$A$777=DY14,LEN(SUBSTITUTE((SUBSTITUTE(EX25,"TF","")),"TS",""))*10/2,0),IF('Eval-Avec act. écol. envisagée'!$A$778=DY14,LEN(SUBSTITUTE((SUBSTITUTE(EX26,"TF","")),"TS",""))*10/2,0),IF('Eval-Avec act. écol. envisagée'!$A$779=DY14,LEN(SUBSTITUTE((SUBSTITUTE(EX27,"TF","")),"TS",""))*10/2,0),IF('Eval-Avec act. écol. envisagée'!$A$780=DY14,LEN(SUBSTITUTE((SUBSTITUTE(EX28,"TF","")),"TS",""))*10/2,0))/COUNTIF('Eval-Avec act. écol. envisagée'!$A$761:$A$780,DY14),"")</f>
        <v/>
      </c>
      <c r="EK14" s="211" t="str">
        <f>IF(COUNTIF('Eval-Avec act. écol. envisagée'!$A$761:$A$780,DY14)&gt;0,SUM(IF('Eval-Avec act. écol. envisagée'!$A$761=DY14,LEN(SUBSTITUTE((SUBSTITUTE(EX9,"TF","")),"TM",""))*10/2,0),IF('Eval-Avec act. écol. envisagée'!$A$762=DY14,LEN(SUBSTITUTE((SUBSTITUTE(EX10,"TF","")),"TM",""))*10/2,0),IF('Eval-Avec act. écol. envisagée'!$A$763=DY14,LEN(SUBSTITUTE((SUBSTITUTE(EX11,"TF","")),"TM",""))*10/2,0),IF('Eval-Avec act. écol. envisagée'!$A$764=DY14,LEN(SUBSTITUTE((SUBSTITUTE(EX12,"TF","")),"TM",""))*10/2,0),IF('Eval-Avec act. écol. envisagée'!$A$765=DY14,LEN(SUBSTITUTE((SUBSTITUTE(EX13,"TF","")),"TM",""))*10/2,0),IF('Eval-Avec act. écol. envisagée'!$A$766=DY14,LEN(SUBSTITUTE((SUBSTITUTE(EX14,"TF","")),"TM",""))*10/2,0),IF('Eval-Avec act. écol. envisagée'!$A$767=DY14,LEN(SUBSTITUTE((SUBSTITUTE(EX15,"TF","")),"TM",""))*10/2,0),IF('Eval-Avec act. écol. envisagée'!$A$768=DY14,LEN(SUBSTITUTE((SUBSTITUTE(EX16,"TF","")),"TM",""))*10/2,0),IF('Eval-Avec act. écol. envisagée'!$A$769=DY14,LEN(SUBSTITUTE((SUBSTITUTE(EX17,"TF","")),"TM",""))*10/2,0),IF('Eval-Avec act. écol. envisagée'!$A$770=DY14,LEN(SUBSTITUTE((SUBSTITUTE(EX18,"TF","")),"TM",""))*10/2,0),IF('Eval-Avec act. écol. envisagée'!$A$771=DY14,LEN(SUBSTITUTE((SUBSTITUTE(EX19,"TF","")),"TM",""))*10/2,0),IF('Eval-Avec act. écol. envisagée'!$A$772=DY14,LEN(SUBSTITUTE((SUBSTITUTE(EX20,"TF","")),"TM",""))*10/2,0),IF('Eval-Avec act. écol. envisagée'!$A$773=DY14,LEN(SUBSTITUTE((SUBSTITUTE(EX21,"TF","")),"TM",""))*10/2,0),IF('Eval-Avec act. écol. envisagée'!$A$774=DY14,LEN(SUBSTITUTE((SUBSTITUTE(EX22,"TF","")),"TM",""))*10/2,0),IF('Eval-Avec act. écol. envisagée'!$A$775=DY14,LEN(SUBSTITUTE((SUBSTITUTE(EX23,"TF","")),"TM",""))*10/2,0),IF('Eval-Avec act. écol. envisagée'!$A$776=DY14,LEN(SUBSTITUTE((SUBSTITUTE(EX24,"TF","")),"TM",""))*10/2,0),IF('Eval-Avec act. écol. envisagée'!$A$777=DY14,LEN(SUBSTITUTE((SUBSTITUTE(EX25,"TF","")),"TM",""))*10/2,0),IF('Eval-Avec act. écol. envisagée'!$A$778=DY14,LEN(SUBSTITUTE((SUBSTITUTE(EX26,"TF","")),"TM",""))*10/2,0),IF('Eval-Avec act. écol. envisagée'!$A$779=DY14,LEN(SUBSTITUTE((SUBSTITUTE(EX27,"TF","")),"TM",""))*10/2,0),IF('Eval-Avec act. écol. envisagée'!$A$780=DY14,LEN(SUBSTITUTE((SUBSTITUTE(EX28,"TF","")),"TM",""))*10/2,0))/COUNTIF('Eval-Avec act. écol. envisagée'!$A$761:$A$780,DY14),"")</f>
        <v/>
      </c>
      <c r="EL14" s="211" t="str">
        <f>IF(COUNTIF('Eval-Avec act. écol. envisagée'!$A$761:$A$780,DY14)&gt;0,SUM(IF('Eval-Avec act. écol. envisagée'!$A$761=DY14,LEN(SUBSTITUTE((SUBSTITUTE(EY9,"TM","")),"TS",""))*10/2,0),IF('Eval-Avec act. écol. envisagée'!$A$762=DY14,LEN(SUBSTITUTE((SUBSTITUTE(EY10,"TM","")),"TS",""))*10/2,0),IF('Eval-Avec act. écol. envisagée'!$A$763=DY14,LEN(SUBSTITUTE((SUBSTITUTE(EY11,"TM","")),"TS",""))*10/2,0),IF('Eval-Avec act. écol. envisagée'!$A$764=DY14,LEN(SUBSTITUTE((SUBSTITUTE(EY12,"TM","")),"TS",""))*10/2,0),IF('Eval-Avec act. écol. envisagée'!$A$765=DY14,LEN(SUBSTITUTE((SUBSTITUTE(EY13,"TM","")),"TS",""))*10/2,0),IF('Eval-Avec act. écol. envisagée'!$A$766=DY14,LEN(SUBSTITUTE((SUBSTITUTE(EY14,"TM","")),"TS",""))*10/2,0),IF('Eval-Avec act. écol. envisagée'!$A$767=DY14,LEN(SUBSTITUTE((SUBSTITUTE(EY15,"TM","")),"TS",""))*10/2,0),IF('Eval-Avec act. écol. envisagée'!$A$768=DY14,LEN(SUBSTITUTE((SUBSTITUTE(EY16,"TM","")),"TS",""))*10/2,0),IF('Eval-Avec act. écol. envisagée'!$A$769=DY14,LEN(SUBSTITUTE((SUBSTITUTE(EY17,"TM","")),"TS",""))*10/2,0),IF('Eval-Avec act. écol. envisagée'!$A$770=DY14,LEN(SUBSTITUTE((SUBSTITUTE(EY18,"TM","")),"TS",""))*10/2,0),IF('Eval-Avec act. écol. envisagée'!$A$771=DY14,LEN(SUBSTITUTE((SUBSTITUTE(EY19,"TM","")),"TS",""))*10/2,0),IF('Eval-Avec act. écol. envisagée'!$A$772=DY14,LEN(SUBSTITUTE((SUBSTITUTE(EY20,"TM","")),"TS",""))*10/2,0),IF('Eval-Avec act. écol. envisagée'!$A$773=DY14,LEN(SUBSTITUTE((SUBSTITUTE(EY21,"TM","")),"TS",""))*10/2,0),IF('Eval-Avec act. écol. envisagée'!$A$774=DY14,LEN(SUBSTITUTE((SUBSTITUTE(EY22,"TM","")),"TS",""))*10/2,0),IF('Eval-Avec act. écol. envisagée'!$A$775=DY14,LEN(SUBSTITUTE((SUBSTITUTE(EY23,"TM","")),"TS",""))*10/2,0),IF('Eval-Avec act. écol. envisagée'!$A$776=DY14,LEN(SUBSTITUTE((SUBSTITUTE(EY24,"TM","")),"TS",""))*10/2,0),IF('Eval-Avec act. écol. envisagée'!$A$777=DY14,LEN(SUBSTITUTE((SUBSTITUTE(EY25,"TM","")),"TS",""))*10/2,0),IF('Eval-Avec act. écol. envisagée'!$A$778=DY14,LEN(SUBSTITUTE((SUBSTITUTE(EY26,"TM","")),"TS",""))*10/2,0),IF('Eval-Avec act. écol. envisagée'!$A$779=DY14,LEN(SUBSTITUTE((SUBSTITUTE(EY27,"TM","")),"TS",""))*10/2,0),IF('Eval-Avec act. écol. envisagée'!$A$780=DY14,LEN(SUBSTITUTE((SUBSTITUTE(EY28,"TM","")),"TS",""))*10/2,0))/COUNTIF('Eval-Avec act. écol. envisagée'!$A$761:$A$780,DY14),"")</f>
        <v/>
      </c>
      <c r="EM14" s="211" t="str">
        <f>IF(COUNTIF('Eval-Avec act. écol. envisagée'!$A$761:$A$780,DY14)&gt;0,SUM(IF('Eval-Avec act. écol. envisagée'!$A$761=DY14,LEN(SUBSTITUTE((SUBSTITUTE(EY9,"TF","")),"TS",""))*10/2,0),IF('Eval-Avec act. écol. envisagée'!$A$762=DY14,LEN(SUBSTITUTE((SUBSTITUTE(EY10,"TF","")),"TS",""))*10/2,0),IF('Eval-Avec act. écol. envisagée'!$A$763=DY14,LEN(SUBSTITUTE((SUBSTITUTE(EY11,"TF","")),"TS",""))*10/2,0),IF('Eval-Avec act. écol. envisagée'!$A$764=DY14,LEN(SUBSTITUTE((SUBSTITUTE(EY12,"TF","")),"TS",""))*10/2,0),IF('Eval-Avec act. écol. envisagée'!$A$765=DY14,LEN(SUBSTITUTE((SUBSTITUTE(EY13,"TF","")),"TS",""))*10/2,0),IF('Eval-Avec act. écol. envisagée'!$A$766=DY14,LEN(SUBSTITUTE((SUBSTITUTE(EY14,"TF","")),"TS",""))*10/2,0),IF('Eval-Avec act. écol. envisagée'!$A$767=DY14,LEN(SUBSTITUTE((SUBSTITUTE(EY15,"TF","")),"TS",""))*10/2,0),IF('Eval-Avec act. écol. envisagée'!$A$768=DY14,LEN(SUBSTITUTE((SUBSTITUTE(EY16,"TF","")),"TS",""))*10/2,0),IF('Eval-Avec act. écol. envisagée'!$A$769=DY14,LEN(SUBSTITUTE((SUBSTITUTE(EY17,"TF","")),"TS",""))*10/2,0),IF('Eval-Avec act. écol. envisagée'!$A$770=DY14,LEN(SUBSTITUTE((SUBSTITUTE(EY18,"TF","")),"TS",""))*10/2,0),IF('Eval-Avec act. écol. envisagée'!$A$771=DY14,LEN(SUBSTITUTE((SUBSTITUTE(EY19,"TF","")),"TS",""))*10/2,0),IF('Eval-Avec act. écol. envisagée'!$A$772=DY14,LEN(SUBSTITUTE((SUBSTITUTE(EY20,"TF","")),"TS",""))*10/2,0),IF('Eval-Avec act. écol. envisagée'!$A$773=DY14,LEN(SUBSTITUTE((SUBSTITUTE(EY21,"TF","")),"TS",""))*10/2,0),IF('Eval-Avec act. écol. envisagée'!$A$774=DY14,LEN(SUBSTITUTE((SUBSTITUTE(EY22,"TF","")),"TS",""))*10/2,0),IF('Eval-Avec act. écol. envisagée'!$A$775=DY14,LEN(SUBSTITUTE((SUBSTITUTE(EY23,"TF","")),"TS",""))*10/2,0),IF('Eval-Avec act. écol. envisagée'!$A$776=DY14,LEN(SUBSTITUTE((SUBSTITUTE(EY24,"TF","")),"TS",""))*10/2,0),IF('Eval-Avec act. écol. envisagée'!$A$777=DY14,LEN(SUBSTITUTE((SUBSTITUTE(EY25,"TF","")),"TS",""))*10/2,0),IF('Eval-Avec act. écol. envisagée'!$A$778=DY14,LEN(SUBSTITUTE((SUBSTITUTE(EY26,"TF","")),"TS",""))*10/2,0),IF('Eval-Avec act. écol. envisagée'!$A$779=DY14,LEN(SUBSTITUTE((SUBSTITUTE(EY27,"TF","")),"TS",""))*10/2,0),IF('Eval-Avec act. écol. envisagée'!$A$780=DY14,LEN(SUBSTITUTE((SUBSTITUTE(EY28,"TF","")),"TS",""))*10/2,0))/COUNTIF('Eval-Avec act. écol. envisagée'!$A$761:$A$780,DY14),"")</f>
        <v/>
      </c>
      <c r="EN14" s="211" t="str">
        <f>IF(COUNTIF('Eval-Avec act. écol. envisagée'!$A$761:$A$780,DY14)&gt;0,SUM(IF('Eval-Avec act. écol. envisagée'!$A$761=DY14,LEN(SUBSTITUTE((SUBSTITUTE(EY9,"TF","")),"TM",""))*10/2,0),IF('Eval-Avec act. écol. envisagée'!$A$762=DY14,LEN(SUBSTITUTE((SUBSTITUTE(EY10,"TF","")),"TM",""))*10/2,0),IF('Eval-Avec act. écol. envisagée'!$A$763=DY14,LEN(SUBSTITUTE((SUBSTITUTE(EY11,"TF","")),"TM",""))*10/2,0),IF('Eval-Avec act. écol. envisagée'!$A$764=DY14,LEN(SUBSTITUTE((SUBSTITUTE(EY12,"TF","")),"TM",""))*10/2,0),IF('Eval-Avec act. écol. envisagée'!$A$765=DY14,LEN(SUBSTITUTE((SUBSTITUTE(EY13,"TF","")),"TM",""))*10/2,0),IF('Eval-Avec act. écol. envisagée'!$A$766=DY14,LEN(SUBSTITUTE((SUBSTITUTE(EY14,"TF","")),"TM",""))*10/2,0),IF('Eval-Avec act. écol. envisagée'!$A$767=DY14,LEN(SUBSTITUTE((SUBSTITUTE(EY15,"TF","")),"TM",""))*10/2,0),IF('Eval-Avec act. écol. envisagée'!$A$768=DY14,LEN(SUBSTITUTE((SUBSTITUTE(EY16,"TF","")),"TM",""))*10/2,0),IF('Eval-Avec act. écol. envisagée'!$A$769=DY14,LEN(SUBSTITUTE((SUBSTITUTE(EY17,"TF","")),"TM",""))*10/2,0),IF('Eval-Avec act. écol. envisagée'!$A$770=DY14,LEN(SUBSTITUTE((SUBSTITUTE(EY18,"TF","")),"TM",""))*10/2,0),IF('Eval-Avec act. écol. envisagée'!$A$771=DY14,LEN(SUBSTITUTE((SUBSTITUTE(EY19,"TF","")),"TM",""))*10/2,0),IF('Eval-Avec act. écol. envisagée'!$A$772=DY14,LEN(SUBSTITUTE((SUBSTITUTE(EY20,"TF","")),"TM",""))*10/2,0),IF('Eval-Avec act. écol. envisagée'!$A$773=DY14,LEN(SUBSTITUTE((SUBSTITUTE(EY21,"TF","")),"TM",""))*10/2,0),IF('Eval-Avec act. écol. envisagée'!$A$774=DY14,LEN(SUBSTITUTE((SUBSTITUTE(EY22,"TF","")),"TM",""))*10/2,0),IF('Eval-Avec act. écol. envisagée'!$A$775=DY14,LEN(SUBSTITUTE((SUBSTITUTE(EY23,"TF","")),"TM",""))*10/2,0),IF('Eval-Avec act. écol. envisagée'!$A$776=DY14,LEN(SUBSTITUTE((SUBSTITUTE(EY24,"TF","")),"TM",""))*10/2,0),IF('Eval-Avec act. écol. envisagée'!$A$777=DY14,LEN(SUBSTITUTE((SUBSTITUTE(EY25,"TF","")),"TM",""))*10/2,0),IF('Eval-Avec act. écol. envisagée'!$A$778=DY14,LEN(SUBSTITUTE((SUBSTITUTE(EY26,"TF","")),"TM",""))*10/2,0),IF('Eval-Avec act. écol. envisagée'!$A$779=DY14,LEN(SUBSTITUTE((SUBSTITUTE(EY27,"TF","")),"TM",""))*10/2,0),IF('Eval-Avec act. écol. envisagée'!$A$780=DY14,LEN(SUBSTITUTE((SUBSTITUTE(EY28,"TF","")),"TM",""))*10/2,0))/COUNTIF('Eval-Avec act. écol. envisagée'!$A$761:$A$780,DY14),"")</f>
        <v/>
      </c>
      <c r="EO14" s="211" t="str">
        <f>IF(COUNTIF('Eval-Avec act. écol. envisagée'!$A$761:$A$780,DY14)&gt;0,IF(OR(AND('Eval-Avec act. écol. envisagée'!$A$761=DY14,EV9&lt;30),AND('Eval-Avec act. écol. envisagée'!$A$762=DY14,EV10&lt;30),AND('Eval-Avec act. écol. envisagée'!$A$763=DY14,EV11&lt;30),AND('Eval-Avec act. écol. envisagée'!$A$764=DY14,EV12&lt;30),AND('Eval-Avec act. écol. envisagée'!$A$765=DY14,EV13&lt;30),AND('Eval-Avec act. écol. envisagée'!$A$766=DY14,EV14&lt;30),AND('Eval-Avec act. écol. envisagée'!$A$767=DY14,EV15&lt;30),AND('Eval-Avec act. écol. envisagée'!$A$768=DY14,EV16&lt;30),AND('Eval-Avec act. écol. envisagée'!$A$769=DY14,EV17&lt;30),AND('Eval-Avec act. écol. envisagée'!$A$770=DY14,EV18&lt;30),AND('Eval-Avec act. écol. envisagée'!$A$771=DY14,EV19&lt;30),AND('Eval-Avec act. écol. envisagée'!$A$772=DY14,EV20&lt;30),AND('Eval-Avec act. écol. envisagée'!$A$773=DY14,EV21&lt;30),AND('Eval-Avec act. écol. envisagée'!$A$774=DY14,EV22&lt;30),AND('Eval-Avec act. écol. envisagée'!$A$775=DY14,EV23&lt;30),AND('Eval-Avec act. écol. envisagée'!$A$776=DY14,EV24&lt;30),AND('Eval-Avec act. écol. envisagée'!$A$777=DY14,EV25&lt;30),AND('Eval-Avec act. écol. envisagée'!$A$778=DY14,EV26&lt;30),AND('Eval-Avec act. écol. envisagée'!$A$779=DY14,EV27&lt;30),AND('Eval-Avec act. écol. envisagée'!$A$780=DY14,EV28&lt;30)),"",SUM(0.1*(SUMPRODUCT(('Eval-Avec act. écol. envisagée'!$A$761:$A$780=DY14)*('Eval-Avec act. écol. envisagée'!$N$761:$P$780="A"))+ SUMPRODUCT(('Eval-Avec act. écol. envisagée'!$A$761:$A$780=DY14)*('Eval-Avec act. écol. envisagée'!$N$761:$P$780="AL"))),0.7*(SUMPRODUCT(('Eval-Avec act. écol. envisagée'!$A$761:$A$780=DY14)*('Eval-Avec act. écol. envisagée'!$N$761:$P$780="TF"))+SUMPRODUCT(('Eval-Avec act. écol. envisagée'!$A$761:$A$780=DY14)*('Eval-Avec act. écol. envisagée'!$N$761:$P$780="TM"))+SUMPRODUCT(('Eval-Avec act. écol. envisagée'!$A$761:$A$780=DY14)*('Eval-Avec act. écol. envisagée'!$N$761:$P$780="TS"))),0.4*(SUMPRODUCT(('Eval-Avec act. écol. envisagée'!$A$761:$A$780=DY14)*('Eval-Avec act. écol. envisagée'!$N$761:$P$780="LA"))+SUMPRODUCT(('Eval-Avec act. écol. envisagée'!$A$761:$A$780=DY14)*('Eval-Avec act. écol. envisagée'!$N$761:$P$780="L"))+SUMPRODUCT(('Eval-Avec act. écol. envisagée'!$A$761:$A$780=DY14)*('Eval-Avec act. écol. envisagée'!$N$761:$P$780="LS"))),1*(SUMPRODUCT(('Eval-Avec act. écol. envisagée'!$A$761:$A$780=DY14)*('Eval-Avec act. écol. envisagée'!$N$761:$P$780="SL"))+ SUMPRODUCT(('Eval-Avec act. écol. envisagée'!$A$761:$A$780=DY14)*('Eval-Avec act. écol. envisagée'!$N$761:$P$780="S"))))/(3*COUNTIF('Eval-Avec act. écol. envisagée'!$A$761:$A$780,DY14))),"")</f>
        <v/>
      </c>
      <c r="EP14" s="211" t="str">
        <f>IF(COUNTIF('Eval-Avec act. écol. envisagée'!$A$761:$A$780,DY14)&gt;0,IF(OR(AND('Eval-Avec act. écol. envisagée'!$A$761=DY14,EV9&lt;120),AND('Eval-Avec act. écol. envisagée'!$A$762=DY14,EV10&lt;120),AND('Eval-Avec act. écol. envisagée'!$A$763=DY14,EV11&lt;120),AND('Eval-Avec act. écol. envisagée'!$A$764=DY14,EV12&lt;120),AND('Eval-Avec act. écol. envisagée'!$A$765=DY14,EV13&lt;120),AND('Eval-Avec act. écol. envisagée'!$A$766=DY14,EV14&lt;120),AND('Eval-Avec act. écol. envisagée'!$A$767=DY14,EV15&lt;120),AND('Eval-Avec act. écol. envisagée'!$A$768=DY14,EV16&lt;120),AND('Eval-Avec act. écol. envisagée'!$A$769=DY14,EV17&lt;120),AND('Eval-Avec act. écol. envisagée'!$A$770=DY14,EV18&lt;120),AND('Eval-Avec act. écol. envisagée'!$A$771=DY14,EV19&lt;120),AND('Eval-Avec act. écol. envisagée'!$A$772=DY14,EV20&lt;120),AND('Eval-Avec act. écol. envisagée'!$A$773=DY14,EV21&lt;120),AND('Eval-Avec act. écol. envisagée'!$A$774=DY14,EV22&lt;120),AND('Eval-Avec act. écol. envisagée'!$A$775=DY14,EV23&lt;120),AND('Eval-Avec act. écol. envisagée'!$A$776=DY14,EV24&lt;120),AND('Eval-Avec act. écol. envisagée'!$A$777=DY14,EV25&lt;120),AND('Eval-Avec act. écol. envisagée'!$A$778=DY14,EV26&lt;120),AND('Eval-Avec act. écol. envisagée'!$A$779=DY14,EV27&lt;120),AND('Eval-Avec act. écol. envisagée'!$A$780=DY14,EV28&lt;120)),"",SUM(0.1*(SUMPRODUCT(('Eval-Avec act. écol. envisagée'!$A$761:$A$780=DY14)*('Eval-Avec act. écol. envisagée'!$Q$761:$Y$780="A"))+ SUMPRODUCT(('Eval-Avec act. écol. envisagée'!$A$761:$A$780=DY14)*('Eval-Avec act. écol. envisagée'!$Q$761:$Y$780="AL"))),0.7*(SUMPRODUCT(('Eval-Avec act. écol. envisagée'!$A$761:$A$780=DY14)*('Eval-Avec act. écol. envisagée'!$Q$761:$Y$780="TF"))+SUMPRODUCT(('Eval-Avec act. écol. envisagée'!$A$761:$A$780=DY14)*('Eval-Avec act. écol. envisagée'!$Q$761:$Y$780="TM"))+SUMPRODUCT(('Eval-Avec act. écol. envisagée'!$A$761:$A$780=DY14)*('Eval-Avec act. écol. envisagée'!$Q$761:$Y$780="TS"))),0.4*(SUMPRODUCT(('Eval-Avec act. écol. envisagée'!$A$761:$A$780=DY14)*('Eval-Avec act. écol. envisagée'!$Q$761:$Y$780="LA"))+SUMPRODUCT(('Eval-Avec act. écol. envisagée'!$A$761:$A$780=DY14)*('Eval-Avec act. écol. envisagée'!$Q$761:$Y$780="L"))+SUMPRODUCT(('Eval-Avec act. écol. envisagée'!$A$761:$A$780=DY14)*('Eval-Avec act. écol. envisagée'!$Q$761:$Y$780="LS"))),1*(SUMPRODUCT(('Eval-Avec act. écol. envisagée'!$A$761:$A$780=DY14)*('Eval-Avec act. écol. envisagée'!$Q$761:$Y$780="SL"))+ SUMPRODUCT(('Eval-Avec act. écol. envisagée'!$A$761:$A$780=DY14)*('Eval-Avec act. écol. envisagée'!$Q$761:$Y$780="S"))))/(9*COUNTIF('Eval-Avec act. écol. envisagée'!$A$761:$A$780,DY14))),"")</f>
        <v/>
      </c>
      <c r="EQ14" s="211" t="str">
        <f>IF(COUNTIF('Eval-Avec act. écol. envisagée'!$A$761:$A$780,DY14)&gt;0,IF(OR(AND('Eval-Avec act. écol. envisagée'!$A$761=DY14,OR(COUNTIF('Eval-Avec act. écol. envisagée'!$N$761:$P$761,"*T*")&gt;0,EV9&lt;30)),AND('Eval-Avec act. écol. envisagée'!$A$762=DY14,OR(COUNTIF('Eval-Avec act. écol. envisagée'!$N$762:$P$762,"*T*")&gt;0,EV10&lt;30)),AND('Eval-Avec act. écol. envisagée'!$A$763=DY14,OR(COUNTIF('Eval-Avec act. écol. envisagée'!$N$763:$P$763,"*T*")&gt;0,EV11&lt;30)),AND('Eval-Avec act. écol. envisagée'!$A$764=DY14,OR(COUNTIF('Eval-Avec act. écol. envisagée'!$N$764:$P$764,"*T*")&gt;0,EV12&lt;30)),AND('Eval-Avec act. écol. envisagée'!$A$765=DY14,OR(COUNTIF('Eval-Avec act. écol. envisagée'!$N$765:$P$765,"*T*")&gt;0,EV13&lt;30)),AND('Eval-Avec act. écol. envisagée'!$A$766=DY14,OR(COUNTIF('Eval-Avec act. écol. envisagée'!$N$766:$P$766,"*T*")&gt;0,EV14&lt;30)),AND('Eval-Avec act. écol. envisagée'!$A$767=DY14,OR(COUNTIF('Eval-Avec act. écol. envisagée'!$N$767:$P$767,"*T*")&gt;0,EV15&lt;30)),AND('Eval-Avec act. écol. envisagée'!$A$768=DY14,OR(COUNTIF('Eval-Avec act. écol. envisagée'!$N$768:$P$768,"*T*")&gt;0,EV16&lt;30)),AND('Eval-Avec act. écol. envisagée'!$A$769=DY14,OR(COUNTIF('Eval-Avec act. écol. envisagée'!$N$769:$P$769,"*T*")&gt;0,EV17&lt;30)),AND('Eval-Avec act. écol. envisagée'!$A$770=DY14,OR(COUNTIF('Eval-Avec act. écol. envisagée'!$N$770:$P$770,"*T*")&gt;0,EV18&lt;30)),AND('Eval-Avec act. écol. envisagée'!$A$771=DY14,OR(COUNTIF('Eval-Avec act. écol. envisagée'!$N$771:$P$771,"*T*")&gt;0,EV19&lt;30)),AND('Eval-Avec act. écol. envisagée'!$A$772=DY14,OR(COUNTIF('Eval-Avec act. écol. envisagée'!$N$772:$P$772,"*T*")&gt;0,EV20&lt;30)),AND('Eval-Avec act. écol. envisagée'!$A$773=DY14,OR(COUNTIF('Eval-Avec act. écol. envisagée'!$N$773:$P$773,"*T*")&gt;0,EV21&lt;30)),AND('Eval-Avec act. écol. envisagée'!$A$774=DY14,OR(COUNTIF('Eval-Avec act. écol. envisagée'!$N$774:$P$774,"*T*")&gt;0,EV22&lt;30)),AND('Eval-Avec act. écol. envisagée'!$A$775=DY14,OR(COUNTIF('Eval-Avec act. écol. envisagée'!$N$775:$P$775,"*T*")&gt;0,EV23&lt;30)),AND('Eval-Avec act. écol. envisagée'!$A$776=DY14,OR(COUNTIF('Eval-Avec act. écol. envisagée'!$N$776:$P$776,"*T*")&gt;0,EV24&lt;30)),AND('Eval-Avec act. écol. envisagée'!$A$777=DY14,OR(COUNTIF('Eval-Avec act. écol. envisagée'!$N$777:$P$777,"*T*")&gt;0,EV25&lt;30)),AND('Eval-Avec act. écol. envisagée'!$A$778=DY14,OR(COUNTIF('Eval-Avec act. écol. envisagée'!$N$778:$P$778,"*T*")&gt;0,EV26&lt;30)),AND('Eval-Avec act. écol. envisagée'!$A$779=DY14,OR(COUNTIF('Eval-Avec act. écol. envisagée'!$N$779:$P$779,"*T*")&gt;0,EV27&lt;30)),AND('Eval-Avec act. écol. envisagée'!$A$780=DY14,OR(COUNTIF('Eval-Avec act. écol. envisagée'!$N$780:$P$780,"*T*")&gt;0,EV28&lt;30))),"",SUM(0.1*(SUMPRODUCT(('Eval-Avec act. écol. envisagée'!$A$761:$A$780=DY14)*('Eval-Avec act. écol. envisagée'!$N$761:$P$780="L"))),0.4*(SUMPRODUCT(('Eval-Avec act. écol. envisagée'!$A$761:$A$780=DY14)*('Eval-Avec act. écol. envisagée'!$N$761:$P$780="LA"))+SUMPRODUCT(('Eval-Avec act. écol. envisagée'!$A$761:$A$780=DY14)*('Eval-Avec act. écol. envisagée'!$N$761:$P$780="LS"))),0.7*(SUMPRODUCT(('Eval-Avec act. écol. envisagée'!$A$761:$A$780=DY14)*('Eval-Avec act. écol. envisagée'!$N$761:$P$780="AL"))+SUMPRODUCT(('Eval-Avec act. écol. envisagée'!$A$761:$A$780=DY14)*('Eval-Avec act. écol. envisagée'!$N$761:$P$780="SL"))),1*(SUMPRODUCT(('Eval-Avec act. écol. envisagée'!$A$761:$A$780=DY14)*('Eval-Avec act. écol. envisagée'!$N$761:$P$780="S"))+ SUMPRODUCT(('Eval-Avec act. écol. envisagée'!$A$761:$A$780=DY14)*('Eval-Avec act. écol. envisagée'!$N$761:$P$780="A"))))/(3*COUNTIF('Eval-Avec act. écol. envisagée'!$A$761:$A$780,DY14))),"")</f>
        <v/>
      </c>
      <c r="ER14" s="211" t="str">
        <f>IF(COUNTIF('Eval-Avec act. écol. envisagée'!$A$761:$A$780,DY14)&gt;0,IF(OR(AND('Eval-Avec act. écol. envisagée'!$A$761=DY14,OR(COUNTIF('Eval-Avec act. écol. envisagée'!$N$761:$P$761,"*T*")&gt;0,EV9&lt;30)),AND('Eval-Avec act. écol. envisagée'!$A$762=DY14,OR(COUNTIF('Eval-Avec act. écol. envisagée'!$N$762:$P$762,"*T*")&gt;0,EV10&lt;30)),AND('Eval-Avec act. écol. envisagée'!$A$763=DY14,OR(COUNTIF('Eval-Avec act. écol. envisagée'!$N$763:$P$763,"*T*")&gt;0,EV11&lt;30)),AND('Eval-Avec act. écol. envisagée'!$A$764=DY14,OR(COUNTIF('Eval-Avec act. écol. envisagée'!$N$764:$P$764,"*T*")&gt;0,EV12&lt;30)),AND('Eval-Avec act. écol. envisagée'!$A$765=DY14,OR(COUNTIF('Eval-Avec act. écol. envisagée'!$N$765:$P$765,"*T*")&gt;0,EV13&lt;30)),AND('Eval-Avec act. écol. envisagée'!$A$766=DY14,OR(COUNTIF('Eval-Avec act. écol. envisagée'!$N$766:$P$766,"*T*")&gt;0,EV14&lt;30)),AND('Eval-Avec act. écol. envisagée'!$A$767=DY14,OR(COUNTIF('Eval-Avec act. écol. envisagée'!$N$767:$P$767,"*T*")&gt;0,EV15&lt;30)),AND('Eval-Avec act. écol. envisagée'!$A$768=DY14,OR(COUNTIF('Eval-Avec act. écol. envisagée'!$N$768:$P$768,"*T*")&gt;0,EV16&lt;30)),AND('Eval-Avec act. écol. envisagée'!$A$769=DY14,OR(COUNTIF('Eval-Avec act. écol. envisagée'!$N$769:$P$769,"*T*")&gt;0,EV17&lt;30)),AND('Eval-Avec act. écol. envisagée'!$A$770=DY14,OR(COUNTIF('Eval-Avec act. écol. envisagée'!$N$770:$P$770,"*T*")&gt;0,EV18&lt;30)),AND('Eval-Avec act. écol. envisagée'!$A$771=DY14,OR(COUNTIF('Eval-Avec act. écol. envisagée'!$N$771:$P$771,"*T*")&gt;0,EV19&lt;30)),AND('Eval-Avec act. écol. envisagée'!$A$772=DY14,OR(COUNTIF('Eval-Avec act. écol. envisagée'!$N$772:$P$772,"*T*")&gt;0,EV20&lt;30)),AND('Eval-Avec act. écol. envisagée'!$A$773=DY14,OR(COUNTIF('Eval-Avec act. écol. envisagée'!$N$773:$P$773,"*T*")&gt;0,EV21&lt;30)),AND('Eval-Avec act. écol. envisagée'!$A$774=DY14,OR(COUNTIF('Eval-Avec act. écol. envisagée'!$N$774:$P$774,"*T*")&gt;0,EV22&lt;30)),AND('Eval-Avec act. écol. envisagée'!$A$775=DY14,OR(COUNTIF('Eval-Avec act. écol. envisagée'!$N$775:$P$775,"*T*")&gt;0,EV23&lt;30)),AND('Eval-Avec act. écol. envisagée'!$A$776=DY14,OR(COUNTIF('Eval-Avec act. écol. envisagée'!$N$776:$P$776,"*T*")&gt;0,EV24&lt;30)),AND('Eval-Avec act. écol. envisagée'!$A$777=DY14,OR(COUNTIF('Eval-Avec act. écol. envisagée'!$N$777:$P$777,"*T*")&gt;0,EV25&lt;30)),AND('Eval-Avec act. écol. envisagée'!$A$778=DY14,OR(COUNTIF('Eval-Avec act. écol. envisagée'!$N$778:$P$778,"*T*")&gt;0,EV26&lt;30)),AND('Eval-Avec act. écol. envisagée'!$A$779=DY14,OR(COUNTIF('Eval-Avec act. écol. envisagée'!$N$779:$P$779,"*T*")&gt;0,EV27&lt;30)),AND('Eval-Avec act. écol. envisagée'!$A$780=DY14,OR(COUNTIF('Eval-Avec act. écol. envisagée'!$N$780:$P$780,"*T*")&gt;0,EV28&lt;30))),"",SUM(1*(SUMPRODUCT(('Eval-Avec act. écol. envisagée'!$A$761:$A$780=DY14)*('Eval-Avec act. écol. envisagée'!$N$761:$P$780="A"))),0.85*(SUMPRODUCT(('Eval-Avec act. écol. envisagée'!$A$761:$A$780=DY14)*('Eval-Avec act. écol. envisagée'!$N$761:$P$780="AL"))),0.7*(SUMPRODUCT(('Eval-Avec act. écol. envisagée'!$A$761:$A$780=DY14)*('Eval-Avec act. écol. envisagée'!$N$761:$P$780="LA"))),0.55*(SUMPRODUCT(('Eval-Avec act. écol. envisagée'!$A$761:$A$780=DY14)*('Eval-Avec act. écol. envisagée'!$N$761:$P$780="L"))),0.4*(SUMPRODUCT(('Eval-Avec act. écol. envisagée'!$A$761:$A$780=DY14)*('Eval-Avec act. écol. envisagée'!$N$761:$P$780="LS"))),0.25*(SUMPRODUCT(('Eval-Avec act. écol. envisagée'!$A$761:$A$780=DY14)*('Eval-Avec act. écol. envisagée'!$N$761:$P$780="SL"))),0.1*(SUMPRODUCT(('Eval-Avec act. écol. envisagée'!$A$761:$A$780=DY14)*('Eval-Avec act. écol. envisagée'!$N$761:$P$780="S"))))/(3*COUNTIF('Eval-Avec act. écol. envisagée'!$A$761:$A$780,DY14))),"")</f>
        <v/>
      </c>
      <c r="ES14" s="214" t="str">
        <f>IF(COUNTIF('Eval-Avec act. écol. envisagée'!$A$761:$A$780,DY14)&gt;0,IF(OR(AND('Eval-Avec act. écol. envisagée'!$A$761=DY14,OR(COUNTIF('Eval-Avec act. écol. envisagée'!$Q$761:$Y$761,"*T*")&gt;0,EV9&lt;120)),AND('Eval-Avec act. écol. envisagée'!$A$762=DY14,OR(COUNTIF('Eval-Avec act. écol. envisagée'!$Q$762:$Y$762,"*T*")&gt;0,EV10&lt;120)),AND('Eval-Avec act. écol. envisagée'!$A$763=DY14,OR(COUNTIF('Eval-Avec act. écol. envisagée'!$Q$763:$Y$763,"*T*")&gt;0,EV11&lt;120)),AND('Eval-Avec act. écol. envisagée'!$A$764=DY14,OR(COUNTIF('Eval-Avec act. écol. envisagée'!$Q$764:$Y$764,"*T*")&gt;0,EV12&lt;120)),AND('Eval-Avec act. écol. envisagée'!$A$765=DY14,OR(COUNTIF('Eval-Avec act. écol. envisagée'!$Q$765:$Y$765,"*T*")&gt;0,EV13&lt;120)),AND('Eval-Avec act. écol. envisagée'!$A$766=DY14,OR(COUNTIF('Eval-Avec act. écol. envisagée'!$Q$766:$Y$766,"*T*")&gt;0,EV14&lt;120)),AND('Eval-Avec act. écol. envisagée'!$A$767=DY14,OR(COUNTIF('Eval-Avec act. écol. envisagée'!$Q$767:$Y$767,"*T*")&gt;0,EV15&lt;120)),AND('Eval-Avec act. écol. envisagée'!$A$768=DY14,OR(COUNTIF('Eval-Avec act. écol. envisagée'!$Q$768:$Y$768,"*T*")&gt;0,EV16&lt;120)),AND('Eval-Avec act. écol. envisagée'!$A$769=DY14,OR(COUNTIF('Eval-Avec act. écol. envisagée'!$Q$769:$Y$769,"*T*")&gt;0,EV17&lt;120)),AND('Eval-Avec act. écol. envisagée'!$A$770=DY14,OR(COUNTIF('Eval-Avec act. écol. envisagée'!$Q$770:$Y$770,"*T*")&gt;0,EV18&lt;120)),AND('Eval-Avec act. écol. envisagée'!$A$771=DY14,OR(COUNTIF('Eval-Avec act. écol. envisagée'!$Q$771:$Y$771,"*T*")&gt;0,EV19&lt;120)),AND('Eval-Avec act. écol. envisagée'!$A$772=DY14,OR(COUNTIF('Eval-Avec act. écol. envisagée'!$Q$772:$Y$772,"*T*")&gt;0,EV20&lt;120)),AND('Eval-Avec act. écol. envisagée'!$A$773=DY14,OR(COUNTIF('Eval-Avec act. écol. envisagée'!$Q$773:$Y$773,"*T*")&gt;0,EV21&lt;120)),AND('Eval-Avec act. écol. envisagée'!$A$774=DY14,OR(COUNTIF('Eval-Avec act. écol. envisagée'!$Q$774:$Y$774,"*T*")&gt;0,EV22&lt;120)),AND('Eval-Avec act. écol. envisagée'!$A$775=DY14,OR(COUNTIF('Eval-Avec act. écol. envisagée'!$Q$775:$Y$775,"*T*")&gt;0,EV23&lt;120)),AND('Eval-Avec act. écol. envisagée'!$A$776=DY14,OR(COUNTIF('Eval-Avec act. écol. envisagée'!$Q$776:$Y$776,"*T*")&gt;0,EV24&lt;120)),AND('Eval-Avec act. écol. envisagée'!$A$777=DY14,OR(COUNTIF('Eval-Avec act. écol. envisagée'!$Q$777:$Y$777,"*T*")&gt;0,EV25&lt;120)),AND('Eval-Avec act. écol. envisagée'!$A$778=DY14,OR(COUNTIF('Eval-Avec act. écol. envisagée'!$Q$778:$Y$778,"*T*")&gt;0,EV26&lt;120)),AND('Eval-Avec act. écol. envisagée'!$A$779=DY14,OR(COUNTIF('Eval-Avec act. écol. envisagée'!$Q$779:$Y$779,"*T*")&gt;0,EV27&lt;120)),AND('Eval-Avec act. écol. envisagée'!$A$780=DY14,OR(COUNTIF('Eval-Avec act. écol. envisagée'!$Q$780:$Y$780,"*T*")&gt;0,EV28&lt;120))),"",SUM(1*(SUMPRODUCT(('Eval-Avec act. écol. envisagée'!$A$761:$A$780=DY14)*('Eval-Avec act. écol. envisagée'!$Q$761:$Y$780="A"))),0.85*(SUMPRODUCT(('Eval-Avec act. écol. envisagée'!$A$761:$A$780=DY14)*('Eval-Avec act. écol. envisagée'!$Q$761:$Y$780="AL"))),0.7*(SUMPRODUCT(('Eval-Avec act. écol. envisagée'!$A$761:$A$780=DY14)*('Eval-Avec act. écol. envisagée'!$Q$761:$Y$780="LA"))),0.55*(SUMPRODUCT(('Eval-Avec act. écol. envisagée'!$A$761:$A$780=DY14)*('Eval-Avec act. écol. envisagée'!$Q$761:$Y$780="L"))),0.4*(SUMPRODUCT(('Eval-Avec act. écol. envisagée'!$A$761:$A$780=DY14)*('Eval-Avec act. écol. envisagée'!$Q$761:$Y$780="LS"))),0.25*(SUMPRODUCT(('Eval-Avec act. écol. envisagée'!$A$761:$A$780=DY14)*('Eval-Avec act. écol. envisagée'!$Q$761:$Y$780="SL"))),0.1*(SUMPRODUCT(('Eval-Avec act. écol. envisagée'!$A$761:$A$780=DY14)*('Eval-Avec act. écol. envisagée'!$Q$761:$Y$780="S"))))/(9*COUNTIF('Eval-Avec act. écol. envisagée'!$A$761:$A$780,DY14))),"")</f>
        <v/>
      </c>
      <c r="ET14" s="215"/>
      <c r="EU14" s="216">
        <f>'Eval-Avec act. écol. envisagée'!$D$766</f>
        <v>6</v>
      </c>
      <c r="EV14" s="217" t="str">
        <f>IF(EW14="C",0,IF(IF(COUNTIF('Eval-Avec act. écol. envisagée'!$N$766:$Y$766,"=C")&gt;0,(COUNTA('Eval-Avec act. écol. envisagée'!$N$766:$Y$766)-1)*10,COUNTA('Eval-Avec act. écol. envisagée'!$N$766:$Y$766)*10)=0,"",IF(COUNTIF('Eval-Avec act. écol. envisagée'!$N$766:$Y$766,"=C")&gt;0,(COUNTA('Eval-Avec act. écol. envisagée'!$N$766:$Y$766)-1)*10,COUNTA('Eval-Avec act. écol. envisagée'!$N$766:$Y$766)*10)))</f>
        <v/>
      </c>
      <c r="EW14" s="217" t="str">
        <f>CONCATENATE('Eval-Avec act. écol. envisagée'!$N$766,'Eval-Avec act. écol. envisagée'!$O$766,'Eval-Avec act. écol. envisagée'!$P$766,'Eval-Avec act. écol. envisagée'!$Q$766,'Eval-Avec act. écol. envisagée'!$R$766,'Eval-Avec act. écol. envisagée'!$S$766,'Eval-Avec act. écol. envisagée'!$T$766,'Eval-Avec act. écol. envisagée'!$U$766,'Eval-Avec act. écol. envisagée'!$V$766,'Eval-Avec act. écol. envisagée'!$W$766,'Eval-Avec act. écol. envisagée'!$X$766,'Eval-Avec act. écol. envisagée'!$Y$766)</f>
        <v/>
      </c>
      <c r="EX14" s="217" t="str">
        <f t="shared" si="16"/>
        <v/>
      </c>
      <c r="EY14" s="217" t="str">
        <f t="shared" si="17"/>
        <v/>
      </c>
      <c r="EZ14" s="217" t="str">
        <f>IF(COUNTIF('Eval-Avec act. écol. envisagée'!$N$766:$Y$766,"=C")&gt;0,"X","")</f>
        <v/>
      </c>
      <c r="FA14" s="217" t="str">
        <f t="shared" si="18"/>
        <v/>
      </c>
      <c r="FB14" s="218" t="str">
        <f t="shared" si="19"/>
        <v/>
      </c>
      <c r="FC14" s="197"/>
      <c r="FE14" s="210">
        <v>6</v>
      </c>
      <c r="FF14" s="211" t="str">
        <f>IF(COUNTIF('Eval-Après action écologique'!$A$761:$A$780,FE14)&gt;0,SUM(IF('Eval-Après action écologique'!$A$761=FE14,'Eval-Après action écologique'!$B$761,0),IF('Eval-Après action écologique'!$A$762=FE14, 'Eval-Après action écologique'!$B$762,0),IF('Eval-Après action écologique'!$A$763=FE14, 'Eval-Après action écologique'!$B$763,0),IF('Eval-Après action écologique'!$A$764=FE14, 'Eval-Après action écologique'!$B$764,0),IF('Eval-Après action écologique'!$A$765=FE14, 'Eval-Après action écologique'!$B$765,0),IF('Eval-Après action écologique'!$A$766=FE14, 'Eval-Après action écologique'!$B$766,0),IF('Eval-Après action écologique'!$A$767=FE14, 'Eval-Après action écologique'!$B$767,0),IF('Eval-Après action écologique'!$A$768=FE14, 'Eval-Après action écologique'!$B$768,0),IF('Eval-Après action écologique'!$A$769=FE14, 'Eval-Après action écologique'!$B$769,0),IF('Eval-Après action écologique'!$A$770=FE14, 'Eval-Après action écologique'!$B$770,0),IF('Eval-Après action écologique'!$A$771=FE14, 'Eval-Après action écologique'!$B$771,0),IF('Eval-Après action écologique'!$A$772=FE14, 'Eval-Après action écologique'!$B$772,0),IF('Eval-Après action écologique'!$A$773=FE14, 'Eval-Après action écologique'!$B$773,0),IF('Eval-Après action écologique'!$A$774=FE14, 'Eval-Après action écologique'!$B$774,0),IF('Eval-Après action écologique'!$A$775=FE14, 'Eval-Après action écologique'!$B$775,0),IF('Eval-Après action écologique'!$A$776=FE14, 'Eval-Après action écologique'!$B$776,0),IF('Eval-Après action écologique'!$A$777=FE14, 'Eval-Après action écologique'!$B$777,0),IF('Eval-Après action écologique'!$A$778=FE14, 'Eval-Après action écologique'!$B$778,0),IF('Eval-Après action écologique'!$A$779=FE14, 'Eval-Après action écologique'!$B$779,0),IF('Eval-Après action écologique'!$A$780=FE14, 'Eval-Après action écologique'!$B$780,0))/COUNTIF('Eval-Après action écologique'!$A$761:$A$780,FE14),"")</f>
        <v/>
      </c>
      <c r="FG14" s="212" t="str">
        <f>IF(COUNTIF('Eval-Après action écologique'!$A$761:$A$780,FE14)&gt;0,COUNTIF('Eval-Après action écologique'!$A$761:$A$780,FE14),"")</f>
        <v/>
      </c>
      <c r="FH14" s="211" t="str">
        <f>IF(COUNTIF('Eval-Après action écologique'!$A$761:$A$780,FE14)&gt;0,IF(OR(AND('Eval-Après action écologique'!$A$761=FE14, 'Eval-Après action écologique'!$G$761=""),AND('Eval-Après action écologique'!$A$762=FE14, 'Eval-Après action écologique'!$G$762=""),AND('Eval-Après action écologique'!$A$763=FE14, 'Eval-Après action écologique'!$G$763=""),AND('Eval-Après action écologique'!$A$764=FE14, 'Eval-Après action écologique'!$G$764=""),AND('Eval-Après action écologique'!$A$765=FE14, 'Eval-Après action écologique'!$G$765=""),AND('Eval-Après action écologique'!$A$766=FE14, 'Eval-Après action écologique'!$G$766=""),AND('Eval-Après action écologique'!$A$767=FE14, 'Eval-Après action écologique'!$G$767=""),AND('Eval-Après action écologique'!$A$768=FE14, 'Eval-Après action écologique'!$G$768=""),AND('Eval-Après action écologique'!$A$769=FE14, 'Eval-Après action écologique'!$G$769=""),AND('Eval-Après action écologique'!$A$770=FE14, 'Eval-Après action écologique'!$G$770=""),AND('Eval-Après action écologique'!$A$771=FE14, 'Eval-Après action écologique'!$G$771=""),AND('Eval-Après action écologique'!$A$772=FE14, 'Eval-Après action écologique'!$G$772=""),AND('Eval-Après action écologique'!$A$773=FE14, 'Eval-Après action écologique'!$G$773=""),AND('Eval-Après action écologique'!$A$774=FE14, 'Eval-Après action écologique'!$G$774=""),AND('Eval-Après action écologique'!$A$775=FE14, 'Eval-Après action écologique'!$G$775=""),AND('Eval-Après action écologique'!$A$776=FE14, 'Eval-Après action écologique'!$G$776=""),AND('Eval-Après action écologique'!$A$777=FE14, 'Eval-Après action écologique'!$G$777=""),AND('Eval-Après action écologique'!$A$778=FE14, 'Eval-Après action écologique'!$G$778=""),AND('Eval-Après action écologique'!$A$779=FE14, 'Eval-Après action écologique'!$G$779=""),AND('Eval-Après action écologique'!$A$780=FE14, 'Eval-Après action écologique'!$G$780="")),"",SUM(IF('Eval-Après action écologique'!$A$761=FE14,'Eval-Après action écologique'!$G$761,0),IF('Eval-Après action écologique'!$A$762=FE14,'Eval-Après action écologique'!$G$762,0),IF('Eval-Après action écologique'!$A$763=FE14,'Eval-Après action écologique'!$G$763,0),IF('Eval-Après action écologique'!$A$764=FE14,'Eval-Après action écologique'!$G$764,0),IF('Eval-Après action écologique'!$A$765=FE14,'Eval-Après action écologique'!$G$765,0),IF('Eval-Après action écologique'!$A$766=FE14,'Eval-Après action écologique'!$G$766,0),IF('Eval-Après action écologique'!$A$767=FE14,'Eval-Après action écologique'!$G$767,0),IF('Eval-Après action écologique'!$A$768=FE14,'Eval-Après action écologique'!$G$768,0),IF('Eval-Après action écologique'!$A$769=FE14,'Eval-Après action écologique'!$G$769,0),IF('Eval-Après action écologique'!$A$770=FE14,'Eval-Après action écologique'!$G$770,0),IF('Eval-Après action écologique'!$A$771=FE14,'Eval-Après action écologique'!$G$771,0),IF('Eval-Après action écologique'!$A$772=FE14,'Eval-Après action écologique'!$G$772,0),IF('Eval-Après action écologique'!$A$773=FE14,'Eval-Après action écologique'!$G$773,0),IF('Eval-Après action écologique'!$A$774=FE14,'Eval-Après action écologique'!$G$774,0),IF('Eval-Après action écologique'!$A$775=FE14,'Eval-Après action écologique'!$G$775,0), IF('Eval-Après action écologique'!$A$776=FE14,'Eval-Après action écologique'!$G$776,0), IF('Eval-Après action écologique'!$A$777=FE14,'Eval-Après action écologique'!$G$777,0), IF('Eval-Après action écologique'!$A$778=FE14,'Eval-Après action écologique'!$G$778,0), IF('Eval-Après action écologique'!$A$779=FE14,'Eval-Après action écologique'!$G$779,0), IF('Eval-Après action écologique'!$A$780=FE14,'Eval-Après action écologique'!$G$780,0))/ COUNTIF('Eval-Après action écologique'!$A$761:$A$780,FE14)),"")</f>
        <v/>
      </c>
      <c r="FI14" s="212" t="str">
        <f>IF(COUNTIF('Eval-Après action écologique'!$A$761:$A$780,FE14)&gt;0,IF(SUM(IF('Eval-Après action écologique'!$A$761=FE14,COUNTA('Eval-Après action écologique'!$H$761),0),IF('Eval-Après action écologique'!$A$762=FE14,COUNTA('Eval-Après action écologique'!$H$762),0),IF('Eval-Après action écologique'!$A$763=FE14,COUNTA('Eval-Après action écologique'!$H$763),0),IF('Eval-Après action écologique'!$A$764=FE14,COUNTA('Eval-Après action écologique'!$H$764),0),IF('Eval-Après action écologique'!$A$765=FE14,COUNTA('Eval-Après action écologique'!$H$765),0),IF('Eval-Après action écologique'!$A$766=FE14,COUNTA('Eval-Après action écologique'!$H$766),0),IF('Eval-Après action écologique'!$A$767=FE14,COUNTA('Eval-Après action écologique'!$H$767),0),IF('Eval-Après action écologique'!$A$768=FE14,COUNTA('Eval-Après action écologique'!$H$768),0),IF('Eval-Après action écologique'!$A$769=FE14,COUNTA('Eval-Après action écologique'!$H$769),0),IF('Eval-Après action écologique'!$A$770=FE14,COUNTA('Eval-Après action écologique'!$H$770),0),IF('Eval-Après action écologique'!$A$771=FE14,COUNTA('Eval-Après action écologique'!$H$771),0),IF('Eval-Après action écologique'!$A$772=FE14,COUNTA('Eval-Après action écologique'!$H$772),0),IF('Eval-Après action écologique'!$A$773=FE14,COUNTA('Eval-Après action écologique'!$H$773),0),IF('Eval-Après action écologique'!$A$774=FE14,COUNTA('Eval-Après action écologique'!$H$774),0),IF('Eval-Après action écologique'!$A$775=FE14,COUNTA('Eval-Après action écologique'!$H$775),0),IF('Eval-Après action écologique'!$A$776=FE14,COUNTA('Eval-Après action écologique'!$H$776),0),IF('Eval-Après action écologique'!$A$777=FE14,COUNTA('Eval-Après action écologique'!$H$777),0),IF('Eval-Après action écologique'!$A$778=FE14,COUNTA('Eval-Après action écologique'!$H$778),0),IF('Eval-Après action écologique'!$A$779=FE14,COUNTA('Eval-Après action écologique'!$H$779),0),IF('Eval-Après action écologique'!$A$780=FE14,COUNTA('Eval-Après action écologique'!$H$780),0))&gt;0,"X",0),"")</f>
        <v/>
      </c>
      <c r="FJ14" s="213" t="str">
        <f>IF(COUNTIF('Eval-Après action écologique'!$A$761:$A$780,FE14)&gt;0,IF(SUM(IF('Eval-Après action écologique'!$A$761=FE14,COUNTA('Eval-Après action écologique'!$I$761),0),IF('Eval-Après action écologique'!$A$762=FE14,COUNTA('Eval-Après action écologique'!$I$762),0),IF('Eval-Après action écologique'!$A$763=FE14,COUNTA('Eval-Après action écologique'!$I$763),0),IF('Eval-Après action écologique'!$A$764=FE14,COUNTA('Eval-Après action écologique'!$I$764),0),IF('Eval-Après action écologique'!$A$765=FE14,COUNTA('Eval-Après action écologique'!$I$765),0),IF('Eval-Après action écologique'!$A$766=FE14,COUNTA('Eval-Après action écologique'!$I$766),0),IF('Eval-Après action écologique'!$A$767=FE14,COUNTA('Eval-Après action écologique'!$I$767),0),IF('Eval-Après action écologique'!$A$768=FE14,COUNTA('Eval-Après action écologique'!$I$768),0),IF('Eval-Après action écologique'!$A$769=FE14,COUNTA('Eval-Après action écologique'!$I$769),0),IF('Eval-Après action écologique'!$A$770=FE14,COUNTA('Eval-Après action écologique'!$I$770),0),IF('Eval-Après action écologique'!$A$771=FE14,COUNTA('Eval-Après action écologique'!$I$771),0),IF('Eval-Après action écologique'!$A$772=FE14,COUNTA('Eval-Après action écologique'!$I$772),0),IF('Eval-Après action écologique'!$A$773=FE14,COUNTA('Eval-Après action écologique'!$I$773),0),IF('Eval-Après action écologique'!$A$774=FE14,COUNTA('Eval-Après action écologique'!$I$774),0),IF('Eval-Après action écologique'!$A$775=FE14,COUNTA('Eval-Après action écologique'!$I$775),0),IF('Eval-Après action écologique'!$A$776=FE14,COUNTA('Eval-Après action écologique'!$I$776),0),IF('Eval-Après action écologique'!$A$777=FE14,COUNTA('Eval-Après action écologique'!$I$777),0),IF('Eval-Après action écologique'!$A$778=FE14,COUNTA('Eval-Après action écologique'!$I$778),0),IF('Eval-Après action écologique'!$A$779=FE14,COUNTA('Eval-Après action écologique'!$I$779),0),IF('Eval-Après action écologique'!$A$780=FE14,COUNTA('Eval-Après action écologique'!$I$780),0))&gt;0,"X",0),"")</f>
        <v/>
      </c>
      <c r="FK14" s="213" t="str">
        <f>IF(COUNTIF('Eval-Après action écologique'!$A$761:$A$780,FE14)&gt;0,IF(SUM(IF('Eval-Après action écologique'!$A$761=FE14,COUNTA('Eval-Après action écologique'!$J$761),0),IF('Eval-Après action écologique'!$A$762=FE14,COUNTA('Eval-Après action écologique'!$J$762),0),IF('Eval-Après action écologique'!$A$763=FE14,COUNTA('Eval-Après action écologique'!$J$763),0),IF('Eval-Après action écologique'!$A$764=FE14,COUNTA('Eval-Après action écologique'!$J$764),0),IF('Eval-Après action écologique'!$A$765=FE14,COUNTA('Eval-Après action écologique'!$J$765),0),IF('Eval-Après action écologique'!$A$766=FE14,COUNTA('Eval-Après action écologique'!$J$766),0),IF('Eval-Après action écologique'!$A$767=FE14,COUNTA('Eval-Après action écologique'!$J$767),0),IF('Eval-Après action écologique'!$A$768=FE14,COUNTA('Eval-Après action écologique'!$J$768),0),IF('Eval-Après action écologique'!$A$769=FE14,COUNTA('Eval-Après action écologique'!$J$769),0),IF('Eval-Après action écologique'!$A$770=FE14,COUNTA('Eval-Après action écologique'!$J$770),0),IF('Eval-Après action écologique'!$A$771=FE14,COUNTA('Eval-Après action écologique'!$J$771),0),IF('Eval-Après action écologique'!$A$772=FE14,COUNTA('Eval-Après action écologique'!$J$772),0),IF('Eval-Après action écologique'!$A$773=FE14,COUNTA('Eval-Après action écologique'!$J$773),0),IF('Eval-Après action écologique'!$A$774=FE14,COUNTA('Eval-Après action écologique'!$J$774),0),IF('Eval-Après action écologique'!$A$775=FE14,COUNTA('Eval-Après action écologique'!$J$775),0),IF('Eval-Après action écologique'!$A$776=FE14,COUNTA('Eval-Après action écologique'!$J$776),0),IF('Eval-Après action écologique'!$A$777=FE14,COUNTA('Eval-Après action écologique'!$J$777),0),IF('Eval-Après action écologique'!$A$778=FE14,COUNTA('Eval-Après action écologique'!$J$778),0),IF('Eval-Après action écologique'!$A$779=FE14,COUNTA('Eval-Après action écologique'!$J$779),0),IF('Eval-Après action écologique'!$A$780=FE14,COUNTA('Eval-Après action écologique'!$J$780),0))&gt;0,"X",0),"")</f>
        <v/>
      </c>
      <c r="FL14" s="213" t="str">
        <f>IF(COUNTIF('Eval-Après action écologique'!$A$761:$A$780,FE14)&gt;0,IF(SUM(IF('Eval-Après action écologique'!$A$761=FE14,COUNTA('Eval-Après action écologique'!$K$761),0),IF('Eval-Après action écologique'!$A$762=FE14,COUNTA('Eval-Après action écologique'!$K$762),0),IF('Eval-Après action écologique'!$A$763=FE14,COUNTA('Eval-Après action écologique'!$K$763),0),IF('Eval-Après action écologique'!$A$764=FE14,COUNTA('Eval-Après action écologique'!$K$764),0),IF('Eval-Après action écologique'!$A$765=FE14,COUNTA('Eval-Après action écologique'!$K$765),0),IF('Eval-Après action écologique'!$A$766=FE14,COUNTA('Eval-Après action écologique'!$K$766),0),IF('Eval-Après action écologique'!$A$767=FE14,COUNTA('Eval-Après action écologique'!$K$767),0),IF('Eval-Après action écologique'!$A$768=FE14,COUNTA('Eval-Après action écologique'!$K$768),0),IF('Eval-Après action écologique'!$A$769=FE14,COUNTA('Eval-Après action écologique'!$K$769),0),IF('Eval-Après action écologique'!$A$770=FE14,COUNTA('Eval-Après action écologique'!$K$770),0),IF('Eval-Après action écologique'!$A$771=FE14,COUNTA('Eval-Après action écologique'!$K$771),0),IF('Eval-Après action écologique'!$A$772=FE14,COUNTA('Eval-Après action écologique'!$K$772),0),IF('Eval-Après action écologique'!$A$773=FE14,COUNTA('Eval-Après action écologique'!$K$773),0),IF('Eval-Après action écologique'!$A$774=FE14,COUNTA('Eval-Après action écologique'!$K$774),0),IF('Eval-Après action écologique'!$A$775=FE14,COUNTA('Eval-Après action écologique'!$K$775),0),IF('Eval-Après action écologique'!$A$776=FE14,COUNTA('Eval-Après action écologique'!$K$776),0),IF('Eval-Après action écologique'!$A$777=FE14,COUNTA('Eval-Après action écologique'!$K$777),0),IF('Eval-Après action écologique'!$A$778=FE14,COUNTA('Eval-Après action écologique'!$K$778),0),IF('Eval-Après action écologique'!$A$779=FE14,COUNTA('Eval-Après action écologique'!$K$779),0),IF('Eval-Après action écologique'!$A$780=FE14,COUNTA('Eval-Après action écologique'!$K$780),0))&gt;0,"X",0),"")</f>
        <v/>
      </c>
      <c r="FM14" s="211" t="str">
        <f>IF(COUNTIF('Eval-Après action écologique'!$A$761:$A$780,FE14)&gt;0,IF(OR(AND('Eval-Après action écologique'!$A$761=FE14,'Eval-Après action écologique'!$L$761&lt;120,'Eval-Après action écologique'!$L$761&gt;=GB9),AND('Eval-Après action écologique'!$A$762=FE14,'Eval-Après action écologique'!$L$762&lt;120,'Eval-Après action écologique'!$L$762&gt;=GB10),AND('Eval-Après action écologique'!$A$763=FE14,'Eval-Après action écologique'!$L$763&lt;120,'Eval-Après action écologique'!$L$763&gt;=GB11),AND('Eval-Après action écologique'!$A$764=FE14,'Eval-Après action écologique'!$L$764&lt;120,'Eval-Après action écologique'!$L$764&gt;=GB12),AND('Eval-Après action écologique'!$A$765=FE14,'Eval-Après action écologique'!$L$765&lt;120,'Eval-Après action écologique'!$L$765&gt;=GB13),AND('Eval-Après action écologique'!$A$766=FE14,'Eval-Après action écologique'!$L$766&lt;120,'Eval-Après action écologique'!$L$766&gt;=GB14),AND('Eval-Après action écologique'!$A$767=FE14,'Eval-Après action écologique'!$L$767&lt;120,'Eval-Après action écologique'!$L$767&gt;=GB15),AND('Eval-Après action écologique'!$A$768=FE14,'Eval-Après action écologique'!$L$768&lt;120,'Eval-Après action écologique'!$L$768&gt;=GB16),AND('Eval-Après action écologique'!$A$769=FE14,'Eval-Après action écologique'!$L$769&lt;120,'Eval-Après action écologique'!$L$769&gt;=GB17),AND('Eval-Après action écologique'!$A$770=FE14,'Eval-Après action écologique'!$L$770&lt;120,'Eval-Après action écologique'!$L$770&gt;=GB18),AND('Eval-Après action écologique'!$A$771=FE14,'Eval-Après action écologique'!$L$771&lt;120,'Eval-Après action écologique'!$L$771&gt;=GB19),AND('Eval-Après action écologique'!$A$772=FE14,'Eval-Après action écologique'!$L$772&lt;120,'Eval-Après action écologique'!$L$772&gt;=GB20),AND('Eval-Après action écologique'!$A$773=FE14,'Eval-Après action écologique'!$L$773&lt;120,'Eval-Après action écologique'!$L$773&gt;=GB21),AND('Eval-Après action écologique'!$A$774=FE14,'Eval-Après action écologique'!$L$774&lt;120,'Eval-Après action écologique'!$L$774&gt;=GB22),AND('Eval-Après action écologique'!$A$775=FE14,'Eval-Après action écologique'!$L$775&lt;120,'Eval-Après action écologique'!$L$775&gt;=GB23),AND('Eval-Après action écologique'!$A$776=FE14,'Eval-Après action écologique'!$L$776&lt;120,'Eval-Après action écologique'!$L$776&gt;=GB24),AND('Eval-Après action écologique'!$A$777=FE14,'Eval-Après action écologique'!$L$777&lt;120,'Eval-Après action écologique'!$L$777&gt;=GB25),AND('Eval-Après action écologique'!$A$778=FE14,'Eval-Après action écologique'!$L$778&lt;120,'Eval-Après action écologique'!$L$778&gt;=GB26),AND('Eval-Après action écologique'!$A$779=FE14,'Eval-Après action écologique'!$L$779&lt;120,'Eval-Après action écologique'!$L$779&gt;=GB27),AND('Eval-Après action écologique'!$A$780=FE14,'Eval-Après action écologique'!$L$780&lt;120,'Eval-Après action écologique'!$L$780&gt;=GB28)),"",SUM(IF('Eval-Après action écologique'!$A$761=FE14,'Eval-Après action écologique'!$L$761,0),IF('Eval-Après action écologique'!$A$762=FE14,'Eval-Après action écologique'!$L$762,0),IF('Eval-Après action écologique'!$A$763=FE14,'Eval-Après action écologique'!$L$763,0),IF('Eval-Après action écologique'!$A$764=FE14,'Eval-Après action écologique'!$L$764,0),IF('Eval-Après action écologique'!$A$765=FE14,'Eval-Après action écologique'!$L$765,0),IF('Eval-Après action écologique'!$A$766=FE14,'Eval-Après action écologique'!$L$766,0),IF('Eval-Après action écologique'!$A$767=FE14,'Eval-Après action écologique'!$L$767,0),IF('Eval-Après action écologique'!$A$768=FE14,'Eval-Après action écologique'!$L$768,0),IF('Eval-Après action écologique'!$A$769=FE14,'Eval-Après action écologique'!$L$769,0),IF('Eval-Après action écologique'!$A$770=FE14,'Eval-Après action écologique'!$L$770,0),IF('Eval-Après action écologique'!$A$771=FE14,'Eval-Après action écologique'!$L$771,0),IF('Eval-Après action écologique'!$A$772=FE14,'Eval-Après action écologique'!$L$772,0),IF('Eval-Après action écologique'!$A$773=FE14,'Eval-Après action écologique'!$L$773,0),IF('Eval-Après action écologique'!$A$774=FE14,'Eval-Après action écologique'!$L$774,0),IF('Eval-Après action écologique'!$A$775=FE14,'Eval-Après action écologique'!$L$775,0),IF('Eval-Après action écologique'!$A$776=FE14,'Eval-Après action écologique'!$L$776,0),IF('Eval-Après action écologique'!$A$777=FE14,'Eval-Après action écologique'!$L$777,0),IF('Eval-Après action écologique'!$A$778=FE14,'Eval-Après action écologique'!$L$778,0),IF('Eval-Après action écologique'!$A$779=FE14,'Eval-Après action écologique'!$L$779,0),IF('Eval-Après action écologique'!$A$780=FE14,'Eval-Après action écologique'!$L$780,0))/ COUNTIF('Eval-Après action écologique'!$A$761:$A$780,FE14)),"")</f>
        <v/>
      </c>
      <c r="FN14" s="211" t="str">
        <f>IF(COUNTIF('Eval-Après action écologique'!$A$761:$A$780,FE14)&gt;0,IF(OR(AND('Eval-Après action écologique'!$A$761=FE14, GB9&lt;120),AND(GB10&lt;120),AND(GB11&lt;120),AND(GB12&lt;120),AND(GB13&lt;120),AND(GB14&lt;120),AND(GB15&lt;120),AND(GB16&lt;120),AND(GB17&lt;120),AND(GB18&lt;120),AND(GB19&lt;120),AND(GB20&lt;120),AND(GB21&lt;120),AND(GB22&lt;120),AND(GB23&lt;120),AND(GB24&lt;120),AND(GB25&lt;120),AND(GB26&lt;120),AND(GB27&lt;120),AND(GB28&lt;120)),"",SUM(IF('Eval-Après action écologique'!$A$761=FE14,'Eval-Après action écologique'!$M$761,0),IF('Eval-Après action écologique'!$A$762=FE14,'Eval-Après action écologique'!$M$762,0),IF('Eval-Après action écologique'!$A$763=FE14,'Eval-Après action écologique'!$M$763,0),IF('Eval-Après action écologique'!$A$764=FE14,'Eval-Après action écologique'!$M$764,0),IF('Eval-Après action écologique'!$A$765=FE14,'Eval-Après action écologique'!$M$765,0),IF('Eval-Après action écologique'!$A$766=FE14,'Eval-Après action écologique'!$M$766,0),IF('Eval-Après action écologique'!$A$767=FE14,'Eval-Après action écologique'!$M$767,0),IF('Eval-Après action écologique'!$A$768=FE14,'Eval-Après action écologique'!$M$768,0),IF('Eval-Après action écologique'!$A$769=FE14,'Eval-Après action écologique'!$M$769,0),IF('Eval-Après action écologique'!$A$770=FE14,'Eval-Après action écologique'!$M$770,0),IF('Eval-Après action écologique'!$A$771=FE14,'Eval-Après action écologique'!$M$771,0),IF('Eval-Après action écologique'!$A$772=FE14,'Eval-Après action écologique'!$M$772,0),IF('Eval-Après action écologique'!$A$773=FE14,'Eval-Après action écologique'!$M$773,0),IF('Eval-Après action écologique'!$A$774=FE14,'Eval-Après action écologique'!$M$774,0),IF('Eval-Après action écologique'!$A$775=FE14,'Eval-Après action écologique'!$M$775,0), IF('Eval-Après action écologique'!$A$776=FE14,'Eval-Après action écologique'!$M$776,0), IF('Eval-Après action écologique'!$A$777=FE14,'Eval-Après action écologique'!$M$777,0), IF('Eval-Après action écologique'!$A$778=FE14,'Eval-Après action écologique'!$M$778,0), IF('Eval-Après action écologique'!$A$779=FE14,'Eval-Après action écologique'!$M$779,0), IF('Eval-Après action écologique'!$A$780=FE14,'Eval-Après action écologique'!$M$780,0))/COUNTIF('Eval-Après action écologique'!$A$761:$A$780,FE14)),"")</f>
        <v/>
      </c>
      <c r="FO14" s="211" t="str">
        <f>IF(COUNTIF('Eval-Après action écologique'!$A$761:$A$780,FE14)&gt;0,SUM(IF('Eval-Après action écologique'!$A$761=FE14,LEN(SUBSTITUTE((SUBSTITUTE(GD9,"TM","")),"TS",""))*10/2,0),IF('Eval-Après action écologique'!$A$762=FE14,LEN(SUBSTITUTE((SUBSTITUTE(GD10,"TM","")),"TS",""))*10/2,0),IF('Eval-Après action écologique'!$A$763=FE14,LEN(SUBSTITUTE((SUBSTITUTE(GD11,"TM","")),"TS",""))*10/2,0),IF('Eval-Après action écologique'!$A$764=FE14,LEN(SUBSTITUTE((SUBSTITUTE(GD12,"TM","")),"TS",""))*10/2,0),IF('Eval-Après action écologique'!$A$765=FE14,LEN(SUBSTITUTE((SUBSTITUTE(GD13,"TM","")),"TS",""))*10/2,0),IF('Eval-Après action écologique'!$A$766=FE14,LEN(SUBSTITUTE((SUBSTITUTE(GD14,"TM","")),"TS",""))*10/2,0),IF('Eval-Après action écologique'!$A$767=FE14,LEN(SUBSTITUTE((SUBSTITUTE(GD15,"TM","")),"TS",""))*10/2,0),IF('Eval-Après action écologique'!$A$768=FE14,LEN(SUBSTITUTE((SUBSTITUTE(GD16,"TM","")),"TS",""))*10/2,0),IF('Eval-Après action écologique'!$A$769=FE14,LEN(SUBSTITUTE((SUBSTITUTE(GD17,"TM","")),"TS",""))*10/2,0),IF('Eval-Après action écologique'!$A$770=FE14,LEN(SUBSTITUTE((SUBSTITUTE(GD18,"TM","")),"TS",""))*10/2,0),IF('Eval-Après action écologique'!$A$771=FE14,LEN(SUBSTITUTE((SUBSTITUTE(GD19,"TM","")),"TS",""))*10/2,0),IF('Eval-Après action écologique'!$A$772=FE14,LEN(SUBSTITUTE((SUBSTITUTE(GD20,"TM","")),"TS",""))*10/2,0),IF('Eval-Après action écologique'!$A$773=FE14,LEN(SUBSTITUTE((SUBSTITUTE(GD21,"TM","")),"TS",""))*10/2,0),IF('Eval-Après action écologique'!$A$774=FE14,LEN(SUBSTITUTE((SUBSTITUTE(GD22,"TM","")),"TS",""))*10/2,0),IF('Eval-Après action écologique'!$A$775=FE14,LEN(SUBSTITUTE((SUBSTITUTE(GD23,"TM","")),"TS",""))*10/2,0),IF('Eval-Après action écologique'!$A$776=FE14,LEN(SUBSTITUTE((SUBSTITUTE(GD24,"TM","")),"TS",""))*10/2,0),IF('Eval-Après action écologique'!$A$777=FE14,LEN(SUBSTITUTE((SUBSTITUTE(GD25,"TM","")),"TS",""))*10/2,0),IF('Eval-Après action écologique'!$A$778=FE14,LEN(SUBSTITUTE((SUBSTITUTE(GD26,"TM","")),"TS",""))*10/2,0),IF('Eval-Après action écologique'!$A$779=FE14,LEN(SUBSTITUTE((SUBSTITUTE(GD27,"TM","")),"TS",""))*10/2,0),IF('Eval-Après action écologique'!$A$780=FE14,LEN(SUBSTITUTE((SUBSTITUTE(GD28,"TM","")),"TS",""))*10/2,0))/COUNTIF('Eval-Après action écologique'!$A$761:$A$780,FE14),"")</f>
        <v/>
      </c>
      <c r="FP14" s="211" t="str">
        <f>IF(COUNTIF('Eval-Après action écologique'!$A$761:$A$780,FE14)&gt;0,SUM(IF('Eval-Après action écologique'!$A$761=FE14,LEN(SUBSTITUTE((SUBSTITUTE(GD9,"TF","")),"TS",""))*10/2,0),IF('Eval-Après action écologique'!$A$762=FE14,LEN(SUBSTITUTE((SUBSTITUTE(GD10,"TF","")),"TS",""))*10/2,0),IF('Eval-Après action écologique'!$A$763=FE14,LEN(SUBSTITUTE((SUBSTITUTE(GD11,"TF","")),"TS",""))*10/2,0),IF('Eval-Après action écologique'!$A$764=FE14,LEN(SUBSTITUTE((SUBSTITUTE(GD12,"TF","")),"TS",""))*10/2,0),IF('Eval-Après action écologique'!$A$765=FE14,LEN(SUBSTITUTE((SUBSTITUTE(GD13,"TF","")),"TS",""))*10/2,0),IF('Eval-Après action écologique'!$A$766=FE14,LEN(SUBSTITUTE((SUBSTITUTE(GD14,"TF","")),"TS",""))*10/2,0),IF('Eval-Après action écologique'!$A$767=FE14,LEN(SUBSTITUTE((SUBSTITUTE(GD15,"TF","")),"TS",""))*10/2,0),IF('Eval-Après action écologique'!$A$768=FE14,LEN(SUBSTITUTE((SUBSTITUTE(GD16,"TF","")),"TS",""))*10/2,0),IF('Eval-Après action écologique'!$A$769=FE14,LEN(SUBSTITUTE((SUBSTITUTE(GD17,"TF","")),"TS",""))*10/2,0),IF('Eval-Après action écologique'!$A$770=FE14,LEN(SUBSTITUTE((SUBSTITUTE(GD18,"TF","")),"TS",""))*10/2,0),IF('Eval-Après action écologique'!$A$771=FE14,LEN(SUBSTITUTE((SUBSTITUTE(GD19,"TF","")),"TS",""))*10/2,0),IF('Eval-Après action écologique'!$A$772=FE14,LEN(SUBSTITUTE((SUBSTITUTE(GD20,"TF","")),"TS",""))*10/2,0),IF('Eval-Après action écologique'!$A$773=FE14,LEN(SUBSTITUTE((SUBSTITUTE(GD21,"TF","")),"TS",""))*10/2,0),IF('Eval-Après action écologique'!$A$774=FE14,LEN(SUBSTITUTE((SUBSTITUTE(GD22,"TF","")),"TS",""))*10/2,0),IF('Eval-Après action écologique'!$A$775=FE14,LEN(SUBSTITUTE((SUBSTITUTE(GD23,"TF","")),"TS",""))*10/2,0),IF('Eval-Après action écologique'!$A$776=FE14,LEN(SUBSTITUTE((SUBSTITUTE(GD24,"TF","")),"TS",""))*10/2,0),IF('Eval-Après action écologique'!$A$777=FE14,LEN(SUBSTITUTE((SUBSTITUTE(GD25,"TF","")),"TS",""))*10/2,0),IF('Eval-Après action écologique'!$A$778=FE14,LEN(SUBSTITUTE((SUBSTITUTE(GD26,"TF","")),"TS",""))*10/2,0),IF('Eval-Après action écologique'!$A$779=FE14,LEN(SUBSTITUTE((SUBSTITUTE(GD27,"TF","")),"TS",""))*10/2,0),IF('Eval-Après action écologique'!$A$780=FE14,LEN(SUBSTITUTE((SUBSTITUTE(GD28,"TF","")),"TS",""))*10/2,0))/COUNTIF('Eval-Après action écologique'!$A$761:$A$780,FE14),"")</f>
        <v/>
      </c>
      <c r="FQ14" s="211" t="str">
        <f>IF(COUNTIF('Eval-Après action écologique'!$A$761:$A$780,FE14)&gt;0,SUM(IF('Eval-Après action écologique'!$A$761=FE14,LEN(SUBSTITUTE((SUBSTITUTE(GD9,"TF","")),"TM",""))*10/2,0),IF('Eval-Après action écologique'!$A$762=FE14,LEN(SUBSTITUTE((SUBSTITUTE(GD10,"TF","")),"TM",""))*10/2,0),IF('Eval-Après action écologique'!$A$763=FE14,LEN(SUBSTITUTE((SUBSTITUTE(GD11,"TF","")),"TM",""))*10/2,0),IF('Eval-Après action écologique'!$A$764=FE14,LEN(SUBSTITUTE((SUBSTITUTE(GD12,"TF","")),"TM",""))*10/2,0),IF('Eval-Après action écologique'!$A$765=FE14,LEN(SUBSTITUTE((SUBSTITUTE(GD13,"TF","")),"TM",""))*10/2,0),IF('Eval-Après action écologique'!$A$766=FE14,LEN(SUBSTITUTE((SUBSTITUTE(GD14,"TF","")),"TM",""))*10/2,0),IF('Eval-Après action écologique'!$A$767=FE14,LEN(SUBSTITUTE((SUBSTITUTE(GD15,"TF","")),"TM",""))*10/2,0),IF('Eval-Après action écologique'!$A$768=FE14,LEN(SUBSTITUTE((SUBSTITUTE(GD16,"TF","")),"TM",""))*10/2,0),IF('Eval-Après action écologique'!$A$769=FE14,LEN(SUBSTITUTE((SUBSTITUTE(GD17,"TF","")),"TM",""))*10/2,0),IF('Eval-Après action écologique'!$A$770=FE14,LEN(SUBSTITUTE((SUBSTITUTE(GD18,"TF","")),"TM",""))*10/2,0),IF('Eval-Après action écologique'!$A$771=FE14,LEN(SUBSTITUTE((SUBSTITUTE(GD19,"TF","")),"TM",""))*10/2,0),IF('Eval-Après action écologique'!$A$772=FE14,LEN(SUBSTITUTE((SUBSTITUTE(GD20,"TF","")),"TM",""))*10/2,0),IF('Eval-Après action écologique'!$A$773=FE14,LEN(SUBSTITUTE((SUBSTITUTE(GD21,"TF","")),"TM",""))*10/2,0),IF('Eval-Après action écologique'!$A$774=FE14,LEN(SUBSTITUTE((SUBSTITUTE(GD22,"TF","")),"TM",""))*10/2,0),IF('Eval-Après action écologique'!$A$775=FE14,LEN(SUBSTITUTE((SUBSTITUTE(GD23,"TF","")),"TM",""))*10/2,0),IF('Eval-Après action écologique'!$A$776=FE14,LEN(SUBSTITUTE((SUBSTITUTE(GD24,"TF","")),"TM",""))*10/2,0),IF('Eval-Après action écologique'!$A$777=FE14,LEN(SUBSTITUTE((SUBSTITUTE(GD25,"TF","")),"TM",""))*10/2,0),IF('Eval-Après action écologique'!$A$778=FE14,LEN(SUBSTITUTE((SUBSTITUTE(GD26,"TF","")),"TM",""))*10/2,0),IF('Eval-Après action écologique'!$A$779=FE14,LEN(SUBSTITUTE((SUBSTITUTE(GD27,"TF","")),"TM",""))*10/2,0),IF('Eval-Après action écologique'!$A$780=FE14,LEN(SUBSTITUTE((SUBSTITUTE(GD28,"TF","")),"TM",""))*10/2,0))/COUNTIF('Eval-Après action écologique'!$A$761:$A$780,FE14),"")</f>
        <v/>
      </c>
      <c r="FR14" s="211" t="str">
        <f>IF(COUNTIF('Eval-Après action écologique'!$A$761:$A$780,FE14)&gt;0,SUM(IF('Eval-Après action écologique'!$A$761=FE14,LEN(SUBSTITUTE((SUBSTITUTE(GE9,"TM","")),"TS",""))*10/2,0),IF('Eval-Après action écologique'!$A$762=FE14,LEN(SUBSTITUTE((SUBSTITUTE(GE10,"TM","")),"TS",""))*10/2,0),IF('Eval-Après action écologique'!$A$763=FE14,LEN(SUBSTITUTE((SUBSTITUTE(GE11,"TM","")),"TS",""))*10/2,0),IF('Eval-Après action écologique'!$A$764=FE14,LEN(SUBSTITUTE((SUBSTITUTE(GE12,"TM","")),"TS",""))*10/2,0),IF('Eval-Après action écologique'!$A$765=FE14,LEN(SUBSTITUTE((SUBSTITUTE(GE13,"TM","")),"TS",""))*10/2,0),IF('Eval-Après action écologique'!$A$766=FE14,LEN(SUBSTITUTE((SUBSTITUTE(GE14,"TM","")),"TS",""))*10/2,0),IF('Eval-Après action écologique'!$A$767=FE14,LEN(SUBSTITUTE((SUBSTITUTE(GE15,"TM","")),"TS",""))*10/2,0),IF('Eval-Après action écologique'!$A$768=FE14,LEN(SUBSTITUTE((SUBSTITUTE(GE16,"TM","")),"TS",""))*10/2,0),IF('Eval-Après action écologique'!$A$769=FE14,LEN(SUBSTITUTE((SUBSTITUTE(GE17,"TM","")),"TS",""))*10/2,0),IF('Eval-Après action écologique'!$A$770=FE14,LEN(SUBSTITUTE((SUBSTITUTE(GE18,"TM","")),"TS",""))*10/2,0),IF('Eval-Après action écologique'!$A$771=FE14,LEN(SUBSTITUTE((SUBSTITUTE(GE19,"TM","")),"TS",""))*10/2,0),IF('Eval-Après action écologique'!$A$772=FE14,LEN(SUBSTITUTE((SUBSTITUTE(GE20,"TM","")),"TS",""))*10/2,0),IF('Eval-Après action écologique'!$A$773=FE14,LEN(SUBSTITUTE((SUBSTITUTE(GE21,"TM","")),"TS",""))*10/2,0),IF('Eval-Après action écologique'!$A$774=FE14,LEN(SUBSTITUTE((SUBSTITUTE(GE22,"TM","")),"TS",""))*10/2,0),IF('Eval-Après action écologique'!$A$775=FE14,LEN(SUBSTITUTE((SUBSTITUTE(GE23,"TM","")),"TS",""))*10/2,0),IF('Eval-Après action écologique'!$A$776=FE14,LEN(SUBSTITUTE((SUBSTITUTE(GE24,"TM","")),"TS",""))*10/2,0),IF('Eval-Après action écologique'!$A$777=FE14,LEN(SUBSTITUTE((SUBSTITUTE(GE25,"TM","")),"TS",""))*10/2,0),IF('Eval-Après action écologique'!$A$778=FE14,LEN(SUBSTITUTE((SUBSTITUTE(GE26,"TM","")),"TS",""))*10/2,0),IF('Eval-Après action écologique'!$A$779=FE14,LEN(SUBSTITUTE((SUBSTITUTE(GE27,"TM","")),"TS",""))*10/2,0),IF('Eval-Après action écologique'!$A$780=FE14,LEN(SUBSTITUTE((SUBSTITUTE(GE28,"TM","")),"TS",""))*10/2,0))/COUNTIF('Eval-Après action écologique'!$A$761:$A$780,FE14),"")</f>
        <v/>
      </c>
      <c r="FS14" s="211" t="str">
        <f>IF(COUNTIF('Eval-Après action écologique'!$A$761:$A$780,FE14)&gt;0,SUM(IF('Eval-Après action écologique'!$A$761=FE14,LEN(SUBSTITUTE((SUBSTITUTE(GE9,"TF","")),"TS",""))*10/2,0),IF('Eval-Après action écologique'!$A$762=FE14,LEN(SUBSTITUTE((SUBSTITUTE(GE10,"TF","")),"TS",""))*10/2,0),IF('Eval-Après action écologique'!$A$763=FE14,LEN(SUBSTITUTE((SUBSTITUTE(GE11,"TF","")),"TS",""))*10/2,0),IF('Eval-Après action écologique'!$A$764=FE14,LEN(SUBSTITUTE((SUBSTITUTE(GE12,"TF","")),"TS",""))*10/2,0),IF('Eval-Après action écologique'!$A$765=FE14,LEN(SUBSTITUTE((SUBSTITUTE(GE13,"TF","")),"TS",""))*10/2,0),IF('Eval-Après action écologique'!$A$766=FE14,LEN(SUBSTITUTE((SUBSTITUTE(GE14,"TF","")),"TS",""))*10/2,0),IF('Eval-Après action écologique'!$A$767=FE14,LEN(SUBSTITUTE((SUBSTITUTE(GE15,"TF","")),"TS",""))*10/2,0),IF('Eval-Après action écologique'!$A$768=FE14,LEN(SUBSTITUTE((SUBSTITUTE(GE16,"TF","")),"TS",""))*10/2,0),IF('Eval-Après action écologique'!$A$769=FE14,LEN(SUBSTITUTE((SUBSTITUTE(GE17,"TF","")),"TS",""))*10/2,0),IF('Eval-Après action écologique'!$A$770=FE14,LEN(SUBSTITUTE((SUBSTITUTE(GE18,"TF","")),"TS",""))*10/2,0),IF('Eval-Après action écologique'!$A$771=FE14,LEN(SUBSTITUTE((SUBSTITUTE(GE19,"TF","")),"TS",""))*10/2,0),IF('Eval-Après action écologique'!$A$772=FE14,LEN(SUBSTITUTE((SUBSTITUTE(GE20,"TF","")),"TS",""))*10/2,0),IF('Eval-Après action écologique'!$A$773=FE14,LEN(SUBSTITUTE((SUBSTITUTE(GE21,"TF","")),"TS",""))*10/2,0),IF('Eval-Après action écologique'!$A$774=FE14,LEN(SUBSTITUTE((SUBSTITUTE(GE22,"TF","")),"TS",""))*10/2,0),IF('Eval-Après action écologique'!$A$775=FE14,LEN(SUBSTITUTE((SUBSTITUTE(GE23,"TF","")),"TS",""))*10/2,0),IF('Eval-Après action écologique'!$A$776=FE14,LEN(SUBSTITUTE((SUBSTITUTE(GE24,"TF","")),"TS",""))*10/2,0),IF('Eval-Après action écologique'!$A$777=FE14,LEN(SUBSTITUTE((SUBSTITUTE(GE25,"TF","")),"TS",""))*10/2,0),IF('Eval-Après action écologique'!$A$778=FE14,LEN(SUBSTITUTE((SUBSTITUTE(GE26,"TF","")),"TS",""))*10/2,0),IF('Eval-Après action écologique'!$A$779=FE14,LEN(SUBSTITUTE((SUBSTITUTE(GE27,"TF","")),"TS",""))*10/2,0),IF('Eval-Après action écologique'!$A$780=FE14,LEN(SUBSTITUTE((SUBSTITUTE(GE28,"TF","")),"TS",""))*10/2,0))/COUNTIF('Eval-Après action écologique'!$A$761:$A$780,FE14),"")</f>
        <v/>
      </c>
      <c r="FT14" s="211" t="str">
        <f>IF(COUNTIF('Eval-Après action écologique'!$A$761:$A$780,FE14)&gt;0,SUM(IF('Eval-Après action écologique'!$A$761=FE14,LEN(SUBSTITUTE((SUBSTITUTE(GE9,"TF","")),"TM",""))*10/2,0),IF('Eval-Après action écologique'!$A$762=FE14,LEN(SUBSTITUTE((SUBSTITUTE(GE10,"TF","")),"TM",""))*10/2,0),IF('Eval-Après action écologique'!$A$763=FE14,LEN(SUBSTITUTE((SUBSTITUTE(GE11,"TF","")),"TM",""))*10/2,0),IF('Eval-Après action écologique'!$A$764=FE14,LEN(SUBSTITUTE((SUBSTITUTE(GE12,"TF","")),"TM",""))*10/2,0),IF('Eval-Après action écologique'!$A$765=FE14,LEN(SUBSTITUTE((SUBSTITUTE(GE13,"TF","")),"TM",""))*10/2,0),IF('Eval-Après action écologique'!$A$766=FE14,LEN(SUBSTITUTE((SUBSTITUTE(GE14,"TF","")),"TM",""))*10/2,0),IF('Eval-Après action écologique'!$A$767=FE14,LEN(SUBSTITUTE((SUBSTITUTE(GE15,"TF","")),"TM",""))*10/2,0),IF('Eval-Après action écologique'!$A$768=FE14,LEN(SUBSTITUTE((SUBSTITUTE(GE16,"TF","")),"TM",""))*10/2,0),IF('Eval-Après action écologique'!$A$769=FE14,LEN(SUBSTITUTE((SUBSTITUTE(GE17,"TF","")),"TM",""))*10/2,0),IF('Eval-Après action écologique'!$A$770=FE14,LEN(SUBSTITUTE((SUBSTITUTE(GE18,"TF","")),"TM",""))*10/2,0),IF('Eval-Après action écologique'!$A$771=FE14,LEN(SUBSTITUTE((SUBSTITUTE(GE19,"TF","")),"TM",""))*10/2,0),IF('Eval-Après action écologique'!$A$772=FE14,LEN(SUBSTITUTE((SUBSTITUTE(GE20,"TF","")),"TM",""))*10/2,0),IF('Eval-Après action écologique'!$A$773=FE14,LEN(SUBSTITUTE((SUBSTITUTE(GE21,"TF","")),"TM",""))*10/2,0),IF('Eval-Après action écologique'!$A$774=FE14,LEN(SUBSTITUTE((SUBSTITUTE(GE22,"TF","")),"TM",""))*10/2,0),IF('Eval-Après action écologique'!$A$775=FE14,LEN(SUBSTITUTE((SUBSTITUTE(GE23,"TF","")),"TM",""))*10/2,0),IF('Eval-Après action écologique'!$A$776=FE14,LEN(SUBSTITUTE((SUBSTITUTE(GE24,"TF","")),"TM",""))*10/2,0),IF('Eval-Après action écologique'!$A$777=FE14,LEN(SUBSTITUTE((SUBSTITUTE(GE25,"TF","")),"TM",""))*10/2,0),IF('Eval-Après action écologique'!$A$778=FE14,LEN(SUBSTITUTE((SUBSTITUTE(GE26,"TF","")),"TM",""))*10/2,0),IF('Eval-Après action écologique'!$A$779=FE14,LEN(SUBSTITUTE((SUBSTITUTE(GE27,"TF","")),"TM",""))*10/2,0),IF('Eval-Après action écologique'!$A$780=FE14,LEN(SUBSTITUTE((SUBSTITUTE(GE28,"TF","")),"TM",""))*10/2,0))/COUNTIF('Eval-Après action écologique'!$A$761:$A$780,FE14),"")</f>
        <v/>
      </c>
      <c r="FU14" s="211" t="str">
        <f>IF(COUNTIF('Eval-Après action écologique'!$A$761:$A$780,FE14)&gt;0,IF(OR(AND('Eval-Après action écologique'!$A$761=FE14,GB9&lt;30),AND('Eval-Après action écologique'!$A$762=FE14,GB10&lt;30),AND('Eval-Après action écologique'!$A$763=FE14,GB11&lt;30),AND('Eval-Après action écologique'!$A$764=FE14,GB12&lt;30),AND('Eval-Après action écologique'!$A$765=FE14,GB13&lt;30),AND('Eval-Après action écologique'!$A$766=FE14,GB14&lt;30),AND('Eval-Après action écologique'!$A$767=FE14,GB15&lt;30),AND('Eval-Après action écologique'!$A$768=FE14,GB16&lt;30),AND('Eval-Après action écologique'!$A$769=FE14,GB17&lt;30),AND('Eval-Après action écologique'!$A$770=FE14,GB18&lt;30),AND('Eval-Après action écologique'!$A$771=FE14,GB19&lt;30),AND('Eval-Après action écologique'!$A$772=FE14,GB20&lt;30),AND('Eval-Après action écologique'!$A$773=FE14,GB21&lt;30),AND('Eval-Après action écologique'!$A$774=FE14,GB22&lt;30),AND('Eval-Après action écologique'!$A$775=FE14,GB23&lt;30),AND('Eval-Après action écologique'!$A$776=FE14,GB24&lt;30),AND('Eval-Après action écologique'!$A$777=FE14,GB25&lt;30),AND('Eval-Après action écologique'!$A$778=FE14,GB26&lt;30),AND('Eval-Après action écologique'!$A$779=FE14,GB27&lt;30),AND('Eval-Après action écologique'!$A$780=FE14,GB28&lt;30)),"",SUM(0.1*(SUMPRODUCT(('Eval-Après action écologique'!$A$761:$A$780=FE14)*('Eval-Après action écologique'!$N$761:$P$780="A"))+ SUMPRODUCT(('Eval-Après action écologique'!$A$761:$A$780=FE14)*('Eval-Après action écologique'!$N$761:$P$780="AL"))),0.7*(SUMPRODUCT(('Eval-Après action écologique'!$A$761:$A$780=FE14)*('Eval-Après action écologique'!$N$761:$P$780="TF"))+SUMPRODUCT(('Eval-Après action écologique'!$A$761:$A$780=FE14)*('Eval-Après action écologique'!$N$761:$P$780="TM"))+SUMPRODUCT(('Eval-Après action écologique'!$A$761:$A$780=FE14)*('Eval-Après action écologique'!$N$761:$P$780="TS"))),0.4*(SUMPRODUCT(('Eval-Après action écologique'!$A$761:$A$780=FE14)*('Eval-Après action écologique'!$N$761:$P$780="LA"))+SUMPRODUCT(('Eval-Après action écologique'!$A$761:$A$780=FE14)*('Eval-Après action écologique'!$N$761:$P$780="L"))+SUMPRODUCT(('Eval-Après action écologique'!$A$761:$A$780=FE14)*('Eval-Après action écologique'!$N$761:$P$780="LS"))),1*(SUMPRODUCT(('Eval-Après action écologique'!$A$761:$A$780=FE14)*('Eval-Après action écologique'!$N$761:$P$780="SL"))+ SUMPRODUCT(('Eval-Après action écologique'!$A$761:$A$780=FE14)*('Eval-Après action écologique'!$N$761:$P$780="S"))))/(3*COUNTIF('Eval-Après action écologique'!$A$761:$A$780,FE14))),"")</f>
        <v/>
      </c>
      <c r="FV14" s="211" t="str">
        <f>IF(COUNTIF('Eval-Après action écologique'!$A$761:$A$780,FE14)&gt;0,IF(OR(AND('Eval-Après action écologique'!$A$761=FE14,GB9&lt;120),AND('Eval-Après action écologique'!$A$762=FE14,GB10&lt;120),AND('Eval-Après action écologique'!$A$763=FE14,GB11&lt;120),AND('Eval-Après action écologique'!$A$764=FE14,GB12&lt;120),AND('Eval-Après action écologique'!$A$765=FE14,GB13&lt;120),AND('Eval-Après action écologique'!$A$766=FE14,GB14&lt;120),AND('Eval-Après action écologique'!$A$767=FE14,GB15&lt;120),AND('Eval-Après action écologique'!$A$768=FE14,GB16&lt;120),AND('Eval-Après action écologique'!$A$769=FE14,GB17&lt;120),AND('Eval-Après action écologique'!$A$770=FE14,GB18&lt;120),AND('Eval-Après action écologique'!$A$771=FE14,GB19&lt;120),AND('Eval-Après action écologique'!$A$772=FE14,GB20&lt;120),AND('Eval-Après action écologique'!$A$773=FE14,GB21&lt;120),AND('Eval-Après action écologique'!$A$774=FE14,GB22&lt;120),AND('Eval-Après action écologique'!$A$775=FE14,GB23&lt;120),AND('Eval-Après action écologique'!$A$776=FE14,GB24&lt;120),AND('Eval-Après action écologique'!$A$777=FE14,GB25&lt;120),AND('Eval-Après action écologique'!$A$778=FE14,GB26&lt;120),AND('Eval-Après action écologique'!$A$779=FE14,GB27&lt;120),AND('Eval-Après action écologique'!$A$780=FE14,GB28&lt;120)),"",SUM(0.1*(SUMPRODUCT(('Eval-Après action écologique'!$A$761:$A$780=FE14)*('Eval-Après action écologique'!$Q$761:$Y$780="A"))+ SUMPRODUCT(('Eval-Après action écologique'!$A$761:$A$780=FE14)*('Eval-Après action écologique'!$Q$761:$Y$780="AL"))),0.7*(SUMPRODUCT(('Eval-Après action écologique'!$A$761:$A$780=FE14)*('Eval-Après action écologique'!$Q$761:$Y$780="TF"))+SUMPRODUCT(('Eval-Après action écologique'!$A$761:$A$780=FE14)*('Eval-Après action écologique'!$Q$761:$Y$780="TM"))+SUMPRODUCT(('Eval-Après action écologique'!$A$761:$A$780=FE14)*('Eval-Après action écologique'!$Q$761:$Y$780="TS"))),0.4*(SUMPRODUCT(('Eval-Après action écologique'!$A$761:$A$780=FE14)*('Eval-Après action écologique'!$Q$761:$Y$780="LA"))+SUMPRODUCT(('Eval-Après action écologique'!$A$761:$A$780=FE14)*('Eval-Après action écologique'!$Q$761:$Y$780="L"))+SUMPRODUCT(('Eval-Après action écologique'!$A$761:$A$780=FE14)*('Eval-Après action écologique'!$Q$761:$Y$780="LS"))),1*(SUMPRODUCT(('Eval-Après action écologique'!$A$761:$A$780=FE14)*('Eval-Après action écologique'!$Q$761:$Y$780="SL"))+ SUMPRODUCT(('Eval-Après action écologique'!$A$761:$A$780=FE14)*('Eval-Après action écologique'!$Q$761:$Y$780="S"))))/(9*COUNTIF('Eval-Après action écologique'!$A$761:$A$780,FE14))),"")</f>
        <v/>
      </c>
      <c r="FW14" s="211" t="str">
        <f>IF(COUNTIF('Eval-Après action écologique'!$A$761:$A$780,FE14)&gt;0,IF(OR(AND('Eval-Après action écologique'!$A$761=FE14,OR(COUNTIF('Eval-Après action écologique'!$N$761:$P$761,"*T*")&gt;0,GB9&lt;30)),AND('Eval-Après action écologique'!$A$762=FE14,OR(COUNTIF('Eval-Après action écologique'!$N$762:$P$762,"*T*")&gt;0,GB10&lt;30)),AND('Eval-Après action écologique'!$A$763=FE14,OR(COUNTIF('Eval-Après action écologique'!$N$763:$P$763,"*T*")&gt;0,GB11&lt;30)),AND('Eval-Après action écologique'!$A$764=FE14,OR(COUNTIF('Eval-Après action écologique'!$N$764:$P$764,"*T*")&gt;0,GB12&lt;30)),AND('Eval-Après action écologique'!$A$765=FE14,OR(COUNTIF('Eval-Après action écologique'!$N$765:$P$765,"*T*")&gt;0,GB13&lt;30)),AND('Eval-Après action écologique'!$A$766=FE14,OR(COUNTIF('Eval-Après action écologique'!$N$766:$P$766,"*T*")&gt;0,GB14&lt;30)),AND('Eval-Après action écologique'!$A$767=FE14,OR(COUNTIF('Eval-Après action écologique'!$N$767:$P$767,"*T*")&gt;0,GB15&lt;30)),AND('Eval-Après action écologique'!$A$768=FE14,OR(COUNTIF('Eval-Après action écologique'!$N$768:$P$768,"*T*")&gt;0,GB16&lt;30)),AND('Eval-Après action écologique'!$A$769=FE14,OR(COUNTIF('Eval-Après action écologique'!$N$769:$P$769,"*T*")&gt;0,GB17&lt;30)),AND('Eval-Après action écologique'!$A$770=FE14,OR(COUNTIF('Eval-Après action écologique'!$N$770:$P$770,"*T*")&gt;0,GB18&lt;30)),AND('Eval-Après action écologique'!$A$771=FE14,OR(COUNTIF('Eval-Après action écologique'!$N$771:$P$771,"*T*")&gt;0,GB19&lt;30)),AND('Eval-Après action écologique'!$A$772=FE14,OR(COUNTIF('Eval-Après action écologique'!$N$772:$P$772,"*T*")&gt;0,GB20&lt;30)),AND('Eval-Après action écologique'!$A$773=FE14,OR(COUNTIF('Eval-Après action écologique'!$N$773:$P$773,"*T*")&gt;0,GB21&lt;30)),AND('Eval-Après action écologique'!$A$774=FE14,OR(COUNTIF('Eval-Après action écologique'!$N$774:$P$774,"*T*")&gt;0,GB22&lt;30)),AND('Eval-Après action écologique'!$A$775=FE14,OR(COUNTIF('Eval-Après action écologique'!$N$775:$P$775,"*T*")&gt;0,GB23&lt;30)),AND('Eval-Après action écologique'!$A$776=FE14,OR(COUNTIF('Eval-Après action écologique'!$N$776:$P$776,"*T*")&gt;0,GB24&lt;30)),AND('Eval-Après action écologique'!$A$777=FE14,OR(COUNTIF('Eval-Après action écologique'!$N$777:$P$777,"*T*")&gt;0,GB25&lt;30)),AND('Eval-Après action écologique'!$A$778=FE14,OR(COUNTIF('Eval-Après action écologique'!$N$778:$P$778,"*T*")&gt;0,GB26&lt;30)),AND('Eval-Après action écologique'!$A$779=FE14,OR(COUNTIF('Eval-Après action écologique'!$N$779:$P$779,"*T*")&gt;0,GB27&lt;30)),AND('Eval-Après action écologique'!$A$780=FE14,OR(COUNTIF('Eval-Après action écologique'!$N$780:$P$780,"*T*")&gt;0,GB28&lt;30))),"",SUM(0.1*(SUMPRODUCT(('Eval-Après action écologique'!$A$761:$A$780=FE14)*('Eval-Après action écologique'!$N$761:$P$780="L"))),0.4*(SUMPRODUCT(('Eval-Après action écologique'!$A$761:$A$780=FE14)*('Eval-Après action écologique'!$N$761:$P$780="LA"))+SUMPRODUCT(('Eval-Après action écologique'!$A$761:$A$780=FE14)*('Eval-Après action écologique'!$N$761:$P$780="LS"))),0.7*(SUMPRODUCT(('Eval-Après action écologique'!$A$761:$A$780=FE14)*('Eval-Après action écologique'!$N$761:$P$780="AL"))+SUMPRODUCT(('Eval-Après action écologique'!$A$761:$A$780=FE14)*('Eval-Après action écologique'!$N$761:$P$780="SL"))),1*(SUMPRODUCT(('Eval-Après action écologique'!$A$761:$A$780=FE14)*('Eval-Après action écologique'!$N$761:$P$780="S"))+ SUMPRODUCT(('Eval-Après action écologique'!$A$761:$A$780=FE14)*('Eval-Après action écologique'!$N$761:$P$780="A"))))/(3*COUNTIF('Eval-Après action écologique'!$A$761:$A$780,FE14))),"")</f>
        <v/>
      </c>
      <c r="FX14" s="211" t="str">
        <f>IF(COUNTIF('Eval-Après action écologique'!$A$761:$A$780,FE14)&gt;0,IF(OR(AND('Eval-Après action écologique'!$A$761=FE14,OR(COUNTIF('Eval-Après action écologique'!$N$761:$P$761,"*T*")&gt;0,GB9&lt;30)),AND('Eval-Après action écologique'!$A$762=FE14,OR(COUNTIF('Eval-Après action écologique'!$N$762:$P$762,"*T*")&gt;0,GB10&lt;30)),AND('Eval-Après action écologique'!$A$763=FE14,OR(COUNTIF('Eval-Après action écologique'!$N$763:$P$763,"*T*")&gt;0,GB11&lt;30)),AND('Eval-Après action écologique'!$A$764=FE14,OR(COUNTIF('Eval-Après action écologique'!$N$764:$P$764,"*T*")&gt;0,GB12&lt;30)),AND('Eval-Après action écologique'!$A$765=FE14,OR(COUNTIF('Eval-Après action écologique'!$N$765:$P$765,"*T*")&gt;0,GB13&lt;30)),AND('Eval-Après action écologique'!$A$766=FE14,OR(COUNTIF('Eval-Après action écologique'!$N$766:$P$766,"*T*")&gt;0,GB14&lt;30)),AND('Eval-Après action écologique'!$A$767=FE14,OR(COUNTIF('Eval-Après action écologique'!$N$767:$P$767,"*T*")&gt;0,GB15&lt;30)),AND('Eval-Après action écologique'!$A$768=FE14,OR(COUNTIF('Eval-Après action écologique'!$N$768:$P$768,"*T*")&gt;0,GB16&lt;30)),AND('Eval-Après action écologique'!$A$769=FE14,OR(COUNTIF('Eval-Après action écologique'!$N$769:$P$769,"*T*")&gt;0,GB17&lt;30)),AND('Eval-Après action écologique'!$A$770=FE14,OR(COUNTIF('Eval-Après action écologique'!$N$770:$P$770,"*T*")&gt;0,GB18&lt;30)),AND('Eval-Après action écologique'!$A$771=FE14,OR(COUNTIF('Eval-Après action écologique'!$N$771:$P$771,"*T*")&gt;0,GB19&lt;30)),AND('Eval-Après action écologique'!$A$772=FE14,OR(COUNTIF('Eval-Après action écologique'!$N$772:$P$772,"*T*")&gt;0,GB20&lt;30)),AND('Eval-Après action écologique'!$A$773=FE14,OR(COUNTIF('Eval-Après action écologique'!$N$773:$P$773,"*T*")&gt;0,GB21&lt;30)),AND('Eval-Après action écologique'!$A$774=FE14,OR(COUNTIF('Eval-Après action écologique'!$N$774:$P$774,"*T*")&gt;0,GB22&lt;30)),AND('Eval-Après action écologique'!$A$775=FE14,OR(COUNTIF('Eval-Après action écologique'!$N$775:$P$775,"*T*")&gt;0,GB23&lt;30)),AND('Eval-Après action écologique'!$A$776=FE14,OR(COUNTIF('Eval-Après action écologique'!$N$776:$P$776,"*T*")&gt;0,GB24&lt;30)),AND('Eval-Après action écologique'!$A$777=FE14,OR(COUNTIF('Eval-Après action écologique'!$N$777:$P$777,"*T*")&gt;0,GB25&lt;30)),AND('Eval-Après action écologique'!$A$778=FE14,OR(COUNTIF('Eval-Après action écologique'!$N$778:$P$778,"*T*")&gt;0,GB26&lt;30)),AND('Eval-Après action écologique'!$A$779=FE14,OR(COUNTIF('Eval-Après action écologique'!$N$779:$P$779,"*T*")&gt;0,GB27&lt;30)),AND('Eval-Après action écologique'!$A$780=FE14,OR(COUNTIF('Eval-Après action écologique'!$N$780:$P$780,"*T*")&gt;0,GB28&lt;30))),"",SUM(1*(SUMPRODUCT(('Eval-Après action écologique'!$A$761:$A$780=FE14)*('Eval-Après action écologique'!$N$761:$P$780="A"))),0.85*(SUMPRODUCT(('Eval-Après action écologique'!$A$761:$A$780=FE14)*('Eval-Après action écologique'!$N$761:$P$780="AL"))),0.7*(SUMPRODUCT(('Eval-Après action écologique'!$A$761:$A$780=FE14)*('Eval-Après action écologique'!$N$761:$P$780="LA"))),0.55*(SUMPRODUCT(('Eval-Après action écologique'!$A$761:$A$780=FE14)*('Eval-Après action écologique'!$N$761:$P$780="L"))),0.4*(SUMPRODUCT(('Eval-Après action écologique'!$A$761:$A$780=FE14)*('Eval-Après action écologique'!$N$761:$P$780="LS"))),0.25*(SUMPRODUCT(('Eval-Après action écologique'!$A$761:$A$780=FE14)*('Eval-Après action écologique'!$N$761:$P$780="SL"))),0.1*(SUMPRODUCT(('Eval-Après action écologique'!$A$761:$A$780=FE14)*('Eval-Après action écologique'!$N$761:$P$780="S"))))/(3*COUNTIF('Eval-Après action écologique'!$A$761:$A$780,FE14))),"")</f>
        <v/>
      </c>
      <c r="FY14" s="214" t="str">
        <f>IF(COUNTIF('Eval-Après action écologique'!$A$761:$A$780,FE14)&gt;0,IF(OR(AND('Eval-Après action écologique'!$A$761=FE14,OR(COUNTIF('Eval-Après action écologique'!$Q$761:$Y$761,"*T*")&gt;0,GB9&lt;120)),AND('Eval-Après action écologique'!$A$762=FE14,OR(COUNTIF('Eval-Après action écologique'!$Q$762:$Y$762,"*T*")&gt;0,GB10&lt;120)),AND('Eval-Après action écologique'!$A$763=FE14,OR(COUNTIF('Eval-Après action écologique'!$Q$763:$Y$763,"*T*")&gt;0,GB11&lt;120)),AND('Eval-Après action écologique'!$A$764=FE14,OR(COUNTIF('Eval-Après action écologique'!$Q$764:$Y$764,"*T*")&gt;0,GB12&lt;120)),AND('Eval-Après action écologique'!$A$765=FE14,OR(COUNTIF('Eval-Après action écologique'!$Q$765:$Y$765,"*T*")&gt;0,GB13&lt;120)),AND('Eval-Après action écologique'!$A$766=FE14,OR(COUNTIF('Eval-Après action écologique'!$Q$766:$Y$766,"*T*")&gt;0,GB14&lt;120)),AND('Eval-Après action écologique'!$A$767=FE14,OR(COUNTIF('Eval-Après action écologique'!$Q$767:$Y$767,"*T*")&gt;0,GB15&lt;120)),AND('Eval-Après action écologique'!$A$768=FE14,OR(COUNTIF('Eval-Après action écologique'!$Q$768:$Y$768,"*T*")&gt;0,GB16&lt;120)),AND('Eval-Après action écologique'!$A$769=FE14,OR(COUNTIF('Eval-Après action écologique'!$Q$769:$Y$769,"*T*")&gt;0,GB17&lt;120)),AND('Eval-Après action écologique'!$A$770=FE14,OR(COUNTIF('Eval-Après action écologique'!$Q$770:$Y$770,"*T*")&gt;0,GB18&lt;120)),AND('Eval-Après action écologique'!$A$771=FE14,OR(COUNTIF('Eval-Après action écologique'!$Q$771:$Y$771,"*T*")&gt;0,GB19&lt;120)),AND('Eval-Après action écologique'!$A$772=FE14,OR(COUNTIF('Eval-Après action écologique'!$Q$772:$Y$772,"*T*")&gt;0,GB20&lt;120)),AND('Eval-Après action écologique'!$A$773=FE14,OR(COUNTIF('Eval-Après action écologique'!$Q$773:$Y$773,"*T*")&gt;0,GB21&lt;120)),AND('Eval-Après action écologique'!$A$774=FE14,OR(COUNTIF('Eval-Après action écologique'!$Q$774:$Y$774,"*T*")&gt;0,GB22&lt;120)),AND('Eval-Après action écologique'!$A$775=FE14,OR(COUNTIF('Eval-Après action écologique'!$Q$775:$Y$775,"*T*")&gt;0,GB23&lt;120)),AND('Eval-Après action écologique'!$A$776=FE14,OR(COUNTIF('Eval-Après action écologique'!$Q$776:$Y$776,"*T*")&gt;0,GB24&lt;120)),AND('Eval-Après action écologique'!$A$777=FE14,OR(COUNTIF('Eval-Après action écologique'!$Q$777:$Y$777,"*T*")&gt;0,GB25&lt;120)),AND('Eval-Après action écologique'!$A$778=FE14,OR(COUNTIF('Eval-Après action écologique'!$Q$778:$Y$778,"*T*")&gt;0,GB26&lt;120)),AND('Eval-Après action écologique'!$A$779=FE14,OR(COUNTIF('Eval-Après action écologique'!$Q$779:$Y$779,"*T*")&gt;0,GB27&lt;120)),AND('Eval-Après action écologique'!$A$780=FE14,OR(COUNTIF('Eval-Après action écologique'!$Q$780:$Y$780,"*T*")&gt;0,GB28&lt;120))),"",SUM(1*(SUMPRODUCT(('Eval-Après action écologique'!$A$761:$A$780=FE14)*('Eval-Après action écologique'!$Q$761:$Y$780="A"))),0.85*(SUMPRODUCT(('Eval-Après action écologique'!$A$761:$A$780=FE14)*('Eval-Après action écologique'!$Q$761:$Y$780="AL"))),0.7*(SUMPRODUCT(('Eval-Après action écologique'!$A$761:$A$780=FE14)*('Eval-Après action écologique'!$Q$761:$Y$780="LA"))),0.55*(SUMPRODUCT(('Eval-Après action écologique'!$A$761:$A$780=FE14)*('Eval-Après action écologique'!$Q$761:$Y$780="L"))),0.4*(SUMPRODUCT(('Eval-Après action écologique'!$A$761:$A$780=FE14)*('Eval-Après action écologique'!$Q$761:$Y$780="LS"))),0.25*(SUMPRODUCT(('Eval-Après action écologique'!$A$761:$A$780=FE14)*('Eval-Après action écologique'!$Q$761:$Y$780="SL"))),0.1*(SUMPRODUCT(('Eval-Après action écologique'!$A$761:$A$780=FE14)*('Eval-Après action écologique'!$Q$761:$Y$780="S"))))/(9*COUNTIF('Eval-Après action écologique'!$A$761:$A$780,FE14))),"")</f>
        <v/>
      </c>
      <c r="FZ14" s="215"/>
      <c r="GA14" s="216">
        <f>'Eval-Après action écologique'!$D$766</f>
        <v>6</v>
      </c>
      <c r="GB14" s="217" t="str">
        <f>IF(GC14="C",0,IF(IF(COUNTIF('Eval-Après action écologique'!$N$766:$Y$766,"=C")&gt;0,(COUNTA('Eval-Après action écologique'!$N$766:$Y$766)-1)*10,COUNTA('Eval-Après action écologique'!$N$766:$Y$766)*10)=0,"",IF(COUNTIF('Eval-Après action écologique'!$N$766:$Y$766,"=C")&gt;0,(COUNTA('Eval-Après action écologique'!$N$766:$Y$766)-1)*10,COUNTA('Eval-Après action écologique'!$N$766:$Y$766)*10)))</f>
        <v/>
      </c>
      <c r="GC14" s="217" t="str">
        <f>CONCATENATE('Eval-Après action écologique'!$N$766,'Eval-Après action écologique'!$O$766,'Eval-Après action écologique'!$P$766,'Eval-Après action écologique'!$Q$766,'Eval-Après action écologique'!$R$766,'Eval-Après action écologique'!$S$766,'Eval-Après action écologique'!$T$766,'Eval-Après action écologique'!$U$766,'Eval-Après action écologique'!$V$766,'Eval-Après action écologique'!$W$766,'Eval-Après action écologique'!$X$766,'Eval-Après action écologique'!$Y$766)</f>
        <v/>
      </c>
      <c r="GD14" s="217" t="str">
        <f t="shared" si="20"/>
        <v/>
      </c>
      <c r="GE14" s="217" t="str">
        <f t="shared" si="21"/>
        <v/>
      </c>
      <c r="GF14" s="217" t="str">
        <f>IF(COUNTIF('Eval-Après action écologique'!$N$766:$Y$766,"=C")&gt;0,"X","")</f>
        <v/>
      </c>
      <c r="GG14" s="217" t="str">
        <f t="shared" si="22"/>
        <v/>
      </c>
      <c r="GH14" s="218" t="str">
        <f t="shared" si="23"/>
        <v/>
      </c>
      <c r="GI14" s="197"/>
    </row>
    <row r="15" spans="1:191" ht="18" customHeight="1" x14ac:dyDescent="0.2">
      <c r="A15" s="210">
        <v>7</v>
      </c>
      <c r="B15" s="211" t="str">
        <f>IF(COUNTIF('Eval-Avant impact'!$A$761:$A$780,A15)&gt;0,SUM(IF('Eval-Avant impact'!$A$761=A15,'Eval-Avant impact'!$B$761,0),IF('Eval-Avant impact'!$A$762=A15, 'Eval-Avant impact'!$B$762,0),IF('Eval-Avant impact'!$A$763=A15, 'Eval-Avant impact'!$B$763,0),IF('Eval-Avant impact'!$A$764=A15, 'Eval-Avant impact'!$B$764,0),IF('Eval-Avant impact'!$A$765=A15, 'Eval-Avant impact'!$B$765,0),IF('Eval-Avant impact'!$A$766=A15, 'Eval-Avant impact'!$B$766,0),IF('Eval-Avant impact'!$A$767=A15, 'Eval-Avant impact'!$B$767,0),IF('Eval-Avant impact'!$A$768=A15, 'Eval-Avant impact'!$B$768,0),IF('Eval-Avant impact'!$A$769=A15, 'Eval-Avant impact'!$B$769,0),IF('Eval-Avant impact'!$A$770=A15, 'Eval-Avant impact'!$B$770,0),IF('Eval-Avant impact'!$A$771=A15, 'Eval-Avant impact'!$B$771,0),IF('Eval-Avant impact'!$A$772=A15, 'Eval-Avant impact'!$B$772,0),IF('Eval-Avant impact'!$A$773=A15, 'Eval-Avant impact'!$B$773,0),IF('Eval-Avant impact'!$A$774=A15, 'Eval-Avant impact'!$B$774,0),IF('Eval-Avant impact'!$A$775=A15, 'Eval-Avant impact'!$B$775,0),IF('Eval-Avant impact'!$A$776=A15, 'Eval-Avant impact'!$B$776,0),IF('Eval-Avant impact'!$A$777=A15, 'Eval-Avant impact'!$B$777,0),IF('Eval-Avant impact'!$A$778=A15, 'Eval-Avant impact'!$B$778,0),IF('Eval-Avant impact'!$A$779=A15, 'Eval-Avant impact'!$B$779,0),IF('Eval-Avant impact'!$A$780=A15, 'Eval-Avant impact'!$B$780,0))/COUNTIF('Eval-Avant impact'!$A$761:$A$780,A15),"")</f>
        <v/>
      </c>
      <c r="C15" s="212" t="str">
        <f>IF(COUNTIF('Eval-Avant impact'!$A$761:$A$780,A15)&gt;0,COUNTIF('Eval-Avant impact'!$A$761:$A$780,A15),"")</f>
        <v/>
      </c>
      <c r="D15" s="211" t="str">
        <f>IF(COUNTIF('Eval-Avant impact'!$A$761:$A$780,A15)&gt;0,IF(OR(AND('Eval-Avant impact'!$A$761=A15, 'Eval-Avant impact'!$G$761=""),AND('Eval-Avant impact'!$A$762=A15, 'Eval-Avant impact'!$G$762=""),AND('Eval-Avant impact'!$A$763=A15, 'Eval-Avant impact'!$G$763=""),AND('Eval-Avant impact'!$A$764=A15, 'Eval-Avant impact'!$G$764=""),AND('Eval-Avant impact'!$A$765=A15, 'Eval-Avant impact'!$G$765=""),AND('Eval-Avant impact'!$A$766=A15, 'Eval-Avant impact'!$G$766=""),AND('Eval-Avant impact'!$A$767=A15, 'Eval-Avant impact'!$G$767=""),AND('Eval-Avant impact'!$A$768=A15, 'Eval-Avant impact'!$G$768=""),AND('Eval-Avant impact'!$A$769=A15, 'Eval-Avant impact'!$G$769=""),AND('Eval-Avant impact'!$A$770=A15, 'Eval-Avant impact'!$G$770=""),AND('Eval-Avant impact'!$A$771=A15, 'Eval-Avant impact'!$G$771=""),AND('Eval-Avant impact'!$A$772=A15, 'Eval-Avant impact'!$G$772=""),AND('Eval-Avant impact'!$A$773=A15, 'Eval-Avant impact'!$G$773=""),AND('Eval-Avant impact'!$A$774=A15, 'Eval-Avant impact'!$G$774=""),AND('Eval-Avant impact'!$A$775=A15, 'Eval-Avant impact'!$G$775=""),AND('Eval-Avant impact'!$A$776=A15, 'Eval-Avant impact'!$G$776=""),AND('Eval-Avant impact'!$A$777=A15, 'Eval-Avant impact'!$G$777=""),AND('Eval-Avant impact'!$A$778=A15, 'Eval-Avant impact'!$G$778=""),AND('Eval-Avant impact'!$A$779=A15, 'Eval-Avant impact'!$G$779=""),AND('Eval-Avant impact'!$A$780=A15, 'Eval-Avant impact'!$G$780="")),"",SUM(IF('Eval-Avant impact'!$A$761=A15,'Eval-Avant impact'!$G$761,0),IF('Eval-Avant impact'!$A$762=A15,'Eval-Avant impact'!$G$762,0),IF('Eval-Avant impact'!$A$763=A15,'Eval-Avant impact'!$G$763,0),IF('Eval-Avant impact'!$A$764=A15,'Eval-Avant impact'!$G$764,0),IF('Eval-Avant impact'!$A$765=A15,'Eval-Avant impact'!$G$765,0),IF('Eval-Avant impact'!$A$766=A15,'Eval-Avant impact'!$G$766,0),IF('Eval-Avant impact'!$A$767=A15,'Eval-Avant impact'!$G$767,0),IF('Eval-Avant impact'!$A$768=A15,'Eval-Avant impact'!$G$768,0),IF('Eval-Avant impact'!$A$769=A15,'Eval-Avant impact'!$G$769,0),IF('Eval-Avant impact'!$A$770=A15,'Eval-Avant impact'!$G$770,0),IF('Eval-Avant impact'!$A$771=A15,'Eval-Avant impact'!$G$771,0),IF('Eval-Avant impact'!$A$772=A15,'Eval-Avant impact'!$G$772,0),IF('Eval-Avant impact'!$A$773=A15,'Eval-Avant impact'!$G$773,0),IF('Eval-Avant impact'!$A$774=A15,'Eval-Avant impact'!$G$774,0),IF('Eval-Avant impact'!$A$775=A15,'Eval-Avant impact'!$G$775,0), IF('Eval-Avant impact'!$A$776=A15,'Eval-Avant impact'!$G$776,0), IF('Eval-Avant impact'!$A$777=A15,'Eval-Avant impact'!$G$777,0), IF('Eval-Avant impact'!$A$778=A15,'Eval-Avant impact'!$G$778,0), IF('Eval-Avant impact'!$A$779=A15,'Eval-Avant impact'!$G$779,0), IF('Eval-Avant impact'!$A$780=A15,'Eval-Avant impact'!$G$780,0))/ COUNTIF('Eval-Avant impact'!$A$761:$A$780,A15)),"")</f>
        <v/>
      </c>
      <c r="E15" s="212" t="str">
        <f>IF(COUNTIF('Eval-Avant impact'!$A$761:$A$780,A15)&gt;0,IF(SUM(IF('Eval-Avant impact'!$A$761=A15,COUNTA('Eval-Avant impact'!$H$761),0),IF('Eval-Avant impact'!$A$762=A15,COUNTA('Eval-Avant impact'!$H$762),0),IF('Eval-Avant impact'!$A$763=A15,COUNTA('Eval-Avant impact'!$H$763),0),IF('Eval-Avant impact'!$A$764=A15,COUNTA('Eval-Avant impact'!$H$764),0),IF('Eval-Avant impact'!$A$765=A15,COUNTA('Eval-Avant impact'!$H$765),0),IF('Eval-Avant impact'!$A$766=A15,COUNTA('Eval-Avant impact'!$H$766),0),IF('Eval-Avant impact'!$A$767=A15,COUNTA('Eval-Avant impact'!$H$767),0),IF('Eval-Avant impact'!$A$768=A15,COUNTA('Eval-Avant impact'!$H$768),0),IF('Eval-Avant impact'!$A$769=A15,COUNTA('Eval-Avant impact'!$H$769),0),IF('Eval-Avant impact'!$A$770=A15,COUNTA('Eval-Avant impact'!$H$770),0),IF('Eval-Avant impact'!$A$771=A15,COUNTA('Eval-Avant impact'!$H$771),0),IF('Eval-Avant impact'!$A$772=A15,COUNTA('Eval-Avant impact'!$H$772),0),IF('Eval-Avant impact'!$A$773=A15,COUNTA('Eval-Avant impact'!$H$773),0),IF('Eval-Avant impact'!$A$774=A15,COUNTA('Eval-Avant impact'!$H$774),0),IF('Eval-Avant impact'!$A$775=A15,COUNTA('Eval-Avant impact'!$H$775),0),IF('Eval-Avant impact'!$A$776=A15,COUNTA('Eval-Avant impact'!$H$776),0),IF('Eval-Avant impact'!$A$777=A15,COUNTA('Eval-Avant impact'!$H$777),0),IF('Eval-Avant impact'!$A$778=A15,COUNTA('Eval-Avant impact'!$H$778),0),IF('Eval-Avant impact'!$A$779=A15,COUNTA('Eval-Avant impact'!$H$779),0),IF('Eval-Avant impact'!$A$780=A15,COUNTA('Eval-Avant impact'!$H$780),0))&gt;0,"X",0),"")</f>
        <v/>
      </c>
      <c r="F15" s="213" t="str">
        <f>IF(COUNTIF('Eval-Avant impact'!$A$761:$A$780,A15)&gt;0,IF(SUM(IF('Eval-Avant impact'!$A$761=A15,COUNTA('Eval-Avant impact'!$I$761),0),IF('Eval-Avant impact'!$A$762=A15,COUNTA('Eval-Avant impact'!$I$762),0),IF('Eval-Avant impact'!$A$763=A15,COUNTA('Eval-Avant impact'!$I$763),0),IF('Eval-Avant impact'!$A$764=A15,COUNTA('Eval-Avant impact'!$I$764),0),IF('Eval-Avant impact'!$A$765=A15,COUNTA('Eval-Avant impact'!$I$765),0),IF('Eval-Avant impact'!$A$766=A15,COUNTA('Eval-Avant impact'!$I$766),0),IF('Eval-Avant impact'!$A$767=A15,COUNTA('Eval-Avant impact'!$I$767),0),IF('Eval-Avant impact'!$A$768=A15,COUNTA('Eval-Avant impact'!$I$768),0),IF('Eval-Avant impact'!$A$769=A15,COUNTA('Eval-Avant impact'!$I$769),0),IF('Eval-Avant impact'!$A$770=A15,COUNTA('Eval-Avant impact'!$I$770),0),IF('Eval-Avant impact'!$A$771=A15,COUNTA('Eval-Avant impact'!$I$771),0),IF('Eval-Avant impact'!$A$772=A15,COUNTA('Eval-Avant impact'!$I$772),0),IF('Eval-Avant impact'!$A$773=A15,COUNTA('Eval-Avant impact'!$I$773),0),IF('Eval-Avant impact'!$A$774=A15,COUNTA('Eval-Avant impact'!$I$774),0),IF('Eval-Avant impact'!$A$775=A15,COUNTA('Eval-Avant impact'!$I$775),0),IF('Eval-Avant impact'!$A$776=A15,COUNTA('Eval-Avant impact'!$I$776),0),IF('Eval-Avant impact'!$A$777=A15,COUNTA('Eval-Avant impact'!$I$777),0),IF('Eval-Avant impact'!$A$778=A15,COUNTA('Eval-Avant impact'!$I$778),0),IF('Eval-Avant impact'!$A$779=A15,COUNTA('Eval-Avant impact'!$I$779),0),IF('Eval-Avant impact'!$A$780=A15,COUNTA('Eval-Avant impact'!$I$780),0))&gt;0,"X",0),"")</f>
        <v/>
      </c>
      <c r="G15" s="213" t="str">
        <f>IF(COUNTIF('Eval-Avant impact'!$A$761:$A$780,A15)&gt;0,IF(SUM(IF('Eval-Avant impact'!$A$761=A15,COUNTA('Eval-Avant impact'!$J$761),0),IF('Eval-Avant impact'!$A$762=A15,COUNTA('Eval-Avant impact'!$J$762),0),IF('Eval-Avant impact'!$A$763=A15,COUNTA('Eval-Avant impact'!$J$763),0),IF('Eval-Avant impact'!$A$764=A15,COUNTA('Eval-Avant impact'!$J$764),0),IF('Eval-Avant impact'!$A$765=A15,COUNTA('Eval-Avant impact'!$J$765),0),IF('Eval-Avant impact'!$A$766=A15,COUNTA('Eval-Avant impact'!$J$766),0),IF('Eval-Avant impact'!$A$767=A15,COUNTA('Eval-Avant impact'!$J$767),0),IF('Eval-Avant impact'!$A$768=A15,COUNTA('Eval-Avant impact'!$J$768),0),IF('Eval-Avant impact'!$A$769=A15,COUNTA('Eval-Avant impact'!$J$769),0),IF('Eval-Avant impact'!$A$770=A15,COUNTA('Eval-Avant impact'!$J$770),0),IF('Eval-Avant impact'!$A$771=A15,COUNTA('Eval-Avant impact'!$J$771),0),IF('Eval-Avant impact'!$A$772=A15,COUNTA('Eval-Avant impact'!$J$772),0),IF('Eval-Avant impact'!$A$773=A15,COUNTA('Eval-Avant impact'!$J$773),0),IF('Eval-Avant impact'!$A$774=A15,COUNTA('Eval-Avant impact'!$J$774),0),IF('Eval-Avant impact'!$A$775=A15,COUNTA('Eval-Avant impact'!$J$775),0),IF('Eval-Avant impact'!$A$776=A15,COUNTA('Eval-Avant impact'!$J$776),0),IF('Eval-Avant impact'!$A$777=A15,COUNTA('Eval-Avant impact'!$J$777),0),IF('Eval-Avant impact'!$A$778=A15,COUNTA('Eval-Avant impact'!$J$778),0),IF('Eval-Avant impact'!$A$779=A15,COUNTA('Eval-Avant impact'!$J$779),0),IF('Eval-Avant impact'!$A$780=A15,COUNTA('Eval-Avant impact'!$J$780),0))&gt;0,"X",0),"")</f>
        <v/>
      </c>
      <c r="H15" s="213" t="str">
        <f>IF(COUNTIF('Eval-Avant impact'!$A$761:$A$780,A15)&gt;0,IF(SUM(IF('Eval-Avant impact'!$A$761=A15,COUNTA('Eval-Avant impact'!$K$761),0),IF('Eval-Avant impact'!$A$762=A15,COUNTA('Eval-Avant impact'!$K$762),0),IF('Eval-Avant impact'!$A$763=A15,COUNTA('Eval-Avant impact'!$K$763),0),IF('Eval-Avant impact'!$A$764=A15,COUNTA('Eval-Avant impact'!$K$764),0),IF('Eval-Avant impact'!$A$765=A15,COUNTA('Eval-Avant impact'!$K$765),0),IF('Eval-Avant impact'!$A$766=A15,COUNTA('Eval-Avant impact'!$K$766),0),IF('Eval-Avant impact'!$A$767=A15,COUNTA('Eval-Avant impact'!$K$767),0),IF('Eval-Avant impact'!$A$768=A15,COUNTA('Eval-Avant impact'!$K$768),0),IF('Eval-Avant impact'!$A$769=A15,COUNTA('Eval-Avant impact'!$K$769),0),IF('Eval-Avant impact'!$A$770=A15,COUNTA('Eval-Avant impact'!$K$770),0),IF('Eval-Avant impact'!$A$771=A15,COUNTA('Eval-Avant impact'!$K$771),0),IF('Eval-Avant impact'!$A$772=A15,COUNTA('Eval-Avant impact'!$K$772),0),IF('Eval-Avant impact'!$A$773=A15,COUNTA('Eval-Avant impact'!$K$773),0),IF('Eval-Avant impact'!$A$774=A15,COUNTA('Eval-Avant impact'!$K$774),0),IF('Eval-Avant impact'!$A$775=A15,COUNTA('Eval-Avant impact'!$K$775),0),IF('Eval-Avant impact'!$A$776=A15,COUNTA('Eval-Avant impact'!$K$776),0),IF('Eval-Avant impact'!$A$777=A15,COUNTA('Eval-Avant impact'!$K$777),0),IF('Eval-Avant impact'!$A$778=A15,COUNTA('Eval-Avant impact'!$K$778),0),IF('Eval-Avant impact'!$A$779=A15,COUNTA('Eval-Avant impact'!$K$779),0),IF('Eval-Avant impact'!$A$780=A15,COUNTA('Eval-Avant impact'!$K$780),0))&gt;0,"X",0),"")</f>
        <v/>
      </c>
      <c r="I15" s="211" t="str">
        <f>IF(COUNTIF('Eval-Avant impact'!$A$761:$A$780,A15)&gt;0,IF(OR(AND('Eval-Avant impact'!$A$761=A15,'Eval-Avant impact'!$L$761&lt;120,'Eval-Avant impact'!$L$761&gt;=X9),AND('Eval-Avant impact'!$A$762=A15,'Eval-Avant impact'!$L$762&lt;120,'Eval-Avant impact'!$L$762&gt;=X10),AND('Eval-Avant impact'!$A$763=A15,'Eval-Avant impact'!$L$763&lt;120,'Eval-Avant impact'!$L$763&gt;=X11),AND('Eval-Avant impact'!$A$764=A15,'Eval-Avant impact'!$L$764&lt;120,'Eval-Avant impact'!$L$764&gt;=X12),AND('Eval-Avant impact'!$A$765=A15,'Eval-Avant impact'!$L$765&lt;120,'Eval-Avant impact'!$L$765&gt;=X13),AND('Eval-Avant impact'!$A$766=A15,'Eval-Avant impact'!$L$766&lt;120,'Eval-Avant impact'!$L$766&gt;=X14),AND('Eval-Avant impact'!$A$767=A15,'Eval-Avant impact'!$L$767&lt;120,'Eval-Avant impact'!$L$767&gt;=X15),AND('Eval-Avant impact'!$A$768=A15,'Eval-Avant impact'!$L$768&lt;120,'Eval-Avant impact'!$L$768&gt;=X16),AND('Eval-Avant impact'!$A$769=A15,'Eval-Avant impact'!$L$769&lt;120,'Eval-Avant impact'!$L$769&gt;=X17),AND('Eval-Avant impact'!$A$770=A15,'Eval-Avant impact'!$L$770&lt;120,'Eval-Avant impact'!$L$770&gt;=X18),AND('Eval-Avant impact'!$A$771=A15,'Eval-Avant impact'!$L$771&lt;120,'Eval-Avant impact'!$L$771&gt;=X19),AND('Eval-Avant impact'!$A$772=A15,'Eval-Avant impact'!$L$772&lt;120,'Eval-Avant impact'!$L$772&gt;=X20),AND('Eval-Avant impact'!$A$773=A15,'Eval-Avant impact'!$L$773&lt;120,'Eval-Avant impact'!$L$773&gt;=X21),AND('Eval-Avant impact'!$A$774=A15,'Eval-Avant impact'!$L$774&lt;120,'Eval-Avant impact'!$L$774&gt;=X22),AND('Eval-Avant impact'!$A$775=A15,'Eval-Avant impact'!$L$775&lt;120,'Eval-Avant impact'!$L$775&gt;=X23),AND('Eval-Avant impact'!$A$776=A15,'Eval-Avant impact'!$L$776&lt;120,'Eval-Avant impact'!$L$776&gt;=X24),AND('Eval-Avant impact'!$A$777=A15,'Eval-Avant impact'!$L$777&lt;120,'Eval-Avant impact'!$L$777&gt;=X25),AND('Eval-Avant impact'!$A$778=A15,'Eval-Avant impact'!$L$778&lt;120,'Eval-Avant impact'!$L$778&gt;=X26),AND('Eval-Avant impact'!$A$779=A15,'Eval-Avant impact'!$L$779&lt;120,'Eval-Avant impact'!$L$779&gt;=X27),AND('Eval-Avant impact'!$A$780=A15,'Eval-Avant impact'!$L$780&lt;120,'Eval-Avant impact'!$L$780&gt;=X28)),"",SUM(IF('Eval-Avant impact'!$A$761=A15,'Eval-Avant impact'!$L$761,0),IF('Eval-Avant impact'!$A$762=A15,'Eval-Avant impact'!$L$762,0),IF('Eval-Avant impact'!$A$763=A15,'Eval-Avant impact'!$L$763,0),IF('Eval-Avant impact'!$A$764=A15,'Eval-Avant impact'!$L$764,0),IF('Eval-Avant impact'!$A$765=A15,'Eval-Avant impact'!$L$765,0),IF('Eval-Avant impact'!$A$766=A15,'Eval-Avant impact'!$L$766,0),IF('Eval-Avant impact'!$A$767=A15,'Eval-Avant impact'!$L$767,0),IF('Eval-Avant impact'!$A$768=A15,'Eval-Avant impact'!$L$768,0),IF('Eval-Avant impact'!$A$769=A15,'Eval-Avant impact'!$L$769,0),IF('Eval-Avant impact'!$A$770=A15,'Eval-Avant impact'!$L$770,0),IF('Eval-Avant impact'!$A$771=A15,'Eval-Avant impact'!$L$771,0),IF('Eval-Avant impact'!$A$772=A15,'Eval-Avant impact'!$L$772,0),IF('Eval-Avant impact'!$A$773=A15,'Eval-Avant impact'!$L$773,0),IF('Eval-Avant impact'!$A$774=A15,'Eval-Avant impact'!$L$774,0),IF('Eval-Avant impact'!$A$775=A15,'Eval-Avant impact'!$L$775,0),IF('Eval-Avant impact'!$A$776=A15,'Eval-Avant impact'!$L$776,0),IF('Eval-Avant impact'!$A$777=A15,'Eval-Avant impact'!$L$777,0),IF('Eval-Avant impact'!$A$778=A15,'Eval-Avant impact'!$L$778,0),IF('Eval-Avant impact'!$A$779=A15,'Eval-Avant impact'!$L$779,0),IF('Eval-Avant impact'!$A$780=A15,'Eval-Avant impact'!$L$780,0))/ COUNTIF('Eval-Avant impact'!$A$761:$A$780,A15)),"")</f>
        <v/>
      </c>
      <c r="J15" s="211" t="str">
        <f>IF(COUNTIF('Eval-Avant impact'!$A$761:$A$780,A15)&gt;0,IF(OR(AND('Eval-Avant impact'!$A$761=A15, X9&lt;120),AND(X10&lt;120),AND(X11&lt;120),AND(X12&lt;120),AND(X13&lt;120),AND(X14&lt;120),AND(X15&lt;120),AND(X16&lt;120),AND(X17&lt;120),AND(X18&lt;120),AND(X19&lt;120),AND(X20&lt;120),AND(X21&lt;120),AND(X22&lt;120),AND(X23&lt;120),AND(X24&lt;120),AND(X25&lt;120),AND(X26&lt;120),AND(X27&lt;120),AND(X28&lt;120)),"",SUM(IF('Eval-Avant impact'!$A$761=A15,'Eval-Avant impact'!$M$761,0),IF('Eval-Avant impact'!$A$762=A15,'Eval-Avant impact'!$M$762,0),IF('Eval-Avant impact'!$A$763=A15,'Eval-Avant impact'!$M$763,0),IF('Eval-Avant impact'!$A$764=A15,'Eval-Avant impact'!$M$764,0),IF('Eval-Avant impact'!$A$765=A15,'Eval-Avant impact'!$M$765,0),IF('Eval-Avant impact'!$A$766=A15,'Eval-Avant impact'!$M$766,0),IF('Eval-Avant impact'!$A$767=A15,'Eval-Avant impact'!$M$767,0),IF('Eval-Avant impact'!$A$768=A15,'Eval-Avant impact'!$M$768,0),IF('Eval-Avant impact'!$A$769=A15,'Eval-Avant impact'!$M$769,0),IF('Eval-Avant impact'!$A$770=A15,'Eval-Avant impact'!$M$770,0),IF('Eval-Avant impact'!$A$771=A15,'Eval-Avant impact'!$M$771,0),IF('Eval-Avant impact'!$A$772=A15,'Eval-Avant impact'!$M$772,0),IF('Eval-Avant impact'!$A$773=A15,'Eval-Avant impact'!$M$773,0),IF('Eval-Avant impact'!$A$774=A15,'Eval-Avant impact'!$M$774,0),IF('Eval-Avant impact'!$A$775=A15,'Eval-Avant impact'!$M$775,0), IF('Eval-Avant impact'!$A$776=A15,'Eval-Avant impact'!$M$776,0), IF('Eval-Avant impact'!$A$777=A15,'Eval-Avant impact'!$M$777,0), IF('Eval-Avant impact'!$A$778=A15,'Eval-Avant impact'!$M$778,0), IF('Eval-Avant impact'!$A$779=A15,'Eval-Avant impact'!$M$779,0), IF('Eval-Avant impact'!$A$780=A15,'Eval-Avant impact'!$M$780,0))/COUNTIF('Eval-Avant impact'!$A$761:$A$780,A15)),"")</f>
        <v/>
      </c>
      <c r="K15" s="211" t="str">
        <f>IF(COUNTIF('Eval-Avant impact'!$A$761:$A$780,A15)&gt;0,SUM(IF('Eval-Avant impact'!$A$761=A15,LEN(SUBSTITUTE((SUBSTITUTE(Z9,"TM","")),"TS",""))*10/2,0),IF('Eval-Avant impact'!$A$762=A15,LEN(SUBSTITUTE((SUBSTITUTE(Z10,"TM","")),"TS",""))*10/2,0),IF('Eval-Avant impact'!$A$763=A15,LEN(SUBSTITUTE((SUBSTITUTE(Z11,"TM","")),"TS",""))*10/2,0),IF('Eval-Avant impact'!$A$764=A15,LEN(SUBSTITUTE((SUBSTITUTE(Z12,"TM","")),"TS",""))*10/2,0),IF('Eval-Avant impact'!$A$765=A15,LEN(SUBSTITUTE((SUBSTITUTE(Z13,"TM","")),"TS",""))*10/2,0),IF('Eval-Avant impact'!$A$766=A15,LEN(SUBSTITUTE((SUBSTITUTE(Z14,"TM","")),"TS",""))*10/2,0),IF('Eval-Avant impact'!$A$767=A15,LEN(SUBSTITUTE((SUBSTITUTE(Z15,"TM","")),"TS",""))*10/2,0),IF('Eval-Avant impact'!$A$768=A15,LEN(SUBSTITUTE((SUBSTITUTE(Z16,"TM","")),"TS",""))*10/2,0),IF('Eval-Avant impact'!$A$769=A15,LEN(SUBSTITUTE((SUBSTITUTE(Z17,"TM","")),"TS",""))*10/2,0),IF('Eval-Avant impact'!$A$770=A15,LEN(SUBSTITUTE((SUBSTITUTE(Z18,"TM","")),"TS",""))*10/2,0),IF('Eval-Avant impact'!$A$771=A15,LEN(SUBSTITUTE((SUBSTITUTE(Z19,"TM","")),"TS",""))*10/2,0),IF('Eval-Avant impact'!$A$772=A15,LEN(SUBSTITUTE((SUBSTITUTE(Z20,"TM","")),"TS",""))*10/2,0),IF('Eval-Avant impact'!$A$773=A15,LEN(SUBSTITUTE((SUBSTITUTE(Z21,"TM","")),"TS",""))*10/2,0),IF('Eval-Avant impact'!$A$774=A15,LEN(SUBSTITUTE((SUBSTITUTE(Z22,"TM","")),"TS",""))*10/2,0),IF('Eval-Avant impact'!$A$775=A15,LEN(SUBSTITUTE((SUBSTITUTE(Z23,"TM","")),"TS",""))*10/2,0),IF('Eval-Avant impact'!$A$776=A15,LEN(SUBSTITUTE((SUBSTITUTE(Z24,"TM","")),"TS",""))*10/2,0),IF('Eval-Avant impact'!$A$777=A15,LEN(SUBSTITUTE((SUBSTITUTE(Z25,"TM","")),"TS",""))*10/2,0),IF('Eval-Avant impact'!$A$778=A15,LEN(SUBSTITUTE((SUBSTITUTE(Z26,"TM","")),"TS",""))*10/2,0),IF('Eval-Avant impact'!$A$779=A15,LEN(SUBSTITUTE((SUBSTITUTE(Z27,"TM","")),"TS",""))*10/2,0),IF('Eval-Avant impact'!$A$780=A15,LEN(SUBSTITUTE((SUBSTITUTE(Z28,"TM","")),"TS",""))*10/2,0))/COUNTIF('Eval-Avant impact'!$A$761:$A$780,A15),"")</f>
        <v/>
      </c>
      <c r="L15" s="211" t="str">
        <f>IF(COUNTIF('Eval-Avant impact'!$A$761:$A$780,A15)&gt;0,SUM(IF('Eval-Avant impact'!$A$761=A15,LEN(SUBSTITUTE((SUBSTITUTE(Z9,"TF","")),"TS",""))*10/2,0),IF('Eval-Avant impact'!$A$762=A15,LEN(SUBSTITUTE((SUBSTITUTE(Z10,"TF","")),"TS",""))*10/2,0),IF('Eval-Avant impact'!$A$763=A15,LEN(SUBSTITUTE((SUBSTITUTE(Z11,"TF","")),"TS",""))*10/2,0),IF('Eval-Avant impact'!$A$764=A15,LEN(SUBSTITUTE((SUBSTITUTE(Z12,"TF","")),"TS",""))*10/2,0),IF('Eval-Avant impact'!$A$765=A15,LEN(SUBSTITUTE((SUBSTITUTE(Z13,"TF","")),"TS",""))*10/2,0),IF('Eval-Avant impact'!$A$766=A15,LEN(SUBSTITUTE((SUBSTITUTE(Z14,"TF","")),"TS",""))*10/2,0),IF('Eval-Avant impact'!$A$767=A15,LEN(SUBSTITUTE((SUBSTITUTE(Z15,"TF","")),"TS",""))*10/2,0),IF('Eval-Avant impact'!$A$768=A15,LEN(SUBSTITUTE((SUBSTITUTE(Z16,"TF","")),"TS",""))*10/2,0),IF('Eval-Avant impact'!$A$769=A15,LEN(SUBSTITUTE((SUBSTITUTE(Z17,"TF","")),"TS",""))*10/2,0),IF('Eval-Avant impact'!$A$770=A15,LEN(SUBSTITUTE((SUBSTITUTE(Z18,"TF","")),"TS",""))*10/2,0),IF('Eval-Avant impact'!$A$771=A15,LEN(SUBSTITUTE((SUBSTITUTE(Z19,"TF","")),"TS",""))*10/2,0),IF('Eval-Avant impact'!$A$772=A15,LEN(SUBSTITUTE((SUBSTITUTE(Z20,"TF","")),"TS",""))*10/2,0),IF('Eval-Avant impact'!$A$773=A15,LEN(SUBSTITUTE((SUBSTITUTE(Z21,"TF","")),"TS",""))*10/2,0),IF('Eval-Avant impact'!$A$774=A15,LEN(SUBSTITUTE((SUBSTITUTE(Z22,"TF","")),"TS",""))*10/2,0),IF('Eval-Avant impact'!$A$775=A15,LEN(SUBSTITUTE((SUBSTITUTE(Z23,"TF","")),"TS",""))*10/2,0),IF('Eval-Avant impact'!$A$776=A15,LEN(SUBSTITUTE((SUBSTITUTE(Z24,"TF","")),"TS",""))*10/2,0),IF('Eval-Avant impact'!$A$777=A15,LEN(SUBSTITUTE((SUBSTITUTE(Z25,"TF","")),"TS",""))*10/2,0),IF('Eval-Avant impact'!$A$778=A15,LEN(SUBSTITUTE((SUBSTITUTE(Z26,"TF","")),"TS",""))*10/2,0),IF('Eval-Avant impact'!$A$779=A15,LEN(SUBSTITUTE((SUBSTITUTE(Z27,"TF","")),"TS",""))*10/2,0),IF('Eval-Avant impact'!$A$780=A15,LEN(SUBSTITUTE((SUBSTITUTE(Z28,"TF","")),"TS",""))*10/2,0))/COUNTIF('Eval-Avant impact'!$A$761:$A$780,A15),"")</f>
        <v/>
      </c>
      <c r="M15" s="211" t="str">
        <f>IF(COUNTIF('Eval-Avant impact'!$A$761:$A$780,A15)&gt;0,SUM(IF('Eval-Avant impact'!$A$761=A15,LEN(SUBSTITUTE((SUBSTITUTE(Z9,"TF","")),"TM",""))*10/2,0),IF('Eval-Avant impact'!$A$762=A15,LEN(SUBSTITUTE((SUBSTITUTE(Z10,"TF","")),"TM",""))*10/2,0),IF('Eval-Avant impact'!$A$763=A15,LEN(SUBSTITUTE((SUBSTITUTE(Z11,"TF","")),"TM",""))*10/2,0),IF('Eval-Avant impact'!$A$764=A15,LEN(SUBSTITUTE((SUBSTITUTE(Z12,"TF","")),"TM",""))*10/2,0),IF('Eval-Avant impact'!$A$765=A15,LEN(SUBSTITUTE((SUBSTITUTE(Z13,"TF","")),"TM",""))*10/2,0),IF('Eval-Avant impact'!$A$766=A15,LEN(SUBSTITUTE((SUBSTITUTE(Z14,"TF","")),"TM",""))*10/2,0),IF('Eval-Avant impact'!$A$767=A15,LEN(SUBSTITUTE((SUBSTITUTE(Z15,"TF","")),"TM",""))*10/2,0),IF('Eval-Avant impact'!$A$768=A15,LEN(SUBSTITUTE((SUBSTITUTE(Z16,"TF","")),"TM",""))*10/2,0),IF('Eval-Avant impact'!$A$769=A15,LEN(SUBSTITUTE((SUBSTITUTE(Z17,"TF","")),"TM",""))*10/2,0),IF('Eval-Avant impact'!$A$770=A15,LEN(SUBSTITUTE((SUBSTITUTE(Z18,"TF","")),"TM",""))*10/2,0),IF('Eval-Avant impact'!$A$771=A15,LEN(SUBSTITUTE((SUBSTITUTE(Z19,"TF","")),"TM",""))*10/2,0),IF('Eval-Avant impact'!$A$772=A15,LEN(SUBSTITUTE((SUBSTITUTE(Z20,"TF","")),"TM",""))*10/2,0),IF('Eval-Avant impact'!$A$773=A15,LEN(SUBSTITUTE((SUBSTITUTE(Z21,"TF","")),"TM",""))*10/2,0),IF('Eval-Avant impact'!$A$774=A15,LEN(SUBSTITUTE((SUBSTITUTE(Z22,"TF","")),"TM",""))*10/2,0),IF('Eval-Avant impact'!$A$775=A15,LEN(SUBSTITUTE((SUBSTITUTE(Z23,"TF","")),"TM",""))*10/2,0),IF('Eval-Avant impact'!$A$776=A15,LEN(SUBSTITUTE((SUBSTITUTE(Z24,"TF","")),"TM",""))*10/2,0),IF('Eval-Avant impact'!$A$777=A15,LEN(SUBSTITUTE((SUBSTITUTE(Z25,"TF","")),"TM",""))*10/2,0),IF('Eval-Avant impact'!$A$778=A15,LEN(SUBSTITUTE((SUBSTITUTE(Z26,"TF","")),"TM",""))*10/2,0),IF('Eval-Avant impact'!$A$779=A15,LEN(SUBSTITUTE((SUBSTITUTE(Z27,"TF","")),"TM",""))*10/2,0),IF('Eval-Avant impact'!$A$780=A15,LEN(SUBSTITUTE((SUBSTITUTE(Z28,"TF","")),"TM",""))*10/2,0))/COUNTIF('Eval-Avant impact'!$A$761:$A$780,A15),"")</f>
        <v/>
      </c>
      <c r="N15" s="211" t="str">
        <f>IF(COUNTIF('Eval-Avant impact'!$A$761:$A$780,A15)&gt;0,SUM(IF('Eval-Avant impact'!$A$761=A15,LEN(SUBSTITUTE((SUBSTITUTE(AA9,"TM","")),"TS",""))*10/2,0),IF('Eval-Avant impact'!$A$762=A15,LEN(SUBSTITUTE((SUBSTITUTE(AA10,"TM","")),"TS",""))*10/2,0),IF('Eval-Avant impact'!$A$763=A15,LEN(SUBSTITUTE((SUBSTITUTE(AA11,"TM","")),"TS",""))*10/2,0),IF('Eval-Avant impact'!$A$764=A15,LEN(SUBSTITUTE((SUBSTITUTE(AA12,"TM","")),"TS",""))*10/2,0),IF('Eval-Avant impact'!$A$765=A15,LEN(SUBSTITUTE((SUBSTITUTE(AA13,"TM","")),"TS",""))*10/2,0),IF('Eval-Avant impact'!$A$766=A15,LEN(SUBSTITUTE((SUBSTITUTE(AA14,"TM","")),"TS",""))*10/2,0),IF('Eval-Avant impact'!$A$767=A15,LEN(SUBSTITUTE((SUBSTITUTE(AA15,"TM","")),"TS",""))*10/2,0),IF('Eval-Avant impact'!$A$768=A15,LEN(SUBSTITUTE((SUBSTITUTE(AA16,"TM","")),"TS",""))*10/2,0),IF('Eval-Avant impact'!$A$769=A15,LEN(SUBSTITUTE((SUBSTITUTE(AA17,"TM","")),"TS",""))*10/2,0),IF('Eval-Avant impact'!$A$770=A15,LEN(SUBSTITUTE((SUBSTITUTE(AA18,"TM","")),"TS",""))*10/2,0),IF('Eval-Avant impact'!$A$771=A15,LEN(SUBSTITUTE((SUBSTITUTE(AA19,"TM","")),"TS",""))*10/2,0),IF('Eval-Avant impact'!$A$772=A15,LEN(SUBSTITUTE((SUBSTITUTE(AA20,"TM","")),"TS",""))*10/2,0),IF('Eval-Avant impact'!$A$773=A15,LEN(SUBSTITUTE((SUBSTITUTE(AA21,"TM","")),"TS",""))*10/2,0),IF('Eval-Avant impact'!$A$774=A15,LEN(SUBSTITUTE((SUBSTITUTE(AA22,"TM","")),"TS",""))*10/2,0),IF('Eval-Avant impact'!$A$775=A15,LEN(SUBSTITUTE((SUBSTITUTE(AA23,"TM","")),"TS",""))*10/2,0),IF('Eval-Avant impact'!$A$776=A15,LEN(SUBSTITUTE((SUBSTITUTE(AA24,"TM","")),"TS",""))*10/2,0),IF('Eval-Avant impact'!$A$777=A15,LEN(SUBSTITUTE((SUBSTITUTE(AA25,"TM","")),"TS",""))*10/2,0),IF('Eval-Avant impact'!$A$778=A15,LEN(SUBSTITUTE((SUBSTITUTE(AA26,"TM","")),"TS",""))*10/2,0),IF('Eval-Avant impact'!$A$779=A15,LEN(SUBSTITUTE((SUBSTITUTE(AA27,"TM","")),"TS",""))*10/2,0),IF('Eval-Avant impact'!$A$780=A15,LEN(SUBSTITUTE((SUBSTITUTE(AA28,"TM","")),"TS",""))*10/2,0))/COUNTIF('Eval-Avant impact'!$A$761:$A$780,A15),"")</f>
        <v/>
      </c>
      <c r="O15" s="211" t="str">
        <f>IF(COUNTIF('Eval-Avant impact'!$A$761:$A$780,A15)&gt;0,SUM(IF('Eval-Avant impact'!$A$761=A15,LEN(SUBSTITUTE((SUBSTITUTE(AA9,"TF","")),"TS",""))*10/2,0),IF('Eval-Avant impact'!$A$762=A15,LEN(SUBSTITUTE((SUBSTITUTE(AA10,"TF","")),"TS",""))*10/2,0),IF('Eval-Avant impact'!$A$763=A15,LEN(SUBSTITUTE((SUBSTITUTE(AA11,"TF","")),"TS",""))*10/2,0),IF('Eval-Avant impact'!$A$764=A15,LEN(SUBSTITUTE((SUBSTITUTE(AA12,"TF","")),"TS",""))*10/2,0),IF('Eval-Avant impact'!$A$765=A15,LEN(SUBSTITUTE((SUBSTITUTE(AA13,"TF","")),"TS",""))*10/2,0),IF('Eval-Avant impact'!$A$766=A15,LEN(SUBSTITUTE((SUBSTITUTE(AA14,"TF","")),"TS",""))*10/2,0),IF('Eval-Avant impact'!$A$767=A15,LEN(SUBSTITUTE((SUBSTITUTE(AA15,"TF","")),"TS",""))*10/2,0),IF('Eval-Avant impact'!$A$768=A15,LEN(SUBSTITUTE((SUBSTITUTE(AA16,"TF","")),"TS",""))*10/2,0),IF('Eval-Avant impact'!$A$769=A15,LEN(SUBSTITUTE((SUBSTITUTE(AA17,"TF","")),"TS",""))*10/2,0),IF('Eval-Avant impact'!$A$770=A15,LEN(SUBSTITUTE((SUBSTITUTE(AA18,"TF","")),"TS",""))*10/2,0),IF('Eval-Avant impact'!$A$771=A15,LEN(SUBSTITUTE((SUBSTITUTE(AA19,"TF","")),"TS",""))*10/2,0),IF('Eval-Avant impact'!$A$772=A15,LEN(SUBSTITUTE((SUBSTITUTE(AA20,"TF","")),"TS",""))*10/2,0),IF('Eval-Avant impact'!$A$773=A15,LEN(SUBSTITUTE((SUBSTITUTE(AA21,"TF","")),"TS",""))*10/2,0),IF('Eval-Avant impact'!$A$774=A15,LEN(SUBSTITUTE((SUBSTITUTE(AA22,"TF","")),"TS",""))*10/2,0),IF('Eval-Avant impact'!$A$775=A15,LEN(SUBSTITUTE((SUBSTITUTE(AA23,"TF","")),"TS",""))*10/2,0),IF('Eval-Avant impact'!$A$776=A15,LEN(SUBSTITUTE((SUBSTITUTE(AA24,"TF","")),"TS",""))*10/2,0),IF('Eval-Avant impact'!$A$777=A15,LEN(SUBSTITUTE((SUBSTITUTE(AA25,"TF","")),"TS",""))*10/2,0),IF('Eval-Avant impact'!$A$778=A15,LEN(SUBSTITUTE((SUBSTITUTE(AA26,"TF","")),"TS",""))*10/2,0),IF('Eval-Avant impact'!$A$779=A15,LEN(SUBSTITUTE((SUBSTITUTE(AA27,"TF","")),"TS",""))*10/2,0),IF('Eval-Avant impact'!$A$780=A15,LEN(SUBSTITUTE((SUBSTITUTE(AA28,"TF","")),"TS",""))*10/2,0))/COUNTIF('Eval-Avant impact'!$A$761:$A$780,A15),"")</f>
        <v/>
      </c>
      <c r="P15" s="211" t="str">
        <f>IF(COUNTIF('Eval-Avant impact'!$A$761:$A$780,A15)&gt;0,SUM(IF('Eval-Avant impact'!$A$761=A15,LEN(SUBSTITUTE((SUBSTITUTE(AA9,"TF","")),"TM",""))*10/2,0),IF('Eval-Avant impact'!$A$762=A15,LEN(SUBSTITUTE((SUBSTITUTE(AA10,"TF","")),"TM",""))*10/2,0),IF('Eval-Avant impact'!$A$763=A15,LEN(SUBSTITUTE((SUBSTITUTE(AA11,"TF","")),"TM",""))*10/2,0),IF('Eval-Avant impact'!$A$764=A15,LEN(SUBSTITUTE((SUBSTITUTE(AA12,"TF","")),"TM",""))*10/2,0),IF('Eval-Avant impact'!$A$765=A15,LEN(SUBSTITUTE((SUBSTITUTE(AA13,"TF","")),"TM",""))*10/2,0),IF('Eval-Avant impact'!$A$766=A15,LEN(SUBSTITUTE((SUBSTITUTE(AA14,"TF","")),"TM",""))*10/2,0),IF('Eval-Avant impact'!$A$767=A15,LEN(SUBSTITUTE((SUBSTITUTE(AA15,"TF","")),"TM",""))*10/2,0),IF('Eval-Avant impact'!$A$768=A15,LEN(SUBSTITUTE((SUBSTITUTE(AA16,"TF","")),"TM",""))*10/2,0),IF('Eval-Avant impact'!$A$769=A15,LEN(SUBSTITUTE((SUBSTITUTE(AA17,"TF","")),"TM",""))*10/2,0),IF('Eval-Avant impact'!$A$770=A15,LEN(SUBSTITUTE((SUBSTITUTE(AA18,"TF","")),"TM",""))*10/2,0),IF('Eval-Avant impact'!$A$771=A15,LEN(SUBSTITUTE((SUBSTITUTE(AA19,"TF","")),"TM",""))*10/2,0),IF('Eval-Avant impact'!$A$772=A15,LEN(SUBSTITUTE((SUBSTITUTE(AA20,"TF","")),"TM",""))*10/2,0),IF('Eval-Avant impact'!$A$773=A15,LEN(SUBSTITUTE((SUBSTITUTE(AA21,"TF","")),"TM",""))*10/2,0),IF('Eval-Avant impact'!$A$774=A15,LEN(SUBSTITUTE((SUBSTITUTE(AA22,"TF","")),"TM",""))*10/2,0),IF('Eval-Avant impact'!$A$775=A15,LEN(SUBSTITUTE((SUBSTITUTE(AA23,"TF","")),"TM",""))*10/2,0),IF('Eval-Avant impact'!$A$776=A15,LEN(SUBSTITUTE((SUBSTITUTE(AA24,"TF","")),"TM",""))*10/2,0),IF('Eval-Avant impact'!$A$777=A15,LEN(SUBSTITUTE((SUBSTITUTE(AA25,"TF","")),"TM",""))*10/2,0),IF('Eval-Avant impact'!$A$778=A15,LEN(SUBSTITUTE((SUBSTITUTE(AA26,"TF","")),"TM",""))*10/2,0),IF('Eval-Avant impact'!$A$779=A15,LEN(SUBSTITUTE((SUBSTITUTE(AA27,"TF","")),"TM",""))*10/2,0),IF('Eval-Avant impact'!$A$780=A15,LEN(SUBSTITUTE((SUBSTITUTE(AA28,"TF","")),"TM",""))*10/2,0))/COUNTIF('Eval-Avant impact'!$A$761:$A$780,A15),"")</f>
        <v/>
      </c>
      <c r="Q15" s="211" t="str">
        <f>IF(COUNTIF('Eval-Avant impact'!$A$761:$A$780,A15)&gt;0,IF(OR(AND('Eval-Avant impact'!$A$761=A15,X9&lt;30),AND('Eval-Avant impact'!$A$762=A15,X10&lt;30),AND('Eval-Avant impact'!$A$763=A15,X11&lt;30),AND('Eval-Avant impact'!$A$764=A15,X12&lt;30),AND('Eval-Avant impact'!$A$765=A15,X13&lt;30),AND('Eval-Avant impact'!$A$766=A15,X14&lt;30),AND('Eval-Avant impact'!$A$767=A15,X15&lt;30),AND('Eval-Avant impact'!$A$768=A15,X16&lt;30),AND('Eval-Avant impact'!$A$769=A15,X17&lt;30),AND('Eval-Avant impact'!$A$770=A15,X18&lt;30),AND('Eval-Avant impact'!$A$771=A15,X19&lt;30),AND('Eval-Avant impact'!$A$772=A15,X20&lt;30),AND('Eval-Avant impact'!$A$773=A15,X21&lt;30),AND('Eval-Avant impact'!$A$774=A15,X22&lt;30),AND('Eval-Avant impact'!$A$775=A15,X23&lt;30),AND('Eval-Avant impact'!$A$776=A15,X24&lt;30),AND('Eval-Avant impact'!$A$777=A15,X25&lt;30),AND('Eval-Avant impact'!$A$778=A15,X26&lt;30),AND('Eval-Avant impact'!$A$779=A15,X27&lt;30),AND('Eval-Avant impact'!$A$780=A15,X28&lt;30)),"",SUM(0.1*(SUMPRODUCT(('Eval-Avant impact'!$A$761:$A$780=A15)*('Eval-Avant impact'!$N$761:$P$780="A"))+ SUMPRODUCT(('Eval-Avant impact'!$A$761:$A$780=A15)*('Eval-Avant impact'!$N$761:$P$780="AL"))),0.7*(SUMPRODUCT(('Eval-Avant impact'!$A$761:$A$780=A15)*('Eval-Avant impact'!$N$761:$P$780="TF"))+SUMPRODUCT(('Eval-Avant impact'!$A$761:$A$780=A15)*('Eval-Avant impact'!$N$761:$P$780="TM"))+SUMPRODUCT(('Eval-Avant impact'!$A$761:$A$780=A15)*('Eval-Avant impact'!$N$761:$P$780="TS"))),0.4*(SUMPRODUCT(('Eval-Avant impact'!$A$761:$A$780=A15)*('Eval-Avant impact'!$N$761:$P$780="LA"))+SUMPRODUCT(('Eval-Avant impact'!$A$761:$A$780=A15)*('Eval-Avant impact'!$N$761:$P$780="L"))+SUMPRODUCT(('Eval-Avant impact'!$A$761:$A$780=A15)*('Eval-Avant impact'!$N$761:$P$780="LS"))),1*(SUMPRODUCT(('Eval-Avant impact'!$A$761:$A$780=A15)*('Eval-Avant impact'!$N$761:$P$780="SL"))+ SUMPRODUCT(('Eval-Avant impact'!$A$761:$A$780=A15)*('Eval-Avant impact'!$N$761:$P$780="S"))))/(3*COUNTIF('Eval-Avant impact'!$A$761:$A$780,A15))),"")</f>
        <v/>
      </c>
      <c r="R15" s="211" t="str">
        <f>IF(COUNTIF('Eval-Avant impact'!$A$761:$A$780,A15)&gt;0,IF(OR(AND('Eval-Avant impact'!$A$761=A15,X9&lt;120),AND('Eval-Avant impact'!$A$762=A15,X10&lt;120),AND('Eval-Avant impact'!$A$763=A15,X11&lt;120),AND('Eval-Avant impact'!$A$764=A15,X12&lt;120),AND('Eval-Avant impact'!$A$765=A15,X13&lt;120),AND('Eval-Avant impact'!$A$766=A15,X14&lt;120),AND('Eval-Avant impact'!$A$767=A15,X15&lt;120),AND('Eval-Avant impact'!$A$768=A15,X16&lt;120),AND('Eval-Avant impact'!$A$769=A15,X17&lt;120),AND('Eval-Avant impact'!$A$770=A15,X18&lt;120),AND('Eval-Avant impact'!$A$771=A15,X19&lt;120),AND('Eval-Avant impact'!$A$772=A15,X20&lt;120),AND('Eval-Avant impact'!$A$773=A15,X21&lt;120),AND('Eval-Avant impact'!$A$774=A15,X22&lt;120),AND('Eval-Avant impact'!$A$775=A15,X23&lt;120),AND('Eval-Avant impact'!$A$776=A15,X24&lt;120),AND('Eval-Avant impact'!$A$777=A15,X25&lt;120),AND('Eval-Avant impact'!$A$778=A15,X26&lt;120),AND('Eval-Avant impact'!$A$779=A15,X27&lt;120),AND('Eval-Avant impact'!$A$780=A15,X28&lt;120)),"",SUM(0.1*(SUMPRODUCT(('Eval-Avant impact'!$A$761:$A$780=A15)*('Eval-Avant impact'!$Q$761:$Y$780="A"))+ SUMPRODUCT(('Eval-Avant impact'!$A$761:$A$780=A15)*('Eval-Avant impact'!$Q$761:$Y$780="AL"))),0.7*(SUMPRODUCT(('Eval-Avant impact'!$A$761:$A$780=A15)*('Eval-Avant impact'!$Q$761:$Y$780="TF"))+SUMPRODUCT(('Eval-Avant impact'!$A$761:$A$780=A15)*('Eval-Avant impact'!$Q$761:$Y$780="TM"))+SUMPRODUCT(('Eval-Avant impact'!$A$761:$A$780=A15)*('Eval-Avant impact'!$Q$761:$Y$780="TS"))),0.4*(SUMPRODUCT(('Eval-Avant impact'!$A$761:$A$780=A15)*('Eval-Avant impact'!$Q$761:$Y$780="LA"))+SUMPRODUCT(('Eval-Avant impact'!$A$761:$A$780=A15)*('Eval-Avant impact'!$Q$761:$Y$780="L"))+SUMPRODUCT(('Eval-Avant impact'!$A$761:$A$780=A15)*('Eval-Avant impact'!$Q$761:$Y$780="LS"))),1*(SUMPRODUCT(('Eval-Avant impact'!$A$761:$A$780=A15)*('Eval-Avant impact'!$Q$761:$Y$780="SL"))+ SUMPRODUCT(('Eval-Avant impact'!$A$761:$A$780=A15)*('Eval-Avant impact'!$Q$761:$Y$780="S"))))/(9*COUNTIF('Eval-Avant impact'!$A$761:$A$780,A15))),"")</f>
        <v/>
      </c>
      <c r="S15" s="211" t="str">
        <f>IF(COUNTIF('Eval-Avant impact'!$A$761:$A$780,A15)&gt;0,IF(OR(AND('Eval-Avant impact'!$A$761=A15,OR(COUNTIF('Eval-Avant impact'!$N$761:$P$761,"*T*")&gt;0,X9&lt;30)),AND('Eval-Avant impact'!$A$762=A15,OR(COUNTIF('Eval-Avant impact'!$N$762:$P$762,"*T*")&gt;0,X10&lt;30)),AND('Eval-Avant impact'!$A$763=A15,OR(COUNTIF('Eval-Avant impact'!$N$763:$P$763,"*T*")&gt;0,X11&lt;30)),AND('Eval-Avant impact'!$A$764=A15,OR(COUNTIF('Eval-Avant impact'!$N$764:$P$764,"*T*")&gt;0,X12&lt;30)),AND('Eval-Avant impact'!$A$765=A15,OR(COUNTIF('Eval-Avant impact'!$N$765:$P$765,"*T*")&gt;0,X13&lt;30)),AND('Eval-Avant impact'!$A$766=A15,OR(COUNTIF('Eval-Avant impact'!$N$766:$P$766,"*T*")&gt;0,X14&lt;30)),AND('Eval-Avant impact'!$A$767=A15,OR(COUNTIF('Eval-Avant impact'!$N$767:$P$767,"*T*")&gt;0,X15&lt;30)),AND('Eval-Avant impact'!$A$768=A15,OR(COUNTIF('Eval-Avant impact'!$N$768:$P$768,"*T*")&gt;0,X16&lt;30)),AND('Eval-Avant impact'!$A$769=A15,OR(COUNTIF('Eval-Avant impact'!$N$769:$P$769,"*T*")&gt;0,X17&lt;30)),AND('Eval-Avant impact'!$A$770=A15,OR(COUNTIF('Eval-Avant impact'!$N$770:$P$770,"*T*")&gt;0,X18&lt;30)),AND('Eval-Avant impact'!$A$771=A15,OR(COUNTIF('Eval-Avant impact'!$N$771:$P$771,"*T*")&gt;0,X19&lt;30)),AND('Eval-Avant impact'!$A$772=A15,OR(COUNTIF('Eval-Avant impact'!$N$772:$P$772,"*T*")&gt;0,X20&lt;30)),AND('Eval-Avant impact'!$A$773=A15,OR(COUNTIF('Eval-Avant impact'!$N$773:$P$773,"*T*")&gt;0,X21&lt;30)),AND('Eval-Avant impact'!$A$774=A15,OR(COUNTIF('Eval-Avant impact'!$N$774:$P$774,"*T*")&gt;0,X22&lt;30)),AND('Eval-Avant impact'!$A$775=A15,OR(COUNTIF('Eval-Avant impact'!$N$775:$P$775,"*T*")&gt;0,X23&lt;30)),AND('Eval-Avant impact'!$A$776=A15,OR(COUNTIF('Eval-Avant impact'!$N$776:$P$776,"*T*")&gt;0,X24&lt;30)),AND('Eval-Avant impact'!$A$777=A15,OR(COUNTIF('Eval-Avant impact'!$N$777:$P$777,"*T*")&gt;0,X25&lt;30)),AND('Eval-Avant impact'!$A$778=A15,OR(COUNTIF('Eval-Avant impact'!$N$778:$P$778,"*T*")&gt;0,X26&lt;30)),AND('Eval-Avant impact'!$A$779=A15,OR(COUNTIF('Eval-Avant impact'!$N$779:$P$779,"*T*")&gt;0,X27&lt;30)),AND('Eval-Avant impact'!$A$780=A15,OR(COUNTIF('Eval-Avant impact'!$N$780:$P$780,"*T*")&gt;0,X28&lt;30))),"",SUM(0.1*(SUMPRODUCT(('Eval-Avant impact'!$A$761:$A$780=A15)*('Eval-Avant impact'!$N$761:$P$780="L"))),0.4*(SUMPRODUCT(('Eval-Avant impact'!$A$761:$A$780=A15)*('Eval-Avant impact'!$N$761:$P$780="LA"))+SUMPRODUCT(('Eval-Avant impact'!$A$761:$A$780=A15)*('Eval-Avant impact'!$N$761:$P$780="LS"))),0.7*(SUMPRODUCT(('Eval-Avant impact'!$A$761:$A$780=A15)*('Eval-Avant impact'!$N$761:$P$780="AL"))+SUMPRODUCT(('Eval-Avant impact'!$A$761:$A$780=A15)*('Eval-Avant impact'!$N$761:$P$780="SL"))),1*(SUMPRODUCT(('Eval-Avant impact'!$A$761:$A$780=A15)*('Eval-Avant impact'!$N$761:$P$780="S"))+ SUMPRODUCT(('Eval-Avant impact'!$A$761:$A$780=A15)*('Eval-Avant impact'!$N$761:$P$780="A"))))/(3*COUNTIF('Eval-Avant impact'!$A$761:$A$780,A15))),"")</f>
        <v/>
      </c>
      <c r="T15" s="211" t="str">
        <f>IF(COUNTIF('Eval-Avant impact'!$A$761:$A$780,A15)&gt;0,IF(OR(AND('Eval-Avant impact'!$A$761=A15,OR(COUNTIF('Eval-Avant impact'!$N$761:$P$761,"*T*")&gt;0,X9&lt;30)),AND('Eval-Avant impact'!$A$762=A15,OR(COUNTIF('Eval-Avant impact'!$N$762:$P$762,"*T*")&gt;0,X10&lt;30)),AND('Eval-Avant impact'!$A$763=A15,OR(COUNTIF('Eval-Avant impact'!$N$763:$P$763,"*T*")&gt;0,X11&lt;30)),AND('Eval-Avant impact'!$A$764=A15,OR(COUNTIF('Eval-Avant impact'!$N$764:$P$764,"*T*")&gt;0,X12&lt;30)),AND('Eval-Avant impact'!$A$765=A15,OR(COUNTIF('Eval-Avant impact'!$N$765:$P$765,"*T*")&gt;0,X13&lt;30)),AND('Eval-Avant impact'!$A$766=A15,OR(COUNTIF('Eval-Avant impact'!$N$766:$P$766,"*T*")&gt;0,X14&lt;30)),AND('Eval-Avant impact'!$A$767=A15,OR(COUNTIF('Eval-Avant impact'!$N$767:$P$767,"*T*")&gt;0,X15&lt;30)),AND('Eval-Avant impact'!$A$768=A15,OR(COUNTIF('Eval-Avant impact'!$N$768:$P$768,"*T*")&gt;0,X16&lt;30)),AND('Eval-Avant impact'!$A$769=A15,OR(COUNTIF('Eval-Avant impact'!$N$769:$P$769,"*T*")&gt;0,X17&lt;30)),AND('Eval-Avant impact'!$A$770=A15,OR(COUNTIF('Eval-Avant impact'!$N$770:$P$770,"*T*")&gt;0,X18&lt;30)),AND('Eval-Avant impact'!$A$771=A15,OR(COUNTIF('Eval-Avant impact'!$N$771:$P$771,"*T*")&gt;0,X19&lt;30)),AND('Eval-Avant impact'!$A$772=A15,OR(COUNTIF('Eval-Avant impact'!$N$772:$P$772,"*T*")&gt;0,X20&lt;30)),AND('Eval-Avant impact'!$A$773=A15,OR(COUNTIF('Eval-Avant impact'!$N$773:$P$773,"*T*")&gt;0,X21&lt;30)),AND('Eval-Avant impact'!$A$774=A15,OR(COUNTIF('Eval-Avant impact'!$N$774:$P$774,"*T*")&gt;0,X22&lt;30)),AND('Eval-Avant impact'!$A$775=A15,OR(COUNTIF('Eval-Avant impact'!$N$775:$P$775,"*T*")&gt;0,X23&lt;30)),AND('Eval-Avant impact'!$A$776=A15,OR(COUNTIF('Eval-Avant impact'!$N$776:$P$776,"*T*")&gt;0,X24&lt;30)),AND('Eval-Avant impact'!$A$777=A15,OR(COUNTIF('Eval-Avant impact'!$N$777:$P$777,"*T*")&gt;0,X25&lt;30)),AND('Eval-Avant impact'!$A$778=A15,OR(COUNTIF('Eval-Avant impact'!$N$778:$P$778,"*T*")&gt;0,X26&lt;30)),AND('Eval-Avant impact'!$A$779=A15,OR(COUNTIF('Eval-Avant impact'!$N$779:$P$779,"*T*")&gt;0,X27&lt;30)),AND('Eval-Avant impact'!$A$780=A15,OR(COUNTIF('Eval-Avant impact'!$N$780:$P$780,"*T*")&gt;0,X28&lt;30))),"",SUM(1*(SUMPRODUCT(('Eval-Avant impact'!$A$761:$A$780=A15)*('Eval-Avant impact'!$N$761:$P$780="A"))),0.85*(SUMPRODUCT(('Eval-Avant impact'!$A$761:$A$780=A15)*('Eval-Avant impact'!$N$761:$P$780="AL"))),0.7*(SUMPRODUCT(('Eval-Avant impact'!$A$761:$A$780=A15)*('Eval-Avant impact'!$N$761:$P$780="LA"))),0.55*(SUMPRODUCT(('Eval-Avant impact'!$A$761:$A$780=A15)*('Eval-Avant impact'!$N$761:$P$780="L"))),0.4*(SUMPRODUCT(('Eval-Avant impact'!$A$761:$A$780=A15)*('Eval-Avant impact'!$N$761:$P$780="LS"))),0.25*(SUMPRODUCT(('Eval-Avant impact'!$A$761:$A$780=A15)*('Eval-Avant impact'!$N$761:$P$780="SL"))),0.1*(SUMPRODUCT(('Eval-Avant impact'!$A$761:$A$780=A15)*('Eval-Avant impact'!$N$761:$P$780="S"))))/(3*COUNTIF('Eval-Avant impact'!$A$761:$A$780,A15))),"")</f>
        <v/>
      </c>
      <c r="U15" s="214" t="str">
        <f>IF(COUNTIF('Eval-Avant impact'!$A$761:$A$780,A15)&gt;0,IF(OR(AND('Eval-Avant impact'!$A$761=A15,OR(COUNTIF('Eval-Avant impact'!$Q$761:$Y$761,"*T*")&gt;0,X9&lt;120)),AND('Eval-Avant impact'!$A$762=A15,OR(COUNTIF('Eval-Avant impact'!$Q$762:$Y$762,"*T*")&gt;0,X10&lt;120)),AND('Eval-Avant impact'!$A$763=A15,OR(COUNTIF('Eval-Avant impact'!$Q$763:$Y$763,"*T*")&gt;0,X11&lt;120)),AND('Eval-Avant impact'!$A$764=A15,OR(COUNTIF('Eval-Avant impact'!$Q$764:$Y$764,"*T*")&gt;0,X12&lt;120)),AND('Eval-Avant impact'!$A$765=A15,OR(COUNTIF('Eval-Avant impact'!$Q$765:$Y$765,"*T*")&gt;0,X13&lt;120)),AND('Eval-Avant impact'!$A$766=A15,OR(COUNTIF('Eval-Avant impact'!$Q$766:$Y$766,"*T*")&gt;0,X14&lt;120)),AND('Eval-Avant impact'!$A$767=A15,OR(COUNTIF('Eval-Avant impact'!$Q$767:$Y$767,"*T*")&gt;0,X15&lt;120)),AND('Eval-Avant impact'!$A$768=A15,OR(COUNTIF('Eval-Avant impact'!$Q$768:$Y$768,"*T*")&gt;0,X16&lt;120)),AND('Eval-Avant impact'!$A$769=A15,OR(COUNTIF('Eval-Avant impact'!$Q$769:$Y$769,"*T*")&gt;0,X17&lt;120)),AND('Eval-Avant impact'!$A$770=A15,OR(COUNTIF('Eval-Avant impact'!$Q$770:$Y$770,"*T*")&gt;0,X18&lt;120)),AND('Eval-Avant impact'!$A$771=A15,OR(COUNTIF('Eval-Avant impact'!$Q$771:$Y$771,"*T*")&gt;0,X19&lt;120)),AND('Eval-Avant impact'!$A$772=A15,OR(COUNTIF('Eval-Avant impact'!$Q$772:$Y$772,"*T*")&gt;0,X20&lt;120)),AND('Eval-Avant impact'!$A$773=A15,OR(COUNTIF('Eval-Avant impact'!$Q$773:$Y$773,"*T*")&gt;0,X21&lt;120)),AND('Eval-Avant impact'!$A$774=A15,OR(COUNTIF('Eval-Avant impact'!$Q$774:$Y$774,"*T*")&gt;0,X22&lt;120)),AND('Eval-Avant impact'!$A$775=A15,OR(COUNTIF('Eval-Avant impact'!$Q$775:$Y$775,"*T*")&gt;0,X23&lt;120)),AND('Eval-Avant impact'!$A$776=A15,OR(COUNTIF('Eval-Avant impact'!$Q$776:$Y$776,"*T*")&gt;0,X24&lt;120)),AND('Eval-Avant impact'!$A$777=A15,OR(COUNTIF('Eval-Avant impact'!$Q$777:$Y$777,"*T*")&gt;0,X25&lt;120)),AND('Eval-Avant impact'!$A$778=A15,OR(COUNTIF('Eval-Avant impact'!$Q$778:$Y$778,"*T*")&gt;0,X26&lt;120)),AND('Eval-Avant impact'!$A$779=A15,OR(COUNTIF('Eval-Avant impact'!$Q$779:$Y$779,"*T*")&gt;0,X27&lt;120)),AND('Eval-Avant impact'!$A$780=A15,OR(COUNTIF('Eval-Avant impact'!$Q$780:$Y$780,"*T*")&gt;0,X28&lt;120))),"",SUM(1*(SUMPRODUCT(('Eval-Avant impact'!$A$761:$A$780=A15)*('Eval-Avant impact'!$Q$761:$Y$780="A"))),0.85*(SUMPRODUCT(('Eval-Avant impact'!$A$761:$A$780=A15)*('Eval-Avant impact'!$Q$761:$Y$780="AL"))),0.7*(SUMPRODUCT(('Eval-Avant impact'!$A$761:$A$780=A15)*('Eval-Avant impact'!$Q$761:$Y$780="LA"))),0.55*(SUMPRODUCT(('Eval-Avant impact'!$A$761:$A$780=A15)*('Eval-Avant impact'!$Q$761:$Y$780="L"))),0.4*(SUMPRODUCT(('Eval-Avant impact'!$A$761:$A$780=A15)*('Eval-Avant impact'!$Q$761:$Y$780="LS"))),0.25*(SUMPRODUCT(('Eval-Avant impact'!$A$761:$A$780=A15)*('Eval-Avant impact'!$Q$761:$Y$780="SL"))),0.1*(SUMPRODUCT(('Eval-Avant impact'!$A$761:$A$780=A15)*('Eval-Avant impact'!$Q$761:$Y$780="S"))))/(9*COUNTIF('Eval-Avant impact'!$A$761:$A$780,A15))),"")</f>
        <v/>
      </c>
      <c r="V15" s="215"/>
      <c r="W15" s="216">
        <f>'Eval-Avant impact'!$D$767</f>
        <v>7</v>
      </c>
      <c r="X15" s="217" t="str">
        <f>IF(Y15="C",0,IF(IF(COUNTIF('Eval-Avant impact'!$N$767:$Y$767,"=C")&gt;0,(COUNTA('Eval-Avant impact'!$N$767:$Y$767)-1)*10,COUNTA('Eval-Avant impact'!$N$767:$Y$767)*10)=0,"",IF(COUNTIF('Eval-Avant impact'!$N$767:$Y$767,"=C")&gt;0,(COUNTA('Eval-Avant impact'!$N$767:$Y$767)-1)*10,COUNTA('Eval-Avant impact'!$N$767:$Y$767)*10)))</f>
        <v/>
      </c>
      <c r="Y15" s="217" t="str">
        <f>CONCATENATE('Eval-Avant impact'!$N$767,'Eval-Avant impact'!$O$767,'Eval-Avant impact'!$P$767,'Eval-Avant impact'!$Q$767,'Eval-Avant impact'!$R$767,'Eval-Avant impact'!$S$767,'Eval-Avant impact'!$T$767,'Eval-Avant impact'!$U$767,'Eval-Avant impact'!$V$767,'Eval-Avant impact'!$W$767,'Eval-Avant impact'!$X$767,'Eval-Avant impact'!$Y$767)</f>
        <v/>
      </c>
      <c r="Z15" s="217" t="str">
        <f t="shared" si="0"/>
        <v/>
      </c>
      <c r="AA15" s="217" t="str">
        <f t="shared" si="1"/>
        <v/>
      </c>
      <c r="AB15" s="217" t="str">
        <f>IF(COUNTIF('Eval-Avant impact'!$N$767:$Y$767,"=C")&gt;0,"X","")</f>
        <v/>
      </c>
      <c r="AC15" s="217" t="str">
        <f t="shared" si="2"/>
        <v/>
      </c>
      <c r="AD15" s="218" t="str">
        <f t="shared" si="3"/>
        <v/>
      </c>
      <c r="AE15" s="197"/>
      <c r="AG15" s="210">
        <v>7</v>
      </c>
      <c r="AH15" s="211" t="str">
        <f>IF(COUNTIF('Eval-Avec impact envisagé'!$A$761:$A$780,AG15)&gt;0,SUM(IF('Eval-Avec impact envisagé'!$A$761=AG15,'Eval-Avec impact envisagé'!$B$761,0),IF('Eval-Avec impact envisagé'!$A$762=AG15, 'Eval-Avec impact envisagé'!$B$762,0),IF('Eval-Avec impact envisagé'!$A$763=AG15, 'Eval-Avec impact envisagé'!$B$763,0),IF('Eval-Avec impact envisagé'!$A$764=AG15, 'Eval-Avec impact envisagé'!$B$764,0),IF('Eval-Avec impact envisagé'!$A$765=AG15, 'Eval-Avec impact envisagé'!$B$765,0),IF('Eval-Avec impact envisagé'!$A$766=AG15, 'Eval-Avec impact envisagé'!$B$766,0),IF('Eval-Avec impact envisagé'!$A$767=AG15, 'Eval-Avec impact envisagé'!$B$767,0),IF('Eval-Avec impact envisagé'!$A$768=AG15, 'Eval-Avec impact envisagé'!$B$768,0),IF('Eval-Avec impact envisagé'!$A$769=AG15, 'Eval-Avec impact envisagé'!$B$769,0),IF('Eval-Avec impact envisagé'!$A$770=AG15, 'Eval-Avec impact envisagé'!$B$770,0),IF('Eval-Avec impact envisagé'!$A$771=AG15, 'Eval-Avec impact envisagé'!$B$771,0),IF('Eval-Avec impact envisagé'!$A$772=AG15, 'Eval-Avec impact envisagé'!$B$772,0),IF('Eval-Avec impact envisagé'!$A$773=AG15, 'Eval-Avec impact envisagé'!$B$773,0),IF('Eval-Avec impact envisagé'!$A$774=AG15, 'Eval-Avec impact envisagé'!$B$774,0),IF('Eval-Avec impact envisagé'!$A$775=AG15, 'Eval-Avec impact envisagé'!$B$775,0),IF('Eval-Avec impact envisagé'!$A$776=AG15, 'Eval-Avec impact envisagé'!$B$776,0),IF('Eval-Avec impact envisagé'!$A$777=AG15, 'Eval-Avec impact envisagé'!$B$777,0),IF('Eval-Avec impact envisagé'!$A$778=AG15, 'Eval-Avec impact envisagé'!$B$778,0),IF('Eval-Avec impact envisagé'!$A$779=AG15, 'Eval-Avec impact envisagé'!$B$779,0),IF('Eval-Avec impact envisagé'!$A$780=AG15, 'Eval-Avec impact envisagé'!$B$780,0))/COUNTIF('Eval-Avec impact envisagé'!$A$761:$A$780,AG15),"")</f>
        <v/>
      </c>
      <c r="AI15" s="212" t="str">
        <f>IF(COUNTIF('Eval-Avec impact envisagé'!$A$761:$A$780,AG15)&gt;0,COUNTIF('Eval-Avec impact envisagé'!$A$761:$A$780,AG15),"")</f>
        <v/>
      </c>
      <c r="AJ15" s="211" t="str">
        <f>IF(COUNTIF('Eval-Avec impact envisagé'!$A$761:$A$780,AG15)&gt;0,IF(OR(AND('Eval-Avec impact envisagé'!$A$761=AG15, 'Eval-Avec impact envisagé'!$G$761=""),AND('Eval-Avec impact envisagé'!$A$762=AG15, 'Eval-Avec impact envisagé'!$G$762=""),AND('Eval-Avec impact envisagé'!$A$763=AG15, 'Eval-Avec impact envisagé'!$G$763=""),AND('Eval-Avec impact envisagé'!$A$764=AG15, 'Eval-Avec impact envisagé'!$G$764=""),AND('Eval-Avec impact envisagé'!$A$765=AG15, 'Eval-Avec impact envisagé'!$G$765=""),AND('Eval-Avec impact envisagé'!$A$766=AG15, 'Eval-Avec impact envisagé'!$G$766=""),AND('Eval-Avec impact envisagé'!$A$767=AG15, 'Eval-Avec impact envisagé'!$G$767=""),AND('Eval-Avec impact envisagé'!$A$768=AG15, 'Eval-Avec impact envisagé'!$G$768=""),AND('Eval-Avec impact envisagé'!$A$769=AG15, 'Eval-Avec impact envisagé'!$G$769=""),AND('Eval-Avec impact envisagé'!$A$770=AG15, 'Eval-Avec impact envisagé'!$G$770=""),AND('Eval-Avec impact envisagé'!$A$771=AG15, 'Eval-Avec impact envisagé'!$G$771=""),AND('Eval-Avec impact envisagé'!$A$772=AG15, 'Eval-Avec impact envisagé'!$G$772=""),AND('Eval-Avec impact envisagé'!$A$773=AG15, 'Eval-Avec impact envisagé'!$G$773=""),AND('Eval-Avec impact envisagé'!$A$774=AG15, 'Eval-Avec impact envisagé'!$G$774=""),AND('Eval-Avec impact envisagé'!$A$775=AG15, 'Eval-Avec impact envisagé'!$G$775=""),AND('Eval-Avec impact envisagé'!$A$776=AG15, 'Eval-Avec impact envisagé'!$G$776=""),AND('Eval-Avec impact envisagé'!$A$777=AG15, 'Eval-Avec impact envisagé'!$G$777=""),AND('Eval-Avec impact envisagé'!$A$778=AG15, 'Eval-Avec impact envisagé'!$G$778=""),AND('Eval-Avec impact envisagé'!$A$779=AG15, 'Eval-Avec impact envisagé'!$G$779=""),AND('Eval-Avec impact envisagé'!$A$780=AG15, 'Eval-Avec impact envisagé'!$G$780="")),"",SUM(IF('Eval-Avec impact envisagé'!$A$761=AG15,'Eval-Avec impact envisagé'!$G$761,0),IF('Eval-Avec impact envisagé'!$A$762=AG15,'Eval-Avec impact envisagé'!$G$762,0),IF('Eval-Avec impact envisagé'!$A$763=AG15,'Eval-Avec impact envisagé'!$G$763,0),IF('Eval-Avec impact envisagé'!$A$764=AG15,'Eval-Avec impact envisagé'!$G$764,0),IF('Eval-Avec impact envisagé'!$A$765=AG15,'Eval-Avec impact envisagé'!$G$765,0),IF('Eval-Avec impact envisagé'!$A$766=AG15,'Eval-Avec impact envisagé'!$G$766,0),IF('Eval-Avec impact envisagé'!$A$767=AG15,'Eval-Avec impact envisagé'!$G$767,0),IF('Eval-Avec impact envisagé'!$A$768=AG15,'Eval-Avec impact envisagé'!$G$768,0),IF('Eval-Avec impact envisagé'!$A$769=AG15,'Eval-Avec impact envisagé'!$G$769,0),IF('Eval-Avec impact envisagé'!$A$770=AG15,'Eval-Avec impact envisagé'!$G$770,0),IF('Eval-Avec impact envisagé'!$A$771=AG15,'Eval-Avec impact envisagé'!$G$771,0),IF('Eval-Avec impact envisagé'!$A$772=AG15,'Eval-Avec impact envisagé'!$G$772,0),IF('Eval-Avec impact envisagé'!$A$773=AG15,'Eval-Avec impact envisagé'!$G$773,0),IF('Eval-Avec impact envisagé'!$A$774=AG15,'Eval-Avec impact envisagé'!$G$774,0),IF('Eval-Avec impact envisagé'!$A$775=AG15,'Eval-Avec impact envisagé'!$G$775,0), IF('Eval-Avec impact envisagé'!$A$776=AG15,'Eval-Avec impact envisagé'!$G$776,0), IF('Eval-Avec impact envisagé'!$A$777=AG15,'Eval-Avec impact envisagé'!$G$777,0), IF('Eval-Avec impact envisagé'!$A$778=AG15,'Eval-Avec impact envisagé'!$G$778,0), IF('Eval-Avec impact envisagé'!$A$779=AG15,'Eval-Avec impact envisagé'!$G$779,0), IF('Eval-Avec impact envisagé'!$A$780=AG15,'Eval-Avec impact envisagé'!$G$780,0))/ COUNTIF('Eval-Avec impact envisagé'!$A$761:$A$780,AG15)),"")</f>
        <v/>
      </c>
      <c r="AK15" s="212" t="str">
        <f>IF(COUNTIF('Eval-Avec impact envisagé'!$A$761:$A$780,AG15)&gt;0,IF(SUM(IF('Eval-Avec impact envisagé'!$A$761=AG15,COUNTA('Eval-Avec impact envisagé'!$H$761),0),IF('Eval-Avec impact envisagé'!$A$762=AG15,COUNTA('Eval-Avec impact envisagé'!$H$762),0),IF('Eval-Avec impact envisagé'!$A$763=AG15,COUNTA('Eval-Avec impact envisagé'!$H$763),0),IF('Eval-Avec impact envisagé'!$A$764=AG15,COUNTA('Eval-Avec impact envisagé'!$H$764),0),IF('Eval-Avec impact envisagé'!$A$765=AG15,COUNTA('Eval-Avec impact envisagé'!$H$765),0),IF('Eval-Avec impact envisagé'!$A$766=AG15,COUNTA('Eval-Avec impact envisagé'!$H$766),0),IF('Eval-Avec impact envisagé'!$A$767=AG15,COUNTA('Eval-Avec impact envisagé'!$H$767),0),IF('Eval-Avec impact envisagé'!$A$768=AG15,COUNTA('Eval-Avec impact envisagé'!$H$768),0),IF('Eval-Avec impact envisagé'!$A$769=AG15,COUNTA('Eval-Avec impact envisagé'!$H$769),0),IF('Eval-Avec impact envisagé'!$A$770=AG15,COUNTA('Eval-Avec impact envisagé'!$H$770),0),IF('Eval-Avec impact envisagé'!$A$771=AG15,COUNTA('Eval-Avec impact envisagé'!$H$771),0),IF('Eval-Avec impact envisagé'!$A$772=AG15,COUNTA('Eval-Avec impact envisagé'!$H$772),0),IF('Eval-Avec impact envisagé'!$A$773=AG15,COUNTA('Eval-Avec impact envisagé'!$H$773),0),IF('Eval-Avec impact envisagé'!$A$774=AG15,COUNTA('Eval-Avec impact envisagé'!$H$774),0),IF('Eval-Avec impact envisagé'!$A$775=AG15,COUNTA('Eval-Avec impact envisagé'!$H$775),0),IF('Eval-Avec impact envisagé'!$A$776=AG15,COUNTA('Eval-Avec impact envisagé'!$H$776),0),IF('Eval-Avec impact envisagé'!$A$777=AG15,COUNTA('Eval-Avec impact envisagé'!$H$777),0),IF('Eval-Avec impact envisagé'!$A$778=AG15,COUNTA('Eval-Avec impact envisagé'!$H$778),0),IF('Eval-Avec impact envisagé'!$A$779=AG15,COUNTA('Eval-Avec impact envisagé'!$H$779),0),IF('Eval-Avec impact envisagé'!$A$780=AG15,COUNTA('Eval-Avec impact envisagé'!$H$780),0))&gt;0,"X",0),"")</f>
        <v/>
      </c>
      <c r="AL15" s="213" t="str">
        <f>IF(COUNTIF('Eval-Avec impact envisagé'!$A$761:$A$780,AG15)&gt;0,IF(SUM(IF('Eval-Avec impact envisagé'!$A$761=AG15,COUNTA('Eval-Avec impact envisagé'!$I$761),0),IF('Eval-Avec impact envisagé'!$A$762=AG15,COUNTA('Eval-Avec impact envisagé'!$I$762),0),IF('Eval-Avec impact envisagé'!$A$763=AG15,COUNTA('Eval-Avec impact envisagé'!$I$763),0),IF('Eval-Avec impact envisagé'!$A$764=AG15,COUNTA('Eval-Avec impact envisagé'!$I$764),0),IF('Eval-Avec impact envisagé'!$A$765=AG15,COUNTA('Eval-Avec impact envisagé'!$I$765),0),IF('Eval-Avec impact envisagé'!$A$766=AG15,COUNTA('Eval-Avec impact envisagé'!$I$766),0),IF('Eval-Avec impact envisagé'!$A$767=AG15,COUNTA('Eval-Avec impact envisagé'!$I$767),0),IF('Eval-Avec impact envisagé'!$A$768=AG15,COUNTA('Eval-Avec impact envisagé'!$I$768),0),IF('Eval-Avec impact envisagé'!$A$769=AG15,COUNTA('Eval-Avec impact envisagé'!$I$769),0),IF('Eval-Avec impact envisagé'!$A$770=AG15,COUNTA('Eval-Avec impact envisagé'!$I$770),0),IF('Eval-Avec impact envisagé'!$A$771=AG15,COUNTA('Eval-Avec impact envisagé'!$I$771),0),IF('Eval-Avec impact envisagé'!$A$772=AG15,COUNTA('Eval-Avec impact envisagé'!$I$772),0),IF('Eval-Avec impact envisagé'!$A$773=AG15,COUNTA('Eval-Avec impact envisagé'!$I$773),0),IF('Eval-Avec impact envisagé'!$A$774=AG15,COUNTA('Eval-Avec impact envisagé'!$I$774),0),IF('Eval-Avec impact envisagé'!$A$775=AG15,COUNTA('Eval-Avec impact envisagé'!$I$775),0),IF('Eval-Avec impact envisagé'!$A$776=AG15,COUNTA('Eval-Avec impact envisagé'!$I$776),0),IF('Eval-Avec impact envisagé'!$A$777=AG15,COUNTA('Eval-Avec impact envisagé'!$I$777),0),IF('Eval-Avec impact envisagé'!$A$778=AG15,COUNTA('Eval-Avec impact envisagé'!$I$778),0),IF('Eval-Avec impact envisagé'!$A$779=AG15,COUNTA('Eval-Avec impact envisagé'!$I$779),0),IF('Eval-Avec impact envisagé'!$A$780=AG15,COUNTA('Eval-Avec impact envisagé'!$I$780),0))&gt;0,"X",0),"")</f>
        <v/>
      </c>
      <c r="AM15" s="213" t="str">
        <f>IF(COUNTIF('Eval-Avec impact envisagé'!$A$761:$A$780,AG15)&gt;0,IF(SUM(IF('Eval-Avec impact envisagé'!$A$761=AG15,COUNTA('Eval-Avec impact envisagé'!$J$761),0),IF('Eval-Avec impact envisagé'!$A$762=AG15,COUNTA('Eval-Avec impact envisagé'!$J$762),0),IF('Eval-Avec impact envisagé'!$A$763=AG15,COUNTA('Eval-Avec impact envisagé'!$J$763),0),IF('Eval-Avec impact envisagé'!$A$764=AG15,COUNTA('Eval-Avec impact envisagé'!$J$764),0),IF('Eval-Avec impact envisagé'!$A$765=AG15,COUNTA('Eval-Avec impact envisagé'!$J$765),0),IF('Eval-Avec impact envisagé'!$A$766=AG15,COUNTA('Eval-Avec impact envisagé'!$J$766),0),IF('Eval-Avec impact envisagé'!$A$767=AG15,COUNTA('Eval-Avec impact envisagé'!$J$767),0),IF('Eval-Avec impact envisagé'!$A$768=AG15,COUNTA('Eval-Avec impact envisagé'!$J$768),0),IF('Eval-Avec impact envisagé'!$A$769=AG15,COUNTA('Eval-Avec impact envisagé'!$J$769),0),IF('Eval-Avec impact envisagé'!$A$770=AG15,COUNTA('Eval-Avec impact envisagé'!$J$770),0),IF('Eval-Avec impact envisagé'!$A$771=AG15,COUNTA('Eval-Avec impact envisagé'!$J$771),0),IF('Eval-Avec impact envisagé'!$A$772=AG15,COUNTA('Eval-Avec impact envisagé'!$J$772),0),IF('Eval-Avec impact envisagé'!$A$773=AG15,COUNTA('Eval-Avec impact envisagé'!$J$773),0),IF('Eval-Avec impact envisagé'!$A$774=AG15,COUNTA('Eval-Avec impact envisagé'!$J$774),0),IF('Eval-Avec impact envisagé'!$A$775=AG15,COUNTA('Eval-Avec impact envisagé'!$J$775),0),IF('Eval-Avec impact envisagé'!$A$776=AG15,COUNTA('Eval-Avec impact envisagé'!$J$776),0),IF('Eval-Avec impact envisagé'!$A$777=AG15,COUNTA('Eval-Avec impact envisagé'!$J$777),0),IF('Eval-Avec impact envisagé'!$A$778=AG15,COUNTA('Eval-Avec impact envisagé'!$J$778),0),IF('Eval-Avec impact envisagé'!$A$779=AG15,COUNTA('Eval-Avec impact envisagé'!$J$779),0),IF('Eval-Avec impact envisagé'!$A$780=AG15,COUNTA('Eval-Avec impact envisagé'!$J$780),0))&gt;0,"X",0),"")</f>
        <v/>
      </c>
      <c r="AN15" s="213" t="str">
        <f>IF(COUNTIF('Eval-Avec impact envisagé'!$A$761:$A$780,AG15)&gt;0,IF(SUM(IF('Eval-Avec impact envisagé'!$A$761=AG15,COUNTA('Eval-Avec impact envisagé'!$K$761),0),IF('Eval-Avec impact envisagé'!$A$762=AG15,COUNTA('Eval-Avec impact envisagé'!$K$762),0),IF('Eval-Avec impact envisagé'!$A$763=AG15,COUNTA('Eval-Avec impact envisagé'!$K$763),0),IF('Eval-Avec impact envisagé'!$A$764=AG15,COUNTA('Eval-Avec impact envisagé'!$K$764),0),IF('Eval-Avec impact envisagé'!$A$765=AG15,COUNTA('Eval-Avec impact envisagé'!$K$765),0),IF('Eval-Avec impact envisagé'!$A$766=AG15,COUNTA('Eval-Avec impact envisagé'!$K$766),0),IF('Eval-Avec impact envisagé'!$A$767=AG15,COUNTA('Eval-Avec impact envisagé'!$K$767),0),IF('Eval-Avec impact envisagé'!$A$768=AG15,COUNTA('Eval-Avec impact envisagé'!$K$768),0),IF('Eval-Avec impact envisagé'!$A$769=AG15,COUNTA('Eval-Avec impact envisagé'!$K$769),0),IF('Eval-Avec impact envisagé'!$A$770=AG15,COUNTA('Eval-Avec impact envisagé'!$K$770),0),IF('Eval-Avec impact envisagé'!$A$771=AG15,COUNTA('Eval-Avec impact envisagé'!$K$771),0),IF('Eval-Avec impact envisagé'!$A$772=AG15,COUNTA('Eval-Avec impact envisagé'!$K$772),0),IF('Eval-Avec impact envisagé'!$A$773=AG15,COUNTA('Eval-Avec impact envisagé'!$K$773),0),IF('Eval-Avec impact envisagé'!$A$774=AG15,COUNTA('Eval-Avec impact envisagé'!$K$774),0),IF('Eval-Avec impact envisagé'!$A$775=AG15,COUNTA('Eval-Avec impact envisagé'!$K$775),0),IF('Eval-Avec impact envisagé'!$A$776=AG15,COUNTA('Eval-Avec impact envisagé'!$K$776),0),IF('Eval-Avec impact envisagé'!$A$777=AG15,COUNTA('Eval-Avec impact envisagé'!$K$777),0),IF('Eval-Avec impact envisagé'!$A$778=AG15,COUNTA('Eval-Avec impact envisagé'!$K$778),0),IF('Eval-Avec impact envisagé'!$A$779=AG15,COUNTA('Eval-Avec impact envisagé'!$K$779),0),IF('Eval-Avec impact envisagé'!$A$780=AG15,COUNTA('Eval-Avec impact envisagé'!$K$780),0))&gt;0,"X",0),"")</f>
        <v/>
      </c>
      <c r="AO15" s="211" t="str">
        <f>IF(COUNTIF('Eval-Avec impact envisagé'!$A$761:$A$780,AG15)&gt;0,IF(OR(AND('Eval-Avec impact envisagé'!$A$761=AG15,'Eval-Avec impact envisagé'!$L$761&lt;120,'Eval-Avec impact envisagé'!$L$761&gt;=BD9),AND('Eval-Avec impact envisagé'!$A$762=AG15,'Eval-Avec impact envisagé'!$L$762&lt;120,'Eval-Avec impact envisagé'!$L$762&gt;=BD10),AND('Eval-Avec impact envisagé'!$A$763=AG15,'Eval-Avec impact envisagé'!$L$763&lt;120,'Eval-Avec impact envisagé'!$L$763&gt;=BD11),AND('Eval-Avec impact envisagé'!$A$764=AG15,'Eval-Avec impact envisagé'!$L$764&lt;120,'Eval-Avec impact envisagé'!$L$764&gt;=BD12),AND('Eval-Avec impact envisagé'!$A$765=AG15,'Eval-Avec impact envisagé'!$L$765&lt;120,'Eval-Avec impact envisagé'!$L$765&gt;=BD13),AND('Eval-Avec impact envisagé'!$A$766=AG15,'Eval-Avec impact envisagé'!$L$766&lt;120,'Eval-Avec impact envisagé'!$L$766&gt;=BD14),AND('Eval-Avec impact envisagé'!$A$767=AG15,'Eval-Avec impact envisagé'!$L$767&lt;120,'Eval-Avec impact envisagé'!$L$767&gt;=BD15),AND('Eval-Avec impact envisagé'!$A$768=AG15,'Eval-Avec impact envisagé'!$L$768&lt;120,'Eval-Avec impact envisagé'!$L$768&gt;=BD16),AND('Eval-Avec impact envisagé'!$A$769=AG15,'Eval-Avec impact envisagé'!$L$769&lt;120,'Eval-Avec impact envisagé'!$L$769&gt;=BD17),AND('Eval-Avec impact envisagé'!$A$770=AG15,'Eval-Avec impact envisagé'!$L$770&lt;120,'Eval-Avec impact envisagé'!$L$770&gt;=BD18),AND('Eval-Avec impact envisagé'!$A$771=AG15,'Eval-Avec impact envisagé'!$L$771&lt;120,'Eval-Avec impact envisagé'!$L$771&gt;=BD19),AND('Eval-Avec impact envisagé'!$A$772=AG15,'Eval-Avec impact envisagé'!$L$772&lt;120,'Eval-Avec impact envisagé'!$L$772&gt;=BD20),AND('Eval-Avec impact envisagé'!$A$773=AG15,'Eval-Avec impact envisagé'!$L$773&lt;120,'Eval-Avec impact envisagé'!$L$773&gt;=BD21),AND('Eval-Avec impact envisagé'!$A$774=AG15,'Eval-Avec impact envisagé'!$L$774&lt;120,'Eval-Avec impact envisagé'!$L$774&gt;=BD22),AND('Eval-Avec impact envisagé'!$A$775=AG15,'Eval-Avec impact envisagé'!$L$775&lt;120,'Eval-Avec impact envisagé'!$L$775&gt;=BD23),AND('Eval-Avec impact envisagé'!$A$776=AG15,'Eval-Avec impact envisagé'!$L$776&lt;120,'Eval-Avec impact envisagé'!$L$776&gt;=BD24),AND('Eval-Avec impact envisagé'!$A$777=AG15,'Eval-Avec impact envisagé'!$L$777&lt;120,'Eval-Avec impact envisagé'!$L$777&gt;=BD25),AND('Eval-Avec impact envisagé'!$A$778=AG15,'Eval-Avec impact envisagé'!$L$778&lt;120,'Eval-Avec impact envisagé'!$L$778&gt;=BD26),AND('Eval-Avec impact envisagé'!$A$779=AG15,'Eval-Avec impact envisagé'!$L$779&lt;120,'Eval-Avec impact envisagé'!$L$779&gt;=BD27),AND('Eval-Avec impact envisagé'!$A$780=AG15,'Eval-Avec impact envisagé'!$L$780&lt;120,'Eval-Avec impact envisagé'!$L$780&gt;=BD28)),"",SUM(IF('Eval-Avec impact envisagé'!$A$761=AG15,'Eval-Avec impact envisagé'!$L$761,0),IF('Eval-Avec impact envisagé'!$A$762=AG15,'Eval-Avec impact envisagé'!$L$762,0),IF('Eval-Avec impact envisagé'!$A$763=AG15,'Eval-Avec impact envisagé'!$L$763,0),IF('Eval-Avec impact envisagé'!$A$764=AG15,'Eval-Avec impact envisagé'!$L$764,0),IF('Eval-Avec impact envisagé'!$A$765=AG15,'Eval-Avec impact envisagé'!$L$765,0),IF('Eval-Avec impact envisagé'!$A$766=AG15,'Eval-Avec impact envisagé'!$L$766,0),IF('Eval-Avec impact envisagé'!$A$767=AG15,'Eval-Avec impact envisagé'!$L$767,0),IF('Eval-Avec impact envisagé'!$A$768=AG15,'Eval-Avec impact envisagé'!$L$768,0),IF('Eval-Avec impact envisagé'!$A$769=AG15,'Eval-Avec impact envisagé'!$L$769,0),IF('Eval-Avec impact envisagé'!$A$770=AG15,'Eval-Avec impact envisagé'!$L$770,0),IF('Eval-Avec impact envisagé'!$A$771=AG15,'Eval-Avec impact envisagé'!$L$771,0),IF('Eval-Avec impact envisagé'!$A$772=AG15,'Eval-Avec impact envisagé'!$L$772,0),IF('Eval-Avec impact envisagé'!$A$773=AG15,'Eval-Avec impact envisagé'!$L$773,0),IF('Eval-Avec impact envisagé'!$A$774=AG15,'Eval-Avec impact envisagé'!$L$774,0),IF('Eval-Avec impact envisagé'!$A$775=AG15,'Eval-Avec impact envisagé'!$L$775,0),IF('Eval-Avec impact envisagé'!$A$776=AG15,'Eval-Avec impact envisagé'!$L$776,0),IF('Eval-Avec impact envisagé'!$A$777=AG15,'Eval-Avec impact envisagé'!$L$777,0),IF('Eval-Avec impact envisagé'!$A$778=AG15,'Eval-Avec impact envisagé'!$L$778,0),IF('Eval-Avec impact envisagé'!$A$779=AG15,'Eval-Avec impact envisagé'!$L$779,0),IF('Eval-Avec impact envisagé'!$A$780=AG15,'Eval-Avec impact envisagé'!$L$780,0))/ COUNTIF('Eval-Avec impact envisagé'!$A$761:$A$780,AG15)),"")</f>
        <v/>
      </c>
      <c r="AP15" s="211" t="str">
        <f>IF(COUNTIF('Eval-Avec impact envisagé'!$A$761:$A$780,AG15)&gt;0,IF(OR(AND('Eval-Avec impact envisagé'!$A$761=AG15, BD9&lt;120),AND(BD10&lt;120),AND(BD11&lt;120),AND(BD12&lt;120),AND(BD13&lt;120),AND(BD14&lt;120),AND(BD15&lt;120),AND(BD16&lt;120),AND(BD17&lt;120),AND(BD18&lt;120),AND(BD19&lt;120),AND(BD20&lt;120),AND(BD21&lt;120),AND(BD22&lt;120),AND(BD23&lt;120),AND(BD24&lt;120),AND(BD25&lt;120),AND(BD26&lt;120),AND(BD27&lt;120),AND(BD28&lt;120)),"",SUM(IF('Eval-Avec impact envisagé'!$A$761=AG15,'Eval-Avec impact envisagé'!$M$761,0),IF('Eval-Avec impact envisagé'!$A$762=AG15,'Eval-Avec impact envisagé'!$M$762,0),IF('Eval-Avec impact envisagé'!$A$763=AG15,'Eval-Avec impact envisagé'!$M$763,0),IF('Eval-Avec impact envisagé'!$A$764=AG15,'Eval-Avec impact envisagé'!$M$764,0),IF('Eval-Avec impact envisagé'!$A$765=AG15,'Eval-Avec impact envisagé'!$M$765,0),IF('Eval-Avec impact envisagé'!$A$766=AG15,'Eval-Avec impact envisagé'!$M$766,0),IF('Eval-Avec impact envisagé'!$A$767=AG15,'Eval-Avec impact envisagé'!$M$767,0),IF('Eval-Avec impact envisagé'!$A$768=AG15,'Eval-Avec impact envisagé'!$M$768,0),IF('Eval-Avec impact envisagé'!$A$769=AG15,'Eval-Avec impact envisagé'!$M$769,0),IF('Eval-Avec impact envisagé'!$A$770=AG15,'Eval-Avec impact envisagé'!$M$770,0),IF('Eval-Avec impact envisagé'!$A$771=AG15,'Eval-Avec impact envisagé'!$M$771,0),IF('Eval-Avec impact envisagé'!$A$772=AG15,'Eval-Avec impact envisagé'!$M$772,0),IF('Eval-Avec impact envisagé'!$A$773=AG15,'Eval-Avec impact envisagé'!$M$773,0),IF('Eval-Avec impact envisagé'!$A$774=AG15,'Eval-Avec impact envisagé'!$M$774,0),IF('Eval-Avec impact envisagé'!$A$775=AG15,'Eval-Avec impact envisagé'!$M$775,0), IF('Eval-Avec impact envisagé'!$A$776=AG15,'Eval-Avec impact envisagé'!$M$776,0), IF('Eval-Avec impact envisagé'!$A$777=AG15,'Eval-Avec impact envisagé'!$M$777,0), IF('Eval-Avec impact envisagé'!$A$778=AG15,'Eval-Avec impact envisagé'!$M$778,0), IF('Eval-Avec impact envisagé'!$A$779=AG15,'Eval-Avec impact envisagé'!$M$779,0), IF('Eval-Avec impact envisagé'!$A$780=AG15,'Eval-Avec impact envisagé'!$M$780,0))/COUNTIF('Eval-Avec impact envisagé'!$A$761:$A$780,AG15)),"")</f>
        <v/>
      </c>
      <c r="AQ15" s="211" t="str">
        <f>IF(COUNTIF('Eval-Avec impact envisagé'!$A$761:$A$780,AG15)&gt;0,SUM(IF('Eval-Avec impact envisagé'!$A$761=AG15,LEN(SUBSTITUTE((SUBSTITUTE(BF9,"TM","")),"TS",""))*10/2,0),IF('Eval-Avec impact envisagé'!$A$762=AG15,LEN(SUBSTITUTE((SUBSTITUTE(BF10,"TM","")),"TS",""))*10/2,0),IF('Eval-Avec impact envisagé'!$A$763=AG15,LEN(SUBSTITUTE((SUBSTITUTE(BF11,"TM","")),"TS",""))*10/2,0),IF('Eval-Avec impact envisagé'!$A$764=AG15,LEN(SUBSTITUTE((SUBSTITUTE(BF12,"TM","")),"TS",""))*10/2,0),IF('Eval-Avec impact envisagé'!$A$765=AG15,LEN(SUBSTITUTE((SUBSTITUTE(BF13,"TM","")),"TS",""))*10/2,0),IF('Eval-Avec impact envisagé'!$A$766=AG15,LEN(SUBSTITUTE((SUBSTITUTE(BF14,"TM","")),"TS",""))*10/2,0),IF('Eval-Avec impact envisagé'!$A$767=AG15,LEN(SUBSTITUTE((SUBSTITUTE(BF15,"TM","")),"TS",""))*10/2,0),IF('Eval-Avec impact envisagé'!$A$768=AG15,LEN(SUBSTITUTE((SUBSTITUTE(BF16,"TM","")),"TS",""))*10/2,0),IF('Eval-Avec impact envisagé'!$A$769=AG15,LEN(SUBSTITUTE((SUBSTITUTE(BF17,"TM","")),"TS",""))*10/2,0),IF('Eval-Avec impact envisagé'!$A$770=AG15,LEN(SUBSTITUTE((SUBSTITUTE(BF18,"TM","")),"TS",""))*10/2,0),IF('Eval-Avec impact envisagé'!$A$771=AG15,LEN(SUBSTITUTE((SUBSTITUTE(BF19,"TM","")),"TS",""))*10/2,0),IF('Eval-Avec impact envisagé'!$A$772=AG15,LEN(SUBSTITUTE((SUBSTITUTE(BF20,"TM","")),"TS",""))*10/2,0),IF('Eval-Avec impact envisagé'!$A$773=AG15,LEN(SUBSTITUTE((SUBSTITUTE(BF21,"TM","")),"TS",""))*10/2,0),IF('Eval-Avec impact envisagé'!$A$774=AG15,LEN(SUBSTITUTE((SUBSTITUTE(BF22,"TM","")),"TS",""))*10/2,0),IF('Eval-Avec impact envisagé'!$A$775=AG15,LEN(SUBSTITUTE((SUBSTITUTE(BF23,"TM","")),"TS",""))*10/2,0),IF('Eval-Avec impact envisagé'!$A$776=AG15,LEN(SUBSTITUTE((SUBSTITUTE(BF24,"TM","")),"TS",""))*10/2,0),IF('Eval-Avec impact envisagé'!$A$777=AG15,LEN(SUBSTITUTE((SUBSTITUTE(BF25,"TM","")),"TS",""))*10/2,0),IF('Eval-Avec impact envisagé'!$A$778=AG15,LEN(SUBSTITUTE((SUBSTITUTE(BF26,"TM","")),"TS",""))*10/2,0),IF('Eval-Avec impact envisagé'!$A$779=AG15,LEN(SUBSTITUTE((SUBSTITUTE(BF27,"TM","")),"TS",""))*10/2,0),IF('Eval-Avec impact envisagé'!$A$780=AG15,LEN(SUBSTITUTE((SUBSTITUTE(BF28,"TM","")),"TS",""))*10/2,0))/COUNTIF('Eval-Avec impact envisagé'!$A$761:$A$780,AG15),"")</f>
        <v/>
      </c>
      <c r="AR15" s="211" t="str">
        <f>IF(COUNTIF('Eval-Avec impact envisagé'!$A$761:$A$780,AG15)&gt;0,SUM(IF('Eval-Avec impact envisagé'!$A$761=AG15,LEN(SUBSTITUTE((SUBSTITUTE(BF9,"TF","")),"TS",""))*10/2,0),IF('Eval-Avec impact envisagé'!$A$762=AG15,LEN(SUBSTITUTE((SUBSTITUTE(BF10,"TF","")),"TS",""))*10/2,0),IF('Eval-Avec impact envisagé'!$A$763=AG15,LEN(SUBSTITUTE((SUBSTITUTE(BF11,"TF","")),"TS",""))*10/2,0),IF('Eval-Avec impact envisagé'!$A$764=AG15,LEN(SUBSTITUTE((SUBSTITUTE(BF12,"TF","")),"TS",""))*10/2,0),IF('Eval-Avec impact envisagé'!$A$765=AG15,LEN(SUBSTITUTE((SUBSTITUTE(BF13,"TF","")),"TS",""))*10/2,0),IF('Eval-Avec impact envisagé'!$A$766=AG15,LEN(SUBSTITUTE((SUBSTITUTE(BF14,"TF","")),"TS",""))*10/2,0),IF('Eval-Avec impact envisagé'!$A$767=AG15,LEN(SUBSTITUTE((SUBSTITUTE(BF15,"TF","")),"TS",""))*10/2,0),IF('Eval-Avec impact envisagé'!$A$768=AG15,LEN(SUBSTITUTE((SUBSTITUTE(BF16,"TF","")),"TS",""))*10/2,0),IF('Eval-Avec impact envisagé'!$A$769=AG15,LEN(SUBSTITUTE((SUBSTITUTE(BF17,"TF","")),"TS",""))*10/2,0),IF('Eval-Avec impact envisagé'!$A$770=AG15,LEN(SUBSTITUTE((SUBSTITUTE(BF18,"TF","")),"TS",""))*10/2,0),IF('Eval-Avec impact envisagé'!$A$771=AG15,LEN(SUBSTITUTE((SUBSTITUTE(BF19,"TF","")),"TS",""))*10/2,0),IF('Eval-Avec impact envisagé'!$A$772=AG15,LEN(SUBSTITUTE((SUBSTITUTE(BF20,"TF","")),"TS",""))*10/2,0),IF('Eval-Avec impact envisagé'!$A$773=AG15,LEN(SUBSTITUTE((SUBSTITUTE(BF21,"TF","")),"TS",""))*10/2,0),IF('Eval-Avec impact envisagé'!$A$774=AG15,LEN(SUBSTITUTE((SUBSTITUTE(BF22,"TF","")),"TS",""))*10/2,0),IF('Eval-Avec impact envisagé'!$A$775=AG15,LEN(SUBSTITUTE((SUBSTITUTE(BF23,"TF","")),"TS",""))*10/2,0),IF('Eval-Avec impact envisagé'!$A$776=AG15,LEN(SUBSTITUTE((SUBSTITUTE(BF24,"TF","")),"TS",""))*10/2,0),IF('Eval-Avec impact envisagé'!$A$777=AG15,LEN(SUBSTITUTE((SUBSTITUTE(BF25,"TF","")),"TS",""))*10/2,0),IF('Eval-Avec impact envisagé'!$A$778=AG15,LEN(SUBSTITUTE((SUBSTITUTE(BF26,"TF","")),"TS",""))*10/2,0),IF('Eval-Avec impact envisagé'!$A$779=AG15,LEN(SUBSTITUTE((SUBSTITUTE(BF27,"TF","")),"TS",""))*10/2,0),IF('Eval-Avec impact envisagé'!$A$780=AG15,LEN(SUBSTITUTE((SUBSTITUTE(BF28,"TF","")),"TS",""))*10/2,0))/COUNTIF('Eval-Avec impact envisagé'!$A$761:$A$780,AG15),"")</f>
        <v/>
      </c>
      <c r="AS15" s="211" t="str">
        <f>IF(COUNTIF('Eval-Avec impact envisagé'!$A$761:$A$780,AG15)&gt;0,SUM(IF('Eval-Avec impact envisagé'!$A$761=AG15,LEN(SUBSTITUTE((SUBSTITUTE(BF9,"TF","")),"TM",""))*10/2,0),IF('Eval-Avec impact envisagé'!$A$762=AG15,LEN(SUBSTITUTE((SUBSTITUTE(BF10,"TF","")),"TM",""))*10/2,0),IF('Eval-Avec impact envisagé'!$A$763=AG15,LEN(SUBSTITUTE((SUBSTITUTE(BF11,"TF","")),"TM",""))*10/2,0),IF('Eval-Avec impact envisagé'!$A$764=AG15,LEN(SUBSTITUTE((SUBSTITUTE(BF12,"TF","")),"TM",""))*10/2,0),IF('Eval-Avec impact envisagé'!$A$765=AG15,LEN(SUBSTITUTE((SUBSTITUTE(BF13,"TF","")),"TM",""))*10/2,0),IF('Eval-Avec impact envisagé'!$A$766=AG15,LEN(SUBSTITUTE((SUBSTITUTE(BF14,"TF","")),"TM",""))*10/2,0),IF('Eval-Avec impact envisagé'!$A$767=AG15,LEN(SUBSTITUTE((SUBSTITUTE(BF15,"TF","")),"TM",""))*10/2,0),IF('Eval-Avec impact envisagé'!$A$768=AG15,LEN(SUBSTITUTE((SUBSTITUTE(BF16,"TF","")),"TM",""))*10/2,0),IF('Eval-Avec impact envisagé'!$A$769=AG15,LEN(SUBSTITUTE((SUBSTITUTE(BF17,"TF","")),"TM",""))*10/2,0),IF('Eval-Avec impact envisagé'!$A$770=AG15,LEN(SUBSTITUTE((SUBSTITUTE(BF18,"TF","")),"TM",""))*10/2,0),IF('Eval-Avec impact envisagé'!$A$771=AG15,LEN(SUBSTITUTE((SUBSTITUTE(BF19,"TF","")),"TM",""))*10/2,0),IF('Eval-Avec impact envisagé'!$A$772=AG15,LEN(SUBSTITUTE((SUBSTITUTE(BF20,"TF","")),"TM",""))*10/2,0),IF('Eval-Avec impact envisagé'!$A$773=AG15,LEN(SUBSTITUTE((SUBSTITUTE(BF21,"TF","")),"TM",""))*10/2,0),IF('Eval-Avec impact envisagé'!$A$774=AG15,LEN(SUBSTITUTE((SUBSTITUTE(BF22,"TF","")),"TM",""))*10/2,0),IF('Eval-Avec impact envisagé'!$A$775=AG15,LEN(SUBSTITUTE((SUBSTITUTE(BF23,"TF","")),"TM",""))*10/2,0),IF('Eval-Avec impact envisagé'!$A$776=AG15,LEN(SUBSTITUTE((SUBSTITUTE(BF24,"TF","")),"TM",""))*10/2,0),IF('Eval-Avec impact envisagé'!$A$777=AG15,LEN(SUBSTITUTE((SUBSTITUTE(BF25,"TF","")),"TM",""))*10/2,0),IF('Eval-Avec impact envisagé'!$A$778=AG15,LEN(SUBSTITUTE((SUBSTITUTE(BF26,"TF","")),"TM",""))*10/2,0),IF('Eval-Avec impact envisagé'!$A$779=AG15,LEN(SUBSTITUTE((SUBSTITUTE(BF27,"TF","")),"TM",""))*10/2,0),IF('Eval-Avec impact envisagé'!$A$780=AG15,LEN(SUBSTITUTE((SUBSTITUTE(BF28,"TF","")),"TM",""))*10/2,0))/COUNTIF('Eval-Avec impact envisagé'!$A$761:$A$780,AG15),"")</f>
        <v/>
      </c>
      <c r="AT15" s="211" t="str">
        <f>IF(COUNTIF('Eval-Avec impact envisagé'!$A$761:$A$780,AG15)&gt;0,SUM(IF('Eval-Avec impact envisagé'!$A$761=AG15,LEN(SUBSTITUTE((SUBSTITUTE(BG9,"TM","")),"TS",""))*10/2,0),IF('Eval-Avec impact envisagé'!$A$762=AG15,LEN(SUBSTITUTE((SUBSTITUTE(BG10,"TM","")),"TS",""))*10/2,0),IF('Eval-Avec impact envisagé'!$A$763=AG15,LEN(SUBSTITUTE((SUBSTITUTE(BG11,"TM","")),"TS",""))*10/2,0),IF('Eval-Avec impact envisagé'!$A$764=AG15,LEN(SUBSTITUTE((SUBSTITUTE(BG12,"TM","")),"TS",""))*10/2,0),IF('Eval-Avec impact envisagé'!$A$765=AG15,LEN(SUBSTITUTE((SUBSTITUTE(BG13,"TM","")),"TS",""))*10/2,0),IF('Eval-Avec impact envisagé'!$A$766=AG15,LEN(SUBSTITUTE((SUBSTITUTE(BG14,"TM","")),"TS",""))*10/2,0),IF('Eval-Avec impact envisagé'!$A$767=AG15,LEN(SUBSTITUTE((SUBSTITUTE(BG15,"TM","")),"TS",""))*10/2,0),IF('Eval-Avec impact envisagé'!$A$768=AG15,LEN(SUBSTITUTE((SUBSTITUTE(BG16,"TM","")),"TS",""))*10/2,0),IF('Eval-Avec impact envisagé'!$A$769=AG15,LEN(SUBSTITUTE((SUBSTITUTE(BG17,"TM","")),"TS",""))*10/2,0),IF('Eval-Avec impact envisagé'!$A$770=AG15,LEN(SUBSTITUTE((SUBSTITUTE(BG18,"TM","")),"TS",""))*10/2,0),IF('Eval-Avec impact envisagé'!$A$771=AG15,LEN(SUBSTITUTE((SUBSTITUTE(BG19,"TM","")),"TS",""))*10/2,0),IF('Eval-Avec impact envisagé'!$A$772=AG15,LEN(SUBSTITUTE((SUBSTITUTE(BG20,"TM","")),"TS",""))*10/2,0),IF('Eval-Avec impact envisagé'!$A$773=AG15,LEN(SUBSTITUTE((SUBSTITUTE(BG21,"TM","")),"TS",""))*10/2,0),IF('Eval-Avec impact envisagé'!$A$774=AG15,LEN(SUBSTITUTE((SUBSTITUTE(BG22,"TM","")),"TS",""))*10/2,0),IF('Eval-Avec impact envisagé'!$A$775=AG15,LEN(SUBSTITUTE((SUBSTITUTE(BG23,"TM","")),"TS",""))*10/2,0),IF('Eval-Avec impact envisagé'!$A$776=AG15,LEN(SUBSTITUTE((SUBSTITUTE(BG24,"TM","")),"TS",""))*10/2,0),IF('Eval-Avec impact envisagé'!$A$777=AG15,LEN(SUBSTITUTE((SUBSTITUTE(BG25,"TM","")),"TS",""))*10/2,0),IF('Eval-Avec impact envisagé'!$A$778=AG15,LEN(SUBSTITUTE((SUBSTITUTE(BG26,"TM","")),"TS",""))*10/2,0),IF('Eval-Avec impact envisagé'!$A$779=AG15,LEN(SUBSTITUTE((SUBSTITUTE(BG27,"TM","")),"TS",""))*10/2,0),IF('Eval-Avec impact envisagé'!$A$780=AG15,LEN(SUBSTITUTE((SUBSTITUTE(BG28,"TM","")),"TS",""))*10/2,0))/COUNTIF('Eval-Avec impact envisagé'!$A$761:$A$780,AG15),"")</f>
        <v/>
      </c>
      <c r="AU15" s="211" t="str">
        <f>IF(COUNTIF('Eval-Avec impact envisagé'!$A$761:$A$780,AG15)&gt;0,SUM(IF('Eval-Avec impact envisagé'!$A$761=AG15,LEN(SUBSTITUTE((SUBSTITUTE(BG9,"TF","")),"TS",""))*10/2,0),IF('Eval-Avec impact envisagé'!$A$762=AG15,LEN(SUBSTITUTE((SUBSTITUTE(BG10,"TF","")),"TS",""))*10/2,0),IF('Eval-Avec impact envisagé'!$A$763=AG15,LEN(SUBSTITUTE((SUBSTITUTE(BG11,"TF","")),"TS",""))*10/2,0),IF('Eval-Avec impact envisagé'!$A$764=AG15,LEN(SUBSTITUTE((SUBSTITUTE(BG12,"TF","")),"TS",""))*10/2,0),IF('Eval-Avec impact envisagé'!$A$765=AG15,LEN(SUBSTITUTE((SUBSTITUTE(BG13,"TF","")),"TS",""))*10/2,0),IF('Eval-Avec impact envisagé'!$A$766=AG15,LEN(SUBSTITUTE((SUBSTITUTE(BG14,"TF","")),"TS",""))*10/2,0),IF('Eval-Avec impact envisagé'!$A$767=AG15,LEN(SUBSTITUTE((SUBSTITUTE(BG15,"TF","")),"TS",""))*10/2,0),IF('Eval-Avec impact envisagé'!$A$768=AG15,LEN(SUBSTITUTE((SUBSTITUTE(BG16,"TF","")),"TS",""))*10/2,0),IF('Eval-Avec impact envisagé'!$A$769=AG15,LEN(SUBSTITUTE((SUBSTITUTE(BG17,"TF","")),"TS",""))*10/2,0),IF('Eval-Avec impact envisagé'!$A$770=AG15,LEN(SUBSTITUTE((SUBSTITUTE(BG18,"TF","")),"TS",""))*10/2,0),IF('Eval-Avec impact envisagé'!$A$771=AG15,LEN(SUBSTITUTE((SUBSTITUTE(BG19,"TF","")),"TS",""))*10/2,0),IF('Eval-Avec impact envisagé'!$A$772=AG15,LEN(SUBSTITUTE((SUBSTITUTE(BG20,"TF","")),"TS",""))*10/2,0),IF('Eval-Avec impact envisagé'!$A$773=AG15,LEN(SUBSTITUTE((SUBSTITUTE(BG21,"TF","")),"TS",""))*10/2,0),IF('Eval-Avec impact envisagé'!$A$774=AG15,LEN(SUBSTITUTE((SUBSTITUTE(BG22,"TF","")),"TS",""))*10/2,0),IF('Eval-Avec impact envisagé'!$A$775=AG15,LEN(SUBSTITUTE((SUBSTITUTE(BG23,"TF","")),"TS",""))*10/2,0),IF('Eval-Avec impact envisagé'!$A$776=AG15,LEN(SUBSTITUTE((SUBSTITUTE(BG24,"TF","")),"TS",""))*10/2,0),IF('Eval-Avec impact envisagé'!$A$777=AG15,LEN(SUBSTITUTE((SUBSTITUTE(BG25,"TF","")),"TS",""))*10/2,0),IF('Eval-Avec impact envisagé'!$A$778=AG15,LEN(SUBSTITUTE((SUBSTITUTE(BG26,"TF","")),"TS",""))*10/2,0),IF('Eval-Avec impact envisagé'!$A$779=AG15,LEN(SUBSTITUTE((SUBSTITUTE(BG27,"TF","")),"TS",""))*10/2,0),IF('Eval-Avec impact envisagé'!$A$780=AG15,LEN(SUBSTITUTE((SUBSTITUTE(BG28,"TF","")),"TS",""))*10/2,0))/COUNTIF('Eval-Avec impact envisagé'!$A$761:$A$780,AG15),"")</f>
        <v/>
      </c>
      <c r="AV15" s="211" t="str">
        <f>IF(COUNTIF('Eval-Avec impact envisagé'!$A$761:$A$780,AG15)&gt;0,SUM(IF('Eval-Avec impact envisagé'!$A$761=AG15,LEN(SUBSTITUTE((SUBSTITUTE(BG9,"TF","")),"TM",""))*10/2,0),IF('Eval-Avec impact envisagé'!$A$762=AG15,LEN(SUBSTITUTE((SUBSTITUTE(BG10,"TF","")),"TM",""))*10/2,0),IF('Eval-Avec impact envisagé'!$A$763=AG15,LEN(SUBSTITUTE((SUBSTITUTE(BG11,"TF","")),"TM",""))*10/2,0),IF('Eval-Avec impact envisagé'!$A$764=AG15,LEN(SUBSTITUTE((SUBSTITUTE(BG12,"TF","")),"TM",""))*10/2,0),IF('Eval-Avec impact envisagé'!$A$765=AG15,LEN(SUBSTITUTE((SUBSTITUTE(BG13,"TF","")),"TM",""))*10/2,0),IF('Eval-Avec impact envisagé'!$A$766=AG15,LEN(SUBSTITUTE((SUBSTITUTE(BG14,"TF","")),"TM",""))*10/2,0),IF('Eval-Avec impact envisagé'!$A$767=AG15,LEN(SUBSTITUTE((SUBSTITUTE(BG15,"TF","")),"TM",""))*10/2,0),IF('Eval-Avec impact envisagé'!$A$768=AG15,LEN(SUBSTITUTE((SUBSTITUTE(BG16,"TF","")),"TM",""))*10/2,0),IF('Eval-Avec impact envisagé'!$A$769=AG15,LEN(SUBSTITUTE((SUBSTITUTE(BG17,"TF","")),"TM",""))*10/2,0),IF('Eval-Avec impact envisagé'!$A$770=AG15,LEN(SUBSTITUTE((SUBSTITUTE(BG18,"TF","")),"TM",""))*10/2,0),IF('Eval-Avec impact envisagé'!$A$771=AG15,LEN(SUBSTITUTE((SUBSTITUTE(BG19,"TF","")),"TM",""))*10/2,0),IF('Eval-Avec impact envisagé'!$A$772=AG15,LEN(SUBSTITUTE((SUBSTITUTE(BG20,"TF","")),"TM",""))*10/2,0),IF('Eval-Avec impact envisagé'!$A$773=AG15,LEN(SUBSTITUTE((SUBSTITUTE(BG21,"TF","")),"TM",""))*10/2,0),IF('Eval-Avec impact envisagé'!$A$774=AG15,LEN(SUBSTITUTE((SUBSTITUTE(BG22,"TF","")),"TM",""))*10/2,0),IF('Eval-Avec impact envisagé'!$A$775=AG15,LEN(SUBSTITUTE((SUBSTITUTE(BG23,"TF","")),"TM",""))*10/2,0),IF('Eval-Avec impact envisagé'!$A$776=AG15,LEN(SUBSTITUTE((SUBSTITUTE(BG24,"TF","")),"TM",""))*10/2,0),IF('Eval-Avec impact envisagé'!$A$777=AG15,LEN(SUBSTITUTE((SUBSTITUTE(BG25,"TF","")),"TM",""))*10/2,0),IF('Eval-Avec impact envisagé'!$A$778=AG15,LEN(SUBSTITUTE((SUBSTITUTE(BG26,"TF","")),"TM",""))*10/2,0),IF('Eval-Avec impact envisagé'!$A$779=AG15,LEN(SUBSTITUTE((SUBSTITUTE(BG27,"TF","")),"TM",""))*10/2,0),IF('Eval-Avec impact envisagé'!$A$780=AG15,LEN(SUBSTITUTE((SUBSTITUTE(BG28,"TF","")),"TM",""))*10/2,0))/COUNTIF('Eval-Avec impact envisagé'!$A$761:$A$780,AG15),"")</f>
        <v/>
      </c>
      <c r="AW15" s="211" t="str">
        <f>IF(COUNTIF('Eval-Avec impact envisagé'!$A$761:$A$780,AG15)&gt;0,IF(OR(AND('Eval-Avec impact envisagé'!$A$761=AG15,BD9&lt;30),AND('Eval-Avec impact envisagé'!$A$762=AG15,BD10&lt;30),AND('Eval-Avec impact envisagé'!$A$763=AG15,BD11&lt;30),AND('Eval-Avec impact envisagé'!$A$764=AG15,BD12&lt;30),AND('Eval-Avec impact envisagé'!$A$765=AG15,BD13&lt;30),AND('Eval-Avec impact envisagé'!$A$766=AG15,BD14&lt;30),AND('Eval-Avec impact envisagé'!$A$767=AG15,BD15&lt;30),AND('Eval-Avec impact envisagé'!$A$768=AG15,BD16&lt;30),AND('Eval-Avec impact envisagé'!$A$769=AG15,BD17&lt;30),AND('Eval-Avec impact envisagé'!$A$770=AG15,BD18&lt;30),AND('Eval-Avec impact envisagé'!$A$771=AG15,BD19&lt;30),AND('Eval-Avec impact envisagé'!$A$772=AG15,BD20&lt;30),AND('Eval-Avec impact envisagé'!$A$773=AG15,BD21&lt;30),AND('Eval-Avec impact envisagé'!$A$774=AG15,BD22&lt;30),AND('Eval-Avec impact envisagé'!$A$775=AG15,BD23&lt;30),AND('Eval-Avec impact envisagé'!$A$776=AG15,BD24&lt;30),AND('Eval-Avec impact envisagé'!$A$777=AG15,BD25&lt;30),AND('Eval-Avec impact envisagé'!$A$778=AG15,BD26&lt;30),AND('Eval-Avec impact envisagé'!$A$779=AG15,BD27&lt;30),AND('Eval-Avec impact envisagé'!$A$780=AG15,BD28&lt;30)),"",SUM(0.1*(SUMPRODUCT(('Eval-Avec impact envisagé'!$A$761:$A$780=AG15)*('Eval-Avec impact envisagé'!$N$761:$P$780="A"))+ SUMPRODUCT(('Eval-Avec impact envisagé'!$A$761:$A$780=AG15)*('Eval-Avec impact envisagé'!$N$761:$P$780="AL"))),0.7*(SUMPRODUCT(('Eval-Avec impact envisagé'!$A$761:$A$780=AG15)*('Eval-Avec impact envisagé'!$N$761:$P$780="TF"))+SUMPRODUCT(('Eval-Avec impact envisagé'!$A$761:$A$780=AG15)*('Eval-Avec impact envisagé'!$N$761:$P$780="TM"))+SUMPRODUCT(('Eval-Avec impact envisagé'!$A$761:$A$780=AG15)*('Eval-Avec impact envisagé'!$N$761:$P$780="TS"))),0.4*(SUMPRODUCT(('Eval-Avec impact envisagé'!$A$761:$A$780=AG15)*('Eval-Avec impact envisagé'!$N$761:$P$780="LA"))+SUMPRODUCT(('Eval-Avec impact envisagé'!$A$761:$A$780=AG15)*('Eval-Avec impact envisagé'!$N$761:$P$780="L"))+SUMPRODUCT(('Eval-Avec impact envisagé'!$A$761:$A$780=AG15)*('Eval-Avec impact envisagé'!$N$761:$P$780="LS"))),1*(SUMPRODUCT(('Eval-Avec impact envisagé'!$A$761:$A$780=AG15)*('Eval-Avec impact envisagé'!$N$761:$P$780="SL"))+ SUMPRODUCT(('Eval-Avec impact envisagé'!$A$761:$A$780=AG15)*('Eval-Avec impact envisagé'!$N$761:$P$780="S"))))/(3*COUNTIF('Eval-Avec impact envisagé'!$A$761:$A$780,AG15))),"")</f>
        <v/>
      </c>
      <c r="AX15" s="211" t="str">
        <f>IF(COUNTIF('Eval-Avec impact envisagé'!$A$761:$A$780,AG15)&gt;0,IF(OR(AND('Eval-Avec impact envisagé'!$A$761=AG15,BD9&lt;120),AND('Eval-Avec impact envisagé'!$A$762=AG15,BD10&lt;120),AND('Eval-Avec impact envisagé'!$A$763=AG15,BD11&lt;120),AND('Eval-Avec impact envisagé'!$A$764=AG15,BD12&lt;120),AND('Eval-Avec impact envisagé'!$A$765=AG15,BD13&lt;120),AND('Eval-Avec impact envisagé'!$A$766=AG15,BD14&lt;120),AND('Eval-Avec impact envisagé'!$A$767=AG15,BD15&lt;120),AND('Eval-Avec impact envisagé'!$A$768=AG15,BD16&lt;120),AND('Eval-Avec impact envisagé'!$A$769=AG15,BD17&lt;120),AND('Eval-Avec impact envisagé'!$A$770=AG15,BD18&lt;120),AND('Eval-Avec impact envisagé'!$A$771=AG15,BD19&lt;120),AND('Eval-Avec impact envisagé'!$A$772=AG15,BD20&lt;120),AND('Eval-Avec impact envisagé'!$A$773=AG15,BD21&lt;120),AND('Eval-Avec impact envisagé'!$A$774=AG15,BD22&lt;120),AND('Eval-Avec impact envisagé'!$A$775=AG15,BD23&lt;120),AND('Eval-Avec impact envisagé'!$A$776=AG15,BD24&lt;120),AND('Eval-Avec impact envisagé'!$A$777=AG15,BD25&lt;120),AND('Eval-Avec impact envisagé'!$A$778=AG15,BD26&lt;120),AND('Eval-Avec impact envisagé'!$A$779=AG15,BD27&lt;120),AND('Eval-Avec impact envisagé'!$A$780=AG15,BD28&lt;120)),"",SUM(0.1*(SUMPRODUCT(('Eval-Avec impact envisagé'!$A$761:$A$780=AG15)*('Eval-Avec impact envisagé'!$Q$761:$Y$780="A"))+ SUMPRODUCT(('Eval-Avec impact envisagé'!$A$761:$A$780=AG15)*('Eval-Avec impact envisagé'!$Q$761:$Y$780="AL"))),0.7*(SUMPRODUCT(('Eval-Avec impact envisagé'!$A$761:$A$780=AG15)*('Eval-Avec impact envisagé'!$Q$761:$Y$780="TF"))+SUMPRODUCT(('Eval-Avec impact envisagé'!$A$761:$A$780=AG15)*('Eval-Avec impact envisagé'!$Q$761:$Y$780="TM"))+SUMPRODUCT(('Eval-Avec impact envisagé'!$A$761:$A$780=AG15)*('Eval-Avec impact envisagé'!$Q$761:$Y$780="TS"))),0.4*(SUMPRODUCT(('Eval-Avec impact envisagé'!$A$761:$A$780=AG15)*('Eval-Avec impact envisagé'!$Q$761:$Y$780="LA"))+SUMPRODUCT(('Eval-Avec impact envisagé'!$A$761:$A$780=AG15)*('Eval-Avec impact envisagé'!$Q$761:$Y$780="L"))+SUMPRODUCT(('Eval-Avec impact envisagé'!$A$761:$A$780=AG15)*('Eval-Avec impact envisagé'!$Q$761:$Y$780="LS"))),1*(SUMPRODUCT(('Eval-Avec impact envisagé'!$A$761:$A$780=AG15)*('Eval-Avec impact envisagé'!$Q$761:$Y$780="SL"))+ SUMPRODUCT(('Eval-Avec impact envisagé'!$A$761:$A$780=AG15)*('Eval-Avec impact envisagé'!$Q$761:$Y$780="S"))))/(9*COUNTIF('Eval-Avec impact envisagé'!$A$761:$A$780,AG15))),"")</f>
        <v/>
      </c>
      <c r="AY15" s="211" t="str">
        <f>IF(COUNTIF('Eval-Avec impact envisagé'!$A$761:$A$780,AG15)&gt;0,IF(OR(AND('Eval-Avec impact envisagé'!$A$761=AG15,OR(COUNTIF('Eval-Avec impact envisagé'!$N$761:$P$761,"*T*")&gt;0,BD9&lt;30)),AND('Eval-Avec impact envisagé'!$A$762=AG15,OR(COUNTIF('Eval-Avec impact envisagé'!$N$762:$P$762,"*T*")&gt;0,BD10&lt;30)),AND('Eval-Avec impact envisagé'!$A$763=AG15,OR(COUNTIF('Eval-Avec impact envisagé'!$N$763:$P$763,"*T*")&gt;0,BD11&lt;30)),AND('Eval-Avec impact envisagé'!$A$764=AG15,OR(COUNTIF('Eval-Avec impact envisagé'!$N$764:$P$764,"*T*")&gt;0,BD12&lt;30)),AND('Eval-Avec impact envisagé'!$A$765=AG15,OR(COUNTIF('Eval-Avec impact envisagé'!$N$765:$P$765,"*T*")&gt;0,BD13&lt;30)),AND('Eval-Avec impact envisagé'!$A$766=AG15,OR(COUNTIF('Eval-Avec impact envisagé'!$N$766:$P$766,"*T*")&gt;0,BD14&lt;30)),AND('Eval-Avec impact envisagé'!$A$767=AG15,OR(COUNTIF('Eval-Avec impact envisagé'!$N$767:$P$767,"*T*")&gt;0,BD15&lt;30)),AND('Eval-Avec impact envisagé'!$A$768=AG15,OR(COUNTIF('Eval-Avec impact envisagé'!$N$768:$P$768,"*T*")&gt;0,BD16&lt;30)),AND('Eval-Avec impact envisagé'!$A$769=AG15,OR(COUNTIF('Eval-Avec impact envisagé'!$N$769:$P$769,"*T*")&gt;0,BD17&lt;30)),AND('Eval-Avec impact envisagé'!$A$770=AG15,OR(COUNTIF('Eval-Avec impact envisagé'!$N$770:$P$770,"*T*")&gt;0,BD18&lt;30)),AND('Eval-Avec impact envisagé'!$A$771=AG15,OR(COUNTIF('Eval-Avec impact envisagé'!$N$771:$P$771,"*T*")&gt;0,BD19&lt;30)),AND('Eval-Avec impact envisagé'!$A$772=AG15,OR(COUNTIF('Eval-Avec impact envisagé'!$N$772:$P$772,"*T*")&gt;0,BD20&lt;30)),AND('Eval-Avec impact envisagé'!$A$773=AG15,OR(COUNTIF('Eval-Avec impact envisagé'!$N$773:$P$773,"*T*")&gt;0,BD21&lt;30)),AND('Eval-Avec impact envisagé'!$A$774=AG15,OR(COUNTIF('Eval-Avec impact envisagé'!$N$774:$P$774,"*T*")&gt;0,BD22&lt;30)),AND('Eval-Avec impact envisagé'!$A$775=AG15,OR(COUNTIF('Eval-Avec impact envisagé'!$N$775:$P$775,"*T*")&gt;0,BD23&lt;30)),AND('Eval-Avec impact envisagé'!$A$776=AG15,OR(COUNTIF('Eval-Avec impact envisagé'!$N$776:$P$776,"*T*")&gt;0,BD24&lt;30)),AND('Eval-Avec impact envisagé'!$A$777=AG15,OR(COUNTIF('Eval-Avec impact envisagé'!$N$777:$P$777,"*T*")&gt;0,BD25&lt;30)),AND('Eval-Avec impact envisagé'!$A$778=AG15,OR(COUNTIF('Eval-Avec impact envisagé'!$N$778:$P$778,"*T*")&gt;0,BD26&lt;30)),AND('Eval-Avec impact envisagé'!$A$779=AG15,OR(COUNTIF('Eval-Avec impact envisagé'!$N$779:$P$779,"*T*")&gt;0,BD27&lt;30)),AND('Eval-Avec impact envisagé'!$A$780=AG15,OR(COUNTIF('Eval-Avec impact envisagé'!$N$780:$P$780,"*T*")&gt;0,BD28&lt;30))),"",SUM(0.1*(SUMPRODUCT(('Eval-Avec impact envisagé'!$A$761:$A$780=AG15)*('Eval-Avec impact envisagé'!$N$761:$P$780="L"))),0.4*(SUMPRODUCT(('Eval-Avec impact envisagé'!$A$761:$A$780=AG15)*('Eval-Avec impact envisagé'!$N$761:$P$780="LA"))+SUMPRODUCT(('Eval-Avec impact envisagé'!$A$761:$A$780=AG15)*('Eval-Avec impact envisagé'!$N$761:$P$780="LS"))),0.7*(SUMPRODUCT(('Eval-Avec impact envisagé'!$A$761:$A$780=AG15)*('Eval-Avec impact envisagé'!$N$761:$P$780="AL"))+SUMPRODUCT(('Eval-Avec impact envisagé'!$A$761:$A$780=AG15)*('Eval-Avec impact envisagé'!$N$761:$P$780="SL"))),1*(SUMPRODUCT(('Eval-Avec impact envisagé'!$A$761:$A$780=AG15)*('Eval-Avec impact envisagé'!$N$761:$P$780="S"))+ SUMPRODUCT(('Eval-Avec impact envisagé'!$A$761:$A$780=AG15)*('Eval-Avec impact envisagé'!$N$761:$P$780="A"))))/(3*COUNTIF('Eval-Avec impact envisagé'!$A$761:$A$780,AG15))),"")</f>
        <v/>
      </c>
      <c r="AZ15" s="211" t="str">
        <f>IF(COUNTIF('Eval-Avec impact envisagé'!$A$761:$A$780,AG15)&gt;0,IF(OR(AND('Eval-Avec impact envisagé'!$A$761=AG15,OR(COUNTIF('Eval-Avec impact envisagé'!$N$761:$P$761,"*T*")&gt;0,BD9&lt;30)),AND('Eval-Avec impact envisagé'!$A$762=AG15,OR(COUNTIF('Eval-Avec impact envisagé'!$N$762:$P$762,"*T*")&gt;0,BD10&lt;30)),AND('Eval-Avec impact envisagé'!$A$763=AG15,OR(COUNTIF('Eval-Avec impact envisagé'!$N$763:$P$763,"*T*")&gt;0,BD11&lt;30)),AND('Eval-Avec impact envisagé'!$A$764=AG15,OR(COUNTIF('Eval-Avec impact envisagé'!$N$764:$P$764,"*T*")&gt;0,BD12&lt;30)),AND('Eval-Avec impact envisagé'!$A$765=AG15,OR(COUNTIF('Eval-Avec impact envisagé'!$N$765:$P$765,"*T*")&gt;0,BD13&lt;30)),AND('Eval-Avec impact envisagé'!$A$766=AG15,OR(COUNTIF('Eval-Avec impact envisagé'!$N$766:$P$766,"*T*")&gt;0,BD14&lt;30)),AND('Eval-Avec impact envisagé'!$A$767=AG15,OR(COUNTIF('Eval-Avec impact envisagé'!$N$767:$P$767,"*T*")&gt;0,BD15&lt;30)),AND('Eval-Avec impact envisagé'!$A$768=AG15,OR(COUNTIF('Eval-Avec impact envisagé'!$N$768:$P$768,"*T*")&gt;0,BD16&lt;30)),AND('Eval-Avec impact envisagé'!$A$769=AG15,OR(COUNTIF('Eval-Avec impact envisagé'!$N$769:$P$769,"*T*")&gt;0,BD17&lt;30)),AND('Eval-Avec impact envisagé'!$A$770=AG15,OR(COUNTIF('Eval-Avec impact envisagé'!$N$770:$P$770,"*T*")&gt;0,BD18&lt;30)),AND('Eval-Avec impact envisagé'!$A$771=AG15,OR(COUNTIF('Eval-Avec impact envisagé'!$N$771:$P$771,"*T*")&gt;0,BD19&lt;30)),AND('Eval-Avec impact envisagé'!$A$772=AG15,OR(COUNTIF('Eval-Avec impact envisagé'!$N$772:$P$772,"*T*")&gt;0,BD20&lt;30)),AND('Eval-Avec impact envisagé'!$A$773=AG15,OR(COUNTIF('Eval-Avec impact envisagé'!$N$773:$P$773,"*T*")&gt;0,BD21&lt;30)),AND('Eval-Avec impact envisagé'!$A$774=AG15,OR(COUNTIF('Eval-Avec impact envisagé'!$N$774:$P$774,"*T*")&gt;0,BD22&lt;30)),AND('Eval-Avec impact envisagé'!$A$775=AG15,OR(COUNTIF('Eval-Avec impact envisagé'!$N$775:$P$775,"*T*")&gt;0,BD23&lt;30)),AND('Eval-Avec impact envisagé'!$A$776=AG15,OR(COUNTIF('Eval-Avec impact envisagé'!$N$776:$P$776,"*T*")&gt;0,BD24&lt;30)),AND('Eval-Avec impact envisagé'!$A$777=AG15,OR(COUNTIF('Eval-Avec impact envisagé'!$N$777:$P$777,"*T*")&gt;0,BD25&lt;30)),AND('Eval-Avec impact envisagé'!$A$778=AG15,OR(COUNTIF('Eval-Avec impact envisagé'!$N$778:$P$778,"*T*")&gt;0,BD26&lt;30)),AND('Eval-Avec impact envisagé'!$A$779=AG15,OR(COUNTIF('Eval-Avec impact envisagé'!$N$779:$P$779,"*T*")&gt;0,BD27&lt;30)),AND('Eval-Avec impact envisagé'!$A$780=AG15,OR(COUNTIF('Eval-Avec impact envisagé'!$N$780:$P$780,"*T*")&gt;0,BD28&lt;30))),"",SUM(1*(SUMPRODUCT(('Eval-Avec impact envisagé'!$A$761:$A$780=AG15)*('Eval-Avec impact envisagé'!$N$761:$P$780="A"))),0.85*(SUMPRODUCT(('Eval-Avec impact envisagé'!$A$761:$A$780=AG15)*('Eval-Avec impact envisagé'!$N$761:$P$780="AL"))),0.7*(SUMPRODUCT(('Eval-Avec impact envisagé'!$A$761:$A$780=AG15)*('Eval-Avec impact envisagé'!$N$761:$P$780="LA"))),0.55*(SUMPRODUCT(('Eval-Avec impact envisagé'!$A$761:$A$780=AG15)*('Eval-Avec impact envisagé'!$N$761:$P$780="L"))),0.4*(SUMPRODUCT(('Eval-Avec impact envisagé'!$A$761:$A$780=AG15)*('Eval-Avec impact envisagé'!$N$761:$P$780="LS"))),0.25*(SUMPRODUCT(('Eval-Avec impact envisagé'!$A$761:$A$780=AG15)*('Eval-Avec impact envisagé'!$N$761:$P$780="SL"))),0.1*(SUMPRODUCT(('Eval-Avec impact envisagé'!$A$761:$A$780=AG15)*('Eval-Avec impact envisagé'!$N$761:$P$780="S"))))/(3*COUNTIF('Eval-Avec impact envisagé'!$A$761:$A$780,AG15))),"")</f>
        <v/>
      </c>
      <c r="BA15" s="214" t="str">
        <f>IF(COUNTIF('Eval-Avec impact envisagé'!$A$761:$A$780,AG15)&gt;0,IF(OR(AND('Eval-Avec impact envisagé'!$A$761=AG15,OR(COUNTIF('Eval-Avec impact envisagé'!$Q$761:$Y$761,"*T*")&gt;0,BD9&lt;120)),AND('Eval-Avec impact envisagé'!$A$762=AG15,OR(COUNTIF('Eval-Avec impact envisagé'!$Q$762:$Y$762,"*T*")&gt;0,BD10&lt;120)),AND('Eval-Avec impact envisagé'!$A$763=AG15,OR(COUNTIF('Eval-Avec impact envisagé'!$Q$763:$Y$763,"*T*")&gt;0,BD11&lt;120)),AND('Eval-Avec impact envisagé'!$A$764=AG15,OR(COUNTIF('Eval-Avec impact envisagé'!$Q$764:$Y$764,"*T*")&gt;0,BD12&lt;120)),AND('Eval-Avec impact envisagé'!$A$765=AG15,OR(COUNTIF('Eval-Avec impact envisagé'!$Q$765:$Y$765,"*T*")&gt;0,BD13&lt;120)),AND('Eval-Avec impact envisagé'!$A$766=AG15,OR(COUNTIF('Eval-Avec impact envisagé'!$Q$766:$Y$766,"*T*")&gt;0,BD14&lt;120)),AND('Eval-Avec impact envisagé'!$A$767=AG15,OR(COUNTIF('Eval-Avec impact envisagé'!$Q$767:$Y$767,"*T*")&gt;0,BD15&lt;120)),AND('Eval-Avec impact envisagé'!$A$768=AG15,OR(COUNTIF('Eval-Avec impact envisagé'!$Q$768:$Y$768,"*T*")&gt;0,BD16&lt;120)),AND('Eval-Avec impact envisagé'!$A$769=AG15,OR(COUNTIF('Eval-Avec impact envisagé'!$Q$769:$Y$769,"*T*")&gt;0,BD17&lt;120)),AND('Eval-Avec impact envisagé'!$A$770=AG15,OR(COUNTIF('Eval-Avec impact envisagé'!$Q$770:$Y$770,"*T*")&gt;0,BD18&lt;120)),AND('Eval-Avec impact envisagé'!$A$771=AG15,OR(COUNTIF('Eval-Avec impact envisagé'!$Q$771:$Y$771,"*T*")&gt;0,BD19&lt;120)),AND('Eval-Avec impact envisagé'!$A$772=AG15,OR(COUNTIF('Eval-Avec impact envisagé'!$Q$772:$Y$772,"*T*")&gt;0,BD20&lt;120)),AND('Eval-Avec impact envisagé'!$A$773=AG15,OR(COUNTIF('Eval-Avec impact envisagé'!$Q$773:$Y$773,"*T*")&gt;0,BD21&lt;120)),AND('Eval-Avec impact envisagé'!$A$774=AG15,OR(COUNTIF('Eval-Avec impact envisagé'!$Q$774:$Y$774,"*T*")&gt;0,BD22&lt;120)),AND('Eval-Avec impact envisagé'!$A$775=AG15,OR(COUNTIF('Eval-Avec impact envisagé'!$Q$775:$Y$775,"*T*")&gt;0,BD23&lt;120)),AND('Eval-Avec impact envisagé'!$A$776=AG15,OR(COUNTIF('Eval-Avec impact envisagé'!$Q$776:$Y$776,"*T*")&gt;0,BD24&lt;120)),AND('Eval-Avec impact envisagé'!$A$777=AG15,OR(COUNTIF('Eval-Avec impact envisagé'!$Q$777:$Y$777,"*T*")&gt;0,BD25&lt;120)),AND('Eval-Avec impact envisagé'!$A$778=AG15,OR(COUNTIF('Eval-Avec impact envisagé'!$Q$778:$Y$778,"*T*")&gt;0,BD26&lt;120)),AND('Eval-Avec impact envisagé'!$A$779=AG15,OR(COUNTIF('Eval-Avec impact envisagé'!$Q$779:$Y$779,"*T*")&gt;0,BD27&lt;120)),AND('Eval-Avec impact envisagé'!$A$780=AG15,OR(COUNTIF('Eval-Avec impact envisagé'!$Q$780:$Y$780,"*T*")&gt;0,BD28&lt;120))),"",SUM(1*(SUMPRODUCT(('Eval-Avec impact envisagé'!$A$761:$A$780=AG15)*('Eval-Avec impact envisagé'!$Q$761:$Y$780="A"))),0.85*(SUMPRODUCT(('Eval-Avec impact envisagé'!$A$761:$A$780=AG15)*('Eval-Avec impact envisagé'!$Q$761:$Y$780="AL"))),0.7*(SUMPRODUCT(('Eval-Avec impact envisagé'!$A$761:$A$780=AG15)*('Eval-Avec impact envisagé'!$Q$761:$Y$780="LA"))),0.55*(SUMPRODUCT(('Eval-Avec impact envisagé'!$A$761:$A$780=AG15)*('Eval-Avec impact envisagé'!$Q$761:$Y$780="L"))),0.4*(SUMPRODUCT(('Eval-Avec impact envisagé'!$A$761:$A$780=AG15)*('Eval-Avec impact envisagé'!$Q$761:$Y$780="LS"))),0.25*(SUMPRODUCT(('Eval-Avec impact envisagé'!$A$761:$A$780=AG15)*('Eval-Avec impact envisagé'!$Q$761:$Y$780="SL"))),0.1*(SUMPRODUCT(('Eval-Avec impact envisagé'!$A$761:$A$780=AG15)*('Eval-Avec impact envisagé'!$Q$761:$Y$780="S"))))/(9*COUNTIF('Eval-Avec impact envisagé'!$A$761:$A$780,AG15))),"")</f>
        <v/>
      </c>
      <c r="BB15" s="215"/>
      <c r="BC15" s="216">
        <f>'Eval-Avec impact envisagé'!$D$767</f>
        <v>7</v>
      </c>
      <c r="BD15" s="217" t="str">
        <f>IF(BE15="C",0,IF(IF(COUNTIF('Eval-Avec impact envisagé'!$N$767:$Y$767,"=C")&gt;0,(COUNTA('Eval-Avec impact envisagé'!$N$767:$Y$767)-1)*10,COUNTA('Eval-Avec impact envisagé'!$N$767:$Y$767)*10)=0,"",IF(COUNTIF('Eval-Avec impact envisagé'!$N$767:$Y$767,"=C")&gt;0,(COUNTA('Eval-Avec impact envisagé'!$N$767:$Y$767)-1)*10,COUNTA('Eval-Avec impact envisagé'!$N$767:$Y$767)*10)))</f>
        <v/>
      </c>
      <c r="BE15" s="217" t="str">
        <f>CONCATENATE('Eval-Avec impact envisagé'!$N$767,'Eval-Avec impact envisagé'!$O$767,'Eval-Avec impact envisagé'!$P$767,'Eval-Avec impact envisagé'!$Q$767,'Eval-Avec impact envisagé'!$R$767,'Eval-Avec impact envisagé'!$S$767,'Eval-Avec impact envisagé'!$T$767,'Eval-Avec impact envisagé'!$U$767,'Eval-Avec impact envisagé'!$V$767,'Eval-Avec impact envisagé'!$W$767,'Eval-Avec impact envisagé'!$X$767,'Eval-Avec impact envisagé'!$Y$767)</f>
        <v/>
      </c>
      <c r="BF15" s="217" t="str">
        <f t="shared" si="4"/>
        <v/>
      </c>
      <c r="BG15" s="217" t="str">
        <f t="shared" si="5"/>
        <v/>
      </c>
      <c r="BH15" s="217" t="str">
        <f>IF(COUNTIF('Eval-Avec impact envisagé'!$N$767:$Y$767,"=C")&gt;0,"X","")</f>
        <v/>
      </c>
      <c r="BI15" s="217" t="str">
        <f t="shared" si="6"/>
        <v/>
      </c>
      <c r="BJ15" s="218" t="str">
        <f t="shared" si="7"/>
        <v/>
      </c>
      <c r="BK15" s="197"/>
      <c r="BM15" s="210">
        <v>7</v>
      </c>
      <c r="BN15" s="211" t="str">
        <f>IF(COUNTIF('Eval-Après impact'!$A$761:$A$780,BM15)&gt;0,SUM(IF('Eval-Après impact'!$A$761=BM15,'Eval-Après impact'!$B$761,0),IF('Eval-Après impact'!$A$762=BM15, 'Eval-Après impact'!$B$762,0),IF('Eval-Après impact'!$A$763=BM15, 'Eval-Après impact'!$B$763,0),IF('Eval-Après impact'!$A$764=BM15, 'Eval-Après impact'!$B$764,0),IF('Eval-Après impact'!$A$765=BM15, 'Eval-Après impact'!$B$765,0),IF('Eval-Après impact'!$A$766=BM15, 'Eval-Après impact'!$B$766,0),IF('Eval-Après impact'!$A$767=BM15, 'Eval-Après impact'!$B$767,0),IF('Eval-Après impact'!$A$768=BM15, 'Eval-Après impact'!$B$768,0),IF('Eval-Après impact'!$A$769=BM15, 'Eval-Après impact'!$B$769,0),IF('Eval-Après impact'!$A$770=BM15, 'Eval-Après impact'!$B$770,0),IF('Eval-Après impact'!$A$771=BM15, 'Eval-Après impact'!$B$771,0),IF('Eval-Après impact'!$A$772=BM15, 'Eval-Après impact'!$B$772,0),IF('Eval-Après impact'!$A$773=BM15, 'Eval-Après impact'!$B$773,0),IF('Eval-Après impact'!$A$774=BM15, 'Eval-Après impact'!$B$774,0),IF('Eval-Après impact'!$A$775=BM15, 'Eval-Après impact'!$B$775,0),IF('Eval-Après impact'!$A$776=BM15, 'Eval-Après impact'!$B$776,0),IF('Eval-Après impact'!$A$777=BM15, 'Eval-Après impact'!$B$777,0),IF('Eval-Après impact'!$A$778=BM15, 'Eval-Après impact'!$B$778,0),IF('Eval-Après impact'!$A$779=BM15, 'Eval-Après impact'!$B$779,0),IF('Eval-Après impact'!$A$780=BM15, 'Eval-Après impact'!$B$780,0))/COUNTIF('Eval-Après impact'!$A$761:$A$780,BM15),"")</f>
        <v/>
      </c>
      <c r="BO15" s="212" t="str">
        <f>IF(COUNTIF('Eval-Après impact'!$A$761:$A$780,BM15)&gt;0,COUNTIF('Eval-Après impact'!$A$761:$A$780,BM15),"")</f>
        <v/>
      </c>
      <c r="BP15" s="211" t="str">
        <f>IF(COUNTIF('Eval-Après impact'!$A$761:$A$780,BM15)&gt;0,IF(OR(AND('Eval-Après impact'!$A$761=BM15, 'Eval-Après impact'!$G$761=""),AND('Eval-Après impact'!$A$762=BM15, 'Eval-Après impact'!$G$762=""),AND('Eval-Après impact'!$A$763=BM15, 'Eval-Après impact'!$G$763=""),AND('Eval-Après impact'!$A$764=BM15, 'Eval-Après impact'!$G$764=""),AND('Eval-Après impact'!$A$765=BM15, 'Eval-Après impact'!$G$765=""),AND('Eval-Après impact'!$A$766=BM15, 'Eval-Après impact'!$G$766=""),AND('Eval-Après impact'!$A$767=BM15, 'Eval-Après impact'!$G$767=""),AND('Eval-Après impact'!$A$768=BM15, 'Eval-Après impact'!$G$768=""),AND('Eval-Après impact'!$A$769=BM15, 'Eval-Après impact'!$G$769=""),AND('Eval-Après impact'!$A$770=BM15, 'Eval-Après impact'!$G$770=""),AND('Eval-Après impact'!$A$771=BM15, 'Eval-Après impact'!$G$771=""),AND('Eval-Après impact'!$A$772=BM15, 'Eval-Après impact'!$G$772=""),AND('Eval-Après impact'!$A$773=BM15, 'Eval-Après impact'!$G$773=""),AND('Eval-Après impact'!$A$774=BM15, 'Eval-Après impact'!$G$774=""),AND('Eval-Après impact'!$A$775=BM15, 'Eval-Après impact'!$G$775=""),AND('Eval-Après impact'!$A$776=BM15, 'Eval-Après impact'!$G$776=""),AND('Eval-Après impact'!$A$777=BM15, 'Eval-Après impact'!$G$777=""),AND('Eval-Après impact'!$A$778=BM15, 'Eval-Après impact'!$G$778=""),AND('Eval-Après impact'!$A$779=BM15, 'Eval-Après impact'!$G$779=""),AND('Eval-Après impact'!$A$780=BM15, 'Eval-Après impact'!$G$780="")),"",SUM(IF('Eval-Après impact'!$A$761=BM15,'Eval-Après impact'!$G$761,0),IF('Eval-Après impact'!$A$762=BM15,'Eval-Après impact'!$G$762,0),IF('Eval-Après impact'!$A$763=BM15,'Eval-Après impact'!$G$763,0),IF('Eval-Après impact'!$A$764=BM15,'Eval-Après impact'!$G$764,0),IF('Eval-Après impact'!$A$765=BM15,'Eval-Après impact'!$G$765,0),IF('Eval-Après impact'!$A$766=BM15,'Eval-Après impact'!$G$766,0),IF('Eval-Après impact'!$A$767=BM15,'Eval-Après impact'!$G$767,0),IF('Eval-Après impact'!$A$768=BM15,'Eval-Après impact'!$G$768,0),IF('Eval-Après impact'!$A$769=BM15,'Eval-Après impact'!$G$769,0),IF('Eval-Après impact'!$A$770=BM15,'Eval-Après impact'!$G$770,0),IF('Eval-Après impact'!$A$771=BM15,'Eval-Après impact'!$G$771,0),IF('Eval-Après impact'!$A$772=BM15,'Eval-Après impact'!$G$772,0),IF('Eval-Après impact'!$A$773=BM15,'Eval-Après impact'!$G$773,0),IF('Eval-Après impact'!$A$774=BM15,'Eval-Après impact'!$G$774,0),IF('Eval-Après impact'!$A$775=BM15,'Eval-Après impact'!$G$775,0), IF('Eval-Après impact'!$A$776=BM15,'Eval-Après impact'!$G$776,0), IF('Eval-Après impact'!$A$777=BM15,'Eval-Après impact'!$G$777,0), IF('Eval-Après impact'!$A$778=BM15,'Eval-Après impact'!$G$778,0), IF('Eval-Après impact'!$A$779=BM15,'Eval-Après impact'!$G$779,0), IF('Eval-Après impact'!$A$780=BM15,'Eval-Après impact'!$G$780,0))/ COUNTIF('Eval-Après impact'!$A$761:$A$780,BM15)),"")</f>
        <v/>
      </c>
      <c r="BQ15" s="212" t="str">
        <f>IF(COUNTIF('Eval-Après impact'!$A$761:$A$780,BM15)&gt;0,IF(SUM(IF('Eval-Après impact'!$A$761=BM15,COUNTA('Eval-Après impact'!$H$761),0),IF('Eval-Après impact'!$A$762=BM15,COUNTA('Eval-Après impact'!$H$762),0),IF('Eval-Après impact'!$A$763=BM15,COUNTA('Eval-Après impact'!$H$763),0),IF('Eval-Après impact'!$A$764=BM15,COUNTA('Eval-Après impact'!$H$764),0),IF('Eval-Après impact'!$A$765=BM15,COUNTA('Eval-Après impact'!$H$765),0),IF('Eval-Après impact'!$A$766=BM15,COUNTA('Eval-Après impact'!$H$766),0),IF('Eval-Après impact'!$A$767=BM15,COUNTA('Eval-Après impact'!$H$767),0),IF('Eval-Après impact'!$A$768=BM15,COUNTA('Eval-Après impact'!$H$768),0),IF('Eval-Après impact'!$A$769=BM15,COUNTA('Eval-Après impact'!$H$769),0),IF('Eval-Après impact'!$A$770=BM15,COUNTA('Eval-Après impact'!$H$770),0),IF('Eval-Après impact'!$A$771=BM15,COUNTA('Eval-Après impact'!$H$771),0),IF('Eval-Après impact'!$A$772=BM15,COUNTA('Eval-Après impact'!$H$772),0),IF('Eval-Après impact'!$A$773=BM15,COUNTA('Eval-Après impact'!$H$773),0),IF('Eval-Après impact'!$A$774=BM15,COUNTA('Eval-Après impact'!$H$774),0),IF('Eval-Après impact'!$A$775=BM15,COUNTA('Eval-Après impact'!$H$775),0),IF('Eval-Après impact'!$A$776=BM15,COUNTA('Eval-Après impact'!$H$776),0),IF('Eval-Après impact'!$A$777=BM15,COUNTA('Eval-Après impact'!$H$777),0),IF('Eval-Après impact'!$A$778=BM15,COUNTA('Eval-Après impact'!$H$778),0),IF('Eval-Après impact'!$A$779=BM15,COUNTA('Eval-Après impact'!$H$779),0),IF('Eval-Après impact'!$A$780=BM15,COUNTA('Eval-Après impact'!$H$780),0))&gt;0,"X",0),"")</f>
        <v/>
      </c>
      <c r="BR15" s="213" t="str">
        <f>IF(COUNTIF('Eval-Après impact'!$A$761:$A$780,BM15)&gt;0,IF(SUM(IF('Eval-Après impact'!$A$761=BM15,COUNTA('Eval-Après impact'!$I$761),0),IF('Eval-Après impact'!$A$762=BM15,COUNTA('Eval-Après impact'!$I$762),0),IF('Eval-Après impact'!$A$763=BM15,COUNTA('Eval-Après impact'!$I$763),0),IF('Eval-Après impact'!$A$764=BM15,COUNTA('Eval-Après impact'!$I$764),0),IF('Eval-Après impact'!$A$765=BM15,COUNTA('Eval-Après impact'!$I$765),0),IF('Eval-Après impact'!$A$766=BM15,COUNTA('Eval-Après impact'!$I$766),0),IF('Eval-Après impact'!$A$767=BM15,COUNTA('Eval-Après impact'!$I$767),0),IF('Eval-Après impact'!$A$768=BM15,COUNTA('Eval-Après impact'!$I$768),0),IF('Eval-Après impact'!$A$769=BM15,COUNTA('Eval-Après impact'!$I$769),0),IF('Eval-Après impact'!$A$770=BM15,COUNTA('Eval-Après impact'!$I$770),0),IF('Eval-Après impact'!$A$771=BM15,COUNTA('Eval-Après impact'!$I$771),0),IF('Eval-Après impact'!$A$772=BM15,COUNTA('Eval-Après impact'!$I$772),0),IF('Eval-Après impact'!$A$773=BM15,COUNTA('Eval-Après impact'!$I$773),0),IF('Eval-Après impact'!$A$774=BM15,COUNTA('Eval-Après impact'!$I$774),0),IF('Eval-Après impact'!$A$775=BM15,COUNTA('Eval-Après impact'!$I$775),0),IF('Eval-Après impact'!$A$776=BM15,COUNTA('Eval-Après impact'!$I$776),0),IF('Eval-Après impact'!$A$777=BM15,COUNTA('Eval-Après impact'!$I$777),0),IF('Eval-Après impact'!$A$778=BM15,COUNTA('Eval-Après impact'!$I$778),0),IF('Eval-Après impact'!$A$779=BM15,COUNTA('Eval-Après impact'!$I$779),0),IF('Eval-Après impact'!$A$780=BM15,COUNTA('Eval-Après impact'!$I$780),0))&gt;0,"X",0),"")</f>
        <v/>
      </c>
      <c r="BS15" s="213" t="str">
        <f>IF(COUNTIF('Eval-Après impact'!$A$761:$A$780,BM15)&gt;0,IF(SUM(IF('Eval-Après impact'!$A$761=BM15,COUNTA('Eval-Après impact'!$J$761),0),IF('Eval-Après impact'!$A$762=BM15,COUNTA('Eval-Après impact'!$J$762),0),IF('Eval-Après impact'!$A$763=BM15,COUNTA('Eval-Après impact'!$J$763),0),IF('Eval-Après impact'!$A$764=BM15,COUNTA('Eval-Après impact'!$J$764),0),IF('Eval-Après impact'!$A$765=BM15,COUNTA('Eval-Après impact'!$J$765),0),IF('Eval-Après impact'!$A$766=BM15,COUNTA('Eval-Après impact'!$J$766),0),IF('Eval-Après impact'!$A$767=BM15,COUNTA('Eval-Après impact'!$J$767),0),IF('Eval-Après impact'!$A$768=BM15,COUNTA('Eval-Après impact'!$J$768),0),IF('Eval-Après impact'!$A$769=BM15,COUNTA('Eval-Après impact'!$J$769),0),IF('Eval-Après impact'!$A$770=BM15,COUNTA('Eval-Après impact'!$J$770),0),IF('Eval-Après impact'!$A$771=BM15,COUNTA('Eval-Après impact'!$J$771),0),IF('Eval-Après impact'!$A$772=BM15,COUNTA('Eval-Après impact'!$J$772),0),IF('Eval-Après impact'!$A$773=BM15,COUNTA('Eval-Après impact'!$J$773),0),IF('Eval-Après impact'!$A$774=BM15,COUNTA('Eval-Après impact'!$J$774),0),IF('Eval-Après impact'!$A$775=BM15,COUNTA('Eval-Après impact'!$J$775),0),IF('Eval-Après impact'!$A$776=BM15,COUNTA('Eval-Après impact'!$J$776),0),IF('Eval-Après impact'!$A$777=BM15,COUNTA('Eval-Après impact'!$J$777),0),IF('Eval-Après impact'!$A$778=BM15,COUNTA('Eval-Après impact'!$J$778),0),IF('Eval-Après impact'!$A$779=BM15,COUNTA('Eval-Après impact'!$J$779),0),IF('Eval-Après impact'!$A$780=BM15,COUNTA('Eval-Après impact'!$J$780),0))&gt;0,"X",0),"")</f>
        <v/>
      </c>
      <c r="BT15" s="213" t="str">
        <f>IF(COUNTIF('Eval-Après impact'!$A$761:$A$780,BM15)&gt;0,IF(SUM(IF('Eval-Après impact'!$A$761=BM15,COUNTA('Eval-Après impact'!$K$761),0),IF('Eval-Après impact'!$A$762=BM15,COUNTA('Eval-Après impact'!$K$762),0),IF('Eval-Après impact'!$A$763=BM15,COUNTA('Eval-Après impact'!$K$763),0),IF('Eval-Après impact'!$A$764=BM15,COUNTA('Eval-Après impact'!$K$764),0),IF('Eval-Après impact'!$A$765=BM15,COUNTA('Eval-Après impact'!$K$765),0),IF('Eval-Après impact'!$A$766=BM15,COUNTA('Eval-Après impact'!$K$766),0),IF('Eval-Après impact'!$A$767=BM15,COUNTA('Eval-Après impact'!$K$767),0),IF('Eval-Après impact'!$A$768=BM15,COUNTA('Eval-Après impact'!$K$768),0),IF('Eval-Après impact'!$A$769=BM15,COUNTA('Eval-Après impact'!$K$769),0),IF('Eval-Après impact'!$A$770=BM15,COUNTA('Eval-Après impact'!$K$770),0),IF('Eval-Après impact'!$A$771=BM15,COUNTA('Eval-Après impact'!$K$771),0),IF('Eval-Après impact'!$A$772=BM15,COUNTA('Eval-Après impact'!$K$772),0),IF('Eval-Après impact'!$A$773=BM15,COUNTA('Eval-Après impact'!$K$773),0),IF('Eval-Après impact'!$A$774=BM15,COUNTA('Eval-Après impact'!$K$774),0),IF('Eval-Après impact'!$A$775=BM15,COUNTA('Eval-Après impact'!$K$775),0),IF('Eval-Après impact'!$A$776=BM15,COUNTA('Eval-Après impact'!$K$776),0),IF('Eval-Après impact'!$A$777=BM15,COUNTA('Eval-Après impact'!$K$777),0),IF('Eval-Après impact'!$A$778=BM15,COUNTA('Eval-Après impact'!$K$778),0),IF('Eval-Après impact'!$A$779=BM15,COUNTA('Eval-Après impact'!$K$779),0),IF('Eval-Après impact'!$A$780=BM15,COUNTA('Eval-Après impact'!$K$780),0))&gt;0,"X",0),"")</f>
        <v/>
      </c>
      <c r="BU15" s="211" t="str">
        <f>IF(COUNTIF('Eval-Après impact'!$A$761:$A$780,BM15)&gt;0,IF(OR(AND('Eval-Après impact'!$A$761=BM15,'Eval-Après impact'!$L$761&lt;120,'Eval-Après impact'!$L$761&gt;=CJ9),AND('Eval-Après impact'!$A$762=BM15,'Eval-Après impact'!$L$762&lt;120,'Eval-Après impact'!$L$762&gt;=CJ10),AND('Eval-Après impact'!$A$763=BM15,'Eval-Après impact'!$L$763&lt;120,'Eval-Après impact'!$L$763&gt;=CJ11),AND('Eval-Après impact'!$A$764=BM15,'Eval-Après impact'!$L$764&lt;120,'Eval-Après impact'!$L$764&gt;=CJ12),AND('Eval-Après impact'!$A$765=BM15,'Eval-Après impact'!$L$765&lt;120,'Eval-Après impact'!$L$765&gt;=CJ13),AND('Eval-Après impact'!$A$766=BM15,'Eval-Après impact'!$L$766&lt;120,'Eval-Après impact'!$L$766&gt;=CJ14),AND('Eval-Après impact'!$A$767=BM15,'Eval-Après impact'!$L$767&lt;120,'Eval-Après impact'!$L$767&gt;=CJ15),AND('Eval-Après impact'!$A$768=BM15,'Eval-Après impact'!$L$768&lt;120,'Eval-Après impact'!$L$768&gt;=CJ16),AND('Eval-Après impact'!$A$769=BM15,'Eval-Après impact'!$L$769&lt;120,'Eval-Après impact'!$L$769&gt;=CJ17),AND('Eval-Après impact'!$A$770=BM15,'Eval-Après impact'!$L$770&lt;120,'Eval-Après impact'!$L$770&gt;=CJ18),AND('Eval-Après impact'!$A$771=BM15,'Eval-Après impact'!$L$771&lt;120,'Eval-Après impact'!$L$771&gt;=CJ19),AND('Eval-Après impact'!$A$772=BM15,'Eval-Après impact'!$L$772&lt;120,'Eval-Après impact'!$L$772&gt;=CJ20),AND('Eval-Après impact'!$A$773=BM15,'Eval-Après impact'!$L$773&lt;120,'Eval-Après impact'!$L$773&gt;=CJ21),AND('Eval-Après impact'!$A$774=BM15,'Eval-Après impact'!$L$774&lt;120,'Eval-Après impact'!$L$774&gt;=CJ22),AND('Eval-Après impact'!$A$775=BM15,'Eval-Après impact'!$L$775&lt;120,'Eval-Après impact'!$L$775&gt;=CJ23),AND('Eval-Après impact'!$A$776=BM15,'Eval-Après impact'!$L$776&lt;120,'Eval-Après impact'!$L$776&gt;=CJ24),AND('Eval-Après impact'!$A$777=BM15,'Eval-Après impact'!$L$777&lt;120,'Eval-Après impact'!$L$777&gt;=CJ25),AND('Eval-Après impact'!$A$778=BM15,'Eval-Après impact'!$L$778&lt;120,'Eval-Après impact'!$L$778&gt;=CJ26),AND('Eval-Après impact'!$A$779=BM15,'Eval-Après impact'!$L$779&lt;120,'Eval-Après impact'!$L$779&gt;=CJ27),AND('Eval-Après impact'!$A$780=BM15,'Eval-Après impact'!$L$780&lt;120,'Eval-Après impact'!$L$780&gt;=CJ28)),"",SUM(IF('Eval-Après impact'!$A$761=BM15,'Eval-Après impact'!$L$761,0),IF('Eval-Après impact'!$A$762=BM15,'Eval-Après impact'!$L$762,0),IF('Eval-Après impact'!$A$763=BM15,'Eval-Après impact'!$L$763,0),IF('Eval-Après impact'!$A$764=BM15,'Eval-Après impact'!$L$764,0),IF('Eval-Après impact'!$A$765=BM15,'Eval-Après impact'!$L$765,0),IF('Eval-Après impact'!$A$766=BM15,'Eval-Après impact'!$L$766,0),IF('Eval-Après impact'!$A$767=BM15,'Eval-Après impact'!$L$767,0),IF('Eval-Après impact'!$A$768=BM15,'Eval-Après impact'!$L$768,0),IF('Eval-Après impact'!$A$769=BM15,'Eval-Après impact'!$L$769,0),IF('Eval-Après impact'!$A$770=BM15,'Eval-Après impact'!$L$770,0),IF('Eval-Après impact'!$A$771=BM15,'Eval-Après impact'!$L$771,0),IF('Eval-Après impact'!$A$772=BM15,'Eval-Après impact'!$L$772,0),IF('Eval-Après impact'!$A$773=BM15,'Eval-Après impact'!$L$773,0),IF('Eval-Après impact'!$A$774=BM15,'Eval-Après impact'!$L$774,0),IF('Eval-Après impact'!$A$775=BM15,'Eval-Après impact'!$L$775,0),IF('Eval-Après impact'!$A$776=BM15,'Eval-Après impact'!$L$776,0),IF('Eval-Après impact'!$A$777=BM15,'Eval-Après impact'!$L$777,0),IF('Eval-Après impact'!$A$778=BM15,'Eval-Après impact'!$L$778,0),IF('Eval-Après impact'!$A$779=BM15,'Eval-Après impact'!$L$779,0),IF('Eval-Après impact'!$A$780=BM15,'Eval-Après impact'!$L$780,0))/ COUNTIF('Eval-Après impact'!$A$761:$A$780,BM15)),"")</f>
        <v/>
      </c>
      <c r="BV15" s="211" t="str">
        <f>IF(COUNTIF('Eval-Après impact'!$A$761:$A$780,BM15)&gt;0,IF(OR(AND('Eval-Après impact'!$A$761=BM15, CJ9&lt;120),AND(CJ10&lt;120),AND(CJ11&lt;120),AND(CJ12&lt;120),AND(CJ13&lt;120),AND(CJ14&lt;120),AND(CJ15&lt;120),AND(CJ16&lt;120),AND(CJ17&lt;120),AND(CJ18&lt;120),AND(CJ19&lt;120),AND(CJ20&lt;120),AND(CJ21&lt;120),AND(CJ22&lt;120),AND(CJ23&lt;120),AND(CJ24&lt;120),AND(CJ25&lt;120),AND(CJ26&lt;120),AND(CJ27&lt;120),AND(CJ28&lt;120)),"",SUM(IF('Eval-Après impact'!$A$761=BM15,'Eval-Après impact'!$M$761,0),IF('Eval-Après impact'!$A$762=BM15,'Eval-Après impact'!$M$762,0),IF('Eval-Après impact'!$A$763=BM15,'Eval-Après impact'!$M$763,0),IF('Eval-Après impact'!$A$764=BM15,'Eval-Après impact'!$M$764,0),IF('Eval-Après impact'!$A$765=BM15,'Eval-Après impact'!$M$765,0),IF('Eval-Après impact'!$A$766=BM15,'Eval-Après impact'!$M$766,0),IF('Eval-Après impact'!$A$767=BM15,'Eval-Après impact'!$M$767,0),IF('Eval-Après impact'!$A$768=BM15,'Eval-Après impact'!$M$768,0),IF('Eval-Après impact'!$A$769=BM15,'Eval-Après impact'!$M$769,0),IF('Eval-Après impact'!$A$770=BM15,'Eval-Après impact'!$M$770,0),IF('Eval-Après impact'!$A$771=BM15,'Eval-Après impact'!$M$771,0),IF('Eval-Après impact'!$A$772=BM15,'Eval-Après impact'!$M$772,0),IF('Eval-Après impact'!$A$773=BM15,'Eval-Après impact'!$M$773,0),IF('Eval-Après impact'!$A$774=BM15,'Eval-Après impact'!$M$774,0),IF('Eval-Après impact'!$A$775=BM15,'Eval-Après impact'!$M$775,0), IF('Eval-Après impact'!$A$776=BM15,'Eval-Après impact'!$M$776,0), IF('Eval-Après impact'!$A$777=BM15,'Eval-Après impact'!$M$777,0), IF('Eval-Après impact'!$A$778=BM15,'Eval-Après impact'!$M$778,0), IF('Eval-Après impact'!$A$779=BM15,'Eval-Après impact'!$M$779,0), IF('Eval-Après impact'!$A$780=BM15,'Eval-Après impact'!$M$780,0))/COUNTIF('Eval-Après impact'!$A$761:$A$780,BM15)),"")</f>
        <v/>
      </c>
      <c r="BW15" s="211" t="str">
        <f>IF(COUNTIF('Eval-Après impact'!$A$761:$A$780,BM15)&gt;0,SUM(IF('Eval-Après impact'!$A$761=BM15,LEN(SUBSTITUTE((SUBSTITUTE(CL9,"TM","")),"TS",""))*10/2,0),IF('Eval-Après impact'!$A$762=BM15,LEN(SUBSTITUTE((SUBSTITUTE(CL10,"TM","")),"TS",""))*10/2,0),IF('Eval-Après impact'!$A$763=BM15,LEN(SUBSTITUTE((SUBSTITUTE(CL11,"TM","")),"TS",""))*10/2,0),IF('Eval-Après impact'!$A$764=BM15,LEN(SUBSTITUTE((SUBSTITUTE(CL12,"TM","")),"TS",""))*10/2,0),IF('Eval-Après impact'!$A$765=BM15,LEN(SUBSTITUTE((SUBSTITUTE(CL13,"TM","")),"TS",""))*10/2,0),IF('Eval-Après impact'!$A$766=BM15,LEN(SUBSTITUTE((SUBSTITUTE(CL14,"TM","")),"TS",""))*10/2,0),IF('Eval-Après impact'!$A$767=BM15,LEN(SUBSTITUTE((SUBSTITUTE(CL15,"TM","")),"TS",""))*10/2,0),IF('Eval-Après impact'!$A$768=BM15,LEN(SUBSTITUTE((SUBSTITUTE(CL16,"TM","")),"TS",""))*10/2,0),IF('Eval-Après impact'!$A$769=BM15,LEN(SUBSTITUTE((SUBSTITUTE(CL17,"TM","")),"TS",""))*10/2,0),IF('Eval-Après impact'!$A$770=BM15,LEN(SUBSTITUTE((SUBSTITUTE(CL18,"TM","")),"TS",""))*10/2,0),IF('Eval-Après impact'!$A$771=BM15,LEN(SUBSTITUTE((SUBSTITUTE(CL19,"TM","")),"TS",""))*10/2,0),IF('Eval-Après impact'!$A$772=BM15,LEN(SUBSTITUTE((SUBSTITUTE(CL20,"TM","")),"TS",""))*10/2,0),IF('Eval-Après impact'!$A$773=BM15,LEN(SUBSTITUTE((SUBSTITUTE(CL21,"TM","")),"TS",""))*10/2,0),IF('Eval-Après impact'!$A$774=BM15,LEN(SUBSTITUTE((SUBSTITUTE(CL22,"TM","")),"TS",""))*10/2,0),IF('Eval-Après impact'!$A$775=BM15,LEN(SUBSTITUTE((SUBSTITUTE(CL23,"TM","")),"TS",""))*10/2,0),IF('Eval-Après impact'!$A$776=BM15,LEN(SUBSTITUTE((SUBSTITUTE(CL24,"TM","")),"TS",""))*10/2,0),IF('Eval-Après impact'!$A$777=BM15,LEN(SUBSTITUTE((SUBSTITUTE(CL25,"TM","")),"TS",""))*10/2,0),IF('Eval-Après impact'!$A$778=BM15,LEN(SUBSTITUTE((SUBSTITUTE(CL26,"TM","")),"TS",""))*10/2,0),IF('Eval-Après impact'!$A$779=BM15,LEN(SUBSTITUTE((SUBSTITUTE(CL27,"TM","")),"TS",""))*10/2,0),IF('Eval-Après impact'!$A$780=BM15,LEN(SUBSTITUTE((SUBSTITUTE(CL28,"TM","")),"TS",""))*10/2,0))/COUNTIF('Eval-Après impact'!$A$761:$A$780,BM15),"")</f>
        <v/>
      </c>
      <c r="BX15" s="211" t="str">
        <f>IF(COUNTIF('Eval-Après impact'!$A$761:$A$780,BM15)&gt;0,SUM(IF('Eval-Après impact'!$A$761=BM15,LEN(SUBSTITUTE((SUBSTITUTE(CL9,"TF","")),"TS",""))*10/2,0),IF('Eval-Après impact'!$A$762=BM15,LEN(SUBSTITUTE((SUBSTITUTE(CL10,"TF","")),"TS",""))*10/2,0),IF('Eval-Après impact'!$A$763=BM15,LEN(SUBSTITUTE((SUBSTITUTE(CL11,"TF","")),"TS",""))*10/2,0),IF('Eval-Après impact'!$A$764=BM15,LEN(SUBSTITUTE((SUBSTITUTE(CL12,"TF","")),"TS",""))*10/2,0),IF('Eval-Après impact'!$A$765=BM15,LEN(SUBSTITUTE((SUBSTITUTE(CL13,"TF","")),"TS",""))*10/2,0),IF('Eval-Après impact'!$A$766=BM15,LEN(SUBSTITUTE((SUBSTITUTE(CL14,"TF","")),"TS",""))*10/2,0),IF('Eval-Après impact'!$A$767=BM15,LEN(SUBSTITUTE((SUBSTITUTE(CL15,"TF","")),"TS",""))*10/2,0),IF('Eval-Après impact'!$A$768=BM15,LEN(SUBSTITUTE((SUBSTITUTE(CL16,"TF","")),"TS",""))*10/2,0),IF('Eval-Après impact'!$A$769=BM15,LEN(SUBSTITUTE((SUBSTITUTE(CL17,"TF","")),"TS",""))*10/2,0),IF('Eval-Après impact'!$A$770=BM15,LEN(SUBSTITUTE((SUBSTITUTE(CL18,"TF","")),"TS",""))*10/2,0),IF('Eval-Après impact'!$A$771=BM15,LEN(SUBSTITUTE((SUBSTITUTE(CL19,"TF","")),"TS",""))*10/2,0),IF('Eval-Après impact'!$A$772=BM15,LEN(SUBSTITUTE((SUBSTITUTE(CL20,"TF","")),"TS",""))*10/2,0),IF('Eval-Après impact'!$A$773=BM15,LEN(SUBSTITUTE((SUBSTITUTE(CL21,"TF","")),"TS",""))*10/2,0),IF('Eval-Après impact'!$A$774=BM15,LEN(SUBSTITUTE((SUBSTITUTE(CL22,"TF","")),"TS",""))*10/2,0),IF('Eval-Après impact'!$A$775=BM15,LEN(SUBSTITUTE((SUBSTITUTE(CL23,"TF","")),"TS",""))*10/2,0),IF('Eval-Après impact'!$A$776=BM15,LEN(SUBSTITUTE((SUBSTITUTE(CL24,"TF","")),"TS",""))*10/2,0),IF('Eval-Après impact'!$A$777=BM15,LEN(SUBSTITUTE((SUBSTITUTE(CL25,"TF","")),"TS",""))*10/2,0),IF('Eval-Après impact'!$A$778=BM15,LEN(SUBSTITUTE((SUBSTITUTE(CL26,"TF","")),"TS",""))*10/2,0),IF('Eval-Après impact'!$A$779=BM15,LEN(SUBSTITUTE((SUBSTITUTE(CL27,"TF","")),"TS",""))*10/2,0),IF('Eval-Après impact'!$A$780=BM15,LEN(SUBSTITUTE((SUBSTITUTE(CL28,"TF","")),"TS",""))*10/2,0))/COUNTIF('Eval-Après impact'!$A$761:$A$780,BM15),"")</f>
        <v/>
      </c>
      <c r="BY15" s="211" t="str">
        <f>IF(COUNTIF('Eval-Après impact'!$A$761:$A$780,BM15)&gt;0,SUM(IF('Eval-Après impact'!$A$761=BM15,LEN(SUBSTITUTE((SUBSTITUTE(CL9,"TF","")),"TM",""))*10/2,0),IF('Eval-Après impact'!$A$762=BM15,LEN(SUBSTITUTE((SUBSTITUTE(CL10,"TF","")),"TM",""))*10/2,0),IF('Eval-Après impact'!$A$763=BM15,LEN(SUBSTITUTE((SUBSTITUTE(CL11,"TF","")),"TM",""))*10/2,0),IF('Eval-Après impact'!$A$764=BM15,LEN(SUBSTITUTE((SUBSTITUTE(CL12,"TF","")),"TM",""))*10/2,0),IF('Eval-Après impact'!$A$765=BM15,LEN(SUBSTITUTE((SUBSTITUTE(CL13,"TF","")),"TM",""))*10/2,0),IF('Eval-Après impact'!$A$766=BM15,LEN(SUBSTITUTE((SUBSTITUTE(CL14,"TF","")),"TM",""))*10/2,0),IF('Eval-Après impact'!$A$767=BM15,LEN(SUBSTITUTE((SUBSTITUTE(CL15,"TF","")),"TM",""))*10/2,0),IF('Eval-Après impact'!$A$768=BM15,LEN(SUBSTITUTE((SUBSTITUTE(CL16,"TF","")),"TM",""))*10/2,0),IF('Eval-Après impact'!$A$769=BM15,LEN(SUBSTITUTE((SUBSTITUTE(CL17,"TF","")),"TM",""))*10/2,0),IF('Eval-Après impact'!$A$770=BM15,LEN(SUBSTITUTE((SUBSTITUTE(CL18,"TF","")),"TM",""))*10/2,0),IF('Eval-Après impact'!$A$771=BM15,LEN(SUBSTITUTE((SUBSTITUTE(CL19,"TF","")),"TM",""))*10/2,0),IF('Eval-Après impact'!$A$772=BM15,LEN(SUBSTITUTE((SUBSTITUTE(CL20,"TF","")),"TM",""))*10/2,0),IF('Eval-Après impact'!$A$773=BM15,LEN(SUBSTITUTE((SUBSTITUTE(CL21,"TF","")),"TM",""))*10/2,0),IF('Eval-Après impact'!$A$774=BM15,LEN(SUBSTITUTE((SUBSTITUTE(CL22,"TF","")),"TM",""))*10/2,0),IF('Eval-Après impact'!$A$775=BM15,LEN(SUBSTITUTE((SUBSTITUTE(CL23,"TF","")),"TM",""))*10/2,0),IF('Eval-Après impact'!$A$776=BM15,LEN(SUBSTITUTE((SUBSTITUTE(CL24,"TF","")),"TM",""))*10/2,0),IF('Eval-Après impact'!$A$777=BM15,LEN(SUBSTITUTE((SUBSTITUTE(CL25,"TF","")),"TM",""))*10/2,0),IF('Eval-Après impact'!$A$778=BM15,LEN(SUBSTITUTE((SUBSTITUTE(CL26,"TF","")),"TM",""))*10/2,0),IF('Eval-Après impact'!$A$779=BM15,LEN(SUBSTITUTE((SUBSTITUTE(CL27,"TF","")),"TM",""))*10/2,0),IF('Eval-Après impact'!$A$780=BM15,LEN(SUBSTITUTE((SUBSTITUTE(CL28,"TF","")),"TM",""))*10/2,0))/COUNTIF('Eval-Après impact'!$A$761:$A$780,BM15),"")</f>
        <v/>
      </c>
      <c r="BZ15" s="211" t="str">
        <f>IF(COUNTIF('Eval-Après impact'!$A$761:$A$780,BM15)&gt;0,SUM(IF('Eval-Après impact'!$A$761=BM15,LEN(SUBSTITUTE((SUBSTITUTE(CM9,"TM","")),"TS",""))*10/2,0),IF('Eval-Après impact'!$A$762=BM15,LEN(SUBSTITUTE((SUBSTITUTE(CM10,"TM","")),"TS",""))*10/2,0),IF('Eval-Après impact'!$A$763=BM15,LEN(SUBSTITUTE((SUBSTITUTE(CM11,"TM","")),"TS",""))*10/2,0),IF('Eval-Après impact'!$A$764=BM15,LEN(SUBSTITUTE((SUBSTITUTE(CM12,"TM","")),"TS",""))*10/2,0),IF('Eval-Après impact'!$A$765=BM15,LEN(SUBSTITUTE((SUBSTITUTE(CM13,"TM","")),"TS",""))*10/2,0),IF('Eval-Après impact'!$A$766=BM15,LEN(SUBSTITUTE((SUBSTITUTE(CM14,"TM","")),"TS",""))*10/2,0),IF('Eval-Après impact'!$A$767=BM15,LEN(SUBSTITUTE((SUBSTITUTE(CM15,"TM","")),"TS",""))*10/2,0),IF('Eval-Après impact'!$A$768=BM15,LEN(SUBSTITUTE((SUBSTITUTE(CM16,"TM","")),"TS",""))*10/2,0),IF('Eval-Après impact'!$A$769=BM15,LEN(SUBSTITUTE((SUBSTITUTE(CM17,"TM","")),"TS",""))*10/2,0),IF('Eval-Après impact'!$A$770=BM15,LEN(SUBSTITUTE((SUBSTITUTE(CM18,"TM","")),"TS",""))*10/2,0),IF('Eval-Après impact'!$A$771=BM15,LEN(SUBSTITUTE((SUBSTITUTE(CM19,"TM","")),"TS",""))*10/2,0),IF('Eval-Après impact'!$A$772=BM15,LEN(SUBSTITUTE((SUBSTITUTE(CM20,"TM","")),"TS",""))*10/2,0),IF('Eval-Après impact'!$A$773=BM15,LEN(SUBSTITUTE((SUBSTITUTE(CM21,"TM","")),"TS",""))*10/2,0),IF('Eval-Après impact'!$A$774=BM15,LEN(SUBSTITUTE((SUBSTITUTE(CM22,"TM","")),"TS",""))*10/2,0),IF('Eval-Après impact'!$A$775=BM15,LEN(SUBSTITUTE((SUBSTITUTE(CM23,"TM","")),"TS",""))*10/2,0),IF('Eval-Après impact'!$A$776=BM15,LEN(SUBSTITUTE((SUBSTITUTE(CM24,"TM","")),"TS",""))*10/2,0),IF('Eval-Après impact'!$A$777=BM15,LEN(SUBSTITUTE((SUBSTITUTE(CM25,"TM","")),"TS",""))*10/2,0),IF('Eval-Après impact'!$A$778=BM15,LEN(SUBSTITUTE((SUBSTITUTE(CM26,"TM","")),"TS",""))*10/2,0),IF('Eval-Après impact'!$A$779=BM15,LEN(SUBSTITUTE((SUBSTITUTE(CM27,"TM","")),"TS",""))*10/2,0),IF('Eval-Après impact'!$A$780=BM15,LEN(SUBSTITUTE((SUBSTITUTE(CM28,"TM","")),"TS",""))*10/2,0))/COUNTIF('Eval-Après impact'!$A$761:$A$780,BM15),"")</f>
        <v/>
      </c>
      <c r="CA15" s="211" t="str">
        <f>IF(COUNTIF('Eval-Après impact'!$A$761:$A$780,BM15)&gt;0,SUM(IF('Eval-Après impact'!$A$761=BM15,LEN(SUBSTITUTE((SUBSTITUTE(CM9,"TF","")),"TS",""))*10/2,0),IF('Eval-Après impact'!$A$762=BM15,LEN(SUBSTITUTE((SUBSTITUTE(CM10,"TF","")),"TS",""))*10/2,0),IF('Eval-Après impact'!$A$763=BM15,LEN(SUBSTITUTE((SUBSTITUTE(CM11,"TF","")),"TS",""))*10/2,0),IF('Eval-Après impact'!$A$764=BM15,LEN(SUBSTITUTE((SUBSTITUTE(CM12,"TF","")),"TS",""))*10/2,0),IF('Eval-Après impact'!$A$765=BM15,LEN(SUBSTITUTE((SUBSTITUTE(CM13,"TF","")),"TS",""))*10/2,0),IF('Eval-Après impact'!$A$766=BM15,LEN(SUBSTITUTE((SUBSTITUTE(CM14,"TF","")),"TS",""))*10/2,0),IF('Eval-Après impact'!$A$767=BM15,LEN(SUBSTITUTE((SUBSTITUTE(CM15,"TF","")),"TS",""))*10/2,0),IF('Eval-Après impact'!$A$768=BM15,LEN(SUBSTITUTE((SUBSTITUTE(CM16,"TF","")),"TS",""))*10/2,0),IF('Eval-Après impact'!$A$769=BM15,LEN(SUBSTITUTE((SUBSTITUTE(CM17,"TF","")),"TS",""))*10/2,0),IF('Eval-Après impact'!$A$770=BM15,LEN(SUBSTITUTE((SUBSTITUTE(CM18,"TF","")),"TS",""))*10/2,0),IF('Eval-Après impact'!$A$771=BM15,LEN(SUBSTITUTE((SUBSTITUTE(CM19,"TF","")),"TS",""))*10/2,0),IF('Eval-Après impact'!$A$772=BM15,LEN(SUBSTITUTE((SUBSTITUTE(CM20,"TF","")),"TS",""))*10/2,0),IF('Eval-Après impact'!$A$773=BM15,LEN(SUBSTITUTE((SUBSTITUTE(CM21,"TF","")),"TS",""))*10/2,0),IF('Eval-Après impact'!$A$774=BM15,LEN(SUBSTITUTE((SUBSTITUTE(CM22,"TF","")),"TS",""))*10/2,0),IF('Eval-Après impact'!$A$775=BM15,LEN(SUBSTITUTE((SUBSTITUTE(CM23,"TF","")),"TS",""))*10/2,0),IF('Eval-Après impact'!$A$776=BM15,LEN(SUBSTITUTE((SUBSTITUTE(CM24,"TF","")),"TS",""))*10/2,0),IF('Eval-Après impact'!$A$777=BM15,LEN(SUBSTITUTE((SUBSTITUTE(CM25,"TF","")),"TS",""))*10/2,0),IF('Eval-Après impact'!$A$778=BM15,LEN(SUBSTITUTE((SUBSTITUTE(CM26,"TF","")),"TS",""))*10/2,0),IF('Eval-Après impact'!$A$779=BM15,LEN(SUBSTITUTE((SUBSTITUTE(CM27,"TF","")),"TS",""))*10/2,0),IF('Eval-Après impact'!$A$780=BM15,LEN(SUBSTITUTE((SUBSTITUTE(CM28,"TF","")),"TS",""))*10/2,0))/COUNTIF('Eval-Après impact'!$A$761:$A$780,BM15),"")</f>
        <v/>
      </c>
      <c r="CB15" s="211" t="str">
        <f>IF(COUNTIF('Eval-Après impact'!$A$761:$A$780,BM15)&gt;0,SUM(IF('Eval-Après impact'!$A$761=BM15,LEN(SUBSTITUTE((SUBSTITUTE(CM9,"TF","")),"TM",""))*10/2,0),IF('Eval-Après impact'!$A$762=BM15,LEN(SUBSTITUTE((SUBSTITUTE(CM10,"TF","")),"TM",""))*10/2,0),IF('Eval-Après impact'!$A$763=BM15,LEN(SUBSTITUTE((SUBSTITUTE(CM11,"TF","")),"TM",""))*10/2,0),IF('Eval-Après impact'!$A$764=BM15,LEN(SUBSTITUTE((SUBSTITUTE(CM12,"TF","")),"TM",""))*10/2,0),IF('Eval-Après impact'!$A$765=BM15,LEN(SUBSTITUTE((SUBSTITUTE(CM13,"TF","")),"TM",""))*10/2,0),IF('Eval-Après impact'!$A$766=BM15,LEN(SUBSTITUTE((SUBSTITUTE(CM14,"TF","")),"TM",""))*10/2,0),IF('Eval-Après impact'!$A$767=BM15,LEN(SUBSTITUTE((SUBSTITUTE(CM15,"TF","")),"TM",""))*10/2,0),IF('Eval-Après impact'!$A$768=BM15,LEN(SUBSTITUTE((SUBSTITUTE(CM16,"TF","")),"TM",""))*10/2,0),IF('Eval-Après impact'!$A$769=BM15,LEN(SUBSTITUTE((SUBSTITUTE(CM17,"TF","")),"TM",""))*10/2,0),IF('Eval-Après impact'!$A$770=BM15,LEN(SUBSTITUTE((SUBSTITUTE(CM18,"TF","")),"TM",""))*10/2,0),IF('Eval-Après impact'!$A$771=BM15,LEN(SUBSTITUTE((SUBSTITUTE(CM19,"TF","")),"TM",""))*10/2,0),IF('Eval-Après impact'!$A$772=BM15,LEN(SUBSTITUTE((SUBSTITUTE(CM20,"TF","")),"TM",""))*10/2,0),IF('Eval-Après impact'!$A$773=BM15,LEN(SUBSTITUTE((SUBSTITUTE(CM21,"TF","")),"TM",""))*10/2,0),IF('Eval-Après impact'!$A$774=BM15,LEN(SUBSTITUTE((SUBSTITUTE(CM22,"TF","")),"TM",""))*10/2,0),IF('Eval-Après impact'!$A$775=BM15,LEN(SUBSTITUTE((SUBSTITUTE(CM23,"TF","")),"TM",""))*10/2,0),IF('Eval-Après impact'!$A$776=BM15,LEN(SUBSTITUTE((SUBSTITUTE(CM24,"TF","")),"TM",""))*10/2,0),IF('Eval-Après impact'!$A$777=BM15,LEN(SUBSTITUTE((SUBSTITUTE(CM25,"TF","")),"TM",""))*10/2,0),IF('Eval-Après impact'!$A$778=BM15,LEN(SUBSTITUTE((SUBSTITUTE(CM26,"TF","")),"TM",""))*10/2,0),IF('Eval-Après impact'!$A$779=BM15,LEN(SUBSTITUTE((SUBSTITUTE(CM27,"TF","")),"TM",""))*10/2,0),IF('Eval-Après impact'!$A$780=BM15,LEN(SUBSTITUTE((SUBSTITUTE(CM28,"TF","")),"TM",""))*10/2,0))/COUNTIF('Eval-Après impact'!$A$761:$A$780,BM15),"")</f>
        <v/>
      </c>
      <c r="CC15" s="211" t="str">
        <f>IF(COUNTIF('Eval-Après impact'!$A$761:$A$780,BM15)&gt;0,IF(OR(AND('Eval-Après impact'!$A$761=BM15,CJ9&lt;30),AND('Eval-Après impact'!$A$762=BM15,CJ10&lt;30),AND('Eval-Après impact'!$A$763=BM15,CJ11&lt;30),AND('Eval-Après impact'!$A$764=BM15,CJ12&lt;30),AND('Eval-Après impact'!$A$765=BM15,CJ13&lt;30),AND('Eval-Après impact'!$A$766=BM15,CJ14&lt;30),AND('Eval-Après impact'!$A$767=BM15,CJ15&lt;30),AND('Eval-Après impact'!$A$768=BM15,CJ16&lt;30),AND('Eval-Après impact'!$A$769=BM15,CJ17&lt;30),AND('Eval-Après impact'!$A$770=BM15,CJ18&lt;30),AND('Eval-Après impact'!$A$771=BM15,CJ19&lt;30),AND('Eval-Après impact'!$A$772=BM15,CJ20&lt;30),AND('Eval-Après impact'!$A$773=BM15,CJ21&lt;30),AND('Eval-Après impact'!$A$774=BM15,CJ22&lt;30),AND('Eval-Après impact'!$A$775=BM15,CJ23&lt;30),AND('Eval-Après impact'!$A$776=BM15,CJ24&lt;30),AND('Eval-Après impact'!$A$777=BM15,CJ25&lt;30),AND('Eval-Après impact'!$A$778=BM15,CJ26&lt;30),AND('Eval-Après impact'!$A$779=BM15,CJ27&lt;30),AND('Eval-Après impact'!$A$780=BM15,CJ28&lt;30)),"",SUM(0.1*(SUMPRODUCT(('Eval-Après impact'!$A$761:$A$780=BM15)*('Eval-Après impact'!$N$761:$P$780="A"))+ SUMPRODUCT(('Eval-Après impact'!$A$761:$A$780=BM15)*('Eval-Après impact'!$N$761:$P$780="AL"))),0.7*(SUMPRODUCT(('Eval-Après impact'!$A$761:$A$780=BM15)*('Eval-Après impact'!$N$761:$P$780="TF"))+SUMPRODUCT(('Eval-Après impact'!$A$761:$A$780=BM15)*('Eval-Après impact'!$N$761:$P$780="TM"))+SUMPRODUCT(('Eval-Après impact'!$A$761:$A$780=BM15)*('Eval-Après impact'!$N$761:$P$780="TS"))),0.4*(SUMPRODUCT(('Eval-Après impact'!$A$761:$A$780=BM15)*('Eval-Après impact'!$N$761:$P$780="LA"))+SUMPRODUCT(('Eval-Après impact'!$A$761:$A$780=BM15)*('Eval-Après impact'!$N$761:$P$780="L"))+SUMPRODUCT(('Eval-Après impact'!$A$761:$A$780=BM15)*('Eval-Après impact'!$N$761:$P$780="LS"))),1*(SUMPRODUCT(('Eval-Après impact'!$A$761:$A$780=BM15)*('Eval-Après impact'!$N$761:$P$780="SL"))+ SUMPRODUCT(('Eval-Après impact'!$A$761:$A$780=BM15)*('Eval-Après impact'!$N$761:$P$780="S"))))/(3*COUNTIF('Eval-Après impact'!$A$761:$A$780,BM15))),"")</f>
        <v/>
      </c>
      <c r="CD15" s="211" t="str">
        <f>IF(COUNTIF('Eval-Après impact'!$A$761:$A$780,BM15)&gt;0,IF(OR(AND('Eval-Après impact'!$A$761=BM15,CJ9&lt;120),AND('Eval-Après impact'!$A$762=BM15,CJ10&lt;120),AND('Eval-Après impact'!$A$763=BM15,CJ11&lt;120),AND('Eval-Après impact'!$A$764=BM15,CJ12&lt;120),AND('Eval-Après impact'!$A$765=BM15,CJ13&lt;120),AND('Eval-Après impact'!$A$766=BM15,CJ14&lt;120),AND('Eval-Après impact'!$A$767=BM15,CJ15&lt;120),AND('Eval-Après impact'!$A$768=BM15,CJ16&lt;120),AND('Eval-Après impact'!$A$769=BM15,CJ17&lt;120),AND('Eval-Après impact'!$A$770=BM15,CJ18&lt;120),AND('Eval-Après impact'!$A$771=BM15,CJ19&lt;120),AND('Eval-Après impact'!$A$772=BM15,CJ20&lt;120),AND('Eval-Après impact'!$A$773=BM15,CJ21&lt;120),AND('Eval-Après impact'!$A$774=BM15,CJ22&lt;120),AND('Eval-Après impact'!$A$775=BM15,CJ23&lt;120),AND('Eval-Après impact'!$A$776=BM15,CJ24&lt;120),AND('Eval-Après impact'!$A$777=BM15,CJ25&lt;120),AND('Eval-Après impact'!$A$778=BM15,CJ26&lt;120),AND('Eval-Après impact'!$A$779=BM15,CJ27&lt;120),AND('Eval-Après impact'!$A$780=BM15,CJ28&lt;120)),"",SUM(0.1*(SUMPRODUCT(('Eval-Après impact'!$A$761:$A$780=BM15)*('Eval-Après impact'!$Q$761:$Y$780="A"))+ SUMPRODUCT(('Eval-Après impact'!$A$761:$A$780=BM15)*('Eval-Après impact'!$Q$761:$Y$780="AL"))),0.7*(SUMPRODUCT(('Eval-Après impact'!$A$761:$A$780=BM15)*('Eval-Après impact'!$Q$761:$Y$780="TF"))+SUMPRODUCT(('Eval-Après impact'!$A$761:$A$780=BM15)*('Eval-Après impact'!$Q$761:$Y$780="TM"))+SUMPRODUCT(('Eval-Après impact'!$A$761:$A$780=BM15)*('Eval-Après impact'!$Q$761:$Y$780="TS"))),0.4*(SUMPRODUCT(('Eval-Après impact'!$A$761:$A$780=BM15)*('Eval-Après impact'!$Q$761:$Y$780="LA"))+SUMPRODUCT(('Eval-Après impact'!$A$761:$A$780=BM15)*('Eval-Après impact'!$Q$761:$Y$780="L"))+SUMPRODUCT(('Eval-Après impact'!$A$761:$A$780=BM15)*('Eval-Après impact'!$Q$761:$Y$780="LS"))),1*(SUMPRODUCT(('Eval-Après impact'!$A$761:$A$780=BM15)*('Eval-Après impact'!$Q$761:$Y$780="SL"))+ SUMPRODUCT(('Eval-Après impact'!$A$761:$A$780=BM15)*('Eval-Après impact'!$Q$761:$Y$780="S"))))/(9*COUNTIF('Eval-Après impact'!$A$761:$A$780,BM15))),"")</f>
        <v/>
      </c>
      <c r="CE15" s="211" t="str">
        <f>IF(COUNTIF('Eval-Après impact'!$A$761:$A$780,BM15)&gt;0,IF(OR(AND('Eval-Après impact'!$A$761=BM15,OR(COUNTIF('Eval-Après impact'!$N$761:$P$761,"*T*")&gt;0,CJ9&lt;30)),AND('Eval-Après impact'!$A$762=BM15,OR(COUNTIF('Eval-Après impact'!$N$762:$P$762,"*T*")&gt;0,CJ10&lt;30)),AND('Eval-Après impact'!$A$763=BM15,OR(COUNTIF('Eval-Après impact'!$N$763:$P$763,"*T*")&gt;0,CJ11&lt;30)),AND('Eval-Après impact'!$A$764=BM15,OR(COUNTIF('Eval-Après impact'!$N$764:$P$764,"*T*")&gt;0,CJ12&lt;30)),AND('Eval-Après impact'!$A$765=BM15,OR(COUNTIF('Eval-Après impact'!$N$765:$P$765,"*T*")&gt;0,CJ13&lt;30)),AND('Eval-Après impact'!$A$766=BM15,OR(COUNTIF('Eval-Après impact'!$N$766:$P$766,"*T*")&gt;0,CJ14&lt;30)),AND('Eval-Après impact'!$A$767=BM15,OR(COUNTIF('Eval-Après impact'!$N$767:$P$767,"*T*")&gt;0,CJ15&lt;30)),AND('Eval-Après impact'!$A$768=BM15,OR(COUNTIF('Eval-Après impact'!$N$768:$P$768,"*T*")&gt;0,CJ16&lt;30)),AND('Eval-Après impact'!$A$769=BM15,OR(COUNTIF('Eval-Après impact'!$N$769:$P$769,"*T*")&gt;0,CJ17&lt;30)),AND('Eval-Après impact'!$A$770=BM15,OR(COUNTIF('Eval-Après impact'!$N$770:$P$770,"*T*")&gt;0,CJ18&lt;30)),AND('Eval-Après impact'!$A$771=BM15,OR(COUNTIF('Eval-Après impact'!$N$771:$P$771,"*T*")&gt;0,CJ19&lt;30)),AND('Eval-Après impact'!$A$772=BM15,OR(COUNTIF('Eval-Après impact'!$N$772:$P$772,"*T*")&gt;0,CJ20&lt;30)),AND('Eval-Après impact'!$A$773=BM15,OR(COUNTIF('Eval-Après impact'!$N$773:$P$773,"*T*")&gt;0,CJ21&lt;30)),AND('Eval-Après impact'!$A$774=BM15,OR(COUNTIF('Eval-Après impact'!$N$774:$P$774,"*T*")&gt;0,CJ22&lt;30)),AND('Eval-Après impact'!$A$775=BM15,OR(COUNTIF('Eval-Après impact'!$N$775:$P$775,"*T*")&gt;0,CJ23&lt;30)),AND('Eval-Après impact'!$A$776=BM15,OR(COUNTIF('Eval-Après impact'!$N$776:$P$776,"*T*")&gt;0,CJ24&lt;30)),AND('Eval-Après impact'!$A$777=BM15,OR(COUNTIF('Eval-Après impact'!$N$777:$P$777,"*T*")&gt;0,CJ25&lt;30)),AND('Eval-Après impact'!$A$778=BM15,OR(COUNTIF('Eval-Après impact'!$N$778:$P$778,"*T*")&gt;0,CJ26&lt;30)),AND('Eval-Après impact'!$A$779=BM15,OR(COUNTIF('Eval-Après impact'!$N$779:$P$779,"*T*")&gt;0,CJ27&lt;30)),AND('Eval-Après impact'!$A$780=BM15,OR(COUNTIF('Eval-Après impact'!$N$780:$P$780,"*T*")&gt;0,CJ28&lt;30))),"",SUM(0.1*(SUMPRODUCT(('Eval-Après impact'!$A$761:$A$780=BM15)*('Eval-Après impact'!$N$761:$P$780="L"))),0.4*(SUMPRODUCT(('Eval-Après impact'!$A$761:$A$780=BM15)*('Eval-Après impact'!$N$761:$P$780="LA"))+SUMPRODUCT(('Eval-Après impact'!$A$761:$A$780=BM15)*('Eval-Après impact'!$N$761:$P$780="LS"))),0.7*(SUMPRODUCT(('Eval-Après impact'!$A$761:$A$780=BM15)*('Eval-Après impact'!$N$761:$P$780="AL"))+SUMPRODUCT(('Eval-Après impact'!$A$761:$A$780=BM15)*('Eval-Après impact'!$N$761:$P$780="SL"))),1*(SUMPRODUCT(('Eval-Après impact'!$A$761:$A$780=BM15)*('Eval-Après impact'!$N$761:$P$780="S"))+ SUMPRODUCT(('Eval-Après impact'!$A$761:$A$780=BM15)*('Eval-Après impact'!$N$761:$P$780="A"))))/(3*COUNTIF('Eval-Après impact'!$A$761:$A$780,BM15))),"")</f>
        <v/>
      </c>
      <c r="CF15" s="211" t="str">
        <f>IF(COUNTIF('Eval-Après impact'!$A$761:$A$780,BM15)&gt;0,IF(OR(AND('Eval-Après impact'!$A$761=BM15,OR(COUNTIF('Eval-Après impact'!$N$761:$P$761,"*T*")&gt;0,CJ9&lt;30)),AND('Eval-Après impact'!$A$762=BM15,OR(COUNTIF('Eval-Après impact'!$N$762:$P$762,"*T*")&gt;0,CJ10&lt;30)),AND('Eval-Après impact'!$A$763=BM15,OR(COUNTIF('Eval-Après impact'!$N$763:$P$763,"*T*")&gt;0,CJ11&lt;30)),AND('Eval-Après impact'!$A$764=BM15,OR(COUNTIF('Eval-Après impact'!$N$764:$P$764,"*T*")&gt;0,CJ12&lt;30)),AND('Eval-Après impact'!$A$765=BM15,OR(COUNTIF('Eval-Après impact'!$N$765:$P$765,"*T*")&gt;0,CJ13&lt;30)),AND('Eval-Après impact'!$A$766=BM15,OR(COUNTIF('Eval-Après impact'!$N$766:$P$766,"*T*")&gt;0,CJ14&lt;30)),AND('Eval-Après impact'!$A$767=BM15,OR(COUNTIF('Eval-Après impact'!$N$767:$P$767,"*T*")&gt;0,CJ15&lt;30)),AND('Eval-Après impact'!$A$768=BM15,OR(COUNTIF('Eval-Après impact'!$N$768:$P$768,"*T*")&gt;0,CJ16&lt;30)),AND('Eval-Après impact'!$A$769=BM15,OR(COUNTIF('Eval-Après impact'!$N$769:$P$769,"*T*")&gt;0,CJ17&lt;30)),AND('Eval-Après impact'!$A$770=BM15,OR(COUNTIF('Eval-Après impact'!$N$770:$P$770,"*T*")&gt;0,CJ18&lt;30)),AND('Eval-Après impact'!$A$771=BM15,OR(COUNTIF('Eval-Après impact'!$N$771:$P$771,"*T*")&gt;0,CJ19&lt;30)),AND('Eval-Après impact'!$A$772=BM15,OR(COUNTIF('Eval-Après impact'!$N$772:$P$772,"*T*")&gt;0,CJ20&lt;30)),AND('Eval-Après impact'!$A$773=BM15,OR(COUNTIF('Eval-Après impact'!$N$773:$P$773,"*T*")&gt;0,CJ21&lt;30)),AND('Eval-Après impact'!$A$774=BM15,OR(COUNTIF('Eval-Après impact'!$N$774:$P$774,"*T*")&gt;0,CJ22&lt;30)),AND('Eval-Après impact'!$A$775=BM15,OR(COUNTIF('Eval-Après impact'!$N$775:$P$775,"*T*")&gt;0,CJ23&lt;30)),AND('Eval-Après impact'!$A$776=BM15,OR(COUNTIF('Eval-Après impact'!$N$776:$P$776,"*T*")&gt;0,CJ24&lt;30)),AND('Eval-Après impact'!$A$777=BM15,OR(COUNTIF('Eval-Après impact'!$N$777:$P$777,"*T*")&gt;0,CJ25&lt;30)),AND('Eval-Après impact'!$A$778=BM15,OR(COUNTIF('Eval-Après impact'!$N$778:$P$778,"*T*")&gt;0,CJ26&lt;30)),AND('Eval-Après impact'!$A$779=BM15,OR(COUNTIF('Eval-Après impact'!$N$779:$P$779,"*T*")&gt;0,CJ27&lt;30)),AND('Eval-Après impact'!$A$780=BM15,OR(COUNTIF('Eval-Après impact'!$N$780:$P$780,"*T*")&gt;0,CJ28&lt;30))),"",SUM(1*(SUMPRODUCT(('Eval-Après impact'!$A$761:$A$780=BM15)*('Eval-Après impact'!$N$761:$P$780="A"))),0.85*(SUMPRODUCT(('Eval-Après impact'!$A$761:$A$780=BM15)*('Eval-Après impact'!$N$761:$P$780="AL"))),0.7*(SUMPRODUCT(('Eval-Après impact'!$A$761:$A$780=BM15)*('Eval-Après impact'!$N$761:$P$780="LA"))),0.55*(SUMPRODUCT(('Eval-Après impact'!$A$761:$A$780=BM15)*('Eval-Après impact'!$N$761:$P$780="L"))),0.4*(SUMPRODUCT(('Eval-Après impact'!$A$761:$A$780=BM15)*('Eval-Après impact'!$N$761:$P$780="LS"))),0.25*(SUMPRODUCT(('Eval-Après impact'!$A$761:$A$780=BM15)*('Eval-Après impact'!$N$761:$P$780="SL"))),0.1*(SUMPRODUCT(('Eval-Après impact'!$A$761:$A$780=BM15)*('Eval-Après impact'!$N$761:$P$780="S"))))/(3*COUNTIF('Eval-Après impact'!$A$761:$A$780,BM15))),"")</f>
        <v/>
      </c>
      <c r="CG15" s="214" t="str">
        <f>IF(COUNTIF('Eval-Après impact'!$A$761:$A$780,BM15)&gt;0,IF(OR(AND('Eval-Après impact'!$A$761=BM15,OR(COUNTIF('Eval-Après impact'!$Q$761:$Y$761,"*T*")&gt;0,CJ9&lt;120)),AND('Eval-Après impact'!$A$762=BM15,OR(COUNTIF('Eval-Après impact'!$Q$762:$Y$762,"*T*")&gt;0,CJ10&lt;120)),AND('Eval-Après impact'!$A$763=BM15,OR(COUNTIF('Eval-Après impact'!$Q$763:$Y$763,"*T*")&gt;0,CJ11&lt;120)),AND('Eval-Après impact'!$A$764=BM15,OR(COUNTIF('Eval-Après impact'!$Q$764:$Y$764,"*T*")&gt;0,CJ12&lt;120)),AND('Eval-Après impact'!$A$765=BM15,OR(COUNTIF('Eval-Après impact'!$Q$765:$Y$765,"*T*")&gt;0,CJ13&lt;120)),AND('Eval-Après impact'!$A$766=BM15,OR(COUNTIF('Eval-Après impact'!$Q$766:$Y$766,"*T*")&gt;0,CJ14&lt;120)),AND('Eval-Après impact'!$A$767=BM15,OR(COUNTIF('Eval-Après impact'!$Q$767:$Y$767,"*T*")&gt;0,CJ15&lt;120)),AND('Eval-Après impact'!$A$768=BM15,OR(COUNTIF('Eval-Après impact'!$Q$768:$Y$768,"*T*")&gt;0,CJ16&lt;120)),AND('Eval-Après impact'!$A$769=BM15,OR(COUNTIF('Eval-Après impact'!$Q$769:$Y$769,"*T*")&gt;0,CJ17&lt;120)),AND('Eval-Après impact'!$A$770=BM15,OR(COUNTIF('Eval-Après impact'!$Q$770:$Y$770,"*T*")&gt;0,CJ18&lt;120)),AND('Eval-Après impact'!$A$771=BM15,OR(COUNTIF('Eval-Après impact'!$Q$771:$Y$771,"*T*")&gt;0,CJ19&lt;120)),AND('Eval-Après impact'!$A$772=BM15,OR(COUNTIF('Eval-Après impact'!$Q$772:$Y$772,"*T*")&gt;0,CJ20&lt;120)),AND('Eval-Après impact'!$A$773=BM15,OR(COUNTIF('Eval-Après impact'!$Q$773:$Y$773,"*T*")&gt;0,CJ21&lt;120)),AND('Eval-Après impact'!$A$774=BM15,OR(COUNTIF('Eval-Après impact'!$Q$774:$Y$774,"*T*")&gt;0,CJ22&lt;120)),AND('Eval-Après impact'!$A$775=BM15,OR(COUNTIF('Eval-Après impact'!$Q$775:$Y$775,"*T*")&gt;0,CJ23&lt;120)),AND('Eval-Après impact'!$A$776=BM15,OR(COUNTIF('Eval-Après impact'!$Q$776:$Y$776,"*T*")&gt;0,CJ24&lt;120)),AND('Eval-Après impact'!$A$777=BM15,OR(COUNTIF('Eval-Après impact'!$Q$777:$Y$777,"*T*")&gt;0,CJ25&lt;120)),AND('Eval-Après impact'!$A$778=BM15,OR(COUNTIF('Eval-Après impact'!$Q$778:$Y$778,"*T*")&gt;0,CJ26&lt;120)),AND('Eval-Après impact'!$A$779=BM15,OR(COUNTIF('Eval-Après impact'!$Q$779:$Y$779,"*T*")&gt;0,CJ27&lt;120)),AND('Eval-Après impact'!$A$780=BM15,OR(COUNTIF('Eval-Après impact'!$Q$780:$Y$780,"*T*")&gt;0,CJ28&lt;120))),"",SUM(1*(SUMPRODUCT(('Eval-Après impact'!$A$761:$A$780=BM15)*('Eval-Après impact'!$Q$761:$Y$780="A"))),0.85*(SUMPRODUCT(('Eval-Après impact'!$A$761:$A$780=BM15)*('Eval-Après impact'!$Q$761:$Y$780="AL"))),0.7*(SUMPRODUCT(('Eval-Après impact'!$A$761:$A$780=BM15)*('Eval-Après impact'!$Q$761:$Y$780="LA"))),0.55*(SUMPRODUCT(('Eval-Après impact'!$A$761:$A$780=BM15)*('Eval-Après impact'!$Q$761:$Y$780="L"))),0.4*(SUMPRODUCT(('Eval-Après impact'!$A$761:$A$780=BM15)*('Eval-Après impact'!$Q$761:$Y$780="LS"))),0.25*(SUMPRODUCT(('Eval-Après impact'!$A$761:$A$780=BM15)*('Eval-Après impact'!$Q$761:$Y$780="SL"))),0.1*(SUMPRODUCT(('Eval-Après impact'!$A$761:$A$780=BM15)*('Eval-Après impact'!$Q$761:$Y$780="S"))))/(9*COUNTIF('Eval-Après impact'!$A$761:$A$780,BM15))),"")</f>
        <v/>
      </c>
      <c r="CH15" s="215"/>
      <c r="CI15" s="216">
        <f>'Eval-Après impact'!$D$767</f>
        <v>7</v>
      </c>
      <c r="CJ15" s="217" t="str">
        <f>IF(CK15="C",0,IF(IF(COUNTIF('Eval-Après impact'!$N$767:$Y$767,"=C")&gt;0,(COUNTA('Eval-Après impact'!$N$767:$Y$767)-1)*10,COUNTA('Eval-Après impact'!$N$767:$Y$767)*10)=0,"",IF(COUNTIF('Eval-Après impact'!$N$767:$Y$767,"=C")&gt;0,(COUNTA('Eval-Après impact'!$N$767:$Y$767)-1)*10,COUNTA('Eval-Après impact'!$N$767:$Y$767)*10)))</f>
        <v/>
      </c>
      <c r="CK15" s="217" t="str">
        <f>CONCATENATE('Eval-Après impact'!$N$767,'Eval-Après impact'!$O$767,'Eval-Après impact'!$P$767,'Eval-Après impact'!$Q$767,'Eval-Après impact'!$R$767,'Eval-Après impact'!$S$767,'Eval-Après impact'!$T$767,'Eval-Après impact'!$U$767,'Eval-Après impact'!$V$767,'Eval-Après impact'!$W$767,'Eval-Après impact'!$X$767,'Eval-Après impact'!$Y$767)</f>
        <v/>
      </c>
      <c r="CL15" s="217" t="str">
        <f t="shared" si="8"/>
        <v/>
      </c>
      <c r="CM15" s="217" t="str">
        <f t="shared" si="9"/>
        <v/>
      </c>
      <c r="CN15" s="217" t="str">
        <f>IF(COUNTIF('Eval-Après impact'!$N$767:$Y$767,"=C")&gt;0,"X","")</f>
        <v/>
      </c>
      <c r="CO15" s="217" t="str">
        <f t="shared" si="10"/>
        <v/>
      </c>
      <c r="CP15" s="218" t="str">
        <f t="shared" si="11"/>
        <v/>
      </c>
      <c r="CQ15" s="197"/>
      <c r="CS15" s="210">
        <v>7</v>
      </c>
      <c r="CT15" s="211" t="str">
        <f>IF(COUNTIF('Eval-Avant action écologique'!$A$761:$A$780,CS15)&gt;0,SUM(IF('Eval-Avant action écologique'!$A$761=CS15,'Eval-Avant action écologique'!$B$761,0),IF('Eval-Avant action écologique'!$A$762=CS15, 'Eval-Avant action écologique'!$B$762,0),IF('Eval-Avant action écologique'!$A$763=CS15, 'Eval-Avant action écologique'!$B$763,0),IF('Eval-Avant action écologique'!$A$764=CS15, 'Eval-Avant action écologique'!$B$764,0),IF('Eval-Avant action écologique'!$A$765=CS15, 'Eval-Avant action écologique'!$B$765,0),IF('Eval-Avant action écologique'!$A$766=CS15, 'Eval-Avant action écologique'!$B$766,0),IF('Eval-Avant action écologique'!$A$767=CS15, 'Eval-Avant action écologique'!$B$767,0),IF('Eval-Avant action écologique'!$A$768=CS15, 'Eval-Avant action écologique'!$B$768,0),IF('Eval-Avant action écologique'!$A$769=CS15, 'Eval-Avant action écologique'!$B$769,0),IF('Eval-Avant action écologique'!$A$770=CS15, 'Eval-Avant action écologique'!$B$770,0),IF('Eval-Avant action écologique'!$A$771=CS15, 'Eval-Avant action écologique'!$B$771,0),IF('Eval-Avant action écologique'!$A$772=CS15, 'Eval-Avant action écologique'!$B$772,0),IF('Eval-Avant action écologique'!$A$773=CS15, 'Eval-Avant action écologique'!$B$773,0),IF('Eval-Avant action écologique'!$A$774=CS15, 'Eval-Avant action écologique'!$B$774,0),IF('Eval-Avant action écologique'!$A$775=CS15, 'Eval-Avant action écologique'!$B$775,0),IF('Eval-Avant action écologique'!$A$776=CS15, 'Eval-Avant action écologique'!$B$776,0),IF('Eval-Avant action écologique'!$A$777=CS15, 'Eval-Avant action écologique'!$B$777,0),IF('Eval-Avant action écologique'!$A$778=CS15, 'Eval-Avant action écologique'!$B$778,0),IF('Eval-Avant action écologique'!$A$779=CS15, 'Eval-Avant action écologique'!$B$779,0),IF('Eval-Avant action écologique'!$A$780=CS15, 'Eval-Avant action écologique'!$B$780,0))/COUNTIF('Eval-Avant action écologique'!$A$761:$A$780,CS15),"")</f>
        <v/>
      </c>
      <c r="CU15" s="212" t="str">
        <f>IF(COUNTIF('Eval-Avant action écologique'!$A$761:$A$780,CS15)&gt;0,COUNTIF('Eval-Avant action écologique'!$A$761:$A$780,CS15),"")</f>
        <v/>
      </c>
      <c r="CV15" s="211" t="str">
        <f>IF(COUNTIF('Eval-Avant action écologique'!$A$761:$A$780,CS15)&gt;0,IF(OR(AND('Eval-Avant action écologique'!$A$761=CS15, 'Eval-Avant action écologique'!$G$761=""),AND('Eval-Avant action écologique'!$A$762=CS15, 'Eval-Avant action écologique'!$G$762=""),AND('Eval-Avant action écologique'!$A$763=CS15, 'Eval-Avant action écologique'!$G$763=""),AND('Eval-Avant action écologique'!$A$764=CS15, 'Eval-Avant action écologique'!$G$764=""),AND('Eval-Avant action écologique'!$A$765=CS15, 'Eval-Avant action écologique'!$G$765=""),AND('Eval-Avant action écologique'!$A$766=CS15, 'Eval-Avant action écologique'!$G$766=""),AND('Eval-Avant action écologique'!$A$767=CS15, 'Eval-Avant action écologique'!$G$767=""),AND('Eval-Avant action écologique'!$A$768=CS15, 'Eval-Avant action écologique'!$G$768=""),AND('Eval-Avant action écologique'!$A$769=CS15, 'Eval-Avant action écologique'!$G$769=""),AND('Eval-Avant action écologique'!$A$770=CS15, 'Eval-Avant action écologique'!$G$770=""),AND('Eval-Avant action écologique'!$A$771=CS15, 'Eval-Avant action écologique'!$G$771=""),AND('Eval-Avant action écologique'!$A$772=CS15, 'Eval-Avant action écologique'!$G$772=""),AND('Eval-Avant action écologique'!$A$773=CS15, 'Eval-Avant action écologique'!$G$773=""),AND('Eval-Avant action écologique'!$A$774=CS15, 'Eval-Avant action écologique'!$G$774=""),AND('Eval-Avant action écologique'!$A$775=CS15, 'Eval-Avant action écologique'!$G$775=""),AND('Eval-Avant action écologique'!$A$776=CS15, 'Eval-Avant action écologique'!$G$776=""),AND('Eval-Avant action écologique'!$A$777=CS15, 'Eval-Avant action écologique'!$G$777=""),AND('Eval-Avant action écologique'!$A$778=CS15, 'Eval-Avant action écologique'!$G$778=""),AND('Eval-Avant action écologique'!$A$779=CS15, 'Eval-Avant action écologique'!$G$779=""),AND('Eval-Avant action écologique'!$A$780=CS15, 'Eval-Avant action écologique'!$G$780="")),"",SUM(IF('Eval-Avant action écologique'!$A$761=CS15,'Eval-Avant action écologique'!$G$761,0),IF('Eval-Avant action écologique'!$A$762=CS15,'Eval-Avant action écologique'!$G$762,0),IF('Eval-Avant action écologique'!$A$763=CS15,'Eval-Avant action écologique'!$G$763,0),IF('Eval-Avant action écologique'!$A$764=CS15,'Eval-Avant action écologique'!$G$764,0),IF('Eval-Avant action écologique'!$A$765=CS15,'Eval-Avant action écologique'!$G$765,0),IF('Eval-Avant action écologique'!$A$766=CS15,'Eval-Avant action écologique'!$G$766,0),IF('Eval-Avant action écologique'!$A$767=CS15,'Eval-Avant action écologique'!$G$767,0),IF('Eval-Avant action écologique'!$A$768=CS15,'Eval-Avant action écologique'!$G$768,0),IF('Eval-Avant action écologique'!$A$769=CS15,'Eval-Avant action écologique'!$G$769,0),IF('Eval-Avant action écologique'!$A$770=CS15,'Eval-Avant action écologique'!$G$770,0),IF('Eval-Avant action écologique'!$A$771=CS15,'Eval-Avant action écologique'!$G$771,0),IF('Eval-Avant action écologique'!$A$772=CS15,'Eval-Avant action écologique'!$G$772,0),IF('Eval-Avant action écologique'!$A$773=CS15,'Eval-Avant action écologique'!$G$773,0),IF('Eval-Avant action écologique'!$A$774=CS15,'Eval-Avant action écologique'!$G$774,0),IF('Eval-Avant action écologique'!$A$775=CS15,'Eval-Avant action écologique'!$G$775,0), IF('Eval-Avant action écologique'!$A$776=CS15,'Eval-Avant action écologique'!$G$776,0), IF('Eval-Avant action écologique'!$A$777=CS15,'Eval-Avant action écologique'!$G$777,0), IF('Eval-Avant action écologique'!$A$778=CS15,'Eval-Avant action écologique'!$G$778,0), IF('Eval-Avant action écologique'!$A$779=CS15,'Eval-Avant action écologique'!$G$779,0), IF('Eval-Avant action écologique'!$A$780=CS15,'Eval-Avant action écologique'!$G$780,0))/ COUNTIF('Eval-Avant action écologique'!$A$761:$A$780,CS15)),"")</f>
        <v/>
      </c>
      <c r="CW15" s="212" t="str">
        <f>IF(COUNTIF('Eval-Avant action écologique'!$A$761:$A$780,CS15)&gt;0,IF(SUM(IF('Eval-Avant action écologique'!$A$761=CS15,COUNTA('Eval-Avant action écologique'!$H$761),0),IF('Eval-Avant action écologique'!$A$762=CS15,COUNTA('Eval-Avant action écologique'!$H$762),0),IF('Eval-Avant action écologique'!$A$763=CS15,COUNTA('Eval-Avant action écologique'!$H$763),0),IF('Eval-Avant action écologique'!$A$764=CS15,COUNTA('Eval-Avant action écologique'!$H$764),0),IF('Eval-Avant action écologique'!$A$765=CS15,COUNTA('Eval-Avant action écologique'!$H$765),0),IF('Eval-Avant action écologique'!$A$766=CS15,COUNTA('Eval-Avant action écologique'!$H$766),0),IF('Eval-Avant action écologique'!$A$767=CS15,COUNTA('Eval-Avant action écologique'!$H$767),0),IF('Eval-Avant action écologique'!$A$768=CS15,COUNTA('Eval-Avant action écologique'!$H$768),0),IF('Eval-Avant action écologique'!$A$769=CS15,COUNTA('Eval-Avant action écologique'!$H$769),0),IF('Eval-Avant action écologique'!$A$770=CS15,COUNTA('Eval-Avant action écologique'!$H$770),0),IF('Eval-Avant action écologique'!$A$771=CS15,COUNTA('Eval-Avant action écologique'!$H$771),0),IF('Eval-Avant action écologique'!$A$772=CS15,COUNTA('Eval-Avant action écologique'!$H$772),0),IF('Eval-Avant action écologique'!$A$773=CS15,COUNTA('Eval-Avant action écologique'!$H$773),0),IF('Eval-Avant action écologique'!$A$774=CS15,COUNTA('Eval-Avant action écologique'!$H$774),0),IF('Eval-Avant action écologique'!$A$775=CS15,COUNTA('Eval-Avant action écologique'!$H$775),0),IF('Eval-Avant action écologique'!$A$776=CS15,COUNTA('Eval-Avant action écologique'!$H$776),0),IF('Eval-Avant action écologique'!$A$777=CS15,COUNTA('Eval-Avant action écologique'!$H$777),0),IF('Eval-Avant action écologique'!$A$778=CS15,COUNTA('Eval-Avant action écologique'!$H$778),0),IF('Eval-Avant action écologique'!$A$779=CS15,COUNTA('Eval-Avant action écologique'!$H$779),0),IF('Eval-Avant action écologique'!$A$780=CS15,COUNTA('Eval-Avant action écologique'!$H$780),0))&gt;0,"X",0),"")</f>
        <v/>
      </c>
      <c r="CX15" s="213" t="str">
        <f>IF(COUNTIF('Eval-Avant action écologique'!$A$761:$A$780,CS15)&gt;0,IF(SUM(IF('Eval-Avant action écologique'!$A$761=CS15,COUNTA('Eval-Avant action écologique'!$I$761),0),IF('Eval-Avant action écologique'!$A$762=CS15,COUNTA('Eval-Avant action écologique'!$I$762),0),IF('Eval-Avant action écologique'!$A$763=CS15,COUNTA('Eval-Avant action écologique'!$I$763),0),IF('Eval-Avant action écologique'!$A$764=CS15,COUNTA('Eval-Avant action écologique'!$I$764),0),IF('Eval-Avant action écologique'!$A$765=CS15,COUNTA('Eval-Avant action écologique'!$I$765),0),IF('Eval-Avant action écologique'!$A$766=CS15,COUNTA('Eval-Avant action écologique'!$I$766),0),IF('Eval-Avant action écologique'!$A$767=CS15,COUNTA('Eval-Avant action écologique'!$I$767),0),IF('Eval-Avant action écologique'!$A$768=CS15,COUNTA('Eval-Avant action écologique'!$I$768),0),IF('Eval-Avant action écologique'!$A$769=CS15,COUNTA('Eval-Avant action écologique'!$I$769),0),IF('Eval-Avant action écologique'!$A$770=CS15,COUNTA('Eval-Avant action écologique'!$I$770),0),IF('Eval-Avant action écologique'!$A$771=CS15,COUNTA('Eval-Avant action écologique'!$I$771),0),IF('Eval-Avant action écologique'!$A$772=CS15,COUNTA('Eval-Avant action écologique'!$I$772),0),IF('Eval-Avant action écologique'!$A$773=CS15,COUNTA('Eval-Avant action écologique'!$I$773),0),IF('Eval-Avant action écologique'!$A$774=CS15,COUNTA('Eval-Avant action écologique'!$I$774),0),IF('Eval-Avant action écologique'!$A$775=CS15,COUNTA('Eval-Avant action écologique'!$I$775),0),IF('Eval-Avant action écologique'!$A$776=CS15,COUNTA('Eval-Avant action écologique'!$I$776),0),IF('Eval-Avant action écologique'!$A$777=CS15,COUNTA('Eval-Avant action écologique'!$I$777),0),IF('Eval-Avant action écologique'!$A$778=CS15,COUNTA('Eval-Avant action écologique'!$I$778),0),IF('Eval-Avant action écologique'!$A$779=CS15,COUNTA('Eval-Avant action écologique'!$I$779),0),IF('Eval-Avant action écologique'!$A$780=CS15,COUNTA('Eval-Avant action écologique'!$I$780),0))&gt;0,"X",0),"")</f>
        <v/>
      </c>
      <c r="CY15" s="213" t="str">
        <f>IF(COUNTIF('Eval-Avant action écologique'!$A$761:$A$780,CS15)&gt;0,IF(SUM(IF('Eval-Avant action écologique'!$A$761=CS15,COUNTA('Eval-Avant action écologique'!$J$761),0),IF('Eval-Avant action écologique'!$A$762=CS15,COUNTA('Eval-Avant action écologique'!$J$762),0),IF('Eval-Avant action écologique'!$A$763=CS15,COUNTA('Eval-Avant action écologique'!$J$763),0),IF('Eval-Avant action écologique'!$A$764=CS15,COUNTA('Eval-Avant action écologique'!$J$764),0),IF('Eval-Avant action écologique'!$A$765=CS15,COUNTA('Eval-Avant action écologique'!$J$765),0),IF('Eval-Avant action écologique'!$A$766=CS15,COUNTA('Eval-Avant action écologique'!$J$766),0),IF('Eval-Avant action écologique'!$A$767=CS15,COUNTA('Eval-Avant action écologique'!$J$767),0),IF('Eval-Avant action écologique'!$A$768=CS15,COUNTA('Eval-Avant action écologique'!$J$768),0),IF('Eval-Avant action écologique'!$A$769=CS15,COUNTA('Eval-Avant action écologique'!$J$769),0),IF('Eval-Avant action écologique'!$A$770=CS15,COUNTA('Eval-Avant action écologique'!$J$770),0),IF('Eval-Avant action écologique'!$A$771=CS15,COUNTA('Eval-Avant action écologique'!$J$771),0),IF('Eval-Avant action écologique'!$A$772=CS15,COUNTA('Eval-Avant action écologique'!$J$772),0),IF('Eval-Avant action écologique'!$A$773=CS15,COUNTA('Eval-Avant action écologique'!$J$773),0),IF('Eval-Avant action écologique'!$A$774=CS15,COUNTA('Eval-Avant action écologique'!$J$774),0),IF('Eval-Avant action écologique'!$A$775=CS15,COUNTA('Eval-Avant action écologique'!$J$775),0),IF('Eval-Avant action écologique'!$A$776=CS15,COUNTA('Eval-Avant action écologique'!$J$776),0),IF('Eval-Avant action écologique'!$A$777=CS15,COUNTA('Eval-Avant action écologique'!$J$777),0),IF('Eval-Avant action écologique'!$A$778=CS15,COUNTA('Eval-Avant action écologique'!$J$778),0),IF('Eval-Avant action écologique'!$A$779=CS15,COUNTA('Eval-Avant action écologique'!$J$779),0),IF('Eval-Avant action écologique'!$A$780=CS15,COUNTA('Eval-Avant action écologique'!$J$780),0))&gt;0,"X",0),"")</f>
        <v/>
      </c>
      <c r="CZ15" s="213" t="str">
        <f>IF(COUNTIF('Eval-Avant action écologique'!$A$761:$A$780,CS15)&gt;0,IF(SUM(IF('Eval-Avant action écologique'!$A$761=CS15,COUNTA('Eval-Avant action écologique'!$K$761),0),IF('Eval-Avant action écologique'!$A$762=CS15,COUNTA('Eval-Avant action écologique'!$K$762),0),IF('Eval-Avant action écologique'!$A$763=CS15,COUNTA('Eval-Avant action écologique'!$K$763),0),IF('Eval-Avant action écologique'!$A$764=CS15,COUNTA('Eval-Avant action écologique'!$K$764),0),IF('Eval-Avant action écologique'!$A$765=CS15,COUNTA('Eval-Avant action écologique'!$K$765),0),IF('Eval-Avant action écologique'!$A$766=CS15,COUNTA('Eval-Avant action écologique'!$K$766),0),IF('Eval-Avant action écologique'!$A$767=CS15,COUNTA('Eval-Avant action écologique'!$K$767),0),IF('Eval-Avant action écologique'!$A$768=CS15,COUNTA('Eval-Avant action écologique'!$K$768),0),IF('Eval-Avant action écologique'!$A$769=CS15,COUNTA('Eval-Avant action écologique'!$K$769),0),IF('Eval-Avant action écologique'!$A$770=CS15,COUNTA('Eval-Avant action écologique'!$K$770),0),IF('Eval-Avant action écologique'!$A$771=CS15,COUNTA('Eval-Avant action écologique'!$K$771),0),IF('Eval-Avant action écologique'!$A$772=CS15,COUNTA('Eval-Avant action écologique'!$K$772),0),IF('Eval-Avant action écologique'!$A$773=CS15,COUNTA('Eval-Avant action écologique'!$K$773),0),IF('Eval-Avant action écologique'!$A$774=CS15,COUNTA('Eval-Avant action écologique'!$K$774),0),IF('Eval-Avant action écologique'!$A$775=CS15,COUNTA('Eval-Avant action écologique'!$K$775),0),IF('Eval-Avant action écologique'!$A$776=CS15,COUNTA('Eval-Avant action écologique'!$K$776),0),IF('Eval-Avant action écologique'!$A$777=CS15,COUNTA('Eval-Avant action écologique'!$K$777),0),IF('Eval-Avant action écologique'!$A$778=CS15,COUNTA('Eval-Avant action écologique'!$K$778),0),IF('Eval-Avant action écologique'!$A$779=CS15,COUNTA('Eval-Avant action écologique'!$K$779),0),IF('Eval-Avant action écologique'!$A$780=CS15,COUNTA('Eval-Avant action écologique'!$K$780),0))&gt;0,"X",0),"")</f>
        <v/>
      </c>
      <c r="DA15" s="211" t="str">
        <f>IF(COUNTIF('Eval-Avant action écologique'!$A$761:$A$780,CS15)&gt;0,IF(OR(AND('Eval-Avant action écologique'!$A$761=CS15,'Eval-Avant action écologique'!$L$761&lt;120,'Eval-Avant action écologique'!$L$761&gt;=DP9),AND('Eval-Avant action écologique'!$A$762=CS15,'Eval-Avant action écologique'!$L$762&lt;120,'Eval-Avant action écologique'!$L$762&gt;=DP10),AND('Eval-Avant action écologique'!$A$763=CS15,'Eval-Avant action écologique'!$L$763&lt;120,'Eval-Avant action écologique'!$L$763&gt;=DP11),AND('Eval-Avant action écologique'!$A$764=CS15,'Eval-Avant action écologique'!$L$764&lt;120,'Eval-Avant action écologique'!$L$764&gt;=DP12),AND('Eval-Avant action écologique'!$A$765=CS15,'Eval-Avant action écologique'!$L$765&lt;120,'Eval-Avant action écologique'!$L$765&gt;=DP13),AND('Eval-Avant action écologique'!$A$766=CS15,'Eval-Avant action écologique'!$L$766&lt;120,'Eval-Avant action écologique'!$L$766&gt;=DP14),AND('Eval-Avant action écologique'!$A$767=CS15,'Eval-Avant action écologique'!$L$767&lt;120,'Eval-Avant action écologique'!$L$767&gt;=DP15),AND('Eval-Avant action écologique'!$A$768=CS15,'Eval-Avant action écologique'!$L$768&lt;120,'Eval-Avant action écologique'!$L$768&gt;=DP16),AND('Eval-Avant action écologique'!$A$769=CS15,'Eval-Avant action écologique'!$L$769&lt;120,'Eval-Avant action écologique'!$L$769&gt;=DP17),AND('Eval-Avant action écologique'!$A$770=CS15,'Eval-Avant action écologique'!$L$770&lt;120,'Eval-Avant action écologique'!$L$770&gt;=DP18),AND('Eval-Avant action écologique'!$A$771=CS15,'Eval-Avant action écologique'!$L$771&lt;120,'Eval-Avant action écologique'!$L$771&gt;=DP19),AND('Eval-Avant action écologique'!$A$772=CS15,'Eval-Avant action écologique'!$L$772&lt;120,'Eval-Avant action écologique'!$L$772&gt;=DP20),AND('Eval-Avant action écologique'!$A$773=CS15,'Eval-Avant action écologique'!$L$773&lt;120,'Eval-Avant action écologique'!$L$773&gt;=DP21),AND('Eval-Avant action écologique'!$A$774=CS15,'Eval-Avant action écologique'!$L$774&lt;120,'Eval-Avant action écologique'!$L$774&gt;=DP22),AND('Eval-Avant action écologique'!$A$775=CS15,'Eval-Avant action écologique'!$L$775&lt;120,'Eval-Avant action écologique'!$L$775&gt;=DP23),AND('Eval-Avant action écologique'!$A$776=CS15,'Eval-Avant action écologique'!$L$776&lt;120,'Eval-Avant action écologique'!$L$776&gt;=DP24),AND('Eval-Avant action écologique'!$A$777=CS15,'Eval-Avant action écologique'!$L$777&lt;120,'Eval-Avant action écologique'!$L$777&gt;=DP25),AND('Eval-Avant action écologique'!$A$778=CS15,'Eval-Avant action écologique'!$L$778&lt;120,'Eval-Avant action écologique'!$L$778&gt;=DP26),AND('Eval-Avant action écologique'!$A$779=CS15,'Eval-Avant action écologique'!$L$779&lt;120,'Eval-Avant action écologique'!$L$779&gt;=DP27),AND('Eval-Avant action écologique'!$A$780=CS15,'Eval-Avant action écologique'!$L$780&lt;120,'Eval-Avant action écologique'!$L$780&gt;=DP28)),"",SUM(IF('Eval-Avant action écologique'!$A$761=CS15,'Eval-Avant action écologique'!$L$761,0),IF('Eval-Avant action écologique'!$A$762=CS15,'Eval-Avant action écologique'!$L$762,0),IF('Eval-Avant action écologique'!$A$763=CS15,'Eval-Avant action écologique'!$L$763,0),IF('Eval-Avant action écologique'!$A$764=CS15,'Eval-Avant action écologique'!$L$764,0),IF('Eval-Avant action écologique'!$A$765=CS15,'Eval-Avant action écologique'!$L$765,0),IF('Eval-Avant action écologique'!$A$766=CS15,'Eval-Avant action écologique'!$L$766,0),IF('Eval-Avant action écologique'!$A$767=CS15,'Eval-Avant action écologique'!$L$767,0),IF('Eval-Avant action écologique'!$A$768=CS15,'Eval-Avant action écologique'!$L$768,0),IF('Eval-Avant action écologique'!$A$769=CS15,'Eval-Avant action écologique'!$L$769,0),IF('Eval-Avant action écologique'!$A$770=CS15,'Eval-Avant action écologique'!$L$770,0),IF('Eval-Avant action écologique'!$A$771=CS15,'Eval-Avant action écologique'!$L$771,0),IF('Eval-Avant action écologique'!$A$772=CS15,'Eval-Avant action écologique'!$L$772,0),IF('Eval-Avant action écologique'!$A$773=CS15,'Eval-Avant action écologique'!$L$773,0),IF('Eval-Avant action écologique'!$A$774=CS15,'Eval-Avant action écologique'!$L$774,0),IF('Eval-Avant action écologique'!$A$775=CS15,'Eval-Avant action écologique'!$L$775,0),IF('Eval-Avant action écologique'!$A$776=CS15,'Eval-Avant action écologique'!$L$776,0),IF('Eval-Avant action écologique'!$A$777=CS15,'Eval-Avant action écologique'!$L$777,0),IF('Eval-Avant action écologique'!$A$778=CS15,'Eval-Avant action écologique'!$L$778,0),IF('Eval-Avant action écologique'!$A$779=CS15,'Eval-Avant action écologique'!$L$779,0),IF('Eval-Avant action écologique'!$A$780=CS15,'Eval-Avant action écologique'!$L$780,0))/ COUNTIF('Eval-Avant action écologique'!$A$761:$A$780,CS15)),"")</f>
        <v/>
      </c>
      <c r="DB15" s="211" t="str">
        <f>IF(COUNTIF('Eval-Avant action écologique'!$A$761:$A$780,CS15)&gt;0,IF(OR(AND('Eval-Avant action écologique'!$A$761=CS15, DP9&lt;120),AND(DP10&lt;120),AND(DP11&lt;120),AND(DP12&lt;120),AND(DP13&lt;120),AND(DP14&lt;120),AND(DP15&lt;120),AND(DP16&lt;120),AND(DP17&lt;120),AND(DP18&lt;120),AND(DP19&lt;120),AND(DP20&lt;120),AND(DP21&lt;120),AND(DP22&lt;120),AND(DP23&lt;120),AND(DP24&lt;120),AND(DP25&lt;120),AND(DP26&lt;120),AND(DP27&lt;120),AND(DP28&lt;120)),"",SUM(IF('Eval-Avant action écologique'!$A$761=CS15,'Eval-Avant action écologique'!$M$761,0),IF('Eval-Avant action écologique'!$A$762=CS15,'Eval-Avant action écologique'!$M$762,0),IF('Eval-Avant action écologique'!$A$763=CS15,'Eval-Avant action écologique'!$M$763,0),IF('Eval-Avant action écologique'!$A$764=CS15,'Eval-Avant action écologique'!$M$764,0),IF('Eval-Avant action écologique'!$A$765=CS15,'Eval-Avant action écologique'!$M$765,0),IF('Eval-Avant action écologique'!$A$766=CS15,'Eval-Avant action écologique'!$M$766,0),IF('Eval-Avant action écologique'!$A$767=CS15,'Eval-Avant action écologique'!$M$767,0),IF('Eval-Avant action écologique'!$A$768=CS15,'Eval-Avant action écologique'!$M$768,0),IF('Eval-Avant action écologique'!$A$769=CS15,'Eval-Avant action écologique'!$M$769,0),IF('Eval-Avant action écologique'!$A$770=CS15,'Eval-Avant action écologique'!$M$770,0),IF('Eval-Avant action écologique'!$A$771=CS15,'Eval-Avant action écologique'!$M$771,0),IF('Eval-Avant action écologique'!$A$772=CS15,'Eval-Avant action écologique'!$M$772,0),IF('Eval-Avant action écologique'!$A$773=CS15,'Eval-Avant action écologique'!$M$773,0),IF('Eval-Avant action écologique'!$A$774=CS15,'Eval-Avant action écologique'!$M$774,0),IF('Eval-Avant action écologique'!$A$775=CS15,'Eval-Avant action écologique'!$M$775,0), IF('Eval-Avant action écologique'!$A$776=CS15,'Eval-Avant action écologique'!$M$776,0), IF('Eval-Avant action écologique'!$A$777=CS15,'Eval-Avant action écologique'!$M$777,0), IF('Eval-Avant action écologique'!$A$778=CS15,'Eval-Avant action écologique'!$M$778,0), IF('Eval-Avant action écologique'!$A$779=CS15,'Eval-Avant action écologique'!$M$779,0), IF('Eval-Avant action écologique'!$A$780=CS15,'Eval-Avant action écologique'!$M$780,0))/COUNTIF('Eval-Avant action écologique'!$A$761:$A$780,CS15)),"")</f>
        <v/>
      </c>
      <c r="DC15" s="211" t="str">
        <f>IF(COUNTIF('Eval-Avant action écologique'!$A$761:$A$780,CS15)&gt;0,SUM(IF('Eval-Avant action écologique'!$A$761=CS15,LEN(SUBSTITUTE((SUBSTITUTE(DR9,"TM","")),"TS",""))*10/2,0),IF('Eval-Avant action écologique'!$A$762=CS15,LEN(SUBSTITUTE((SUBSTITUTE(DR10,"TM","")),"TS",""))*10/2,0),IF('Eval-Avant action écologique'!$A$763=CS15,LEN(SUBSTITUTE((SUBSTITUTE(DR11,"TM","")),"TS",""))*10/2,0),IF('Eval-Avant action écologique'!$A$764=CS15,LEN(SUBSTITUTE((SUBSTITUTE(DR12,"TM","")),"TS",""))*10/2,0),IF('Eval-Avant action écologique'!$A$765=CS15,LEN(SUBSTITUTE((SUBSTITUTE(DR13,"TM","")),"TS",""))*10/2,0),IF('Eval-Avant action écologique'!$A$766=CS15,LEN(SUBSTITUTE((SUBSTITUTE(DR14,"TM","")),"TS",""))*10/2,0),IF('Eval-Avant action écologique'!$A$767=CS15,LEN(SUBSTITUTE((SUBSTITUTE(DR15,"TM","")),"TS",""))*10/2,0),IF('Eval-Avant action écologique'!$A$768=CS15,LEN(SUBSTITUTE((SUBSTITUTE(DR16,"TM","")),"TS",""))*10/2,0),IF('Eval-Avant action écologique'!$A$769=CS15,LEN(SUBSTITUTE((SUBSTITUTE(DR17,"TM","")),"TS",""))*10/2,0),IF('Eval-Avant action écologique'!$A$770=CS15,LEN(SUBSTITUTE((SUBSTITUTE(DR18,"TM","")),"TS",""))*10/2,0),IF('Eval-Avant action écologique'!$A$771=CS15,LEN(SUBSTITUTE((SUBSTITUTE(DR19,"TM","")),"TS",""))*10/2,0),IF('Eval-Avant action écologique'!$A$772=CS15,LEN(SUBSTITUTE((SUBSTITUTE(DR20,"TM","")),"TS",""))*10/2,0),IF('Eval-Avant action écologique'!$A$773=CS15,LEN(SUBSTITUTE((SUBSTITUTE(DR21,"TM","")),"TS",""))*10/2,0),IF('Eval-Avant action écologique'!$A$774=CS15,LEN(SUBSTITUTE((SUBSTITUTE(DR22,"TM","")),"TS",""))*10/2,0),IF('Eval-Avant action écologique'!$A$775=CS15,LEN(SUBSTITUTE((SUBSTITUTE(DR23,"TM","")),"TS",""))*10/2,0),IF('Eval-Avant action écologique'!$A$776=CS15,LEN(SUBSTITUTE((SUBSTITUTE(DR24,"TM","")),"TS",""))*10/2,0),IF('Eval-Avant action écologique'!$A$777=CS15,LEN(SUBSTITUTE((SUBSTITUTE(DR25,"TM","")),"TS",""))*10/2,0),IF('Eval-Avant action écologique'!$A$778=CS15,LEN(SUBSTITUTE((SUBSTITUTE(DR26,"TM","")),"TS",""))*10/2,0),IF('Eval-Avant action écologique'!$A$779=CS15,LEN(SUBSTITUTE((SUBSTITUTE(DR27,"TM","")),"TS",""))*10/2,0),IF('Eval-Avant action écologique'!$A$780=CS15,LEN(SUBSTITUTE((SUBSTITUTE(DR28,"TM","")),"TS",""))*10/2,0))/COUNTIF('Eval-Avant action écologique'!$A$761:$A$780,CS15),"")</f>
        <v/>
      </c>
      <c r="DD15" s="211" t="str">
        <f>IF(COUNTIF('Eval-Avant action écologique'!$A$761:$A$780,CS15)&gt;0,SUM(IF('Eval-Avant action écologique'!$A$761=CS15,LEN(SUBSTITUTE((SUBSTITUTE(DR9,"TF","")),"TS",""))*10/2,0),IF('Eval-Avant action écologique'!$A$762=CS15,LEN(SUBSTITUTE((SUBSTITUTE(DR10,"TF","")),"TS",""))*10/2,0),IF('Eval-Avant action écologique'!$A$763=CS15,LEN(SUBSTITUTE((SUBSTITUTE(DR11,"TF","")),"TS",""))*10/2,0),IF('Eval-Avant action écologique'!$A$764=CS15,LEN(SUBSTITUTE((SUBSTITUTE(DR12,"TF","")),"TS",""))*10/2,0),IF('Eval-Avant action écologique'!$A$765=CS15,LEN(SUBSTITUTE((SUBSTITUTE(DR13,"TF","")),"TS",""))*10/2,0),IF('Eval-Avant action écologique'!$A$766=CS15,LEN(SUBSTITUTE((SUBSTITUTE(DR14,"TF","")),"TS",""))*10/2,0),IF('Eval-Avant action écologique'!$A$767=CS15,LEN(SUBSTITUTE((SUBSTITUTE(DR15,"TF","")),"TS",""))*10/2,0),IF('Eval-Avant action écologique'!$A$768=CS15,LEN(SUBSTITUTE((SUBSTITUTE(DR16,"TF","")),"TS",""))*10/2,0),IF('Eval-Avant action écologique'!$A$769=CS15,LEN(SUBSTITUTE((SUBSTITUTE(DR17,"TF","")),"TS",""))*10/2,0),IF('Eval-Avant action écologique'!$A$770=CS15,LEN(SUBSTITUTE((SUBSTITUTE(DR18,"TF","")),"TS",""))*10/2,0),IF('Eval-Avant action écologique'!$A$771=CS15,LEN(SUBSTITUTE((SUBSTITUTE(DR19,"TF","")),"TS",""))*10/2,0),IF('Eval-Avant action écologique'!$A$772=CS15,LEN(SUBSTITUTE((SUBSTITUTE(DR20,"TF","")),"TS",""))*10/2,0),IF('Eval-Avant action écologique'!$A$773=CS15,LEN(SUBSTITUTE((SUBSTITUTE(DR21,"TF","")),"TS",""))*10/2,0),IF('Eval-Avant action écologique'!$A$774=CS15,LEN(SUBSTITUTE((SUBSTITUTE(DR22,"TF","")),"TS",""))*10/2,0),IF('Eval-Avant action écologique'!$A$775=CS15,LEN(SUBSTITUTE((SUBSTITUTE(DR23,"TF","")),"TS",""))*10/2,0),IF('Eval-Avant action écologique'!$A$776=CS15,LEN(SUBSTITUTE((SUBSTITUTE(DR24,"TF","")),"TS",""))*10/2,0),IF('Eval-Avant action écologique'!$A$777=CS15,LEN(SUBSTITUTE((SUBSTITUTE(DR25,"TF","")),"TS",""))*10/2,0),IF('Eval-Avant action écologique'!$A$778=CS15,LEN(SUBSTITUTE((SUBSTITUTE(DR26,"TF","")),"TS",""))*10/2,0),IF('Eval-Avant action écologique'!$A$779=CS15,LEN(SUBSTITUTE((SUBSTITUTE(DR27,"TF","")),"TS",""))*10/2,0),IF('Eval-Avant action écologique'!$A$780=CS15,LEN(SUBSTITUTE((SUBSTITUTE(DR28,"TF","")),"TS",""))*10/2,0))/COUNTIF('Eval-Avant action écologique'!$A$761:$A$780,CS15),"")</f>
        <v/>
      </c>
      <c r="DE15" s="211" t="str">
        <f>IF(COUNTIF('Eval-Avant action écologique'!$A$761:$A$780,CS15)&gt;0,SUM(IF('Eval-Avant action écologique'!$A$761=CS15,LEN(SUBSTITUTE((SUBSTITUTE(DR9,"TF","")),"TM",""))*10/2,0),IF('Eval-Avant action écologique'!$A$762=CS15,LEN(SUBSTITUTE((SUBSTITUTE(DR10,"TF","")),"TM",""))*10/2,0),IF('Eval-Avant action écologique'!$A$763=CS15,LEN(SUBSTITUTE((SUBSTITUTE(DR11,"TF","")),"TM",""))*10/2,0),IF('Eval-Avant action écologique'!$A$764=CS15,LEN(SUBSTITUTE((SUBSTITUTE(DR12,"TF","")),"TM",""))*10/2,0),IF('Eval-Avant action écologique'!$A$765=CS15,LEN(SUBSTITUTE((SUBSTITUTE(DR13,"TF","")),"TM",""))*10/2,0),IF('Eval-Avant action écologique'!$A$766=CS15,LEN(SUBSTITUTE((SUBSTITUTE(DR14,"TF","")),"TM",""))*10/2,0),IF('Eval-Avant action écologique'!$A$767=CS15,LEN(SUBSTITUTE((SUBSTITUTE(DR15,"TF","")),"TM",""))*10/2,0),IF('Eval-Avant action écologique'!$A$768=CS15,LEN(SUBSTITUTE((SUBSTITUTE(DR16,"TF","")),"TM",""))*10/2,0),IF('Eval-Avant action écologique'!$A$769=CS15,LEN(SUBSTITUTE((SUBSTITUTE(DR17,"TF","")),"TM",""))*10/2,0),IF('Eval-Avant action écologique'!$A$770=CS15,LEN(SUBSTITUTE((SUBSTITUTE(DR18,"TF","")),"TM",""))*10/2,0),IF('Eval-Avant action écologique'!$A$771=CS15,LEN(SUBSTITUTE((SUBSTITUTE(DR19,"TF","")),"TM",""))*10/2,0),IF('Eval-Avant action écologique'!$A$772=CS15,LEN(SUBSTITUTE((SUBSTITUTE(DR20,"TF","")),"TM",""))*10/2,0),IF('Eval-Avant action écologique'!$A$773=CS15,LEN(SUBSTITUTE((SUBSTITUTE(DR21,"TF","")),"TM",""))*10/2,0),IF('Eval-Avant action écologique'!$A$774=CS15,LEN(SUBSTITUTE((SUBSTITUTE(DR22,"TF","")),"TM",""))*10/2,0),IF('Eval-Avant action écologique'!$A$775=CS15,LEN(SUBSTITUTE((SUBSTITUTE(DR23,"TF","")),"TM",""))*10/2,0),IF('Eval-Avant action écologique'!$A$776=CS15,LEN(SUBSTITUTE((SUBSTITUTE(DR24,"TF","")),"TM",""))*10/2,0),IF('Eval-Avant action écologique'!$A$777=CS15,LEN(SUBSTITUTE((SUBSTITUTE(DR25,"TF","")),"TM",""))*10/2,0),IF('Eval-Avant action écologique'!$A$778=CS15,LEN(SUBSTITUTE((SUBSTITUTE(DR26,"TF","")),"TM",""))*10/2,0),IF('Eval-Avant action écologique'!$A$779=CS15,LEN(SUBSTITUTE((SUBSTITUTE(DR27,"TF","")),"TM",""))*10/2,0),IF('Eval-Avant action écologique'!$A$780=CS15,LEN(SUBSTITUTE((SUBSTITUTE(DR28,"TF","")),"TM",""))*10/2,0))/COUNTIF('Eval-Avant action écologique'!$A$761:$A$780,CS15),"")</f>
        <v/>
      </c>
      <c r="DF15" s="211" t="str">
        <f>IF(COUNTIF('Eval-Avant action écologique'!$A$761:$A$780,CS15)&gt;0,SUM(IF('Eval-Avant action écologique'!$A$761=CS15,LEN(SUBSTITUTE((SUBSTITUTE(DS9,"TM","")),"TS",""))*10/2,0),IF('Eval-Avant action écologique'!$A$762=CS15,LEN(SUBSTITUTE((SUBSTITUTE(DS10,"TM","")),"TS",""))*10/2,0),IF('Eval-Avant action écologique'!$A$763=CS15,LEN(SUBSTITUTE((SUBSTITUTE(DS11,"TM","")),"TS",""))*10/2,0),IF('Eval-Avant action écologique'!$A$764=CS15,LEN(SUBSTITUTE((SUBSTITUTE(DS12,"TM","")),"TS",""))*10/2,0),IF('Eval-Avant action écologique'!$A$765=CS15,LEN(SUBSTITUTE((SUBSTITUTE(DS13,"TM","")),"TS",""))*10/2,0),IF('Eval-Avant action écologique'!$A$766=CS15,LEN(SUBSTITUTE((SUBSTITUTE(DS14,"TM","")),"TS",""))*10/2,0),IF('Eval-Avant action écologique'!$A$767=CS15,LEN(SUBSTITUTE((SUBSTITUTE(DS15,"TM","")),"TS",""))*10/2,0),IF('Eval-Avant action écologique'!$A$768=CS15,LEN(SUBSTITUTE((SUBSTITUTE(DS16,"TM","")),"TS",""))*10/2,0),IF('Eval-Avant action écologique'!$A$769=CS15,LEN(SUBSTITUTE((SUBSTITUTE(DS17,"TM","")),"TS",""))*10/2,0),IF('Eval-Avant action écologique'!$A$770=CS15,LEN(SUBSTITUTE((SUBSTITUTE(DS18,"TM","")),"TS",""))*10/2,0),IF('Eval-Avant action écologique'!$A$771=CS15,LEN(SUBSTITUTE((SUBSTITUTE(DS19,"TM","")),"TS",""))*10/2,0),IF('Eval-Avant action écologique'!$A$772=CS15,LEN(SUBSTITUTE((SUBSTITUTE(DS20,"TM","")),"TS",""))*10/2,0),IF('Eval-Avant action écologique'!$A$773=CS15,LEN(SUBSTITUTE((SUBSTITUTE(DS21,"TM","")),"TS",""))*10/2,0),IF('Eval-Avant action écologique'!$A$774=CS15,LEN(SUBSTITUTE((SUBSTITUTE(DS22,"TM","")),"TS",""))*10/2,0),IF('Eval-Avant action écologique'!$A$775=CS15,LEN(SUBSTITUTE((SUBSTITUTE(DS23,"TM","")),"TS",""))*10/2,0),IF('Eval-Avant action écologique'!$A$776=CS15,LEN(SUBSTITUTE((SUBSTITUTE(DS24,"TM","")),"TS",""))*10/2,0),IF('Eval-Avant action écologique'!$A$777=CS15,LEN(SUBSTITUTE((SUBSTITUTE(DS25,"TM","")),"TS",""))*10/2,0),IF('Eval-Avant action écologique'!$A$778=CS15,LEN(SUBSTITUTE((SUBSTITUTE(DS26,"TM","")),"TS",""))*10/2,0),IF('Eval-Avant action écologique'!$A$779=CS15,LEN(SUBSTITUTE((SUBSTITUTE(DS27,"TM","")),"TS",""))*10/2,0),IF('Eval-Avant action écologique'!$A$780=CS15,LEN(SUBSTITUTE((SUBSTITUTE(DS28,"TM","")),"TS",""))*10/2,0))/COUNTIF('Eval-Avant action écologique'!$A$761:$A$780,CS15),"")</f>
        <v/>
      </c>
      <c r="DG15" s="211" t="str">
        <f>IF(COUNTIF('Eval-Avant action écologique'!$A$761:$A$780,CS15)&gt;0,SUM(IF('Eval-Avant action écologique'!$A$761=CS15,LEN(SUBSTITUTE((SUBSTITUTE(DS9,"TF","")),"TS",""))*10/2,0),IF('Eval-Avant action écologique'!$A$762=CS15,LEN(SUBSTITUTE((SUBSTITUTE(DS10,"TF","")),"TS",""))*10/2,0),IF('Eval-Avant action écologique'!$A$763=CS15,LEN(SUBSTITUTE((SUBSTITUTE(DS11,"TF","")),"TS",""))*10/2,0),IF('Eval-Avant action écologique'!$A$764=CS15,LEN(SUBSTITUTE((SUBSTITUTE(DS12,"TF","")),"TS",""))*10/2,0),IF('Eval-Avant action écologique'!$A$765=CS15,LEN(SUBSTITUTE((SUBSTITUTE(DS13,"TF","")),"TS",""))*10/2,0),IF('Eval-Avant action écologique'!$A$766=CS15,LEN(SUBSTITUTE((SUBSTITUTE(DS14,"TF","")),"TS",""))*10/2,0),IF('Eval-Avant action écologique'!$A$767=CS15,LEN(SUBSTITUTE((SUBSTITUTE(DS15,"TF","")),"TS",""))*10/2,0),IF('Eval-Avant action écologique'!$A$768=CS15,LEN(SUBSTITUTE((SUBSTITUTE(DS16,"TF","")),"TS",""))*10/2,0),IF('Eval-Avant action écologique'!$A$769=CS15,LEN(SUBSTITUTE((SUBSTITUTE(DS17,"TF","")),"TS",""))*10/2,0),IF('Eval-Avant action écologique'!$A$770=CS15,LEN(SUBSTITUTE((SUBSTITUTE(DS18,"TF","")),"TS",""))*10/2,0),IF('Eval-Avant action écologique'!$A$771=CS15,LEN(SUBSTITUTE((SUBSTITUTE(DS19,"TF","")),"TS",""))*10/2,0),IF('Eval-Avant action écologique'!$A$772=CS15,LEN(SUBSTITUTE((SUBSTITUTE(DS20,"TF","")),"TS",""))*10/2,0),IF('Eval-Avant action écologique'!$A$773=CS15,LEN(SUBSTITUTE((SUBSTITUTE(DS21,"TF","")),"TS",""))*10/2,0),IF('Eval-Avant action écologique'!$A$774=CS15,LEN(SUBSTITUTE((SUBSTITUTE(DS22,"TF","")),"TS",""))*10/2,0),IF('Eval-Avant action écologique'!$A$775=CS15,LEN(SUBSTITUTE((SUBSTITUTE(DS23,"TF","")),"TS",""))*10/2,0),IF('Eval-Avant action écologique'!$A$776=CS15,LEN(SUBSTITUTE((SUBSTITUTE(DS24,"TF","")),"TS",""))*10/2,0),IF('Eval-Avant action écologique'!$A$777=CS15,LEN(SUBSTITUTE((SUBSTITUTE(DS25,"TF","")),"TS",""))*10/2,0),IF('Eval-Avant action écologique'!$A$778=CS15,LEN(SUBSTITUTE((SUBSTITUTE(DS26,"TF","")),"TS",""))*10/2,0),IF('Eval-Avant action écologique'!$A$779=CS15,LEN(SUBSTITUTE((SUBSTITUTE(DS27,"TF","")),"TS",""))*10/2,0),IF('Eval-Avant action écologique'!$A$780=CS15,LEN(SUBSTITUTE((SUBSTITUTE(DS28,"TF","")),"TS",""))*10/2,0))/COUNTIF('Eval-Avant action écologique'!$A$761:$A$780,CS15),"")</f>
        <v/>
      </c>
      <c r="DH15" s="211" t="str">
        <f>IF(COUNTIF('Eval-Avant action écologique'!$A$761:$A$780,CS15)&gt;0,SUM(IF('Eval-Avant action écologique'!$A$761=CS15,LEN(SUBSTITUTE((SUBSTITUTE(DS9,"TF","")),"TM",""))*10/2,0),IF('Eval-Avant action écologique'!$A$762=CS15,LEN(SUBSTITUTE((SUBSTITUTE(DS10,"TF","")),"TM",""))*10/2,0),IF('Eval-Avant action écologique'!$A$763=CS15,LEN(SUBSTITUTE((SUBSTITUTE(DS11,"TF","")),"TM",""))*10/2,0),IF('Eval-Avant action écologique'!$A$764=CS15,LEN(SUBSTITUTE((SUBSTITUTE(DS12,"TF","")),"TM",""))*10/2,0),IF('Eval-Avant action écologique'!$A$765=CS15,LEN(SUBSTITUTE((SUBSTITUTE(DS13,"TF","")),"TM",""))*10/2,0),IF('Eval-Avant action écologique'!$A$766=CS15,LEN(SUBSTITUTE((SUBSTITUTE(DS14,"TF","")),"TM",""))*10/2,0),IF('Eval-Avant action écologique'!$A$767=CS15,LEN(SUBSTITUTE((SUBSTITUTE(DS15,"TF","")),"TM",""))*10/2,0),IF('Eval-Avant action écologique'!$A$768=CS15,LEN(SUBSTITUTE((SUBSTITUTE(DS16,"TF","")),"TM",""))*10/2,0),IF('Eval-Avant action écologique'!$A$769=CS15,LEN(SUBSTITUTE((SUBSTITUTE(DS17,"TF","")),"TM",""))*10/2,0),IF('Eval-Avant action écologique'!$A$770=CS15,LEN(SUBSTITUTE((SUBSTITUTE(DS18,"TF","")),"TM",""))*10/2,0),IF('Eval-Avant action écologique'!$A$771=CS15,LEN(SUBSTITUTE((SUBSTITUTE(DS19,"TF","")),"TM",""))*10/2,0),IF('Eval-Avant action écologique'!$A$772=CS15,LEN(SUBSTITUTE((SUBSTITUTE(DS20,"TF","")),"TM",""))*10/2,0),IF('Eval-Avant action écologique'!$A$773=CS15,LEN(SUBSTITUTE((SUBSTITUTE(DS21,"TF","")),"TM",""))*10/2,0),IF('Eval-Avant action écologique'!$A$774=CS15,LEN(SUBSTITUTE((SUBSTITUTE(DS22,"TF","")),"TM",""))*10/2,0),IF('Eval-Avant action écologique'!$A$775=CS15,LEN(SUBSTITUTE((SUBSTITUTE(DS23,"TF","")),"TM",""))*10/2,0),IF('Eval-Avant action écologique'!$A$776=CS15,LEN(SUBSTITUTE((SUBSTITUTE(DS24,"TF","")),"TM",""))*10/2,0),IF('Eval-Avant action écologique'!$A$777=CS15,LEN(SUBSTITUTE((SUBSTITUTE(DS25,"TF","")),"TM",""))*10/2,0),IF('Eval-Avant action écologique'!$A$778=CS15,LEN(SUBSTITUTE((SUBSTITUTE(DS26,"TF","")),"TM",""))*10/2,0),IF('Eval-Avant action écologique'!$A$779=CS15,LEN(SUBSTITUTE((SUBSTITUTE(DS27,"TF","")),"TM",""))*10/2,0),IF('Eval-Avant action écologique'!$A$780=CS15,LEN(SUBSTITUTE((SUBSTITUTE(DS28,"TF","")),"TM",""))*10/2,0))/COUNTIF('Eval-Avant action écologique'!$A$761:$A$780,CS15),"")</f>
        <v/>
      </c>
      <c r="DI15" s="211" t="str">
        <f>IF(COUNTIF('Eval-Avant action écologique'!$A$761:$A$780,CS15)&gt;0,IF(OR(AND('Eval-Avant action écologique'!$A$761=CS15,DP9&lt;30),AND('Eval-Avant action écologique'!$A$762=CS15,DP10&lt;30),AND('Eval-Avant action écologique'!$A$763=CS15,DP11&lt;30),AND('Eval-Avant action écologique'!$A$764=CS15,DP12&lt;30),AND('Eval-Avant action écologique'!$A$765=CS15,DP13&lt;30),AND('Eval-Avant action écologique'!$A$766=CS15,DP14&lt;30),AND('Eval-Avant action écologique'!$A$767=CS15,DP15&lt;30),AND('Eval-Avant action écologique'!$A$768=CS15,DP16&lt;30),AND('Eval-Avant action écologique'!$A$769=CS15,DP17&lt;30),AND('Eval-Avant action écologique'!$A$770=CS15,DP18&lt;30),AND('Eval-Avant action écologique'!$A$771=CS15,DP19&lt;30),AND('Eval-Avant action écologique'!$A$772=CS15,DP20&lt;30),AND('Eval-Avant action écologique'!$A$773=CS15,DP21&lt;30),AND('Eval-Avant action écologique'!$A$774=CS15,DP22&lt;30),AND('Eval-Avant action écologique'!$A$775=CS15,DP23&lt;30),AND('Eval-Avant action écologique'!$A$776=CS15,DP24&lt;30),AND('Eval-Avant action écologique'!$A$777=CS15,DP25&lt;30),AND('Eval-Avant action écologique'!$A$778=CS15,DP26&lt;30),AND('Eval-Avant action écologique'!$A$779=CS15,DP27&lt;30),AND('Eval-Avant action écologique'!$A$780=CS15,DP28&lt;30)),"",SUM(0.1*(SUMPRODUCT(('Eval-Avant action écologique'!$A$761:$A$780=CS15)*('Eval-Avant action écologique'!$N$761:$P$780="A"))+ SUMPRODUCT(('Eval-Avant action écologique'!$A$761:$A$780=CS15)*('Eval-Avant action écologique'!$N$761:$P$780="AL"))),0.7*(SUMPRODUCT(('Eval-Avant action écologique'!$A$761:$A$780=CS15)*('Eval-Avant action écologique'!$N$761:$P$780="TF"))+SUMPRODUCT(('Eval-Avant action écologique'!$A$761:$A$780=CS15)*('Eval-Avant action écologique'!$N$761:$P$780="TM"))+SUMPRODUCT(('Eval-Avant action écologique'!$A$761:$A$780=CS15)*('Eval-Avant action écologique'!$N$761:$P$780="TS"))),0.4*(SUMPRODUCT(('Eval-Avant action écologique'!$A$761:$A$780=CS15)*('Eval-Avant action écologique'!$N$761:$P$780="LA"))+SUMPRODUCT(('Eval-Avant action écologique'!$A$761:$A$780=CS15)*('Eval-Avant action écologique'!$N$761:$P$780="L"))+SUMPRODUCT(('Eval-Avant action écologique'!$A$761:$A$780=CS15)*('Eval-Avant action écologique'!$N$761:$P$780="LS"))),1*(SUMPRODUCT(('Eval-Avant action écologique'!$A$761:$A$780=CS15)*('Eval-Avant action écologique'!$N$761:$P$780="SL"))+ SUMPRODUCT(('Eval-Avant action écologique'!$A$761:$A$780=CS15)*('Eval-Avant action écologique'!$N$761:$P$780="S"))))/(3*COUNTIF('Eval-Avant action écologique'!$A$761:$A$780,CS15))),"")</f>
        <v/>
      </c>
      <c r="DJ15" s="211" t="str">
        <f>IF(COUNTIF('Eval-Avant action écologique'!$A$761:$A$780,CS15)&gt;0,IF(OR(AND('Eval-Avant action écologique'!$A$761=CS15,DP9&lt;120),AND('Eval-Avant action écologique'!$A$762=CS15,DP10&lt;120),AND('Eval-Avant action écologique'!$A$763=CS15,DP11&lt;120),AND('Eval-Avant action écologique'!$A$764=CS15,DP12&lt;120),AND('Eval-Avant action écologique'!$A$765=CS15,DP13&lt;120),AND('Eval-Avant action écologique'!$A$766=CS15,DP14&lt;120),AND('Eval-Avant action écologique'!$A$767=CS15,DP15&lt;120),AND('Eval-Avant action écologique'!$A$768=CS15,DP16&lt;120),AND('Eval-Avant action écologique'!$A$769=CS15,DP17&lt;120),AND('Eval-Avant action écologique'!$A$770=CS15,DP18&lt;120),AND('Eval-Avant action écologique'!$A$771=CS15,DP19&lt;120),AND('Eval-Avant action écologique'!$A$772=CS15,DP20&lt;120),AND('Eval-Avant action écologique'!$A$773=CS15,DP21&lt;120),AND('Eval-Avant action écologique'!$A$774=CS15,DP22&lt;120),AND('Eval-Avant action écologique'!$A$775=CS15,DP23&lt;120),AND('Eval-Avant action écologique'!$A$776=CS15,DP24&lt;120),AND('Eval-Avant action écologique'!$A$777=CS15,DP25&lt;120),AND('Eval-Avant action écologique'!$A$778=CS15,DP26&lt;120),AND('Eval-Avant action écologique'!$A$779=CS15,DP27&lt;120),AND('Eval-Avant action écologique'!$A$780=CS15,DP28&lt;120)),"",SUM(0.1*(SUMPRODUCT(('Eval-Avant action écologique'!$A$761:$A$780=CS15)*('Eval-Avant action écologique'!$Q$761:$Y$780="A"))+ SUMPRODUCT(('Eval-Avant action écologique'!$A$761:$A$780=CS15)*('Eval-Avant action écologique'!$Q$761:$Y$780="AL"))),0.7*(SUMPRODUCT(('Eval-Avant action écologique'!$A$761:$A$780=CS15)*('Eval-Avant action écologique'!$Q$761:$Y$780="TF"))+SUMPRODUCT(('Eval-Avant action écologique'!$A$761:$A$780=CS15)*('Eval-Avant action écologique'!$Q$761:$Y$780="TM"))+SUMPRODUCT(('Eval-Avant action écologique'!$A$761:$A$780=CS15)*('Eval-Avant action écologique'!$Q$761:$Y$780="TS"))),0.4*(SUMPRODUCT(('Eval-Avant action écologique'!$A$761:$A$780=CS15)*('Eval-Avant action écologique'!$Q$761:$Y$780="LA"))+SUMPRODUCT(('Eval-Avant action écologique'!$A$761:$A$780=CS15)*('Eval-Avant action écologique'!$Q$761:$Y$780="L"))+SUMPRODUCT(('Eval-Avant action écologique'!$A$761:$A$780=CS15)*('Eval-Avant action écologique'!$Q$761:$Y$780="LS"))),1*(SUMPRODUCT(('Eval-Avant action écologique'!$A$761:$A$780=CS15)*('Eval-Avant action écologique'!$Q$761:$Y$780="SL"))+ SUMPRODUCT(('Eval-Avant action écologique'!$A$761:$A$780=CS15)*('Eval-Avant action écologique'!$Q$761:$Y$780="S"))))/(9*COUNTIF('Eval-Avant action écologique'!$A$761:$A$780,CS15))),"")</f>
        <v/>
      </c>
      <c r="DK15" s="211" t="str">
        <f>IF(COUNTIF('Eval-Avant action écologique'!$A$761:$A$780,CS15)&gt;0,IF(OR(AND('Eval-Avant action écologique'!$A$761=CS15,OR(COUNTIF('Eval-Avant action écologique'!$N$761:$P$761,"*T*")&gt;0,DP9&lt;30)),AND('Eval-Avant action écologique'!$A$762=CS15,OR(COUNTIF('Eval-Avant action écologique'!$N$762:$P$762,"*T*")&gt;0,DP10&lt;30)),AND('Eval-Avant action écologique'!$A$763=CS15,OR(COUNTIF('Eval-Avant action écologique'!$N$763:$P$763,"*T*")&gt;0,DP11&lt;30)),AND('Eval-Avant action écologique'!$A$764=CS15,OR(COUNTIF('Eval-Avant action écologique'!$N$764:$P$764,"*T*")&gt;0,DP12&lt;30)),AND('Eval-Avant action écologique'!$A$765=CS15,OR(COUNTIF('Eval-Avant action écologique'!$N$765:$P$765,"*T*")&gt;0,DP13&lt;30)),AND('Eval-Avant action écologique'!$A$766=CS15,OR(COUNTIF('Eval-Avant action écologique'!$N$766:$P$766,"*T*")&gt;0,DP14&lt;30)),AND('Eval-Avant action écologique'!$A$767=CS15,OR(COUNTIF('Eval-Avant action écologique'!$N$767:$P$767,"*T*")&gt;0,DP15&lt;30)),AND('Eval-Avant action écologique'!$A$768=CS15,OR(COUNTIF('Eval-Avant action écologique'!$N$768:$P$768,"*T*")&gt;0,DP16&lt;30)),AND('Eval-Avant action écologique'!$A$769=CS15,OR(COUNTIF('Eval-Avant action écologique'!$N$769:$P$769,"*T*")&gt;0,DP17&lt;30)),AND('Eval-Avant action écologique'!$A$770=CS15,OR(COUNTIF('Eval-Avant action écologique'!$N$770:$P$770,"*T*")&gt;0,DP18&lt;30)),AND('Eval-Avant action écologique'!$A$771=CS15,OR(COUNTIF('Eval-Avant action écologique'!$N$771:$P$771,"*T*")&gt;0,DP19&lt;30)),AND('Eval-Avant action écologique'!$A$772=CS15,OR(COUNTIF('Eval-Avant action écologique'!$N$772:$P$772,"*T*")&gt;0,DP20&lt;30)),AND('Eval-Avant action écologique'!$A$773=CS15,OR(COUNTIF('Eval-Avant action écologique'!$N$773:$P$773,"*T*")&gt;0,DP21&lt;30)),AND('Eval-Avant action écologique'!$A$774=CS15,OR(COUNTIF('Eval-Avant action écologique'!$N$774:$P$774,"*T*")&gt;0,DP22&lt;30)),AND('Eval-Avant action écologique'!$A$775=CS15,OR(COUNTIF('Eval-Avant action écologique'!$N$775:$P$775,"*T*")&gt;0,DP23&lt;30)),AND('Eval-Avant action écologique'!$A$776=CS15,OR(COUNTIF('Eval-Avant action écologique'!$N$776:$P$776,"*T*")&gt;0,DP24&lt;30)),AND('Eval-Avant action écologique'!$A$777=CS15,OR(COUNTIF('Eval-Avant action écologique'!$N$777:$P$777,"*T*")&gt;0,DP25&lt;30)),AND('Eval-Avant action écologique'!$A$778=CS15,OR(COUNTIF('Eval-Avant action écologique'!$N$778:$P$778,"*T*")&gt;0,DP26&lt;30)),AND('Eval-Avant action écologique'!$A$779=CS15,OR(COUNTIF('Eval-Avant action écologique'!$N$779:$P$779,"*T*")&gt;0,DP27&lt;30)),AND('Eval-Avant action écologique'!$A$780=CS15,OR(COUNTIF('Eval-Avant action écologique'!$N$780:$P$780,"*T*")&gt;0,DP28&lt;30))),"",SUM(0.1*(SUMPRODUCT(('Eval-Avant action écologique'!$A$761:$A$780=CS15)*('Eval-Avant action écologique'!$N$761:$P$780="L"))),0.4*(SUMPRODUCT(('Eval-Avant action écologique'!$A$761:$A$780=CS15)*('Eval-Avant action écologique'!$N$761:$P$780="LA"))+SUMPRODUCT(('Eval-Avant action écologique'!$A$761:$A$780=CS15)*('Eval-Avant action écologique'!$N$761:$P$780="LS"))),0.7*(SUMPRODUCT(('Eval-Avant action écologique'!$A$761:$A$780=CS15)*('Eval-Avant action écologique'!$N$761:$P$780="AL"))+SUMPRODUCT(('Eval-Avant action écologique'!$A$761:$A$780=CS15)*('Eval-Avant action écologique'!$N$761:$P$780="SL"))),1*(SUMPRODUCT(('Eval-Avant action écologique'!$A$761:$A$780=CS15)*('Eval-Avant action écologique'!$N$761:$P$780="S"))+ SUMPRODUCT(('Eval-Avant action écologique'!$A$761:$A$780=CS15)*('Eval-Avant action écologique'!$N$761:$P$780="A"))))/(3*COUNTIF('Eval-Avant action écologique'!$A$761:$A$780,CS15))),"")</f>
        <v/>
      </c>
      <c r="DL15" s="211" t="str">
        <f>IF(COUNTIF('Eval-Avant action écologique'!$A$761:$A$780,CS15)&gt;0,IF(OR(AND('Eval-Avant action écologique'!$A$761=CS15,OR(COUNTIF('Eval-Avant action écologique'!$N$761:$P$761,"*T*")&gt;0,DP9&lt;30)),AND('Eval-Avant action écologique'!$A$762=CS15,OR(COUNTIF('Eval-Avant action écologique'!$N$762:$P$762,"*T*")&gt;0,DP10&lt;30)),AND('Eval-Avant action écologique'!$A$763=CS15,OR(COUNTIF('Eval-Avant action écologique'!$N$763:$P$763,"*T*")&gt;0,DP11&lt;30)),AND('Eval-Avant action écologique'!$A$764=CS15,OR(COUNTIF('Eval-Avant action écologique'!$N$764:$P$764,"*T*")&gt;0,DP12&lt;30)),AND('Eval-Avant action écologique'!$A$765=CS15,OR(COUNTIF('Eval-Avant action écologique'!$N$765:$P$765,"*T*")&gt;0,DP13&lt;30)),AND('Eval-Avant action écologique'!$A$766=CS15,OR(COUNTIF('Eval-Avant action écologique'!$N$766:$P$766,"*T*")&gt;0,DP14&lt;30)),AND('Eval-Avant action écologique'!$A$767=CS15,OR(COUNTIF('Eval-Avant action écologique'!$N$767:$P$767,"*T*")&gt;0,DP15&lt;30)),AND('Eval-Avant action écologique'!$A$768=CS15,OR(COUNTIF('Eval-Avant action écologique'!$N$768:$P$768,"*T*")&gt;0,DP16&lt;30)),AND('Eval-Avant action écologique'!$A$769=CS15,OR(COUNTIF('Eval-Avant action écologique'!$N$769:$P$769,"*T*")&gt;0,DP17&lt;30)),AND('Eval-Avant action écologique'!$A$770=CS15,OR(COUNTIF('Eval-Avant action écologique'!$N$770:$P$770,"*T*")&gt;0,DP18&lt;30)),AND('Eval-Avant action écologique'!$A$771=CS15,OR(COUNTIF('Eval-Avant action écologique'!$N$771:$P$771,"*T*")&gt;0,DP19&lt;30)),AND('Eval-Avant action écologique'!$A$772=CS15,OR(COUNTIF('Eval-Avant action écologique'!$N$772:$P$772,"*T*")&gt;0,DP20&lt;30)),AND('Eval-Avant action écologique'!$A$773=CS15,OR(COUNTIF('Eval-Avant action écologique'!$N$773:$P$773,"*T*")&gt;0,DP21&lt;30)),AND('Eval-Avant action écologique'!$A$774=CS15,OR(COUNTIF('Eval-Avant action écologique'!$N$774:$P$774,"*T*")&gt;0,DP22&lt;30)),AND('Eval-Avant action écologique'!$A$775=CS15,OR(COUNTIF('Eval-Avant action écologique'!$N$775:$P$775,"*T*")&gt;0,DP23&lt;30)),AND('Eval-Avant action écologique'!$A$776=CS15,OR(COUNTIF('Eval-Avant action écologique'!$N$776:$P$776,"*T*")&gt;0,DP24&lt;30)),AND('Eval-Avant action écologique'!$A$777=CS15,OR(COUNTIF('Eval-Avant action écologique'!$N$777:$P$777,"*T*")&gt;0,DP25&lt;30)),AND('Eval-Avant action écologique'!$A$778=CS15,OR(COUNTIF('Eval-Avant action écologique'!$N$778:$P$778,"*T*")&gt;0,DP26&lt;30)),AND('Eval-Avant action écologique'!$A$779=CS15,OR(COUNTIF('Eval-Avant action écologique'!$N$779:$P$779,"*T*")&gt;0,DP27&lt;30)),AND('Eval-Avant action écologique'!$A$780=CS15,OR(COUNTIF('Eval-Avant action écologique'!$N$780:$P$780,"*T*")&gt;0,DP28&lt;30))),"",SUM(1*(SUMPRODUCT(('Eval-Avant action écologique'!$A$761:$A$780=CS15)*('Eval-Avant action écologique'!$N$761:$P$780="A"))),0.85*(SUMPRODUCT(('Eval-Avant action écologique'!$A$761:$A$780=CS15)*('Eval-Avant action écologique'!$N$761:$P$780="AL"))),0.7*(SUMPRODUCT(('Eval-Avant action écologique'!$A$761:$A$780=CS15)*('Eval-Avant action écologique'!$N$761:$P$780="LA"))),0.55*(SUMPRODUCT(('Eval-Avant action écologique'!$A$761:$A$780=CS15)*('Eval-Avant action écologique'!$N$761:$P$780="L"))),0.4*(SUMPRODUCT(('Eval-Avant action écologique'!$A$761:$A$780=CS15)*('Eval-Avant action écologique'!$N$761:$P$780="LS"))),0.25*(SUMPRODUCT(('Eval-Avant action écologique'!$A$761:$A$780=CS15)*('Eval-Avant action écologique'!$N$761:$P$780="SL"))),0.1*(SUMPRODUCT(('Eval-Avant action écologique'!$A$761:$A$780=CS15)*('Eval-Avant action écologique'!$N$761:$P$780="S"))))/(3*COUNTIF('Eval-Avant action écologique'!$A$761:$A$780,CS15))),"")</f>
        <v/>
      </c>
      <c r="DM15" s="214" t="str">
        <f>IF(COUNTIF('Eval-Avant action écologique'!$A$761:$A$780,CS15)&gt;0,IF(OR(AND('Eval-Avant action écologique'!$A$761=CS15,OR(COUNTIF('Eval-Avant action écologique'!$Q$761:$Y$761,"*T*")&gt;0,DP9&lt;120)),AND('Eval-Avant action écologique'!$A$762=CS15,OR(COUNTIF('Eval-Avant action écologique'!$Q$762:$Y$762,"*T*")&gt;0,DP10&lt;120)),AND('Eval-Avant action écologique'!$A$763=CS15,OR(COUNTIF('Eval-Avant action écologique'!$Q$763:$Y$763,"*T*")&gt;0,DP11&lt;120)),AND('Eval-Avant action écologique'!$A$764=CS15,OR(COUNTIF('Eval-Avant action écologique'!$Q$764:$Y$764,"*T*")&gt;0,DP12&lt;120)),AND('Eval-Avant action écologique'!$A$765=CS15,OR(COUNTIF('Eval-Avant action écologique'!$Q$765:$Y$765,"*T*")&gt;0,DP13&lt;120)),AND('Eval-Avant action écologique'!$A$766=CS15,OR(COUNTIF('Eval-Avant action écologique'!$Q$766:$Y$766,"*T*")&gt;0,DP14&lt;120)),AND('Eval-Avant action écologique'!$A$767=CS15,OR(COUNTIF('Eval-Avant action écologique'!$Q$767:$Y$767,"*T*")&gt;0,DP15&lt;120)),AND('Eval-Avant action écologique'!$A$768=CS15,OR(COUNTIF('Eval-Avant action écologique'!$Q$768:$Y$768,"*T*")&gt;0,DP16&lt;120)),AND('Eval-Avant action écologique'!$A$769=CS15,OR(COUNTIF('Eval-Avant action écologique'!$Q$769:$Y$769,"*T*")&gt;0,DP17&lt;120)),AND('Eval-Avant action écologique'!$A$770=CS15,OR(COUNTIF('Eval-Avant action écologique'!$Q$770:$Y$770,"*T*")&gt;0,DP18&lt;120)),AND('Eval-Avant action écologique'!$A$771=CS15,OR(COUNTIF('Eval-Avant action écologique'!$Q$771:$Y$771,"*T*")&gt;0,DP19&lt;120)),AND('Eval-Avant action écologique'!$A$772=CS15,OR(COUNTIF('Eval-Avant action écologique'!$Q$772:$Y$772,"*T*")&gt;0,DP20&lt;120)),AND('Eval-Avant action écologique'!$A$773=CS15,OR(COUNTIF('Eval-Avant action écologique'!$Q$773:$Y$773,"*T*")&gt;0,DP21&lt;120)),AND('Eval-Avant action écologique'!$A$774=CS15,OR(COUNTIF('Eval-Avant action écologique'!$Q$774:$Y$774,"*T*")&gt;0,DP22&lt;120)),AND('Eval-Avant action écologique'!$A$775=CS15,OR(COUNTIF('Eval-Avant action écologique'!$Q$775:$Y$775,"*T*")&gt;0,DP23&lt;120)),AND('Eval-Avant action écologique'!$A$776=CS15,OR(COUNTIF('Eval-Avant action écologique'!$Q$776:$Y$776,"*T*")&gt;0,DP24&lt;120)),AND('Eval-Avant action écologique'!$A$777=CS15,OR(COUNTIF('Eval-Avant action écologique'!$Q$777:$Y$777,"*T*")&gt;0,DP25&lt;120)),AND('Eval-Avant action écologique'!$A$778=CS15,OR(COUNTIF('Eval-Avant action écologique'!$Q$778:$Y$778,"*T*")&gt;0,DP26&lt;120)),AND('Eval-Avant action écologique'!$A$779=CS15,OR(COUNTIF('Eval-Avant action écologique'!$Q$779:$Y$779,"*T*")&gt;0,DP27&lt;120)),AND('Eval-Avant action écologique'!$A$780=CS15,OR(COUNTIF('Eval-Avant action écologique'!$Q$780:$Y$780,"*T*")&gt;0,DP28&lt;120))),"",SUM(1*(SUMPRODUCT(('Eval-Avant action écologique'!$A$761:$A$780=CS15)*('Eval-Avant action écologique'!$Q$761:$Y$780="A"))),0.85*(SUMPRODUCT(('Eval-Avant action écologique'!$A$761:$A$780=CS15)*('Eval-Avant action écologique'!$Q$761:$Y$780="AL"))),0.7*(SUMPRODUCT(('Eval-Avant action écologique'!$A$761:$A$780=CS15)*('Eval-Avant action écologique'!$Q$761:$Y$780="LA"))),0.55*(SUMPRODUCT(('Eval-Avant action écologique'!$A$761:$A$780=CS15)*('Eval-Avant action écologique'!$Q$761:$Y$780="L"))),0.4*(SUMPRODUCT(('Eval-Avant action écologique'!$A$761:$A$780=CS15)*('Eval-Avant action écologique'!$Q$761:$Y$780="LS"))),0.25*(SUMPRODUCT(('Eval-Avant action écologique'!$A$761:$A$780=CS15)*('Eval-Avant action écologique'!$Q$761:$Y$780="SL"))),0.1*(SUMPRODUCT(('Eval-Avant action écologique'!$A$761:$A$780=CS15)*('Eval-Avant action écologique'!$Q$761:$Y$780="S"))))/(9*COUNTIF('Eval-Avant action écologique'!$A$761:$A$780,CS15))),"")</f>
        <v/>
      </c>
      <c r="DN15" s="215"/>
      <c r="DO15" s="216">
        <f>'Eval-Avant action écologique'!$D$767</f>
        <v>7</v>
      </c>
      <c r="DP15" s="217" t="str">
        <f>IF(DQ15="C",0,IF(IF(COUNTIF('Eval-Avant action écologique'!$N$767:$Y$767,"=C")&gt;0,(COUNTA('Eval-Avant action écologique'!$N$767:$Y$767)-1)*10,COUNTA('Eval-Avant action écologique'!$N$767:$Y$767)*10)=0,"",IF(COUNTIF('Eval-Avant action écologique'!$N$767:$Y$767,"=C")&gt;0,(COUNTA('Eval-Avant action écologique'!$N$767:$Y$767)-1)*10,COUNTA('Eval-Avant action écologique'!$N$767:$Y$767)*10)))</f>
        <v/>
      </c>
      <c r="DQ15" s="217" t="str">
        <f>CONCATENATE('Eval-Avant action écologique'!$N$767,'Eval-Avant action écologique'!$O$767,'Eval-Avant action écologique'!$P$767,'Eval-Avant action écologique'!$Q$767,'Eval-Avant action écologique'!$R$767,'Eval-Avant action écologique'!$S$767,'Eval-Avant action écologique'!$T$767,'Eval-Avant action écologique'!$U$767,'Eval-Avant action écologique'!$V$767,'Eval-Avant action écologique'!$W$767,'Eval-Avant action écologique'!$X$767,'Eval-Avant action écologique'!$Y$767)</f>
        <v/>
      </c>
      <c r="DR15" s="217" t="str">
        <f t="shared" si="12"/>
        <v/>
      </c>
      <c r="DS15" s="217" t="str">
        <f t="shared" si="13"/>
        <v/>
      </c>
      <c r="DT15" s="217" t="str">
        <f>IF(COUNTIF('Eval-Avant action écologique'!$N$767:$Y$767,"=C")&gt;0,"X","")</f>
        <v/>
      </c>
      <c r="DU15" s="217" t="str">
        <f t="shared" si="14"/>
        <v/>
      </c>
      <c r="DV15" s="218" t="str">
        <f t="shared" si="15"/>
        <v/>
      </c>
      <c r="DW15" s="197"/>
      <c r="DY15" s="210">
        <v>7</v>
      </c>
      <c r="DZ15" s="211" t="str">
        <f>IF(COUNTIF('Eval-Avec act. écol. envisagée'!$A$761:$A$780,DY15)&gt;0,SUM(IF('Eval-Avec act. écol. envisagée'!$A$761=DY15,'Eval-Avec act. écol. envisagée'!$B$761,0),IF('Eval-Avec act. écol. envisagée'!$A$762=DY15, 'Eval-Avec act. écol. envisagée'!$B$762,0),IF('Eval-Avec act. écol. envisagée'!$A$763=DY15, 'Eval-Avec act. écol. envisagée'!$B$763,0),IF('Eval-Avec act. écol. envisagée'!$A$764=DY15, 'Eval-Avec act. écol. envisagée'!$B$764,0),IF('Eval-Avec act. écol. envisagée'!$A$765=DY15, 'Eval-Avec act. écol. envisagée'!$B$765,0),IF('Eval-Avec act. écol. envisagée'!$A$766=DY15, 'Eval-Avec act. écol. envisagée'!$B$766,0),IF('Eval-Avec act. écol. envisagée'!$A$767=DY15, 'Eval-Avec act. écol. envisagée'!$B$767,0),IF('Eval-Avec act. écol. envisagée'!$A$768=DY15, 'Eval-Avec act. écol. envisagée'!$B$768,0),IF('Eval-Avec act. écol. envisagée'!$A$769=DY15, 'Eval-Avec act. écol. envisagée'!$B$769,0),IF('Eval-Avec act. écol. envisagée'!$A$770=DY15, 'Eval-Avec act. écol. envisagée'!$B$770,0),IF('Eval-Avec act. écol. envisagée'!$A$771=DY15, 'Eval-Avec act. écol. envisagée'!$B$771,0),IF('Eval-Avec act. écol. envisagée'!$A$772=DY15, 'Eval-Avec act. écol. envisagée'!$B$772,0),IF('Eval-Avec act. écol. envisagée'!$A$773=DY15, 'Eval-Avec act. écol. envisagée'!$B$773,0),IF('Eval-Avec act. écol. envisagée'!$A$774=DY15, 'Eval-Avec act. écol. envisagée'!$B$774,0),IF('Eval-Avec act. écol. envisagée'!$A$775=DY15, 'Eval-Avec act. écol. envisagée'!$B$775,0),IF('Eval-Avec act. écol. envisagée'!$A$776=DY15, 'Eval-Avec act. écol. envisagée'!$B$776,0),IF('Eval-Avec act. écol. envisagée'!$A$777=DY15, 'Eval-Avec act. écol. envisagée'!$B$777,0),IF('Eval-Avec act. écol. envisagée'!$A$778=DY15, 'Eval-Avec act. écol. envisagée'!$B$778,0),IF('Eval-Avec act. écol. envisagée'!$A$779=DY15, 'Eval-Avec act. écol. envisagée'!$B$779,0),IF('Eval-Avec act. écol. envisagée'!$A$780=DY15, 'Eval-Avec act. écol. envisagée'!$B$780,0))/COUNTIF('Eval-Avec act. écol. envisagée'!$A$761:$A$780,DY15),"")</f>
        <v/>
      </c>
      <c r="EA15" s="212" t="str">
        <f>IF(COUNTIF('Eval-Avec act. écol. envisagée'!$A$761:$A$780,DY15)&gt;0,COUNTIF('Eval-Avec act. écol. envisagée'!$A$761:$A$780,DY15),"")</f>
        <v/>
      </c>
      <c r="EB15" s="211" t="str">
        <f>IF(COUNTIF('Eval-Avec act. écol. envisagée'!$A$761:$A$780,DY15)&gt;0,IF(OR(AND('Eval-Avec act. écol. envisagée'!$A$761=DY15, 'Eval-Avec act. écol. envisagée'!$G$761=""),AND('Eval-Avec act. écol. envisagée'!$A$762=DY15, 'Eval-Avec act. écol. envisagée'!$G$762=""),AND('Eval-Avec act. écol. envisagée'!$A$763=DY15, 'Eval-Avec act. écol. envisagée'!$G$763=""),AND('Eval-Avec act. écol. envisagée'!$A$764=DY15, 'Eval-Avec act. écol. envisagée'!$G$764=""),AND('Eval-Avec act. écol. envisagée'!$A$765=DY15, 'Eval-Avec act. écol. envisagée'!$G$765=""),AND('Eval-Avec act. écol. envisagée'!$A$766=DY15, 'Eval-Avec act. écol. envisagée'!$G$766=""),AND('Eval-Avec act. écol. envisagée'!$A$767=DY15, 'Eval-Avec act. écol. envisagée'!$G$767=""),AND('Eval-Avec act. écol. envisagée'!$A$768=DY15, 'Eval-Avec act. écol. envisagée'!$G$768=""),AND('Eval-Avec act. écol. envisagée'!$A$769=DY15, 'Eval-Avec act. écol. envisagée'!$G$769=""),AND('Eval-Avec act. écol. envisagée'!$A$770=DY15, 'Eval-Avec act. écol. envisagée'!$G$770=""),AND('Eval-Avec act. écol. envisagée'!$A$771=DY15, 'Eval-Avec act. écol. envisagée'!$G$771=""),AND('Eval-Avec act. écol. envisagée'!$A$772=DY15, 'Eval-Avec act. écol. envisagée'!$G$772=""),AND('Eval-Avec act. écol. envisagée'!$A$773=DY15, 'Eval-Avec act. écol. envisagée'!$G$773=""),AND('Eval-Avec act. écol. envisagée'!$A$774=DY15, 'Eval-Avec act. écol. envisagée'!$G$774=""),AND('Eval-Avec act. écol. envisagée'!$A$775=DY15, 'Eval-Avec act. écol. envisagée'!$G$775=""),AND('Eval-Avec act. écol. envisagée'!$A$776=DY15, 'Eval-Avec act. écol. envisagée'!$G$776=""),AND('Eval-Avec act. écol. envisagée'!$A$777=DY15, 'Eval-Avec act. écol. envisagée'!$G$777=""),AND('Eval-Avec act. écol. envisagée'!$A$778=DY15, 'Eval-Avec act. écol. envisagée'!$G$778=""),AND('Eval-Avec act. écol. envisagée'!$A$779=DY15, 'Eval-Avec act. écol. envisagée'!$G$779=""),AND('Eval-Avec act. écol. envisagée'!$A$780=DY15, 'Eval-Avec act. écol. envisagée'!$G$780="")),"",SUM(IF('Eval-Avec act. écol. envisagée'!$A$761=DY15,'Eval-Avec act. écol. envisagée'!$G$761,0),IF('Eval-Avec act. écol. envisagée'!$A$762=DY15,'Eval-Avec act. écol. envisagée'!$G$762,0),IF('Eval-Avec act. écol. envisagée'!$A$763=DY15,'Eval-Avec act. écol. envisagée'!$G$763,0),IF('Eval-Avec act. écol. envisagée'!$A$764=DY15,'Eval-Avec act. écol. envisagée'!$G$764,0),IF('Eval-Avec act. écol. envisagée'!$A$765=DY15,'Eval-Avec act. écol. envisagée'!$G$765,0),IF('Eval-Avec act. écol. envisagée'!$A$766=DY15,'Eval-Avec act. écol. envisagée'!$G$766,0),IF('Eval-Avec act. écol. envisagée'!$A$767=DY15,'Eval-Avec act. écol. envisagée'!$G$767,0),IF('Eval-Avec act. écol. envisagée'!$A$768=DY15,'Eval-Avec act. écol. envisagée'!$G$768,0),IF('Eval-Avec act. écol. envisagée'!$A$769=DY15,'Eval-Avec act. écol. envisagée'!$G$769,0),IF('Eval-Avec act. écol. envisagée'!$A$770=DY15,'Eval-Avec act. écol. envisagée'!$G$770,0),IF('Eval-Avec act. écol. envisagée'!$A$771=DY15,'Eval-Avec act. écol. envisagée'!$G$771,0),IF('Eval-Avec act. écol. envisagée'!$A$772=DY15,'Eval-Avec act. écol. envisagée'!$G$772,0),IF('Eval-Avec act. écol. envisagée'!$A$773=DY15,'Eval-Avec act. écol. envisagée'!$G$773,0),IF('Eval-Avec act. écol. envisagée'!$A$774=DY15,'Eval-Avec act. écol. envisagée'!$G$774,0),IF('Eval-Avec act. écol. envisagée'!$A$775=DY15,'Eval-Avec act. écol. envisagée'!$G$775,0), IF('Eval-Avec act. écol. envisagée'!$A$776=DY15,'Eval-Avec act. écol. envisagée'!$G$776,0), IF('Eval-Avec act. écol. envisagée'!$A$777=DY15,'Eval-Avec act. écol. envisagée'!$G$777,0), IF('Eval-Avec act. écol. envisagée'!$A$778=DY15,'Eval-Avec act. écol. envisagée'!$G$778,0), IF('Eval-Avec act. écol. envisagée'!$A$779=DY15,'Eval-Avec act. écol. envisagée'!$G$779,0), IF('Eval-Avec act. écol. envisagée'!$A$780=DY15,'Eval-Avec act. écol. envisagée'!$G$780,0))/ COUNTIF('Eval-Avec act. écol. envisagée'!$A$761:$A$780,DY15)),"")</f>
        <v/>
      </c>
      <c r="EC15" s="212" t="str">
        <f>IF(COUNTIF('Eval-Avec act. écol. envisagée'!$A$761:$A$780,DY15)&gt;0,IF(SUM(IF('Eval-Avec act. écol. envisagée'!$A$761=DY15,COUNTA('Eval-Avec act. écol. envisagée'!$H$761),0),IF('Eval-Avec act. écol. envisagée'!$A$762=DY15,COUNTA('Eval-Avec act. écol. envisagée'!$H$762),0),IF('Eval-Avec act. écol. envisagée'!$A$763=DY15,COUNTA('Eval-Avec act. écol. envisagée'!$H$763),0),IF('Eval-Avec act. écol. envisagée'!$A$764=DY15,COUNTA('Eval-Avec act. écol. envisagée'!$H$764),0),IF('Eval-Avec act. écol. envisagée'!$A$765=DY15,COUNTA('Eval-Avec act. écol. envisagée'!$H$765),0),IF('Eval-Avec act. écol. envisagée'!$A$766=DY15,COUNTA('Eval-Avec act. écol. envisagée'!$H$766),0),IF('Eval-Avec act. écol. envisagée'!$A$767=DY15,COUNTA('Eval-Avec act. écol. envisagée'!$H$767),0),IF('Eval-Avec act. écol. envisagée'!$A$768=DY15,COUNTA('Eval-Avec act. écol. envisagée'!$H$768),0),IF('Eval-Avec act. écol. envisagée'!$A$769=DY15,COUNTA('Eval-Avec act. écol. envisagée'!$H$769),0),IF('Eval-Avec act. écol. envisagée'!$A$770=DY15,COUNTA('Eval-Avec act. écol. envisagée'!$H$770),0),IF('Eval-Avec act. écol. envisagée'!$A$771=DY15,COUNTA('Eval-Avec act. écol. envisagée'!$H$771),0),IF('Eval-Avec act. écol. envisagée'!$A$772=DY15,COUNTA('Eval-Avec act. écol. envisagée'!$H$772),0),IF('Eval-Avec act. écol. envisagée'!$A$773=DY15,COUNTA('Eval-Avec act. écol. envisagée'!$H$773),0),IF('Eval-Avec act. écol. envisagée'!$A$774=DY15,COUNTA('Eval-Avec act. écol. envisagée'!$H$774),0),IF('Eval-Avec act. écol. envisagée'!$A$775=DY15,COUNTA('Eval-Avec act. écol. envisagée'!$H$775),0),IF('Eval-Avec act. écol. envisagée'!$A$776=DY15,COUNTA('Eval-Avec act. écol. envisagée'!$H$776),0),IF('Eval-Avec act. écol. envisagée'!$A$777=DY15,COUNTA('Eval-Avec act. écol. envisagée'!$H$777),0),IF('Eval-Avec act. écol. envisagée'!$A$778=DY15,COUNTA('Eval-Avec act. écol. envisagée'!$H$778),0),IF('Eval-Avec act. écol. envisagée'!$A$779=DY15,COUNTA('Eval-Avec act. écol. envisagée'!$H$779),0),IF('Eval-Avec act. écol. envisagée'!$A$780=DY15,COUNTA('Eval-Avec act. écol. envisagée'!$H$780),0))&gt;0,"X",0),"")</f>
        <v/>
      </c>
      <c r="ED15" s="213" t="str">
        <f>IF(COUNTIF('Eval-Avec act. écol. envisagée'!$A$761:$A$780,DY15)&gt;0,IF(SUM(IF('Eval-Avec act. écol. envisagée'!$A$761=DY15,COUNTA('Eval-Avec act. écol. envisagée'!$I$761),0),IF('Eval-Avec act. écol. envisagée'!$A$762=DY15,COUNTA('Eval-Avec act. écol. envisagée'!$I$762),0),IF('Eval-Avec act. écol. envisagée'!$A$763=DY15,COUNTA('Eval-Avec act. écol. envisagée'!$I$763),0),IF('Eval-Avec act. écol. envisagée'!$A$764=DY15,COUNTA('Eval-Avec act. écol. envisagée'!$I$764),0),IF('Eval-Avec act. écol. envisagée'!$A$765=DY15,COUNTA('Eval-Avec act. écol. envisagée'!$I$765),0),IF('Eval-Avec act. écol. envisagée'!$A$766=DY15,COUNTA('Eval-Avec act. écol. envisagée'!$I$766),0),IF('Eval-Avec act. écol. envisagée'!$A$767=DY15,COUNTA('Eval-Avec act. écol. envisagée'!$I$767),0),IF('Eval-Avec act. écol. envisagée'!$A$768=DY15,COUNTA('Eval-Avec act. écol. envisagée'!$I$768),0),IF('Eval-Avec act. écol. envisagée'!$A$769=DY15,COUNTA('Eval-Avec act. écol. envisagée'!$I$769),0),IF('Eval-Avec act. écol. envisagée'!$A$770=DY15,COUNTA('Eval-Avec act. écol. envisagée'!$I$770),0),IF('Eval-Avec act. écol. envisagée'!$A$771=DY15,COUNTA('Eval-Avec act. écol. envisagée'!$I$771),0),IF('Eval-Avec act. écol. envisagée'!$A$772=DY15,COUNTA('Eval-Avec act. écol. envisagée'!$I$772),0),IF('Eval-Avec act. écol. envisagée'!$A$773=DY15,COUNTA('Eval-Avec act. écol. envisagée'!$I$773),0),IF('Eval-Avec act. écol. envisagée'!$A$774=DY15,COUNTA('Eval-Avec act. écol. envisagée'!$I$774),0),IF('Eval-Avec act. écol. envisagée'!$A$775=DY15,COUNTA('Eval-Avec act. écol. envisagée'!$I$775),0),IF('Eval-Avec act. écol. envisagée'!$A$776=DY15,COUNTA('Eval-Avec act. écol. envisagée'!$I$776),0),IF('Eval-Avec act. écol. envisagée'!$A$777=DY15,COUNTA('Eval-Avec act. écol. envisagée'!$I$777),0),IF('Eval-Avec act. écol. envisagée'!$A$778=DY15,COUNTA('Eval-Avec act. écol. envisagée'!$I$778),0),IF('Eval-Avec act. écol. envisagée'!$A$779=DY15,COUNTA('Eval-Avec act. écol. envisagée'!$I$779),0),IF('Eval-Avec act. écol. envisagée'!$A$780=DY15,COUNTA('Eval-Avec act. écol. envisagée'!$I$780),0))&gt;0,"X",0),"")</f>
        <v/>
      </c>
      <c r="EE15" s="213" t="str">
        <f>IF(COUNTIF('Eval-Avec act. écol. envisagée'!$A$761:$A$780,DY15)&gt;0,IF(SUM(IF('Eval-Avec act. écol. envisagée'!$A$761=DY15,COUNTA('Eval-Avec act. écol. envisagée'!$J$761),0),IF('Eval-Avec act. écol. envisagée'!$A$762=DY15,COUNTA('Eval-Avec act. écol. envisagée'!$J$762),0),IF('Eval-Avec act. écol. envisagée'!$A$763=DY15,COUNTA('Eval-Avec act. écol. envisagée'!$J$763),0),IF('Eval-Avec act. écol. envisagée'!$A$764=DY15,COUNTA('Eval-Avec act. écol. envisagée'!$J$764),0),IF('Eval-Avec act. écol. envisagée'!$A$765=DY15,COUNTA('Eval-Avec act. écol. envisagée'!$J$765),0),IF('Eval-Avec act. écol. envisagée'!$A$766=DY15,COUNTA('Eval-Avec act. écol. envisagée'!$J$766),0),IF('Eval-Avec act. écol. envisagée'!$A$767=DY15,COUNTA('Eval-Avec act. écol. envisagée'!$J$767),0),IF('Eval-Avec act. écol. envisagée'!$A$768=DY15,COUNTA('Eval-Avec act. écol. envisagée'!$J$768),0),IF('Eval-Avec act. écol. envisagée'!$A$769=DY15,COUNTA('Eval-Avec act. écol. envisagée'!$J$769),0),IF('Eval-Avec act. écol. envisagée'!$A$770=DY15,COUNTA('Eval-Avec act. écol. envisagée'!$J$770),0),IF('Eval-Avec act. écol. envisagée'!$A$771=DY15,COUNTA('Eval-Avec act. écol. envisagée'!$J$771),0),IF('Eval-Avec act. écol. envisagée'!$A$772=DY15,COUNTA('Eval-Avec act. écol. envisagée'!$J$772),0),IF('Eval-Avec act. écol. envisagée'!$A$773=DY15,COUNTA('Eval-Avec act. écol. envisagée'!$J$773),0),IF('Eval-Avec act. écol. envisagée'!$A$774=DY15,COUNTA('Eval-Avec act. écol. envisagée'!$J$774),0),IF('Eval-Avec act. écol. envisagée'!$A$775=DY15,COUNTA('Eval-Avec act. écol. envisagée'!$J$775),0),IF('Eval-Avec act. écol. envisagée'!$A$776=DY15,COUNTA('Eval-Avec act. écol. envisagée'!$J$776),0),IF('Eval-Avec act. écol. envisagée'!$A$777=DY15,COUNTA('Eval-Avec act. écol. envisagée'!$J$777),0),IF('Eval-Avec act. écol. envisagée'!$A$778=DY15,COUNTA('Eval-Avec act. écol. envisagée'!$J$778),0),IF('Eval-Avec act. écol. envisagée'!$A$779=DY15,COUNTA('Eval-Avec act. écol. envisagée'!$J$779),0),IF('Eval-Avec act. écol. envisagée'!$A$780=DY15,COUNTA('Eval-Avec act. écol. envisagée'!$J$780),0))&gt;0,"X",0),"")</f>
        <v/>
      </c>
      <c r="EF15" s="213" t="str">
        <f>IF(COUNTIF('Eval-Avec act. écol. envisagée'!$A$761:$A$780,DY15)&gt;0,IF(SUM(IF('Eval-Avec act. écol. envisagée'!$A$761=DY15,COUNTA('Eval-Avec act. écol. envisagée'!$K$761),0),IF('Eval-Avec act. écol. envisagée'!$A$762=DY15,COUNTA('Eval-Avec act. écol. envisagée'!$K$762),0),IF('Eval-Avec act. écol. envisagée'!$A$763=DY15,COUNTA('Eval-Avec act. écol. envisagée'!$K$763),0),IF('Eval-Avec act. écol. envisagée'!$A$764=DY15,COUNTA('Eval-Avec act. écol. envisagée'!$K$764),0),IF('Eval-Avec act. écol. envisagée'!$A$765=DY15,COUNTA('Eval-Avec act. écol. envisagée'!$K$765),0),IF('Eval-Avec act. écol. envisagée'!$A$766=DY15,COUNTA('Eval-Avec act. écol. envisagée'!$K$766),0),IF('Eval-Avec act. écol. envisagée'!$A$767=DY15,COUNTA('Eval-Avec act. écol. envisagée'!$K$767),0),IF('Eval-Avec act. écol. envisagée'!$A$768=DY15,COUNTA('Eval-Avec act. écol. envisagée'!$K$768),0),IF('Eval-Avec act. écol. envisagée'!$A$769=DY15,COUNTA('Eval-Avec act. écol. envisagée'!$K$769),0),IF('Eval-Avec act. écol. envisagée'!$A$770=DY15,COUNTA('Eval-Avec act. écol. envisagée'!$K$770),0),IF('Eval-Avec act. écol. envisagée'!$A$771=DY15,COUNTA('Eval-Avec act. écol. envisagée'!$K$771),0),IF('Eval-Avec act. écol. envisagée'!$A$772=DY15,COUNTA('Eval-Avec act. écol. envisagée'!$K$772),0),IF('Eval-Avec act. écol. envisagée'!$A$773=DY15,COUNTA('Eval-Avec act. écol. envisagée'!$K$773),0),IF('Eval-Avec act. écol. envisagée'!$A$774=DY15,COUNTA('Eval-Avec act. écol. envisagée'!$K$774),0),IF('Eval-Avec act. écol. envisagée'!$A$775=DY15,COUNTA('Eval-Avec act. écol. envisagée'!$K$775),0),IF('Eval-Avec act. écol. envisagée'!$A$776=DY15,COUNTA('Eval-Avec act. écol. envisagée'!$K$776),0),IF('Eval-Avec act. écol. envisagée'!$A$777=DY15,COUNTA('Eval-Avec act. écol. envisagée'!$K$777),0),IF('Eval-Avec act. écol. envisagée'!$A$778=DY15,COUNTA('Eval-Avec act. écol. envisagée'!$K$778),0),IF('Eval-Avec act. écol. envisagée'!$A$779=DY15,COUNTA('Eval-Avec act. écol. envisagée'!$K$779),0),IF('Eval-Avec act. écol. envisagée'!$A$780=DY15,COUNTA('Eval-Avec act. écol. envisagée'!$K$780),0))&gt;0,"X",0),"")</f>
        <v/>
      </c>
      <c r="EG15" s="211" t="str">
        <f>IF(COUNTIF('Eval-Avec act. écol. envisagée'!$A$761:$A$780,DY15)&gt;0,IF(OR(AND('Eval-Avec act. écol. envisagée'!$A$761=DY15,'Eval-Avec act. écol. envisagée'!$L$761&lt;120,'Eval-Avec act. écol. envisagée'!$L$761&gt;=EV9),AND('Eval-Avec act. écol. envisagée'!$A$762=DY15,'Eval-Avec act. écol. envisagée'!$L$762&lt;120,'Eval-Avec act. écol. envisagée'!$L$762&gt;=EV10),AND('Eval-Avec act. écol. envisagée'!$A$763=DY15,'Eval-Avec act. écol. envisagée'!$L$763&lt;120,'Eval-Avec act. écol. envisagée'!$L$763&gt;=EV11),AND('Eval-Avec act. écol. envisagée'!$A$764=DY15,'Eval-Avec act. écol. envisagée'!$L$764&lt;120,'Eval-Avec act. écol. envisagée'!$L$764&gt;=EV12),AND('Eval-Avec act. écol. envisagée'!$A$765=DY15,'Eval-Avec act. écol. envisagée'!$L$765&lt;120,'Eval-Avec act. écol. envisagée'!$L$765&gt;=EV13),AND('Eval-Avec act. écol. envisagée'!$A$766=DY15,'Eval-Avec act. écol. envisagée'!$L$766&lt;120,'Eval-Avec act. écol. envisagée'!$L$766&gt;=EV14),AND('Eval-Avec act. écol. envisagée'!$A$767=DY15,'Eval-Avec act. écol. envisagée'!$L$767&lt;120,'Eval-Avec act. écol. envisagée'!$L$767&gt;=EV15),AND('Eval-Avec act. écol. envisagée'!$A$768=DY15,'Eval-Avec act. écol. envisagée'!$L$768&lt;120,'Eval-Avec act. écol. envisagée'!$L$768&gt;=EV16),AND('Eval-Avec act. écol. envisagée'!$A$769=DY15,'Eval-Avec act. écol. envisagée'!$L$769&lt;120,'Eval-Avec act. écol. envisagée'!$L$769&gt;=EV17),AND('Eval-Avec act. écol. envisagée'!$A$770=DY15,'Eval-Avec act. écol. envisagée'!$L$770&lt;120,'Eval-Avec act. écol. envisagée'!$L$770&gt;=EV18),AND('Eval-Avec act. écol. envisagée'!$A$771=DY15,'Eval-Avec act. écol. envisagée'!$L$771&lt;120,'Eval-Avec act. écol. envisagée'!$L$771&gt;=EV19),AND('Eval-Avec act. écol. envisagée'!$A$772=DY15,'Eval-Avec act. écol. envisagée'!$L$772&lt;120,'Eval-Avec act. écol. envisagée'!$L$772&gt;=EV20),AND('Eval-Avec act. écol. envisagée'!$A$773=DY15,'Eval-Avec act. écol. envisagée'!$L$773&lt;120,'Eval-Avec act. écol. envisagée'!$L$773&gt;=EV21),AND('Eval-Avec act. écol. envisagée'!$A$774=DY15,'Eval-Avec act. écol. envisagée'!$L$774&lt;120,'Eval-Avec act. écol. envisagée'!$L$774&gt;=EV22),AND('Eval-Avec act. écol. envisagée'!$A$775=DY15,'Eval-Avec act. écol. envisagée'!$L$775&lt;120,'Eval-Avec act. écol. envisagée'!$L$775&gt;=EV23),AND('Eval-Avec act. écol. envisagée'!$A$776=DY15,'Eval-Avec act. écol. envisagée'!$L$776&lt;120,'Eval-Avec act. écol. envisagée'!$L$776&gt;=EV24),AND('Eval-Avec act. écol. envisagée'!$A$777=DY15,'Eval-Avec act. écol. envisagée'!$L$777&lt;120,'Eval-Avec act. écol. envisagée'!$L$777&gt;=EV25),AND('Eval-Avec act. écol. envisagée'!$A$778=DY15,'Eval-Avec act. écol. envisagée'!$L$778&lt;120,'Eval-Avec act. écol. envisagée'!$L$778&gt;=EV26),AND('Eval-Avec act. écol. envisagée'!$A$779=DY15,'Eval-Avec act. écol. envisagée'!$L$779&lt;120,'Eval-Avec act. écol. envisagée'!$L$779&gt;=EV27),AND('Eval-Avec act. écol. envisagée'!$A$780=DY15,'Eval-Avec act. écol. envisagée'!$L$780&lt;120,'Eval-Avec act. écol. envisagée'!$L$780&gt;=EV28)),"",SUM(IF('Eval-Avec act. écol. envisagée'!$A$761=DY15,'Eval-Avec act. écol. envisagée'!$L$761,0),IF('Eval-Avec act. écol. envisagée'!$A$762=DY15,'Eval-Avec act. écol. envisagée'!$L$762,0),IF('Eval-Avec act. écol. envisagée'!$A$763=DY15,'Eval-Avec act. écol. envisagée'!$L$763,0),IF('Eval-Avec act. écol. envisagée'!$A$764=DY15,'Eval-Avec act. écol. envisagée'!$L$764,0),IF('Eval-Avec act. écol. envisagée'!$A$765=DY15,'Eval-Avec act. écol. envisagée'!$L$765,0),IF('Eval-Avec act. écol. envisagée'!$A$766=DY15,'Eval-Avec act. écol. envisagée'!$L$766,0),IF('Eval-Avec act. écol. envisagée'!$A$767=DY15,'Eval-Avec act. écol. envisagée'!$L$767,0),IF('Eval-Avec act. écol. envisagée'!$A$768=DY15,'Eval-Avec act. écol. envisagée'!$L$768,0),IF('Eval-Avec act. écol. envisagée'!$A$769=DY15,'Eval-Avec act. écol. envisagée'!$L$769,0),IF('Eval-Avec act. écol. envisagée'!$A$770=DY15,'Eval-Avec act. écol. envisagée'!$L$770,0),IF('Eval-Avec act. écol. envisagée'!$A$771=DY15,'Eval-Avec act. écol. envisagée'!$L$771,0),IF('Eval-Avec act. écol. envisagée'!$A$772=DY15,'Eval-Avec act. écol. envisagée'!$L$772,0),IF('Eval-Avec act. écol. envisagée'!$A$773=DY15,'Eval-Avec act. écol. envisagée'!$L$773,0),IF('Eval-Avec act. écol. envisagée'!$A$774=DY15,'Eval-Avec act. écol. envisagée'!$L$774,0),IF('Eval-Avec act. écol. envisagée'!$A$775=DY15,'Eval-Avec act. écol. envisagée'!$L$775,0),IF('Eval-Avec act. écol. envisagée'!$A$776=DY15,'Eval-Avec act. écol. envisagée'!$L$776,0),IF('Eval-Avec act. écol. envisagée'!$A$777=DY15,'Eval-Avec act. écol. envisagée'!$L$777,0),IF('Eval-Avec act. écol. envisagée'!$A$778=DY15,'Eval-Avec act. écol. envisagée'!$L$778,0),IF('Eval-Avec act. écol. envisagée'!$A$779=DY15,'Eval-Avec act. écol. envisagée'!$L$779,0),IF('Eval-Avec act. écol. envisagée'!$A$780=DY15,'Eval-Avec act. écol. envisagée'!$L$780,0))/ COUNTIF('Eval-Avec act. écol. envisagée'!$A$761:$A$780,DY15)),"")</f>
        <v/>
      </c>
      <c r="EH15" s="211" t="str">
        <f>IF(COUNTIF('Eval-Avec act. écol. envisagée'!$A$761:$A$780,DY15)&gt;0,IF(OR(AND('Eval-Avec act. écol. envisagée'!$A$761=DY15, EV9&lt;120),AND(EV10&lt;120),AND(EV11&lt;120),AND(EV12&lt;120),AND(EV13&lt;120),AND(EV14&lt;120),AND(EV15&lt;120),AND(EV16&lt;120),AND(EV17&lt;120),AND(EV18&lt;120),AND(EV19&lt;120),AND(EV20&lt;120),AND(EV21&lt;120),AND(EV22&lt;120),AND(EV23&lt;120),AND(EV24&lt;120),AND(EV25&lt;120),AND(EV26&lt;120),AND(EV27&lt;120),AND(EV28&lt;120)),"",SUM(IF('Eval-Avec act. écol. envisagée'!$A$761=DY15,'Eval-Avec act. écol. envisagée'!$M$761,0),IF('Eval-Avec act. écol. envisagée'!$A$762=DY15,'Eval-Avec act. écol. envisagée'!$M$762,0),IF('Eval-Avec act. écol. envisagée'!$A$763=DY15,'Eval-Avec act. écol. envisagée'!$M$763,0),IF('Eval-Avec act. écol. envisagée'!$A$764=DY15,'Eval-Avec act. écol. envisagée'!$M$764,0),IF('Eval-Avec act. écol. envisagée'!$A$765=DY15,'Eval-Avec act. écol. envisagée'!$M$765,0),IF('Eval-Avec act. écol. envisagée'!$A$766=DY15,'Eval-Avec act. écol. envisagée'!$M$766,0),IF('Eval-Avec act. écol. envisagée'!$A$767=DY15,'Eval-Avec act. écol. envisagée'!$M$767,0),IF('Eval-Avec act. écol. envisagée'!$A$768=DY15,'Eval-Avec act. écol. envisagée'!$M$768,0),IF('Eval-Avec act. écol. envisagée'!$A$769=DY15,'Eval-Avec act. écol. envisagée'!$M$769,0),IF('Eval-Avec act. écol. envisagée'!$A$770=DY15,'Eval-Avec act. écol. envisagée'!$M$770,0),IF('Eval-Avec act. écol. envisagée'!$A$771=DY15,'Eval-Avec act. écol. envisagée'!$M$771,0),IF('Eval-Avec act. écol. envisagée'!$A$772=DY15,'Eval-Avec act. écol. envisagée'!$M$772,0),IF('Eval-Avec act. écol. envisagée'!$A$773=DY15,'Eval-Avec act. écol. envisagée'!$M$773,0),IF('Eval-Avec act. écol. envisagée'!$A$774=DY15,'Eval-Avec act. écol. envisagée'!$M$774,0),IF('Eval-Avec act. écol. envisagée'!$A$775=DY15,'Eval-Avec act. écol. envisagée'!$M$775,0), IF('Eval-Avec act. écol. envisagée'!$A$776=DY15,'Eval-Avec act. écol. envisagée'!$M$776,0), IF('Eval-Avec act. écol. envisagée'!$A$777=DY15,'Eval-Avec act. écol. envisagée'!$M$777,0), IF('Eval-Avec act. écol. envisagée'!$A$778=DY15,'Eval-Avec act. écol. envisagée'!$M$778,0), IF('Eval-Avec act. écol. envisagée'!$A$779=DY15,'Eval-Avec act. écol. envisagée'!$M$779,0), IF('Eval-Avec act. écol. envisagée'!$A$780=DY15,'Eval-Avec act. écol. envisagée'!$M$780,0))/COUNTIF('Eval-Avec act. écol. envisagée'!$A$761:$A$780,DY15)),"")</f>
        <v/>
      </c>
      <c r="EI15" s="211" t="str">
        <f>IF(COUNTIF('Eval-Avec act. écol. envisagée'!$A$761:$A$780,DY15)&gt;0,SUM(IF('Eval-Avec act. écol. envisagée'!$A$761=DY15,LEN(SUBSTITUTE((SUBSTITUTE(EX9,"TM","")),"TS",""))*10/2,0),IF('Eval-Avec act. écol. envisagée'!$A$762=DY15,LEN(SUBSTITUTE((SUBSTITUTE(EX10,"TM","")),"TS",""))*10/2,0),IF('Eval-Avec act. écol. envisagée'!$A$763=DY15,LEN(SUBSTITUTE((SUBSTITUTE(EX11,"TM","")),"TS",""))*10/2,0),IF('Eval-Avec act. écol. envisagée'!$A$764=DY15,LEN(SUBSTITUTE((SUBSTITUTE(EX12,"TM","")),"TS",""))*10/2,0),IF('Eval-Avec act. écol. envisagée'!$A$765=DY15,LEN(SUBSTITUTE((SUBSTITUTE(EX13,"TM","")),"TS",""))*10/2,0),IF('Eval-Avec act. écol. envisagée'!$A$766=DY15,LEN(SUBSTITUTE((SUBSTITUTE(EX14,"TM","")),"TS",""))*10/2,0),IF('Eval-Avec act. écol. envisagée'!$A$767=DY15,LEN(SUBSTITUTE((SUBSTITUTE(EX15,"TM","")),"TS",""))*10/2,0),IF('Eval-Avec act. écol. envisagée'!$A$768=DY15,LEN(SUBSTITUTE((SUBSTITUTE(EX16,"TM","")),"TS",""))*10/2,0),IF('Eval-Avec act. écol. envisagée'!$A$769=DY15,LEN(SUBSTITUTE((SUBSTITUTE(EX17,"TM","")),"TS",""))*10/2,0),IF('Eval-Avec act. écol. envisagée'!$A$770=DY15,LEN(SUBSTITUTE((SUBSTITUTE(EX18,"TM","")),"TS",""))*10/2,0),IF('Eval-Avec act. écol. envisagée'!$A$771=DY15,LEN(SUBSTITUTE((SUBSTITUTE(EX19,"TM","")),"TS",""))*10/2,0),IF('Eval-Avec act. écol. envisagée'!$A$772=DY15,LEN(SUBSTITUTE((SUBSTITUTE(EX20,"TM","")),"TS",""))*10/2,0),IF('Eval-Avec act. écol. envisagée'!$A$773=DY15,LEN(SUBSTITUTE((SUBSTITUTE(EX21,"TM","")),"TS",""))*10/2,0),IF('Eval-Avec act. écol. envisagée'!$A$774=DY15,LEN(SUBSTITUTE((SUBSTITUTE(EX22,"TM","")),"TS",""))*10/2,0),IF('Eval-Avec act. écol. envisagée'!$A$775=DY15,LEN(SUBSTITUTE((SUBSTITUTE(EX23,"TM","")),"TS",""))*10/2,0),IF('Eval-Avec act. écol. envisagée'!$A$776=DY15,LEN(SUBSTITUTE((SUBSTITUTE(EX24,"TM","")),"TS",""))*10/2,0),IF('Eval-Avec act. écol. envisagée'!$A$777=DY15,LEN(SUBSTITUTE((SUBSTITUTE(EX25,"TM","")),"TS",""))*10/2,0),IF('Eval-Avec act. écol. envisagée'!$A$778=DY15,LEN(SUBSTITUTE((SUBSTITUTE(EX26,"TM","")),"TS",""))*10/2,0),IF('Eval-Avec act. écol. envisagée'!$A$779=DY15,LEN(SUBSTITUTE((SUBSTITUTE(EX27,"TM","")),"TS",""))*10/2,0),IF('Eval-Avec act. écol. envisagée'!$A$780=DY15,LEN(SUBSTITUTE((SUBSTITUTE(EX28,"TM","")),"TS",""))*10/2,0))/COUNTIF('Eval-Avec act. écol. envisagée'!$A$761:$A$780,DY15),"")</f>
        <v/>
      </c>
      <c r="EJ15" s="211" t="str">
        <f>IF(COUNTIF('Eval-Avec act. écol. envisagée'!$A$761:$A$780,DY15)&gt;0,SUM(IF('Eval-Avec act. écol. envisagée'!$A$761=DY15,LEN(SUBSTITUTE((SUBSTITUTE(EX9,"TF","")),"TS",""))*10/2,0),IF('Eval-Avec act. écol. envisagée'!$A$762=DY15,LEN(SUBSTITUTE((SUBSTITUTE(EX10,"TF","")),"TS",""))*10/2,0),IF('Eval-Avec act. écol. envisagée'!$A$763=DY15,LEN(SUBSTITUTE((SUBSTITUTE(EX11,"TF","")),"TS",""))*10/2,0),IF('Eval-Avec act. écol. envisagée'!$A$764=DY15,LEN(SUBSTITUTE((SUBSTITUTE(EX12,"TF","")),"TS",""))*10/2,0),IF('Eval-Avec act. écol. envisagée'!$A$765=DY15,LEN(SUBSTITUTE((SUBSTITUTE(EX13,"TF","")),"TS",""))*10/2,0),IF('Eval-Avec act. écol. envisagée'!$A$766=DY15,LEN(SUBSTITUTE((SUBSTITUTE(EX14,"TF","")),"TS",""))*10/2,0),IF('Eval-Avec act. écol. envisagée'!$A$767=DY15,LEN(SUBSTITUTE((SUBSTITUTE(EX15,"TF","")),"TS",""))*10/2,0),IF('Eval-Avec act. écol. envisagée'!$A$768=DY15,LEN(SUBSTITUTE((SUBSTITUTE(EX16,"TF","")),"TS",""))*10/2,0),IF('Eval-Avec act. écol. envisagée'!$A$769=DY15,LEN(SUBSTITUTE((SUBSTITUTE(EX17,"TF","")),"TS",""))*10/2,0),IF('Eval-Avec act. écol. envisagée'!$A$770=DY15,LEN(SUBSTITUTE((SUBSTITUTE(EX18,"TF","")),"TS",""))*10/2,0),IF('Eval-Avec act. écol. envisagée'!$A$771=DY15,LEN(SUBSTITUTE((SUBSTITUTE(EX19,"TF","")),"TS",""))*10/2,0),IF('Eval-Avec act. écol. envisagée'!$A$772=DY15,LEN(SUBSTITUTE((SUBSTITUTE(EX20,"TF","")),"TS",""))*10/2,0),IF('Eval-Avec act. écol. envisagée'!$A$773=DY15,LEN(SUBSTITUTE((SUBSTITUTE(EX21,"TF","")),"TS",""))*10/2,0),IF('Eval-Avec act. écol. envisagée'!$A$774=DY15,LEN(SUBSTITUTE((SUBSTITUTE(EX22,"TF","")),"TS",""))*10/2,0),IF('Eval-Avec act. écol. envisagée'!$A$775=DY15,LEN(SUBSTITUTE((SUBSTITUTE(EX23,"TF","")),"TS",""))*10/2,0),IF('Eval-Avec act. écol. envisagée'!$A$776=DY15,LEN(SUBSTITUTE((SUBSTITUTE(EX24,"TF","")),"TS",""))*10/2,0),IF('Eval-Avec act. écol. envisagée'!$A$777=DY15,LEN(SUBSTITUTE((SUBSTITUTE(EX25,"TF","")),"TS",""))*10/2,0),IF('Eval-Avec act. écol. envisagée'!$A$778=DY15,LEN(SUBSTITUTE((SUBSTITUTE(EX26,"TF","")),"TS",""))*10/2,0),IF('Eval-Avec act. écol. envisagée'!$A$779=DY15,LEN(SUBSTITUTE((SUBSTITUTE(EX27,"TF","")),"TS",""))*10/2,0),IF('Eval-Avec act. écol. envisagée'!$A$780=DY15,LEN(SUBSTITUTE((SUBSTITUTE(EX28,"TF","")),"TS",""))*10/2,0))/COUNTIF('Eval-Avec act. écol. envisagée'!$A$761:$A$780,DY15),"")</f>
        <v/>
      </c>
      <c r="EK15" s="211" t="str">
        <f>IF(COUNTIF('Eval-Avec act. écol. envisagée'!$A$761:$A$780,DY15)&gt;0,SUM(IF('Eval-Avec act. écol. envisagée'!$A$761=DY15,LEN(SUBSTITUTE((SUBSTITUTE(EX9,"TF","")),"TM",""))*10/2,0),IF('Eval-Avec act. écol. envisagée'!$A$762=DY15,LEN(SUBSTITUTE((SUBSTITUTE(EX10,"TF","")),"TM",""))*10/2,0),IF('Eval-Avec act. écol. envisagée'!$A$763=DY15,LEN(SUBSTITUTE((SUBSTITUTE(EX11,"TF","")),"TM",""))*10/2,0),IF('Eval-Avec act. écol. envisagée'!$A$764=DY15,LEN(SUBSTITUTE((SUBSTITUTE(EX12,"TF","")),"TM",""))*10/2,0),IF('Eval-Avec act. écol. envisagée'!$A$765=DY15,LEN(SUBSTITUTE((SUBSTITUTE(EX13,"TF","")),"TM",""))*10/2,0),IF('Eval-Avec act. écol. envisagée'!$A$766=DY15,LEN(SUBSTITUTE((SUBSTITUTE(EX14,"TF","")),"TM",""))*10/2,0),IF('Eval-Avec act. écol. envisagée'!$A$767=DY15,LEN(SUBSTITUTE((SUBSTITUTE(EX15,"TF","")),"TM",""))*10/2,0),IF('Eval-Avec act. écol. envisagée'!$A$768=DY15,LEN(SUBSTITUTE((SUBSTITUTE(EX16,"TF","")),"TM",""))*10/2,0),IF('Eval-Avec act. écol. envisagée'!$A$769=DY15,LEN(SUBSTITUTE((SUBSTITUTE(EX17,"TF","")),"TM",""))*10/2,0),IF('Eval-Avec act. écol. envisagée'!$A$770=DY15,LEN(SUBSTITUTE((SUBSTITUTE(EX18,"TF","")),"TM",""))*10/2,0),IF('Eval-Avec act. écol. envisagée'!$A$771=DY15,LEN(SUBSTITUTE((SUBSTITUTE(EX19,"TF","")),"TM",""))*10/2,0),IF('Eval-Avec act. écol. envisagée'!$A$772=DY15,LEN(SUBSTITUTE((SUBSTITUTE(EX20,"TF","")),"TM",""))*10/2,0),IF('Eval-Avec act. écol. envisagée'!$A$773=DY15,LEN(SUBSTITUTE((SUBSTITUTE(EX21,"TF","")),"TM",""))*10/2,0),IF('Eval-Avec act. écol. envisagée'!$A$774=DY15,LEN(SUBSTITUTE((SUBSTITUTE(EX22,"TF","")),"TM",""))*10/2,0),IF('Eval-Avec act. écol. envisagée'!$A$775=DY15,LEN(SUBSTITUTE((SUBSTITUTE(EX23,"TF","")),"TM",""))*10/2,0),IF('Eval-Avec act. écol. envisagée'!$A$776=DY15,LEN(SUBSTITUTE((SUBSTITUTE(EX24,"TF","")),"TM",""))*10/2,0),IF('Eval-Avec act. écol. envisagée'!$A$777=DY15,LEN(SUBSTITUTE((SUBSTITUTE(EX25,"TF","")),"TM",""))*10/2,0),IF('Eval-Avec act. écol. envisagée'!$A$778=DY15,LEN(SUBSTITUTE((SUBSTITUTE(EX26,"TF","")),"TM",""))*10/2,0),IF('Eval-Avec act. écol. envisagée'!$A$779=DY15,LEN(SUBSTITUTE((SUBSTITUTE(EX27,"TF","")),"TM",""))*10/2,0),IF('Eval-Avec act. écol. envisagée'!$A$780=DY15,LEN(SUBSTITUTE((SUBSTITUTE(EX28,"TF","")),"TM",""))*10/2,0))/COUNTIF('Eval-Avec act. écol. envisagée'!$A$761:$A$780,DY15),"")</f>
        <v/>
      </c>
      <c r="EL15" s="211" t="str">
        <f>IF(COUNTIF('Eval-Avec act. écol. envisagée'!$A$761:$A$780,DY15)&gt;0,SUM(IF('Eval-Avec act. écol. envisagée'!$A$761=DY15,LEN(SUBSTITUTE((SUBSTITUTE(EY9,"TM","")),"TS",""))*10/2,0),IF('Eval-Avec act. écol. envisagée'!$A$762=DY15,LEN(SUBSTITUTE((SUBSTITUTE(EY10,"TM","")),"TS",""))*10/2,0),IF('Eval-Avec act. écol. envisagée'!$A$763=DY15,LEN(SUBSTITUTE((SUBSTITUTE(EY11,"TM","")),"TS",""))*10/2,0),IF('Eval-Avec act. écol. envisagée'!$A$764=DY15,LEN(SUBSTITUTE((SUBSTITUTE(EY12,"TM","")),"TS",""))*10/2,0),IF('Eval-Avec act. écol. envisagée'!$A$765=DY15,LEN(SUBSTITUTE((SUBSTITUTE(EY13,"TM","")),"TS",""))*10/2,0),IF('Eval-Avec act. écol. envisagée'!$A$766=DY15,LEN(SUBSTITUTE((SUBSTITUTE(EY14,"TM","")),"TS",""))*10/2,0),IF('Eval-Avec act. écol. envisagée'!$A$767=DY15,LEN(SUBSTITUTE((SUBSTITUTE(EY15,"TM","")),"TS",""))*10/2,0),IF('Eval-Avec act. écol. envisagée'!$A$768=DY15,LEN(SUBSTITUTE((SUBSTITUTE(EY16,"TM","")),"TS",""))*10/2,0),IF('Eval-Avec act. écol. envisagée'!$A$769=DY15,LEN(SUBSTITUTE((SUBSTITUTE(EY17,"TM","")),"TS",""))*10/2,0),IF('Eval-Avec act. écol. envisagée'!$A$770=DY15,LEN(SUBSTITUTE((SUBSTITUTE(EY18,"TM","")),"TS",""))*10/2,0),IF('Eval-Avec act. écol. envisagée'!$A$771=DY15,LEN(SUBSTITUTE((SUBSTITUTE(EY19,"TM","")),"TS",""))*10/2,0),IF('Eval-Avec act. écol. envisagée'!$A$772=DY15,LEN(SUBSTITUTE((SUBSTITUTE(EY20,"TM","")),"TS",""))*10/2,0),IF('Eval-Avec act. écol. envisagée'!$A$773=DY15,LEN(SUBSTITUTE((SUBSTITUTE(EY21,"TM","")),"TS",""))*10/2,0),IF('Eval-Avec act. écol. envisagée'!$A$774=DY15,LEN(SUBSTITUTE((SUBSTITUTE(EY22,"TM","")),"TS",""))*10/2,0),IF('Eval-Avec act. écol. envisagée'!$A$775=DY15,LEN(SUBSTITUTE((SUBSTITUTE(EY23,"TM","")),"TS",""))*10/2,0),IF('Eval-Avec act. écol. envisagée'!$A$776=DY15,LEN(SUBSTITUTE((SUBSTITUTE(EY24,"TM","")),"TS",""))*10/2,0),IF('Eval-Avec act. écol. envisagée'!$A$777=DY15,LEN(SUBSTITUTE((SUBSTITUTE(EY25,"TM","")),"TS",""))*10/2,0),IF('Eval-Avec act. écol. envisagée'!$A$778=DY15,LEN(SUBSTITUTE((SUBSTITUTE(EY26,"TM","")),"TS",""))*10/2,0),IF('Eval-Avec act. écol. envisagée'!$A$779=DY15,LEN(SUBSTITUTE((SUBSTITUTE(EY27,"TM","")),"TS",""))*10/2,0),IF('Eval-Avec act. écol. envisagée'!$A$780=DY15,LEN(SUBSTITUTE((SUBSTITUTE(EY28,"TM","")),"TS",""))*10/2,0))/COUNTIF('Eval-Avec act. écol. envisagée'!$A$761:$A$780,DY15),"")</f>
        <v/>
      </c>
      <c r="EM15" s="211" t="str">
        <f>IF(COUNTIF('Eval-Avec act. écol. envisagée'!$A$761:$A$780,DY15)&gt;0,SUM(IF('Eval-Avec act. écol. envisagée'!$A$761=DY15,LEN(SUBSTITUTE((SUBSTITUTE(EY9,"TF","")),"TS",""))*10/2,0),IF('Eval-Avec act. écol. envisagée'!$A$762=DY15,LEN(SUBSTITUTE((SUBSTITUTE(EY10,"TF","")),"TS",""))*10/2,0),IF('Eval-Avec act. écol. envisagée'!$A$763=DY15,LEN(SUBSTITUTE((SUBSTITUTE(EY11,"TF","")),"TS",""))*10/2,0),IF('Eval-Avec act. écol. envisagée'!$A$764=DY15,LEN(SUBSTITUTE((SUBSTITUTE(EY12,"TF","")),"TS",""))*10/2,0),IF('Eval-Avec act. écol. envisagée'!$A$765=DY15,LEN(SUBSTITUTE((SUBSTITUTE(EY13,"TF","")),"TS",""))*10/2,0),IF('Eval-Avec act. écol. envisagée'!$A$766=DY15,LEN(SUBSTITUTE((SUBSTITUTE(EY14,"TF","")),"TS",""))*10/2,0),IF('Eval-Avec act. écol. envisagée'!$A$767=DY15,LEN(SUBSTITUTE((SUBSTITUTE(EY15,"TF","")),"TS",""))*10/2,0),IF('Eval-Avec act. écol. envisagée'!$A$768=DY15,LEN(SUBSTITUTE((SUBSTITUTE(EY16,"TF","")),"TS",""))*10/2,0),IF('Eval-Avec act. écol. envisagée'!$A$769=DY15,LEN(SUBSTITUTE((SUBSTITUTE(EY17,"TF","")),"TS",""))*10/2,0),IF('Eval-Avec act. écol. envisagée'!$A$770=DY15,LEN(SUBSTITUTE((SUBSTITUTE(EY18,"TF","")),"TS",""))*10/2,0),IF('Eval-Avec act. écol. envisagée'!$A$771=DY15,LEN(SUBSTITUTE((SUBSTITUTE(EY19,"TF","")),"TS",""))*10/2,0),IF('Eval-Avec act. écol. envisagée'!$A$772=DY15,LEN(SUBSTITUTE((SUBSTITUTE(EY20,"TF","")),"TS",""))*10/2,0),IF('Eval-Avec act. écol. envisagée'!$A$773=DY15,LEN(SUBSTITUTE((SUBSTITUTE(EY21,"TF","")),"TS",""))*10/2,0),IF('Eval-Avec act. écol. envisagée'!$A$774=DY15,LEN(SUBSTITUTE((SUBSTITUTE(EY22,"TF","")),"TS",""))*10/2,0),IF('Eval-Avec act. écol. envisagée'!$A$775=DY15,LEN(SUBSTITUTE((SUBSTITUTE(EY23,"TF","")),"TS",""))*10/2,0),IF('Eval-Avec act. écol. envisagée'!$A$776=DY15,LEN(SUBSTITUTE((SUBSTITUTE(EY24,"TF","")),"TS",""))*10/2,0),IF('Eval-Avec act. écol. envisagée'!$A$777=DY15,LEN(SUBSTITUTE((SUBSTITUTE(EY25,"TF","")),"TS",""))*10/2,0),IF('Eval-Avec act. écol. envisagée'!$A$778=DY15,LEN(SUBSTITUTE((SUBSTITUTE(EY26,"TF","")),"TS",""))*10/2,0),IF('Eval-Avec act. écol. envisagée'!$A$779=DY15,LEN(SUBSTITUTE((SUBSTITUTE(EY27,"TF","")),"TS",""))*10/2,0),IF('Eval-Avec act. écol. envisagée'!$A$780=DY15,LEN(SUBSTITUTE((SUBSTITUTE(EY28,"TF","")),"TS",""))*10/2,0))/COUNTIF('Eval-Avec act. écol. envisagée'!$A$761:$A$780,DY15),"")</f>
        <v/>
      </c>
      <c r="EN15" s="211" t="str">
        <f>IF(COUNTIF('Eval-Avec act. écol. envisagée'!$A$761:$A$780,DY15)&gt;0,SUM(IF('Eval-Avec act. écol. envisagée'!$A$761=DY15,LEN(SUBSTITUTE((SUBSTITUTE(EY9,"TF","")),"TM",""))*10/2,0),IF('Eval-Avec act. écol. envisagée'!$A$762=DY15,LEN(SUBSTITUTE((SUBSTITUTE(EY10,"TF","")),"TM",""))*10/2,0),IF('Eval-Avec act. écol. envisagée'!$A$763=DY15,LEN(SUBSTITUTE((SUBSTITUTE(EY11,"TF","")),"TM",""))*10/2,0),IF('Eval-Avec act. écol. envisagée'!$A$764=DY15,LEN(SUBSTITUTE((SUBSTITUTE(EY12,"TF","")),"TM",""))*10/2,0),IF('Eval-Avec act. écol. envisagée'!$A$765=DY15,LEN(SUBSTITUTE((SUBSTITUTE(EY13,"TF","")),"TM",""))*10/2,0),IF('Eval-Avec act. écol. envisagée'!$A$766=DY15,LEN(SUBSTITUTE((SUBSTITUTE(EY14,"TF","")),"TM",""))*10/2,0),IF('Eval-Avec act. écol. envisagée'!$A$767=DY15,LEN(SUBSTITUTE((SUBSTITUTE(EY15,"TF","")),"TM",""))*10/2,0),IF('Eval-Avec act. écol. envisagée'!$A$768=DY15,LEN(SUBSTITUTE((SUBSTITUTE(EY16,"TF","")),"TM",""))*10/2,0),IF('Eval-Avec act. écol. envisagée'!$A$769=DY15,LEN(SUBSTITUTE((SUBSTITUTE(EY17,"TF","")),"TM",""))*10/2,0),IF('Eval-Avec act. écol. envisagée'!$A$770=DY15,LEN(SUBSTITUTE((SUBSTITUTE(EY18,"TF","")),"TM",""))*10/2,0),IF('Eval-Avec act. écol. envisagée'!$A$771=DY15,LEN(SUBSTITUTE((SUBSTITUTE(EY19,"TF","")),"TM",""))*10/2,0),IF('Eval-Avec act. écol. envisagée'!$A$772=DY15,LEN(SUBSTITUTE((SUBSTITUTE(EY20,"TF","")),"TM",""))*10/2,0),IF('Eval-Avec act. écol. envisagée'!$A$773=DY15,LEN(SUBSTITUTE((SUBSTITUTE(EY21,"TF","")),"TM",""))*10/2,0),IF('Eval-Avec act. écol. envisagée'!$A$774=DY15,LEN(SUBSTITUTE((SUBSTITUTE(EY22,"TF","")),"TM",""))*10/2,0),IF('Eval-Avec act. écol. envisagée'!$A$775=DY15,LEN(SUBSTITUTE((SUBSTITUTE(EY23,"TF","")),"TM",""))*10/2,0),IF('Eval-Avec act. écol. envisagée'!$A$776=DY15,LEN(SUBSTITUTE((SUBSTITUTE(EY24,"TF","")),"TM",""))*10/2,0),IF('Eval-Avec act. écol. envisagée'!$A$777=DY15,LEN(SUBSTITUTE((SUBSTITUTE(EY25,"TF","")),"TM",""))*10/2,0),IF('Eval-Avec act. écol. envisagée'!$A$778=DY15,LEN(SUBSTITUTE((SUBSTITUTE(EY26,"TF","")),"TM",""))*10/2,0),IF('Eval-Avec act. écol. envisagée'!$A$779=DY15,LEN(SUBSTITUTE((SUBSTITUTE(EY27,"TF","")),"TM",""))*10/2,0),IF('Eval-Avec act. écol. envisagée'!$A$780=DY15,LEN(SUBSTITUTE((SUBSTITUTE(EY28,"TF","")),"TM",""))*10/2,0))/COUNTIF('Eval-Avec act. écol. envisagée'!$A$761:$A$780,DY15),"")</f>
        <v/>
      </c>
      <c r="EO15" s="211" t="str">
        <f>IF(COUNTIF('Eval-Avec act. écol. envisagée'!$A$761:$A$780,DY15)&gt;0,IF(OR(AND('Eval-Avec act. écol. envisagée'!$A$761=DY15,EV9&lt;30),AND('Eval-Avec act. écol. envisagée'!$A$762=DY15,EV10&lt;30),AND('Eval-Avec act. écol. envisagée'!$A$763=DY15,EV11&lt;30),AND('Eval-Avec act. écol. envisagée'!$A$764=DY15,EV12&lt;30),AND('Eval-Avec act. écol. envisagée'!$A$765=DY15,EV13&lt;30),AND('Eval-Avec act. écol. envisagée'!$A$766=DY15,EV14&lt;30),AND('Eval-Avec act. écol. envisagée'!$A$767=DY15,EV15&lt;30),AND('Eval-Avec act. écol. envisagée'!$A$768=DY15,EV16&lt;30),AND('Eval-Avec act. écol. envisagée'!$A$769=DY15,EV17&lt;30),AND('Eval-Avec act. écol. envisagée'!$A$770=DY15,EV18&lt;30),AND('Eval-Avec act. écol. envisagée'!$A$771=DY15,EV19&lt;30),AND('Eval-Avec act. écol. envisagée'!$A$772=DY15,EV20&lt;30),AND('Eval-Avec act. écol. envisagée'!$A$773=DY15,EV21&lt;30),AND('Eval-Avec act. écol. envisagée'!$A$774=DY15,EV22&lt;30),AND('Eval-Avec act. écol. envisagée'!$A$775=DY15,EV23&lt;30),AND('Eval-Avec act. écol. envisagée'!$A$776=DY15,EV24&lt;30),AND('Eval-Avec act. écol. envisagée'!$A$777=DY15,EV25&lt;30),AND('Eval-Avec act. écol. envisagée'!$A$778=DY15,EV26&lt;30),AND('Eval-Avec act. écol. envisagée'!$A$779=DY15,EV27&lt;30),AND('Eval-Avec act. écol. envisagée'!$A$780=DY15,EV28&lt;30)),"",SUM(0.1*(SUMPRODUCT(('Eval-Avec act. écol. envisagée'!$A$761:$A$780=DY15)*('Eval-Avec act. écol. envisagée'!$N$761:$P$780="A"))+ SUMPRODUCT(('Eval-Avec act. écol. envisagée'!$A$761:$A$780=DY15)*('Eval-Avec act. écol. envisagée'!$N$761:$P$780="AL"))),0.7*(SUMPRODUCT(('Eval-Avec act. écol. envisagée'!$A$761:$A$780=DY15)*('Eval-Avec act. écol. envisagée'!$N$761:$P$780="TF"))+SUMPRODUCT(('Eval-Avec act. écol. envisagée'!$A$761:$A$780=DY15)*('Eval-Avec act. écol. envisagée'!$N$761:$P$780="TM"))+SUMPRODUCT(('Eval-Avec act. écol. envisagée'!$A$761:$A$780=DY15)*('Eval-Avec act. écol. envisagée'!$N$761:$P$780="TS"))),0.4*(SUMPRODUCT(('Eval-Avec act. écol. envisagée'!$A$761:$A$780=DY15)*('Eval-Avec act. écol. envisagée'!$N$761:$P$780="LA"))+SUMPRODUCT(('Eval-Avec act. écol. envisagée'!$A$761:$A$780=DY15)*('Eval-Avec act. écol. envisagée'!$N$761:$P$780="L"))+SUMPRODUCT(('Eval-Avec act. écol. envisagée'!$A$761:$A$780=DY15)*('Eval-Avec act. écol. envisagée'!$N$761:$P$780="LS"))),1*(SUMPRODUCT(('Eval-Avec act. écol. envisagée'!$A$761:$A$780=DY15)*('Eval-Avec act. écol. envisagée'!$N$761:$P$780="SL"))+ SUMPRODUCT(('Eval-Avec act. écol. envisagée'!$A$761:$A$780=DY15)*('Eval-Avec act. écol. envisagée'!$N$761:$P$780="S"))))/(3*COUNTIF('Eval-Avec act. écol. envisagée'!$A$761:$A$780,DY15))),"")</f>
        <v/>
      </c>
      <c r="EP15" s="211" t="str">
        <f>IF(COUNTIF('Eval-Avec act. écol. envisagée'!$A$761:$A$780,DY15)&gt;0,IF(OR(AND('Eval-Avec act. écol. envisagée'!$A$761=DY15,EV9&lt;120),AND('Eval-Avec act. écol. envisagée'!$A$762=DY15,EV10&lt;120),AND('Eval-Avec act. écol. envisagée'!$A$763=DY15,EV11&lt;120),AND('Eval-Avec act. écol. envisagée'!$A$764=DY15,EV12&lt;120),AND('Eval-Avec act. écol. envisagée'!$A$765=DY15,EV13&lt;120),AND('Eval-Avec act. écol. envisagée'!$A$766=DY15,EV14&lt;120),AND('Eval-Avec act. écol. envisagée'!$A$767=DY15,EV15&lt;120),AND('Eval-Avec act. écol. envisagée'!$A$768=DY15,EV16&lt;120),AND('Eval-Avec act. écol. envisagée'!$A$769=DY15,EV17&lt;120),AND('Eval-Avec act. écol. envisagée'!$A$770=DY15,EV18&lt;120),AND('Eval-Avec act. écol. envisagée'!$A$771=DY15,EV19&lt;120),AND('Eval-Avec act. écol. envisagée'!$A$772=DY15,EV20&lt;120),AND('Eval-Avec act. écol. envisagée'!$A$773=DY15,EV21&lt;120),AND('Eval-Avec act. écol. envisagée'!$A$774=DY15,EV22&lt;120),AND('Eval-Avec act. écol. envisagée'!$A$775=DY15,EV23&lt;120),AND('Eval-Avec act. écol. envisagée'!$A$776=DY15,EV24&lt;120),AND('Eval-Avec act. écol. envisagée'!$A$777=DY15,EV25&lt;120),AND('Eval-Avec act. écol. envisagée'!$A$778=DY15,EV26&lt;120),AND('Eval-Avec act. écol. envisagée'!$A$779=DY15,EV27&lt;120),AND('Eval-Avec act. écol. envisagée'!$A$780=DY15,EV28&lt;120)),"",SUM(0.1*(SUMPRODUCT(('Eval-Avec act. écol. envisagée'!$A$761:$A$780=DY15)*('Eval-Avec act. écol. envisagée'!$Q$761:$Y$780="A"))+ SUMPRODUCT(('Eval-Avec act. écol. envisagée'!$A$761:$A$780=DY15)*('Eval-Avec act. écol. envisagée'!$Q$761:$Y$780="AL"))),0.7*(SUMPRODUCT(('Eval-Avec act. écol. envisagée'!$A$761:$A$780=DY15)*('Eval-Avec act. écol. envisagée'!$Q$761:$Y$780="TF"))+SUMPRODUCT(('Eval-Avec act. écol. envisagée'!$A$761:$A$780=DY15)*('Eval-Avec act. écol. envisagée'!$Q$761:$Y$780="TM"))+SUMPRODUCT(('Eval-Avec act. écol. envisagée'!$A$761:$A$780=DY15)*('Eval-Avec act. écol. envisagée'!$Q$761:$Y$780="TS"))),0.4*(SUMPRODUCT(('Eval-Avec act. écol. envisagée'!$A$761:$A$780=DY15)*('Eval-Avec act. écol. envisagée'!$Q$761:$Y$780="LA"))+SUMPRODUCT(('Eval-Avec act. écol. envisagée'!$A$761:$A$780=DY15)*('Eval-Avec act. écol. envisagée'!$Q$761:$Y$780="L"))+SUMPRODUCT(('Eval-Avec act. écol. envisagée'!$A$761:$A$780=DY15)*('Eval-Avec act. écol. envisagée'!$Q$761:$Y$780="LS"))),1*(SUMPRODUCT(('Eval-Avec act. écol. envisagée'!$A$761:$A$780=DY15)*('Eval-Avec act. écol. envisagée'!$Q$761:$Y$780="SL"))+ SUMPRODUCT(('Eval-Avec act. écol. envisagée'!$A$761:$A$780=DY15)*('Eval-Avec act. écol. envisagée'!$Q$761:$Y$780="S"))))/(9*COUNTIF('Eval-Avec act. écol. envisagée'!$A$761:$A$780,DY15))),"")</f>
        <v/>
      </c>
      <c r="EQ15" s="211" t="str">
        <f>IF(COUNTIF('Eval-Avec act. écol. envisagée'!$A$761:$A$780,DY15)&gt;0,IF(OR(AND('Eval-Avec act. écol. envisagée'!$A$761=DY15,OR(COUNTIF('Eval-Avec act. écol. envisagée'!$N$761:$P$761,"*T*")&gt;0,EV9&lt;30)),AND('Eval-Avec act. écol. envisagée'!$A$762=DY15,OR(COUNTIF('Eval-Avec act. écol. envisagée'!$N$762:$P$762,"*T*")&gt;0,EV10&lt;30)),AND('Eval-Avec act. écol. envisagée'!$A$763=DY15,OR(COUNTIF('Eval-Avec act. écol. envisagée'!$N$763:$P$763,"*T*")&gt;0,EV11&lt;30)),AND('Eval-Avec act. écol. envisagée'!$A$764=DY15,OR(COUNTIF('Eval-Avec act. écol. envisagée'!$N$764:$P$764,"*T*")&gt;0,EV12&lt;30)),AND('Eval-Avec act. écol. envisagée'!$A$765=DY15,OR(COUNTIF('Eval-Avec act. écol. envisagée'!$N$765:$P$765,"*T*")&gt;0,EV13&lt;30)),AND('Eval-Avec act. écol. envisagée'!$A$766=DY15,OR(COUNTIF('Eval-Avec act. écol. envisagée'!$N$766:$P$766,"*T*")&gt;0,EV14&lt;30)),AND('Eval-Avec act. écol. envisagée'!$A$767=DY15,OR(COUNTIF('Eval-Avec act. écol. envisagée'!$N$767:$P$767,"*T*")&gt;0,EV15&lt;30)),AND('Eval-Avec act. écol. envisagée'!$A$768=DY15,OR(COUNTIF('Eval-Avec act. écol. envisagée'!$N$768:$P$768,"*T*")&gt;0,EV16&lt;30)),AND('Eval-Avec act. écol. envisagée'!$A$769=DY15,OR(COUNTIF('Eval-Avec act. écol. envisagée'!$N$769:$P$769,"*T*")&gt;0,EV17&lt;30)),AND('Eval-Avec act. écol. envisagée'!$A$770=DY15,OR(COUNTIF('Eval-Avec act. écol. envisagée'!$N$770:$P$770,"*T*")&gt;0,EV18&lt;30)),AND('Eval-Avec act. écol. envisagée'!$A$771=DY15,OR(COUNTIF('Eval-Avec act. écol. envisagée'!$N$771:$P$771,"*T*")&gt;0,EV19&lt;30)),AND('Eval-Avec act. écol. envisagée'!$A$772=DY15,OR(COUNTIF('Eval-Avec act. écol. envisagée'!$N$772:$P$772,"*T*")&gt;0,EV20&lt;30)),AND('Eval-Avec act. écol. envisagée'!$A$773=DY15,OR(COUNTIF('Eval-Avec act. écol. envisagée'!$N$773:$P$773,"*T*")&gt;0,EV21&lt;30)),AND('Eval-Avec act. écol. envisagée'!$A$774=DY15,OR(COUNTIF('Eval-Avec act. écol. envisagée'!$N$774:$P$774,"*T*")&gt;0,EV22&lt;30)),AND('Eval-Avec act. écol. envisagée'!$A$775=DY15,OR(COUNTIF('Eval-Avec act. écol. envisagée'!$N$775:$P$775,"*T*")&gt;0,EV23&lt;30)),AND('Eval-Avec act. écol. envisagée'!$A$776=DY15,OR(COUNTIF('Eval-Avec act. écol. envisagée'!$N$776:$P$776,"*T*")&gt;0,EV24&lt;30)),AND('Eval-Avec act. écol. envisagée'!$A$777=DY15,OR(COUNTIF('Eval-Avec act. écol. envisagée'!$N$777:$P$777,"*T*")&gt;0,EV25&lt;30)),AND('Eval-Avec act. écol. envisagée'!$A$778=DY15,OR(COUNTIF('Eval-Avec act. écol. envisagée'!$N$778:$P$778,"*T*")&gt;0,EV26&lt;30)),AND('Eval-Avec act. écol. envisagée'!$A$779=DY15,OR(COUNTIF('Eval-Avec act. écol. envisagée'!$N$779:$P$779,"*T*")&gt;0,EV27&lt;30)),AND('Eval-Avec act. écol. envisagée'!$A$780=DY15,OR(COUNTIF('Eval-Avec act. écol. envisagée'!$N$780:$P$780,"*T*")&gt;0,EV28&lt;30))),"",SUM(0.1*(SUMPRODUCT(('Eval-Avec act. écol. envisagée'!$A$761:$A$780=DY15)*('Eval-Avec act. écol. envisagée'!$N$761:$P$780="L"))),0.4*(SUMPRODUCT(('Eval-Avec act. écol. envisagée'!$A$761:$A$780=DY15)*('Eval-Avec act. écol. envisagée'!$N$761:$P$780="LA"))+SUMPRODUCT(('Eval-Avec act. écol. envisagée'!$A$761:$A$780=DY15)*('Eval-Avec act. écol. envisagée'!$N$761:$P$780="LS"))),0.7*(SUMPRODUCT(('Eval-Avec act. écol. envisagée'!$A$761:$A$780=DY15)*('Eval-Avec act. écol. envisagée'!$N$761:$P$780="AL"))+SUMPRODUCT(('Eval-Avec act. écol. envisagée'!$A$761:$A$780=DY15)*('Eval-Avec act. écol. envisagée'!$N$761:$P$780="SL"))),1*(SUMPRODUCT(('Eval-Avec act. écol. envisagée'!$A$761:$A$780=DY15)*('Eval-Avec act. écol. envisagée'!$N$761:$P$780="S"))+ SUMPRODUCT(('Eval-Avec act. écol. envisagée'!$A$761:$A$780=DY15)*('Eval-Avec act. écol. envisagée'!$N$761:$P$780="A"))))/(3*COUNTIF('Eval-Avec act. écol. envisagée'!$A$761:$A$780,DY15))),"")</f>
        <v/>
      </c>
      <c r="ER15" s="211" t="str">
        <f>IF(COUNTIF('Eval-Avec act. écol. envisagée'!$A$761:$A$780,DY15)&gt;0,IF(OR(AND('Eval-Avec act. écol. envisagée'!$A$761=DY15,OR(COUNTIF('Eval-Avec act. écol. envisagée'!$N$761:$P$761,"*T*")&gt;0,EV9&lt;30)),AND('Eval-Avec act. écol. envisagée'!$A$762=DY15,OR(COUNTIF('Eval-Avec act. écol. envisagée'!$N$762:$P$762,"*T*")&gt;0,EV10&lt;30)),AND('Eval-Avec act. écol. envisagée'!$A$763=DY15,OR(COUNTIF('Eval-Avec act. écol. envisagée'!$N$763:$P$763,"*T*")&gt;0,EV11&lt;30)),AND('Eval-Avec act. écol. envisagée'!$A$764=DY15,OR(COUNTIF('Eval-Avec act. écol. envisagée'!$N$764:$P$764,"*T*")&gt;0,EV12&lt;30)),AND('Eval-Avec act. écol. envisagée'!$A$765=DY15,OR(COUNTIF('Eval-Avec act. écol. envisagée'!$N$765:$P$765,"*T*")&gt;0,EV13&lt;30)),AND('Eval-Avec act. écol. envisagée'!$A$766=DY15,OR(COUNTIF('Eval-Avec act. écol. envisagée'!$N$766:$P$766,"*T*")&gt;0,EV14&lt;30)),AND('Eval-Avec act. écol. envisagée'!$A$767=DY15,OR(COUNTIF('Eval-Avec act. écol. envisagée'!$N$767:$P$767,"*T*")&gt;0,EV15&lt;30)),AND('Eval-Avec act. écol. envisagée'!$A$768=DY15,OR(COUNTIF('Eval-Avec act. écol. envisagée'!$N$768:$P$768,"*T*")&gt;0,EV16&lt;30)),AND('Eval-Avec act. écol. envisagée'!$A$769=DY15,OR(COUNTIF('Eval-Avec act. écol. envisagée'!$N$769:$P$769,"*T*")&gt;0,EV17&lt;30)),AND('Eval-Avec act. écol. envisagée'!$A$770=DY15,OR(COUNTIF('Eval-Avec act. écol. envisagée'!$N$770:$P$770,"*T*")&gt;0,EV18&lt;30)),AND('Eval-Avec act. écol. envisagée'!$A$771=DY15,OR(COUNTIF('Eval-Avec act. écol. envisagée'!$N$771:$P$771,"*T*")&gt;0,EV19&lt;30)),AND('Eval-Avec act. écol. envisagée'!$A$772=DY15,OR(COUNTIF('Eval-Avec act. écol. envisagée'!$N$772:$P$772,"*T*")&gt;0,EV20&lt;30)),AND('Eval-Avec act. écol. envisagée'!$A$773=DY15,OR(COUNTIF('Eval-Avec act. écol. envisagée'!$N$773:$P$773,"*T*")&gt;0,EV21&lt;30)),AND('Eval-Avec act. écol. envisagée'!$A$774=DY15,OR(COUNTIF('Eval-Avec act. écol. envisagée'!$N$774:$P$774,"*T*")&gt;0,EV22&lt;30)),AND('Eval-Avec act. écol. envisagée'!$A$775=DY15,OR(COUNTIF('Eval-Avec act. écol. envisagée'!$N$775:$P$775,"*T*")&gt;0,EV23&lt;30)),AND('Eval-Avec act. écol. envisagée'!$A$776=DY15,OR(COUNTIF('Eval-Avec act. écol. envisagée'!$N$776:$P$776,"*T*")&gt;0,EV24&lt;30)),AND('Eval-Avec act. écol. envisagée'!$A$777=DY15,OR(COUNTIF('Eval-Avec act. écol. envisagée'!$N$777:$P$777,"*T*")&gt;0,EV25&lt;30)),AND('Eval-Avec act. écol. envisagée'!$A$778=DY15,OR(COUNTIF('Eval-Avec act. écol. envisagée'!$N$778:$P$778,"*T*")&gt;0,EV26&lt;30)),AND('Eval-Avec act. écol. envisagée'!$A$779=DY15,OR(COUNTIF('Eval-Avec act. écol. envisagée'!$N$779:$P$779,"*T*")&gt;0,EV27&lt;30)),AND('Eval-Avec act. écol. envisagée'!$A$780=DY15,OR(COUNTIF('Eval-Avec act. écol. envisagée'!$N$780:$P$780,"*T*")&gt;0,EV28&lt;30))),"",SUM(1*(SUMPRODUCT(('Eval-Avec act. écol. envisagée'!$A$761:$A$780=DY15)*('Eval-Avec act. écol. envisagée'!$N$761:$P$780="A"))),0.85*(SUMPRODUCT(('Eval-Avec act. écol. envisagée'!$A$761:$A$780=DY15)*('Eval-Avec act. écol. envisagée'!$N$761:$P$780="AL"))),0.7*(SUMPRODUCT(('Eval-Avec act. écol. envisagée'!$A$761:$A$780=DY15)*('Eval-Avec act. écol. envisagée'!$N$761:$P$780="LA"))),0.55*(SUMPRODUCT(('Eval-Avec act. écol. envisagée'!$A$761:$A$780=DY15)*('Eval-Avec act. écol. envisagée'!$N$761:$P$780="L"))),0.4*(SUMPRODUCT(('Eval-Avec act. écol. envisagée'!$A$761:$A$780=DY15)*('Eval-Avec act. écol. envisagée'!$N$761:$P$780="LS"))),0.25*(SUMPRODUCT(('Eval-Avec act. écol. envisagée'!$A$761:$A$780=DY15)*('Eval-Avec act. écol. envisagée'!$N$761:$P$780="SL"))),0.1*(SUMPRODUCT(('Eval-Avec act. écol. envisagée'!$A$761:$A$780=DY15)*('Eval-Avec act. écol. envisagée'!$N$761:$P$780="S"))))/(3*COUNTIF('Eval-Avec act. écol. envisagée'!$A$761:$A$780,DY15))),"")</f>
        <v/>
      </c>
      <c r="ES15" s="214" t="str">
        <f>IF(COUNTIF('Eval-Avec act. écol. envisagée'!$A$761:$A$780,DY15)&gt;0,IF(OR(AND('Eval-Avec act. écol. envisagée'!$A$761=DY15,OR(COUNTIF('Eval-Avec act. écol. envisagée'!$Q$761:$Y$761,"*T*")&gt;0,EV9&lt;120)),AND('Eval-Avec act. écol. envisagée'!$A$762=DY15,OR(COUNTIF('Eval-Avec act. écol. envisagée'!$Q$762:$Y$762,"*T*")&gt;0,EV10&lt;120)),AND('Eval-Avec act. écol. envisagée'!$A$763=DY15,OR(COUNTIF('Eval-Avec act. écol. envisagée'!$Q$763:$Y$763,"*T*")&gt;0,EV11&lt;120)),AND('Eval-Avec act. écol. envisagée'!$A$764=DY15,OR(COUNTIF('Eval-Avec act. écol. envisagée'!$Q$764:$Y$764,"*T*")&gt;0,EV12&lt;120)),AND('Eval-Avec act. écol. envisagée'!$A$765=DY15,OR(COUNTIF('Eval-Avec act. écol. envisagée'!$Q$765:$Y$765,"*T*")&gt;0,EV13&lt;120)),AND('Eval-Avec act. écol. envisagée'!$A$766=DY15,OR(COUNTIF('Eval-Avec act. écol. envisagée'!$Q$766:$Y$766,"*T*")&gt;0,EV14&lt;120)),AND('Eval-Avec act. écol. envisagée'!$A$767=DY15,OR(COUNTIF('Eval-Avec act. écol. envisagée'!$Q$767:$Y$767,"*T*")&gt;0,EV15&lt;120)),AND('Eval-Avec act. écol. envisagée'!$A$768=DY15,OR(COUNTIF('Eval-Avec act. écol. envisagée'!$Q$768:$Y$768,"*T*")&gt;0,EV16&lt;120)),AND('Eval-Avec act. écol. envisagée'!$A$769=DY15,OR(COUNTIF('Eval-Avec act. écol. envisagée'!$Q$769:$Y$769,"*T*")&gt;0,EV17&lt;120)),AND('Eval-Avec act. écol. envisagée'!$A$770=DY15,OR(COUNTIF('Eval-Avec act. écol. envisagée'!$Q$770:$Y$770,"*T*")&gt;0,EV18&lt;120)),AND('Eval-Avec act. écol. envisagée'!$A$771=DY15,OR(COUNTIF('Eval-Avec act. écol. envisagée'!$Q$771:$Y$771,"*T*")&gt;0,EV19&lt;120)),AND('Eval-Avec act. écol. envisagée'!$A$772=DY15,OR(COUNTIF('Eval-Avec act. écol. envisagée'!$Q$772:$Y$772,"*T*")&gt;0,EV20&lt;120)),AND('Eval-Avec act. écol. envisagée'!$A$773=DY15,OR(COUNTIF('Eval-Avec act. écol. envisagée'!$Q$773:$Y$773,"*T*")&gt;0,EV21&lt;120)),AND('Eval-Avec act. écol. envisagée'!$A$774=DY15,OR(COUNTIF('Eval-Avec act. écol. envisagée'!$Q$774:$Y$774,"*T*")&gt;0,EV22&lt;120)),AND('Eval-Avec act. écol. envisagée'!$A$775=DY15,OR(COUNTIF('Eval-Avec act. écol. envisagée'!$Q$775:$Y$775,"*T*")&gt;0,EV23&lt;120)),AND('Eval-Avec act. écol. envisagée'!$A$776=DY15,OR(COUNTIF('Eval-Avec act. écol. envisagée'!$Q$776:$Y$776,"*T*")&gt;0,EV24&lt;120)),AND('Eval-Avec act. écol. envisagée'!$A$777=DY15,OR(COUNTIF('Eval-Avec act. écol. envisagée'!$Q$777:$Y$777,"*T*")&gt;0,EV25&lt;120)),AND('Eval-Avec act. écol. envisagée'!$A$778=DY15,OR(COUNTIF('Eval-Avec act. écol. envisagée'!$Q$778:$Y$778,"*T*")&gt;0,EV26&lt;120)),AND('Eval-Avec act. écol. envisagée'!$A$779=DY15,OR(COUNTIF('Eval-Avec act. écol. envisagée'!$Q$779:$Y$779,"*T*")&gt;0,EV27&lt;120)),AND('Eval-Avec act. écol. envisagée'!$A$780=DY15,OR(COUNTIF('Eval-Avec act. écol. envisagée'!$Q$780:$Y$780,"*T*")&gt;0,EV28&lt;120))),"",SUM(1*(SUMPRODUCT(('Eval-Avec act. écol. envisagée'!$A$761:$A$780=DY15)*('Eval-Avec act. écol. envisagée'!$Q$761:$Y$780="A"))),0.85*(SUMPRODUCT(('Eval-Avec act. écol. envisagée'!$A$761:$A$780=DY15)*('Eval-Avec act. écol. envisagée'!$Q$761:$Y$780="AL"))),0.7*(SUMPRODUCT(('Eval-Avec act. écol. envisagée'!$A$761:$A$780=DY15)*('Eval-Avec act. écol. envisagée'!$Q$761:$Y$780="LA"))),0.55*(SUMPRODUCT(('Eval-Avec act. écol. envisagée'!$A$761:$A$780=DY15)*('Eval-Avec act. écol. envisagée'!$Q$761:$Y$780="L"))),0.4*(SUMPRODUCT(('Eval-Avec act. écol. envisagée'!$A$761:$A$780=DY15)*('Eval-Avec act. écol. envisagée'!$Q$761:$Y$780="LS"))),0.25*(SUMPRODUCT(('Eval-Avec act. écol. envisagée'!$A$761:$A$780=DY15)*('Eval-Avec act. écol. envisagée'!$Q$761:$Y$780="SL"))),0.1*(SUMPRODUCT(('Eval-Avec act. écol. envisagée'!$A$761:$A$780=DY15)*('Eval-Avec act. écol. envisagée'!$Q$761:$Y$780="S"))))/(9*COUNTIF('Eval-Avec act. écol. envisagée'!$A$761:$A$780,DY15))),"")</f>
        <v/>
      </c>
      <c r="ET15" s="215"/>
      <c r="EU15" s="216">
        <f>'Eval-Avec act. écol. envisagée'!$D$767</f>
        <v>7</v>
      </c>
      <c r="EV15" s="217" t="str">
        <f>IF(EW15="C",0,IF(IF(COUNTIF('Eval-Avec act. écol. envisagée'!$N$767:$Y$767,"=C")&gt;0,(COUNTA('Eval-Avec act. écol. envisagée'!$N$767:$Y$767)-1)*10,COUNTA('Eval-Avec act. écol. envisagée'!$N$767:$Y$767)*10)=0,"",IF(COUNTIF('Eval-Avec act. écol. envisagée'!$N$767:$Y$767,"=C")&gt;0,(COUNTA('Eval-Avec act. écol. envisagée'!$N$767:$Y$767)-1)*10,COUNTA('Eval-Avec act. écol. envisagée'!$N$767:$Y$767)*10)))</f>
        <v/>
      </c>
      <c r="EW15" s="217" t="str">
        <f>CONCATENATE('Eval-Avec act. écol. envisagée'!$N$767,'Eval-Avec act. écol. envisagée'!$O$767,'Eval-Avec act. écol. envisagée'!$P$767,'Eval-Avec act. écol. envisagée'!$Q$767,'Eval-Avec act. écol. envisagée'!$R$767,'Eval-Avec act. écol. envisagée'!$S$767,'Eval-Avec act. écol. envisagée'!$T$767,'Eval-Avec act. écol. envisagée'!$U$767,'Eval-Avec act. écol. envisagée'!$V$767,'Eval-Avec act. écol. envisagée'!$W$767,'Eval-Avec act. écol. envisagée'!$X$767,'Eval-Avec act. écol. envisagée'!$Y$767)</f>
        <v/>
      </c>
      <c r="EX15" s="217" t="str">
        <f t="shared" si="16"/>
        <v/>
      </c>
      <c r="EY15" s="217" t="str">
        <f t="shared" si="17"/>
        <v/>
      </c>
      <c r="EZ15" s="217" t="str">
        <f>IF(COUNTIF('Eval-Avec act. écol. envisagée'!$N$767:$Y$767,"=C")&gt;0,"X","")</f>
        <v/>
      </c>
      <c r="FA15" s="217" t="str">
        <f t="shared" si="18"/>
        <v/>
      </c>
      <c r="FB15" s="218" t="str">
        <f t="shared" si="19"/>
        <v/>
      </c>
      <c r="FC15" s="197"/>
      <c r="FE15" s="210">
        <v>7</v>
      </c>
      <c r="FF15" s="211" t="str">
        <f>IF(COUNTIF('Eval-Après action écologique'!$A$761:$A$780,FE15)&gt;0,SUM(IF('Eval-Après action écologique'!$A$761=FE15,'Eval-Après action écologique'!$B$761,0),IF('Eval-Après action écologique'!$A$762=FE15, 'Eval-Après action écologique'!$B$762,0),IF('Eval-Après action écologique'!$A$763=FE15, 'Eval-Après action écologique'!$B$763,0),IF('Eval-Après action écologique'!$A$764=FE15, 'Eval-Après action écologique'!$B$764,0),IF('Eval-Après action écologique'!$A$765=FE15, 'Eval-Après action écologique'!$B$765,0),IF('Eval-Après action écologique'!$A$766=FE15, 'Eval-Après action écologique'!$B$766,0),IF('Eval-Après action écologique'!$A$767=FE15, 'Eval-Après action écologique'!$B$767,0),IF('Eval-Après action écologique'!$A$768=FE15, 'Eval-Après action écologique'!$B$768,0),IF('Eval-Après action écologique'!$A$769=FE15, 'Eval-Après action écologique'!$B$769,0),IF('Eval-Après action écologique'!$A$770=FE15, 'Eval-Après action écologique'!$B$770,0),IF('Eval-Après action écologique'!$A$771=FE15, 'Eval-Après action écologique'!$B$771,0),IF('Eval-Après action écologique'!$A$772=FE15, 'Eval-Après action écologique'!$B$772,0),IF('Eval-Après action écologique'!$A$773=FE15, 'Eval-Après action écologique'!$B$773,0),IF('Eval-Après action écologique'!$A$774=FE15, 'Eval-Après action écologique'!$B$774,0),IF('Eval-Après action écologique'!$A$775=FE15, 'Eval-Après action écologique'!$B$775,0),IF('Eval-Après action écologique'!$A$776=FE15, 'Eval-Après action écologique'!$B$776,0),IF('Eval-Après action écologique'!$A$777=FE15, 'Eval-Après action écologique'!$B$777,0),IF('Eval-Après action écologique'!$A$778=FE15, 'Eval-Après action écologique'!$B$778,0),IF('Eval-Après action écologique'!$A$779=FE15, 'Eval-Après action écologique'!$B$779,0),IF('Eval-Après action écologique'!$A$780=FE15, 'Eval-Après action écologique'!$B$780,0))/COUNTIF('Eval-Après action écologique'!$A$761:$A$780,FE15),"")</f>
        <v/>
      </c>
      <c r="FG15" s="212" t="str">
        <f>IF(COUNTIF('Eval-Après action écologique'!$A$761:$A$780,FE15)&gt;0,COUNTIF('Eval-Après action écologique'!$A$761:$A$780,FE15),"")</f>
        <v/>
      </c>
      <c r="FH15" s="211" t="str">
        <f>IF(COUNTIF('Eval-Après action écologique'!$A$761:$A$780,FE15)&gt;0,IF(OR(AND('Eval-Après action écologique'!$A$761=FE15, 'Eval-Après action écologique'!$G$761=""),AND('Eval-Après action écologique'!$A$762=FE15, 'Eval-Après action écologique'!$G$762=""),AND('Eval-Après action écologique'!$A$763=FE15, 'Eval-Après action écologique'!$G$763=""),AND('Eval-Après action écologique'!$A$764=FE15, 'Eval-Après action écologique'!$G$764=""),AND('Eval-Après action écologique'!$A$765=FE15, 'Eval-Après action écologique'!$G$765=""),AND('Eval-Après action écologique'!$A$766=FE15, 'Eval-Après action écologique'!$G$766=""),AND('Eval-Après action écologique'!$A$767=FE15, 'Eval-Après action écologique'!$G$767=""),AND('Eval-Après action écologique'!$A$768=FE15, 'Eval-Après action écologique'!$G$768=""),AND('Eval-Après action écologique'!$A$769=FE15, 'Eval-Après action écologique'!$G$769=""),AND('Eval-Après action écologique'!$A$770=FE15, 'Eval-Après action écologique'!$G$770=""),AND('Eval-Après action écologique'!$A$771=FE15, 'Eval-Après action écologique'!$G$771=""),AND('Eval-Après action écologique'!$A$772=FE15, 'Eval-Après action écologique'!$G$772=""),AND('Eval-Après action écologique'!$A$773=FE15, 'Eval-Après action écologique'!$G$773=""),AND('Eval-Après action écologique'!$A$774=FE15, 'Eval-Après action écologique'!$G$774=""),AND('Eval-Après action écologique'!$A$775=FE15, 'Eval-Après action écologique'!$G$775=""),AND('Eval-Après action écologique'!$A$776=FE15, 'Eval-Après action écologique'!$G$776=""),AND('Eval-Après action écologique'!$A$777=FE15, 'Eval-Après action écologique'!$G$777=""),AND('Eval-Après action écologique'!$A$778=FE15, 'Eval-Après action écologique'!$G$778=""),AND('Eval-Après action écologique'!$A$779=FE15, 'Eval-Après action écologique'!$G$779=""),AND('Eval-Après action écologique'!$A$780=FE15, 'Eval-Après action écologique'!$G$780="")),"",SUM(IF('Eval-Après action écologique'!$A$761=FE15,'Eval-Après action écologique'!$G$761,0),IF('Eval-Après action écologique'!$A$762=FE15,'Eval-Après action écologique'!$G$762,0),IF('Eval-Après action écologique'!$A$763=FE15,'Eval-Après action écologique'!$G$763,0),IF('Eval-Après action écologique'!$A$764=FE15,'Eval-Après action écologique'!$G$764,0),IF('Eval-Après action écologique'!$A$765=FE15,'Eval-Après action écologique'!$G$765,0),IF('Eval-Après action écologique'!$A$766=FE15,'Eval-Après action écologique'!$G$766,0),IF('Eval-Après action écologique'!$A$767=FE15,'Eval-Après action écologique'!$G$767,0),IF('Eval-Après action écologique'!$A$768=FE15,'Eval-Après action écologique'!$G$768,0),IF('Eval-Après action écologique'!$A$769=FE15,'Eval-Après action écologique'!$G$769,0),IF('Eval-Après action écologique'!$A$770=FE15,'Eval-Après action écologique'!$G$770,0),IF('Eval-Après action écologique'!$A$771=FE15,'Eval-Après action écologique'!$G$771,0),IF('Eval-Après action écologique'!$A$772=FE15,'Eval-Après action écologique'!$G$772,0),IF('Eval-Après action écologique'!$A$773=FE15,'Eval-Après action écologique'!$G$773,0),IF('Eval-Après action écologique'!$A$774=FE15,'Eval-Après action écologique'!$G$774,0),IF('Eval-Après action écologique'!$A$775=FE15,'Eval-Après action écologique'!$G$775,0), IF('Eval-Après action écologique'!$A$776=FE15,'Eval-Après action écologique'!$G$776,0), IF('Eval-Après action écologique'!$A$777=FE15,'Eval-Après action écologique'!$G$777,0), IF('Eval-Après action écologique'!$A$778=FE15,'Eval-Après action écologique'!$G$778,0), IF('Eval-Après action écologique'!$A$779=FE15,'Eval-Après action écologique'!$G$779,0), IF('Eval-Après action écologique'!$A$780=FE15,'Eval-Après action écologique'!$G$780,0))/ COUNTIF('Eval-Après action écologique'!$A$761:$A$780,FE15)),"")</f>
        <v/>
      </c>
      <c r="FI15" s="212" t="str">
        <f>IF(COUNTIF('Eval-Après action écologique'!$A$761:$A$780,FE15)&gt;0,IF(SUM(IF('Eval-Après action écologique'!$A$761=FE15,COUNTA('Eval-Après action écologique'!$H$761),0),IF('Eval-Après action écologique'!$A$762=FE15,COUNTA('Eval-Après action écologique'!$H$762),0),IF('Eval-Après action écologique'!$A$763=FE15,COUNTA('Eval-Après action écologique'!$H$763),0),IF('Eval-Après action écologique'!$A$764=FE15,COUNTA('Eval-Après action écologique'!$H$764),0),IF('Eval-Après action écologique'!$A$765=FE15,COUNTA('Eval-Après action écologique'!$H$765),0),IF('Eval-Après action écologique'!$A$766=FE15,COUNTA('Eval-Après action écologique'!$H$766),0),IF('Eval-Après action écologique'!$A$767=FE15,COUNTA('Eval-Après action écologique'!$H$767),0),IF('Eval-Après action écologique'!$A$768=FE15,COUNTA('Eval-Après action écologique'!$H$768),0),IF('Eval-Après action écologique'!$A$769=FE15,COUNTA('Eval-Après action écologique'!$H$769),0),IF('Eval-Après action écologique'!$A$770=FE15,COUNTA('Eval-Après action écologique'!$H$770),0),IF('Eval-Après action écologique'!$A$771=FE15,COUNTA('Eval-Après action écologique'!$H$771),0),IF('Eval-Après action écologique'!$A$772=FE15,COUNTA('Eval-Après action écologique'!$H$772),0),IF('Eval-Après action écologique'!$A$773=FE15,COUNTA('Eval-Après action écologique'!$H$773),0),IF('Eval-Après action écologique'!$A$774=FE15,COUNTA('Eval-Après action écologique'!$H$774),0),IF('Eval-Après action écologique'!$A$775=FE15,COUNTA('Eval-Après action écologique'!$H$775),0),IF('Eval-Après action écologique'!$A$776=FE15,COUNTA('Eval-Après action écologique'!$H$776),0),IF('Eval-Après action écologique'!$A$777=FE15,COUNTA('Eval-Après action écologique'!$H$777),0),IF('Eval-Après action écologique'!$A$778=FE15,COUNTA('Eval-Après action écologique'!$H$778),0),IF('Eval-Après action écologique'!$A$779=FE15,COUNTA('Eval-Après action écologique'!$H$779),0),IF('Eval-Après action écologique'!$A$780=FE15,COUNTA('Eval-Après action écologique'!$H$780),0))&gt;0,"X",0),"")</f>
        <v/>
      </c>
      <c r="FJ15" s="213" t="str">
        <f>IF(COUNTIF('Eval-Après action écologique'!$A$761:$A$780,FE15)&gt;0,IF(SUM(IF('Eval-Après action écologique'!$A$761=FE15,COUNTA('Eval-Après action écologique'!$I$761),0),IF('Eval-Après action écologique'!$A$762=FE15,COUNTA('Eval-Après action écologique'!$I$762),0),IF('Eval-Après action écologique'!$A$763=FE15,COUNTA('Eval-Après action écologique'!$I$763),0),IF('Eval-Après action écologique'!$A$764=FE15,COUNTA('Eval-Après action écologique'!$I$764),0),IF('Eval-Après action écologique'!$A$765=FE15,COUNTA('Eval-Après action écologique'!$I$765),0),IF('Eval-Après action écologique'!$A$766=FE15,COUNTA('Eval-Après action écologique'!$I$766),0),IF('Eval-Après action écologique'!$A$767=FE15,COUNTA('Eval-Après action écologique'!$I$767),0),IF('Eval-Après action écologique'!$A$768=FE15,COUNTA('Eval-Après action écologique'!$I$768),0),IF('Eval-Après action écologique'!$A$769=FE15,COUNTA('Eval-Après action écologique'!$I$769),0),IF('Eval-Après action écologique'!$A$770=FE15,COUNTA('Eval-Après action écologique'!$I$770),0),IF('Eval-Après action écologique'!$A$771=FE15,COUNTA('Eval-Après action écologique'!$I$771),0),IF('Eval-Après action écologique'!$A$772=FE15,COUNTA('Eval-Après action écologique'!$I$772),0),IF('Eval-Après action écologique'!$A$773=FE15,COUNTA('Eval-Après action écologique'!$I$773),0),IF('Eval-Après action écologique'!$A$774=FE15,COUNTA('Eval-Après action écologique'!$I$774),0),IF('Eval-Après action écologique'!$A$775=FE15,COUNTA('Eval-Après action écologique'!$I$775),0),IF('Eval-Après action écologique'!$A$776=FE15,COUNTA('Eval-Après action écologique'!$I$776),0),IF('Eval-Après action écologique'!$A$777=FE15,COUNTA('Eval-Après action écologique'!$I$777),0),IF('Eval-Après action écologique'!$A$778=FE15,COUNTA('Eval-Après action écologique'!$I$778),0),IF('Eval-Après action écologique'!$A$779=FE15,COUNTA('Eval-Après action écologique'!$I$779),0),IF('Eval-Après action écologique'!$A$780=FE15,COUNTA('Eval-Après action écologique'!$I$780),0))&gt;0,"X",0),"")</f>
        <v/>
      </c>
      <c r="FK15" s="213" t="str">
        <f>IF(COUNTIF('Eval-Après action écologique'!$A$761:$A$780,FE15)&gt;0,IF(SUM(IF('Eval-Après action écologique'!$A$761=FE15,COUNTA('Eval-Après action écologique'!$J$761),0),IF('Eval-Après action écologique'!$A$762=FE15,COUNTA('Eval-Après action écologique'!$J$762),0),IF('Eval-Après action écologique'!$A$763=FE15,COUNTA('Eval-Après action écologique'!$J$763),0),IF('Eval-Après action écologique'!$A$764=FE15,COUNTA('Eval-Après action écologique'!$J$764),0),IF('Eval-Après action écologique'!$A$765=FE15,COUNTA('Eval-Après action écologique'!$J$765),0),IF('Eval-Après action écologique'!$A$766=FE15,COUNTA('Eval-Après action écologique'!$J$766),0),IF('Eval-Après action écologique'!$A$767=FE15,COUNTA('Eval-Après action écologique'!$J$767),0),IF('Eval-Après action écologique'!$A$768=FE15,COUNTA('Eval-Après action écologique'!$J$768),0),IF('Eval-Après action écologique'!$A$769=FE15,COUNTA('Eval-Après action écologique'!$J$769),0),IF('Eval-Après action écologique'!$A$770=FE15,COUNTA('Eval-Après action écologique'!$J$770),0),IF('Eval-Après action écologique'!$A$771=FE15,COUNTA('Eval-Après action écologique'!$J$771),0),IF('Eval-Après action écologique'!$A$772=FE15,COUNTA('Eval-Après action écologique'!$J$772),0),IF('Eval-Après action écologique'!$A$773=FE15,COUNTA('Eval-Après action écologique'!$J$773),0),IF('Eval-Après action écologique'!$A$774=FE15,COUNTA('Eval-Après action écologique'!$J$774),0),IF('Eval-Après action écologique'!$A$775=FE15,COUNTA('Eval-Après action écologique'!$J$775),0),IF('Eval-Après action écologique'!$A$776=FE15,COUNTA('Eval-Après action écologique'!$J$776),0),IF('Eval-Après action écologique'!$A$777=FE15,COUNTA('Eval-Après action écologique'!$J$777),0),IF('Eval-Après action écologique'!$A$778=FE15,COUNTA('Eval-Après action écologique'!$J$778),0),IF('Eval-Après action écologique'!$A$779=FE15,COUNTA('Eval-Après action écologique'!$J$779),0),IF('Eval-Après action écologique'!$A$780=FE15,COUNTA('Eval-Après action écologique'!$J$780),0))&gt;0,"X",0),"")</f>
        <v/>
      </c>
      <c r="FL15" s="213" t="str">
        <f>IF(COUNTIF('Eval-Après action écologique'!$A$761:$A$780,FE15)&gt;0,IF(SUM(IF('Eval-Après action écologique'!$A$761=FE15,COUNTA('Eval-Après action écologique'!$K$761),0),IF('Eval-Après action écologique'!$A$762=FE15,COUNTA('Eval-Après action écologique'!$K$762),0),IF('Eval-Après action écologique'!$A$763=FE15,COUNTA('Eval-Après action écologique'!$K$763),0),IF('Eval-Après action écologique'!$A$764=FE15,COUNTA('Eval-Après action écologique'!$K$764),0),IF('Eval-Après action écologique'!$A$765=FE15,COUNTA('Eval-Après action écologique'!$K$765),0),IF('Eval-Après action écologique'!$A$766=FE15,COUNTA('Eval-Après action écologique'!$K$766),0),IF('Eval-Après action écologique'!$A$767=FE15,COUNTA('Eval-Après action écologique'!$K$767),0),IF('Eval-Après action écologique'!$A$768=FE15,COUNTA('Eval-Après action écologique'!$K$768),0),IF('Eval-Après action écologique'!$A$769=FE15,COUNTA('Eval-Après action écologique'!$K$769),0),IF('Eval-Après action écologique'!$A$770=FE15,COUNTA('Eval-Après action écologique'!$K$770),0),IF('Eval-Après action écologique'!$A$771=FE15,COUNTA('Eval-Après action écologique'!$K$771),0),IF('Eval-Après action écologique'!$A$772=FE15,COUNTA('Eval-Après action écologique'!$K$772),0),IF('Eval-Après action écologique'!$A$773=FE15,COUNTA('Eval-Après action écologique'!$K$773),0),IF('Eval-Après action écologique'!$A$774=FE15,COUNTA('Eval-Après action écologique'!$K$774),0),IF('Eval-Après action écologique'!$A$775=FE15,COUNTA('Eval-Après action écologique'!$K$775),0),IF('Eval-Après action écologique'!$A$776=FE15,COUNTA('Eval-Après action écologique'!$K$776),0),IF('Eval-Après action écologique'!$A$777=FE15,COUNTA('Eval-Après action écologique'!$K$777),0),IF('Eval-Après action écologique'!$A$778=FE15,COUNTA('Eval-Après action écologique'!$K$778),0),IF('Eval-Après action écologique'!$A$779=FE15,COUNTA('Eval-Après action écologique'!$K$779),0),IF('Eval-Après action écologique'!$A$780=FE15,COUNTA('Eval-Après action écologique'!$K$780),0))&gt;0,"X",0),"")</f>
        <v/>
      </c>
      <c r="FM15" s="211" t="str">
        <f>IF(COUNTIF('Eval-Après action écologique'!$A$761:$A$780,FE15)&gt;0,IF(OR(AND('Eval-Après action écologique'!$A$761=FE15,'Eval-Après action écologique'!$L$761&lt;120,'Eval-Après action écologique'!$L$761&gt;=GB9),AND('Eval-Après action écologique'!$A$762=FE15,'Eval-Après action écologique'!$L$762&lt;120,'Eval-Après action écologique'!$L$762&gt;=GB10),AND('Eval-Après action écologique'!$A$763=FE15,'Eval-Après action écologique'!$L$763&lt;120,'Eval-Après action écologique'!$L$763&gt;=GB11),AND('Eval-Après action écologique'!$A$764=FE15,'Eval-Après action écologique'!$L$764&lt;120,'Eval-Après action écologique'!$L$764&gt;=GB12),AND('Eval-Après action écologique'!$A$765=FE15,'Eval-Après action écologique'!$L$765&lt;120,'Eval-Après action écologique'!$L$765&gt;=GB13),AND('Eval-Après action écologique'!$A$766=FE15,'Eval-Après action écologique'!$L$766&lt;120,'Eval-Après action écologique'!$L$766&gt;=GB14),AND('Eval-Après action écologique'!$A$767=FE15,'Eval-Après action écologique'!$L$767&lt;120,'Eval-Après action écologique'!$L$767&gt;=GB15),AND('Eval-Après action écologique'!$A$768=FE15,'Eval-Après action écologique'!$L$768&lt;120,'Eval-Après action écologique'!$L$768&gt;=GB16),AND('Eval-Après action écologique'!$A$769=FE15,'Eval-Après action écologique'!$L$769&lt;120,'Eval-Après action écologique'!$L$769&gt;=GB17),AND('Eval-Après action écologique'!$A$770=FE15,'Eval-Après action écologique'!$L$770&lt;120,'Eval-Après action écologique'!$L$770&gt;=GB18),AND('Eval-Après action écologique'!$A$771=FE15,'Eval-Après action écologique'!$L$771&lt;120,'Eval-Après action écologique'!$L$771&gt;=GB19),AND('Eval-Après action écologique'!$A$772=FE15,'Eval-Après action écologique'!$L$772&lt;120,'Eval-Après action écologique'!$L$772&gt;=GB20),AND('Eval-Après action écologique'!$A$773=FE15,'Eval-Après action écologique'!$L$773&lt;120,'Eval-Après action écologique'!$L$773&gt;=GB21),AND('Eval-Après action écologique'!$A$774=FE15,'Eval-Après action écologique'!$L$774&lt;120,'Eval-Après action écologique'!$L$774&gt;=GB22),AND('Eval-Après action écologique'!$A$775=FE15,'Eval-Après action écologique'!$L$775&lt;120,'Eval-Après action écologique'!$L$775&gt;=GB23),AND('Eval-Après action écologique'!$A$776=FE15,'Eval-Après action écologique'!$L$776&lt;120,'Eval-Après action écologique'!$L$776&gt;=GB24),AND('Eval-Après action écologique'!$A$777=FE15,'Eval-Après action écologique'!$L$777&lt;120,'Eval-Après action écologique'!$L$777&gt;=GB25),AND('Eval-Après action écologique'!$A$778=FE15,'Eval-Après action écologique'!$L$778&lt;120,'Eval-Après action écologique'!$L$778&gt;=GB26),AND('Eval-Après action écologique'!$A$779=FE15,'Eval-Après action écologique'!$L$779&lt;120,'Eval-Après action écologique'!$L$779&gt;=GB27),AND('Eval-Après action écologique'!$A$780=FE15,'Eval-Après action écologique'!$L$780&lt;120,'Eval-Après action écologique'!$L$780&gt;=GB28)),"",SUM(IF('Eval-Après action écologique'!$A$761=FE15,'Eval-Après action écologique'!$L$761,0),IF('Eval-Après action écologique'!$A$762=FE15,'Eval-Après action écologique'!$L$762,0),IF('Eval-Après action écologique'!$A$763=FE15,'Eval-Après action écologique'!$L$763,0),IF('Eval-Après action écologique'!$A$764=FE15,'Eval-Après action écologique'!$L$764,0),IF('Eval-Après action écologique'!$A$765=FE15,'Eval-Après action écologique'!$L$765,0),IF('Eval-Après action écologique'!$A$766=FE15,'Eval-Après action écologique'!$L$766,0),IF('Eval-Après action écologique'!$A$767=FE15,'Eval-Après action écologique'!$L$767,0),IF('Eval-Après action écologique'!$A$768=FE15,'Eval-Après action écologique'!$L$768,0),IF('Eval-Après action écologique'!$A$769=FE15,'Eval-Après action écologique'!$L$769,0),IF('Eval-Après action écologique'!$A$770=FE15,'Eval-Après action écologique'!$L$770,0),IF('Eval-Après action écologique'!$A$771=FE15,'Eval-Après action écologique'!$L$771,0),IF('Eval-Après action écologique'!$A$772=FE15,'Eval-Après action écologique'!$L$772,0),IF('Eval-Après action écologique'!$A$773=FE15,'Eval-Après action écologique'!$L$773,0),IF('Eval-Après action écologique'!$A$774=FE15,'Eval-Après action écologique'!$L$774,0),IF('Eval-Après action écologique'!$A$775=FE15,'Eval-Après action écologique'!$L$775,0),IF('Eval-Après action écologique'!$A$776=FE15,'Eval-Après action écologique'!$L$776,0),IF('Eval-Après action écologique'!$A$777=FE15,'Eval-Après action écologique'!$L$777,0),IF('Eval-Après action écologique'!$A$778=FE15,'Eval-Après action écologique'!$L$778,0),IF('Eval-Après action écologique'!$A$779=FE15,'Eval-Après action écologique'!$L$779,0),IF('Eval-Après action écologique'!$A$780=FE15,'Eval-Après action écologique'!$L$780,0))/ COUNTIF('Eval-Après action écologique'!$A$761:$A$780,FE15)),"")</f>
        <v/>
      </c>
      <c r="FN15" s="211" t="str">
        <f>IF(COUNTIF('Eval-Après action écologique'!$A$761:$A$780,FE15)&gt;0,IF(OR(AND('Eval-Après action écologique'!$A$761=FE15, GB9&lt;120),AND(GB10&lt;120),AND(GB11&lt;120),AND(GB12&lt;120),AND(GB13&lt;120),AND(GB14&lt;120),AND(GB15&lt;120),AND(GB16&lt;120),AND(GB17&lt;120),AND(GB18&lt;120),AND(GB19&lt;120),AND(GB20&lt;120),AND(GB21&lt;120),AND(GB22&lt;120),AND(GB23&lt;120),AND(GB24&lt;120),AND(GB25&lt;120),AND(GB26&lt;120),AND(GB27&lt;120),AND(GB28&lt;120)),"",SUM(IF('Eval-Après action écologique'!$A$761=FE15,'Eval-Après action écologique'!$M$761,0),IF('Eval-Après action écologique'!$A$762=FE15,'Eval-Après action écologique'!$M$762,0),IF('Eval-Après action écologique'!$A$763=FE15,'Eval-Après action écologique'!$M$763,0),IF('Eval-Après action écologique'!$A$764=FE15,'Eval-Après action écologique'!$M$764,0),IF('Eval-Après action écologique'!$A$765=FE15,'Eval-Après action écologique'!$M$765,0),IF('Eval-Après action écologique'!$A$766=FE15,'Eval-Après action écologique'!$M$766,0),IF('Eval-Après action écologique'!$A$767=FE15,'Eval-Après action écologique'!$M$767,0),IF('Eval-Après action écologique'!$A$768=FE15,'Eval-Après action écologique'!$M$768,0),IF('Eval-Après action écologique'!$A$769=FE15,'Eval-Après action écologique'!$M$769,0),IF('Eval-Après action écologique'!$A$770=FE15,'Eval-Après action écologique'!$M$770,0),IF('Eval-Après action écologique'!$A$771=FE15,'Eval-Après action écologique'!$M$771,0),IF('Eval-Après action écologique'!$A$772=FE15,'Eval-Après action écologique'!$M$772,0),IF('Eval-Après action écologique'!$A$773=FE15,'Eval-Après action écologique'!$M$773,0),IF('Eval-Après action écologique'!$A$774=FE15,'Eval-Après action écologique'!$M$774,0),IF('Eval-Après action écologique'!$A$775=FE15,'Eval-Après action écologique'!$M$775,0), IF('Eval-Après action écologique'!$A$776=FE15,'Eval-Après action écologique'!$M$776,0), IF('Eval-Après action écologique'!$A$777=FE15,'Eval-Après action écologique'!$M$777,0), IF('Eval-Après action écologique'!$A$778=FE15,'Eval-Après action écologique'!$M$778,0), IF('Eval-Après action écologique'!$A$779=FE15,'Eval-Après action écologique'!$M$779,0), IF('Eval-Après action écologique'!$A$780=FE15,'Eval-Après action écologique'!$M$780,0))/COUNTIF('Eval-Après action écologique'!$A$761:$A$780,FE15)),"")</f>
        <v/>
      </c>
      <c r="FO15" s="211" t="str">
        <f>IF(COUNTIF('Eval-Après action écologique'!$A$761:$A$780,FE15)&gt;0,SUM(IF('Eval-Après action écologique'!$A$761=FE15,LEN(SUBSTITUTE((SUBSTITUTE(GD9,"TM","")),"TS",""))*10/2,0),IF('Eval-Après action écologique'!$A$762=FE15,LEN(SUBSTITUTE((SUBSTITUTE(GD10,"TM","")),"TS",""))*10/2,0),IF('Eval-Après action écologique'!$A$763=FE15,LEN(SUBSTITUTE((SUBSTITUTE(GD11,"TM","")),"TS",""))*10/2,0),IF('Eval-Après action écologique'!$A$764=FE15,LEN(SUBSTITUTE((SUBSTITUTE(GD12,"TM","")),"TS",""))*10/2,0),IF('Eval-Après action écologique'!$A$765=FE15,LEN(SUBSTITUTE((SUBSTITUTE(GD13,"TM","")),"TS",""))*10/2,0),IF('Eval-Après action écologique'!$A$766=FE15,LEN(SUBSTITUTE((SUBSTITUTE(GD14,"TM","")),"TS",""))*10/2,0),IF('Eval-Après action écologique'!$A$767=FE15,LEN(SUBSTITUTE((SUBSTITUTE(GD15,"TM","")),"TS",""))*10/2,0),IF('Eval-Après action écologique'!$A$768=FE15,LEN(SUBSTITUTE((SUBSTITUTE(GD16,"TM","")),"TS",""))*10/2,0),IF('Eval-Après action écologique'!$A$769=FE15,LEN(SUBSTITUTE((SUBSTITUTE(GD17,"TM","")),"TS",""))*10/2,0),IF('Eval-Après action écologique'!$A$770=FE15,LEN(SUBSTITUTE((SUBSTITUTE(GD18,"TM","")),"TS",""))*10/2,0),IF('Eval-Après action écologique'!$A$771=FE15,LEN(SUBSTITUTE((SUBSTITUTE(GD19,"TM","")),"TS",""))*10/2,0),IF('Eval-Après action écologique'!$A$772=FE15,LEN(SUBSTITUTE((SUBSTITUTE(GD20,"TM","")),"TS",""))*10/2,0),IF('Eval-Après action écologique'!$A$773=FE15,LEN(SUBSTITUTE((SUBSTITUTE(GD21,"TM","")),"TS",""))*10/2,0),IF('Eval-Après action écologique'!$A$774=FE15,LEN(SUBSTITUTE((SUBSTITUTE(GD22,"TM","")),"TS",""))*10/2,0),IF('Eval-Après action écologique'!$A$775=FE15,LEN(SUBSTITUTE((SUBSTITUTE(GD23,"TM","")),"TS",""))*10/2,0),IF('Eval-Après action écologique'!$A$776=FE15,LEN(SUBSTITUTE((SUBSTITUTE(GD24,"TM","")),"TS",""))*10/2,0),IF('Eval-Après action écologique'!$A$777=FE15,LEN(SUBSTITUTE((SUBSTITUTE(GD25,"TM","")),"TS",""))*10/2,0),IF('Eval-Après action écologique'!$A$778=FE15,LEN(SUBSTITUTE((SUBSTITUTE(GD26,"TM","")),"TS",""))*10/2,0),IF('Eval-Après action écologique'!$A$779=FE15,LEN(SUBSTITUTE((SUBSTITUTE(GD27,"TM","")),"TS",""))*10/2,0),IF('Eval-Après action écologique'!$A$780=FE15,LEN(SUBSTITUTE((SUBSTITUTE(GD28,"TM","")),"TS",""))*10/2,0))/COUNTIF('Eval-Après action écologique'!$A$761:$A$780,FE15),"")</f>
        <v/>
      </c>
      <c r="FP15" s="211" t="str">
        <f>IF(COUNTIF('Eval-Après action écologique'!$A$761:$A$780,FE15)&gt;0,SUM(IF('Eval-Après action écologique'!$A$761=FE15,LEN(SUBSTITUTE((SUBSTITUTE(GD9,"TF","")),"TS",""))*10/2,0),IF('Eval-Après action écologique'!$A$762=FE15,LEN(SUBSTITUTE((SUBSTITUTE(GD10,"TF","")),"TS",""))*10/2,0),IF('Eval-Après action écologique'!$A$763=FE15,LEN(SUBSTITUTE((SUBSTITUTE(GD11,"TF","")),"TS",""))*10/2,0),IF('Eval-Après action écologique'!$A$764=FE15,LEN(SUBSTITUTE((SUBSTITUTE(GD12,"TF","")),"TS",""))*10/2,0),IF('Eval-Après action écologique'!$A$765=FE15,LEN(SUBSTITUTE((SUBSTITUTE(GD13,"TF","")),"TS",""))*10/2,0),IF('Eval-Après action écologique'!$A$766=FE15,LEN(SUBSTITUTE((SUBSTITUTE(GD14,"TF","")),"TS",""))*10/2,0),IF('Eval-Après action écologique'!$A$767=FE15,LEN(SUBSTITUTE((SUBSTITUTE(GD15,"TF","")),"TS",""))*10/2,0),IF('Eval-Après action écologique'!$A$768=FE15,LEN(SUBSTITUTE((SUBSTITUTE(GD16,"TF","")),"TS",""))*10/2,0),IF('Eval-Après action écologique'!$A$769=FE15,LEN(SUBSTITUTE((SUBSTITUTE(GD17,"TF","")),"TS",""))*10/2,0),IF('Eval-Après action écologique'!$A$770=FE15,LEN(SUBSTITUTE((SUBSTITUTE(GD18,"TF","")),"TS",""))*10/2,0),IF('Eval-Après action écologique'!$A$771=FE15,LEN(SUBSTITUTE((SUBSTITUTE(GD19,"TF","")),"TS",""))*10/2,0),IF('Eval-Après action écologique'!$A$772=FE15,LEN(SUBSTITUTE((SUBSTITUTE(GD20,"TF","")),"TS",""))*10/2,0),IF('Eval-Après action écologique'!$A$773=FE15,LEN(SUBSTITUTE((SUBSTITUTE(GD21,"TF","")),"TS",""))*10/2,0),IF('Eval-Après action écologique'!$A$774=FE15,LEN(SUBSTITUTE((SUBSTITUTE(GD22,"TF","")),"TS",""))*10/2,0),IF('Eval-Après action écologique'!$A$775=FE15,LEN(SUBSTITUTE((SUBSTITUTE(GD23,"TF","")),"TS",""))*10/2,0),IF('Eval-Après action écologique'!$A$776=FE15,LEN(SUBSTITUTE((SUBSTITUTE(GD24,"TF","")),"TS",""))*10/2,0),IF('Eval-Après action écologique'!$A$777=FE15,LEN(SUBSTITUTE((SUBSTITUTE(GD25,"TF","")),"TS",""))*10/2,0),IF('Eval-Après action écologique'!$A$778=FE15,LEN(SUBSTITUTE((SUBSTITUTE(GD26,"TF","")),"TS",""))*10/2,0),IF('Eval-Après action écologique'!$A$779=FE15,LEN(SUBSTITUTE((SUBSTITUTE(GD27,"TF","")),"TS",""))*10/2,0),IF('Eval-Après action écologique'!$A$780=FE15,LEN(SUBSTITUTE((SUBSTITUTE(GD28,"TF","")),"TS",""))*10/2,0))/COUNTIF('Eval-Après action écologique'!$A$761:$A$780,FE15),"")</f>
        <v/>
      </c>
      <c r="FQ15" s="211" t="str">
        <f>IF(COUNTIF('Eval-Après action écologique'!$A$761:$A$780,FE15)&gt;0,SUM(IF('Eval-Après action écologique'!$A$761=FE15,LEN(SUBSTITUTE((SUBSTITUTE(GD9,"TF","")),"TM",""))*10/2,0),IF('Eval-Après action écologique'!$A$762=FE15,LEN(SUBSTITUTE((SUBSTITUTE(GD10,"TF","")),"TM",""))*10/2,0),IF('Eval-Après action écologique'!$A$763=FE15,LEN(SUBSTITUTE((SUBSTITUTE(GD11,"TF","")),"TM",""))*10/2,0),IF('Eval-Après action écologique'!$A$764=FE15,LEN(SUBSTITUTE((SUBSTITUTE(GD12,"TF","")),"TM",""))*10/2,0),IF('Eval-Après action écologique'!$A$765=FE15,LEN(SUBSTITUTE((SUBSTITUTE(GD13,"TF","")),"TM",""))*10/2,0),IF('Eval-Après action écologique'!$A$766=FE15,LEN(SUBSTITUTE((SUBSTITUTE(GD14,"TF","")),"TM",""))*10/2,0),IF('Eval-Après action écologique'!$A$767=FE15,LEN(SUBSTITUTE((SUBSTITUTE(GD15,"TF","")),"TM",""))*10/2,0),IF('Eval-Après action écologique'!$A$768=FE15,LEN(SUBSTITUTE((SUBSTITUTE(GD16,"TF","")),"TM",""))*10/2,0),IF('Eval-Après action écologique'!$A$769=FE15,LEN(SUBSTITUTE((SUBSTITUTE(GD17,"TF","")),"TM",""))*10/2,0),IF('Eval-Après action écologique'!$A$770=FE15,LEN(SUBSTITUTE((SUBSTITUTE(GD18,"TF","")),"TM",""))*10/2,0),IF('Eval-Après action écologique'!$A$771=FE15,LEN(SUBSTITUTE((SUBSTITUTE(GD19,"TF","")),"TM",""))*10/2,0),IF('Eval-Après action écologique'!$A$772=FE15,LEN(SUBSTITUTE((SUBSTITUTE(GD20,"TF","")),"TM",""))*10/2,0),IF('Eval-Après action écologique'!$A$773=FE15,LEN(SUBSTITUTE((SUBSTITUTE(GD21,"TF","")),"TM",""))*10/2,0),IF('Eval-Après action écologique'!$A$774=FE15,LEN(SUBSTITUTE((SUBSTITUTE(GD22,"TF","")),"TM",""))*10/2,0),IF('Eval-Après action écologique'!$A$775=FE15,LEN(SUBSTITUTE((SUBSTITUTE(GD23,"TF","")),"TM",""))*10/2,0),IF('Eval-Après action écologique'!$A$776=FE15,LEN(SUBSTITUTE((SUBSTITUTE(GD24,"TF","")),"TM",""))*10/2,0),IF('Eval-Après action écologique'!$A$777=FE15,LEN(SUBSTITUTE((SUBSTITUTE(GD25,"TF","")),"TM",""))*10/2,0),IF('Eval-Après action écologique'!$A$778=FE15,LEN(SUBSTITUTE((SUBSTITUTE(GD26,"TF","")),"TM",""))*10/2,0),IF('Eval-Après action écologique'!$A$779=FE15,LEN(SUBSTITUTE((SUBSTITUTE(GD27,"TF","")),"TM",""))*10/2,0),IF('Eval-Après action écologique'!$A$780=FE15,LEN(SUBSTITUTE((SUBSTITUTE(GD28,"TF","")),"TM",""))*10/2,0))/COUNTIF('Eval-Après action écologique'!$A$761:$A$780,FE15),"")</f>
        <v/>
      </c>
      <c r="FR15" s="211" t="str">
        <f>IF(COUNTIF('Eval-Après action écologique'!$A$761:$A$780,FE15)&gt;0,SUM(IF('Eval-Après action écologique'!$A$761=FE15,LEN(SUBSTITUTE((SUBSTITUTE(GE9,"TM","")),"TS",""))*10/2,0),IF('Eval-Après action écologique'!$A$762=FE15,LEN(SUBSTITUTE((SUBSTITUTE(GE10,"TM","")),"TS",""))*10/2,0),IF('Eval-Après action écologique'!$A$763=FE15,LEN(SUBSTITUTE((SUBSTITUTE(GE11,"TM","")),"TS",""))*10/2,0),IF('Eval-Après action écologique'!$A$764=FE15,LEN(SUBSTITUTE((SUBSTITUTE(GE12,"TM","")),"TS",""))*10/2,0),IF('Eval-Après action écologique'!$A$765=FE15,LEN(SUBSTITUTE((SUBSTITUTE(GE13,"TM","")),"TS",""))*10/2,0),IF('Eval-Après action écologique'!$A$766=FE15,LEN(SUBSTITUTE((SUBSTITUTE(GE14,"TM","")),"TS",""))*10/2,0),IF('Eval-Après action écologique'!$A$767=FE15,LEN(SUBSTITUTE((SUBSTITUTE(GE15,"TM","")),"TS",""))*10/2,0),IF('Eval-Après action écologique'!$A$768=FE15,LEN(SUBSTITUTE((SUBSTITUTE(GE16,"TM","")),"TS",""))*10/2,0),IF('Eval-Après action écologique'!$A$769=FE15,LEN(SUBSTITUTE((SUBSTITUTE(GE17,"TM","")),"TS",""))*10/2,0),IF('Eval-Après action écologique'!$A$770=FE15,LEN(SUBSTITUTE((SUBSTITUTE(GE18,"TM","")),"TS",""))*10/2,0),IF('Eval-Après action écologique'!$A$771=FE15,LEN(SUBSTITUTE((SUBSTITUTE(GE19,"TM","")),"TS",""))*10/2,0),IF('Eval-Après action écologique'!$A$772=FE15,LEN(SUBSTITUTE((SUBSTITUTE(GE20,"TM","")),"TS",""))*10/2,0),IF('Eval-Après action écologique'!$A$773=FE15,LEN(SUBSTITUTE((SUBSTITUTE(GE21,"TM","")),"TS",""))*10/2,0),IF('Eval-Après action écologique'!$A$774=FE15,LEN(SUBSTITUTE((SUBSTITUTE(GE22,"TM","")),"TS",""))*10/2,0),IF('Eval-Après action écologique'!$A$775=FE15,LEN(SUBSTITUTE((SUBSTITUTE(GE23,"TM","")),"TS",""))*10/2,0),IF('Eval-Après action écologique'!$A$776=FE15,LEN(SUBSTITUTE((SUBSTITUTE(GE24,"TM","")),"TS",""))*10/2,0),IF('Eval-Après action écologique'!$A$777=FE15,LEN(SUBSTITUTE((SUBSTITUTE(GE25,"TM","")),"TS",""))*10/2,0),IF('Eval-Après action écologique'!$A$778=FE15,LEN(SUBSTITUTE((SUBSTITUTE(GE26,"TM","")),"TS",""))*10/2,0),IF('Eval-Après action écologique'!$A$779=FE15,LEN(SUBSTITUTE((SUBSTITUTE(GE27,"TM","")),"TS",""))*10/2,0),IF('Eval-Après action écologique'!$A$780=FE15,LEN(SUBSTITUTE((SUBSTITUTE(GE28,"TM","")),"TS",""))*10/2,0))/COUNTIF('Eval-Après action écologique'!$A$761:$A$780,FE15),"")</f>
        <v/>
      </c>
      <c r="FS15" s="211" t="str">
        <f>IF(COUNTIF('Eval-Après action écologique'!$A$761:$A$780,FE15)&gt;0,SUM(IF('Eval-Après action écologique'!$A$761=FE15,LEN(SUBSTITUTE((SUBSTITUTE(GE9,"TF","")),"TS",""))*10/2,0),IF('Eval-Après action écologique'!$A$762=FE15,LEN(SUBSTITUTE((SUBSTITUTE(GE10,"TF","")),"TS",""))*10/2,0),IF('Eval-Après action écologique'!$A$763=FE15,LEN(SUBSTITUTE((SUBSTITUTE(GE11,"TF","")),"TS",""))*10/2,0),IF('Eval-Après action écologique'!$A$764=FE15,LEN(SUBSTITUTE((SUBSTITUTE(GE12,"TF","")),"TS",""))*10/2,0),IF('Eval-Après action écologique'!$A$765=FE15,LEN(SUBSTITUTE((SUBSTITUTE(GE13,"TF","")),"TS",""))*10/2,0),IF('Eval-Après action écologique'!$A$766=FE15,LEN(SUBSTITUTE((SUBSTITUTE(GE14,"TF","")),"TS",""))*10/2,0),IF('Eval-Après action écologique'!$A$767=FE15,LEN(SUBSTITUTE((SUBSTITUTE(GE15,"TF","")),"TS",""))*10/2,0),IF('Eval-Après action écologique'!$A$768=FE15,LEN(SUBSTITUTE((SUBSTITUTE(GE16,"TF","")),"TS",""))*10/2,0),IF('Eval-Après action écologique'!$A$769=FE15,LEN(SUBSTITUTE((SUBSTITUTE(GE17,"TF","")),"TS",""))*10/2,0),IF('Eval-Après action écologique'!$A$770=FE15,LEN(SUBSTITUTE((SUBSTITUTE(GE18,"TF","")),"TS",""))*10/2,0),IF('Eval-Après action écologique'!$A$771=FE15,LEN(SUBSTITUTE((SUBSTITUTE(GE19,"TF","")),"TS",""))*10/2,0),IF('Eval-Après action écologique'!$A$772=FE15,LEN(SUBSTITUTE((SUBSTITUTE(GE20,"TF","")),"TS",""))*10/2,0),IF('Eval-Après action écologique'!$A$773=FE15,LEN(SUBSTITUTE((SUBSTITUTE(GE21,"TF","")),"TS",""))*10/2,0),IF('Eval-Après action écologique'!$A$774=FE15,LEN(SUBSTITUTE((SUBSTITUTE(GE22,"TF","")),"TS",""))*10/2,0),IF('Eval-Après action écologique'!$A$775=FE15,LEN(SUBSTITUTE((SUBSTITUTE(GE23,"TF","")),"TS",""))*10/2,0),IF('Eval-Après action écologique'!$A$776=FE15,LEN(SUBSTITUTE((SUBSTITUTE(GE24,"TF","")),"TS",""))*10/2,0),IF('Eval-Après action écologique'!$A$777=FE15,LEN(SUBSTITUTE((SUBSTITUTE(GE25,"TF","")),"TS",""))*10/2,0),IF('Eval-Après action écologique'!$A$778=FE15,LEN(SUBSTITUTE((SUBSTITUTE(GE26,"TF","")),"TS",""))*10/2,0),IF('Eval-Après action écologique'!$A$779=FE15,LEN(SUBSTITUTE((SUBSTITUTE(GE27,"TF","")),"TS",""))*10/2,0),IF('Eval-Après action écologique'!$A$780=FE15,LEN(SUBSTITUTE((SUBSTITUTE(GE28,"TF","")),"TS",""))*10/2,0))/COUNTIF('Eval-Après action écologique'!$A$761:$A$780,FE15),"")</f>
        <v/>
      </c>
      <c r="FT15" s="211" t="str">
        <f>IF(COUNTIF('Eval-Après action écologique'!$A$761:$A$780,FE15)&gt;0,SUM(IF('Eval-Après action écologique'!$A$761=FE15,LEN(SUBSTITUTE((SUBSTITUTE(GE9,"TF","")),"TM",""))*10/2,0),IF('Eval-Après action écologique'!$A$762=FE15,LEN(SUBSTITUTE((SUBSTITUTE(GE10,"TF","")),"TM",""))*10/2,0),IF('Eval-Après action écologique'!$A$763=FE15,LEN(SUBSTITUTE((SUBSTITUTE(GE11,"TF","")),"TM",""))*10/2,0),IF('Eval-Après action écologique'!$A$764=FE15,LEN(SUBSTITUTE((SUBSTITUTE(GE12,"TF","")),"TM",""))*10/2,0),IF('Eval-Après action écologique'!$A$765=FE15,LEN(SUBSTITUTE((SUBSTITUTE(GE13,"TF","")),"TM",""))*10/2,0),IF('Eval-Après action écologique'!$A$766=FE15,LEN(SUBSTITUTE((SUBSTITUTE(GE14,"TF","")),"TM",""))*10/2,0),IF('Eval-Après action écologique'!$A$767=FE15,LEN(SUBSTITUTE((SUBSTITUTE(GE15,"TF","")),"TM",""))*10/2,0),IF('Eval-Après action écologique'!$A$768=FE15,LEN(SUBSTITUTE((SUBSTITUTE(GE16,"TF","")),"TM",""))*10/2,0),IF('Eval-Après action écologique'!$A$769=FE15,LEN(SUBSTITUTE((SUBSTITUTE(GE17,"TF","")),"TM",""))*10/2,0),IF('Eval-Après action écologique'!$A$770=FE15,LEN(SUBSTITUTE((SUBSTITUTE(GE18,"TF","")),"TM",""))*10/2,0),IF('Eval-Après action écologique'!$A$771=FE15,LEN(SUBSTITUTE((SUBSTITUTE(GE19,"TF","")),"TM",""))*10/2,0),IF('Eval-Après action écologique'!$A$772=FE15,LEN(SUBSTITUTE((SUBSTITUTE(GE20,"TF","")),"TM",""))*10/2,0),IF('Eval-Après action écologique'!$A$773=FE15,LEN(SUBSTITUTE((SUBSTITUTE(GE21,"TF","")),"TM",""))*10/2,0),IF('Eval-Après action écologique'!$A$774=FE15,LEN(SUBSTITUTE((SUBSTITUTE(GE22,"TF","")),"TM",""))*10/2,0),IF('Eval-Après action écologique'!$A$775=FE15,LEN(SUBSTITUTE((SUBSTITUTE(GE23,"TF","")),"TM",""))*10/2,0),IF('Eval-Après action écologique'!$A$776=FE15,LEN(SUBSTITUTE((SUBSTITUTE(GE24,"TF","")),"TM",""))*10/2,0),IF('Eval-Après action écologique'!$A$777=FE15,LEN(SUBSTITUTE((SUBSTITUTE(GE25,"TF","")),"TM",""))*10/2,0),IF('Eval-Après action écologique'!$A$778=FE15,LEN(SUBSTITUTE((SUBSTITUTE(GE26,"TF","")),"TM",""))*10/2,0),IF('Eval-Après action écologique'!$A$779=FE15,LEN(SUBSTITUTE((SUBSTITUTE(GE27,"TF","")),"TM",""))*10/2,0),IF('Eval-Après action écologique'!$A$780=FE15,LEN(SUBSTITUTE((SUBSTITUTE(GE28,"TF","")),"TM",""))*10/2,0))/COUNTIF('Eval-Après action écologique'!$A$761:$A$780,FE15),"")</f>
        <v/>
      </c>
      <c r="FU15" s="211" t="str">
        <f>IF(COUNTIF('Eval-Après action écologique'!$A$761:$A$780,FE15)&gt;0,IF(OR(AND('Eval-Après action écologique'!$A$761=FE15,GB9&lt;30),AND('Eval-Après action écologique'!$A$762=FE15,GB10&lt;30),AND('Eval-Après action écologique'!$A$763=FE15,GB11&lt;30),AND('Eval-Après action écologique'!$A$764=FE15,GB12&lt;30),AND('Eval-Après action écologique'!$A$765=FE15,GB13&lt;30),AND('Eval-Après action écologique'!$A$766=FE15,GB14&lt;30),AND('Eval-Après action écologique'!$A$767=FE15,GB15&lt;30),AND('Eval-Après action écologique'!$A$768=FE15,GB16&lt;30),AND('Eval-Après action écologique'!$A$769=FE15,GB17&lt;30),AND('Eval-Après action écologique'!$A$770=FE15,GB18&lt;30),AND('Eval-Après action écologique'!$A$771=FE15,GB19&lt;30),AND('Eval-Après action écologique'!$A$772=FE15,GB20&lt;30),AND('Eval-Après action écologique'!$A$773=FE15,GB21&lt;30),AND('Eval-Après action écologique'!$A$774=FE15,GB22&lt;30),AND('Eval-Après action écologique'!$A$775=FE15,GB23&lt;30),AND('Eval-Après action écologique'!$A$776=FE15,GB24&lt;30),AND('Eval-Après action écologique'!$A$777=FE15,GB25&lt;30),AND('Eval-Après action écologique'!$A$778=FE15,GB26&lt;30),AND('Eval-Après action écologique'!$A$779=FE15,GB27&lt;30),AND('Eval-Après action écologique'!$A$780=FE15,GB28&lt;30)),"",SUM(0.1*(SUMPRODUCT(('Eval-Après action écologique'!$A$761:$A$780=FE15)*('Eval-Après action écologique'!$N$761:$P$780="A"))+ SUMPRODUCT(('Eval-Après action écologique'!$A$761:$A$780=FE15)*('Eval-Après action écologique'!$N$761:$P$780="AL"))),0.7*(SUMPRODUCT(('Eval-Après action écologique'!$A$761:$A$780=FE15)*('Eval-Après action écologique'!$N$761:$P$780="TF"))+SUMPRODUCT(('Eval-Après action écologique'!$A$761:$A$780=FE15)*('Eval-Après action écologique'!$N$761:$P$780="TM"))+SUMPRODUCT(('Eval-Après action écologique'!$A$761:$A$780=FE15)*('Eval-Après action écologique'!$N$761:$P$780="TS"))),0.4*(SUMPRODUCT(('Eval-Après action écologique'!$A$761:$A$780=FE15)*('Eval-Après action écologique'!$N$761:$P$780="LA"))+SUMPRODUCT(('Eval-Après action écologique'!$A$761:$A$780=FE15)*('Eval-Après action écologique'!$N$761:$P$780="L"))+SUMPRODUCT(('Eval-Après action écologique'!$A$761:$A$780=FE15)*('Eval-Après action écologique'!$N$761:$P$780="LS"))),1*(SUMPRODUCT(('Eval-Après action écologique'!$A$761:$A$780=FE15)*('Eval-Après action écologique'!$N$761:$P$780="SL"))+ SUMPRODUCT(('Eval-Après action écologique'!$A$761:$A$780=FE15)*('Eval-Après action écologique'!$N$761:$P$780="S"))))/(3*COUNTIF('Eval-Après action écologique'!$A$761:$A$780,FE15))),"")</f>
        <v/>
      </c>
      <c r="FV15" s="211" t="str">
        <f>IF(COUNTIF('Eval-Après action écologique'!$A$761:$A$780,FE15)&gt;0,IF(OR(AND('Eval-Après action écologique'!$A$761=FE15,GB9&lt;120),AND('Eval-Après action écologique'!$A$762=FE15,GB10&lt;120),AND('Eval-Après action écologique'!$A$763=FE15,GB11&lt;120),AND('Eval-Après action écologique'!$A$764=FE15,GB12&lt;120),AND('Eval-Après action écologique'!$A$765=FE15,GB13&lt;120),AND('Eval-Après action écologique'!$A$766=FE15,GB14&lt;120),AND('Eval-Après action écologique'!$A$767=FE15,GB15&lt;120),AND('Eval-Après action écologique'!$A$768=FE15,GB16&lt;120),AND('Eval-Après action écologique'!$A$769=FE15,GB17&lt;120),AND('Eval-Après action écologique'!$A$770=FE15,GB18&lt;120),AND('Eval-Après action écologique'!$A$771=FE15,GB19&lt;120),AND('Eval-Après action écologique'!$A$772=FE15,GB20&lt;120),AND('Eval-Après action écologique'!$A$773=FE15,GB21&lt;120),AND('Eval-Après action écologique'!$A$774=FE15,GB22&lt;120),AND('Eval-Après action écologique'!$A$775=FE15,GB23&lt;120),AND('Eval-Après action écologique'!$A$776=FE15,GB24&lt;120),AND('Eval-Après action écologique'!$A$777=FE15,GB25&lt;120),AND('Eval-Après action écologique'!$A$778=FE15,GB26&lt;120),AND('Eval-Après action écologique'!$A$779=FE15,GB27&lt;120),AND('Eval-Après action écologique'!$A$780=FE15,GB28&lt;120)),"",SUM(0.1*(SUMPRODUCT(('Eval-Après action écologique'!$A$761:$A$780=FE15)*('Eval-Après action écologique'!$Q$761:$Y$780="A"))+ SUMPRODUCT(('Eval-Après action écologique'!$A$761:$A$780=FE15)*('Eval-Après action écologique'!$Q$761:$Y$780="AL"))),0.7*(SUMPRODUCT(('Eval-Après action écologique'!$A$761:$A$780=FE15)*('Eval-Après action écologique'!$Q$761:$Y$780="TF"))+SUMPRODUCT(('Eval-Après action écologique'!$A$761:$A$780=FE15)*('Eval-Après action écologique'!$Q$761:$Y$780="TM"))+SUMPRODUCT(('Eval-Après action écologique'!$A$761:$A$780=FE15)*('Eval-Après action écologique'!$Q$761:$Y$780="TS"))),0.4*(SUMPRODUCT(('Eval-Après action écologique'!$A$761:$A$780=FE15)*('Eval-Après action écologique'!$Q$761:$Y$780="LA"))+SUMPRODUCT(('Eval-Après action écologique'!$A$761:$A$780=FE15)*('Eval-Après action écologique'!$Q$761:$Y$780="L"))+SUMPRODUCT(('Eval-Après action écologique'!$A$761:$A$780=FE15)*('Eval-Après action écologique'!$Q$761:$Y$780="LS"))),1*(SUMPRODUCT(('Eval-Après action écologique'!$A$761:$A$780=FE15)*('Eval-Après action écologique'!$Q$761:$Y$780="SL"))+ SUMPRODUCT(('Eval-Après action écologique'!$A$761:$A$780=FE15)*('Eval-Après action écologique'!$Q$761:$Y$780="S"))))/(9*COUNTIF('Eval-Après action écologique'!$A$761:$A$780,FE15))),"")</f>
        <v/>
      </c>
      <c r="FW15" s="211" t="str">
        <f>IF(COUNTIF('Eval-Après action écologique'!$A$761:$A$780,FE15)&gt;0,IF(OR(AND('Eval-Après action écologique'!$A$761=FE15,OR(COUNTIF('Eval-Après action écologique'!$N$761:$P$761,"*T*")&gt;0,GB9&lt;30)),AND('Eval-Après action écologique'!$A$762=FE15,OR(COUNTIF('Eval-Après action écologique'!$N$762:$P$762,"*T*")&gt;0,GB10&lt;30)),AND('Eval-Après action écologique'!$A$763=FE15,OR(COUNTIF('Eval-Après action écologique'!$N$763:$P$763,"*T*")&gt;0,GB11&lt;30)),AND('Eval-Après action écologique'!$A$764=FE15,OR(COUNTIF('Eval-Après action écologique'!$N$764:$P$764,"*T*")&gt;0,GB12&lt;30)),AND('Eval-Après action écologique'!$A$765=FE15,OR(COUNTIF('Eval-Après action écologique'!$N$765:$P$765,"*T*")&gt;0,GB13&lt;30)),AND('Eval-Après action écologique'!$A$766=FE15,OR(COUNTIF('Eval-Après action écologique'!$N$766:$P$766,"*T*")&gt;0,GB14&lt;30)),AND('Eval-Après action écologique'!$A$767=FE15,OR(COUNTIF('Eval-Après action écologique'!$N$767:$P$767,"*T*")&gt;0,GB15&lt;30)),AND('Eval-Après action écologique'!$A$768=FE15,OR(COUNTIF('Eval-Après action écologique'!$N$768:$P$768,"*T*")&gt;0,GB16&lt;30)),AND('Eval-Après action écologique'!$A$769=FE15,OR(COUNTIF('Eval-Après action écologique'!$N$769:$P$769,"*T*")&gt;0,GB17&lt;30)),AND('Eval-Après action écologique'!$A$770=FE15,OR(COUNTIF('Eval-Après action écologique'!$N$770:$P$770,"*T*")&gt;0,GB18&lt;30)),AND('Eval-Après action écologique'!$A$771=FE15,OR(COUNTIF('Eval-Après action écologique'!$N$771:$P$771,"*T*")&gt;0,GB19&lt;30)),AND('Eval-Après action écologique'!$A$772=FE15,OR(COUNTIF('Eval-Après action écologique'!$N$772:$P$772,"*T*")&gt;0,GB20&lt;30)),AND('Eval-Après action écologique'!$A$773=FE15,OR(COUNTIF('Eval-Après action écologique'!$N$773:$P$773,"*T*")&gt;0,GB21&lt;30)),AND('Eval-Après action écologique'!$A$774=FE15,OR(COUNTIF('Eval-Après action écologique'!$N$774:$P$774,"*T*")&gt;0,GB22&lt;30)),AND('Eval-Après action écologique'!$A$775=FE15,OR(COUNTIF('Eval-Après action écologique'!$N$775:$P$775,"*T*")&gt;0,GB23&lt;30)),AND('Eval-Après action écologique'!$A$776=FE15,OR(COUNTIF('Eval-Après action écologique'!$N$776:$P$776,"*T*")&gt;0,GB24&lt;30)),AND('Eval-Après action écologique'!$A$777=FE15,OR(COUNTIF('Eval-Après action écologique'!$N$777:$P$777,"*T*")&gt;0,GB25&lt;30)),AND('Eval-Après action écologique'!$A$778=FE15,OR(COUNTIF('Eval-Après action écologique'!$N$778:$P$778,"*T*")&gt;0,GB26&lt;30)),AND('Eval-Après action écologique'!$A$779=FE15,OR(COUNTIF('Eval-Après action écologique'!$N$779:$P$779,"*T*")&gt;0,GB27&lt;30)),AND('Eval-Après action écologique'!$A$780=FE15,OR(COUNTIF('Eval-Après action écologique'!$N$780:$P$780,"*T*")&gt;0,GB28&lt;30))),"",SUM(0.1*(SUMPRODUCT(('Eval-Après action écologique'!$A$761:$A$780=FE15)*('Eval-Après action écologique'!$N$761:$P$780="L"))),0.4*(SUMPRODUCT(('Eval-Après action écologique'!$A$761:$A$780=FE15)*('Eval-Après action écologique'!$N$761:$P$780="LA"))+SUMPRODUCT(('Eval-Après action écologique'!$A$761:$A$780=FE15)*('Eval-Après action écologique'!$N$761:$P$780="LS"))),0.7*(SUMPRODUCT(('Eval-Après action écologique'!$A$761:$A$780=FE15)*('Eval-Après action écologique'!$N$761:$P$780="AL"))+SUMPRODUCT(('Eval-Après action écologique'!$A$761:$A$780=FE15)*('Eval-Après action écologique'!$N$761:$P$780="SL"))),1*(SUMPRODUCT(('Eval-Après action écologique'!$A$761:$A$780=FE15)*('Eval-Après action écologique'!$N$761:$P$780="S"))+ SUMPRODUCT(('Eval-Après action écologique'!$A$761:$A$780=FE15)*('Eval-Après action écologique'!$N$761:$P$780="A"))))/(3*COUNTIF('Eval-Après action écologique'!$A$761:$A$780,FE15))),"")</f>
        <v/>
      </c>
      <c r="FX15" s="211" t="str">
        <f>IF(COUNTIF('Eval-Après action écologique'!$A$761:$A$780,FE15)&gt;0,IF(OR(AND('Eval-Après action écologique'!$A$761=FE15,OR(COUNTIF('Eval-Après action écologique'!$N$761:$P$761,"*T*")&gt;0,GB9&lt;30)),AND('Eval-Après action écologique'!$A$762=FE15,OR(COUNTIF('Eval-Après action écologique'!$N$762:$P$762,"*T*")&gt;0,GB10&lt;30)),AND('Eval-Après action écologique'!$A$763=FE15,OR(COUNTIF('Eval-Après action écologique'!$N$763:$P$763,"*T*")&gt;0,GB11&lt;30)),AND('Eval-Après action écologique'!$A$764=FE15,OR(COUNTIF('Eval-Après action écologique'!$N$764:$P$764,"*T*")&gt;0,GB12&lt;30)),AND('Eval-Après action écologique'!$A$765=FE15,OR(COUNTIF('Eval-Après action écologique'!$N$765:$P$765,"*T*")&gt;0,GB13&lt;30)),AND('Eval-Après action écologique'!$A$766=FE15,OR(COUNTIF('Eval-Après action écologique'!$N$766:$P$766,"*T*")&gt;0,GB14&lt;30)),AND('Eval-Après action écologique'!$A$767=FE15,OR(COUNTIF('Eval-Après action écologique'!$N$767:$P$767,"*T*")&gt;0,GB15&lt;30)),AND('Eval-Après action écologique'!$A$768=FE15,OR(COUNTIF('Eval-Après action écologique'!$N$768:$P$768,"*T*")&gt;0,GB16&lt;30)),AND('Eval-Après action écologique'!$A$769=FE15,OR(COUNTIF('Eval-Après action écologique'!$N$769:$P$769,"*T*")&gt;0,GB17&lt;30)),AND('Eval-Après action écologique'!$A$770=FE15,OR(COUNTIF('Eval-Après action écologique'!$N$770:$P$770,"*T*")&gt;0,GB18&lt;30)),AND('Eval-Après action écologique'!$A$771=FE15,OR(COUNTIF('Eval-Après action écologique'!$N$771:$P$771,"*T*")&gt;0,GB19&lt;30)),AND('Eval-Après action écologique'!$A$772=FE15,OR(COUNTIF('Eval-Après action écologique'!$N$772:$P$772,"*T*")&gt;0,GB20&lt;30)),AND('Eval-Après action écologique'!$A$773=FE15,OR(COUNTIF('Eval-Après action écologique'!$N$773:$P$773,"*T*")&gt;0,GB21&lt;30)),AND('Eval-Après action écologique'!$A$774=FE15,OR(COUNTIF('Eval-Après action écologique'!$N$774:$P$774,"*T*")&gt;0,GB22&lt;30)),AND('Eval-Après action écologique'!$A$775=FE15,OR(COUNTIF('Eval-Après action écologique'!$N$775:$P$775,"*T*")&gt;0,GB23&lt;30)),AND('Eval-Après action écologique'!$A$776=FE15,OR(COUNTIF('Eval-Après action écologique'!$N$776:$P$776,"*T*")&gt;0,GB24&lt;30)),AND('Eval-Après action écologique'!$A$777=FE15,OR(COUNTIF('Eval-Après action écologique'!$N$777:$P$777,"*T*")&gt;0,GB25&lt;30)),AND('Eval-Après action écologique'!$A$778=FE15,OR(COUNTIF('Eval-Après action écologique'!$N$778:$P$778,"*T*")&gt;0,GB26&lt;30)),AND('Eval-Après action écologique'!$A$779=FE15,OR(COUNTIF('Eval-Après action écologique'!$N$779:$P$779,"*T*")&gt;0,GB27&lt;30)),AND('Eval-Après action écologique'!$A$780=FE15,OR(COUNTIF('Eval-Après action écologique'!$N$780:$P$780,"*T*")&gt;0,GB28&lt;30))),"",SUM(1*(SUMPRODUCT(('Eval-Après action écologique'!$A$761:$A$780=FE15)*('Eval-Après action écologique'!$N$761:$P$780="A"))),0.85*(SUMPRODUCT(('Eval-Après action écologique'!$A$761:$A$780=FE15)*('Eval-Après action écologique'!$N$761:$P$780="AL"))),0.7*(SUMPRODUCT(('Eval-Après action écologique'!$A$761:$A$780=FE15)*('Eval-Après action écologique'!$N$761:$P$780="LA"))),0.55*(SUMPRODUCT(('Eval-Après action écologique'!$A$761:$A$780=FE15)*('Eval-Après action écologique'!$N$761:$P$780="L"))),0.4*(SUMPRODUCT(('Eval-Après action écologique'!$A$761:$A$780=FE15)*('Eval-Après action écologique'!$N$761:$P$780="LS"))),0.25*(SUMPRODUCT(('Eval-Après action écologique'!$A$761:$A$780=FE15)*('Eval-Après action écologique'!$N$761:$P$780="SL"))),0.1*(SUMPRODUCT(('Eval-Après action écologique'!$A$761:$A$780=FE15)*('Eval-Après action écologique'!$N$761:$P$780="S"))))/(3*COUNTIF('Eval-Après action écologique'!$A$761:$A$780,FE15))),"")</f>
        <v/>
      </c>
      <c r="FY15" s="214" t="str">
        <f>IF(COUNTIF('Eval-Après action écologique'!$A$761:$A$780,FE15)&gt;0,IF(OR(AND('Eval-Après action écologique'!$A$761=FE15,OR(COUNTIF('Eval-Après action écologique'!$Q$761:$Y$761,"*T*")&gt;0,GB9&lt;120)),AND('Eval-Après action écologique'!$A$762=FE15,OR(COUNTIF('Eval-Après action écologique'!$Q$762:$Y$762,"*T*")&gt;0,GB10&lt;120)),AND('Eval-Après action écologique'!$A$763=FE15,OR(COUNTIF('Eval-Après action écologique'!$Q$763:$Y$763,"*T*")&gt;0,GB11&lt;120)),AND('Eval-Après action écologique'!$A$764=FE15,OR(COUNTIF('Eval-Après action écologique'!$Q$764:$Y$764,"*T*")&gt;0,GB12&lt;120)),AND('Eval-Après action écologique'!$A$765=FE15,OR(COUNTIF('Eval-Après action écologique'!$Q$765:$Y$765,"*T*")&gt;0,GB13&lt;120)),AND('Eval-Après action écologique'!$A$766=FE15,OR(COUNTIF('Eval-Après action écologique'!$Q$766:$Y$766,"*T*")&gt;0,GB14&lt;120)),AND('Eval-Après action écologique'!$A$767=FE15,OR(COUNTIF('Eval-Après action écologique'!$Q$767:$Y$767,"*T*")&gt;0,GB15&lt;120)),AND('Eval-Après action écologique'!$A$768=FE15,OR(COUNTIF('Eval-Après action écologique'!$Q$768:$Y$768,"*T*")&gt;0,GB16&lt;120)),AND('Eval-Après action écologique'!$A$769=FE15,OR(COUNTIF('Eval-Après action écologique'!$Q$769:$Y$769,"*T*")&gt;0,GB17&lt;120)),AND('Eval-Après action écologique'!$A$770=FE15,OR(COUNTIF('Eval-Après action écologique'!$Q$770:$Y$770,"*T*")&gt;0,GB18&lt;120)),AND('Eval-Après action écologique'!$A$771=FE15,OR(COUNTIF('Eval-Après action écologique'!$Q$771:$Y$771,"*T*")&gt;0,GB19&lt;120)),AND('Eval-Après action écologique'!$A$772=FE15,OR(COUNTIF('Eval-Après action écologique'!$Q$772:$Y$772,"*T*")&gt;0,GB20&lt;120)),AND('Eval-Après action écologique'!$A$773=FE15,OR(COUNTIF('Eval-Après action écologique'!$Q$773:$Y$773,"*T*")&gt;0,GB21&lt;120)),AND('Eval-Après action écologique'!$A$774=FE15,OR(COUNTIF('Eval-Après action écologique'!$Q$774:$Y$774,"*T*")&gt;0,GB22&lt;120)),AND('Eval-Après action écologique'!$A$775=FE15,OR(COUNTIF('Eval-Après action écologique'!$Q$775:$Y$775,"*T*")&gt;0,GB23&lt;120)),AND('Eval-Après action écologique'!$A$776=FE15,OR(COUNTIF('Eval-Après action écologique'!$Q$776:$Y$776,"*T*")&gt;0,GB24&lt;120)),AND('Eval-Après action écologique'!$A$777=FE15,OR(COUNTIF('Eval-Après action écologique'!$Q$777:$Y$777,"*T*")&gt;0,GB25&lt;120)),AND('Eval-Après action écologique'!$A$778=FE15,OR(COUNTIF('Eval-Après action écologique'!$Q$778:$Y$778,"*T*")&gt;0,GB26&lt;120)),AND('Eval-Après action écologique'!$A$779=FE15,OR(COUNTIF('Eval-Après action écologique'!$Q$779:$Y$779,"*T*")&gt;0,GB27&lt;120)),AND('Eval-Après action écologique'!$A$780=FE15,OR(COUNTIF('Eval-Après action écologique'!$Q$780:$Y$780,"*T*")&gt;0,GB28&lt;120))),"",SUM(1*(SUMPRODUCT(('Eval-Après action écologique'!$A$761:$A$780=FE15)*('Eval-Après action écologique'!$Q$761:$Y$780="A"))),0.85*(SUMPRODUCT(('Eval-Après action écologique'!$A$761:$A$780=FE15)*('Eval-Après action écologique'!$Q$761:$Y$780="AL"))),0.7*(SUMPRODUCT(('Eval-Après action écologique'!$A$761:$A$780=FE15)*('Eval-Après action écologique'!$Q$761:$Y$780="LA"))),0.55*(SUMPRODUCT(('Eval-Après action écologique'!$A$761:$A$780=FE15)*('Eval-Après action écologique'!$Q$761:$Y$780="L"))),0.4*(SUMPRODUCT(('Eval-Après action écologique'!$A$761:$A$780=FE15)*('Eval-Après action écologique'!$Q$761:$Y$780="LS"))),0.25*(SUMPRODUCT(('Eval-Après action écologique'!$A$761:$A$780=FE15)*('Eval-Après action écologique'!$Q$761:$Y$780="SL"))),0.1*(SUMPRODUCT(('Eval-Après action écologique'!$A$761:$A$780=FE15)*('Eval-Après action écologique'!$Q$761:$Y$780="S"))))/(9*COUNTIF('Eval-Après action écologique'!$A$761:$A$780,FE15))),"")</f>
        <v/>
      </c>
      <c r="FZ15" s="215"/>
      <c r="GA15" s="216">
        <f>'Eval-Après action écologique'!$D$767</f>
        <v>7</v>
      </c>
      <c r="GB15" s="217" t="str">
        <f>IF(GC15="C",0,IF(IF(COUNTIF('Eval-Après action écologique'!$N$767:$Y$767,"=C")&gt;0,(COUNTA('Eval-Après action écologique'!$N$767:$Y$767)-1)*10,COUNTA('Eval-Après action écologique'!$N$767:$Y$767)*10)=0,"",IF(COUNTIF('Eval-Après action écologique'!$N$767:$Y$767,"=C")&gt;0,(COUNTA('Eval-Après action écologique'!$N$767:$Y$767)-1)*10,COUNTA('Eval-Après action écologique'!$N$767:$Y$767)*10)))</f>
        <v/>
      </c>
      <c r="GC15" s="217" t="str">
        <f>CONCATENATE('Eval-Après action écologique'!$N$767,'Eval-Après action écologique'!$O$767,'Eval-Après action écologique'!$P$767,'Eval-Après action écologique'!$Q$767,'Eval-Après action écologique'!$R$767,'Eval-Après action écologique'!$S$767,'Eval-Après action écologique'!$T$767,'Eval-Après action écologique'!$U$767,'Eval-Après action écologique'!$V$767,'Eval-Après action écologique'!$W$767,'Eval-Après action écologique'!$X$767,'Eval-Après action écologique'!$Y$767)</f>
        <v/>
      </c>
      <c r="GD15" s="217" t="str">
        <f t="shared" si="20"/>
        <v/>
      </c>
      <c r="GE15" s="217" t="str">
        <f t="shared" si="21"/>
        <v/>
      </c>
      <c r="GF15" s="217" t="str">
        <f>IF(COUNTIF('Eval-Après action écologique'!$N$767:$Y$767,"=C")&gt;0,"X","")</f>
        <v/>
      </c>
      <c r="GG15" s="217" t="str">
        <f t="shared" si="22"/>
        <v/>
      </c>
      <c r="GH15" s="218" t="str">
        <f t="shared" si="23"/>
        <v/>
      </c>
      <c r="GI15" s="197"/>
    </row>
    <row r="16" spans="1:191" ht="18" customHeight="1" x14ac:dyDescent="0.2">
      <c r="A16" s="210">
        <v>8</v>
      </c>
      <c r="B16" s="211" t="str">
        <f>IF(COUNTIF('Eval-Avant impact'!$A$761:$A$780,A16)&gt;0,SUM(IF('Eval-Avant impact'!$A$761=A16,'Eval-Avant impact'!$B$761,0),IF('Eval-Avant impact'!$A$762=A16, 'Eval-Avant impact'!$B$762,0),IF('Eval-Avant impact'!$A$763=A16, 'Eval-Avant impact'!$B$763,0),IF('Eval-Avant impact'!$A$764=A16, 'Eval-Avant impact'!$B$764,0),IF('Eval-Avant impact'!$A$765=A16, 'Eval-Avant impact'!$B$765,0),IF('Eval-Avant impact'!$A$766=A16, 'Eval-Avant impact'!$B$766,0),IF('Eval-Avant impact'!$A$767=A16, 'Eval-Avant impact'!$B$767,0),IF('Eval-Avant impact'!$A$768=A16, 'Eval-Avant impact'!$B$768,0),IF('Eval-Avant impact'!$A$769=A16, 'Eval-Avant impact'!$B$769,0),IF('Eval-Avant impact'!$A$770=A16, 'Eval-Avant impact'!$B$770,0),IF('Eval-Avant impact'!$A$771=A16, 'Eval-Avant impact'!$B$771,0),IF('Eval-Avant impact'!$A$772=A16, 'Eval-Avant impact'!$B$772,0),IF('Eval-Avant impact'!$A$773=A16, 'Eval-Avant impact'!$B$773,0),IF('Eval-Avant impact'!$A$774=A16, 'Eval-Avant impact'!$B$774,0),IF('Eval-Avant impact'!$A$775=A16, 'Eval-Avant impact'!$B$775,0),IF('Eval-Avant impact'!$A$776=A16, 'Eval-Avant impact'!$B$776,0),IF('Eval-Avant impact'!$A$777=A16, 'Eval-Avant impact'!$B$777,0),IF('Eval-Avant impact'!$A$778=A16, 'Eval-Avant impact'!$B$778,0),IF('Eval-Avant impact'!$A$779=A16, 'Eval-Avant impact'!$B$779,0),IF('Eval-Avant impact'!$A$780=A16, 'Eval-Avant impact'!$B$780,0))/COUNTIF('Eval-Avant impact'!$A$761:$A$780,A16),"")</f>
        <v/>
      </c>
      <c r="C16" s="212" t="str">
        <f>IF(COUNTIF('Eval-Avant impact'!$A$761:$A$780,A16)&gt;0,COUNTIF('Eval-Avant impact'!$A$761:$A$780,A16),"")</f>
        <v/>
      </c>
      <c r="D16" s="211" t="str">
        <f>IF(COUNTIF('Eval-Avant impact'!$A$761:$A$780,A16)&gt;0,IF(OR(AND('Eval-Avant impact'!$A$761=A16, 'Eval-Avant impact'!$G$761=""),AND('Eval-Avant impact'!$A$762=A16, 'Eval-Avant impact'!$G$762=""),AND('Eval-Avant impact'!$A$763=A16, 'Eval-Avant impact'!$G$763=""),AND('Eval-Avant impact'!$A$764=A16, 'Eval-Avant impact'!$G$764=""),AND('Eval-Avant impact'!$A$765=A16, 'Eval-Avant impact'!$G$765=""),AND('Eval-Avant impact'!$A$766=A16, 'Eval-Avant impact'!$G$766=""),AND('Eval-Avant impact'!$A$767=A16, 'Eval-Avant impact'!$G$767=""),AND('Eval-Avant impact'!$A$768=A16, 'Eval-Avant impact'!$G$768=""),AND('Eval-Avant impact'!$A$769=A16, 'Eval-Avant impact'!$G$769=""),AND('Eval-Avant impact'!$A$770=A16, 'Eval-Avant impact'!$G$770=""),AND('Eval-Avant impact'!$A$771=A16, 'Eval-Avant impact'!$G$771=""),AND('Eval-Avant impact'!$A$772=A16, 'Eval-Avant impact'!$G$772=""),AND('Eval-Avant impact'!$A$773=A16, 'Eval-Avant impact'!$G$773=""),AND('Eval-Avant impact'!$A$774=A16, 'Eval-Avant impact'!$G$774=""),AND('Eval-Avant impact'!$A$775=A16, 'Eval-Avant impact'!$G$775=""),AND('Eval-Avant impact'!$A$776=A16, 'Eval-Avant impact'!$G$776=""),AND('Eval-Avant impact'!$A$777=A16, 'Eval-Avant impact'!$G$777=""),AND('Eval-Avant impact'!$A$778=A16, 'Eval-Avant impact'!$G$778=""),AND('Eval-Avant impact'!$A$779=A16, 'Eval-Avant impact'!$G$779=""),AND('Eval-Avant impact'!$A$780=A16, 'Eval-Avant impact'!$G$780="")),"",SUM(IF('Eval-Avant impact'!$A$761=A16,'Eval-Avant impact'!$G$761,0),IF('Eval-Avant impact'!$A$762=A16,'Eval-Avant impact'!$G$762,0),IF('Eval-Avant impact'!$A$763=A16,'Eval-Avant impact'!$G$763,0),IF('Eval-Avant impact'!$A$764=A16,'Eval-Avant impact'!$G$764,0),IF('Eval-Avant impact'!$A$765=A16,'Eval-Avant impact'!$G$765,0),IF('Eval-Avant impact'!$A$766=A16,'Eval-Avant impact'!$G$766,0),IF('Eval-Avant impact'!$A$767=A16,'Eval-Avant impact'!$G$767,0),IF('Eval-Avant impact'!$A$768=A16,'Eval-Avant impact'!$G$768,0),IF('Eval-Avant impact'!$A$769=A16,'Eval-Avant impact'!$G$769,0),IF('Eval-Avant impact'!$A$770=A16,'Eval-Avant impact'!$G$770,0),IF('Eval-Avant impact'!$A$771=A16,'Eval-Avant impact'!$G$771,0),IF('Eval-Avant impact'!$A$772=A16,'Eval-Avant impact'!$G$772,0),IF('Eval-Avant impact'!$A$773=A16,'Eval-Avant impact'!$G$773,0),IF('Eval-Avant impact'!$A$774=A16,'Eval-Avant impact'!$G$774,0),IF('Eval-Avant impact'!$A$775=A16,'Eval-Avant impact'!$G$775,0), IF('Eval-Avant impact'!$A$776=A16,'Eval-Avant impact'!$G$776,0), IF('Eval-Avant impact'!$A$777=A16,'Eval-Avant impact'!$G$777,0), IF('Eval-Avant impact'!$A$778=A16,'Eval-Avant impact'!$G$778,0), IF('Eval-Avant impact'!$A$779=A16,'Eval-Avant impact'!$G$779,0), IF('Eval-Avant impact'!$A$780=A16,'Eval-Avant impact'!$G$780,0))/ COUNTIF('Eval-Avant impact'!$A$761:$A$780,A16)),"")</f>
        <v/>
      </c>
      <c r="E16" s="212" t="str">
        <f>IF(COUNTIF('Eval-Avant impact'!$A$761:$A$780,A16)&gt;0,IF(SUM(IF('Eval-Avant impact'!$A$761=A16,COUNTA('Eval-Avant impact'!$H$761),0),IF('Eval-Avant impact'!$A$762=A16,COUNTA('Eval-Avant impact'!$H$762),0),IF('Eval-Avant impact'!$A$763=A16,COUNTA('Eval-Avant impact'!$H$763),0),IF('Eval-Avant impact'!$A$764=A16,COUNTA('Eval-Avant impact'!$H$764),0),IF('Eval-Avant impact'!$A$765=A16,COUNTA('Eval-Avant impact'!$H$765),0),IF('Eval-Avant impact'!$A$766=A16,COUNTA('Eval-Avant impact'!$H$766),0),IF('Eval-Avant impact'!$A$767=A16,COUNTA('Eval-Avant impact'!$H$767),0),IF('Eval-Avant impact'!$A$768=A16,COUNTA('Eval-Avant impact'!$H$768),0),IF('Eval-Avant impact'!$A$769=A16,COUNTA('Eval-Avant impact'!$H$769),0),IF('Eval-Avant impact'!$A$770=A16,COUNTA('Eval-Avant impact'!$H$770),0),IF('Eval-Avant impact'!$A$771=A16,COUNTA('Eval-Avant impact'!$H$771),0),IF('Eval-Avant impact'!$A$772=A16,COUNTA('Eval-Avant impact'!$H$772),0),IF('Eval-Avant impact'!$A$773=A16,COUNTA('Eval-Avant impact'!$H$773),0),IF('Eval-Avant impact'!$A$774=A16,COUNTA('Eval-Avant impact'!$H$774),0),IF('Eval-Avant impact'!$A$775=A16,COUNTA('Eval-Avant impact'!$H$775),0),IF('Eval-Avant impact'!$A$776=A16,COUNTA('Eval-Avant impact'!$H$776),0),IF('Eval-Avant impact'!$A$777=A16,COUNTA('Eval-Avant impact'!$H$777),0),IF('Eval-Avant impact'!$A$778=A16,COUNTA('Eval-Avant impact'!$H$778),0),IF('Eval-Avant impact'!$A$779=A16,COUNTA('Eval-Avant impact'!$H$779),0),IF('Eval-Avant impact'!$A$780=A16,COUNTA('Eval-Avant impact'!$H$780),0))&gt;0,"X",0),"")</f>
        <v/>
      </c>
      <c r="F16" s="213" t="str">
        <f>IF(COUNTIF('Eval-Avant impact'!$A$761:$A$780,A16)&gt;0,IF(SUM(IF('Eval-Avant impact'!$A$761=A16,COUNTA('Eval-Avant impact'!$I$761),0),IF('Eval-Avant impact'!$A$762=A16,COUNTA('Eval-Avant impact'!$I$762),0),IF('Eval-Avant impact'!$A$763=A16,COUNTA('Eval-Avant impact'!$I$763),0),IF('Eval-Avant impact'!$A$764=A16,COUNTA('Eval-Avant impact'!$I$764),0),IF('Eval-Avant impact'!$A$765=A16,COUNTA('Eval-Avant impact'!$I$765),0),IF('Eval-Avant impact'!$A$766=A16,COUNTA('Eval-Avant impact'!$I$766),0),IF('Eval-Avant impact'!$A$767=A16,COUNTA('Eval-Avant impact'!$I$767),0),IF('Eval-Avant impact'!$A$768=A16,COUNTA('Eval-Avant impact'!$I$768),0),IF('Eval-Avant impact'!$A$769=A16,COUNTA('Eval-Avant impact'!$I$769),0),IF('Eval-Avant impact'!$A$770=A16,COUNTA('Eval-Avant impact'!$I$770),0),IF('Eval-Avant impact'!$A$771=A16,COUNTA('Eval-Avant impact'!$I$771),0),IF('Eval-Avant impact'!$A$772=A16,COUNTA('Eval-Avant impact'!$I$772),0),IF('Eval-Avant impact'!$A$773=A16,COUNTA('Eval-Avant impact'!$I$773),0),IF('Eval-Avant impact'!$A$774=A16,COUNTA('Eval-Avant impact'!$I$774),0),IF('Eval-Avant impact'!$A$775=A16,COUNTA('Eval-Avant impact'!$I$775),0),IF('Eval-Avant impact'!$A$776=A16,COUNTA('Eval-Avant impact'!$I$776),0),IF('Eval-Avant impact'!$A$777=A16,COUNTA('Eval-Avant impact'!$I$777),0),IF('Eval-Avant impact'!$A$778=A16,COUNTA('Eval-Avant impact'!$I$778),0),IF('Eval-Avant impact'!$A$779=A16,COUNTA('Eval-Avant impact'!$I$779),0),IF('Eval-Avant impact'!$A$780=A16,COUNTA('Eval-Avant impact'!$I$780),0))&gt;0,"X",0),"")</f>
        <v/>
      </c>
      <c r="G16" s="213" t="str">
        <f>IF(COUNTIF('Eval-Avant impact'!$A$761:$A$780,A16)&gt;0,IF(SUM(IF('Eval-Avant impact'!$A$761=A16,COUNTA('Eval-Avant impact'!$J$761),0),IF('Eval-Avant impact'!$A$762=A16,COUNTA('Eval-Avant impact'!$J$762),0),IF('Eval-Avant impact'!$A$763=A16,COUNTA('Eval-Avant impact'!$J$763),0),IF('Eval-Avant impact'!$A$764=A16,COUNTA('Eval-Avant impact'!$J$764),0),IF('Eval-Avant impact'!$A$765=A16,COUNTA('Eval-Avant impact'!$J$765),0),IF('Eval-Avant impact'!$A$766=A16,COUNTA('Eval-Avant impact'!$J$766),0),IF('Eval-Avant impact'!$A$767=A16,COUNTA('Eval-Avant impact'!$J$767),0),IF('Eval-Avant impact'!$A$768=A16,COUNTA('Eval-Avant impact'!$J$768),0),IF('Eval-Avant impact'!$A$769=A16,COUNTA('Eval-Avant impact'!$J$769),0),IF('Eval-Avant impact'!$A$770=A16,COUNTA('Eval-Avant impact'!$J$770),0),IF('Eval-Avant impact'!$A$771=A16,COUNTA('Eval-Avant impact'!$J$771),0),IF('Eval-Avant impact'!$A$772=A16,COUNTA('Eval-Avant impact'!$J$772),0),IF('Eval-Avant impact'!$A$773=A16,COUNTA('Eval-Avant impact'!$J$773),0),IF('Eval-Avant impact'!$A$774=A16,COUNTA('Eval-Avant impact'!$J$774),0),IF('Eval-Avant impact'!$A$775=A16,COUNTA('Eval-Avant impact'!$J$775),0),IF('Eval-Avant impact'!$A$776=A16,COUNTA('Eval-Avant impact'!$J$776),0),IF('Eval-Avant impact'!$A$777=A16,COUNTA('Eval-Avant impact'!$J$777),0),IF('Eval-Avant impact'!$A$778=A16,COUNTA('Eval-Avant impact'!$J$778),0),IF('Eval-Avant impact'!$A$779=A16,COUNTA('Eval-Avant impact'!$J$779),0),IF('Eval-Avant impact'!$A$780=A16,COUNTA('Eval-Avant impact'!$J$780),0))&gt;0,"X",0),"")</f>
        <v/>
      </c>
      <c r="H16" s="213" t="str">
        <f>IF(COUNTIF('Eval-Avant impact'!$A$761:$A$780,A16)&gt;0,IF(SUM(IF('Eval-Avant impact'!$A$761=A16,COUNTA('Eval-Avant impact'!$K$761),0),IF('Eval-Avant impact'!$A$762=A16,COUNTA('Eval-Avant impact'!$K$762),0),IF('Eval-Avant impact'!$A$763=A16,COUNTA('Eval-Avant impact'!$K$763),0),IF('Eval-Avant impact'!$A$764=A16,COUNTA('Eval-Avant impact'!$K$764),0),IF('Eval-Avant impact'!$A$765=A16,COUNTA('Eval-Avant impact'!$K$765),0),IF('Eval-Avant impact'!$A$766=A16,COUNTA('Eval-Avant impact'!$K$766),0),IF('Eval-Avant impact'!$A$767=A16,COUNTA('Eval-Avant impact'!$K$767),0),IF('Eval-Avant impact'!$A$768=A16,COUNTA('Eval-Avant impact'!$K$768),0),IF('Eval-Avant impact'!$A$769=A16,COUNTA('Eval-Avant impact'!$K$769),0),IF('Eval-Avant impact'!$A$770=A16,COUNTA('Eval-Avant impact'!$K$770),0),IF('Eval-Avant impact'!$A$771=A16,COUNTA('Eval-Avant impact'!$K$771),0),IF('Eval-Avant impact'!$A$772=A16,COUNTA('Eval-Avant impact'!$K$772),0),IF('Eval-Avant impact'!$A$773=A16,COUNTA('Eval-Avant impact'!$K$773),0),IF('Eval-Avant impact'!$A$774=A16,COUNTA('Eval-Avant impact'!$K$774),0),IF('Eval-Avant impact'!$A$775=A16,COUNTA('Eval-Avant impact'!$K$775),0),IF('Eval-Avant impact'!$A$776=A16,COUNTA('Eval-Avant impact'!$K$776),0),IF('Eval-Avant impact'!$A$777=A16,COUNTA('Eval-Avant impact'!$K$777),0),IF('Eval-Avant impact'!$A$778=A16,COUNTA('Eval-Avant impact'!$K$778),0),IF('Eval-Avant impact'!$A$779=A16,COUNTA('Eval-Avant impact'!$K$779),0),IF('Eval-Avant impact'!$A$780=A16,COUNTA('Eval-Avant impact'!$K$780),0))&gt;0,"X",0),"")</f>
        <v/>
      </c>
      <c r="I16" s="211" t="str">
        <f>IF(COUNTIF('Eval-Avant impact'!$A$761:$A$780,A16)&gt;0,IF(OR(AND('Eval-Avant impact'!$A$761=A16,'Eval-Avant impact'!$L$761&lt;120,'Eval-Avant impact'!$L$761&gt;=X9),AND('Eval-Avant impact'!$A$762=A16,'Eval-Avant impact'!$L$762&lt;120,'Eval-Avant impact'!$L$762&gt;=X10),AND('Eval-Avant impact'!$A$763=A16,'Eval-Avant impact'!$L$763&lt;120,'Eval-Avant impact'!$L$763&gt;=X11),AND('Eval-Avant impact'!$A$764=A16,'Eval-Avant impact'!$L$764&lt;120,'Eval-Avant impact'!$L$764&gt;=X12),AND('Eval-Avant impact'!$A$765=A16,'Eval-Avant impact'!$L$765&lt;120,'Eval-Avant impact'!$L$765&gt;=X13),AND('Eval-Avant impact'!$A$766=A16,'Eval-Avant impact'!$L$766&lt;120,'Eval-Avant impact'!$L$766&gt;=X14),AND('Eval-Avant impact'!$A$767=A16,'Eval-Avant impact'!$L$767&lt;120,'Eval-Avant impact'!$L$767&gt;=X15),AND('Eval-Avant impact'!$A$768=A16,'Eval-Avant impact'!$L$768&lt;120,'Eval-Avant impact'!$L$768&gt;=X16),AND('Eval-Avant impact'!$A$769=A16,'Eval-Avant impact'!$L$769&lt;120,'Eval-Avant impact'!$L$769&gt;=X17),AND('Eval-Avant impact'!$A$770=A16,'Eval-Avant impact'!$L$770&lt;120,'Eval-Avant impact'!$L$770&gt;=X18),AND('Eval-Avant impact'!$A$771=A16,'Eval-Avant impact'!$L$771&lt;120,'Eval-Avant impact'!$L$771&gt;=X19),AND('Eval-Avant impact'!$A$772=A16,'Eval-Avant impact'!$L$772&lt;120,'Eval-Avant impact'!$L$772&gt;=X20),AND('Eval-Avant impact'!$A$773=A16,'Eval-Avant impact'!$L$773&lt;120,'Eval-Avant impact'!$L$773&gt;=X21),AND('Eval-Avant impact'!$A$774=A16,'Eval-Avant impact'!$L$774&lt;120,'Eval-Avant impact'!$L$774&gt;=X22),AND('Eval-Avant impact'!$A$775=A16,'Eval-Avant impact'!$L$775&lt;120,'Eval-Avant impact'!$L$775&gt;=X23),AND('Eval-Avant impact'!$A$776=A16,'Eval-Avant impact'!$L$776&lt;120,'Eval-Avant impact'!$L$776&gt;=X24),AND('Eval-Avant impact'!$A$777=A16,'Eval-Avant impact'!$L$777&lt;120,'Eval-Avant impact'!$L$777&gt;=X25),AND('Eval-Avant impact'!$A$778=A16,'Eval-Avant impact'!$L$778&lt;120,'Eval-Avant impact'!$L$778&gt;=X26),AND('Eval-Avant impact'!$A$779=A16,'Eval-Avant impact'!$L$779&lt;120,'Eval-Avant impact'!$L$779&gt;=X27),AND('Eval-Avant impact'!$A$780=A16,'Eval-Avant impact'!$L$780&lt;120,'Eval-Avant impact'!$L$780&gt;=X28)),"",SUM(IF('Eval-Avant impact'!$A$761=A16,'Eval-Avant impact'!$L$761,0),IF('Eval-Avant impact'!$A$762=A16,'Eval-Avant impact'!$L$762,0),IF('Eval-Avant impact'!$A$763=A16,'Eval-Avant impact'!$L$763,0),IF('Eval-Avant impact'!$A$764=A16,'Eval-Avant impact'!$L$764,0),IF('Eval-Avant impact'!$A$765=A16,'Eval-Avant impact'!$L$765,0),IF('Eval-Avant impact'!$A$766=A16,'Eval-Avant impact'!$L$766,0),IF('Eval-Avant impact'!$A$767=A16,'Eval-Avant impact'!$L$767,0),IF('Eval-Avant impact'!$A$768=A16,'Eval-Avant impact'!$L$768,0),IF('Eval-Avant impact'!$A$769=A16,'Eval-Avant impact'!$L$769,0),IF('Eval-Avant impact'!$A$770=A16,'Eval-Avant impact'!$L$770,0),IF('Eval-Avant impact'!$A$771=A16,'Eval-Avant impact'!$L$771,0),IF('Eval-Avant impact'!$A$772=A16,'Eval-Avant impact'!$L$772,0),IF('Eval-Avant impact'!$A$773=A16,'Eval-Avant impact'!$L$773,0),IF('Eval-Avant impact'!$A$774=A16,'Eval-Avant impact'!$L$774,0),IF('Eval-Avant impact'!$A$775=A16,'Eval-Avant impact'!$L$775,0),IF('Eval-Avant impact'!$A$776=A16,'Eval-Avant impact'!$L$776,0),IF('Eval-Avant impact'!$A$777=A16,'Eval-Avant impact'!$L$777,0),IF('Eval-Avant impact'!$A$778=A16,'Eval-Avant impact'!$L$778,0),IF('Eval-Avant impact'!$A$779=A16,'Eval-Avant impact'!$L$779,0),IF('Eval-Avant impact'!$A$780=A16,'Eval-Avant impact'!$L$780,0))/ COUNTIF('Eval-Avant impact'!$A$761:$A$780,A16)),"")</f>
        <v/>
      </c>
      <c r="J16" s="211" t="str">
        <f>IF(COUNTIF('Eval-Avant impact'!$A$761:$A$780,A16)&gt;0,IF(OR(AND('Eval-Avant impact'!$A$761=A16, X9&lt;120),AND(X10&lt;120),AND(X11&lt;120),AND(X12&lt;120),AND(X13&lt;120),AND(X14&lt;120),AND(X15&lt;120),AND(X16&lt;120),AND(X17&lt;120),AND(X18&lt;120),AND(X19&lt;120),AND(X20&lt;120),AND(X21&lt;120),AND(X22&lt;120),AND(X23&lt;120),AND(X24&lt;120),AND(X25&lt;120),AND(X26&lt;120),AND(X27&lt;120),AND(X28&lt;120)),"",SUM(IF('Eval-Avant impact'!$A$761=A16,'Eval-Avant impact'!$M$761,0),IF('Eval-Avant impact'!$A$762=A16,'Eval-Avant impact'!$M$762,0),IF('Eval-Avant impact'!$A$763=A16,'Eval-Avant impact'!$M$763,0),IF('Eval-Avant impact'!$A$764=A16,'Eval-Avant impact'!$M$764,0),IF('Eval-Avant impact'!$A$765=A16,'Eval-Avant impact'!$M$765,0),IF('Eval-Avant impact'!$A$766=A16,'Eval-Avant impact'!$M$766,0),IF('Eval-Avant impact'!$A$767=A16,'Eval-Avant impact'!$M$767,0),IF('Eval-Avant impact'!$A$768=A16,'Eval-Avant impact'!$M$768,0),IF('Eval-Avant impact'!$A$769=A16,'Eval-Avant impact'!$M$769,0),IF('Eval-Avant impact'!$A$770=A16,'Eval-Avant impact'!$M$770,0),IF('Eval-Avant impact'!$A$771=A16,'Eval-Avant impact'!$M$771,0),IF('Eval-Avant impact'!$A$772=A16,'Eval-Avant impact'!$M$772,0),IF('Eval-Avant impact'!$A$773=A16,'Eval-Avant impact'!$M$773,0),IF('Eval-Avant impact'!$A$774=A16,'Eval-Avant impact'!$M$774,0),IF('Eval-Avant impact'!$A$775=A16,'Eval-Avant impact'!$M$775,0), IF('Eval-Avant impact'!$A$776=A16,'Eval-Avant impact'!$M$776,0), IF('Eval-Avant impact'!$A$777=A16,'Eval-Avant impact'!$M$777,0), IF('Eval-Avant impact'!$A$778=A16,'Eval-Avant impact'!$M$778,0), IF('Eval-Avant impact'!$A$779=A16,'Eval-Avant impact'!$M$779,0), IF('Eval-Avant impact'!$A$780=A16,'Eval-Avant impact'!$M$780,0))/COUNTIF('Eval-Avant impact'!$A$761:$A$780,A16)),"")</f>
        <v/>
      </c>
      <c r="K16" s="211" t="str">
        <f>IF(COUNTIF('Eval-Avant impact'!$A$761:$A$780,A16)&gt;0,SUM(IF('Eval-Avant impact'!$A$761=A16,LEN(SUBSTITUTE((SUBSTITUTE(Z9,"TM","")),"TS",""))*10/2,0),IF('Eval-Avant impact'!$A$762=A16,LEN(SUBSTITUTE((SUBSTITUTE(Z10,"TM","")),"TS",""))*10/2,0),IF('Eval-Avant impact'!$A$763=A16,LEN(SUBSTITUTE((SUBSTITUTE(Z11,"TM","")),"TS",""))*10/2,0),IF('Eval-Avant impact'!$A$764=A16,LEN(SUBSTITUTE((SUBSTITUTE(Z12,"TM","")),"TS",""))*10/2,0),IF('Eval-Avant impact'!$A$765=A16,LEN(SUBSTITUTE((SUBSTITUTE(Z13,"TM","")),"TS",""))*10/2,0),IF('Eval-Avant impact'!$A$766=A16,LEN(SUBSTITUTE((SUBSTITUTE(Z14,"TM","")),"TS",""))*10/2,0),IF('Eval-Avant impact'!$A$767=A16,LEN(SUBSTITUTE((SUBSTITUTE(Z15,"TM","")),"TS",""))*10/2,0),IF('Eval-Avant impact'!$A$768=A16,LEN(SUBSTITUTE((SUBSTITUTE(Z16,"TM","")),"TS",""))*10/2,0),IF('Eval-Avant impact'!$A$769=A16,LEN(SUBSTITUTE((SUBSTITUTE(Z17,"TM","")),"TS",""))*10/2,0),IF('Eval-Avant impact'!$A$770=A16,LEN(SUBSTITUTE((SUBSTITUTE(Z18,"TM","")),"TS",""))*10/2,0),IF('Eval-Avant impact'!$A$771=A16,LEN(SUBSTITUTE((SUBSTITUTE(Z19,"TM","")),"TS",""))*10/2,0),IF('Eval-Avant impact'!$A$772=A16,LEN(SUBSTITUTE((SUBSTITUTE(Z20,"TM","")),"TS",""))*10/2,0),IF('Eval-Avant impact'!$A$773=A16,LEN(SUBSTITUTE((SUBSTITUTE(Z21,"TM","")),"TS",""))*10/2,0),IF('Eval-Avant impact'!$A$774=A16,LEN(SUBSTITUTE((SUBSTITUTE(Z22,"TM","")),"TS",""))*10/2,0),IF('Eval-Avant impact'!$A$775=A16,LEN(SUBSTITUTE((SUBSTITUTE(Z23,"TM","")),"TS",""))*10/2,0),IF('Eval-Avant impact'!$A$776=A16,LEN(SUBSTITUTE((SUBSTITUTE(Z24,"TM","")),"TS",""))*10/2,0),IF('Eval-Avant impact'!$A$777=A16,LEN(SUBSTITUTE((SUBSTITUTE(Z25,"TM","")),"TS",""))*10/2,0),IF('Eval-Avant impact'!$A$778=A16,LEN(SUBSTITUTE((SUBSTITUTE(Z26,"TM","")),"TS",""))*10/2,0),IF('Eval-Avant impact'!$A$779=A16,LEN(SUBSTITUTE((SUBSTITUTE(Z27,"TM","")),"TS",""))*10/2,0),IF('Eval-Avant impact'!$A$780=A16,LEN(SUBSTITUTE((SUBSTITUTE(Z28,"TM","")),"TS",""))*10/2,0))/COUNTIF('Eval-Avant impact'!$A$761:$A$780,A16),"")</f>
        <v/>
      </c>
      <c r="L16" s="211" t="str">
        <f>IF(COUNTIF('Eval-Avant impact'!$A$761:$A$780,A16)&gt;0,SUM(IF('Eval-Avant impact'!$A$761=A16,LEN(SUBSTITUTE((SUBSTITUTE(Z9,"TF","")),"TS",""))*10/2,0),IF('Eval-Avant impact'!$A$762=A16,LEN(SUBSTITUTE((SUBSTITUTE(Z10,"TF","")),"TS",""))*10/2,0),IF('Eval-Avant impact'!$A$763=A16,LEN(SUBSTITUTE((SUBSTITUTE(Z11,"TF","")),"TS",""))*10/2,0),IF('Eval-Avant impact'!$A$764=A16,LEN(SUBSTITUTE((SUBSTITUTE(Z12,"TF","")),"TS",""))*10/2,0),IF('Eval-Avant impact'!$A$765=A16,LEN(SUBSTITUTE((SUBSTITUTE(Z13,"TF","")),"TS",""))*10/2,0),IF('Eval-Avant impact'!$A$766=A16,LEN(SUBSTITUTE((SUBSTITUTE(Z14,"TF","")),"TS",""))*10/2,0),IF('Eval-Avant impact'!$A$767=A16,LEN(SUBSTITUTE((SUBSTITUTE(Z15,"TF","")),"TS",""))*10/2,0),IF('Eval-Avant impact'!$A$768=A16,LEN(SUBSTITUTE((SUBSTITUTE(Z16,"TF","")),"TS",""))*10/2,0),IF('Eval-Avant impact'!$A$769=A16,LEN(SUBSTITUTE((SUBSTITUTE(Z17,"TF","")),"TS",""))*10/2,0),IF('Eval-Avant impact'!$A$770=A16,LEN(SUBSTITUTE((SUBSTITUTE(Z18,"TF","")),"TS",""))*10/2,0),IF('Eval-Avant impact'!$A$771=A16,LEN(SUBSTITUTE((SUBSTITUTE(Z19,"TF","")),"TS",""))*10/2,0),IF('Eval-Avant impact'!$A$772=A16,LEN(SUBSTITUTE((SUBSTITUTE(Z20,"TF","")),"TS",""))*10/2,0),IF('Eval-Avant impact'!$A$773=A16,LEN(SUBSTITUTE((SUBSTITUTE(Z21,"TF","")),"TS",""))*10/2,0),IF('Eval-Avant impact'!$A$774=A16,LEN(SUBSTITUTE((SUBSTITUTE(Z22,"TF","")),"TS",""))*10/2,0),IF('Eval-Avant impact'!$A$775=A16,LEN(SUBSTITUTE((SUBSTITUTE(Z23,"TF","")),"TS",""))*10/2,0),IF('Eval-Avant impact'!$A$776=A16,LEN(SUBSTITUTE((SUBSTITUTE(Z24,"TF","")),"TS",""))*10/2,0),IF('Eval-Avant impact'!$A$777=A16,LEN(SUBSTITUTE((SUBSTITUTE(Z25,"TF","")),"TS",""))*10/2,0),IF('Eval-Avant impact'!$A$778=A16,LEN(SUBSTITUTE((SUBSTITUTE(Z26,"TF","")),"TS",""))*10/2,0),IF('Eval-Avant impact'!$A$779=A16,LEN(SUBSTITUTE((SUBSTITUTE(Z27,"TF","")),"TS",""))*10/2,0),IF('Eval-Avant impact'!$A$780=A16,LEN(SUBSTITUTE((SUBSTITUTE(Z28,"TF","")),"TS",""))*10/2,0))/COUNTIF('Eval-Avant impact'!$A$761:$A$780,A16),"")</f>
        <v/>
      </c>
      <c r="M16" s="211" t="str">
        <f>IF(COUNTIF('Eval-Avant impact'!$A$761:$A$780,A16)&gt;0,SUM(IF('Eval-Avant impact'!$A$761=A16,LEN(SUBSTITUTE((SUBSTITUTE(Z9,"TF","")),"TM",""))*10/2,0),IF('Eval-Avant impact'!$A$762=A16,LEN(SUBSTITUTE((SUBSTITUTE(Z10,"TF","")),"TM",""))*10/2,0),IF('Eval-Avant impact'!$A$763=A16,LEN(SUBSTITUTE((SUBSTITUTE(Z11,"TF","")),"TM",""))*10/2,0),IF('Eval-Avant impact'!$A$764=A16,LEN(SUBSTITUTE((SUBSTITUTE(Z12,"TF","")),"TM",""))*10/2,0),IF('Eval-Avant impact'!$A$765=A16,LEN(SUBSTITUTE((SUBSTITUTE(Z13,"TF","")),"TM",""))*10/2,0),IF('Eval-Avant impact'!$A$766=A16,LEN(SUBSTITUTE((SUBSTITUTE(Z14,"TF","")),"TM",""))*10/2,0),IF('Eval-Avant impact'!$A$767=A16,LEN(SUBSTITUTE((SUBSTITUTE(Z15,"TF","")),"TM",""))*10/2,0),IF('Eval-Avant impact'!$A$768=A16,LEN(SUBSTITUTE((SUBSTITUTE(Z16,"TF","")),"TM",""))*10/2,0),IF('Eval-Avant impact'!$A$769=A16,LEN(SUBSTITUTE((SUBSTITUTE(Z17,"TF","")),"TM",""))*10/2,0),IF('Eval-Avant impact'!$A$770=A16,LEN(SUBSTITUTE((SUBSTITUTE(Z18,"TF","")),"TM",""))*10/2,0),IF('Eval-Avant impact'!$A$771=A16,LEN(SUBSTITUTE((SUBSTITUTE(Z19,"TF","")),"TM",""))*10/2,0),IF('Eval-Avant impact'!$A$772=A16,LEN(SUBSTITUTE((SUBSTITUTE(Z20,"TF","")),"TM",""))*10/2,0),IF('Eval-Avant impact'!$A$773=A16,LEN(SUBSTITUTE((SUBSTITUTE(Z21,"TF","")),"TM",""))*10/2,0),IF('Eval-Avant impact'!$A$774=A16,LEN(SUBSTITUTE((SUBSTITUTE(Z22,"TF","")),"TM",""))*10/2,0),IF('Eval-Avant impact'!$A$775=A16,LEN(SUBSTITUTE((SUBSTITUTE(Z23,"TF","")),"TM",""))*10/2,0),IF('Eval-Avant impact'!$A$776=A16,LEN(SUBSTITUTE((SUBSTITUTE(Z24,"TF","")),"TM",""))*10/2,0),IF('Eval-Avant impact'!$A$777=A16,LEN(SUBSTITUTE((SUBSTITUTE(Z25,"TF","")),"TM",""))*10/2,0),IF('Eval-Avant impact'!$A$778=A16,LEN(SUBSTITUTE((SUBSTITUTE(Z26,"TF","")),"TM",""))*10/2,0),IF('Eval-Avant impact'!$A$779=A16,LEN(SUBSTITUTE((SUBSTITUTE(Z27,"TF","")),"TM",""))*10/2,0),IF('Eval-Avant impact'!$A$780=A16,LEN(SUBSTITUTE((SUBSTITUTE(Z28,"TF","")),"TM",""))*10/2,0))/COUNTIF('Eval-Avant impact'!$A$761:$A$780,A16),"")</f>
        <v/>
      </c>
      <c r="N16" s="211" t="str">
        <f>IF(COUNTIF('Eval-Avant impact'!$A$761:$A$780,A16)&gt;0,SUM(IF('Eval-Avant impact'!$A$761=A16,LEN(SUBSTITUTE((SUBSTITUTE(AA9,"TM","")),"TS",""))*10/2,0),IF('Eval-Avant impact'!$A$762=A16,LEN(SUBSTITUTE((SUBSTITUTE(AA10,"TM","")),"TS",""))*10/2,0),IF('Eval-Avant impact'!$A$763=A16,LEN(SUBSTITUTE((SUBSTITUTE(AA11,"TM","")),"TS",""))*10/2,0),IF('Eval-Avant impact'!$A$764=A16,LEN(SUBSTITUTE((SUBSTITUTE(AA12,"TM","")),"TS",""))*10/2,0),IF('Eval-Avant impact'!$A$765=A16,LEN(SUBSTITUTE((SUBSTITUTE(AA13,"TM","")),"TS",""))*10/2,0),IF('Eval-Avant impact'!$A$766=A16,LEN(SUBSTITUTE((SUBSTITUTE(AA14,"TM","")),"TS",""))*10/2,0),IF('Eval-Avant impact'!$A$767=A16,LEN(SUBSTITUTE((SUBSTITUTE(AA15,"TM","")),"TS",""))*10/2,0),IF('Eval-Avant impact'!$A$768=A16,LEN(SUBSTITUTE((SUBSTITUTE(AA16,"TM","")),"TS",""))*10/2,0),IF('Eval-Avant impact'!$A$769=A16,LEN(SUBSTITUTE((SUBSTITUTE(AA17,"TM","")),"TS",""))*10/2,0),IF('Eval-Avant impact'!$A$770=A16,LEN(SUBSTITUTE((SUBSTITUTE(AA18,"TM","")),"TS",""))*10/2,0),IF('Eval-Avant impact'!$A$771=A16,LEN(SUBSTITUTE((SUBSTITUTE(AA19,"TM","")),"TS",""))*10/2,0),IF('Eval-Avant impact'!$A$772=A16,LEN(SUBSTITUTE((SUBSTITUTE(AA20,"TM","")),"TS",""))*10/2,0),IF('Eval-Avant impact'!$A$773=A16,LEN(SUBSTITUTE((SUBSTITUTE(AA21,"TM","")),"TS",""))*10/2,0),IF('Eval-Avant impact'!$A$774=A16,LEN(SUBSTITUTE((SUBSTITUTE(AA22,"TM","")),"TS",""))*10/2,0),IF('Eval-Avant impact'!$A$775=A16,LEN(SUBSTITUTE((SUBSTITUTE(AA23,"TM","")),"TS",""))*10/2,0),IF('Eval-Avant impact'!$A$776=A16,LEN(SUBSTITUTE((SUBSTITUTE(AA24,"TM","")),"TS",""))*10/2,0),IF('Eval-Avant impact'!$A$777=A16,LEN(SUBSTITUTE((SUBSTITUTE(AA25,"TM","")),"TS",""))*10/2,0),IF('Eval-Avant impact'!$A$778=A16,LEN(SUBSTITUTE((SUBSTITUTE(AA26,"TM","")),"TS",""))*10/2,0),IF('Eval-Avant impact'!$A$779=A16,LEN(SUBSTITUTE((SUBSTITUTE(AA27,"TM","")),"TS",""))*10/2,0),IF('Eval-Avant impact'!$A$780=A16,LEN(SUBSTITUTE((SUBSTITUTE(AA28,"TM","")),"TS",""))*10/2,0))/COUNTIF('Eval-Avant impact'!$A$761:$A$780,A16),"")</f>
        <v/>
      </c>
      <c r="O16" s="211" t="str">
        <f>IF(COUNTIF('Eval-Avant impact'!$A$761:$A$780,A16)&gt;0,SUM(IF('Eval-Avant impact'!$A$761=A16,LEN(SUBSTITUTE((SUBSTITUTE(AA9,"TF","")),"TS",""))*10/2,0),IF('Eval-Avant impact'!$A$762=A16,LEN(SUBSTITUTE((SUBSTITUTE(AA10,"TF","")),"TS",""))*10/2,0),IF('Eval-Avant impact'!$A$763=A16,LEN(SUBSTITUTE((SUBSTITUTE(AA11,"TF","")),"TS",""))*10/2,0),IF('Eval-Avant impact'!$A$764=A16,LEN(SUBSTITUTE((SUBSTITUTE(AA12,"TF","")),"TS",""))*10/2,0),IF('Eval-Avant impact'!$A$765=A16,LEN(SUBSTITUTE((SUBSTITUTE(AA13,"TF","")),"TS",""))*10/2,0),IF('Eval-Avant impact'!$A$766=A16,LEN(SUBSTITUTE((SUBSTITUTE(AA14,"TF","")),"TS",""))*10/2,0),IF('Eval-Avant impact'!$A$767=A16,LEN(SUBSTITUTE((SUBSTITUTE(AA15,"TF","")),"TS",""))*10/2,0),IF('Eval-Avant impact'!$A$768=A16,LEN(SUBSTITUTE((SUBSTITUTE(AA16,"TF","")),"TS",""))*10/2,0),IF('Eval-Avant impact'!$A$769=A16,LEN(SUBSTITUTE((SUBSTITUTE(AA17,"TF","")),"TS",""))*10/2,0),IF('Eval-Avant impact'!$A$770=A16,LEN(SUBSTITUTE((SUBSTITUTE(AA18,"TF","")),"TS",""))*10/2,0),IF('Eval-Avant impact'!$A$771=A16,LEN(SUBSTITUTE((SUBSTITUTE(AA19,"TF","")),"TS",""))*10/2,0),IF('Eval-Avant impact'!$A$772=A16,LEN(SUBSTITUTE((SUBSTITUTE(AA20,"TF","")),"TS",""))*10/2,0),IF('Eval-Avant impact'!$A$773=A16,LEN(SUBSTITUTE((SUBSTITUTE(AA21,"TF","")),"TS",""))*10/2,0),IF('Eval-Avant impact'!$A$774=A16,LEN(SUBSTITUTE((SUBSTITUTE(AA22,"TF","")),"TS",""))*10/2,0),IF('Eval-Avant impact'!$A$775=A16,LEN(SUBSTITUTE((SUBSTITUTE(AA23,"TF","")),"TS",""))*10/2,0),IF('Eval-Avant impact'!$A$776=A16,LEN(SUBSTITUTE((SUBSTITUTE(AA24,"TF","")),"TS",""))*10/2,0),IF('Eval-Avant impact'!$A$777=A16,LEN(SUBSTITUTE((SUBSTITUTE(AA25,"TF","")),"TS",""))*10/2,0),IF('Eval-Avant impact'!$A$778=A16,LEN(SUBSTITUTE((SUBSTITUTE(AA26,"TF","")),"TS",""))*10/2,0),IF('Eval-Avant impact'!$A$779=A16,LEN(SUBSTITUTE((SUBSTITUTE(AA27,"TF","")),"TS",""))*10/2,0),IF('Eval-Avant impact'!$A$780=A16,LEN(SUBSTITUTE((SUBSTITUTE(AA28,"TF","")),"TS",""))*10/2,0))/COUNTIF('Eval-Avant impact'!$A$761:$A$780,A16),"")</f>
        <v/>
      </c>
      <c r="P16" s="211" t="str">
        <f>IF(COUNTIF('Eval-Avant impact'!$A$761:$A$780,A16)&gt;0,SUM(IF('Eval-Avant impact'!$A$761=A16,LEN(SUBSTITUTE((SUBSTITUTE(AA9,"TF","")),"TM",""))*10/2,0),IF('Eval-Avant impact'!$A$762=A16,LEN(SUBSTITUTE((SUBSTITUTE(AA10,"TF","")),"TM",""))*10/2,0),IF('Eval-Avant impact'!$A$763=A16,LEN(SUBSTITUTE((SUBSTITUTE(AA11,"TF","")),"TM",""))*10/2,0),IF('Eval-Avant impact'!$A$764=A16,LEN(SUBSTITUTE((SUBSTITUTE(AA12,"TF","")),"TM",""))*10/2,0),IF('Eval-Avant impact'!$A$765=A16,LEN(SUBSTITUTE((SUBSTITUTE(AA13,"TF","")),"TM",""))*10/2,0),IF('Eval-Avant impact'!$A$766=A16,LEN(SUBSTITUTE((SUBSTITUTE(AA14,"TF","")),"TM",""))*10/2,0),IF('Eval-Avant impact'!$A$767=A16,LEN(SUBSTITUTE((SUBSTITUTE(AA15,"TF","")),"TM",""))*10/2,0),IF('Eval-Avant impact'!$A$768=A16,LEN(SUBSTITUTE((SUBSTITUTE(AA16,"TF","")),"TM",""))*10/2,0),IF('Eval-Avant impact'!$A$769=A16,LEN(SUBSTITUTE((SUBSTITUTE(AA17,"TF","")),"TM",""))*10/2,0),IF('Eval-Avant impact'!$A$770=A16,LEN(SUBSTITUTE((SUBSTITUTE(AA18,"TF","")),"TM",""))*10/2,0),IF('Eval-Avant impact'!$A$771=A16,LEN(SUBSTITUTE((SUBSTITUTE(AA19,"TF","")),"TM",""))*10/2,0),IF('Eval-Avant impact'!$A$772=A16,LEN(SUBSTITUTE((SUBSTITUTE(AA20,"TF","")),"TM",""))*10/2,0),IF('Eval-Avant impact'!$A$773=A16,LEN(SUBSTITUTE((SUBSTITUTE(AA21,"TF","")),"TM",""))*10/2,0),IF('Eval-Avant impact'!$A$774=A16,LEN(SUBSTITUTE((SUBSTITUTE(AA22,"TF","")),"TM",""))*10/2,0),IF('Eval-Avant impact'!$A$775=A16,LEN(SUBSTITUTE((SUBSTITUTE(AA23,"TF","")),"TM",""))*10/2,0),IF('Eval-Avant impact'!$A$776=A16,LEN(SUBSTITUTE((SUBSTITUTE(AA24,"TF","")),"TM",""))*10/2,0),IF('Eval-Avant impact'!$A$777=A16,LEN(SUBSTITUTE((SUBSTITUTE(AA25,"TF","")),"TM",""))*10/2,0),IF('Eval-Avant impact'!$A$778=A16,LEN(SUBSTITUTE((SUBSTITUTE(AA26,"TF","")),"TM",""))*10/2,0),IF('Eval-Avant impact'!$A$779=A16,LEN(SUBSTITUTE((SUBSTITUTE(AA27,"TF","")),"TM",""))*10/2,0),IF('Eval-Avant impact'!$A$780=A16,LEN(SUBSTITUTE((SUBSTITUTE(AA28,"TF","")),"TM",""))*10/2,0))/COUNTIF('Eval-Avant impact'!$A$761:$A$780,A16),"")</f>
        <v/>
      </c>
      <c r="Q16" s="211" t="str">
        <f>IF(COUNTIF('Eval-Avant impact'!$A$761:$A$780,A16)&gt;0,IF(OR(AND('Eval-Avant impact'!$A$761=A16,X9&lt;30),AND('Eval-Avant impact'!$A$762=A16,X10&lt;30),AND('Eval-Avant impact'!$A$763=A16,X11&lt;30),AND('Eval-Avant impact'!$A$764=A16,X12&lt;30),AND('Eval-Avant impact'!$A$765=A16,X13&lt;30),AND('Eval-Avant impact'!$A$766=A16,X14&lt;30),AND('Eval-Avant impact'!$A$767=A16,X15&lt;30),AND('Eval-Avant impact'!$A$768=A16,X16&lt;30),AND('Eval-Avant impact'!$A$769=A16,X17&lt;30),AND('Eval-Avant impact'!$A$770=A16,X18&lt;30),AND('Eval-Avant impact'!$A$771=A16,X19&lt;30),AND('Eval-Avant impact'!$A$772=A16,X20&lt;30),AND('Eval-Avant impact'!$A$773=A16,X21&lt;30),AND('Eval-Avant impact'!$A$774=A16,X22&lt;30),AND('Eval-Avant impact'!$A$775=A16,X23&lt;30),AND('Eval-Avant impact'!$A$776=A16,X24&lt;30),AND('Eval-Avant impact'!$A$777=A16,X25&lt;30),AND('Eval-Avant impact'!$A$778=A16,X26&lt;30),AND('Eval-Avant impact'!$A$779=A16,X27&lt;30),AND('Eval-Avant impact'!$A$780=A16,X28&lt;30)),"",SUM(0.1*(SUMPRODUCT(('Eval-Avant impact'!$A$761:$A$780=A16)*('Eval-Avant impact'!$N$761:$P$780="A"))+ SUMPRODUCT(('Eval-Avant impact'!$A$761:$A$780=A16)*('Eval-Avant impact'!$N$761:$P$780="AL"))),0.7*(SUMPRODUCT(('Eval-Avant impact'!$A$761:$A$780=A16)*('Eval-Avant impact'!$N$761:$P$780="TF"))+SUMPRODUCT(('Eval-Avant impact'!$A$761:$A$780=A16)*('Eval-Avant impact'!$N$761:$P$780="TM"))+SUMPRODUCT(('Eval-Avant impact'!$A$761:$A$780=A16)*('Eval-Avant impact'!$N$761:$P$780="TS"))),0.4*(SUMPRODUCT(('Eval-Avant impact'!$A$761:$A$780=A16)*('Eval-Avant impact'!$N$761:$P$780="LA"))+SUMPRODUCT(('Eval-Avant impact'!$A$761:$A$780=A16)*('Eval-Avant impact'!$N$761:$P$780="L"))+SUMPRODUCT(('Eval-Avant impact'!$A$761:$A$780=A16)*('Eval-Avant impact'!$N$761:$P$780="LS"))),1*(SUMPRODUCT(('Eval-Avant impact'!$A$761:$A$780=A16)*('Eval-Avant impact'!$N$761:$P$780="SL"))+ SUMPRODUCT(('Eval-Avant impact'!$A$761:$A$780=A16)*('Eval-Avant impact'!$N$761:$P$780="S"))))/(3*COUNTIF('Eval-Avant impact'!$A$761:$A$780,A16))),"")</f>
        <v/>
      </c>
      <c r="R16" s="211" t="str">
        <f>IF(COUNTIF('Eval-Avant impact'!$A$761:$A$780,A16)&gt;0,IF(OR(AND('Eval-Avant impact'!$A$761=A16,X9&lt;120),AND('Eval-Avant impact'!$A$762=A16,X10&lt;120),AND('Eval-Avant impact'!$A$763=A16,X11&lt;120),AND('Eval-Avant impact'!$A$764=A16,X12&lt;120),AND('Eval-Avant impact'!$A$765=A16,X13&lt;120),AND('Eval-Avant impact'!$A$766=A16,X14&lt;120),AND('Eval-Avant impact'!$A$767=A16,X15&lt;120),AND('Eval-Avant impact'!$A$768=A16,X16&lt;120),AND('Eval-Avant impact'!$A$769=A16,X17&lt;120),AND('Eval-Avant impact'!$A$770=A16,X18&lt;120),AND('Eval-Avant impact'!$A$771=A16,X19&lt;120),AND('Eval-Avant impact'!$A$772=A16,X20&lt;120),AND('Eval-Avant impact'!$A$773=A16,X21&lt;120),AND('Eval-Avant impact'!$A$774=A16,X22&lt;120),AND('Eval-Avant impact'!$A$775=A16,X23&lt;120),AND('Eval-Avant impact'!$A$776=A16,X24&lt;120),AND('Eval-Avant impact'!$A$777=A16,X25&lt;120),AND('Eval-Avant impact'!$A$778=A16,X26&lt;120),AND('Eval-Avant impact'!$A$779=A16,X27&lt;120),AND('Eval-Avant impact'!$A$780=A16,X28&lt;120)),"",SUM(0.1*(SUMPRODUCT(('Eval-Avant impact'!$A$761:$A$780=A16)*('Eval-Avant impact'!$Q$761:$Y$780="A"))+ SUMPRODUCT(('Eval-Avant impact'!$A$761:$A$780=A16)*('Eval-Avant impact'!$Q$761:$Y$780="AL"))),0.7*(SUMPRODUCT(('Eval-Avant impact'!$A$761:$A$780=A16)*('Eval-Avant impact'!$Q$761:$Y$780="TF"))+SUMPRODUCT(('Eval-Avant impact'!$A$761:$A$780=A16)*('Eval-Avant impact'!$Q$761:$Y$780="TM"))+SUMPRODUCT(('Eval-Avant impact'!$A$761:$A$780=A16)*('Eval-Avant impact'!$Q$761:$Y$780="TS"))),0.4*(SUMPRODUCT(('Eval-Avant impact'!$A$761:$A$780=A16)*('Eval-Avant impact'!$Q$761:$Y$780="LA"))+SUMPRODUCT(('Eval-Avant impact'!$A$761:$A$780=A16)*('Eval-Avant impact'!$Q$761:$Y$780="L"))+SUMPRODUCT(('Eval-Avant impact'!$A$761:$A$780=A16)*('Eval-Avant impact'!$Q$761:$Y$780="LS"))),1*(SUMPRODUCT(('Eval-Avant impact'!$A$761:$A$780=A16)*('Eval-Avant impact'!$Q$761:$Y$780="SL"))+ SUMPRODUCT(('Eval-Avant impact'!$A$761:$A$780=A16)*('Eval-Avant impact'!$Q$761:$Y$780="S"))))/(9*COUNTIF('Eval-Avant impact'!$A$761:$A$780,A16))),"")</f>
        <v/>
      </c>
      <c r="S16" s="211" t="str">
        <f>IF(COUNTIF('Eval-Avant impact'!$A$761:$A$780,A16)&gt;0,IF(OR(AND('Eval-Avant impact'!$A$761=A16,OR(COUNTIF('Eval-Avant impact'!$N$761:$P$761,"*T*")&gt;0,X9&lt;30)),AND('Eval-Avant impact'!$A$762=A16,OR(COUNTIF('Eval-Avant impact'!$N$762:$P$762,"*T*")&gt;0,X10&lt;30)),AND('Eval-Avant impact'!$A$763=A16,OR(COUNTIF('Eval-Avant impact'!$N$763:$P$763,"*T*")&gt;0,X11&lt;30)),AND('Eval-Avant impact'!$A$764=A16,OR(COUNTIF('Eval-Avant impact'!$N$764:$P$764,"*T*")&gt;0,X12&lt;30)),AND('Eval-Avant impact'!$A$765=A16,OR(COUNTIF('Eval-Avant impact'!$N$765:$P$765,"*T*")&gt;0,X13&lt;30)),AND('Eval-Avant impact'!$A$766=A16,OR(COUNTIF('Eval-Avant impact'!$N$766:$P$766,"*T*")&gt;0,X14&lt;30)),AND('Eval-Avant impact'!$A$767=A16,OR(COUNTIF('Eval-Avant impact'!$N$767:$P$767,"*T*")&gt;0,X15&lt;30)),AND('Eval-Avant impact'!$A$768=A16,OR(COUNTIF('Eval-Avant impact'!$N$768:$P$768,"*T*")&gt;0,X16&lt;30)),AND('Eval-Avant impact'!$A$769=A16,OR(COUNTIF('Eval-Avant impact'!$N$769:$P$769,"*T*")&gt;0,X17&lt;30)),AND('Eval-Avant impact'!$A$770=A16,OR(COUNTIF('Eval-Avant impact'!$N$770:$P$770,"*T*")&gt;0,X18&lt;30)),AND('Eval-Avant impact'!$A$771=A16,OR(COUNTIF('Eval-Avant impact'!$N$771:$P$771,"*T*")&gt;0,X19&lt;30)),AND('Eval-Avant impact'!$A$772=A16,OR(COUNTIF('Eval-Avant impact'!$N$772:$P$772,"*T*")&gt;0,X20&lt;30)),AND('Eval-Avant impact'!$A$773=A16,OR(COUNTIF('Eval-Avant impact'!$N$773:$P$773,"*T*")&gt;0,X21&lt;30)),AND('Eval-Avant impact'!$A$774=A16,OR(COUNTIF('Eval-Avant impact'!$N$774:$P$774,"*T*")&gt;0,X22&lt;30)),AND('Eval-Avant impact'!$A$775=A16,OR(COUNTIF('Eval-Avant impact'!$N$775:$P$775,"*T*")&gt;0,X23&lt;30)),AND('Eval-Avant impact'!$A$776=A16,OR(COUNTIF('Eval-Avant impact'!$N$776:$P$776,"*T*")&gt;0,X24&lt;30)),AND('Eval-Avant impact'!$A$777=A16,OR(COUNTIF('Eval-Avant impact'!$N$777:$P$777,"*T*")&gt;0,X25&lt;30)),AND('Eval-Avant impact'!$A$778=A16,OR(COUNTIF('Eval-Avant impact'!$N$778:$P$778,"*T*")&gt;0,X26&lt;30)),AND('Eval-Avant impact'!$A$779=A16,OR(COUNTIF('Eval-Avant impact'!$N$779:$P$779,"*T*")&gt;0,X27&lt;30)),AND('Eval-Avant impact'!$A$780=A16,OR(COUNTIF('Eval-Avant impact'!$N$780:$P$780,"*T*")&gt;0,X28&lt;30))),"",SUM(0.1*(SUMPRODUCT(('Eval-Avant impact'!$A$761:$A$780=A16)*('Eval-Avant impact'!$N$761:$P$780="L"))),0.4*(SUMPRODUCT(('Eval-Avant impact'!$A$761:$A$780=A16)*('Eval-Avant impact'!$N$761:$P$780="LA"))+SUMPRODUCT(('Eval-Avant impact'!$A$761:$A$780=A16)*('Eval-Avant impact'!$N$761:$P$780="LS"))),0.7*(SUMPRODUCT(('Eval-Avant impact'!$A$761:$A$780=A16)*('Eval-Avant impact'!$N$761:$P$780="AL"))+SUMPRODUCT(('Eval-Avant impact'!$A$761:$A$780=A16)*('Eval-Avant impact'!$N$761:$P$780="SL"))),1*(SUMPRODUCT(('Eval-Avant impact'!$A$761:$A$780=A16)*('Eval-Avant impact'!$N$761:$P$780="S"))+ SUMPRODUCT(('Eval-Avant impact'!$A$761:$A$780=A16)*('Eval-Avant impact'!$N$761:$P$780="A"))))/(3*COUNTIF('Eval-Avant impact'!$A$761:$A$780,A16))),"")</f>
        <v/>
      </c>
      <c r="T16" s="211" t="str">
        <f>IF(COUNTIF('Eval-Avant impact'!$A$761:$A$780,A16)&gt;0,IF(OR(AND('Eval-Avant impact'!$A$761=A16,OR(COUNTIF('Eval-Avant impact'!$N$761:$P$761,"*T*")&gt;0,X9&lt;30)),AND('Eval-Avant impact'!$A$762=A16,OR(COUNTIF('Eval-Avant impact'!$N$762:$P$762,"*T*")&gt;0,X10&lt;30)),AND('Eval-Avant impact'!$A$763=A16,OR(COUNTIF('Eval-Avant impact'!$N$763:$P$763,"*T*")&gt;0,X11&lt;30)),AND('Eval-Avant impact'!$A$764=A16,OR(COUNTIF('Eval-Avant impact'!$N$764:$P$764,"*T*")&gt;0,X12&lt;30)),AND('Eval-Avant impact'!$A$765=A16,OR(COUNTIF('Eval-Avant impact'!$N$765:$P$765,"*T*")&gt;0,X13&lt;30)),AND('Eval-Avant impact'!$A$766=A16,OR(COUNTIF('Eval-Avant impact'!$N$766:$P$766,"*T*")&gt;0,X14&lt;30)),AND('Eval-Avant impact'!$A$767=A16,OR(COUNTIF('Eval-Avant impact'!$N$767:$P$767,"*T*")&gt;0,X15&lt;30)),AND('Eval-Avant impact'!$A$768=A16,OR(COUNTIF('Eval-Avant impact'!$N$768:$P$768,"*T*")&gt;0,X16&lt;30)),AND('Eval-Avant impact'!$A$769=A16,OR(COUNTIF('Eval-Avant impact'!$N$769:$P$769,"*T*")&gt;0,X17&lt;30)),AND('Eval-Avant impact'!$A$770=A16,OR(COUNTIF('Eval-Avant impact'!$N$770:$P$770,"*T*")&gt;0,X18&lt;30)),AND('Eval-Avant impact'!$A$771=A16,OR(COUNTIF('Eval-Avant impact'!$N$771:$P$771,"*T*")&gt;0,X19&lt;30)),AND('Eval-Avant impact'!$A$772=A16,OR(COUNTIF('Eval-Avant impact'!$N$772:$P$772,"*T*")&gt;0,X20&lt;30)),AND('Eval-Avant impact'!$A$773=A16,OR(COUNTIF('Eval-Avant impact'!$N$773:$P$773,"*T*")&gt;0,X21&lt;30)),AND('Eval-Avant impact'!$A$774=A16,OR(COUNTIF('Eval-Avant impact'!$N$774:$P$774,"*T*")&gt;0,X22&lt;30)),AND('Eval-Avant impact'!$A$775=A16,OR(COUNTIF('Eval-Avant impact'!$N$775:$P$775,"*T*")&gt;0,X23&lt;30)),AND('Eval-Avant impact'!$A$776=A16,OR(COUNTIF('Eval-Avant impact'!$N$776:$P$776,"*T*")&gt;0,X24&lt;30)),AND('Eval-Avant impact'!$A$777=A16,OR(COUNTIF('Eval-Avant impact'!$N$777:$P$777,"*T*")&gt;0,X25&lt;30)),AND('Eval-Avant impact'!$A$778=A16,OR(COUNTIF('Eval-Avant impact'!$N$778:$P$778,"*T*")&gt;0,X26&lt;30)),AND('Eval-Avant impact'!$A$779=A16,OR(COUNTIF('Eval-Avant impact'!$N$779:$P$779,"*T*")&gt;0,X27&lt;30)),AND('Eval-Avant impact'!$A$780=A16,OR(COUNTIF('Eval-Avant impact'!$N$780:$P$780,"*T*")&gt;0,X28&lt;30))),"",SUM(1*(SUMPRODUCT(('Eval-Avant impact'!$A$761:$A$780=A16)*('Eval-Avant impact'!$N$761:$P$780="A"))),0.85*(SUMPRODUCT(('Eval-Avant impact'!$A$761:$A$780=A16)*('Eval-Avant impact'!$N$761:$P$780="AL"))),0.7*(SUMPRODUCT(('Eval-Avant impact'!$A$761:$A$780=A16)*('Eval-Avant impact'!$N$761:$P$780="LA"))),0.55*(SUMPRODUCT(('Eval-Avant impact'!$A$761:$A$780=A16)*('Eval-Avant impact'!$N$761:$P$780="L"))),0.4*(SUMPRODUCT(('Eval-Avant impact'!$A$761:$A$780=A16)*('Eval-Avant impact'!$N$761:$P$780="LS"))),0.25*(SUMPRODUCT(('Eval-Avant impact'!$A$761:$A$780=A16)*('Eval-Avant impact'!$N$761:$P$780="SL"))),0.1*(SUMPRODUCT(('Eval-Avant impact'!$A$761:$A$780=A16)*('Eval-Avant impact'!$N$761:$P$780="S"))))/(3*COUNTIF('Eval-Avant impact'!$A$761:$A$780,A16))),"")</f>
        <v/>
      </c>
      <c r="U16" s="214" t="str">
        <f>IF(COUNTIF('Eval-Avant impact'!$A$761:$A$780,A16)&gt;0,IF(OR(AND('Eval-Avant impact'!$A$761=A16,OR(COUNTIF('Eval-Avant impact'!$Q$761:$Y$761,"*T*")&gt;0,X9&lt;120)),AND('Eval-Avant impact'!$A$762=A16,OR(COUNTIF('Eval-Avant impact'!$Q$762:$Y$762,"*T*")&gt;0,X10&lt;120)),AND('Eval-Avant impact'!$A$763=A16,OR(COUNTIF('Eval-Avant impact'!$Q$763:$Y$763,"*T*")&gt;0,X11&lt;120)),AND('Eval-Avant impact'!$A$764=A16,OR(COUNTIF('Eval-Avant impact'!$Q$764:$Y$764,"*T*")&gt;0,X12&lt;120)),AND('Eval-Avant impact'!$A$765=A16,OR(COUNTIF('Eval-Avant impact'!$Q$765:$Y$765,"*T*")&gt;0,X13&lt;120)),AND('Eval-Avant impact'!$A$766=A16,OR(COUNTIF('Eval-Avant impact'!$Q$766:$Y$766,"*T*")&gt;0,X14&lt;120)),AND('Eval-Avant impact'!$A$767=A16,OR(COUNTIF('Eval-Avant impact'!$Q$767:$Y$767,"*T*")&gt;0,X15&lt;120)),AND('Eval-Avant impact'!$A$768=A16,OR(COUNTIF('Eval-Avant impact'!$Q$768:$Y$768,"*T*")&gt;0,X16&lt;120)),AND('Eval-Avant impact'!$A$769=A16,OR(COUNTIF('Eval-Avant impact'!$Q$769:$Y$769,"*T*")&gt;0,X17&lt;120)),AND('Eval-Avant impact'!$A$770=A16,OR(COUNTIF('Eval-Avant impact'!$Q$770:$Y$770,"*T*")&gt;0,X18&lt;120)),AND('Eval-Avant impact'!$A$771=A16,OR(COUNTIF('Eval-Avant impact'!$Q$771:$Y$771,"*T*")&gt;0,X19&lt;120)),AND('Eval-Avant impact'!$A$772=A16,OR(COUNTIF('Eval-Avant impact'!$Q$772:$Y$772,"*T*")&gt;0,X20&lt;120)),AND('Eval-Avant impact'!$A$773=A16,OR(COUNTIF('Eval-Avant impact'!$Q$773:$Y$773,"*T*")&gt;0,X21&lt;120)),AND('Eval-Avant impact'!$A$774=A16,OR(COUNTIF('Eval-Avant impact'!$Q$774:$Y$774,"*T*")&gt;0,X22&lt;120)),AND('Eval-Avant impact'!$A$775=A16,OR(COUNTIF('Eval-Avant impact'!$Q$775:$Y$775,"*T*")&gt;0,X23&lt;120)),AND('Eval-Avant impact'!$A$776=A16,OR(COUNTIF('Eval-Avant impact'!$Q$776:$Y$776,"*T*")&gt;0,X24&lt;120)),AND('Eval-Avant impact'!$A$777=A16,OR(COUNTIF('Eval-Avant impact'!$Q$777:$Y$777,"*T*")&gt;0,X25&lt;120)),AND('Eval-Avant impact'!$A$778=A16,OR(COUNTIF('Eval-Avant impact'!$Q$778:$Y$778,"*T*")&gt;0,X26&lt;120)),AND('Eval-Avant impact'!$A$779=A16,OR(COUNTIF('Eval-Avant impact'!$Q$779:$Y$779,"*T*")&gt;0,X27&lt;120)),AND('Eval-Avant impact'!$A$780=A16,OR(COUNTIF('Eval-Avant impact'!$Q$780:$Y$780,"*T*")&gt;0,X28&lt;120))),"",SUM(1*(SUMPRODUCT(('Eval-Avant impact'!$A$761:$A$780=A16)*('Eval-Avant impact'!$Q$761:$Y$780="A"))),0.85*(SUMPRODUCT(('Eval-Avant impact'!$A$761:$A$780=A16)*('Eval-Avant impact'!$Q$761:$Y$780="AL"))),0.7*(SUMPRODUCT(('Eval-Avant impact'!$A$761:$A$780=A16)*('Eval-Avant impact'!$Q$761:$Y$780="LA"))),0.55*(SUMPRODUCT(('Eval-Avant impact'!$A$761:$A$780=A16)*('Eval-Avant impact'!$Q$761:$Y$780="L"))),0.4*(SUMPRODUCT(('Eval-Avant impact'!$A$761:$A$780=A16)*('Eval-Avant impact'!$Q$761:$Y$780="LS"))),0.25*(SUMPRODUCT(('Eval-Avant impact'!$A$761:$A$780=A16)*('Eval-Avant impact'!$Q$761:$Y$780="SL"))),0.1*(SUMPRODUCT(('Eval-Avant impact'!$A$761:$A$780=A16)*('Eval-Avant impact'!$Q$761:$Y$780="S"))))/(9*COUNTIF('Eval-Avant impact'!$A$761:$A$780,A16))),"")</f>
        <v/>
      </c>
      <c r="V16" s="215"/>
      <c r="W16" s="216">
        <f>'Eval-Avant impact'!$D$768</f>
        <v>8</v>
      </c>
      <c r="X16" s="217" t="str">
        <f>IF(Y16="C",0,IF(IF(COUNTIF('Eval-Avant impact'!$N$768:$Y$768,"=C")&gt;0,(COUNTA('Eval-Avant impact'!$N$768:$Y$768)-1)*10,COUNTA('Eval-Avant impact'!$N$768:$Y$768)*10)=0,"",IF(COUNTIF('Eval-Avant impact'!$N$768:$Y$768,"=C")&gt;0,(COUNTA('Eval-Avant impact'!$N$768:$Y$768)-1)*10,COUNTA('Eval-Avant impact'!$N$768:$Y$768)*10)))</f>
        <v/>
      </c>
      <c r="Y16" s="217" t="str">
        <f>CONCATENATE('Eval-Avant impact'!$N$768,'Eval-Avant impact'!$O$768,'Eval-Avant impact'!$P$768,'Eval-Avant impact'!$Q$768,'Eval-Avant impact'!$R$768,'Eval-Avant impact'!$S$768,'Eval-Avant impact'!$T$768,'Eval-Avant impact'!$U$768,'Eval-Avant impact'!$V$768,'Eval-Avant impact'!$W$768,'Eval-Avant impact'!$X$768,'Eval-Avant impact'!$Y$768)</f>
        <v/>
      </c>
      <c r="Z16" s="217" t="str">
        <f t="shared" si="0"/>
        <v/>
      </c>
      <c r="AA16" s="217" t="str">
        <f t="shared" si="1"/>
        <v/>
      </c>
      <c r="AB16" s="217" t="str">
        <f>IF(COUNTIF('Eval-Avant impact'!$N$768:$Y$768,"=C")&gt;0,"X","")</f>
        <v/>
      </c>
      <c r="AC16" s="217" t="str">
        <f t="shared" si="2"/>
        <v/>
      </c>
      <c r="AD16" s="218" t="str">
        <f t="shared" si="3"/>
        <v/>
      </c>
      <c r="AE16" s="197"/>
      <c r="AG16" s="210">
        <v>8</v>
      </c>
      <c r="AH16" s="211" t="str">
        <f>IF(COUNTIF('Eval-Avec impact envisagé'!$A$761:$A$780,AG16)&gt;0,SUM(IF('Eval-Avec impact envisagé'!$A$761=AG16,'Eval-Avec impact envisagé'!$B$761,0),IF('Eval-Avec impact envisagé'!$A$762=AG16, 'Eval-Avec impact envisagé'!$B$762,0),IF('Eval-Avec impact envisagé'!$A$763=AG16, 'Eval-Avec impact envisagé'!$B$763,0),IF('Eval-Avec impact envisagé'!$A$764=AG16, 'Eval-Avec impact envisagé'!$B$764,0),IF('Eval-Avec impact envisagé'!$A$765=AG16, 'Eval-Avec impact envisagé'!$B$765,0),IF('Eval-Avec impact envisagé'!$A$766=AG16, 'Eval-Avec impact envisagé'!$B$766,0),IF('Eval-Avec impact envisagé'!$A$767=AG16, 'Eval-Avec impact envisagé'!$B$767,0),IF('Eval-Avec impact envisagé'!$A$768=AG16, 'Eval-Avec impact envisagé'!$B$768,0),IF('Eval-Avec impact envisagé'!$A$769=AG16, 'Eval-Avec impact envisagé'!$B$769,0),IF('Eval-Avec impact envisagé'!$A$770=AG16, 'Eval-Avec impact envisagé'!$B$770,0),IF('Eval-Avec impact envisagé'!$A$771=AG16, 'Eval-Avec impact envisagé'!$B$771,0),IF('Eval-Avec impact envisagé'!$A$772=AG16, 'Eval-Avec impact envisagé'!$B$772,0),IF('Eval-Avec impact envisagé'!$A$773=AG16, 'Eval-Avec impact envisagé'!$B$773,0),IF('Eval-Avec impact envisagé'!$A$774=AG16, 'Eval-Avec impact envisagé'!$B$774,0),IF('Eval-Avec impact envisagé'!$A$775=AG16, 'Eval-Avec impact envisagé'!$B$775,0),IF('Eval-Avec impact envisagé'!$A$776=AG16, 'Eval-Avec impact envisagé'!$B$776,0),IF('Eval-Avec impact envisagé'!$A$777=AG16, 'Eval-Avec impact envisagé'!$B$777,0),IF('Eval-Avec impact envisagé'!$A$778=AG16, 'Eval-Avec impact envisagé'!$B$778,0),IF('Eval-Avec impact envisagé'!$A$779=AG16, 'Eval-Avec impact envisagé'!$B$779,0),IF('Eval-Avec impact envisagé'!$A$780=AG16, 'Eval-Avec impact envisagé'!$B$780,0))/COUNTIF('Eval-Avec impact envisagé'!$A$761:$A$780,AG16),"")</f>
        <v/>
      </c>
      <c r="AI16" s="212" t="str">
        <f>IF(COUNTIF('Eval-Avec impact envisagé'!$A$761:$A$780,AG16)&gt;0,COUNTIF('Eval-Avec impact envisagé'!$A$761:$A$780,AG16),"")</f>
        <v/>
      </c>
      <c r="AJ16" s="211" t="str">
        <f>IF(COUNTIF('Eval-Avec impact envisagé'!$A$761:$A$780,AG16)&gt;0,IF(OR(AND('Eval-Avec impact envisagé'!$A$761=AG16, 'Eval-Avec impact envisagé'!$G$761=""),AND('Eval-Avec impact envisagé'!$A$762=AG16, 'Eval-Avec impact envisagé'!$G$762=""),AND('Eval-Avec impact envisagé'!$A$763=AG16, 'Eval-Avec impact envisagé'!$G$763=""),AND('Eval-Avec impact envisagé'!$A$764=AG16, 'Eval-Avec impact envisagé'!$G$764=""),AND('Eval-Avec impact envisagé'!$A$765=AG16, 'Eval-Avec impact envisagé'!$G$765=""),AND('Eval-Avec impact envisagé'!$A$766=AG16, 'Eval-Avec impact envisagé'!$G$766=""),AND('Eval-Avec impact envisagé'!$A$767=AG16, 'Eval-Avec impact envisagé'!$G$767=""),AND('Eval-Avec impact envisagé'!$A$768=AG16, 'Eval-Avec impact envisagé'!$G$768=""),AND('Eval-Avec impact envisagé'!$A$769=AG16, 'Eval-Avec impact envisagé'!$G$769=""),AND('Eval-Avec impact envisagé'!$A$770=AG16, 'Eval-Avec impact envisagé'!$G$770=""),AND('Eval-Avec impact envisagé'!$A$771=AG16, 'Eval-Avec impact envisagé'!$G$771=""),AND('Eval-Avec impact envisagé'!$A$772=AG16, 'Eval-Avec impact envisagé'!$G$772=""),AND('Eval-Avec impact envisagé'!$A$773=AG16, 'Eval-Avec impact envisagé'!$G$773=""),AND('Eval-Avec impact envisagé'!$A$774=AG16, 'Eval-Avec impact envisagé'!$G$774=""),AND('Eval-Avec impact envisagé'!$A$775=AG16, 'Eval-Avec impact envisagé'!$G$775=""),AND('Eval-Avec impact envisagé'!$A$776=AG16, 'Eval-Avec impact envisagé'!$G$776=""),AND('Eval-Avec impact envisagé'!$A$777=AG16, 'Eval-Avec impact envisagé'!$G$777=""),AND('Eval-Avec impact envisagé'!$A$778=AG16, 'Eval-Avec impact envisagé'!$G$778=""),AND('Eval-Avec impact envisagé'!$A$779=AG16, 'Eval-Avec impact envisagé'!$G$779=""),AND('Eval-Avec impact envisagé'!$A$780=AG16, 'Eval-Avec impact envisagé'!$G$780="")),"",SUM(IF('Eval-Avec impact envisagé'!$A$761=AG16,'Eval-Avec impact envisagé'!$G$761,0),IF('Eval-Avec impact envisagé'!$A$762=AG16,'Eval-Avec impact envisagé'!$G$762,0),IF('Eval-Avec impact envisagé'!$A$763=AG16,'Eval-Avec impact envisagé'!$G$763,0),IF('Eval-Avec impact envisagé'!$A$764=AG16,'Eval-Avec impact envisagé'!$G$764,0),IF('Eval-Avec impact envisagé'!$A$765=AG16,'Eval-Avec impact envisagé'!$G$765,0),IF('Eval-Avec impact envisagé'!$A$766=AG16,'Eval-Avec impact envisagé'!$G$766,0),IF('Eval-Avec impact envisagé'!$A$767=AG16,'Eval-Avec impact envisagé'!$G$767,0),IF('Eval-Avec impact envisagé'!$A$768=AG16,'Eval-Avec impact envisagé'!$G$768,0),IF('Eval-Avec impact envisagé'!$A$769=AG16,'Eval-Avec impact envisagé'!$G$769,0),IF('Eval-Avec impact envisagé'!$A$770=AG16,'Eval-Avec impact envisagé'!$G$770,0),IF('Eval-Avec impact envisagé'!$A$771=AG16,'Eval-Avec impact envisagé'!$G$771,0),IF('Eval-Avec impact envisagé'!$A$772=AG16,'Eval-Avec impact envisagé'!$G$772,0),IF('Eval-Avec impact envisagé'!$A$773=AG16,'Eval-Avec impact envisagé'!$G$773,0),IF('Eval-Avec impact envisagé'!$A$774=AG16,'Eval-Avec impact envisagé'!$G$774,0),IF('Eval-Avec impact envisagé'!$A$775=AG16,'Eval-Avec impact envisagé'!$G$775,0), IF('Eval-Avec impact envisagé'!$A$776=AG16,'Eval-Avec impact envisagé'!$G$776,0), IF('Eval-Avec impact envisagé'!$A$777=AG16,'Eval-Avec impact envisagé'!$G$777,0), IF('Eval-Avec impact envisagé'!$A$778=AG16,'Eval-Avec impact envisagé'!$G$778,0), IF('Eval-Avec impact envisagé'!$A$779=AG16,'Eval-Avec impact envisagé'!$G$779,0), IF('Eval-Avec impact envisagé'!$A$780=AG16,'Eval-Avec impact envisagé'!$G$780,0))/ COUNTIF('Eval-Avec impact envisagé'!$A$761:$A$780,AG16)),"")</f>
        <v/>
      </c>
      <c r="AK16" s="212" t="str">
        <f>IF(COUNTIF('Eval-Avec impact envisagé'!$A$761:$A$780,AG16)&gt;0,IF(SUM(IF('Eval-Avec impact envisagé'!$A$761=AG16,COUNTA('Eval-Avec impact envisagé'!$H$761),0),IF('Eval-Avec impact envisagé'!$A$762=AG16,COUNTA('Eval-Avec impact envisagé'!$H$762),0),IF('Eval-Avec impact envisagé'!$A$763=AG16,COUNTA('Eval-Avec impact envisagé'!$H$763),0),IF('Eval-Avec impact envisagé'!$A$764=AG16,COUNTA('Eval-Avec impact envisagé'!$H$764),0),IF('Eval-Avec impact envisagé'!$A$765=AG16,COUNTA('Eval-Avec impact envisagé'!$H$765),0),IF('Eval-Avec impact envisagé'!$A$766=AG16,COUNTA('Eval-Avec impact envisagé'!$H$766),0),IF('Eval-Avec impact envisagé'!$A$767=AG16,COUNTA('Eval-Avec impact envisagé'!$H$767),0),IF('Eval-Avec impact envisagé'!$A$768=AG16,COUNTA('Eval-Avec impact envisagé'!$H$768),0),IF('Eval-Avec impact envisagé'!$A$769=AG16,COUNTA('Eval-Avec impact envisagé'!$H$769),0),IF('Eval-Avec impact envisagé'!$A$770=AG16,COUNTA('Eval-Avec impact envisagé'!$H$770),0),IF('Eval-Avec impact envisagé'!$A$771=AG16,COUNTA('Eval-Avec impact envisagé'!$H$771),0),IF('Eval-Avec impact envisagé'!$A$772=AG16,COUNTA('Eval-Avec impact envisagé'!$H$772),0),IF('Eval-Avec impact envisagé'!$A$773=AG16,COUNTA('Eval-Avec impact envisagé'!$H$773),0),IF('Eval-Avec impact envisagé'!$A$774=AG16,COUNTA('Eval-Avec impact envisagé'!$H$774),0),IF('Eval-Avec impact envisagé'!$A$775=AG16,COUNTA('Eval-Avec impact envisagé'!$H$775),0),IF('Eval-Avec impact envisagé'!$A$776=AG16,COUNTA('Eval-Avec impact envisagé'!$H$776),0),IF('Eval-Avec impact envisagé'!$A$777=AG16,COUNTA('Eval-Avec impact envisagé'!$H$777),0),IF('Eval-Avec impact envisagé'!$A$778=AG16,COUNTA('Eval-Avec impact envisagé'!$H$778),0),IF('Eval-Avec impact envisagé'!$A$779=AG16,COUNTA('Eval-Avec impact envisagé'!$H$779),0),IF('Eval-Avec impact envisagé'!$A$780=AG16,COUNTA('Eval-Avec impact envisagé'!$H$780),0))&gt;0,"X",0),"")</f>
        <v/>
      </c>
      <c r="AL16" s="213" t="str">
        <f>IF(COUNTIF('Eval-Avec impact envisagé'!$A$761:$A$780,AG16)&gt;0,IF(SUM(IF('Eval-Avec impact envisagé'!$A$761=AG16,COUNTA('Eval-Avec impact envisagé'!$I$761),0),IF('Eval-Avec impact envisagé'!$A$762=AG16,COUNTA('Eval-Avec impact envisagé'!$I$762),0),IF('Eval-Avec impact envisagé'!$A$763=AG16,COUNTA('Eval-Avec impact envisagé'!$I$763),0),IF('Eval-Avec impact envisagé'!$A$764=AG16,COUNTA('Eval-Avec impact envisagé'!$I$764),0),IF('Eval-Avec impact envisagé'!$A$765=AG16,COUNTA('Eval-Avec impact envisagé'!$I$765),0),IF('Eval-Avec impact envisagé'!$A$766=AG16,COUNTA('Eval-Avec impact envisagé'!$I$766),0),IF('Eval-Avec impact envisagé'!$A$767=AG16,COUNTA('Eval-Avec impact envisagé'!$I$767),0),IF('Eval-Avec impact envisagé'!$A$768=AG16,COUNTA('Eval-Avec impact envisagé'!$I$768),0),IF('Eval-Avec impact envisagé'!$A$769=AG16,COUNTA('Eval-Avec impact envisagé'!$I$769),0),IF('Eval-Avec impact envisagé'!$A$770=AG16,COUNTA('Eval-Avec impact envisagé'!$I$770),0),IF('Eval-Avec impact envisagé'!$A$771=AG16,COUNTA('Eval-Avec impact envisagé'!$I$771),0),IF('Eval-Avec impact envisagé'!$A$772=AG16,COUNTA('Eval-Avec impact envisagé'!$I$772),0),IF('Eval-Avec impact envisagé'!$A$773=AG16,COUNTA('Eval-Avec impact envisagé'!$I$773),0),IF('Eval-Avec impact envisagé'!$A$774=AG16,COUNTA('Eval-Avec impact envisagé'!$I$774),0),IF('Eval-Avec impact envisagé'!$A$775=AG16,COUNTA('Eval-Avec impact envisagé'!$I$775),0),IF('Eval-Avec impact envisagé'!$A$776=AG16,COUNTA('Eval-Avec impact envisagé'!$I$776),0),IF('Eval-Avec impact envisagé'!$A$777=AG16,COUNTA('Eval-Avec impact envisagé'!$I$777),0),IF('Eval-Avec impact envisagé'!$A$778=AG16,COUNTA('Eval-Avec impact envisagé'!$I$778),0),IF('Eval-Avec impact envisagé'!$A$779=AG16,COUNTA('Eval-Avec impact envisagé'!$I$779),0),IF('Eval-Avec impact envisagé'!$A$780=AG16,COUNTA('Eval-Avec impact envisagé'!$I$780),0))&gt;0,"X",0),"")</f>
        <v/>
      </c>
      <c r="AM16" s="213" t="str">
        <f>IF(COUNTIF('Eval-Avec impact envisagé'!$A$761:$A$780,AG16)&gt;0,IF(SUM(IF('Eval-Avec impact envisagé'!$A$761=AG16,COUNTA('Eval-Avec impact envisagé'!$J$761),0),IF('Eval-Avec impact envisagé'!$A$762=AG16,COUNTA('Eval-Avec impact envisagé'!$J$762),0),IF('Eval-Avec impact envisagé'!$A$763=AG16,COUNTA('Eval-Avec impact envisagé'!$J$763),0),IF('Eval-Avec impact envisagé'!$A$764=AG16,COUNTA('Eval-Avec impact envisagé'!$J$764),0),IF('Eval-Avec impact envisagé'!$A$765=AG16,COUNTA('Eval-Avec impact envisagé'!$J$765),0),IF('Eval-Avec impact envisagé'!$A$766=AG16,COUNTA('Eval-Avec impact envisagé'!$J$766),0),IF('Eval-Avec impact envisagé'!$A$767=AG16,COUNTA('Eval-Avec impact envisagé'!$J$767),0),IF('Eval-Avec impact envisagé'!$A$768=AG16,COUNTA('Eval-Avec impact envisagé'!$J$768),0),IF('Eval-Avec impact envisagé'!$A$769=AG16,COUNTA('Eval-Avec impact envisagé'!$J$769),0),IF('Eval-Avec impact envisagé'!$A$770=AG16,COUNTA('Eval-Avec impact envisagé'!$J$770),0),IF('Eval-Avec impact envisagé'!$A$771=AG16,COUNTA('Eval-Avec impact envisagé'!$J$771),0),IF('Eval-Avec impact envisagé'!$A$772=AG16,COUNTA('Eval-Avec impact envisagé'!$J$772),0),IF('Eval-Avec impact envisagé'!$A$773=AG16,COUNTA('Eval-Avec impact envisagé'!$J$773),0),IF('Eval-Avec impact envisagé'!$A$774=AG16,COUNTA('Eval-Avec impact envisagé'!$J$774),0),IF('Eval-Avec impact envisagé'!$A$775=AG16,COUNTA('Eval-Avec impact envisagé'!$J$775),0),IF('Eval-Avec impact envisagé'!$A$776=AG16,COUNTA('Eval-Avec impact envisagé'!$J$776),0),IF('Eval-Avec impact envisagé'!$A$777=AG16,COUNTA('Eval-Avec impact envisagé'!$J$777),0),IF('Eval-Avec impact envisagé'!$A$778=AG16,COUNTA('Eval-Avec impact envisagé'!$J$778),0),IF('Eval-Avec impact envisagé'!$A$779=AG16,COUNTA('Eval-Avec impact envisagé'!$J$779),0),IF('Eval-Avec impact envisagé'!$A$780=AG16,COUNTA('Eval-Avec impact envisagé'!$J$780),0))&gt;0,"X",0),"")</f>
        <v/>
      </c>
      <c r="AN16" s="213" t="str">
        <f>IF(COUNTIF('Eval-Avec impact envisagé'!$A$761:$A$780,AG16)&gt;0,IF(SUM(IF('Eval-Avec impact envisagé'!$A$761=AG16,COUNTA('Eval-Avec impact envisagé'!$K$761),0),IF('Eval-Avec impact envisagé'!$A$762=AG16,COUNTA('Eval-Avec impact envisagé'!$K$762),0),IF('Eval-Avec impact envisagé'!$A$763=AG16,COUNTA('Eval-Avec impact envisagé'!$K$763),0),IF('Eval-Avec impact envisagé'!$A$764=AG16,COUNTA('Eval-Avec impact envisagé'!$K$764),0),IF('Eval-Avec impact envisagé'!$A$765=AG16,COUNTA('Eval-Avec impact envisagé'!$K$765),0),IF('Eval-Avec impact envisagé'!$A$766=AG16,COUNTA('Eval-Avec impact envisagé'!$K$766),0),IF('Eval-Avec impact envisagé'!$A$767=AG16,COUNTA('Eval-Avec impact envisagé'!$K$767),0),IF('Eval-Avec impact envisagé'!$A$768=AG16,COUNTA('Eval-Avec impact envisagé'!$K$768),0),IF('Eval-Avec impact envisagé'!$A$769=AG16,COUNTA('Eval-Avec impact envisagé'!$K$769),0),IF('Eval-Avec impact envisagé'!$A$770=AG16,COUNTA('Eval-Avec impact envisagé'!$K$770),0),IF('Eval-Avec impact envisagé'!$A$771=AG16,COUNTA('Eval-Avec impact envisagé'!$K$771),0),IF('Eval-Avec impact envisagé'!$A$772=AG16,COUNTA('Eval-Avec impact envisagé'!$K$772),0),IF('Eval-Avec impact envisagé'!$A$773=AG16,COUNTA('Eval-Avec impact envisagé'!$K$773),0),IF('Eval-Avec impact envisagé'!$A$774=AG16,COUNTA('Eval-Avec impact envisagé'!$K$774),0),IF('Eval-Avec impact envisagé'!$A$775=AG16,COUNTA('Eval-Avec impact envisagé'!$K$775),0),IF('Eval-Avec impact envisagé'!$A$776=AG16,COUNTA('Eval-Avec impact envisagé'!$K$776),0),IF('Eval-Avec impact envisagé'!$A$777=AG16,COUNTA('Eval-Avec impact envisagé'!$K$777),0),IF('Eval-Avec impact envisagé'!$A$778=AG16,COUNTA('Eval-Avec impact envisagé'!$K$778),0),IF('Eval-Avec impact envisagé'!$A$779=AG16,COUNTA('Eval-Avec impact envisagé'!$K$779),0),IF('Eval-Avec impact envisagé'!$A$780=AG16,COUNTA('Eval-Avec impact envisagé'!$K$780),0))&gt;0,"X",0),"")</f>
        <v/>
      </c>
      <c r="AO16" s="211" t="str">
        <f>IF(COUNTIF('Eval-Avec impact envisagé'!$A$761:$A$780,AG16)&gt;0,IF(OR(AND('Eval-Avec impact envisagé'!$A$761=AG16,'Eval-Avec impact envisagé'!$L$761&lt;120,'Eval-Avec impact envisagé'!$L$761&gt;=BD9),AND('Eval-Avec impact envisagé'!$A$762=AG16,'Eval-Avec impact envisagé'!$L$762&lt;120,'Eval-Avec impact envisagé'!$L$762&gt;=BD10),AND('Eval-Avec impact envisagé'!$A$763=AG16,'Eval-Avec impact envisagé'!$L$763&lt;120,'Eval-Avec impact envisagé'!$L$763&gt;=BD11),AND('Eval-Avec impact envisagé'!$A$764=AG16,'Eval-Avec impact envisagé'!$L$764&lt;120,'Eval-Avec impact envisagé'!$L$764&gt;=BD12),AND('Eval-Avec impact envisagé'!$A$765=AG16,'Eval-Avec impact envisagé'!$L$765&lt;120,'Eval-Avec impact envisagé'!$L$765&gt;=BD13),AND('Eval-Avec impact envisagé'!$A$766=AG16,'Eval-Avec impact envisagé'!$L$766&lt;120,'Eval-Avec impact envisagé'!$L$766&gt;=BD14),AND('Eval-Avec impact envisagé'!$A$767=AG16,'Eval-Avec impact envisagé'!$L$767&lt;120,'Eval-Avec impact envisagé'!$L$767&gt;=BD15),AND('Eval-Avec impact envisagé'!$A$768=AG16,'Eval-Avec impact envisagé'!$L$768&lt;120,'Eval-Avec impact envisagé'!$L$768&gt;=BD16),AND('Eval-Avec impact envisagé'!$A$769=AG16,'Eval-Avec impact envisagé'!$L$769&lt;120,'Eval-Avec impact envisagé'!$L$769&gt;=BD17),AND('Eval-Avec impact envisagé'!$A$770=AG16,'Eval-Avec impact envisagé'!$L$770&lt;120,'Eval-Avec impact envisagé'!$L$770&gt;=BD18),AND('Eval-Avec impact envisagé'!$A$771=AG16,'Eval-Avec impact envisagé'!$L$771&lt;120,'Eval-Avec impact envisagé'!$L$771&gt;=BD19),AND('Eval-Avec impact envisagé'!$A$772=AG16,'Eval-Avec impact envisagé'!$L$772&lt;120,'Eval-Avec impact envisagé'!$L$772&gt;=BD20),AND('Eval-Avec impact envisagé'!$A$773=AG16,'Eval-Avec impact envisagé'!$L$773&lt;120,'Eval-Avec impact envisagé'!$L$773&gt;=BD21),AND('Eval-Avec impact envisagé'!$A$774=AG16,'Eval-Avec impact envisagé'!$L$774&lt;120,'Eval-Avec impact envisagé'!$L$774&gt;=BD22),AND('Eval-Avec impact envisagé'!$A$775=AG16,'Eval-Avec impact envisagé'!$L$775&lt;120,'Eval-Avec impact envisagé'!$L$775&gt;=BD23),AND('Eval-Avec impact envisagé'!$A$776=AG16,'Eval-Avec impact envisagé'!$L$776&lt;120,'Eval-Avec impact envisagé'!$L$776&gt;=BD24),AND('Eval-Avec impact envisagé'!$A$777=AG16,'Eval-Avec impact envisagé'!$L$777&lt;120,'Eval-Avec impact envisagé'!$L$777&gt;=BD25),AND('Eval-Avec impact envisagé'!$A$778=AG16,'Eval-Avec impact envisagé'!$L$778&lt;120,'Eval-Avec impact envisagé'!$L$778&gt;=BD26),AND('Eval-Avec impact envisagé'!$A$779=AG16,'Eval-Avec impact envisagé'!$L$779&lt;120,'Eval-Avec impact envisagé'!$L$779&gt;=BD27),AND('Eval-Avec impact envisagé'!$A$780=AG16,'Eval-Avec impact envisagé'!$L$780&lt;120,'Eval-Avec impact envisagé'!$L$780&gt;=BD28)),"",SUM(IF('Eval-Avec impact envisagé'!$A$761=AG16,'Eval-Avec impact envisagé'!$L$761,0),IF('Eval-Avec impact envisagé'!$A$762=AG16,'Eval-Avec impact envisagé'!$L$762,0),IF('Eval-Avec impact envisagé'!$A$763=AG16,'Eval-Avec impact envisagé'!$L$763,0),IF('Eval-Avec impact envisagé'!$A$764=AG16,'Eval-Avec impact envisagé'!$L$764,0),IF('Eval-Avec impact envisagé'!$A$765=AG16,'Eval-Avec impact envisagé'!$L$765,0),IF('Eval-Avec impact envisagé'!$A$766=AG16,'Eval-Avec impact envisagé'!$L$766,0),IF('Eval-Avec impact envisagé'!$A$767=AG16,'Eval-Avec impact envisagé'!$L$767,0),IF('Eval-Avec impact envisagé'!$A$768=AG16,'Eval-Avec impact envisagé'!$L$768,0),IF('Eval-Avec impact envisagé'!$A$769=AG16,'Eval-Avec impact envisagé'!$L$769,0),IF('Eval-Avec impact envisagé'!$A$770=AG16,'Eval-Avec impact envisagé'!$L$770,0),IF('Eval-Avec impact envisagé'!$A$771=AG16,'Eval-Avec impact envisagé'!$L$771,0),IF('Eval-Avec impact envisagé'!$A$772=AG16,'Eval-Avec impact envisagé'!$L$772,0),IF('Eval-Avec impact envisagé'!$A$773=AG16,'Eval-Avec impact envisagé'!$L$773,0),IF('Eval-Avec impact envisagé'!$A$774=AG16,'Eval-Avec impact envisagé'!$L$774,0),IF('Eval-Avec impact envisagé'!$A$775=AG16,'Eval-Avec impact envisagé'!$L$775,0),IF('Eval-Avec impact envisagé'!$A$776=AG16,'Eval-Avec impact envisagé'!$L$776,0),IF('Eval-Avec impact envisagé'!$A$777=AG16,'Eval-Avec impact envisagé'!$L$777,0),IF('Eval-Avec impact envisagé'!$A$778=AG16,'Eval-Avec impact envisagé'!$L$778,0),IF('Eval-Avec impact envisagé'!$A$779=AG16,'Eval-Avec impact envisagé'!$L$779,0),IF('Eval-Avec impact envisagé'!$A$780=AG16,'Eval-Avec impact envisagé'!$L$780,0))/ COUNTIF('Eval-Avec impact envisagé'!$A$761:$A$780,AG16)),"")</f>
        <v/>
      </c>
      <c r="AP16" s="211" t="str">
        <f>IF(COUNTIF('Eval-Avec impact envisagé'!$A$761:$A$780,AG16)&gt;0,IF(OR(AND('Eval-Avec impact envisagé'!$A$761=AG16, BD9&lt;120),AND(BD10&lt;120),AND(BD11&lt;120),AND(BD12&lt;120),AND(BD13&lt;120),AND(BD14&lt;120),AND(BD15&lt;120),AND(BD16&lt;120),AND(BD17&lt;120),AND(BD18&lt;120),AND(BD19&lt;120),AND(BD20&lt;120),AND(BD21&lt;120),AND(BD22&lt;120),AND(BD23&lt;120),AND(BD24&lt;120),AND(BD25&lt;120),AND(BD26&lt;120),AND(BD27&lt;120),AND(BD28&lt;120)),"",SUM(IF('Eval-Avec impact envisagé'!$A$761=AG16,'Eval-Avec impact envisagé'!$M$761,0),IF('Eval-Avec impact envisagé'!$A$762=AG16,'Eval-Avec impact envisagé'!$M$762,0),IF('Eval-Avec impact envisagé'!$A$763=AG16,'Eval-Avec impact envisagé'!$M$763,0),IF('Eval-Avec impact envisagé'!$A$764=AG16,'Eval-Avec impact envisagé'!$M$764,0),IF('Eval-Avec impact envisagé'!$A$765=AG16,'Eval-Avec impact envisagé'!$M$765,0),IF('Eval-Avec impact envisagé'!$A$766=AG16,'Eval-Avec impact envisagé'!$M$766,0),IF('Eval-Avec impact envisagé'!$A$767=AG16,'Eval-Avec impact envisagé'!$M$767,0),IF('Eval-Avec impact envisagé'!$A$768=AG16,'Eval-Avec impact envisagé'!$M$768,0),IF('Eval-Avec impact envisagé'!$A$769=AG16,'Eval-Avec impact envisagé'!$M$769,0),IF('Eval-Avec impact envisagé'!$A$770=AG16,'Eval-Avec impact envisagé'!$M$770,0),IF('Eval-Avec impact envisagé'!$A$771=AG16,'Eval-Avec impact envisagé'!$M$771,0),IF('Eval-Avec impact envisagé'!$A$772=AG16,'Eval-Avec impact envisagé'!$M$772,0),IF('Eval-Avec impact envisagé'!$A$773=AG16,'Eval-Avec impact envisagé'!$M$773,0),IF('Eval-Avec impact envisagé'!$A$774=AG16,'Eval-Avec impact envisagé'!$M$774,0),IF('Eval-Avec impact envisagé'!$A$775=AG16,'Eval-Avec impact envisagé'!$M$775,0), IF('Eval-Avec impact envisagé'!$A$776=AG16,'Eval-Avec impact envisagé'!$M$776,0), IF('Eval-Avec impact envisagé'!$A$777=AG16,'Eval-Avec impact envisagé'!$M$777,0), IF('Eval-Avec impact envisagé'!$A$778=AG16,'Eval-Avec impact envisagé'!$M$778,0), IF('Eval-Avec impact envisagé'!$A$779=AG16,'Eval-Avec impact envisagé'!$M$779,0), IF('Eval-Avec impact envisagé'!$A$780=AG16,'Eval-Avec impact envisagé'!$M$780,0))/COUNTIF('Eval-Avec impact envisagé'!$A$761:$A$780,AG16)),"")</f>
        <v/>
      </c>
      <c r="AQ16" s="211" t="str">
        <f>IF(COUNTIF('Eval-Avec impact envisagé'!$A$761:$A$780,AG16)&gt;0,SUM(IF('Eval-Avec impact envisagé'!$A$761=AG16,LEN(SUBSTITUTE((SUBSTITUTE(BF9,"TM","")),"TS",""))*10/2,0),IF('Eval-Avec impact envisagé'!$A$762=AG16,LEN(SUBSTITUTE((SUBSTITUTE(BF10,"TM","")),"TS",""))*10/2,0),IF('Eval-Avec impact envisagé'!$A$763=AG16,LEN(SUBSTITUTE((SUBSTITUTE(BF11,"TM","")),"TS",""))*10/2,0),IF('Eval-Avec impact envisagé'!$A$764=AG16,LEN(SUBSTITUTE((SUBSTITUTE(BF12,"TM","")),"TS",""))*10/2,0),IF('Eval-Avec impact envisagé'!$A$765=AG16,LEN(SUBSTITUTE((SUBSTITUTE(BF13,"TM","")),"TS",""))*10/2,0),IF('Eval-Avec impact envisagé'!$A$766=AG16,LEN(SUBSTITUTE((SUBSTITUTE(BF14,"TM","")),"TS",""))*10/2,0),IF('Eval-Avec impact envisagé'!$A$767=AG16,LEN(SUBSTITUTE((SUBSTITUTE(BF15,"TM","")),"TS",""))*10/2,0),IF('Eval-Avec impact envisagé'!$A$768=AG16,LEN(SUBSTITUTE((SUBSTITUTE(BF16,"TM","")),"TS",""))*10/2,0),IF('Eval-Avec impact envisagé'!$A$769=AG16,LEN(SUBSTITUTE((SUBSTITUTE(BF17,"TM","")),"TS",""))*10/2,0),IF('Eval-Avec impact envisagé'!$A$770=AG16,LEN(SUBSTITUTE((SUBSTITUTE(BF18,"TM","")),"TS",""))*10/2,0),IF('Eval-Avec impact envisagé'!$A$771=AG16,LEN(SUBSTITUTE((SUBSTITUTE(BF19,"TM","")),"TS",""))*10/2,0),IF('Eval-Avec impact envisagé'!$A$772=AG16,LEN(SUBSTITUTE((SUBSTITUTE(BF20,"TM","")),"TS",""))*10/2,0),IF('Eval-Avec impact envisagé'!$A$773=AG16,LEN(SUBSTITUTE((SUBSTITUTE(BF21,"TM","")),"TS",""))*10/2,0),IF('Eval-Avec impact envisagé'!$A$774=AG16,LEN(SUBSTITUTE((SUBSTITUTE(BF22,"TM","")),"TS",""))*10/2,0),IF('Eval-Avec impact envisagé'!$A$775=AG16,LEN(SUBSTITUTE((SUBSTITUTE(BF23,"TM","")),"TS",""))*10/2,0),IF('Eval-Avec impact envisagé'!$A$776=AG16,LEN(SUBSTITUTE((SUBSTITUTE(BF24,"TM","")),"TS",""))*10/2,0),IF('Eval-Avec impact envisagé'!$A$777=AG16,LEN(SUBSTITUTE((SUBSTITUTE(BF25,"TM","")),"TS",""))*10/2,0),IF('Eval-Avec impact envisagé'!$A$778=AG16,LEN(SUBSTITUTE((SUBSTITUTE(BF26,"TM","")),"TS",""))*10/2,0),IF('Eval-Avec impact envisagé'!$A$779=AG16,LEN(SUBSTITUTE((SUBSTITUTE(BF27,"TM","")),"TS",""))*10/2,0),IF('Eval-Avec impact envisagé'!$A$780=AG16,LEN(SUBSTITUTE((SUBSTITUTE(BF28,"TM","")),"TS",""))*10/2,0))/COUNTIF('Eval-Avec impact envisagé'!$A$761:$A$780,AG16),"")</f>
        <v/>
      </c>
      <c r="AR16" s="211" t="str">
        <f>IF(COUNTIF('Eval-Avec impact envisagé'!$A$761:$A$780,AG16)&gt;0,SUM(IF('Eval-Avec impact envisagé'!$A$761=AG16,LEN(SUBSTITUTE((SUBSTITUTE(BF9,"TF","")),"TS",""))*10/2,0),IF('Eval-Avec impact envisagé'!$A$762=AG16,LEN(SUBSTITUTE((SUBSTITUTE(BF10,"TF","")),"TS",""))*10/2,0),IF('Eval-Avec impact envisagé'!$A$763=AG16,LEN(SUBSTITUTE((SUBSTITUTE(BF11,"TF","")),"TS",""))*10/2,0),IF('Eval-Avec impact envisagé'!$A$764=AG16,LEN(SUBSTITUTE((SUBSTITUTE(BF12,"TF","")),"TS",""))*10/2,0),IF('Eval-Avec impact envisagé'!$A$765=AG16,LEN(SUBSTITUTE((SUBSTITUTE(BF13,"TF","")),"TS",""))*10/2,0),IF('Eval-Avec impact envisagé'!$A$766=AG16,LEN(SUBSTITUTE((SUBSTITUTE(BF14,"TF","")),"TS",""))*10/2,0),IF('Eval-Avec impact envisagé'!$A$767=AG16,LEN(SUBSTITUTE((SUBSTITUTE(BF15,"TF","")),"TS",""))*10/2,0),IF('Eval-Avec impact envisagé'!$A$768=AG16,LEN(SUBSTITUTE((SUBSTITUTE(BF16,"TF","")),"TS",""))*10/2,0),IF('Eval-Avec impact envisagé'!$A$769=AG16,LEN(SUBSTITUTE((SUBSTITUTE(BF17,"TF","")),"TS",""))*10/2,0),IF('Eval-Avec impact envisagé'!$A$770=AG16,LEN(SUBSTITUTE((SUBSTITUTE(BF18,"TF","")),"TS",""))*10/2,0),IF('Eval-Avec impact envisagé'!$A$771=AG16,LEN(SUBSTITUTE((SUBSTITUTE(BF19,"TF","")),"TS",""))*10/2,0),IF('Eval-Avec impact envisagé'!$A$772=AG16,LEN(SUBSTITUTE((SUBSTITUTE(BF20,"TF","")),"TS",""))*10/2,0),IF('Eval-Avec impact envisagé'!$A$773=AG16,LEN(SUBSTITUTE((SUBSTITUTE(BF21,"TF","")),"TS",""))*10/2,0),IF('Eval-Avec impact envisagé'!$A$774=AG16,LEN(SUBSTITUTE((SUBSTITUTE(BF22,"TF","")),"TS",""))*10/2,0),IF('Eval-Avec impact envisagé'!$A$775=AG16,LEN(SUBSTITUTE((SUBSTITUTE(BF23,"TF","")),"TS",""))*10/2,0),IF('Eval-Avec impact envisagé'!$A$776=AG16,LEN(SUBSTITUTE((SUBSTITUTE(BF24,"TF","")),"TS",""))*10/2,0),IF('Eval-Avec impact envisagé'!$A$777=AG16,LEN(SUBSTITUTE((SUBSTITUTE(BF25,"TF","")),"TS",""))*10/2,0),IF('Eval-Avec impact envisagé'!$A$778=AG16,LEN(SUBSTITUTE((SUBSTITUTE(BF26,"TF","")),"TS",""))*10/2,0),IF('Eval-Avec impact envisagé'!$A$779=AG16,LEN(SUBSTITUTE((SUBSTITUTE(BF27,"TF","")),"TS",""))*10/2,0),IF('Eval-Avec impact envisagé'!$A$780=AG16,LEN(SUBSTITUTE((SUBSTITUTE(BF28,"TF","")),"TS",""))*10/2,0))/COUNTIF('Eval-Avec impact envisagé'!$A$761:$A$780,AG16),"")</f>
        <v/>
      </c>
      <c r="AS16" s="211" t="str">
        <f>IF(COUNTIF('Eval-Avec impact envisagé'!$A$761:$A$780,AG16)&gt;0,SUM(IF('Eval-Avec impact envisagé'!$A$761=AG16,LEN(SUBSTITUTE((SUBSTITUTE(BF9,"TF","")),"TM",""))*10/2,0),IF('Eval-Avec impact envisagé'!$A$762=AG16,LEN(SUBSTITUTE((SUBSTITUTE(BF10,"TF","")),"TM",""))*10/2,0),IF('Eval-Avec impact envisagé'!$A$763=AG16,LEN(SUBSTITUTE((SUBSTITUTE(BF11,"TF","")),"TM",""))*10/2,0),IF('Eval-Avec impact envisagé'!$A$764=AG16,LEN(SUBSTITUTE((SUBSTITUTE(BF12,"TF","")),"TM",""))*10/2,0),IF('Eval-Avec impact envisagé'!$A$765=AG16,LEN(SUBSTITUTE((SUBSTITUTE(BF13,"TF","")),"TM",""))*10/2,0),IF('Eval-Avec impact envisagé'!$A$766=AG16,LEN(SUBSTITUTE((SUBSTITUTE(BF14,"TF","")),"TM",""))*10/2,0),IF('Eval-Avec impact envisagé'!$A$767=AG16,LEN(SUBSTITUTE((SUBSTITUTE(BF15,"TF","")),"TM",""))*10/2,0),IF('Eval-Avec impact envisagé'!$A$768=AG16,LEN(SUBSTITUTE((SUBSTITUTE(BF16,"TF","")),"TM",""))*10/2,0),IF('Eval-Avec impact envisagé'!$A$769=AG16,LEN(SUBSTITUTE((SUBSTITUTE(BF17,"TF","")),"TM",""))*10/2,0),IF('Eval-Avec impact envisagé'!$A$770=AG16,LEN(SUBSTITUTE((SUBSTITUTE(BF18,"TF","")),"TM",""))*10/2,0),IF('Eval-Avec impact envisagé'!$A$771=AG16,LEN(SUBSTITUTE((SUBSTITUTE(BF19,"TF","")),"TM",""))*10/2,0),IF('Eval-Avec impact envisagé'!$A$772=AG16,LEN(SUBSTITUTE((SUBSTITUTE(BF20,"TF","")),"TM",""))*10/2,0),IF('Eval-Avec impact envisagé'!$A$773=AG16,LEN(SUBSTITUTE((SUBSTITUTE(BF21,"TF","")),"TM",""))*10/2,0),IF('Eval-Avec impact envisagé'!$A$774=AG16,LEN(SUBSTITUTE((SUBSTITUTE(BF22,"TF","")),"TM",""))*10/2,0),IF('Eval-Avec impact envisagé'!$A$775=AG16,LEN(SUBSTITUTE((SUBSTITUTE(BF23,"TF","")),"TM",""))*10/2,0),IF('Eval-Avec impact envisagé'!$A$776=AG16,LEN(SUBSTITUTE((SUBSTITUTE(BF24,"TF","")),"TM",""))*10/2,0),IF('Eval-Avec impact envisagé'!$A$777=AG16,LEN(SUBSTITUTE((SUBSTITUTE(BF25,"TF","")),"TM",""))*10/2,0),IF('Eval-Avec impact envisagé'!$A$778=AG16,LEN(SUBSTITUTE((SUBSTITUTE(BF26,"TF","")),"TM",""))*10/2,0),IF('Eval-Avec impact envisagé'!$A$779=AG16,LEN(SUBSTITUTE((SUBSTITUTE(BF27,"TF","")),"TM",""))*10/2,0),IF('Eval-Avec impact envisagé'!$A$780=AG16,LEN(SUBSTITUTE((SUBSTITUTE(BF28,"TF","")),"TM",""))*10/2,0))/COUNTIF('Eval-Avec impact envisagé'!$A$761:$A$780,AG16),"")</f>
        <v/>
      </c>
      <c r="AT16" s="211" t="str">
        <f>IF(COUNTIF('Eval-Avec impact envisagé'!$A$761:$A$780,AG16)&gt;0,SUM(IF('Eval-Avec impact envisagé'!$A$761=AG16,LEN(SUBSTITUTE((SUBSTITUTE(BG9,"TM","")),"TS",""))*10/2,0),IF('Eval-Avec impact envisagé'!$A$762=AG16,LEN(SUBSTITUTE((SUBSTITUTE(BG10,"TM","")),"TS",""))*10/2,0),IF('Eval-Avec impact envisagé'!$A$763=AG16,LEN(SUBSTITUTE((SUBSTITUTE(BG11,"TM","")),"TS",""))*10/2,0),IF('Eval-Avec impact envisagé'!$A$764=AG16,LEN(SUBSTITUTE((SUBSTITUTE(BG12,"TM","")),"TS",""))*10/2,0),IF('Eval-Avec impact envisagé'!$A$765=AG16,LEN(SUBSTITUTE((SUBSTITUTE(BG13,"TM","")),"TS",""))*10/2,0),IF('Eval-Avec impact envisagé'!$A$766=AG16,LEN(SUBSTITUTE((SUBSTITUTE(BG14,"TM","")),"TS",""))*10/2,0),IF('Eval-Avec impact envisagé'!$A$767=AG16,LEN(SUBSTITUTE((SUBSTITUTE(BG15,"TM","")),"TS",""))*10/2,0),IF('Eval-Avec impact envisagé'!$A$768=AG16,LEN(SUBSTITUTE((SUBSTITUTE(BG16,"TM","")),"TS",""))*10/2,0),IF('Eval-Avec impact envisagé'!$A$769=AG16,LEN(SUBSTITUTE((SUBSTITUTE(BG17,"TM","")),"TS",""))*10/2,0),IF('Eval-Avec impact envisagé'!$A$770=AG16,LEN(SUBSTITUTE((SUBSTITUTE(BG18,"TM","")),"TS",""))*10/2,0),IF('Eval-Avec impact envisagé'!$A$771=AG16,LEN(SUBSTITUTE((SUBSTITUTE(BG19,"TM","")),"TS",""))*10/2,0),IF('Eval-Avec impact envisagé'!$A$772=AG16,LEN(SUBSTITUTE((SUBSTITUTE(BG20,"TM","")),"TS",""))*10/2,0),IF('Eval-Avec impact envisagé'!$A$773=AG16,LEN(SUBSTITUTE((SUBSTITUTE(BG21,"TM","")),"TS",""))*10/2,0),IF('Eval-Avec impact envisagé'!$A$774=AG16,LEN(SUBSTITUTE((SUBSTITUTE(BG22,"TM","")),"TS",""))*10/2,0),IF('Eval-Avec impact envisagé'!$A$775=AG16,LEN(SUBSTITUTE((SUBSTITUTE(BG23,"TM","")),"TS",""))*10/2,0),IF('Eval-Avec impact envisagé'!$A$776=AG16,LEN(SUBSTITUTE((SUBSTITUTE(BG24,"TM","")),"TS",""))*10/2,0),IF('Eval-Avec impact envisagé'!$A$777=AG16,LEN(SUBSTITUTE((SUBSTITUTE(BG25,"TM","")),"TS",""))*10/2,0),IF('Eval-Avec impact envisagé'!$A$778=AG16,LEN(SUBSTITUTE((SUBSTITUTE(BG26,"TM","")),"TS",""))*10/2,0),IF('Eval-Avec impact envisagé'!$A$779=AG16,LEN(SUBSTITUTE((SUBSTITUTE(BG27,"TM","")),"TS",""))*10/2,0),IF('Eval-Avec impact envisagé'!$A$780=AG16,LEN(SUBSTITUTE((SUBSTITUTE(BG28,"TM","")),"TS",""))*10/2,0))/COUNTIF('Eval-Avec impact envisagé'!$A$761:$A$780,AG16),"")</f>
        <v/>
      </c>
      <c r="AU16" s="211" t="str">
        <f>IF(COUNTIF('Eval-Avec impact envisagé'!$A$761:$A$780,AG16)&gt;0,SUM(IF('Eval-Avec impact envisagé'!$A$761=AG16,LEN(SUBSTITUTE((SUBSTITUTE(BG9,"TF","")),"TS",""))*10/2,0),IF('Eval-Avec impact envisagé'!$A$762=AG16,LEN(SUBSTITUTE((SUBSTITUTE(BG10,"TF","")),"TS",""))*10/2,0),IF('Eval-Avec impact envisagé'!$A$763=AG16,LEN(SUBSTITUTE((SUBSTITUTE(BG11,"TF","")),"TS",""))*10/2,0),IF('Eval-Avec impact envisagé'!$A$764=AG16,LEN(SUBSTITUTE((SUBSTITUTE(BG12,"TF","")),"TS",""))*10/2,0),IF('Eval-Avec impact envisagé'!$A$765=AG16,LEN(SUBSTITUTE((SUBSTITUTE(BG13,"TF","")),"TS",""))*10/2,0),IF('Eval-Avec impact envisagé'!$A$766=AG16,LEN(SUBSTITUTE((SUBSTITUTE(BG14,"TF","")),"TS",""))*10/2,0),IF('Eval-Avec impact envisagé'!$A$767=AG16,LEN(SUBSTITUTE((SUBSTITUTE(BG15,"TF","")),"TS",""))*10/2,0),IF('Eval-Avec impact envisagé'!$A$768=AG16,LEN(SUBSTITUTE((SUBSTITUTE(BG16,"TF","")),"TS",""))*10/2,0),IF('Eval-Avec impact envisagé'!$A$769=AG16,LEN(SUBSTITUTE((SUBSTITUTE(BG17,"TF","")),"TS",""))*10/2,0),IF('Eval-Avec impact envisagé'!$A$770=AG16,LEN(SUBSTITUTE((SUBSTITUTE(BG18,"TF","")),"TS",""))*10/2,0),IF('Eval-Avec impact envisagé'!$A$771=AG16,LEN(SUBSTITUTE((SUBSTITUTE(BG19,"TF","")),"TS",""))*10/2,0),IF('Eval-Avec impact envisagé'!$A$772=AG16,LEN(SUBSTITUTE((SUBSTITUTE(BG20,"TF","")),"TS",""))*10/2,0),IF('Eval-Avec impact envisagé'!$A$773=AG16,LEN(SUBSTITUTE((SUBSTITUTE(BG21,"TF","")),"TS",""))*10/2,0),IF('Eval-Avec impact envisagé'!$A$774=AG16,LEN(SUBSTITUTE((SUBSTITUTE(BG22,"TF","")),"TS",""))*10/2,0),IF('Eval-Avec impact envisagé'!$A$775=AG16,LEN(SUBSTITUTE((SUBSTITUTE(BG23,"TF","")),"TS",""))*10/2,0),IF('Eval-Avec impact envisagé'!$A$776=AG16,LEN(SUBSTITUTE((SUBSTITUTE(BG24,"TF","")),"TS",""))*10/2,0),IF('Eval-Avec impact envisagé'!$A$777=AG16,LEN(SUBSTITUTE((SUBSTITUTE(BG25,"TF","")),"TS",""))*10/2,0),IF('Eval-Avec impact envisagé'!$A$778=AG16,LEN(SUBSTITUTE((SUBSTITUTE(BG26,"TF","")),"TS",""))*10/2,0),IF('Eval-Avec impact envisagé'!$A$779=AG16,LEN(SUBSTITUTE((SUBSTITUTE(BG27,"TF","")),"TS",""))*10/2,0),IF('Eval-Avec impact envisagé'!$A$780=AG16,LEN(SUBSTITUTE((SUBSTITUTE(BG28,"TF","")),"TS",""))*10/2,0))/COUNTIF('Eval-Avec impact envisagé'!$A$761:$A$780,AG16),"")</f>
        <v/>
      </c>
      <c r="AV16" s="211" t="str">
        <f>IF(COUNTIF('Eval-Avec impact envisagé'!$A$761:$A$780,AG16)&gt;0,SUM(IF('Eval-Avec impact envisagé'!$A$761=AG16,LEN(SUBSTITUTE((SUBSTITUTE(BG9,"TF","")),"TM",""))*10/2,0),IF('Eval-Avec impact envisagé'!$A$762=AG16,LEN(SUBSTITUTE((SUBSTITUTE(BG10,"TF","")),"TM",""))*10/2,0),IF('Eval-Avec impact envisagé'!$A$763=AG16,LEN(SUBSTITUTE((SUBSTITUTE(BG11,"TF","")),"TM",""))*10/2,0),IF('Eval-Avec impact envisagé'!$A$764=AG16,LEN(SUBSTITUTE((SUBSTITUTE(BG12,"TF","")),"TM",""))*10/2,0),IF('Eval-Avec impact envisagé'!$A$765=AG16,LEN(SUBSTITUTE((SUBSTITUTE(BG13,"TF","")),"TM",""))*10/2,0),IF('Eval-Avec impact envisagé'!$A$766=AG16,LEN(SUBSTITUTE((SUBSTITUTE(BG14,"TF","")),"TM",""))*10/2,0),IF('Eval-Avec impact envisagé'!$A$767=AG16,LEN(SUBSTITUTE((SUBSTITUTE(BG15,"TF","")),"TM",""))*10/2,0),IF('Eval-Avec impact envisagé'!$A$768=AG16,LEN(SUBSTITUTE((SUBSTITUTE(BG16,"TF","")),"TM",""))*10/2,0),IF('Eval-Avec impact envisagé'!$A$769=AG16,LEN(SUBSTITUTE((SUBSTITUTE(BG17,"TF","")),"TM",""))*10/2,0),IF('Eval-Avec impact envisagé'!$A$770=AG16,LEN(SUBSTITUTE((SUBSTITUTE(BG18,"TF","")),"TM",""))*10/2,0),IF('Eval-Avec impact envisagé'!$A$771=AG16,LEN(SUBSTITUTE((SUBSTITUTE(BG19,"TF","")),"TM",""))*10/2,0),IF('Eval-Avec impact envisagé'!$A$772=AG16,LEN(SUBSTITUTE((SUBSTITUTE(BG20,"TF","")),"TM",""))*10/2,0),IF('Eval-Avec impact envisagé'!$A$773=AG16,LEN(SUBSTITUTE((SUBSTITUTE(BG21,"TF","")),"TM",""))*10/2,0),IF('Eval-Avec impact envisagé'!$A$774=AG16,LEN(SUBSTITUTE((SUBSTITUTE(BG22,"TF","")),"TM",""))*10/2,0),IF('Eval-Avec impact envisagé'!$A$775=AG16,LEN(SUBSTITUTE((SUBSTITUTE(BG23,"TF","")),"TM",""))*10/2,0),IF('Eval-Avec impact envisagé'!$A$776=AG16,LEN(SUBSTITUTE((SUBSTITUTE(BG24,"TF","")),"TM",""))*10/2,0),IF('Eval-Avec impact envisagé'!$A$777=AG16,LEN(SUBSTITUTE((SUBSTITUTE(BG25,"TF","")),"TM",""))*10/2,0),IF('Eval-Avec impact envisagé'!$A$778=AG16,LEN(SUBSTITUTE((SUBSTITUTE(BG26,"TF","")),"TM",""))*10/2,0),IF('Eval-Avec impact envisagé'!$A$779=AG16,LEN(SUBSTITUTE((SUBSTITUTE(BG27,"TF","")),"TM",""))*10/2,0),IF('Eval-Avec impact envisagé'!$A$780=AG16,LEN(SUBSTITUTE((SUBSTITUTE(BG28,"TF","")),"TM",""))*10/2,0))/COUNTIF('Eval-Avec impact envisagé'!$A$761:$A$780,AG16),"")</f>
        <v/>
      </c>
      <c r="AW16" s="211" t="str">
        <f>IF(COUNTIF('Eval-Avec impact envisagé'!$A$761:$A$780,AG16)&gt;0,IF(OR(AND('Eval-Avec impact envisagé'!$A$761=AG16,BD9&lt;30),AND('Eval-Avec impact envisagé'!$A$762=AG16,BD10&lt;30),AND('Eval-Avec impact envisagé'!$A$763=AG16,BD11&lt;30),AND('Eval-Avec impact envisagé'!$A$764=AG16,BD12&lt;30),AND('Eval-Avec impact envisagé'!$A$765=AG16,BD13&lt;30),AND('Eval-Avec impact envisagé'!$A$766=AG16,BD14&lt;30),AND('Eval-Avec impact envisagé'!$A$767=AG16,BD15&lt;30),AND('Eval-Avec impact envisagé'!$A$768=AG16,BD16&lt;30),AND('Eval-Avec impact envisagé'!$A$769=AG16,BD17&lt;30),AND('Eval-Avec impact envisagé'!$A$770=AG16,BD18&lt;30),AND('Eval-Avec impact envisagé'!$A$771=AG16,BD19&lt;30),AND('Eval-Avec impact envisagé'!$A$772=AG16,BD20&lt;30),AND('Eval-Avec impact envisagé'!$A$773=AG16,BD21&lt;30),AND('Eval-Avec impact envisagé'!$A$774=AG16,BD22&lt;30),AND('Eval-Avec impact envisagé'!$A$775=AG16,BD23&lt;30),AND('Eval-Avec impact envisagé'!$A$776=AG16,BD24&lt;30),AND('Eval-Avec impact envisagé'!$A$777=AG16,BD25&lt;30),AND('Eval-Avec impact envisagé'!$A$778=AG16,BD26&lt;30),AND('Eval-Avec impact envisagé'!$A$779=AG16,BD27&lt;30),AND('Eval-Avec impact envisagé'!$A$780=AG16,BD28&lt;30)),"",SUM(0.1*(SUMPRODUCT(('Eval-Avec impact envisagé'!$A$761:$A$780=AG16)*('Eval-Avec impact envisagé'!$N$761:$P$780="A"))+ SUMPRODUCT(('Eval-Avec impact envisagé'!$A$761:$A$780=AG16)*('Eval-Avec impact envisagé'!$N$761:$P$780="AL"))),0.7*(SUMPRODUCT(('Eval-Avec impact envisagé'!$A$761:$A$780=AG16)*('Eval-Avec impact envisagé'!$N$761:$P$780="TF"))+SUMPRODUCT(('Eval-Avec impact envisagé'!$A$761:$A$780=AG16)*('Eval-Avec impact envisagé'!$N$761:$P$780="TM"))+SUMPRODUCT(('Eval-Avec impact envisagé'!$A$761:$A$780=AG16)*('Eval-Avec impact envisagé'!$N$761:$P$780="TS"))),0.4*(SUMPRODUCT(('Eval-Avec impact envisagé'!$A$761:$A$780=AG16)*('Eval-Avec impact envisagé'!$N$761:$P$780="LA"))+SUMPRODUCT(('Eval-Avec impact envisagé'!$A$761:$A$780=AG16)*('Eval-Avec impact envisagé'!$N$761:$P$780="L"))+SUMPRODUCT(('Eval-Avec impact envisagé'!$A$761:$A$780=AG16)*('Eval-Avec impact envisagé'!$N$761:$P$780="LS"))),1*(SUMPRODUCT(('Eval-Avec impact envisagé'!$A$761:$A$780=AG16)*('Eval-Avec impact envisagé'!$N$761:$P$780="SL"))+ SUMPRODUCT(('Eval-Avec impact envisagé'!$A$761:$A$780=AG16)*('Eval-Avec impact envisagé'!$N$761:$P$780="S"))))/(3*COUNTIF('Eval-Avec impact envisagé'!$A$761:$A$780,AG16))),"")</f>
        <v/>
      </c>
      <c r="AX16" s="211" t="str">
        <f>IF(COUNTIF('Eval-Avec impact envisagé'!$A$761:$A$780,AG16)&gt;0,IF(OR(AND('Eval-Avec impact envisagé'!$A$761=AG16,BD9&lt;120),AND('Eval-Avec impact envisagé'!$A$762=AG16,BD10&lt;120),AND('Eval-Avec impact envisagé'!$A$763=AG16,BD11&lt;120),AND('Eval-Avec impact envisagé'!$A$764=AG16,BD12&lt;120),AND('Eval-Avec impact envisagé'!$A$765=AG16,BD13&lt;120),AND('Eval-Avec impact envisagé'!$A$766=AG16,BD14&lt;120),AND('Eval-Avec impact envisagé'!$A$767=AG16,BD15&lt;120),AND('Eval-Avec impact envisagé'!$A$768=AG16,BD16&lt;120),AND('Eval-Avec impact envisagé'!$A$769=AG16,BD17&lt;120),AND('Eval-Avec impact envisagé'!$A$770=AG16,BD18&lt;120),AND('Eval-Avec impact envisagé'!$A$771=AG16,BD19&lt;120),AND('Eval-Avec impact envisagé'!$A$772=AG16,BD20&lt;120),AND('Eval-Avec impact envisagé'!$A$773=AG16,BD21&lt;120),AND('Eval-Avec impact envisagé'!$A$774=AG16,BD22&lt;120),AND('Eval-Avec impact envisagé'!$A$775=AG16,BD23&lt;120),AND('Eval-Avec impact envisagé'!$A$776=AG16,BD24&lt;120),AND('Eval-Avec impact envisagé'!$A$777=AG16,BD25&lt;120),AND('Eval-Avec impact envisagé'!$A$778=AG16,BD26&lt;120),AND('Eval-Avec impact envisagé'!$A$779=AG16,BD27&lt;120),AND('Eval-Avec impact envisagé'!$A$780=AG16,BD28&lt;120)),"",SUM(0.1*(SUMPRODUCT(('Eval-Avec impact envisagé'!$A$761:$A$780=AG16)*('Eval-Avec impact envisagé'!$Q$761:$Y$780="A"))+ SUMPRODUCT(('Eval-Avec impact envisagé'!$A$761:$A$780=AG16)*('Eval-Avec impact envisagé'!$Q$761:$Y$780="AL"))),0.7*(SUMPRODUCT(('Eval-Avec impact envisagé'!$A$761:$A$780=AG16)*('Eval-Avec impact envisagé'!$Q$761:$Y$780="TF"))+SUMPRODUCT(('Eval-Avec impact envisagé'!$A$761:$A$780=AG16)*('Eval-Avec impact envisagé'!$Q$761:$Y$780="TM"))+SUMPRODUCT(('Eval-Avec impact envisagé'!$A$761:$A$780=AG16)*('Eval-Avec impact envisagé'!$Q$761:$Y$780="TS"))),0.4*(SUMPRODUCT(('Eval-Avec impact envisagé'!$A$761:$A$780=AG16)*('Eval-Avec impact envisagé'!$Q$761:$Y$780="LA"))+SUMPRODUCT(('Eval-Avec impact envisagé'!$A$761:$A$780=AG16)*('Eval-Avec impact envisagé'!$Q$761:$Y$780="L"))+SUMPRODUCT(('Eval-Avec impact envisagé'!$A$761:$A$780=AG16)*('Eval-Avec impact envisagé'!$Q$761:$Y$780="LS"))),1*(SUMPRODUCT(('Eval-Avec impact envisagé'!$A$761:$A$780=AG16)*('Eval-Avec impact envisagé'!$Q$761:$Y$780="SL"))+ SUMPRODUCT(('Eval-Avec impact envisagé'!$A$761:$A$780=AG16)*('Eval-Avec impact envisagé'!$Q$761:$Y$780="S"))))/(9*COUNTIF('Eval-Avec impact envisagé'!$A$761:$A$780,AG16))),"")</f>
        <v/>
      </c>
      <c r="AY16" s="211" t="str">
        <f>IF(COUNTIF('Eval-Avec impact envisagé'!$A$761:$A$780,AG16)&gt;0,IF(OR(AND('Eval-Avec impact envisagé'!$A$761=AG16,OR(COUNTIF('Eval-Avec impact envisagé'!$N$761:$P$761,"*T*")&gt;0,BD9&lt;30)),AND('Eval-Avec impact envisagé'!$A$762=AG16,OR(COUNTIF('Eval-Avec impact envisagé'!$N$762:$P$762,"*T*")&gt;0,BD10&lt;30)),AND('Eval-Avec impact envisagé'!$A$763=AG16,OR(COUNTIF('Eval-Avec impact envisagé'!$N$763:$P$763,"*T*")&gt;0,BD11&lt;30)),AND('Eval-Avec impact envisagé'!$A$764=AG16,OR(COUNTIF('Eval-Avec impact envisagé'!$N$764:$P$764,"*T*")&gt;0,BD12&lt;30)),AND('Eval-Avec impact envisagé'!$A$765=AG16,OR(COUNTIF('Eval-Avec impact envisagé'!$N$765:$P$765,"*T*")&gt;0,BD13&lt;30)),AND('Eval-Avec impact envisagé'!$A$766=AG16,OR(COUNTIF('Eval-Avec impact envisagé'!$N$766:$P$766,"*T*")&gt;0,BD14&lt;30)),AND('Eval-Avec impact envisagé'!$A$767=AG16,OR(COUNTIF('Eval-Avec impact envisagé'!$N$767:$P$767,"*T*")&gt;0,BD15&lt;30)),AND('Eval-Avec impact envisagé'!$A$768=AG16,OR(COUNTIF('Eval-Avec impact envisagé'!$N$768:$P$768,"*T*")&gt;0,BD16&lt;30)),AND('Eval-Avec impact envisagé'!$A$769=AG16,OR(COUNTIF('Eval-Avec impact envisagé'!$N$769:$P$769,"*T*")&gt;0,BD17&lt;30)),AND('Eval-Avec impact envisagé'!$A$770=AG16,OR(COUNTIF('Eval-Avec impact envisagé'!$N$770:$P$770,"*T*")&gt;0,BD18&lt;30)),AND('Eval-Avec impact envisagé'!$A$771=AG16,OR(COUNTIF('Eval-Avec impact envisagé'!$N$771:$P$771,"*T*")&gt;0,BD19&lt;30)),AND('Eval-Avec impact envisagé'!$A$772=AG16,OR(COUNTIF('Eval-Avec impact envisagé'!$N$772:$P$772,"*T*")&gt;0,BD20&lt;30)),AND('Eval-Avec impact envisagé'!$A$773=AG16,OR(COUNTIF('Eval-Avec impact envisagé'!$N$773:$P$773,"*T*")&gt;0,BD21&lt;30)),AND('Eval-Avec impact envisagé'!$A$774=AG16,OR(COUNTIF('Eval-Avec impact envisagé'!$N$774:$P$774,"*T*")&gt;0,BD22&lt;30)),AND('Eval-Avec impact envisagé'!$A$775=AG16,OR(COUNTIF('Eval-Avec impact envisagé'!$N$775:$P$775,"*T*")&gt;0,BD23&lt;30)),AND('Eval-Avec impact envisagé'!$A$776=AG16,OR(COUNTIF('Eval-Avec impact envisagé'!$N$776:$P$776,"*T*")&gt;0,BD24&lt;30)),AND('Eval-Avec impact envisagé'!$A$777=AG16,OR(COUNTIF('Eval-Avec impact envisagé'!$N$777:$P$777,"*T*")&gt;0,BD25&lt;30)),AND('Eval-Avec impact envisagé'!$A$778=AG16,OR(COUNTIF('Eval-Avec impact envisagé'!$N$778:$P$778,"*T*")&gt;0,BD26&lt;30)),AND('Eval-Avec impact envisagé'!$A$779=AG16,OR(COUNTIF('Eval-Avec impact envisagé'!$N$779:$P$779,"*T*")&gt;0,BD27&lt;30)),AND('Eval-Avec impact envisagé'!$A$780=AG16,OR(COUNTIF('Eval-Avec impact envisagé'!$N$780:$P$780,"*T*")&gt;0,BD28&lt;30))),"",SUM(0.1*(SUMPRODUCT(('Eval-Avec impact envisagé'!$A$761:$A$780=AG16)*('Eval-Avec impact envisagé'!$N$761:$P$780="L"))),0.4*(SUMPRODUCT(('Eval-Avec impact envisagé'!$A$761:$A$780=AG16)*('Eval-Avec impact envisagé'!$N$761:$P$780="LA"))+SUMPRODUCT(('Eval-Avec impact envisagé'!$A$761:$A$780=AG16)*('Eval-Avec impact envisagé'!$N$761:$P$780="LS"))),0.7*(SUMPRODUCT(('Eval-Avec impact envisagé'!$A$761:$A$780=AG16)*('Eval-Avec impact envisagé'!$N$761:$P$780="AL"))+SUMPRODUCT(('Eval-Avec impact envisagé'!$A$761:$A$780=AG16)*('Eval-Avec impact envisagé'!$N$761:$P$780="SL"))),1*(SUMPRODUCT(('Eval-Avec impact envisagé'!$A$761:$A$780=AG16)*('Eval-Avec impact envisagé'!$N$761:$P$780="S"))+ SUMPRODUCT(('Eval-Avec impact envisagé'!$A$761:$A$780=AG16)*('Eval-Avec impact envisagé'!$N$761:$P$780="A"))))/(3*COUNTIF('Eval-Avec impact envisagé'!$A$761:$A$780,AG16))),"")</f>
        <v/>
      </c>
      <c r="AZ16" s="211" t="str">
        <f>IF(COUNTIF('Eval-Avec impact envisagé'!$A$761:$A$780,AG16)&gt;0,IF(OR(AND('Eval-Avec impact envisagé'!$A$761=AG16,OR(COUNTIF('Eval-Avec impact envisagé'!$N$761:$P$761,"*T*")&gt;0,BD9&lt;30)),AND('Eval-Avec impact envisagé'!$A$762=AG16,OR(COUNTIF('Eval-Avec impact envisagé'!$N$762:$P$762,"*T*")&gt;0,BD10&lt;30)),AND('Eval-Avec impact envisagé'!$A$763=AG16,OR(COUNTIF('Eval-Avec impact envisagé'!$N$763:$P$763,"*T*")&gt;0,BD11&lt;30)),AND('Eval-Avec impact envisagé'!$A$764=AG16,OR(COUNTIF('Eval-Avec impact envisagé'!$N$764:$P$764,"*T*")&gt;0,BD12&lt;30)),AND('Eval-Avec impact envisagé'!$A$765=AG16,OR(COUNTIF('Eval-Avec impact envisagé'!$N$765:$P$765,"*T*")&gt;0,BD13&lt;30)),AND('Eval-Avec impact envisagé'!$A$766=AG16,OR(COUNTIF('Eval-Avec impact envisagé'!$N$766:$P$766,"*T*")&gt;0,BD14&lt;30)),AND('Eval-Avec impact envisagé'!$A$767=AG16,OR(COUNTIF('Eval-Avec impact envisagé'!$N$767:$P$767,"*T*")&gt;0,BD15&lt;30)),AND('Eval-Avec impact envisagé'!$A$768=AG16,OR(COUNTIF('Eval-Avec impact envisagé'!$N$768:$P$768,"*T*")&gt;0,BD16&lt;30)),AND('Eval-Avec impact envisagé'!$A$769=AG16,OR(COUNTIF('Eval-Avec impact envisagé'!$N$769:$P$769,"*T*")&gt;0,BD17&lt;30)),AND('Eval-Avec impact envisagé'!$A$770=AG16,OR(COUNTIF('Eval-Avec impact envisagé'!$N$770:$P$770,"*T*")&gt;0,BD18&lt;30)),AND('Eval-Avec impact envisagé'!$A$771=AG16,OR(COUNTIF('Eval-Avec impact envisagé'!$N$771:$P$771,"*T*")&gt;0,BD19&lt;30)),AND('Eval-Avec impact envisagé'!$A$772=AG16,OR(COUNTIF('Eval-Avec impact envisagé'!$N$772:$P$772,"*T*")&gt;0,BD20&lt;30)),AND('Eval-Avec impact envisagé'!$A$773=AG16,OR(COUNTIF('Eval-Avec impact envisagé'!$N$773:$P$773,"*T*")&gt;0,BD21&lt;30)),AND('Eval-Avec impact envisagé'!$A$774=AG16,OR(COUNTIF('Eval-Avec impact envisagé'!$N$774:$P$774,"*T*")&gt;0,BD22&lt;30)),AND('Eval-Avec impact envisagé'!$A$775=AG16,OR(COUNTIF('Eval-Avec impact envisagé'!$N$775:$P$775,"*T*")&gt;0,BD23&lt;30)),AND('Eval-Avec impact envisagé'!$A$776=AG16,OR(COUNTIF('Eval-Avec impact envisagé'!$N$776:$P$776,"*T*")&gt;0,BD24&lt;30)),AND('Eval-Avec impact envisagé'!$A$777=AG16,OR(COUNTIF('Eval-Avec impact envisagé'!$N$777:$P$777,"*T*")&gt;0,BD25&lt;30)),AND('Eval-Avec impact envisagé'!$A$778=AG16,OR(COUNTIF('Eval-Avec impact envisagé'!$N$778:$P$778,"*T*")&gt;0,BD26&lt;30)),AND('Eval-Avec impact envisagé'!$A$779=AG16,OR(COUNTIF('Eval-Avec impact envisagé'!$N$779:$P$779,"*T*")&gt;0,BD27&lt;30)),AND('Eval-Avec impact envisagé'!$A$780=AG16,OR(COUNTIF('Eval-Avec impact envisagé'!$N$780:$P$780,"*T*")&gt;0,BD28&lt;30))),"",SUM(1*(SUMPRODUCT(('Eval-Avec impact envisagé'!$A$761:$A$780=AG16)*('Eval-Avec impact envisagé'!$N$761:$P$780="A"))),0.85*(SUMPRODUCT(('Eval-Avec impact envisagé'!$A$761:$A$780=AG16)*('Eval-Avec impact envisagé'!$N$761:$P$780="AL"))),0.7*(SUMPRODUCT(('Eval-Avec impact envisagé'!$A$761:$A$780=AG16)*('Eval-Avec impact envisagé'!$N$761:$P$780="LA"))),0.55*(SUMPRODUCT(('Eval-Avec impact envisagé'!$A$761:$A$780=AG16)*('Eval-Avec impact envisagé'!$N$761:$P$780="L"))),0.4*(SUMPRODUCT(('Eval-Avec impact envisagé'!$A$761:$A$780=AG16)*('Eval-Avec impact envisagé'!$N$761:$P$780="LS"))),0.25*(SUMPRODUCT(('Eval-Avec impact envisagé'!$A$761:$A$780=AG16)*('Eval-Avec impact envisagé'!$N$761:$P$780="SL"))),0.1*(SUMPRODUCT(('Eval-Avec impact envisagé'!$A$761:$A$780=AG16)*('Eval-Avec impact envisagé'!$N$761:$P$780="S"))))/(3*COUNTIF('Eval-Avec impact envisagé'!$A$761:$A$780,AG16))),"")</f>
        <v/>
      </c>
      <c r="BA16" s="214" t="str">
        <f>IF(COUNTIF('Eval-Avec impact envisagé'!$A$761:$A$780,AG16)&gt;0,IF(OR(AND('Eval-Avec impact envisagé'!$A$761=AG16,OR(COUNTIF('Eval-Avec impact envisagé'!$Q$761:$Y$761,"*T*")&gt;0,BD9&lt;120)),AND('Eval-Avec impact envisagé'!$A$762=AG16,OR(COUNTIF('Eval-Avec impact envisagé'!$Q$762:$Y$762,"*T*")&gt;0,BD10&lt;120)),AND('Eval-Avec impact envisagé'!$A$763=AG16,OR(COUNTIF('Eval-Avec impact envisagé'!$Q$763:$Y$763,"*T*")&gt;0,BD11&lt;120)),AND('Eval-Avec impact envisagé'!$A$764=AG16,OR(COUNTIF('Eval-Avec impact envisagé'!$Q$764:$Y$764,"*T*")&gt;0,BD12&lt;120)),AND('Eval-Avec impact envisagé'!$A$765=AG16,OR(COUNTIF('Eval-Avec impact envisagé'!$Q$765:$Y$765,"*T*")&gt;0,BD13&lt;120)),AND('Eval-Avec impact envisagé'!$A$766=AG16,OR(COUNTIF('Eval-Avec impact envisagé'!$Q$766:$Y$766,"*T*")&gt;0,BD14&lt;120)),AND('Eval-Avec impact envisagé'!$A$767=AG16,OR(COUNTIF('Eval-Avec impact envisagé'!$Q$767:$Y$767,"*T*")&gt;0,BD15&lt;120)),AND('Eval-Avec impact envisagé'!$A$768=AG16,OR(COUNTIF('Eval-Avec impact envisagé'!$Q$768:$Y$768,"*T*")&gt;0,BD16&lt;120)),AND('Eval-Avec impact envisagé'!$A$769=AG16,OR(COUNTIF('Eval-Avec impact envisagé'!$Q$769:$Y$769,"*T*")&gt;0,BD17&lt;120)),AND('Eval-Avec impact envisagé'!$A$770=AG16,OR(COUNTIF('Eval-Avec impact envisagé'!$Q$770:$Y$770,"*T*")&gt;0,BD18&lt;120)),AND('Eval-Avec impact envisagé'!$A$771=AG16,OR(COUNTIF('Eval-Avec impact envisagé'!$Q$771:$Y$771,"*T*")&gt;0,BD19&lt;120)),AND('Eval-Avec impact envisagé'!$A$772=AG16,OR(COUNTIF('Eval-Avec impact envisagé'!$Q$772:$Y$772,"*T*")&gt;0,BD20&lt;120)),AND('Eval-Avec impact envisagé'!$A$773=AG16,OR(COUNTIF('Eval-Avec impact envisagé'!$Q$773:$Y$773,"*T*")&gt;0,BD21&lt;120)),AND('Eval-Avec impact envisagé'!$A$774=AG16,OR(COUNTIF('Eval-Avec impact envisagé'!$Q$774:$Y$774,"*T*")&gt;0,BD22&lt;120)),AND('Eval-Avec impact envisagé'!$A$775=AG16,OR(COUNTIF('Eval-Avec impact envisagé'!$Q$775:$Y$775,"*T*")&gt;0,BD23&lt;120)),AND('Eval-Avec impact envisagé'!$A$776=AG16,OR(COUNTIF('Eval-Avec impact envisagé'!$Q$776:$Y$776,"*T*")&gt;0,BD24&lt;120)),AND('Eval-Avec impact envisagé'!$A$777=AG16,OR(COUNTIF('Eval-Avec impact envisagé'!$Q$777:$Y$777,"*T*")&gt;0,BD25&lt;120)),AND('Eval-Avec impact envisagé'!$A$778=AG16,OR(COUNTIF('Eval-Avec impact envisagé'!$Q$778:$Y$778,"*T*")&gt;0,BD26&lt;120)),AND('Eval-Avec impact envisagé'!$A$779=AG16,OR(COUNTIF('Eval-Avec impact envisagé'!$Q$779:$Y$779,"*T*")&gt;0,BD27&lt;120)),AND('Eval-Avec impact envisagé'!$A$780=AG16,OR(COUNTIF('Eval-Avec impact envisagé'!$Q$780:$Y$780,"*T*")&gt;0,BD28&lt;120))),"",SUM(1*(SUMPRODUCT(('Eval-Avec impact envisagé'!$A$761:$A$780=AG16)*('Eval-Avec impact envisagé'!$Q$761:$Y$780="A"))),0.85*(SUMPRODUCT(('Eval-Avec impact envisagé'!$A$761:$A$780=AG16)*('Eval-Avec impact envisagé'!$Q$761:$Y$780="AL"))),0.7*(SUMPRODUCT(('Eval-Avec impact envisagé'!$A$761:$A$780=AG16)*('Eval-Avec impact envisagé'!$Q$761:$Y$780="LA"))),0.55*(SUMPRODUCT(('Eval-Avec impact envisagé'!$A$761:$A$780=AG16)*('Eval-Avec impact envisagé'!$Q$761:$Y$780="L"))),0.4*(SUMPRODUCT(('Eval-Avec impact envisagé'!$A$761:$A$780=AG16)*('Eval-Avec impact envisagé'!$Q$761:$Y$780="LS"))),0.25*(SUMPRODUCT(('Eval-Avec impact envisagé'!$A$761:$A$780=AG16)*('Eval-Avec impact envisagé'!$Q$761:$Y$780="SL"))),0.1*(SUMPRODUCT(('Eval-Avec impact envisagé'!$A$761:$A$780=AG16)*('Eval-Avec impact envisagé'!$Q$761:$Y$780="S"))))/(9*COUNTIF('Eval-Avec impact envisagé'!$A$761:$A$780,AG16))),"")</f>
        <v/>
      </c>
      <c r="BB16" s="215"/>
      <c r="BC16" s="216">
        <f>'Eval-Avec impact envisagé'!$D$768</f>
        <v>8</v>
      </c>
      <c r="BD16" s="217" t="str">
        <f>IF(BE16="C",0,IF(IF(COUNTIF('Eval-Avec impact envisagé'!$N$768:$Y$768,"=C")&gt;0,(COUNTA('Eval-Avec impact envisagé'!$N$768:$Y$768)-1)*10,COUNTA('Eval-Avec impact envisagé'!$N$768:$Y$768)*10)=0,"",IF(COUNTIF('Eval-Avec impact envisagé'!$N$768:$Y$768,"=C")&gt;0,(COUNTA('Eval-Avec impact envisagé'!$N$768:$Y$768)-1)*10,COUNTA('Eval-Avec impact envisagé'!$N$768:$Y$768)*10)))</f>
        <v/>
      </c>
      <c r="BE16" s="217" t="str">
        <f>CONCATENATE('Eval-Avec impact envisagé'!$N$768,'Eval-Avec impact envisagé'!$O$768,'Eval-Avec impact envisagé'!$P$768,'Eval-Avec impact envisagé'!$Q$768,'Eval-Avec impact envisagé'!$R$768,'Eval-Avec impact envisagé'!$S$768,'Eval-Avec impact envisagé'!$T$768,'Eval-Avec impact envisagé'!$U$768,'Eval-Avec impact envisagé'!$V$768,'Eval-Avec impact envisagé'!$W$768,'Eval-Avec impact envisagé'!$X$768,'Eval-Avec impact envisagé'!$Y$768)</f>
        <v/>
      </c>
      <c r="BF16" s="217" t="str">
        <f t="shared" si="4"/>
        <v/>
      </c>
      <c r="BG16" s="217" t="str">
        <f t="shared" si="5"/>
        <v/>
      </c>
      <c r="BH16" s="217" t="str">
        <f>IF(COUNTIF('Eval-Avec impact envisagé'!$N$768:$Y$768,"=C")&gt;0,"X","")</f>
        <v/>
      </c>
      <c r="BI16" s="217" t="str">
        <f t="shared" si="6"/>
        <v/>
      </c>
      <c r="BJ16" s="218" t="str">
        <f t="shared" si="7"/>
        <v/>
      </c>
      <c r="BK16" s="197"/>
      <c r="BM16" s="210">
        <v>8</v>
      </c>
      <c r="BN16" s="211" t="str">
        <f>IF(COUNTIF('Eval-Après impact'!$A$761:$A$780,BM16)&gt;0,SUM(IF('Eval-Après impact'!$A$761=BM16,'Eval-Après impact'!$B$761,0),IF('Eval-Après impact'!$A$762=BM16, 'Eval-Après impact'!$B$762,0),IF('Eval-Après impact'!$A$763=BM16, 'Eval-Après impact'!$B$763,0),IF('Eval-Après impact'!$A$764=BM16, 'Eval-Après impact'!$B$764,0),IF('Eval-Après impact'!$A$765=BM16, 'Eval-Après impact'!$B$765,0),IF('Eval-Après impact'!$A$766=BM16, 'Eval-Après impact'!$B$766,0),IF('Eval-Après impact'!$A$767=BM16, 'Eval-Après impact'!$B$767,0),IF('Eval-Après impact'!$A$768=BM16, 'Eval-Après impact'!$B$768,0),IF('Eval-Après impact'!$A$769=BM16, 'Eval-Après impact'!$B$769,0),IF('Eval-Après impact'!$A$770=BM16, 'Eval-Après impact'!$B$770,0),IF('Eval-Après impact'!$A$771=BM16, 'Eval-Après impact'!$B$771,0),IF('Eval-Après impact'!$A$772=BM16, 'Eval-Après impact'!$B$772,0),IF('Eval-Après impact'!$A$773=BM16, 'Eval-Après impact'!$B$773,0),IF('Eval-Après impact'!$A$774=BM16, 'Eval-Après impact'!$B$774,0),IF('Eval-Après impact'!$A$775=BM16, 'Eval-Après impact'!$B$775,0),IF('Eval-Après impact'!$A$776=BM16, 'Eval-Après impact'!$B$776,0),IF('Eval-Après impact'!$A$777=BM16, 'Eval-Après impact'!$B$777,0),IF('Eval-Après impact'!$A$778=BM16, 'Eval-Après impact'!$B$778,0),IF('Eval-Après impact'!$A$779=BM16, 'Eval-Après impact'!$B$779,0),IF('Eval-Après impact'!$A$780=BM16, 'Eval-Après impact'!$B$780,0))/COUNTIF('Eval-Après impact'!$A$761:$A$780,BM16),"")</f>
        <v/>
      </c>
      <c r="BO16" s="212" t="str">
        <f>IF(COUNTIF('Eval-Après impact'!$A$761:$A$780,BM16)&gt;0,COUNTIF('Eval-Après impact'!$A$761:$A$780,BM16),"")</f>
        <v/>
      </c>
      <c r="BP16" s="211" t="str">
        <f>IF(COUNTIF('Eval-Après impact'!$A$761:$A$780,BM16)&gt;0,IF(OR(AND('Eval-Après impact'!$A$761=BM16, 'Eval-Après impact'!$G$761=""),AND('Eval-Après impact'!$A$762=BM16, 'Eval-Après impact'!$G$762=""),AND('Eval-Après impact'!$A$763=BM16, 'Eval-Après impact'!$G$763=""),AND('Eval-Après impact'!$A$764=BM16, 'Eval-Après impact'!$G$764=""),AND('Eval-Après impact'!$A$765=BM16, 'Eval-Après impact'!$G$765=""),AND('Eval-Après impact'!$A$766=BM16, 'Eval-Après impact'!$G$766=""),AND('Eval-Après impact'!$A$767=BM16, 'Eval-Après impact'!$G$767=""),AND('Eval-Après impact'!$A$768=BM16, 'Eval-Après impact'!$G$768=""),AND('Eval-Après impact'!$A$769=BM16, 'Eval-Après impact'!$G$769=""),AND('Eval-Après impact'!$A$770=BM16, 'Eval-Après impact'!$G$770=""),AND('Eval-Après impact'!$A$771=BM16, 'Eval-Après impact'!$G$771=""),AND('Eval-Après impact'!$A$772=BM16, 'Eval-Après impact'!$G$772=""),AND('Eval-Après impact'!$A$773=BM16, 'Eval-Après impact'!$G$773=""),AND('Eval-Après impact'!$A$774=BM16, 'Eval-Après impact'!$G$774=""),AND('Eval-Après impact'!$A$775=BM16, 'Eval-Après impact'!$G$775=""),AND('Eval-Après impact'!$A$776=BM16, 'Eval-Après impact'!$G$776=""),AND('Eval-Après impact'!$A$777=BM16, 'Eval-Après impact'!$G$777=""),AND('Eval-Après impact'!$A$778=BM16, 'Eval-Après impact'!$G$778=""),AND('Eval-Après impact'!$A$779=BM16, 'Eval-Après impact'!$G$779=""),AND('Eval-Après impact'!$A$780=BM16, 'Eval-Après impact'!$G$780="")),"",SUM(IF('Eval-Après impact'!$A$761=BM16,'Eval-Après impact'!$G$761,0),IF('Eval-Après impact'!$A$762=BM16,'Eval-Après impact'!$G$762,0),IF('Eval-Après impact'!$A$763=BM16,'Eval-Après impact'!$G$763,0),IF('Eval-Après impact'!$A$764=BM16,'Eval-Après impact'!$G$764,0),IF('Eval-Après impact'!$A$765=BM16,'Eval-Après impact'!$G$765,0),IF('Eval-Après impact'!$A$766=BM16,'Eval-Après impact'!$G$766,0),IF('Eval-Après impact'!$A$767=BM16,'Eval-Après impact'!$G$767,0),IF('Eval-Après impact'!$A$768=BM16,'Eval-Après impact'!$G$768,0),IF('Eval-Après impact'!$A$769=BM16,'Eval-Après impact'!$G$769,0),IF('Eval-Après impact'!$A$770=BM16,'Eval-Après impact'!$G$770,0),IF('Eval-Après impact'!$A$771=BM16,'Eval-Après impact'!$G$771,0),IF('Eval-Après impact'!$A$772=BM16,'Eval-Après impact'!$G$772,0),IF('Eval-Après impact'!$A$773=BM16,'Eval-Après impact'!$G$773,0),IF('Eval-Après impact'!$A$774=BM16,'Eval-Après impact'!$G$774,0),IF('Eval-Après impact'!$A$775=BM16,'Eval-Après impact'!$G$775,0), IF('Eval-Après impact'!$A$776=BM16,'Eval-Après impact'!$G$776,0), IF('Eval-Après impact'!$A$777=BM16,'Eval-Après impact'!$G$777,0), IF('Eval-Après impact'!$A$778=BM16,'Eval-Après impact'!$G$778,0), IF('Eval-Après impact'!$A$779=BM16,'Eval-Après impact'!$G$779,0), IF('Eval-Après impact'!$A$780=BM16,'Eval-Après impact'!$G$780,0))/ COUNTIF('Eval-Après impact'!$A$761:$A$780,BM16)),"")</f>
        <v/>
      </c>
      <c r="BQ16" s="212" t="str">
        <f>IF(COUNTIF('Eval-Après impact'!$A$761:$A$780,BM16)&gt;0,IF(SUM(IF('Eval-Après impact'!$A$761=BM16,COUNTA('Eval-Après impact'!$H$761),0),IF('Eval-Après impact'!$A$762=BM16,COUNTA('Eval-Après impact'!$H$762),0),IF('Eval-Après impact'!$A$763=BM16,COUNTA('Eval-Après impact'!$H$763),0),IF('Eval-Après impact'!$A$764=BM16,COUNTA('Eval-Après impact'!$H$764),0),IF('Eval-Après impact'!$A$765=BM16,COUNTA('Eval-Après impact'!$H$765),0),IF('Eval-Après impact'!$A$766=BM16,COUNTA('Eval-Après impact'!$H$766),0),IF('Eval-Après impact'!$A$767=BM16,COUNTA('Eval-Après impact'!$H$767),0),IF('Eval-Après impact'!$A$768=BM16,COUNTA('Eval-Après impact'!$H$768),0),IF('Eval-Après impact'!$A$769=BM16,COUNTA('Eval-Après impact'!$H$769),0),IF('Eval-Après impact'!$A$770=BM16,COUNTA('Eval-Après impact'!$H$770),0),IF('Eval-Après impact'!$A$771=BM16,COUNTA('Eval-Après impact'!$H$771),0),IF('Eval-Après impact'!$A$772=BM16,COUNTA('Eval-Après impact'!$H$772),0),IF('Eval-Après impact'!$A$773=BM16,COUNTA('Eval-Après impact'!$H$773),0),IF('Eval-Après impact'!$A$774=BM16,COUNTA('Eval-Après impact'!$H$774),0),IF('Eval-Après impact'!$A$775=BM16,COUNTA('Eval-Après impact'!$H$775),0),IF('Eval-Après impact'!$A$776=BM16,COUNTA('Eval-Après impact'!$H$776),0),IF('Eval-Après impact'!$A$777=BM16,COUNTA('Eval-Après impact'!$H$777),0),IF('Eval-Après impact'!$A$778=BM16,COUNTA('Eval-Après impact'!$H$778),0),IF('Eval-Après impact'!$A$779=BM16,COUNTA('Eval-Après impact'!$H$779),0),IF('Eval-Après impact'!$A$780=BM16,COUNTA('Eval-Après impact'!$H$780),0))&gt;0,"X",0),"")</f>
        <v/>
      </c>
      <c r="BR16" s="213" t="str">
        <f>IF(COUNTIF('Eval-Après impact'!$A$761:$A$780,BM16)&gt;0,IF(SUM(IF('Eval-Après impact'!$A$761=BM16,COUNTA('Eval-Après impact'!$I$761),0),IF('Eval-Après impact'!$A$762=BM16,COUNTA('Eval-Après impact'!$I$762),0),IF('Eval-Après impact'!$A$763=BM16,COUNTA('Eval-Après impact'!$I$763),0),IF('Eval-Après impact'!$A$764=BM16,COUNTA('Eval-Après impact'!$I$764),0),IF('Eval-Après impact'!$A$765=BM16,COUNTA('Eval-Après impact'!$I$765),0),IF('Eval-Après impact'!$A$766=BM16,COUNTA('Eval-Après impact'!$I$766),0),IF('Eval-Après impact'!$A$767=BM16,COUNTA('Eval-Après impact'!$I$767),0),IF('Eval-Après impact'!$A$768=BM16,COUNTA('Eval-Après impact'!$I$768),0),IF('Eval-Après impact'!$A$769=BM16,COUNTA('Eval-Après impact'!$I$769),0),IF('Eval-Après impact'!$A$770=BM16,COUNTA('Eval-Après impact'!$I$770),0),IF('Eval-Après impact'!$A$771=BM16,COUNTA('Eval-Après impact'!$I$771),0),IF('Eval-Après impact'!$A$772=BM16,COUNTA('Eval-Après impact'!$I$772),0),IF('Eval-Après impact'!$A$773=BM16,COUNTA('Eval-Après impact'!$I$773),0),IF('Eval-Après impact'!$A$774=BM16,COUNTA('Eval-Après impact'!$I$774),0),IF('Eval-Après impact'!$A$775=BM16,COUNTA('Eval-Après impact'!$I$775),0),IF('Eval-Après impact'!$A$776=BM16,COUNTA('Eval-Après impact'!$I$776),0),IF('Eval-Après impact'!$A$777=BM16,COUNTA('Eval-Après impact'!$I$777),0),IF('Eval-Après impact'!$A$778=BM16,COUNTA('Eval-Après impact'!$I$778),0),IF('Eval-Après impact'!$A$779=BM16,COUNTA('Eval-Après impact'!$I$779),0),IF('Eval-Après impact'!$A$780=BM16,COUNTA('Eval-Après impact'!$I$780),0))&gt;0,"X",0),"")</f>
        <v/>
      </c>
      <c r="BS16" s="213" t="str">
        <f>IF(COUNTIF('Eval-Après impact'!$A$761:$A$780,BM16)&gt;0,IF(SUM(IF('Eval-Après impact'!$A$761=BM16,COUNTA('Eval-Après impact'!$J$761),0),IF('Eval-Après impact'!$A$762=BM16,COUNTA('Eval-Après impact'!$J$762),0),IF('Eval-Après impact'!$A$763=BM16,COUNTA('Eval-Après impact'!$J$763),0),IF('Eval-Après impact'!$A$764=BM16,COUNTA('Eval-Après impact'!$J$764),0),IF('Eval-Après impact'!$A$765=BM16,COUNTA('Eval-Après impact'!$J$765),0),IF('Eval-Après impact'!$A$766=BM16,COUNTA('Eval-Après impact'!$J$766),0),IF('Eval-Après impact'!$A$767=BM16,COUNTA('Eval-Après impact'!$J$767),0),IF('Eval-Après impact'!$A$768=BM16,COUNTA('Eval-Après impact'!$J$768),0),IF('Eval-Après impact'!$A$769=BM16,COUNTA('Eval-Après impact'!$J$769),0),IF('Eval-Après impact'!$A$770=BM16,COUNTA('Eval-Après impact'!$J$770),0),IF('Eval-Après impact'!$A$771=BM16,COUNTA('Eval-Après impact'!$J$771),0),IF('Eval-Après impact'!$A$772=BM16,COUNTA('Eval-Après impact'!$J$772),0),IF('Eval-Après impact'!$A$773=BM16,COUNTA('Eval-Après impact'!$J$773),0),IF('Eval-Après impact'!$A$774=BM16,COUNTA('Eval-Après impact'!$J$774),0),IF('Eval-Après impact'!$A$775=BM16,COUNTA('Eval-Après impact'!$J$775),0),IF('Eval-Après impact'!$A$776=BM16,COUNTA('Eval-Après impact'!$J$776),0),IF('Eval-Après impact'!$A$777=BM16,COUNTA('Eval-Après impact'!$J$777),0),IF('Eval-Après impact'!$A$778=BM16,COUNTA('Eval-Après impact'!$J$778),0),IF('Eval-Après impact'!$A$779=BM16,COUNTA('Eval-Après impact'!$J$779),0),IF('Eval-Après impact'!$A$780=BM16,COUNTA('Eval-Après impact'!$J$780),0))&gt;0,"X",0),"")</f>
        <v/>
      </c>
      <c r="BT16" s="213" t="str">
        <f>IF(COUNTIF('Eval-Après impact'!$A$761:$A$780,BM16)&gt;0,IF(SUM(IF('Eval-Après impact'!$A$761=BM16,COUNTA('Eval-Après impact'!$K$761),0),IF('Eval-Après impact'!$A$762=BM16,COUNTA('Eval-Après impact'!$K$762),0),IF('Eval-Après impact'!$A$763=BM16,COUNTA('Eval-Après impact'!$K$763),0),IF('Eval-Après impact'!$A$764=BM16,COUNTA('Eval-Après impact'!$K$764),0),IF('Eval-Après impact'!$A$765=BM16,COUNTA('Eval-Après impact'!$K$765),0),IF('Eval-Après impact'!$A$766=BM16,COUNTA('Eval-Après impact'!$K$766),0),IF('Eval-Après impact'!$A$767=BM16,COUNTA('Eval-Après impact'!$K$767),0),IF('Eval-Après impact'!$A$768=BM16,COUNTA('Eval-Après impact'!$K$768),0),IF('Eval-Après impact'!$A$769=BM16,COUNTA('Eval-Après impact'!$K$769),0),IF('Eval-Après impact'!$A$770=BM16,COUNTA('Eval-Après impact'!$K$770),0),IF('Eval-Après impact'!$A$771=BM16,COUNTA('Eval-Après impact'!$K$771),0),IF('Eval-Après impact'!$A$772=BM16,COUNTA('Eval-Après impact'!$K$772),0),IF('Eval-Après impact'!$A$773=BM16,COUNTA('Eval-Après impact'!$K$773),0),IF('Eval-Après impact'!$A$774=BM16,COUNTA('Eval-Après impact'!$K$774),0),IF('Eval-Après impact'!$A$775=BM16,COUNTA('Eval-Après impact'!$K$775),0),IF('Eval-Après impact'!$A$776=BM16,COUNTA('Eval-Après impact'!$K$776),0),IF('Eval-Après impact'!$A$777=BM16,COUNTA('Eval-Après impact'!$K$777),0),IF('Eval-Après impact'!$A$778=BM16,COUNTA('Eval-Après impact'!$K$778),0),IF('Eval-Après impact'!$A$779=BM16,COUNTA('Eval-Après impact'!$K$779),0),IF('Eval-Après impact'!$A$780=BM16,COUNTA('Eval-Après impact'!$K$780),0))&gt;0,"X",0),"")</f>
        <v/>
      </c>
      <c r="BU16" s="211" t="str">
        <f>IF(COUNTIF('Eval-Après impact'!$A$761:$A$780,BM16)&gt;0,IF(OR(AND('Eval-Après impact'!$A$761=BM16,'Eval-Après impact'!$L$761&lt;120,'Eval-Après impact'!$L$761&gt;=CJ9),AND('Eval-Après impact'!$A$762=BM16,'Eval-Après impact'!$L$762&lt;120,'Eval-Après impact'!$L$762&gt;=CJ10),AND('Eval-Après impact'!$A$763=BM16,'Eval-Après impact'!$L$763&lt;120,'Eval-Après impact'!$L$763&gt;=CJ11),AND('Eval-Après impact'!$A$764=BM16,'Eval-Après impact'!$L$764&lt;120,'Eval-Après impact'!$L$764&gt;=CJ12),AND('Eval-Après impact'!$A$765=BM16,'Eval-Après impact'!$L$765&lt;120,'Eval-Après impact'!$L$765&gt;=CJ13),AND('Eval-Après impact'!$A$766=BM16,'Eval-Après impact'!$L$766&lt;120,'Eval-Après impact'!$L$766&gt;=CJ14),AND('Eval-Après impact'!$A$767=BM16,'Eval-Après impact'!$L$767&lt;120,'Eval-Après impact'!$L$767&gt;=CJ15),AND('Eval-Après impact'!$A$768=BM16,'Eval-Après impact'!$L$768&lt;120,'Eval-Après impact'!$L$768&gt;=CJ16),AND('Eval-Après impact'!$A$769=BM16,'Eval-Après impact'!$L$769&lt;120,'Eval-Après impact'!$L$769&gt;=CJ17),AND('Eval-Après impact'!$A$770=BM16,'Eval-Après impact'!$L$770&lt;120,'Eval-Après impact'!$L$770&gt;=CJ18),AND('Eval-Après impact'!$A$771=BM16,'Eval-Après impact'!$L$771&lt;120,'Eval-Après impact'!$L$771&gt;=CJ19),AND('Eval-Après impact'!$A$772=BM16,'Eval-Après impact'!$L$772&lt;120,'Eval-Après impact'!$L$772&gt;=CJ20),AND('Eval-Après impact'!$A$773=BM16,'Eval-Après impact'!$L$773&lt;120,'Eval-Après impact'!$L$773&gt;=CJ21),AND('Eval-Après impact'!$A$774=BM16,'Eval-Après impact'!$L$774&lt;120,'Eval-Après impact'!$L$774&gt;=CJ22),AND('Eval-Après impact'!$A$775=BM16,'Eval-Après impact'!$L$775&lt;120,'Eval-Après impact'!$L$775&gt;=CJ23),AND('Eval-Après impact'!$A$776=BM16,'Eval-Après impact'!$L$776&lt;120,'Eval-Après impact'!$L$776&gt;=CJ24),AND('Eval-Après impact'!$A$777=BM16,'Eval-Après impact'!$L$777&lt;120,'Eval-Après impact'!$L$777&gt;=CJ25),AND('Eval-Après impact'!$A$778=BM16,'Eval-Après impact'!$L$778&lt;120,'Eval-Après impact'!$L$778&gt;=CJ26),AND('Eval-Après impact'!$A$779=BM16,'Eval-Après impact'!$L$779&lt;120,'Eval-Après impact'!$L$779&gt;=CJ27),AND('Eval-Après impact'!$A$780=BM16,'Eval-Après impact'!$L$780&lt;120,'Eval-Après impact'!$L$780&gt;=CJ28)),"",SUM(IF('Eval-Après impact'!$A$761=BM16,'Eval-Après impact'!$L$761,0),IF('Eval-Après impact'!$A$762=BM16,'Eval-Après impact'!$L$762,0),IF('Eval-Après impact'!$A$763=BM16,'Eval-Après impact'!$L$763,0),IF('Eval-Après impact'!$A$764=BM16,'Eval-Après impact'!$L$764,0),IF('Eval-Après impact'!$A$765=BM16,'Eval-Après impact'!$L$765,0),IF('Eval-Après impact'!$A$766=BM16,'Eval-Après impact'!$L$766,0),IF('Eval-Après impact'!$A$767=BM16,'Eval-Après impact'!$L$767,0),IF('Eval-Après impact'!$A$768=BM16,'Eval-Après impact'!$L$768,0),IF('Eval-Après impact'!$A$769=BM16,'Eval-Après impact'!$L$769,0),IF('Eval-Après impact'!$A$770=BM16,'Eval-Après impact'!$L$770,0),IF('Eval-Après impact'!$A$771=BM16,'Eval-Après impact'!$L$771,0),IF('Eval-Après impact'!$A$772=BM16,'Eval-Après impact'!$L$772,0),IF('Eval-Après impact'!$A$773=BM16,'Eval-Après impact'!$L$773,0),IF('Eval-Après impact'!$A$774=BM16,'Eval-Après impact'!$L$774,0),IF('Eval-Après impact'!$A$775=BM16,'Eval-Après impact'!$L$775,0),IF('Eval-Après impact'!$A$776=BM16,'Eval-Après impact'!$L$776,0),IF('Eval-Après impact'!$A$777=BM16,'Eval-Après impact'!$L$777,0),IF('Eval-Après impact'!$A$778=BM16,'Eval-Après impact'!$L$778,0),IF('Eval-Après impact'!$A$779=BM16,'Eval-Après impact'!$L$779,0),IF('Eval-Après impact'!$A$780=BM16,'Eval-Après impact'!$L$780,0))/ COUNTIF('Eval-Après impact'!$A$761:$A$780,BM16)),"")</f>
        <v/>
      </c>
      <c r="BV16" s="211" t="str">
        <f>IF(COUNTIF('Eval-Après impact'!$A$761:$A$780,BM16)&gt;0,IF(OR(AND('Eval-Après impact'!$A$761=BM16, CJ9&lt;120),AND(CJ10&lt;120),AND(CJ11&lt;120),AND(CJ12&lt;120),AND(CJ13&lt;120),AND(CJ14&lt;120),AND(CJ15&lt;120),AND(CJ16&lt;120),AND(CJ17&lt;120),AND(CJ18&lt;120),AND(CJ19&lt;120),AND(CJ20&lt;120),AND(CJ21&lt;120),AND(CJ22&lt;120),AND(CJ23&lt;120),AND(CJ24&lt;120),AND(CJ25&lt;120),AND(CJ26&lt;120),AND(CJ27&lt;120),AND(CJ28&lt;120)),"",SUM(IF('Eval-Après impact'!$A$761=BM16,'Eval-Après impact'!$M$761,0),IF('Eval-Après impact'!$A$762=BM16,'Eval-Après impact'!$M$762,0),IF('Eval-Après impact'!$A$763=BM16,'Eval-Après impact'!$M$763,0),IF('Eval-Après impact'!$A$764=BM16,'Eval-Après impact'!$M$764,0),IF('Eval-Après impact'!$A$765=BM16,'Eval-Après impact'!$M$765,0),IF('Eval-Après impact'!$A$766=BM16,'Eval-Après impact'!$M$766,0),IF('Eval-Après impact'!$A$767=BM16,'Eval-Après impact'!$M$767,0),IF('Eval-Après impact'!$A$768=BM16,'Eval-Après impact'!$M$768,0),IF('Eval-Après impact'!$A$769=BM16,'Eval-Après impact'!$M$769,0),IF('Eval-Après impact'!$A$770=BM16,'Eval-Après impact'!$M$770,0),IF('Eval-Après impact'!$A$771=BM16,'Eval-Après impact'!$M$771,0),IF('Eval-Après impact'!$A$772=BM16,'Eval-Après impact'!$M$772,0),IF('Eval-Après impact'!$A$773=BM16,'Eval-Après impact'!$M$773,0),IF('Eval-Après impact'!$A$774=BM16,'Eval-Après impact'!$M$774,0),IF('Eval-Après impact'!$A$775=BM16,'Eval-Après impact'!$M$775,0), IF('Eval-Après impact'!$A$776=BM16,'Eval-Après impact'!$M$776,0), IF('Eval-Après impact'!$A$777=BM16,'Eval-Après impact'!$M$777,0), IF('Eval-Après impact'!$A$778=BM16,'Eval-Après impact'!$M$778,0), IF('Eval-Après impact'!$A$779=BM16,'Eval-Après impact'!$M$779,0), IF('Eval-Après impact'!$A$780=BM16,'Eval-Après impact'!$M$780,0))/COUNTIF('Eval-Après impact'!$A$761:$A$780,BM16)),"")</f>
        <v/>
      </c>
      <c r="BW16" s="211" t="str">
        <f>IF(COUNTIF('Eval-Après impact'!$A$761:$A$780,BM16)&gt;0,SUM(IF('Eval-Après impact'!$A$761=BM16,LEN(SUBSTITUTE((SUBSTITUTE(CL9,"TM","")),"TS",""))*10/2,0),IF('Eval-Après impact'!$A$762=BM16,LEN(SUBSTITUTE((SUBSTITUTE(CL10,"TM","")),"TS",""))*10/2,0),IF('Eval-Après impact'!$A$763=BM16,LEN(SUBSTITUTE((SUBSTITUTE(CL11,"TM","")),"TS",""))*10/2,0),IF('Eval-Après impact'!$A$764=BM16,LEN(SUBSTITUTE((SUBSTITUTE(CL12,"TM","")),"TS",""))*10/2,0),IF('Eval-Après impact'!$A$765=BM16,LEN(SUBSTITUTE((SUBSTITUTE(CL13,"TM","")),"TS",""))*10/2,0),IF('Eval-Après impact'!$A$766=BM16,LEN(SUBSTITUTE((SUBSTITUTE(CL14,"TM","")),"TS",""))*10/2,0),IF('Eval-Après impact'!$A$767=BM16,LEN(SUBSTITUTE((SUBSTITUTE(CL15,"TM","")),"TS",""))*10/2,0),IF('Eval-Après impact'!$A$768=BM16,LEN(SUBSTITUTE((SUBSTITUTE(CL16,"TM","")),"TS",""))*10/2,0),IF('Eval-Après impact'!$A$769=BM16,LEN(SUBSTITUTE((SUBSTITUTE(CL17,"TM","")),"TS",""))*10/2,0),IF('Eval-Après impact'!$A$770=BM16,LEN(SUBSTITUTE((SUBSTITUTE(CL18,"TM","")),"TS",""))*10/2,0),IF('Eval-Après impact'!$A$771=BM16,LEN(SUBSTITUTE((SUBSTITUTE(CL19,"TM","")),"TS",""))*10/2,0),IF('Eval-Après impact'!$A$772=BM16,LEN(SUBSTITUTE((SUBSTITUTE(CL20,"TM","")),"TS",""))*10/2,0),IF('Eval-Après impact'!$A$773=BM16,LEN(SUBSTITUTE((SUBSTITUTE(CL21,"TM","")),"TS",""))*10/2,0),IF('Eval-Après impact'!$A$774=BM16,LEN(SUBSTITUTE((SUBSTITUTE(CL22,"TM","")),"TS",""))*10/2,0),IF('Eval-Après impact'!$A$775=BM16,LEN(SUBSTITUTE((SUBSTITUTE(CL23,"TM","")),"TS",""))*10/2,0),IF('Eval-Après impact'!$A$776=BM16,LEN(SUBSTITUTE((SUBSTITUTE(CL24,"TM","")),"TS",""))*10/2,0),IF('Eval-Après impact'!$A$777=BM16,LEN(SUBSTITUTE((SUBSTITUTE(CL25,"TM","")),"TS",""))*10/2,0),IF('Eval-Après impact'!$A$778=BM16,LEN(SUBSTITUTE((SUBSTITUTE(CL26,"TM","")),"TS",""))*10/2,0),IF('Eval-Après impact'!$A$779=BM16,LEN(SUBSTITUTE((SUBSTITUTE(CL27,"TM","")),"TS",""))*10/2,0),IF('Eval-Après impact'!$A$780=BM16,LEN(SUBSTITUTE((SUBSTITUTE(CL28,"TM","")),"TS",""))*10/2,0))/COUNTIF('Eval-Après impact'!$A$761:$A$780,BM16),"")</f>
        <v/>
      </c>
      <c r="BX16" s="211" t="str">
        <f>IF(COUNTIF('Eval-Après impact'!$A$761:$A$780,BM16)&gt;0,SUM(IF('Eval-Après impact'!$A$761=BM16,LEN(SUBSTITUTE((SUBSTITUTE(CL9,"TF","")),"TS",""))*10/2,0),IF('Eval-Après impact'!$A$762=BM16,LEN(SUBSTITUTE((SUBSTITUTE(CL10,"TF","")),"TS",""))*10/2,0),IF('Eval-Après impact'!$A$763=BM16,LEN(SUBSTITUTE((SUBSTITUTE(CL11,"TF","")),"TS",""))*10/2,0),IF('Eval-Après impact'!$A$764=BM16,LEN(SUBSTITUTE((SUBSTITUTE(CL12,"TF","")),"TS",""))*10/2,0),IF('Eval-Après impact'!$A$765=BM16,LEN(SUBSTITUTE((SUBSTITUTE(CL13,"TF","")),"TS",""))*10/2,0),IF('Eval-Après impact'!$A$766=BM16,LEN(SUBSTITUTE((SUBSTITUTE(CL14,"TF","")),"TS",""))*10/2,0),IF('Eval-Après impact'!$A$767=BM16,LEN(SUBSTITUTE((SUBSTITUTE(CL15,"TF","")),"TS",""))*10/2,0),IF('Eval-Après impact'!$A$768=BM16,LEN(SUBSTITUTE((SUBSTITUTE(CL16,"TF","")),"TS",""))*10/2,0),IF('Eval-Après impact'!$A$769=BM16,LEN(SUBSTITUTE((SUBSTITUTE(CL17,"TF","")),"TS",""))*10/2,0),IF('Eval-Après impact'!$A$770=BM16,LEN(SUBSTITUTE((SUBSTITUTE(CL18,"TF","")),"TS",""))*10/2,0),IF('Eval-Après impact'!$A$771=BM16,LEN(SUBSTITUTE((SUBSTITUTE(CL19,"TF","")),"TS",""))*10/2,0),IF('Eval-Après impact'!$A$772=BM16,LEN(SUBSTITUTE((SUBSTITUTE(CL20,"TF","")),"TS",""))*10/2,0),IF('Eval-Après impact'!$A$773=BM16,LEN(SUBSTITUTE((SUBSTITUTE(CL21,"TF","")),"TS",""))*10/2,0),IF('Eval-Après impact'!$A$774=BM16,LEN(SUBSTITUTE((SUBSTITUTE(CL22,"TF","")),"TS",""))*10/2,0),IF('Eval-Après impact'!$A$775=BM16,LEN(SUBSTITUTE((SUBSTITUTE(CL23,"TF","")),"TS",""))*10/2,0),IF('Eval-Après impact'!$A$776=BM16,LEN(SUBSTITUTE((SUBSTITUTE(CL24,"TF","")),"TS",""))*10/2,0),IF('Eval-Après impact'!$A$777=BM16,LEN(SUBSTITUTE((SUBSTITUTE(CL25,"TF","")),"TS",""))*10/2,0),IF('Eval-Après impact'!$A$778=BM16,LEN(SUBSTITUTE((SUBSTITUTE(CL26,"TF","")),"TS",""))*10/2,0),IF('Eval-Après impact'!$A$779=BM16,LEN(SUBSTITUTE((SUBSTITUTE(CL27,"TF","")),"TS",""))*10/2,0),IF('Eval-Après impact'!$A$780=BM16,LEN(SUBSTITUTE((SUBSTITUTE(CL28,"TF","")),"TS",""))*10/2,0))/COUNTIF('Eval-Après impact'!$A$761:$A$780,BM16),"")</f>
        <v/>
      </c>
      <c r="BY16" s="211" t="str">
        <f>IF(COUNTIF('Eval-Après impact'!$A$761:$A$780,BM16)&gt;0,SUM(IF('Eval-Après impact'!$A$761=BM16,LEN(SUBSTITUTE((SUBSTITUTE(CL9,"TF","")),"TM",""))*10/2,0),IF('Eval-Après impact'!$A$762=BM16,LEN(SUBSTITUTE((SUBSTITUTE(CL10,"TF","")),"TM",""))*10/2,0),IF('Eval-Après impact'!$A$763=BM16,LEN(SUBSTITUTE((SUBSTITUTE(CL11,"TF","")),"TM",""))*10/2,0),IF('Eval-Après impact'!$A$764=BM16,LEN(SUBSTITUTE((SUBSTITUTE(CL12,"TF","")),"TM",""))*10/2,0),IF('Eval-Après impact'!$A$765=BM16,LEN(SUBSTITUTE((SUBSTITUTE(CL13,"TF","")),"TM",""))*10/2,0),IF('Eval-Après impact'!$A$766=BM16,LEN(SUBSTITUTE((SUBSTITUTE(CL14,"TF","")),"TM",""))*10/2,0),IF('Eval-Après impact'!$A$767=BM16,LEN(SUBSTITUTE((SUBSTITUTE(CL15,"TF","")),"TM",""))*10/2,0),IF('Eval-Après impact'!$A$768=BM16,LEN(SUBSTITUTE((SUBSTITUTE(CL16,"TF","")),"TM",""))*10/2,0),IF('Eval-Après impact'!$A$769=BM16,LEN(SUBSTITUTE((SUBSTITUTE(CL17,"TF","")),"TM",""))*10/2,0),IF('Eval-Après impact'!$A$770=BM16,LEN(SUBSTITUTE((SUBSTITUTE(CL18,"TF","")),"TM",""))*10/2,0),IF('Eval-Après impact'!$A$771=BM16,LEN(SUBSTITUTE((SUBSTITUTE(CL19,"TF","")),"TM",""))*10/2,0),IF('Eval-Après impact'!$A$772=BM16,LEN(SUBSTITUTE((SUBSTITUTE(CL20,"TF","")),"TM",""))*10/2,0),IF('Eval-Après impact'!$A$773=BM16,LEN(SUBSTITUTE((SUBSTITUTE(CL21,"TF","")),"TM",""))*10/2,0),IF('Eval-Après impact'!$A$774=BM16,LEN(SUBSTITUTE((SUBSTITUTE(CL22,"TF","")),"TM",""))*10/2,0),IF('Eval-Après impact'!$A$775=BM16,LEN(SUBSTITUTE((SUBSTITUTE(CL23,"TF","")),"TM",""))*10/2,0),IF('Eval-Après impact'!$A$776=BM16,LEN(SUBSTITUTE((SUBSTITUTE(CL24,"TF","")),"TM",""))*10/2,0),IF('Eval-Après impact'!$A$777=BM16,LEN(SUBSTITUTE((SUBSTITUTE(CL25,"TF","")),"TM",""))*10/2,0),IF('Eval-Après impact'!$A$778=BM16,LEN(SUBSTITUTE((SUBSTITUTE(CL26,"TF","")),"TM",""))*10/2,0),IF('Eval-Après impact'!$A$779=BM16,LEN(SUBSTITUTE((SUBSTITUTE(CL27,"TF","")),"TM",""))*10/2,0),IF('Eval-Après impact'!$A$780=BM16,LEN(SUBSTITUTE((SUBSTITUTE(CL28,"TF","")),"TM",""))*10/2,0))/COUNTIF('Eval-Après impact'!$A$761:$A$780,BM16),"")</f>
        <v/>
      </c>
      <c r="BZ16" s="211" t="str">
        <f>IF(COUNTIF('Eval-Après impact'!$A$761:$A$780,BM16)&gt;0,SUM(IF('Eval-Après impact'!$A$761=BM16,LEN(SUBSTITUTE((SUBSTITUTE(CM9,"TM","")),"TS",""))*10/2,0),IF('Eval-Après impact'!$A$762=BM16,LEN(SUBSTITUTE((SUBSTITUTE(CM10,"TM","")),"TS",""))*10/2,0),IF('Eval-Après impact'!$A$763=BM16,LEN(SUBSTITUTE((SUBSTITUTE(CM11,"TM","")),"TS",""))*10/2,0),IF('Eval-Après impact'!$A$764=BM16,LEN(SUBSTITUTE((SUBSTITUTE(CM12,"TM","")),"TS",""))*10/2,0),IF('Eval-Après impact'!$A$765=BM16,LEN(SUBSTITUTE((SUBSTITUTE(CM13,"TM","")),"TS",""))*10/2,0),IF('Eval-Après impact'!$A$766=BM16,LEN(SUBSTITUTE((SUBSTITUTE(CM14,"TM","")),"TS",""))*10/2,0),IF('Eval-Après impact'!$A$767=BM16,LEN(SUBSTITUTE((SUBSTITUTE(CM15,"TM","")),"TS",""))*10/2,0),IF('Eval-Après impact'!$A$768=BM16,LEN(SUBSTITUTE((SUBSTITUTE(CM16,"TM","")),"TS",""))*10/2,0),IF('Eval-Après impact'!$A$769=BM16,LEN(SUBSTITUTE((SUBSTITUTE(CM17,"TM","")),"TS",""))*10/2,0),IF('Eval-Après impact'!$A$770=BM16,LEN(SUBSTITUTE((SUBSTITUTE(CM18,"TM","")),"TS",""))*10/2,0),IF('Eval-Après impact'!$A$771=BM16,LEN(SUBSTITUTE((SUBSTITUTE(CM19,"TM","")),"TS",""))*10/2,0),IF('Eval-Après impact'!$A$772=BM16,LEN(SUBSTITUTE((SUBSTITUTE(CM20,"TM","")),"TS",""))*10/2,0),IF('Eval-Après impact'!$A$773=BM16,LEN(SUBSTITUTE((SUBSTITUTE(CM21,"TM","")),"TS",""))*10/2,0),IF('Eval-Après impact'!$A$774=BM16,LEN(SUBSTITUTE((SUBSTITUTE(CM22,"TM","")),"TS",""))*10/2,0),IF('Eval-Après impact'!$A$775=BM16,LEN(SUBSTITUTE((SUBSTITUTE(CM23,"TM","")),"TS",""))*10/2,0),IF('Eval-Après impact'!$A$776=BM16,LEN(SUBSTITUTE((SUBSTITUTE(CM24,"TM","")),"TS",""))*10/2,0),IF('Eval-Après impact'!$A$777=BM16,LEN(SUBSTITUTE((SUBSTITUTE(CM25,"TM","")),"TS",""))*10/2,0),IF('Eval-Après impact'!$A$778=BM16,LEN(SUBSTITUTE((SUBSTITUTE(CM26,"TM","")),"TS",""))*10/2,0),IF('Eval-Après impact'!$A$779=BM16,LEN(SUBSTITUTE((SUBSTITUTE(CM27,"TM","")),"TS",""))*10/2,0),IF('Eval-Après impact'!$A$780=BM16,LEN(SUBSTITUTE((SUBSTITUTE(CM28,"TM","")),"TS",""))*10/2,0))/COUNTIF('Eval-Après impact'!$A$761:$A$780,BM16),"")</f>
        <v/>
      </c>
      <c r="CA16" s="211" t="str">
        <f>IF(COUNTIF('Eval-Après impact'!$A$761:$A$780,BM16)&gt;0,SUM(IF('Eval-Après impact'!$A$761=BM16,LEN(SUBSTITUTE((SUBSTITUTE(CM9,"TF","")),"TS",""))*10/2,0),IF('Eval-Après impact'!$A$762=BM16,LEN(SUBSTITUTE((SUBSTITUTE(CM10,"TF","")),"TS",""))*10/2,0),IF('Eval-Après impact'!$A$763=BM16,LEN(SUBSTITUTE((SUBSTITUTE(CM11,"TF","")),"TS",""))*10/2,0),IF('Eval-Après impact'!$A$764=BM16,LEN(SUBSTITUTE((SUBSTITUTE(CM12,"TF","")),"TS",""))*10/2,0),IF('Eval-Après impact'!$A$765=BM16,LEN(SUBSTITUTE((SUBSTITUTE(CM13,"TF","")),"TS",""))*10/2,0),IF('Eval-Après impact'!$A$766=BM16,LEN(SUBSTITUTE((SUBSTITUTE(CM14,"TF","")),"TS",""))*10/2,0),IF('Eval-Après impact'!$A$767=BM16,LEN(SUBSTITUTE((SUBSTITUTE(CM15,"TF","")),"TS",""))*10/2,0),IF('Eval-Après impact'!$A$768=BM16,LEN(SUBSTITUTE((SUBSTITUTE(CM16,"TF","")),"TS",""))*10/2,0),IF('Eval-Après impact'!$A$769=BM16,LEN(SUBSTITUTE((SUBSTITUTE(CM17,"TF","")),"TS",""))*10/2,0),IF('Eval-Après impact'!$A$770=BM16,LEN(SUBSTITUTE((SUBSTITUTE(CM18,"TF","")),"TS",""))*10/2,0),IF('Eval-Après impact'!$A$771=BM16,LEN(SUBSTITUTE((SUBSTITUTE(CM19,"TF","")),"TS",""))*10/2,0),IF('Eval-Après impact'!$A$772=BM16,LEN(SUBSTITUTE((SUBSTITUTE(CM20,"TF","")),"TS",""))*10/2,0),IF('Eval-Après impact'!$A$773=BM16,LEN(SUBSTITUTE((SUBSTITUTE(CM21,"TF","")),"TS",""))*10/2,0),IF('Eval-Après impact'!$A$774=BM16,LEN(SUBSTITUTE((SUBSTITUTE(CM22,"TF","")),"TS",""))*10/2,0),IF('Eval-Après impact'!$A$775=BM16,LEN(SUBSTITUTE((SUBSTITUTE(CM23,"TF","")),"TS",""))*10/2,0),IF('Eval-Après impact'!$A$776=BM16,LEN(SUBSTITUTE((SUBSTITUTE(CM24,"TF","")),"TS",""))*10/2,0),IF('Eval-Après impact'!$A$777=BM16,LEN(SUBSTITUTE((SUBSTITUTE(CM25,"TF","")),"TS",""))*10/2,0),IF('Eval-Après impact'!$A$778=BM16,LEN(SUBSTITUTE((SUBSTITUTE(CM26,"TF","")),"TS",""))*10/2,0),IF('Eval-Après impact'!$A$779=BM16,LEN(SUBSTITUTE((SUBSTITUTE(CM27,"TF","")),"TS",""))*10/2,0),IF('Eval-Après impact'!$A$780=BM16,LEN(SUBSTITUTE((SUBSTITUTE(CM28,"TF","")),"TS",""))*10/2,0))/COUNTIF('Eval-Après impact'!$A$761:$A$780,BM16),"")</f>
        <v/>
      </c>
      <c r="CB16" s="211" t="str">
        <f>IF(COUNTIF('Eval-Après impact'!$A$761:$A$780,BM16)&gt;0,SUM(IF('Eval-Après impact'!$A$761=BM16,LEN(SUBSTITUTE((SUBSTITUTE(CM9,"TF","")),"TM",""))*10/2,0),IF('Eval-Après impact'!$A$762=BM16,LEN(SUBSTITUTE((SUBSTITUTE(CM10,"TF","")),"TM",""))*10/2,0),IF('Eval-Après impact'!$A$763=BM16,LEN(SUBSTITUTE((SUBSTITUTE(CM11,"TF","")),"TM",""))*10/2,0),IF('Eval-Après impact'!$A$764=BM16,LEN(SUBSTITUTE((SUBSTITUTE(CM12,"TF","")),"TM",""))*10/2,0),IF('Eval-Après impact'!$A$765=BM16,LEN(SUBSTITUTE((SUBSTITUTE(CM13,"TF","")),"TM",""))*10/2,0),IF('Eval-Après impact'!$A$766=BM16,LEN(SUBSTITUTE((SUBSTITUTE(CM14,"TF","")),"TM",""))*10/2,0),IF('Eval-Après impact'!$A$767=BM16,LEN(SUBSTITUTE((SUBSTITUTE(CM15,"TF","")),"TM",""))*10/2,0),IF('Eval-Après impact'!$A$768=BM16,LEN(SUBSTITUTE((SUBSTITUTE(CM16,"TF","")),"TM",""))*10/2,0),IF('Eval-Après impact'!$A$769=BM16,LEN(SUBSTITUTE((SUBSTITUTE(CM17,"TF","")),"TM",""))*10/2,0),IF('Eval-Après impact'!$A$770=BM16,LEN(SUBSTITUTE((SUBSTITUTE(CM18,"TF","")),"TM",""))*10/2,0),IF('Eval-Après impact'!$A$771=BM16,LEN(SUBSTITUTE((SUBSTITUTE(CM19,"TF","")),"TM",""))*10/2,0),IF('Eval-Après impact'!$A$772=BM16,LEN(SUBSTITUTE((SUBSTITUTE(CM20,"TF","")),"TM",""))*10/2,0),IF('Eval-Après impact'!$A$773=BM16,LEN(SUBSTITUTE((SUBSTITUTE(CM21,"TF","")),"TM",""))*10/2,0),IF('Eval-Après impact'!$A$774=BM16,LEN(SUBSTITUTE((SUBSTITUTE(CM22,"TF","")),"TM",""))*10/2,0),IF('Eval-Après impact'!$A$775=BM16,LEN(SUBSTITUTE((SUBSTITUTE(CM23,"TF","")),"TM",""))*10/2,0),IF('Eval-Après impact'!$A$776=BM16,LEN(SUBSTITUTE((SUBSTITUTE(CM24,"TF","")),"TM",""))*10/2,0),IF('Eval-Après impact'!$A$777=BM16,LEN(SUBSTITUTE((SUBSTITUTE(CM25,"TF","")),"TM",""))*10/2,0),IF('Eval-Après impact'!$A$778=BM16,LEN(SUBSTITUTE((SUBSTITUTE(CM26,"TF","")),"TM",""))*10/2,0),IF('Eval-Après impact'!$A$779=BM16,LEN(SUBSTITUTE((SUBSTITUTE(CM27,"TF","")),"TM",""))*10/2,0),IF('Eval-Après impact'!$A$780=BM16,LEN(SUBSTITUTE((SUBSTITUTE(CM28,"TF","")),"TM",""))*10/2,0))/COUNTIF('Eval-Après impact'!$A$761:$A$780,BM16),"")</f>
        <v/>
      </c>
      <c r="CC16" s="211" t="str">
        <f>IF(COUNTIF('Eval-Après impact'!$A$761:$A$780,BM16)&gt;0,IF(OR(AND('Eval-Après impact'!$A$761=BM16,CJ9&lt;30),AND('Eval-Après impact'!$A$762=BM16,CJ10&lt;30),AND('Eval-Après impact'!$A$763=BM16,CJ11&lt;30),AND('Eval-Après impact'!$A$764=BM16,CJ12&lt;30),AND('Eval-Après impact'!$A$765=BM16,CJ13&lt;30),AND('Eval-Après impact'!$A$766=BM16,CJ14&lt;30),AND('Eval-Après impact'!$A$767=BM16,CJ15&lt;30),AND('Eval-Après impact'!$A$768=BM16,CJ16&lt;30),AND('Eval-Après impact'!$A$769=BM16,CJ17&lt;30),AND('Eval-Après impact'!$A$770=BM16,CJ18&lt;30),AND('Eval-Après impact'!$A$771=BM16,CJ19&lt;30),AND('Eval-Après impact'!$A$772=BM16,CJ20&lt;30),AND('Eval-Après impact'!$A$773=BM16,CJ21&lt;30),AND('Eval-Après impact'!$A$774=BM16,CJ22&lt;30),AND('Eval-Après impact'!$A$775=BM16,CJ23&lt;30),AND('Eval-Après impact'!$A$776=BM16,CJ24&lt;30),AND('Eval-Après impact'!$A$777=BM16,CJ25&lt;30),AND('Eval-Après impact'!$A$778=BM16,CJ26&lt;30),AND('Eval-Après impact'!$A$779=BM16,CJ27&lt;30),AND('Eval-Après impact'!$A$780=BM16,CJ28&lt;30)),"",SUM(0.1*(SUMPRODUCT(('Eval-Après impact'!$A$761:$A$780=BM16)*('Eval-Après impact'!$N$761:$P$780="A"))+ SUMPRODUCT(('Eval-Après impact'!$A$761:$A$780=BM16)*('Eval-Après impact'!$N$761:$P$780="AL"))),0.7*(SUMPRODUCT(('Eval-Après impact'!$A$761:$A$780=BM16)*('Eval-Après impact'!$N$761:$P$780="TF"))+SUMPRODUCT(('Eval-Après impact'!$A$761:$A$780=BM16)*('Eval-Après impact'!$N$761:$P$780="TM"))+SUMPRODUCT(('Eval-Après impact'!$A$761:$A$780=BM16)*('Eval-Après impact'!$N$761:$P$780="TS"))),0.4*(SUMPRODUCT(('Eval-Après impact'!$A$761:$A$780=BM16)*('Eval-Après impact'!$N$761:$P$780="LA"))+SUMPRODUCT(('Eval-Après impact'!$A$761:$A$780=BM16)*('Eval-Après impact'!$N$761:$P$780="L"))+SUMPRODUCT(('Eval-Après impact'!$A$761:$A$780=BM16)*('Eval-Après impact'!$N$761:$P$780="LS"))),1*(SUMPRODUCT(('Eval-Après impact'!$A$761:$A$780=BM16)*('Eval-Après impact'!$N$761:$P$780="SL"))+ SUMPRODUCT(('Eval-Après impact'!$A$761:$A$780=BM16)*('Eval-Après impact'!$N$761:$P$780="S"))))/(3*COUNTIF('Eval-Après impact'!$A$761:$A$780,BM16))),"")</f>
        <v/>
      </c>
      <c r="CD16" s="211" t="str">
        <f>IF(COUNTIF('Eval-Après impact'!$A$761:$A$780,BM16)&gt;0,IF(OR(AND('Eval-Après impact'!$A$761=BM16,CJ9&lt;120),AND('Eval-Après impact'!$A$762=BM16,CJ10&lt;120),AND('Eval-Après impact'!$A$763=BM16,CJ11&lt;120),AND('Eval-Après impact'!$A$764=BM16,CJ12&lt;120),AND('Eval-Après impact'!$A$765=BM16,CJ13&lt;120),AND('Eval-Après impact'!$A$766=BM16,CJ14&lt;120),AND('Eval-Après impact'!$A$767=BM16,CJ15&lt;120),AND('Eval-Après impact'!$A$768=BM16,CJ16&lt;120),AND('Eval-Après impact'!$A$769=BM16,CJ17&lt;120),AND('Eval-Après impact'!$A$770=BM16,CJ18&lt;120),AND('Eval-Après impact'!$A$771=BM16,CJ19&lt;120),AND('Eval-Après impact'!$A$772=BM16,CJ20&lt;120),AND('Eval-Après impact'!$A$773=BM16,CJ21&lt;120),AND('Eval-Après impact'!$A$774=BM16,CJ22&lt;120),AND('Eval-Après impact'!$A$775=BM16,CJ23&lt;120),AND('Eval-Après impact'!$A$776=BM16,CJ24&lt;120),AND('Eval-Après impact'!$A$777=BM16,CJ25&lt;120),AND('Eval-Après impact'!$A$778=BM16,CJ26&lt;120),AND('Eval-Après impact'!$A$779=BM16,CJ27&lt;120),AND('Eval-Après impact'!$A$780=BM16,CJ28&lt;120)),"",SUM(0.1*(SUMPRODUCT(('Eval-Après impact'!$A$761:$A$780=BM16)*('Eval-Après impact'!$Q$761:$Y$780="A"))+ SUMPRODUCT(('Eval-Après impact'!$A$761:$A$780=BM16)*('Eval-Après impact'!$Q$761:$Y$780="AL"))),0.7*(SUMPRODUCT(('Eval-Après impact'!$A$761:$A$780=BM16)*('Eval-Après impact'!$Q$761:$Y$780="TF"))+SUMPRODUCT(('Eval-Après impact'!$A$761:$A$780=BM16)*('Eval-Après impact'!$Q$761:$Y$780="TM"))+SUMPRODUCT(('Eval-Après impact'!$A$761:$A$780=BM16)*('Eval-Après impact'!$Q$761:$Y$780="TS"))),0.4*(SUMPRODUCT(('Eval-Après impact'!$A$761:$A$780=BM16)*('Eval-Après impact'!$Q$761:$Y$780="LA"))+SUMPRODUCT(('Eval-Après impact'!$A$761:$A$780=BM16)*('Eval-Après impact'!$Q$761:$Y$780="L"))+SUMPRODUCT(('Eval-Après impact'!$A$761:$A$780=BM16)*('Eval-Après impact'!$Q$761:$Y$780="LS"))),1*(SUMPRODUCT(('Eval-Après impact'!$A$761:$A$780=BM16)*('Eval-Après impact'!$Q$761:$Y$780="SL"))+ SUMPRODUCT(('Eval-Après impact'!$A$761:$A$780=BM16)*('Eval-Après impact'!$Q$761:$Y$780="S"))))/(9*COUNTIF('Eval-Après impact'!$A$761:$A$780,BM16))),"")</f>
        <v/>
      </c>
      <c r="CE16" s="211" t="str">
        <f>IF(COUNTIF('Eval-Après impact'!$A$761:$A$780,BM16)&gt;0,IF(OR(AND('Eval-Après impact'!$A$761=BM16,OR(COUNTIF('Eval-Après impact'!$N$761:$P$761,"*T*")&gt;0,CJ9&lt;30)),AND('Eval-Après impact'!$A$762=BM16,OR(COUNTIF('Eval-Après impact'!$N$762:$P$762,"*T*")&gt;0,CJ10&lt;30)),AND('Eval-Après impact'!$A$763=BM16,OR(COUNTIF('Eval-Après impact'!$N$763:$P$763,"*T*")&gt;0,CJ11&lt;30)),AND('Eval-Après impact'!$A$764=BM16,OR(COUNTIF('Eval-Après impact'!$N$764:$P$764,"*T*")&gt;0,CJ12&lt;30)),AND('Eval-Après impact'!$A$765=BM16,OR(COUNTIF('Eval-Après impact'!$N$765:$P$765,"*T*")&gt;0,CJ13&lt;30)),AND('Eval-Après impact'!$A$766=BM16,OR(COUNTIF('Eval-Après impact'!$N$766:$P$766,"*T*")&gt;0,CJ14&lt;30)),AND('Eval-Après impact'!$A$767=BM16,OR(COUNTIF('Eval-Après impact'!$N$767:$P$767,"*T*")&gt;0,CJ15&lt;30)),AND('Eval-Après impact'!$A$768=BM16,OR(COUNTIF('Eval-Après impact'!$N$768:$P$768,"*T*")&gt;0,CJ16&lt;30)),AND('Eval-Après impact'!$A$769=BM16,OR(COUNTIF('Eval-Après impact'!$N$769:$P$769,"*T*")&gt;0,CJ17&lt;30)),AND('Eval-Après impact'!$A$770=BM16,OR(COUNTIF('Eval-Après impact'!$N$770:$P$770,"*T*")&gt;0,CJ18&lt;30)),AND('Eval-Après impact'!$A$771=BM16,OR(COUNTIF('Eval-Après impact'!$N$771:$P$771,"*T*")&gt;0,CJ19&lt;30)),AND('Eval-Après impact'!$A$772=BM16,OR(COUNTIF('Eval-Après impact'!$N$772:$P$772,"*T*")&gt;0,CJ20&lt;30)),AND('Eval-Après impact'!$A$773=BM16,OR(COUNTIF('Eval-Après impact'!$N$773:$P$773,"*T*")&gt;0,CJ21&lt;30)),AND('Eval-Après impact'!$A$774=BM16,OR(COUNTIF('Eval-Après impact'!$N$774:$P$774,"*T*")&gt;0,CJ22&lt;30)),AND('Eval-Après impact'!$A$775=BM16,OR(COUNTIF('Eval-Après impact'!$N$775:$P$775,"*T*")&gt;0,CJ23&lt;30)),AND('Eval-Après impact'!$A$776=BM16,OR(COUNTIF('Eval-Après impact'!$N$776:$P$776,"*T*")&gt;0,CJ24&lt;30)),AND('Eval-Après impact'!$A$777=BM16,OR(COUNTIF('Eval-Après impact'!$N$777:$P$777,"*T*")&gt;0,CJ25&lt;30)),AND('Eval-Après impact'!$A$778=BM16,OR(COUNTIF('Eval-Après impact'!$N$778:$P$778,"*T*")&gt;0,CJ26&lt;30)),AND('Eval-Après impact'!$A$779=BM16,OR(COUNTIF('Eval-Après impact'!$N$779:$P$779,"*T*")&gt;0,CJ27&lt;30)),AND('Eval-Après impact'!$A$780=BM16,OR(COUNTIF('Eval-Après impact'!$N$780:$P$780,"*T*")&gt;0,CJ28&lt;30))),"",SUM(0.1*(SUMPRODUCT(('Eval-Après impact'!$A$761:$A$780=BM16)*('Eval-Après impact'!$N$761:$P$780="L"))),0.4*(SUMPRODUCT(('Eval-Après impact'!$A$761:$A$780=BM16)*('Eval-Après impact'!$N$761:$P$780="LA"))+SUMPRODUCT(('Eval-Après impact'!$A$761:$A$780=BM16)*('Eval-Après impact'!$N$761:$P$780="LS"))),0.7*(SUMPRODUCT(('Eval-Après impact'!$A$761:$A$780=BM16)*('Eval-Après impact'!$N$761:$P$780="AL"))+SUMPRODUCT(('Eval-Après impact'!$A$761:$A$780=BM16)*('Eval-Après impact'!$N$761:$P$780="SL"))),1*(SUMPRODUCT(('Eval-Après impact'!$A$761:$A$780=BM16)*('Eval-Après impact'!$N$761:$P$780="S"))+ SUMPRODUCT(('Eval-Après impact'!$A$761:$A$780=BM16)*('Eval-Après impact'!$N$761:$P$780="A"))))/(3*COUNTIF('Eval-Après impact'!$A$761:$A$780,BM16))),"")</f>
        <v/>
      </c>
      <c r="CF16" s="211" t="str">
        <f>IF(COUNTIF('Eval-Après impact'!$A$761:$A$780,BM16)&gt;0,IF(OR(AND('Eval-Après impact'!$A$761=BM16,OR(COUNTIF('Eval-Après impact'!$N$761:$P$761,"*T*")&gt;0,CJ9&lt;30)),AND('Eval-Après impact'!$A$762=BM16,OR(COUNTIF('Eval-Après impact'!$N$762:$P$762,"*T*")&gt;0,CJ10&lt;30)),AND('Eval-Après impact'!$A$763=BM16,OR(COUNTIF('Eval-Après impact'!$N$763:$P$763,"*T*")&gt;0,CJ11&lt;30)),AND('Eval-Après impact'!$A$764=BM16,OR(COUNTIF('Eval-Après impact'!$N$764:$P$764,"*T*")&gt;0,CJ12&lt;30)),AND('Eval-Après impact'!$A$765=BM16,OR(COUNTIF('Eval-Après impact'!$N$765:$P$765,"*T*")&gt;0,CJ13&lt;30)),AND('Eval-Après impact'!$A$766=BM16,OR(COUNTIF('Eval-Après impact'!$N$766:$P$766,"*T*")&gt;0,CJ14&lt;30)),AND('Eval-Après impact'!$A$767=BM16,OR(COUNTIF('Eval-Après impact'!$N$767:$P$767,"*T*")&gt;0,CJ15&lt;30)),AND('Eval-Après impact'!$A$768=BM16,OR(COUNTIF('Eval-Après impact'!$N$768:$P$768,"*T*")&gt;0,CJ16&lt;30)),AND('Eval-Après impact'!$A$769=BM16,OR(COUNTIF('Eval-Après impact'!$N$769:$P$769,"*T*")&gt;0,CJ17&lt;30)),AND('Eval-Après impact'!$A$770=BM16,OR(COUNTIF('Eval-Après impact'!$N$770:$P$770,"*T*")&gt;0,CJ18&lt;30)),AND('Eval-Après impact'!$A$771=BM16,OR(COUNTIF('Eval-Après impact'!$N$771:$P$771,"*T*")&gt;0,CJ19&lt;30)),AND('Eval-Après impact'!$A$772=BM16,OR(COUNTIF('Eval-Après impact'!$N$772:$P$772,"*T*")&gt;0,CJ20&lt;30)),AND('Eval-Après impact'!$A$773=BM16,OR(COUNTIF('Eval-Après impact'!$N$773:$P$773,"*T*")&gt;0,CJ21&lt;30)),AND('Eval-Après impact'!$A$774=BM16,OR(COUNTIF('Eval-Après impact'!$N$774:$P$774,"*T*")&gt;0,CJ22&lt;30)),AND('Eval-Après impact'!$A$775=BM16,OR(COUNTIF('Eval-Après impact'!$N$775:$P$775,"*T*")&gt;0,CJ23&lt;30)),AND('Eval-Après impact'!$A$776=BM16,OR(COUNTIF('Eval-Après impact'!$N$776:$P$776,"*T*")&gt;0,CJ24&lt;30)),AND('Eval-Après impact'!$A$777=BM16,OR(COUNTIF('Eval-Après impact'!$N$777:$P$777,"*T*")&gt;0,CJ25&lt;30)),AND('Eval-Après impact'!$A$778=BM16,OR(COUNTIF('Eval-Après impact'!$N$778:$P$778,"*T*")&gt;0,CJ26&lt;30)),AND('Eval-Après impact'!$A$779=BM16,OR(COUNTIF('Eval-Après impact'!$N$779:$P$779,"*T*")&gt;0,CJ27&lt;30)),AND('Eval-Après impact'!$A$780=BM16,OR(COUNTIF('Eval-Après impact'!$N$780:$P$780,"*T*")&gt;0,CJ28&lt;30))),"",SUM(1*(SUMPRODUCT(('Eval-Après impact'!$A$761:$A$780=BM16)*('Eval-Après impact'!$N$761:$P$780="A"))),0.85*(SUMPRODUCT(('Eval-Après impact'!$A$761:$A$780=BM16)*('Eval-Après impact'!$N$761:$P$780="AL"))),0.7*(SUMPRODUCT(('Eval-Après impact'!$A$761:$A$780=BM16)*('Eval-Après impact'!$N$761:$P$780="LA"))),0.55*(SUMPRODUCT(('Eval-Après impact'!$A$761:$A$780=BM16)*('Eval-Après impact'!$N$761:$P$780="L"))),0.4*(SUMPRODUCT(('Eval-Après impact'!$A$761:$A$780=BM16)*('Eval-Après impact'!$N$761:$P$780="LS"))),0.25*(SUMPRODUCT(('Eval-Après impact'!$A$761:$A$780=BM16)*('Eval-Après impact'!$N$761:$P$780="SL"))),0.1*(SUMPRODUCT(('Eval-Après impact'!$A$761:$A$780=BM16)*('Eval-Après impact'!$N$761:$P$780="S"))))/(3*COUNTIF('Eval-Après impact'!$A$761:$A$780,BM16))),"")</f>
        <v/>
      </c>
      <c r="CG16" s="214" t="str">
        <f>IF(COUNTIF('Eval-Après impact'!$A$761:$A$780,BM16)&gt;0,IF(OR(AND('Eval-Après impact'!$A$761=BM16,OR(COUNTIF('Eval-Après impact'!$Q$761:$Y$761,"*T*")&gt;0,CJ9&lt;120)),AND('Eval-Après impact'!$A$762=BM16,OR(COUNTIF('Eval-Après impact'!$Q$762:$Y$762,"*T*")&gt;0,CJ10&lt;120)),AND('Eval-Après impact'!$A$763=BM16,OR(COUNTIF('Eval-Après impact'!$Q$763:$Y$763,"*T*")&gt;0,CJ11&lt;120)),AND('Eval-Après impact'!$A$764=BM16,OR(COUNTIF('Eval-Après impact'!$Q$764:$Y$764,"*T*")&gt;0,CJ12&lt;120)),AND('Eval-Après impact'!$A$765=BM16,OR(COUNTIF('Eval-Après impact'!$Q$765:$Y$765,"*T*")&gt;0,CJ13&lt;120)),AND('Eval-Après impact'!$A$766=BM16,OR(COUNTIF('Eval-Après impact'!$Q$766:$Y$766,"*T*")&gt;0,CJ14&lt;120)),AND('Eval-Après impact'!$A$767=BM16,OR(COUNTIF('Eval-Après impact'!$Q$767:$Y$767,"*T*")&gt;0,CJ15&lt;120)),AND('Eval-Après impact'!$A$768=BM16,OR(COUNTIF('Eval-Après impact'!$Q$768:$Y$768,"*T*")&gt;0,CJ16&lt;120)),AND('Eval-Après impact'!$A$769=BM16,OR(COUNTIF('Eval-Après impact'!$Q$769:$Y$769,"*T*")&gt;0,CJ17&lt;120)),AND('Eval-Après impact'!$A$770=BM16,OR(COUNTIF('Eval-Après impact'!$Q$770:$Y$770,"*T*")&gt;0,CJ18&lt;120)),AND('Eval-Après impact'!$A$771=BM16,OR(COUNTIF('Eval-Après impact'!$Q$771:$Y$771,"*T*")&gt;0,CJ19&lt;120)),AND('Eval-Après impact'!$A$772=BM16,OR(COUNTIF('Eval-Après impact'!$Q$772:$Y$772,"*T*")&gt;0,CJ20&lt;120)),AND('Eval-Après impact'!$A$773=BM16,OR(COUNTIF('Eval-Après impact'!$Q$773:$Y$773,"*T*")&gt;0,CJ21&lt;120)),AND('Eval-Après impact'!$A$774=BM16,OR(COUNTIF('Eval-Après impact'!$Q$774:$Y$774,"*T*")&gt;0,CJ22&lt;120)),AND('Eval-Après impact'!$A$775=BM16,OR(COUNTIF('Eval-Après impact'!$Q$775:$Y$775,"*T*")&gt;0,CJ23&lt;120)),AND('Eval-Après impact'!$A$776=BM16,OR(COUNTIF('Eval-Après impact'!$Q$776:$Y$776,"*T*")&gt;0,CJ24&lt;120)),AND('Eval-Après impact'!$A$777=BM16,OR(COUNTIF('Eval-Après impact'!$Q$777:$Y$777,"*T*")&gt;0,CJ25&lt;120)),AND('Eval-Après impact'!$A$778=BM16,OR(COUNTIF('Eval-Après impact'!$Q$778:$Y$778,"*T*")&gt;0,CJ26&lt;120)),AND('Eval-Après impact'!$A$779=BM16,OR(COUNTIF('Eval-Après impact'!$Q$779:$Y$779,"*T*")&gt;0,CJ27&lt;120)),AND('Eval-Après impact'!$A$780=BM16,OR(COUNTIF('Eval-Après impact'!$Q$780:$Y$780,"*T*")&gt;0,CJ28&lt;120))),"",SUM(1*(SUMPRODUCT(('Eval-Après impact'!$A$761:$A$780=BM16)*('Eval-Après impact'!$Q$761:$Y$780="A"))),0.85*(SUMPRODUCT(('Eval-Après impact'!$A$761:$A$780=BM16)*('Eval-Après impact'!$Q$761:$Y$780="AL"))),0.7*(SUMPRODUCT(('Eval-Après impact'!$A$761:$A$780=BM16)*('Eval-Après impact'!$Q$761:$Y$780="LA"))),0.55*(SUMPRODUCT(('Eval-Après impact'!$A$761:$A$780=BM16)*('Eval-Après impact'!$Q$761:$Y$780="L"))),0.4*(SUMPRODUCT(('Eval-Après impact'!$A$761:$A$780=BM16)*('Eval-Après impact'!$Q$761:$Y$780="LS"))),0.25*(SUMPRODUCT(('Eval-Après impact'!$A$761:$A$780=BM16)*('Eval-Après impact'!$Q$761:$Y$780="SL"))),0.1*(SUMPRODUCT(('Eval-Après impact'!$A$761:$A$780=BM16)*('Eval-Après impact'!$Q$761:$Y$780="S"))))/(9*COUNTIF('Eval-Après impact'!$A$761:$A$780,BM16))),"")</f>
        <v/>
      </c>
      <c r="CH16" s="215"/>
      <c r="CI16" s="216">
        <f>'Eval-Après impact'!$D$768</f>
        <v>8</v>
      </c>
      <c r="CJ16" s="217" t="str">
        <f>IF(CK16="C",0,IF(IF(COUNTIF('Eval-Après impact'!$N$768:$Y$768,"=C")&gt;0,(COUNTA('Eval-Après impact'!$N$768:$Y$768)-1)*10,COUNTA('Eval-Après impact'!$N$768:$Y$768)*10)=0,"",IF(COUNTIF('Eval-Après impact'!$N$768:$Y$768,"=C")&gt;0,(COUNTA('Eval-Après impact'!$N$768:$Y$768)-1)*10,COUNTA('Eval-Après impact'!$N$768:$Y$768)*10)))</f>
        <v/>
      </c>
      <c r="CK16" s="217" t="str">
        <f>CONCATENATE('Eval-Après impact'!$N$768,'Eval-Après impact'!$O$768,'Eval-Après impact'!$P$768,'Eval-Après impact'!$Q$768,'Eval-Après impact'!$R$768,'Eval-Après impact'!$S$768,'Eval-Après impact'!$T$768,'Eval-Après impact'!$U$768,'Eval-Après impact'!$V$768,'Eval-Après impact'!$W$768,'Eval-Après impact'!$X$768,'Eval-Après impact'!$Y$768)</f>
        <v/>
      </c>
      <c r="CL16" s="217" t="str">
        <f t="shared" si="8"/>
        <v/>
      </c>
      <c r="CM16" s="217" t="str">
        <f t="shared" si="9"/>
        <v/>
      </c>
      <c r="CN16" s="217" t="str">
        <f>IF(COUNTIF('Eval-Après impact'!$N$768:$Y$768,"=C")&gt;0,"X","")</f>
        <v/>
      </c>
      <c r="CO16" s="217" t="str">
        <f t="shared" si="10"/>
        <v/>
      </c>
      <c r="CP16" s="218" t="str">
        <f t="shared" si="11"/>
        <v/>
      </c>
      <c r="CQ16" s="197"/>
      <c r="CS16" s="210">
        <v>8</v>
      </c>
      <c r="CT16" s="211" t="str">
        <f>IF(COUNTIF('Eval-Avant action écologique'!$A$761:$A$780,CS16)&gt;0,SUM(IF('Eval-Avant action écologique'!$A$761=CS16,'Eval-Avant action écologique'!$B$761,0),IF('Eval-Avant action écologique'!$A$762=CS16, 'Eval-Avant action écologique'!$B$762,0),IF('Eval-Avant action écologique'!$A$763=CS16, 'Eval-Avant action écologique'!$B$763,0),IF('Eval-Avant action écologique'!$A$764=CS16, 'Eval-Avant action écologique'!$B$764,0),IF('Eval-Avant action écologique'!$A$765=CS16, 'Eval-Avant action écologique'!$B$765,0),IF('Eval-Avant action écologique'!$A$766=CS16, 'Eval-Avant action écologique'!$B$766,0),IF('Eval-Avant action écologique'!$A$767=CS16, 'Eval-Avant action écologique'!$B$767,0),IF('Eval-Avant action écologique'!$A$768=CS16, 'Eval-Avant action écologique'!$B$768,0),IF('Eval-Avant action écologique'!$A$769=CS16, 'Eval-Avant action écologique'!$B$769,0),IF('Eval-Avant action écologique'!$A$770=CS16, 'Eval-Avant action écologique'!$B$770,0),IF('Eval-Avant action écologique'!$A$771=CS16, 'Eval-Avant action écologique'!$B$771,0),IF('Eval-Avant action écologique'!$A$772=CS16, 'Eval-Avant action écologique'!$B$772,0),IF('Eval-Avant action écologique'!$A$773=CS16, 'Eval-Avant action écologique'!$B$773,0),IF('Eval-Avant action écologique'!$A$774=CS16, 'Eval-Avant action écologique'!$B$774,0),IF('Eval-Avant action écologique'!$A$775=CS16, 'Eval-Avant action écologique'!$B$775,0),IF('Eval-Avant action écologique'!$A$776=CS16, 'Eval-Avant action écologique'!$B$776,0),IF('Eval-Avant action écologique'!$A$777=CS16, 'Eval-Avant action écologique'!$B$777,0),IF('Eval-Avant action écologique'!$A$778=CS16, 'Eval-Avant action écologique'!$B$778,0),IF('Eval-Avant action écologique'!$A$779=CS16, 'Eval-Avant action écologique'!$B$779,0),IF('Eval-Avant action écologique'!$A$780=CS16, 'Eval-Avant action écologique'!$B$780,0))/COUNTIF('Eval-Avant action écologique'!$A$761:$A$780,CS16),"")</f>
        <v/>
      </c>
      <c r="CU16" s="212" t="str">
        <f>IF(COUNTIF('Eval-Avant action écologique'!$A$761:$A$780,CS16)&gt;0,COUNTIF('Eval-Avant action écologique'!$A$761:$A$780,CS16),"")</f>
        <v/>
      </c>
      <c r="CV16" s="211" t="str">
        <f>IF(COUNTIF('Eval-Avant action écologique'!$A$761:$A$780,CS16)&gt;0,IF(OR(AND('Eval-Avant action écologique'!$A$761=CS16, 'Eval-Avant action écologique'!$G$761=""),AND('Eval-Avant action écologique'!$A$762=CS16, 'Eval-Avant action écologique'!$G$762=""),AND('Eval-Avant action écologique'!$A$763=CS16, 'Eval-Avant action écologique'!$G$763=""),AND('Eval-Avant action écologique'!$A$764=CS16, 'Eval-Avant action écologique'!$G$764=""),AND('Eval-Avant action écologique'!$A$765=CS16, 'Eval-Avant action écologique'!$G$765=""),AND('Eval-Avant action écologique'!$A$766=CS16, 'Eval-Avant action écologique'!$G$766=""),AND('Eval-Avant action écologique'!$A$767=CS16, 'Eval-Avant action écologique'!$G$767=""),AND('Eval-Avant action écologique'!$A$768=CS16, 'Eval-Avant action écologique'!$G$768=""),AND('Eval-Avant action écologique'!$A$769=CS16, 'Eval-Avant action écologique'!$G$769=""),AND('Eval-Avant action écologique'!$A$770=CS16, 'Eval-Avant action écologique'!$G$770=""),AND('Eval-Avant action écologique'!$A$771=CS16, 'Eval-Avant action écologique'!$G$771=""),AND('Eval-Avant action écologique'!$A$772=CS16, 'Eval-Avant action écologique'!$G$772=""),AND('Eval-Avant action écologique'!$A$773=CS16, 'Eval-Avant action écologique'!$G$773=""),AND('Eval-Avant action écologique'!$A$774=CS16, 'Eval-Avant action écologique'!$G$774=""),AND('Eval-Avant action écologique'!$A$775=CS16, 'Eval-Avant action écologique'!$G$775=""),AND('Eval-Avant action écologique'!$A$776=CS16, 'Eval-Avant action écologique'!$G$776=""),AND('Eval-Avant action écologique'!$A$777=CS16, 'Eval-Avant action écologique'!$G$777=""),AND('Eval-Avant action écologique'!$A$778=CS16, 'Eval-Avant action écologique'!$G$778=""),AND('Eval-Avant action écologique'!$A$779=CS16, 'Eval-Avant action écologique'!$G$779=""),AND('Eval-Avant action écologique'!$A$780=CS16, 'Eval-Avant action écologique'!$G$780="")),"",SUM(IF('Eval-Avant action écologique'!$A$761=CS16,'Eval-Avant action écologique'!$G$761,0),IF('Eval-Avant action écologique'!$A$762=CS16,'Eval-Avant action écologique'!$G$762,0),IF('Eval-Avant action écologique'!$A$763=CS16,'Eval-Avant action écologique'!$G$763,0),IF('Eval-Avant action écologique'!$A$764=CS16,'Eval-Avant action écologique'!$G$764,0),IF('Eval-Avant action écologique'!$A$765=CS16,'Eval-Avant action écologique'!$G$765,0),IF('Eval-Avant action écologique'!$A$766=CS16,'Eval-Avant action écologique'!$G$766,0),IF('Eval-Avant action écologique'!$A$767=CS16,'Eval-Avant action écologique'!$G$767,0),IF('Eval-Avant action écologique'!$A$768=CS16,'Eval-Avant action écologique'!$G$768,0),IF('Eval-Avant action écologique'!$A$769=CS16,'Eval-Avant action écologique'!$G$769,0),IF('Eval-Avant action écologique'!$A$770=CS16,'Eval-Avant action écologique'!$G$770,0),IF('Eval-Avant action écologique'!$A$771=CS16,'Eval-Avant action écologique'!$G$771,0),IF('Eval-Avant action écologique'!$A$772=CS16,'Eval-Avant action écologique'!$G$772,0),IF('Eval-Avant action écologique'!$A$773=CS16,'Eval-Avant action écologique'!$G$773,0),IF('Eval-Avant action écologique'!$A$774=CS16,'Eval-Avant action écologique'!$G$774,0),IF('Eval-Avant action écologique'!$A$775=CS16,'Eval-Avant action écologique'!$G$775,0), IF('Eval-Avant action écologique'!$A$776=CS16,'Eval-Avant action écologique'!$G$776,0), IF('Eval-Avant action écologique'!$A$777=CS16,'Eval-Avant action écologique'!$G$777,0), IF('Eval-Avant action écologique'!$A$778=CS16,'Eval-Avant action écologique'!$G$778,0), IF('Eval-Avant action écologique'!$A$779=CS16,'Eval-Avant action écologique'!$G$779,0), IF('Eval-Avant action écologique'!$A$780=CS16,'Eval-Avant action écologique'!$G$780,0))/ COUNTIF('Eval-Avant action écologique'!$A$761:$A$780,CS16)),"")</f>
        <v/>
      </c>
      <c r="CW16" s="212" t="str">
        <f>IF(COUNTIF('Eval-Avant action écologique'!$A$761:$A$780,CS16)&gt;0,IF(SUM(IF('Eval-Avant action écologique'!$A$761=CS16,COUNTA('Eval-Avant action écologique'!$H$761),0),IF('Eval-Avant action écologique'!$A$762=CS16,COUNTA('Eval-Avant action écologique'!$H$762),0),IF('Eval-Avant action écologique'!$A$763=CS16,COUNTA('Eval-Avant action écologique'!$H$763),0),IF('Eval-Avant action écologique'!$A$764=CS16,COUNTA('Eval-Avant action écologique'!$H$764),0),IF('Eval-Avant action écologique'!$A$765=CS16,COUNTA('Eval-Avant action écologique'!$H$765),0),IF('Eval-Avant action écologique'!$A$766=CS16,COUNTA('Eval-Avant action écologique'!$H$766),0),IF('Eval-Avant action écologique'!$A$767=CS16,COUNTA('Eval-Avant action écologique'!$H$767),0),IF('Eval-Avant action écologique'!$A$768=CS16,COUNTA('Eval-Avant action écologique'!$H$768),0),IF('Eval-Avant action écologique'!$A$769=CS16,COUNTA('Eval-Avant action écologique'!$H$769),0),IF('Eval-Avant action écologique'!$A$770=CS16,COUNTA('Eval-Avant action écologique'!$H$770),0),IF('Eval-Avant action écologique'!$A$771=CS16,COUNTA('Eval-Avant action écologique'!$H$771),0),IF('Eval-Avant action écologique'!$A$772=CS16,COUNTA('Eval-Avant action écologique'!$H$772),0),IF('Eval-Avant action écologique'!$A$773=CS16,COUNTA('Eval-Avant action écologique'!$H$773),0),IF('Eval-Avant action écologique'!$A$774=CS16,COUNTA('Eval-Avant action écologique'!$H$774),0),IF('Eval-Avant action écologique'!$A$775=CS16,COUNTA('Eval-Avant action écologique'!$H$775),0),IF('Eval-Avant action écologique'!$A$776=CS16,COUNTA('Eval-Avant action écologique'!$H$776),0),IF('Eval-Avant action écologique'!$A$777=CS16,COUNTA('Eval-Avant action écologique'!$H$777),0),IF('Eval-Avant action écologique'!$A$778=CS16,COUNTA('Eval-Avant action écologique'!$H$778),0),IF('Eval-Avant action écologique'!$A$779=CS16,COUNTA('Eval-Avant action écologique'!$H$779),0),IF('Eval-Avant action écologique'!$A$780=CS16,COUNTA('Eval-Avant action écologique'!$H$780),0))&gt;0,"X",0),"")</f>
        <v/>
      </c>
      <c r="CX16" s="213" t="str">
        <f>IF(COUNTIF('Eval-Avant action écologique'!$A$761:$A$780,CS16)&gt;0,IF(SUM(IF('Eval-Avant action écologique'!$A$761=CS16,COUNTA('Eval-Avant action écologique'!$I$761),0),IF('Eval-Avant action écologique'!$A$762=CS16,COUNTA('Eval-Avant action écologique'!$I$762),0),IF('Eval-Avant action écologique'!$A$763=CS16,COUNTA('Eval-Avant action écologique'!$I$763),0),IF('Eval-Avant action écologique'!$A$764=CS16,COUNTA('Eval-Avant action écologique'!$I$764),0),IF('Eval-Avant action écologique'!$A$765=CS16,COUNTA('Eval-Avant action écologique'!$I$765),0),IF('Eval-Avant action écologique'!$A$766=CS16,COUNTA('Eval-Avant action écologique'!$I$766),0),IF('Eval-Avant action écologique'!$A$767=CS16,COUNTA('Eval-Avant action écologique'!$I$767),0),IF('Eval-Avant action écologique'!$A$768=CS16,COUNTA('Eval-Avant action écologique'!$I$768),0),IF('Eval-Avant action écologique'!$A$769=CS16,COUNTA('Eval-Avant action écologique'!$I$769),0),IF('Eval-Avant action écologique'!$A$770=CS16,COUNTA('Eval-Avant action écologique'!$I$770),0),IF('Eval-Avant action écologique'!$A$771=CS16,COUNTA('Eval-Avant action écologique'!$I$771),0),IF('Eval-Avant action écologique'!$A$772=CS16,COUNTA('Eval-Avant action écologique'!$I$772),0),IF('Eval-Avant action écologique'!$A$773=CS16,COUNTA('Eval-Avant action écologique'!$I$773),0),IF('Eval-Avant action écologique'!$A$774=CS16,COUNTA('Eval-Avant action écologique'!$I$774),0),IF('Eval-Avant action écologique'!$A$775=CS16,COUNTA('Eval-Avant action écologique'!$I$775),0),IF('Eval-Avant action écologique'!$A$776=CS16,COUNTA('Eval-Avant action écologique'!$I$776),0),IF('Eval-Avant action écologique'!$A$777=CS16,COUNTA('Eval-Avant action écologique'!$I$777),0),IF('Eval-Avant action écologique'!$A$778=CS16,COUNTA('Eval-Avant action écologique'!$I$778),0),IF('Eval-Avant action écologique'!$A$779=CS16,COUNTA('Eval-Avant action écologique'!$I$779),0),IF('Eval-Avant action écologique'!$A$780=CS16,COUNTA('Eval-Avant action écologique'!$I$780),0))&gt;0,"X",0),"")</f>
        <v/>
      </c>
      <c r="CY16" s="213" t="str">
        <f>IF(COUNTIF('Eval-Avant action écologique'!$A$761:$A$780,CS16)&gt;0,IF(SUM(IF('Eval-Avant action écologique'!$A$761=CS16,COUNTA('Eval-Avant action écologique'!$J$761),0),IF('Eval-Avant action écologique'!$A$762=CS16,COUNTA('Eval-Avant action écologique'!$J$762),0),IF('Eval-Avant action écologique'!$A$763=CS16,COUNTA('Eval-Avant action écologique'!$J$763),0),IF('Eval-Avant action écologique'!$A$764=CS16,COUNTA('Eval-Avant action écologique'!$J$764),0),IF('Eval-Avant action écologique'!$A$765=CS16,COUNTA('Eval-Avant action écologique'!$J$765),0),IF('Eval-Avant action écologique'!$A$766=CS16,COUNTA('Eval-Avant action écologique'!$J$766),0),IF('Eval-Avant action écologique'!$A$767=CS16,COUNTA('Eval-Avant action écologique'!$J$767),0),IF('Eval-Avant action écologique'!$A$768=CS16,COUNTA('Eval-Avant action écologique'!$J$768),0),IF('Eval-Avant action écologique'!$A$769=CS16,COUNTA('Eval-Avant action écologique'!$J$769),0),IF('Eval-Avant action écologique'!$A$770=CS16,COUNTA('Eval-Avant action écologique'!$J$770),0),IF('Eval-Avant action écologique'!$A$771=CS16,COUNTA('Eval-Avant action écologique'!$J$771),0),IF('Eval-Avant action écologique'!$A$772=CS16,COUNTA('Eval-Avant action écologique'!$J$772),0),IF('Eval-Avant action écologique'!$A$773=CS16,COUNTA('Eval-Avant action écologique'!$J$773),0),IF('Eval-Avant action écologique'!$A$774=CS16,COUNTA('Eval-Avant action écologique'!$J$774),0),IF('Eval-Avant action écologique'!$A$775=CS16,COUNTA('Eval-Avant action écologique'!$J$775),0),IF('Eval-Avant action écologique'!$A$776=CS16,COUNTA('Eval-Avant action écologique'!$J$776),0),IF('Eval-Avant action écologique'!$A$777=CS16,COUNTA('Eval-Avant action écologique'!$J$777),0),IF('Eval-Avant action écologique'!$A$778=CS16,COUNTA('Eval-Avant action écologique'!$J$778),0),IF('Eval-Avant action écologique'!$A$779=CS16,COUNTA('Eval-Avant action écologique'!$J$779),0),IF('Eval-Avant action écologique'!$A$780=CS16,COUNTA('Eval-Avant action écologique'!$J$780),0))&gt;0,"X",0),"")</f>
        <v/>
      </c>
      <c r="CZ16" s="213" t="str">
        <f>IF(COUNTIF('Eval-Avant action écologique'!$A$761:$A$780,CS16)&gt;0,IF(SUM(IF('Eval-Avant action écologique'!$A$761=CS16,COUNTA('Eval-Avant action écologique'!$K$761),0),IF('Eval-Avant action écologique'!$A$762=CS16,COUNTA('Eval-Avant action écologique'!$K$762),0),IF('Eval-Avant action écologique'!$A$763=CS16,COUNTA('Eval-Avant action écologique'!$K$763),0),IF('Eval-Avant action écologique'!$A$764=CS16,COUNTA('Eval-Avant action écologique'!$K$764),0),IF('Eval-Avant action écologique'!$A$765=CS16,COUNTA('Eval-Avant action écologique'!$K$765),0),IF('Eval-Avant action écologique'!$A$766=CS16,COUNTA('Eval-Avant action écologique'!$K$766),0),IF('Eval-Avant action écologique'!$A$767=CS16,COUNTA('Eval-Avant action écologique'!$K$767),0),IF('Eval-Avant action écologique'!$A$768=CS16,COUNTA('Eval-Avant action écologique'!$K$768),0),IF('Eval-Avant action écologique'!$A$769=CS16,COUNTA('Eval-Avant action écologique'!$K$769),0),IF('Eval-Avant action écologique'!$A$770=CS16,COUNTA('Eval-Avant action écologique'!$K$770),0),IF('Eval-Avant action écologique'!$A$771=CS16,COUNTA('Eval-Avant action écologique'!$K$771),0),IF('Eval-Avant action écologique'!$A$772=CS16,COUNTA('Eval-Avant action écologique'!$K$772),0),IF('Eval-Avant action écologique'!$A$773=CS16,COUNTA('Eval-Avant action écologique'!$K$773),0),IF('Eval-Avant action écologique'!$A$774=CS16,COUNTA('Eval-Avant action écologique'!$K$774),0),IF('Eval-Avant action écologique'!$A$775=CS16,COUNTA('Eval-Avant action écologique'!$K$775),0),IF('Eval-Avant action écologique'!$A$776=CS16,COUNTA('Eval-Avant action écologique'!$K$776),0),IF('Eval-Avant action écologique'!$A$777=CS16,COUNTA('Eval-Avant action écologique'!$K$777),0),IF('Eval-Avant action écologique'!$A$778=CS16,COUNTA('Eval-Avant action écologique'!$K$778),0),IF('Eval-Avant action écologique'!$A$779=CS16,COUNTA('Eval-Avant action écologique'!$K$779),0),IF('Eval-Avant action écologique'!$A$780=CS16,COUNTA('Eval-Avant action écologique'!$K$780),0))&gt;0,"X",0),"")</f>
        <v/>
      </c>
      <c r="DA16" s="211" t="str">
        <f>IF(COUNTIF('Eval-Avant action écologique'!$A$761:$A$780,CS16)&gt;0,IF(OR(AND('Eval-Avant action écologique'!$A$761=CS16,'Eval-Avant action écologique'!$L$761&lt;120,'Eval-Avant action écologique'!$L$761&gt;=DP9),AND('Eval-Avant action écologique'!$A$762=CS16,'Eval-Avant action écologique'!$L$762&lt;120,'Eval-Avant action écologique'!$L$762&gt;=DP10),AND('Eval-Avant action écologique'!$A$763=CS16,'Eval-Avant action écologique'!$L$763&lt;120,'Eval-Avant action écologique'!$L$763&gt;=DP11),AND('Eval-Avant action écologique'!$A$764=CS16,'Eval-Avant action écologique'!$L$764&lt;120,'Eval-Avant action écologique'!$L$764&gt;=DP12),AND('Eval-Avant action écologique'!$A$765=CS16,'Eval-Avant action écologique'!$L$765&lt;120,'Eval-Avant action écologique'!$L$765&gt;=DP13),AND('Eval-Avant action écologique'!$A$766=CS16,'Eval-Avant action écologique'!$L$766&lt;120,'Eval-Avant action écologique'!$L$766&gt;=DP14),AND('Eval-Avant action écologique'!$A$767=CS16,'Eval-Avant action écologique'!$L$767&lt;120,'Eval-Avant action écologique'!$L$767&gt;=DP15),AND('Eval-Avant action écologique'!$A$768=CS16,'Eval-Avant action écologique'!$L$768&lt;120,'Eval-Avant action écologique'!$L$768&gt;=DP16),AND('Eval-Avant action écologique'!$A$769=CS16,'Eval-Avant action écologique'!$L$769&lt;120,'Eval-Avant action écologique'!$L$769&gt;=DP17),AND('Eval-Avant action écologique'!$A$770=CS16,'Eval-Avant action écologique'!$L$770&lt;120,'Eval-Avant action écologique'!$L$770&gt;=DP18),AND('Eval-Avant action écologique'!$A$771=CS16,'Eval-Avant action écologique'!$L$771&lt;120,'Eval-Avant action écologique'!$L$771&gt;=DP19),AND('Eval-Avant action écologique'!$A$772=CS16,'Eval-Avant action écologique'!$L$772&lt;120,'Eval-Avant action écologique'!$L$772&gt;=DP20),AND('Eval-Avant action écologique'!$A$773=CS16,'Eval-Avant action écologique'!$L$773&lt;120,'Eval-Avant action écologique'!$L$773&gt;=DP21),AND('Eval-Avant action écologique'!$A$774=CS16,'Eval-Avant action écologique'!$L$774&lt;120,'Eval-Avant action écologique'!$L$774&gt;=DP22),AND('Eval-Avant action écologique'!$A$775=CS16,'Eval-Avant action écologique'!$L$775&lt;120,'Eval-Avant action écologique'!$L$775&gt;=DP23),AND('Eval-Avant action écologique'!$A$776=CS16,'Eval-Avant action écologique'!$L$776&lt;120,'Eval-Avant action écologique'!$L$776&gt;=DP24),AND('Eval-Avant action écologique'!$A$777=CS16,'Eval-Avant action écologique'!$L$777&lt;120,'Eval-Avant action écologique'!$L$777&gt;=DP25),AND('Eval-Avant action écologique'!$A$778=CS16,'Eval-Avant action écologique'!$L$778&lt;120,'Eval-Avant action écologique'!$L$778&gt;=DP26),AND('Eval-Avant action écologique'!$A$779=CS16,'Eval-Avant action écologique'!$L$779&lt;120,'Eval-Avant action écologique'!$L$779&gt;=DP27),AND('Eval-Avant action écologique'!$A$780=CS16,'Eval-Avant action écologique'!$L$780&lt;120,'Eval-Avant action écologique'!$L$780&gt;=DP28)),"",SUM(IF('Eval-Avant action écologique'!$A$761=CS16,'Eval-Avant action écologique'!$L$761,0),IF('Eval-Avant action écologique'!$A$762=CS16,'Eval-Avant action écologique'!$L$762,0),IF('Eval-Avant action écologique'!$A$763=CS16,'Eval-Avant action écologique'!$L$763,0),IF('Eval-Avant action écologique'!$A$764=CS16,'Eval-Avant action écologique'!$L$764,0),IF('Eval-Avant action écologique'!$A$765=CS16,'Eval-Avant action écologique'!$L$765,0),IF('Eval-Avant action écologique'!$A$766=CS16,'Eval-Avant action écologique'!$L$766,0),IF('Eval-Avant action écologique'!$A$767=CS16,'Eval-Avant action écologique'!$L$767,0),IF('Eval-Avant action écologique'!$A$768=CS16,'Eval-Avant action écologique'!$L$768,0),IF('Eval-Avant action écologique'!$A$769=CS16,'Eval-Avant action écologique'!$L$769,0),IF('Eval-Avant action écologique'!$A$770=CS16,'Eval-Avant action écologique'!$L$770,0),IF('Eval-Avant action écologique'!$A$771=CS16,'Eval-Avant action écologique'!$L$771,0),IF('Eval-Avant action écologique'!$A$772=CS16,'Eval-Avant action écologique'!$L$772,0),IF('Eval-Avant action écologique'!$A$773=CS16,'Eval-Avant action écologique'!$L$773,0),IF('Eval-Avant action écologique'!$A$774=CS16,'Eval-Avant action écologique'!$L$774,0),IF('Eval-Avant action écologique'!$A$775=CS16,'Eval-Avant action écologique'!$L$775,0),IF('Eval-Avant action écologique'!$A$776=CS16,'Eval-Avant action écologique'!$L$776,0),IF('Eval-Avant action écologique'!$A$777=CS16,'Eval-Avant action écologique'!$L$777,0),IF('Eval-Avant action écologique'!$A$778=CS16,'Eval-Avant action écologique'!$L$778,0),IF('Eval-Avant action écologique'!$A$779=CS16,'Eval-Avant action écologique'!$L$779,0),IF('Eval-Avant action écologique'!$A$780=CS16,'Eval-Avant action écologique'!$L$780,0))/ COUNTIF('Eval-Avant action écologique'!$A$761:$A$780,CS16)),"")</f>
        <v/>
      </c>
      <c r="DB16" s="211" t="str">
        <f>IF(COUNTIF('Eval-Avant action écologique'!$A$761:$A$780,CS16)&gt;0,IF(OR(AND('Eval-Avant action écologique'!$A$761=CS16, DP9&lt;120),AND(DP10&lt;120),AND(DP11&lt;120),AND(DP12&lt;120),AND(DP13&lt;120),AND(DP14&lt;120),AND(DP15&lt;120),AND(DP16&lt;120),AND(DP17&lt;120),AND(DP18&lt;120),AND(DP19&lt;120),AND(DP20&lt;120),AND(DP21&lt;120),AND(DP22&lt;120),AND(DP23&lt;120),AND(DP24&lt;120),AND(DP25&lt;120),AND(DP26&lt;120),AND(DP27&lt;120),AND(DP28&lt;120)),"",SUM(IF('Eval-Avant action écologique'!$A$761=CS16,'Eval-Avant action écologique'!$M$761,0),IF('Eval-Avant action écologique'!$A$762=CS16,'Eval-Avant action écologique'!$M$762,0),IF('Eval-Avant action écologique'!$A$763=CS16,'Eval-Avant action écologique'!$M$763,0),IF('Eval-Avant action écologique'!$A$764=CS16,'Eval-Avant action écologique'!$M$764,0),IF('Eval-Avant action écologique'!$A$765=CS16,'Eval-Avant action écologique'!$M$765,0),IF('Eval-Avant action écologique'!$A$766=CS16,'Eval-Avant action écologique'!$M$766,0),IF('Eval-Avant action écologique'!$A$767=CS16,'Eval-Avant action écologique'!$M$767,0),IF('Eval-Avant action écologique'!$A$768=CS16,'Eval-Avant action écologique'!$M$768,0),IF('Eval-Avant action écologique'!$A$769=CS16,'Eval-Avant action écologique'!$M$769,0),IF('Eval-Avant action écologique'!$A$770=CS16,'Eval-Avant action écologique'!$M$770,0),IF('Eval-Avant action écologique'!$A$771=CS16,'Eval-Avant action écologique'!$M$771,0),IF('Eval-Avant action écologique'!$A$772=CS16,'Eval-Avant action écologique'!$M$772,0),IF('Eval-Avant action écologique'!$A$773=CS16,'Eval-Avant action écologique'!$M$773,0),IF('Eval-Avant action écologique'!$A$774=CS16,'Eval-Avant action écologique'!$M$774,0),IF('Eval-Avant action écologique'!$A$775=CS16,'Eval-Avant action écologique'!$M$775,0), IF('Eval-Avant action écologique'!$A$776=CS16,'Eval-Avant action écologique'!$M$776,0), IF('Eval-Avant action écologique'!$A$777=CS16,'Eval-Avant action écologique'!$M$777,0), IF('Eval-Avant action écologique'!$A$778=CS16,'Eval-Avant action écologique'!$M$778,0), IF('Eval-Avant action écologique'!$A$779=CS16,'Eval-Avant action écologique'!$M$779,0), IF('Eval-Avant action écologique'!$A$780=CS16,'Eval-Avant action écologique'!$M$780,0))/COUNTIF('Eval-Avant action écologique'!$A$761:$A$780,CS16)),"")</f>
        <v/>
      </c>
      <c r="DC16" s="211" t="str">
        <f>IF(COUNTIF('Eval-Avant action écologique'!$A$761:$A$780,CS16)&gt;0,SUM(IF('Eval-Avant action écologique'!$A$761=CS16,LEN(SUBSTITUTE((SUBSTITUTE(DR9,"TM","")),"TS",""))*10/2,0),IF('Eval-Avant action écologique'!$A$762=CS16,LEN(SUBSTITUTE((SUBSTITUTE(DR10,"TM","")),"TS",""))*10/2,0),IF('Eval-Avant action écologique'!$A$763=CS16,LEN(SUBSTITUTE((SUBSTITUTE(DR11,"TM","")),"TS",""))*10/2,0),IF('Eval-Avant action écologique'!$A$764=CS16,LEN(SUBSTITUTE((SUBSTITUTE(DR12,"TM","")),"TS",""))*10/2,0),IF('Eval-Avant action écologique'!$A$765=CS16,LEN(SUBSTITUTE((SUBSTITUTE(DR13,"TM","")),"TS",""))*10/2,0),IF('Eval-Avant action écologique'!$A$766=CS16,LEN(SUBSTITUTE((SUBSTITUTE(DR14,"TM","")),"TS",""))*10/2,0),IF('Eval-Avant action écologique'!$A$767=CS16,LEN(SUBSTITUTE((SUBSTITUTE(DR15,"TM","")),"TS",""))*10/2,0),IF('Eval-Avant action écologique'!$A$768=CS16,LEN(SUBSTITUTE((SUBSTITUTE(DR16,"TM","")),"TS",""))*10/2,0),IF('Eval-Avant action écologique'!$A$769=CS16,LEN(SUBSTITUTE((SUBSTITUTE(DR17,"TM","")),"TS",""))*10/2,0),IF('Eval-Avant action écologique'!$A$770=CS16,LEN(SUBSTITUTE((SUBSTITUTE(DR18,"TM","")),"TS",""))*10/2,0),IF('Eval-Avant action écologique'!$A$771=CS16,LEN(SUBSTITUTE((SUBSTITUTE(DR19,"TM","")),"TS",""))*10/2,0),IF('Eval-Avant action écologique'!$A$772=CS16,LEN(SUBSTITUTE((SUBSTITUTE(DR20,"TM","")),"TS",""))*10/2,0),IF('Eval-Avant action écologique'!$A$773=CS16,LEN(SUBSTITUTE((SUBSTITUTE(DR21,"TM","")),"TS",""))*10/2,0),IF('Eval-Avant action écologique'!$A$774=CS16,LEN(SUBSTITUTE((SUBSTITUTE(DR22,"TM","")),"TS",""))*10/2,0),IF('Eval-Avant action écologique'!$A$775=CS16,LEN(SUBSTITUTE((SUBSTITUTE(DR23,"TM","")),"TS",""))*10/2,0),IF('Eval-Avant action écologique'!$A$776=CS16,LEN(SUBSTITUTE((SUBSTITUTE(DR24,"TM","")),"TS",""))*10/2,0),IF('Eval-Avant action écologique'!$A$777=CS16,LEN(SUBSTITUTE((SUBSTITUTE(DR25,"TM","")),"TS",""))*10/2,0),IF('Eval-Avant action écologique'!$A$778=CS16,LEN(SUBSTITUTE((SUBSTITUTE(DR26,"TM","")),"TS",""))*10/2,0),IF('Eval-Avant action écologique'!$A$779=CS16,LEN(SUBSTITUTE((SUBSTITUTE(DR27,"TM","")),"TS",""))*10/2,0),IF('Eval-Avant action écologique'!$A$780=CS16,LEN(SUBSTITUTE((SUBSTITUTE(DR28,"TM","")),"TS",""))*10/2,0))/COUNTIF('Eval-Avant action écologique'!$A$761:$A$780,CS16),"")</f>
        <v/>
      </c>
      <c r="DD16" s="211" t="str">
        <f>IF(COUNTIF('Eval-Avant action écologique'!$A$761:$A$780,CS16)&gt;0,SUM(IF('Eval-Avant action écologique'!$A$761=CS16,LEN(SUBSTITUTE((SUBSTITUTE(DR9,"TF","")),"TS",""))*10/2,0),IF('Eval-Avant action écologique'!$A$762=CS16,LEN(SUBSTITUTE((SUBSTITUTE(DR10,"TF","")),"TS",""))*10/2,0),IF('Eval-Avant action écologique'!$A$763=CS16,LEN(SUBSTITUTE((SUBSTITUTE(DR11,"TF","")),"TS",""))*10/2,0),IF('Eval-Avant action écologique'!$A$764=CS16,LEN(SUBSTITUTE((SUBSTITUTE(DR12,"TF","")),"TS",""))*10/2,0),IF('Eval-Avant action écologique'!$A$765=CS16,LEN(SUBSTITUTE((SUBSTITUTE(DR13,"TF","")),"TS",""))*10/2,0),IF('Eval-Avant action écologique'!$A$766=CS16,LEN(SUBSTITUTE((SUBSTITUTE(DR14,"TF","")),"TS",""))*10/2,0),IF('Eval-Avant action écologique'!$A$767=CS16,LEN(SUBSTITUTE((SUBSTITUTE(DR15,"TF","")),"TS",""))*10/2,0),IF('Eval-Avant action écologique'!$A$768=CS16,LEN(SUBSTITUTE((SUBSTITUTE(DR16,"TF","")),"TS",""))*10/2,0),IF('Eval-Avant action écologique'!$A$769=CS16,LEN(SUBSTITUTE((SUBSTITUTE(DR17,"TF","")),"TS",""))*10/2,0),IF('Eval-Avant action écologique'!$A$770=CS16,LEN(SUBSTITUTE((SUBSTITUTE(DR18,"TF","")),"TS",""))*10/2,0),IF('Eval-Avant action écologique'!$A$771=CS16,LEN(SUBSTITUTE((SUBSTITUTE(DR19,"TF","")),"TS",""))*10/2,0),IF('Eval-Avant action écologique'!$A$772=CS16,LEN(SUBSTITUTE((SUBSTITUTE(DR20,"TF","")),"TS",""))*10/2,0),IF('Eval-Avant action écologique'!$A$773=CS16,LEN(SUBSTITUTE((SUBSTITUTE(DR21,"TF","")),"TS",""))*10/2,0),IF('Eval-Avant action écologique'!$A$774=CS16,LEN(SUBSTITUTE((SUBSTITUTE(DR22,"TF","")),"TS",""))*10/2,0),IF('Eval-Avant action écologique'!$A$775=CS16,LEN(SUBSTITUTE((SUBSTITUTE(DR23,"TF","")),"TS",""))*10/2,0),IF('Eval-Avant action écologique'!$A$776=CS16,LEN(SUBSTITUTE((SUBSTITUTE(DR24,"TF","")),"TS",""))*10/2,0),IF('Eval-Avant action écologique'!$A$777=CS16,LEN(SUBSTITUTE((SUBSTITUTE(DR25,"TF","")),"TS",""))*10/2,0),IF('Eval-Avant action écologique'!$A$778=CS16,LEN(SUBSTITUTE((SUBSTITUTE(DR26,"TF","")),"TS",""))*10/2,0),IF('Eval-Avant action écologique'!$A$779=CS16,LEN(SUBSTITUTE((SUBSTITUTE(DR27,"TF","")),"TS",""))*10/2,0),IF('Eval-Avant action écologique'!$A$780=CS16,LEN(SUBSTITUTE((SUBSTITUTE(DR28,"TF","")),"TS",""))*10/2,0))/COUNTIF('Eval-Avant action écologique'!$A$761:$A$780,CS16),"")</f>
        <v/>
      </c>
      <c r="DE16" s="211" t="str">
        <f>IF(COUNTIF('Eval-Avant action écologique'!$A$761:$A$780,CS16)&gt;0,SUM(IF('Eval-Avant action écologique'!$A$761=CS16,LEN(SUBSTITUTE((SUBSTITUTE(DR9,"TF","")),"TM",""))*10/2,0),IF('Eval-Avant action écologique'!$A$762=CS16,LEN(SUBSTITUTE((SUBSTITUTE(DR10,"TF","")),"TM",""))*10/2,0),IF('Eval-Avant action écologique'!$A$763=CS16,LEN(SUBSTITUTE((SUBSTITUTE(DR11,"TF","")),"TM",""))*10/2,0),IF('Eval-Avant action écologique'!$A$764=CS16,LEN(SUBSTITUTE((SUBSTITUTE(DR12,"TF","")),"TM",""))*10/2,0),IF('Eval-Avant action écologique'!$A$765=CS16,LEN(SUBSTITUTE((SUBSTITUTE(DR13,"TF","")),"TM",""))*10/2,0),IF('Eval-Avant action écologique'!$A$766=CS16,LEN(SUBSTITUTE((SUBSTITUTE(DR14,"TF","")),"TM",""))*10/2,0),IF('Eval-Avant action écologique'!$A$767=CS16,LEN(SUBSTITUTE((SUBSTITUTE(DR15,"TF","")),"TM",""))*10/2,0),IF('Eval-Avant action écologique'!$A$768=CS16,LEN(SUBSTITUTE((SUBSTITUTE(DR16,"TF","")),"TM",""))*10/2,0),IF('Eval-Avant action écologique'!$A$769=CS16,LEN(SUBSTITUTE((SUBSTITUTE(DR17,"TF","")),"TM",""))*10/2,0),IF('Eval-Avant action écologique'!$A$770=CS16,LEN(SUBSTITUTE((SUBSTITUTE(DR18,"TF","")),"TM",""))*10/2,0),IF('Eval-Avant action écologique'!$A$771=CS16,LEN(SUBSTITUTE((SUBSTITUTE(DR19,"TF","")),"TM",""))*10/2,0),IF('Eval-Avant action écologique'!$A$772=CS16,LEN(SUBSTITUTE((SUBSTITUTE(DR20,"TF","")),"TM",""))*10/2,0),IF('Eval-Avant action écologique'!$A$773=CS16,LEN(SUBSTITUTE((SUBSTITUTE(DR21,"TF","")),"TM",""))*10/2,0),IF('Eval-Avant action écologique'!$A$774=CS16,LEN(SUBSTITUTE((SUBSTITUTE(DR22,"TF","")),"TM",""))*10/2,0),IF('Eval-Avant action écologique'!$A$775=CS16,LEN(SUBSTITUTE((SUBSTITUTE(DR23,"TF","")),"TM",""))*10/2,0),IF('Eval-Avant action écologique'!$A$776=CS16,LEN(SUBSTITUTE((SUBSTITUTE(DR24,"TF","")),"TM",""))*10/2,0),IF('Eval-Avant action écologique'!$A$777=CS16,LEN(SUBSTITUTE((SUBSTITUTE(DR25,"TF","")),"TM",""))*10/2,0),IF('Eval-Avant action écologique'!$A$778=CS16,LEN(SUBSTITUTE((SUBSTITUTE(DR26,"TF","")),"TM",""))*10/2,0),IF('Eval-Avant action écologique'!$A$779=CS16,LEN(SUBSTITUTE((SUBSTITUTE(DR27,"TF","")),"TM",""))*10/2,0),IF('Eval-Avant action écologique'!$A$780=CS16,LEN(SUBSTITUTE((SUBSTITUTE(DR28,"TF","")),"TM",""))*10/2,0))/COUNTIF('Eval-Avant action écologique'!$A$761:$A$780,CS16),"")</f>
        <v/>
      </c>
      <c r="DF16" s="211" t="str">
        <f>IF(COUNTIF('Eval-Avant action écologique'!$A$761:$A$780,CS16)&gt;0,SUM(IF('Eval-Avant action écologique'!$A$761=CS16,LEN(SUBSTITUTE((SUBSTITUTE(DS9,"TM","")),"TS",""))*10/2,0),IF('Eval-Avant action écologique'!$A$762=CS16,LEN(SUBSTITUTE((SUBSTITUTE(DS10,"TM","")),"TS",""))*10/2,0),IF('Eval-Avant action écologique'!$A$763=CS16,LEN(SUBSTITUTE((SUBSTITUTE(DS11,"TM","")),"TS",""))*10/2,0),IF('Eval-Avant action écologique'!$A$764=CS16,LEN(SUBSTITUTE((SUBSTITUTE(DS12,"TM","")),"TS",""))*10/2,0),IF('Eval-Avant action écologique'!$A$765=CS16,LEN(SUBSTITUTE((SUBSTITUTE(DS13,"TM","")),"TS",""))*10/2,0),IF('Eval-Avant action écologique'!$A$766=CS16,LEN(SUBSTITUTE((SUBSTITUTE(DS14,"TM","")),"TS",""))*10/2,0),IF('Eval-Avant action écologique'!$A$767=CS16,LEN(SUBSTITUTE((SUBSTITUTE(DS15,"TM","")),"TS",""))*10/2,0),IF('Eval-Avant action écologique'!$A$768=CS16,LEN(SUBSTITUTE((SUBSTITUTE(DS16,"TM","")),"TS",""))*10/2,0),IF('Eval-Avant action écologique'!$A$769=CS16,LEN(SUBSTITUTE((SUBSTITUTE(DS17,"TM","")),"TS",""))*10/2,0),IF('Eval-Avant action écologique'!$A$770=CS16,LEN(SUBSTITUTE((SUBSTITUTE(DS18,"TM","")),"TS",""))*10/2,0),IF('Eval-Avant action écologique'!$A$771=CS16,LEN(SUBSTITUTE((SUBSTITUTE(DS19,"TM","")),"TS",""))*10/2,0),IF('Eval-Avant action écologique'!$A$772=CS16,LEN(SUBSTITUTE((SUBSTITUTE(DS20,"TM","")),"TS",""))*10/2,0),IF('Eval-Avant action écologique'!$A$773=CS16,LEN(SUBSTITUTE((SUBSTITUTE(DS21,"TM","")),"TS",""))*10/2,0),IF('Eval-Avant action écologique'!$A$774=CS16,LEN(SUBSTITUTE((SUBSTITUTE(DS22,"TM","")),"TS",""))*10/2,0),IF('Eval-Avant action écologique'!$A$775=CS16,LEN(SUBSTITUTE((SUBSTITUTE(DS23,"TM","")),"TS",""))*10/2,0),IF('Eval-Avant action écologique'!$A$776=CS16,LEN(SUBSTITUTE((SUBSTITUTE(DS24,"TM","")),"TS",""))*10/2,0),IF('Eval-Avant action écologique'!$A$777=CS16,LEN(SUBSTITUTE((SUBSTITUTE(DS25,"TM","")),"TS",""))*10/2,0),IF('Eval-Avant action écologique'!$A$778=CS16,LEN(SUBSTITUTE((SUBSTITUTE(DS26,"TM","")),"TS",""))*10/2,0),IF('Eval-Avant action écologique'!$A$779=CS16,LEN(SUBSTITUTE((SUBSTITUTE(DS27,"TM","")),"TS",""))*10/2,0),IF('Eval-Avant action écologique'!$A$780=CS16,LEN(SUBSTITUTE((SUBSTITUTE(DS28,"TM","")),"TS",""))*10/2,0))/COUNTIF('Eval-Avant action écologique'!$A$761:$A$780,CS16),"")</f>
        <v/>
      </c>
      <c r="DG16" s="211" t="str">
        <f>IF(COUNTIF('Eval-Avant action écologique'!$A$761:$A$780,CS16)&gt;0,SUM(IF('Eval-Avant action écologique'!$A$761=CS16,LEN(SUBSTITUTE((SUBSTITUTE(DS9,"TF","")),"TS",""))*10/2,0),IF('Eval-Avant action écologique'!$A$762=CS16,LEN(SUBSTITUTE((SUBSTITUTE(DS10,"TF","")),"TS",""))*10/2,0),IF('Eval-Avant action écologique'!$A$763=CS16,LEN(SUBSTITUTE((SUBSTITUTE(DS11,"TF","")),"TS",""))*10/2,0),IF('Eval-Avant action écologique'!$A$764=CS16,LEN(SUBSTITUTE((SUBSTITUTE(DS12,"TF","")),"TS",""))*10/2,0),IF('Eval-Avant action écologique'!$A$765=CS16,LEN(SUBSTITUTE((SUBSTITUTE(DS13,"TF","")),"TS",""))*10/2,0),IF('Eval-Avant action écologique'!$A$766=CS16,LEN(SUBSTITUTE((SUBSTITUTE(DS14,"TF","")),"TS",""))*10/2,0),IF('Eval-Avant action écologique'!$A$767=CS16,LEN(SUBSTITUTE((SUBSTITUTE(DS15,"TF","")),"TS",""))*10/2,0),IF('Eval-Avant action écologique'!$A$768=CS16,LEN(SUBSTITUTE((SUBSTITUTE(DS16,"TF","")),"TS",""))*10/2,0),IF('Eval-Avant action écologique'!$A$769=CS16,LEN(SUBSTITUTE((SUBSTITUTE(DS17,"TF","")),"TS",""))*10/2,0),IF('Eval-Avant action écologique'!$A$770=CS16,LEN(SUBSTITUTE((SUBSTITUTE(DS18,"TF","")),"TS",""))*10/2,0),IF('Eval-Avant action écologique'!$A$771=CS16,LEN(SUBSTITUTE((SUBSTITUTE(DS19,"TF","")),"TS",""))*10/2,0),IF('Eval-Avant action écologique'!$A$772=CS16,LEN(SUBSTITUTE((SUBSTITUTE(DS20,"TF","")),"TS",""))*10/2,0),IF('Eval-Avant action écologique'!$A$773=CS16,LEN(SUBSTITUTE((SUBSTITUTE(DS21,"TF","")),"TS",""))*10/2,0),IF('Eval-Avant action écologique'!$A$774=CS16,LEN(SUBSTITUTE((SUBSTITUTE(DS22,"TF","")),"TS",""))*10/2,0),IF('Eval-Avant action écologique'!$A$775=CS16,LEN(SUBSTITUTE((SUBSTITUTE(DS23,"TF","")),"TS",""))*10/2,0),IF('Eval-Avant action écologique'!$A$776=CS16,LEN(SUBSTITUTE((SUBSTITUTE(DS24,"TF","")),"TS",""))*10/2,0),IF('Eval-Avant action écologique'!$A$777=CS16,LEN(SUBSTITUTE((SUBSTITUTE(DS25,"TF","")),"TS",""))*10/2,0),IF('Eval-Avant action écologique'!$A$778=CS16,LEN(SUBSTITUTE((SUBSTITUTE(DS26,"TF","")),"TS",""))*10/2,0),IF('Eval-Avant action écologique'!$A$779=CS16,LEN(SUBSTITUTE((SUBSTITUTE(DS27,"TF","")),"TS",""))*10/2,0),IF('Eval-Avant action écologique'!$A$780=CS16,LEN(SUBSTITUTE((SUBSTITUTE(DS28,"TF","")),"TS",""))*10/2,0))/COUNTIF('Eval-Avant action écologique'!$A$761:$A$780,CS16),"")</f>
        <v/>
      </c>
      <c r="DH16" s="211" t="str">
        <f>IF(COUNTIF('Eval-Avant action écologique'!$A$761:$A$780,CS16)&gt;0,SUM(IF('Eval-Avant action écologique'!$A$761=CS16,LEN(SUBSTITUTE((SUBSTITUTE(DS9,"TF","")),"TM",""))*10/2,0),IF('Eval-Avant action écologique'!$A$762=CS16,LEN(SUBSTITUTE((SUBSTITUTE(DS10,"TF","")),"TM",""))*10/2,0),IF('Eval-Avant action écologique'!$A$763=CS16,LEN(SUBSTITUTE((SUBSTITUTE(DS11,"TF","")),"TM",""))*10/2,0),IF('Eval-Avant action écologique'!$A$764=CS16,LEN(SUBSTITUTE((SUBSTITUTE(DS12,"TF","")),"TM",""))*10/2,0),IF('Eval-Avant action écologique'!$A$765=CS16,LEN(SUBSTITUTE((SUBSTITUTE(DS13,"TF","")),"TM",""))*10/2,0),IF('Eval-Avant action écologique'!$A$766=CS16,LEN(SUBSTITUTE((SUBSTITUTE(DS14,"TF","")),"TM",""))*10/2,0),IF('Eval-Avant action écologique'!$A$767=CS16,LEN(SUBSTITUTE((SUBSTITUTE(DS15,"TF","")),"TM",""))*10/2,0),IF('Eval-Avant action écologique'!$A$768=CS16,LEN(SUBSTITUTE((SUBSTITUTE(DS16,"TF","")),"TM",""))*10/2,0),IF('Eval-Avant action écologique'!$A$769=CS16,LEN(SUBSTITUTE((SUBSTITUTE(DS17,"TF","")),"TM",""))*10/2,0),IF('Eval-Avant action écologique'!$A$770=CS16,LEN(SUBSTITUTE((SUBSTITUTE(DS18,"TF","")),"TM",""))*10/2,0),IF('Eval-Avant action écologique'!$A$771=CS16,LEN(SUBSTITUTE((SUBSTITUTE(DS19,"TF","")),"TM",""))*10/2,0),IF('Eval-Avant action écologique'!$A$772=CS16,LEN(SUBSTITUTE((SUBSTITUTE(DS20,"TF","")),"TM",""))*10/2,0),IF('Eval-Avant action écologique'!$A$773=CS16,LEN(SUBSTITUTE((SUBSTITUTE(DS21,"TF","")),"TM",""))*10/2,0),IF('Eval-Avant action écologique'!$A$774=CS16,LEN(SUBSTITUTE((SUBSTITUTE(DS22,"TF","")),"TM",""))*10/2,0),IF('Eval-Avant action écologique'!$A$775=CS16,LEN(SUBSTITUTE((SUBSTITUTE(DS23,"TF","")),"TM",""))*10/2,0),IF('Eval-Avant action écologique'!$A$776=CS16,LEN(SUBSTITUTE((SUBSTITUTE(DS24,"TF","")),"TM",""))*10/2,0),IF('Eval-Avant action écologique'!$A$777=CS16,LEN(SUBSTITUTE((SUBSTITUTE(DS25,"TF","")),"TM",""))*10/2,0),IF('Eval-Avant action écologique'!$A$778=CS16,LEN(SUBSTITUTE((SUBSTITUTE(DS26,"TF","")),"TM",""))*10/2,0),IF('Eval-Avant action écologique'!$A$779=CS16,LEN(SUBSTITUTE((SUBSTITUTE(DS27,"TF","")),"TM",""))*10/2,0),IF('Eval-Avant action écologique'!$A$780=CS16,LEN(SUBSTITUTE((SUBSTITUTE(DS28,"TF","")),"TM",""))*10/2,0))/COUNTIF('Eval-Avant action écologique'!$A$761:$A$780,CS16),"")</f>
        <v/>
      </c>
      <c r="DI16" s="211" t="str">
        <f>IF(COUNTIF('Eval-Avant action écologique'!$A$761:$A$780,CS16)&gt;0,IF(OR(AND('Eval-Avant action écologique'!$A$761=CS16,DP9&lt;30),AND('Eval-Avant action écologique'!$A$762=CS16,DP10&lt;30),AND('Eval-Avant action écologique'!$A$763=CS16,DP11&lt;30),AND('Eval-Avant action écologique'!$A$764=CS16,DP12&lt;30),AND('Eval-Avant action écologique'!$A$765=CS16,DP13&lt;30),AND('Eval-Avant action écologique'!$A$766=CS16,DP14&lt;30),AND('Eval-Avant action écologique'!$A$767=CS16,DP15&lt;30),AND('Eval-Avant action écologique'!$A$768=CS16,DP16&lt;30),AND('Eval-Avant action écologique'!$A$769=CS16,DP17&lt;30),AND('Eval-Avant action écologique'!$A$770=CS16,DP18&lt;30),AND('Eval-Avant action écologique'!$A$771=CS16,DP19&lt;30),AND('Eval-Avant action écologique'!$A$772=CS16,DP20&lt;30),AND('Eval-Avant action écologique'!$A$773=CS16,DP21&lt;30),AND('Eval-Avant action écologique'!$A$774=CS16,DP22&lt;30),AND('Eval-Avant action écologique'!$A$775=CS16,DP23&lt;30),AND('Eval-Avant action écologique'!$A$776=CS16,DP24&lt;30),AND('Eval-Avant action écologique'!$A$777=CS16,DP25&lt;30),AND('Eval-Avant action écologique'!$A$778=CS16,DP26&lt;30),AND('Eval-Avant action écologique'!$A$779=CS16,DP27&lt;30),AND('Eval-Avant action écologique'!$A$780=CS16,DP28&lt;30)),"",SUM(0.1*(SUMPRODUCT(('Eval-Avant action écologique'!$A$761:$A$780=CS16)*('Eval-Avant action écologique'!$N$761:$P$780="A"))+ SUMPRODUCT(('Eval-Avant action écologique'!$A$761:$A$780=CS16)*('Eval-Avant action écologique'!$N$761:$P$780="AL"))),0.7*(SUMPRODUCT(('Eval-Avant action écologique'!$A$761:$A$780=CS16)*('Eval-Avant action écologique'!$N$761:$P$780="TF"))+SUMPRODUCT(('Eval-Avant action écologique'!$A$761:$A$780=CS16)*('Eval-Avant action écologique'!$N$761:$P$780="TM"))+SUMPRODUCT(('Eval-Avant action écologique'!$A$761:$A$780=CS16)*('Eval-Avant action écologique'!$N$761:$P$780="TS"))),0.4*(SUMPRODUCT(('Eval-Avant action écologique'!$A$761:$A$780=CS16)*('Eval-Avant action écologique'!$N$761:$P$780="LA"))+SUMPRODUCT(('Eval-Avant action écologique'!$A$761:$A$780=CS16)*('Eval-Avant action écologique'!$N$761:$P$780="L"))+SUMPRODUCT(('Eval-Avant action écologique'!$A$761:$A$780=CS16)*('Eval-Avant action écologique'!$N$761:$P$780="LS"))),1*(SUMPRODUCT(('Eval-Avant action écologique'!$A$761:$A$780=CS16)*('Eval-Avant action écologique'!$N$761:$P$780="SL"))+ SUMPRODUCT(('Eval-Avant action écologique'!$A$761:$A$780=CS16)*('Eval-Avant action écologique'!$N$761:$P$780="S"))))/(3*COUNTIF('Eval-Avant action écologique'!$A$761:$A$780,CS16))),"")</f>
        <v/>
      </c>
      <c r="DJ16" s="211" t="str">
        <f>IF(COUNTIF('Eval-Avant action écologique'!$A$761:$A$780,CS16)&gt;0,IF(OR(AND('Eval-Avant action écologique'!$A$761=CS16,DP9&lt;120),AND('Eval-Avant action écologique'!$A$762=CS16,DP10&lt;120),AND('Eval-Avant action écologique'!$A$763=CS16,DP11&lt;120),AND('Eval-Avant action écologique'!$A$764=CS16,DP12&lt;120),AND('Eval-Avant action écologique'!$A$765=CS16,DP13&lt;120),AND('Eval-Avant action écologique'!$A$766=CS16,DP14&lt;120),AND('Eval-Avant action écologique'!$A$767=CS16,DP15&lt;120),AND('Eval-Avant action écologique'!$A$768=CS16,DP16&lt;120),AND('Eval-Avant action écologique'!$A$769=CS16,DP17&lt;120),AND('Eval-Avant action écologique'!$A$770=CS16,DP18&lt;120),AND('Eval-Avant action écologique'!$A$771=CS16,DP19&lt;120),AND('Eval-Avant action écologique'!$A$772=CS16,DP20&lt;120),AND('Eval-Avant action écologique'!$A$773=CS16,DP21&lt;120),AND('Eval-Avant action écologique'!$A$774=CS16,DP22&lt;120),AND('Eval-Avant action écologique'!$A$775=CS16,DP23&lt;120),AND('Eval-Avant action écologique'!$A$776=CS16,DP24&lt;120),AND('Eval-Avant action écologique'!$A$777=CS16,DP25&lt;120),AND('Eval-Avant action écologique'!$A$778=CS16,DP26&lt;120),AND('Eval-Avant action écologique'!$A$779=CS16,DP27&lt;120),AND('Eval-Avant action écologique'!$A$780=CS16,DP28&lt;120)),"",SUM(0.1*(SUMPRODUCT(('Eval-Avant action écologique'!$A$761:$A$780=CS16)*('Eval-Avant action écologique'!$Q$761:$Y$780="A"))+ SUMPRODUCT(('Eval-Avant action écologique'!$A$761:$A$780=CS16)*('Eval-Avant action écologique'!$Q$761:$Y$780="AL"))),0.7*(SUMPRODUCT(('Eval-Avant action écologique'!$A$761:$A$780=CS16)*('Eval-Avant action écologique'!$Q$761:$Y$780="TF"))+SUMPRODUCT(('Eval-Avant action écologique'!$A$761:$A$780=CS16)*('Eval-Avant action écologique'!$Q$761:$Y$780="TM"))+SUMPRODUCT(('Eval-Avant action écologique'!$A$761:$A$780=CS16)*('Eval-Avant action écologique'!$Q$761:$Y$780="TS"))),0.4*(SUMPRODUCT(('Eval-Avant action écologique'!$A$761:$A$780=CS16)*('Eval-Avant action écologique'!$Q$761:$Y$780="LA"))+SUMPRODUCT(('Eval-Avant action écologique'!$A$761:$A$780=CS16)*('Eval-Avant action écologique'!$Q$761:$Y$780="L"))+SUMPRODUCT(('Eval-Avant action écologique'!$A$761:$A$780=CS16)*('Eval-Avant action écologique'!$Q$761:$Y$780="LS"))),1*(SUMPRODUCT(('Eval-Avant action écologique'!$A$761:$A$780=CS16)*('Eval-Avant action écologique'!$Q$761:$Y$780="SL"))+ SUMPRODUCT(('Eval-Avant action écologique'!$A$761:$A$780=CS16)*('Eval-Avant action écologique'!$Q$761:$Y$780="S"))))/(9*COUNTIF('Eval-Avant action écologique'!$A$761:$A$780,CS16))),"")</f>
        <v/>
      </c>
      <c r="DK16" s="211" t="str">
        <f>IF(COUNTIF('Eval-Avant action écologique'!$A$761:$A$780,CS16)&gt;0,IF(OR(AND('Eval-Avant action écologique'!$A$761=CS16,OR(COUNTIF('Eval-Avant action écologique'!$N$761:$P$761,"*T*")&gt;0,DP9&lt;30)),AND('Eval-Avant action écologique'!$A$762=CS16,OR(COUNTIF('Eval-Avant action écologique'!$N$762:$P$762,"*T*")&gt;0,DP10&lt;30)),AND('Eval-Avant action écologique'!$A$763=CS16,OR(COUNTIF('Eval-Avant action écologique'!$N$763:$P$763,"*T*")&gt;0,DP11&lt;30)),AND('Eval-Avant action écologique'!$A$764=CS16,OR(COUNTIF('Eval-Avant action écologique'!$N$764:$P$764,"*T*")&gt;0,DP12&lt;30)),AND('Eval-Avant action écologique'!$A$765=CS16,OR(COUNTIF('Eval-Avant action écologique'!$N$765:$P$765,"*T*")&gt;0,DP13&lt;30)),AND('Eval-Avant action écologique'!$A$766=CS16,OR(COUNTIF('Eval-Avant action écologique'!$N$766:$P$766,"*T*")&gt;0,DP14&lt;30)),AND('Eval-Avant action écologique'!$A$767=CS16,OR(COUNTIF('Eval-Avant action écologique'!$N$767:$P$767,"*T*")&gt;0,DP15&lt;30)),AND('Eval-Avant action écologique'!$A$768=CS16,OR(COUNTIF('Eval-Avant action écologique'!$N$768:$P$768,"*T*")&gt;0,DP16&lt;30)),AND('Eval-Avant action écologique'!$A$769=CS16,OR(COUNTIF('Eval-Avant action écologique'!$N$769:$P$769,"*T*")&gt;0,DP17&lt;30)),AND('Eval-Avant action écologique'!$A$770=CS16,OR(COUNTIF('Eval-Avant action écologique'!$N$770:$P$770,"*T*")&gt;0,DP18&lt;30)),AND('Eval-Avant action écologique'!$A$771=CS16,OR(COUNTIF('Eval-Avant action écologique'!$N$771:$P$771,"*T*")&gt;0,DP19&lt;30)),AND('Eval-Avant action écologique'!$A$772=CS16,OR(COUNTIF('Eval-Avant action écologique'!$N$772:$P$772,"*T*")&gt;0,DP20&lt;30)),AND('Eval-Avant action écologique'!$A$773=CS16,OR(COUNTIF('Eval-Avant action écologique'!$N$773:$P$773,"*T*")&gt;0,DP21&lt;30)),AND('Eval-Avant action écologique'!$A$774=CS16,OR(COUNTIF('Eval-Avant action écologique'!$N$774:$P$774,"*T*")&gt;0,DP22&lt;30)),AND('Eval-Avant action écologique'!$A$775=CS16,OR(COUNTIF('Eval-Avant action écologique'!$N$775:$P$775,"*T*")&gt;0,DP23&lt;30)),AND('Eval-Avant action écologique'!$A$776=CS16,OR(COUNTIF('Eval-Avant action écologique'!$N$776:$P$776,"*T*")&gt;0,DP24&lt;30)),AND('Eval-Avant action écologique'!$A$777=CS16,OR(COUNTIF('Eval-Avant action écologique'!$N$777:$P$777,"*T*")&gt;0,DP25&lt;30)),AND('Eval-Avant action écologique'!$A$778=CS16,OR(COUNTIF('Eval-Avant action écologique'!$N$778:$P$778,"*T*")&gt;0,DP26&lt;30)),AND('Eval-Avant action écologique'!$A$779=CS16,OR(COUNTIF('Eval-Avant action écologique'!$N$779:$P$779,"*T*")&gt;0,DP27&lt;30)),AND('Eval-Avant action écologique'!$A$780=CS16,OR(COUNTIF('Eval-Avant action écologique'!$N$780:$P$780,"*T*")&gt;0,DP28&lt;30))),"",SUM(0.1*(SUMPRODUCT(('Eval-Avant action écologique'!$A$761:$A$780=CS16)*('Eval-Avant action écologique'!$N$761:$P$780="L"))),0.4*(SUMPRODUCT(('Eval-Avant action écologique'!$A$761:$A$780=CS16)*('Eval-Avant action écologique'!$N$761:$P$780="LA"))+SUMPRODUCT(('Eval-Avant action écologique'!$A$761:$A$780=CS16)*('Eval-Avant action écologique'!$N$761:$P$780="LS"))),0.7*(SUMPRODUCT(('Eval-Avant action écologique'!$A$761:$A$780=CS16)*('Eval-Avant action écologique'!$N$761:$P$780="AL"))+SUMPRODUCT(('Eval-Avant action écologique'!$A$761:$A$780=CS16)*('Eval-Avant action écologique'!$N$761:$P$780="SL"))),1*(SUMPRODUCT(('Eval-Avant action écologique'!$A$761:$A$780=CS16)*('Eval-Avant action écologique'!$N$761:$P$780="S"))+ SUMPRODUCT(('Eval-Avant action écologique'!$A$761:$A$780=CS16)*('Eval-Avant action écologique'!$N$761:$P$780="A"))))/(3*COUNTIF('Eval-Avant action écologique'!$A$761:$A$780,CS16))),"")</f>
        <v/>
      </c>
      <c r="DL16" s="211" t="str">
        <f>IF(COUNTIF('Eval-Avant action écologique'!$A$761:$A$780,CS16)&gt;0,IF(OR(AND('Eval-Avant action écologique'!$A$761=CS16,OR(COUNTIF('Eval-Avant action écologique'!$N$761:$P$761,"*T*")&gt;0,DP9&lt;30)),AND('Eval-Avant action écologique'!$A$762=CS16,OR(COUNTIF('Eval-Avant action écologique'!$N$762:$P$762,"*T*")&gt;0,DP10&lt;30)),AND('Eval-Avant action écologique'!$A$763=CS16,OR(COUNTIF('Eval-Avant action écologique'!$N$763:$P$763,"*T*")&gt;0,DP11&lt;30)),AND('Eval-Avant action écologique'!$A$764=CS16,OR(COUNTIF('Eval-Avant action écologique'!$N$764:$P$764,"*T*")&gt;0,DP12&lt;30)),AND('Eval-Avant action écologique'!$A$765=CS16,OR(COUNTIF('Eval-Avant action écologique'!$N$765:$P$765,"*T*")&gt;0,DP13&lt;30)),AND('Eval-Avant action écologique'!$A$766=CS16,OR(COUNTIF('Eval-Avant action écologique'!$N$766:$P$766,"*T*")&gt;0,DP14&lt;30)),AND('Eval-Avant action écologique'!$A$767=CS16,OR(COUNTIF('Eval-Avant action écologique'!$N$767:$P$767,"*T*")&gt;0,DP15&lt;30)),AND('Eval-Avant action écologique'!$A$768=CS16,OR(COUNTIF('Eval-Avant action écologique'!$N$768:$P$768,"*T*")&gt;0,DP16&lt;30)),AND('Eval-Avant action écologique'!$A$769=CS16,OR(COUNTIF('Eval-Avant action écologique'!$N$769:$P$769,"*T*")&gt;0,DP17&lt;30)),AND('Eval-Avant action écologique'!$A$770=CS16,OR(COUNTIF('Eval-Avant action écologique'!$N$770:$P$770,"*T*")&gt;0,DP18&lt;30)),AND('Eval-Avant action écologique'!$A$771=CS16,OR(COUNTIF('Eval-Avant action écologique'!$N$771:$P$771,"*T*")&gt;0,DP19&lt;30)),AND('Eval-Avant action écologique'!$A$772=CS16,OR(COUNTIF('Eval-Avant action écologique'!$N$772:$P$772,"*T*")&gt;0,DP20&lt;30)),AND('Eval-Avant action écologique'!$A$773=CS16,OR(COUNTIF('Eval-Avant action écologique'!$N$773:$P$773,"*T*")&gt;0,DP21&lt;30)),AND('Eval-Avant action écologique'!$A$774=CS16,OR(COUNTIF('Eval-Avant action écologique'!$N$774:$P$774,"*T*")&gt;0,DP22&lt;30)),AND('Eval-Avant action écologique'!$A$775=CS16,OR(COUNTIF('Eval-Avant action écologique'!$N$775:$P$775,"*T*")&gt;0,DP23&lt;30)),AND('Eval-Avant action écologique'!$A$776=CS16,OR(COUNTIF('Eval-Avant action écologique'!$N$776:$P$776,"*T*")&gt;0,DP24&lt;30)),AND('Eval-Avant action écologique'!$A$777=CS16,OR(COUNTIF('Eval-Avant action écologique'!$N$777:$P$777,"*T*")&gt;0,DP25&lt;30)),AND('Eval-Avant action écologique'!$A$778=CS16,OR(COUNTIF('Eval-Avant action écologique'!$N$778:$P$778,"*T*")&gt;0,DP26&lt;30)),AND('Eval-Avant action écologique'!$A$779=CS16,OR(COUNTIF('Eval-Avant action écologique'!$N$779:$P$779,"*T*")&gt;0,DP27&lt;30)),AND('Eval-Avant action écologique'!$A$780=CS16,OR(COUNTIF('Eval-Avant action écologique'!$N$780:$P$780,"*T*")&gt;0,DP28&lt;30))),"",SUM(1*(SUMPRODUCT(('Eval-Avant action écologique'!$A$761:$A$780=CS16)*('Eval-Avant action écologique'!$N$761:$P$780="A"))),0.85*(SUMPRODUCT(('Eval-Avant action écologique'!$A$761:$A$780=CS16)*('Eval-Avant action écologique'!$N$761:$P$780="AL"))),0.7*(SUMPRODUCT(('Eval-Avant action écologique'!$A$761:$A$780=CS16)*('Eval-Avant action écologique'!$N$761:$P$780="LA"))),0.55*(SUMPRODUCT(('Eval-Avant action écologique'!$A$761:$A$780=CS16)*('Eval-Avant action écologique'!$N$761:$P$780="L"))),0.4*(SUMPRODUCT(('Eval-Avant action écologique'!$A$761:$A$780=CS16)*('Eval-Avant action écologique'!$N$761:$P$780="LS"))),0.25*(SUMPRODUCT(('Eval-Avant action écologique'!$A$761:$A$780=CS16)*('Eval-Avant action écologique'!$N$761:$P$780="SL"))),0.1*(SUMPRODUCT(('Eval-Avant action écologique'!$A$761:$A$780=CS16)*('Eval-Avant action écologique'!$N$761:$P$780="S"))))/(3*COUNTIF('Eval-Avant action écologique'!$A$761:$A$780,CS16))),"")</f>
        <v/>
      </c>
      <c r="DM16" s="214" t="str">
        <f>IF(COUNTIF('Eval-Avant action écologique'!$A$761:$A$780,CS16)&gt;0,IF(OR(AND('Eval-Avant action écologique'!$A$761=CS16,OR(COUNTIF('Eval-Avant action écologique'!$Q$761:$Y$761,"*T*")&gt;0,DP9&lt;120)),AND('Eval-Avant action écologique'!$A$762=CS16,OR(COUNTIF('Eval-Avant action écologique'!$Q$762:$Y$762,"*T*")&gt;0,DP10&lt;120)),AND('Eval-Avant action écologique'!$A$763=CS16,OR(COUNTIF('Eval-Avant action écologique'!$Q$763:$Y$763,"*T*")&gt;0,DP11&lt;120)),AND('Eval-Avant action écologique'!$A$764=CS16,OR(COUNTIF('Eval-Avant action écologique'!$Q$764:$Y$764,"*T*")&gt;0,DP12&lt;120)),AND('Eval-Avant action écologique'!$A$765=CS16,OR(COUNTIF('Eval-Avant action écologique'!$Q$765:$Y$765,"*T*")&gt;0,DP13&lt;120)),AND('Eval-Avant action écologique'!$A$766=CS16,OR(COUNTIF('Eval-Avant action écologique'!$Q$766:$Y$766,"*T*")&gt;0,DP14&lt;120)),AND('Eval-Avant action écologique'!$A$767=CS16,OR(COUNTIF('Eval-Avant action écologique'!$Q$767:$Y$767,"*T*")&gt;0,DP15&lt;120)),AND('Eval-Avant action écologique'!$A$768=CS16,OR(COUNTIF('Eval-Avant action écologique'!$Q$768:$Y$768,"*T*")&gt;0,DP16&lt;120)),AND('Eval-Avant action écologique'!$A$769=CS16,OR(COUNTIF('Eval-Avant action écologique'!$Q$769:$Y$769,"*T*")&gt;0,DP17&lt;120)),AND('Eval-Avant action écologique'!$A$770=CS16,OR(COUNTIF('Eval-Avant action écologique'!$Q$770:$Y$770,"*T*")&gt;0,DP18&lt;120)),AND('Eval-Avant action écologique'!$A$771=CS16,OR(COUNTIF('Eval-Avant action écologique'!$Q$771:$Y$771,"*T*")&gt;0,DP19&lt;120)),AND('Eval-Avant action écologique'!$A$772=CS16,OR(COUNTIF('Eval-Avant action écologique'!$Q$772:$Y$772,"*T*")&gt;0,DP20&lt;120)),AND('Eval-Avant action écologique'!$A$773=CS16,OR(COUNTIF('Eval-Avant action écologique'!$Q$773:$Y$773,"*T*")&gt;0,DP21&lt;120)),AND('Eval-Avant action écologique'!$A$774=CS16,OR(COUNTIF('Eval-Avant action écologique'!$Q$774:$Y$774,"*T*")&gt;0,DP22&lt;120)),AND('Eval-Avant action écologique'!$A$775=CS16,OR(COUNTIF('Eval-Avant action écologique'!$Q$775:$Y$775,"*T*")&gt;0,DP23&lt;120)),AND('Eval-Avant action écologique'!$A$776=CS16,OR(COUNTIF('Eval-Avant action écologique'!$Q$776:$Y$776,"*T*")&gt;0,DP24&lt;120)),AND('Eval-Avant action écologique'!$A$777=CS16,OR(COUNTIF('Eval-Avant action écologique'!$Q$777:$Y$777,"*T*")&gt;0,DP25&lt;120)),AND('Eval-Avant action écologique'!$A$778=CS16,OR(COUNTIF('Eval-Avant action écologique'!$Q$778:$Y$778,"*T*")&gt;0,DP26&lt;120)),AND('Eval-Avant action écologique'!$A$779=CS16,OR(COUNTIF('Eval-Avant action écologique'!$Q$779:$Y$779,"*T*")&gt;0,DP27&lt;120)),AND('Eval-Avant action écologique'!$A$780=CS16,OR(COUNTIF('Eval-Avant action écologique'!$Q$780:$Y$780,"*T*")&gt;0,DP28&lt;120))),"",SUM(1*(SUMPRODUCT(('Eval-Avant action écologique'!$A$761:$A$780=CS16)*('Eval-Avant action écologique'!$Q$761:$Y$780="A"))),0.85*(SUMPRODUCT(('Eval-Avant action écologique'!$A$761:$A$780=CS16)*('Eval-Avant action écologique'!$Q$761:$Y$780="AL"))),0.7*(SUMPRODUCT(('Eval-Avant action écologique'!$A$761:$A$780=CS16)*('Eval-Avant action écologique'!$Q$761:$Y$780="LA"))),0.55*(SUMPRODUCT(('Eval-Avant action écologique'!$A$761:$A$780=CS16)*('Eval-Avant action écologique'!$Q$761:$Y$780="L"))),0.4*(SUMPRODUCT(('Eval-Avant action écologique'!$A$761:$A$780=CS16)*('Eval-Avant action écologique'!$Q$761:$Y$780="LS"))),0.25*(SUMPRODUCT(('Eval-Avant action écologique'!$A$761:$A$780=CS16)*('Eval-Avant action écologique'!$Q$761:$Y$780="SL"))),0.1*(SUMPRODUCT(('Eval-Avant action écologique'!$A$761:$A$780=CS16)*('Eval-Avant action écologique'!$Q$761:$Y$780="S"))))/(9*COUNTIF('Eval-Avant action écologique'!$A$761:$A$780,CS16))),"")</f>
        <v/>
      </c>
      <c r="DN16" s="215"/>
      <c r="DO16" s="216">
        <f>'Eval-Avant action écologique'!$D$768</f>
        <v>8</v>
      </c>
      <c r="DP16" s="217" t="str">
        <f>IF(DQ16="C",0,IF(IF(COUNTIF('Eval-Avant action écologique'!$N$768:$Y$768,"=C")&gt;0,(COUNTA('Eval-Avant action écologique'!$N$768:$Y$768)-1)*10,COUNTA('Eval-Avant action écologique'!$N$768:$Y$768)*10)=0,"",IF(COUNTIF('Eval-Avant action écologique'!$N$768:$Y$768,"=C")&gt;0,(COUNTA('Eval-Avant action écologique'!$N$768:$Y$768)-1)*10,COUNTA('Eval-Avant action écologique'!$N$768:$Y$768)*10)))</f>
        <v/>
      </c>
      <c r="DQ16" s="217" t="str">
        <f>CONCATENATE('Eval-Avant action écologique'!$N$768,'Eval-Avant action écologique'!$O$768,'Eval-Avant action écologique'!$P$768,'Eval-Avant action écologique'!$Q$768,'Eval-Avant action écologique'!$R$768,'Eval-Avant action écologique'!$S$768,'Eval-Avant action écologique'!$T$768,'Eval-Avant action écologique'!$U$768,'Eval-Avant action écologique'!$V$768,'Eval-Avant action écologique'!$W$768,'Eval-Avant action écologique'!$X$768,'Eval-Avant action écologique'!$Y$768)</f>
        <v/>
      </c>
      <c r="DR16" s="217" t="str">
        <f t="shared" si="12"/>
        <v/>
      </c>
      <c r="DS16" s="217" t="str">
        <f t="shared" si="13"/>
        <v/>
      </c>
      <c r="DT16" s="217" t="str">
        <f>IF(COUNTIF('Eval-Avant action écologique'!$N$768:$Y$768,"=C")&gt;0,"X","")</f>
        <v/>
      </c>
      <c r="DU16" s="217" t="str">
        <f t="shared" si="14"/>
        <v/>
      </c>
      <c r="DV16" s="218" t="str">
        <f t="shared" si="15"/>
        <v/>
      </c>
      <c r="DW16" s="197"/>
      <c r="DY16" s="210">
        <v>8</v>
      </c>
      <c r="DZ16" s="211" t="str">
        <f>IF(COUNTIF('Eval-Avec act. écol. envisagée'!$A$761:$A$780,DY16)&gt;0,SUM(IF('Eval-Avec act. écol. envisagée'!$A$761=DY16,'Eval-Avec act. écol. envisagée'!$B$761,0),IF('Eval-Avec act. écol. envisagée'!$A$762=DY16, 'Eval-Avec act. écol. envisagée'!$B$762,0),IF('Eval-Avec act. écol. envisagée'!$A$763=DY16, 'Eval-Avec act. écol. envisagée'!$B$763,0),IF('Eval-Avec act. écol. envisagée'!$A$764=DY16, 'Eval-Avec act. écol. envisagée'!$B$764,0),IF('Eval-Avec act. écol. envisagée'!$A$765=DY16, 'Eval-Avec act. écol. envisagée'!$B$765,0),IF('Eval-Avec act. écol. envisagée'!$A$766=DY16, 'Eval-Avec act. écol. envisagée'!$B$766,0),IF('Eval-Avec act. écol. envisagée'!$A$767=DY16, 'Eval-Avec act. écol. envisagée'!$B$767,0),IF('Eval-Avec act. écol. envisagée'!$A$768=DY16, 'Eval-Avec act. écol. envisagée'!$B$768,0),IF('Eval-Avec act. écol. envisagée'!$A$769=DY16, 'Eval-Avec act. écol. envisagée'!$B$769,0),IF('Eval-Avec act. écol. envisagée'!$A$770=DY16, 'Eval-Avec act. écol. envisagée'!$B$770,0),IF('Eval-Avec act. écol. envisagée'!$A$771=DY16, 'Eval-Avec act. écol. envisagée'!$B$771,0),IF('Eval-Avec act. écol. envisagée'!$A$772=DY16, 'Eval-Avec act. écol. envisagée'!$B$772,0),IF('Eval-Avec act. écol. envisagée'!$A$773=DY16, 'Eval-Avec act. écol. envisagée'!$B$773,0),IF('Eval-Avec act. écol. envisagée'!$A$774=DY16, 'Eval-Avec act. écol. envisagée'!$B$774,0),IF('Eval-Avec act. écol. envisagée'!$A$775=DY16, 'Eval-Avec act. écol. envisagée'!$B$775,0),IF('Eval-Avec act. écol. envisagée'!$A$776=DY16, 'Eval-Avec act. écol. envisagée'!$B$776,0),IF('Eval-Avec act. écol. envisagée'!$A$777=DY16, 'Eval-Avec act. écol. envisagée'!$B$777,0),IF('Eval-Avec act. écol. envisagée'!$A$778=DY16, 'Eval-Avec act. écol. envisagée'!$B$778,0),IF('Eval-Avec act. écol. envisagée'!$A$779=DY16, 'Eval-Avec act. écol. envisagée'!$B$779,0),IF('Eval-Avec act. écol. envisagée'!$A$780=DY16, 'Eval-Avec act. écol. envisagée'!$B$780,0))/COUNTIF('Eval-Avec act. écol. envisagée'!$A$761:$A$780,DY16),"")</f>
        <v/>
      </c>
      <c r="EA16" s="212" t="str">
        <f>IF(COUNTIF('Eval-Avec act. écol. envisagée'!$A$761:$A$780,DY16)&gt;0,COUNTIF('Eval-Avec act. écol. envisagée'!$A$761:$A$780,DY16),"")</f>
        <v/>
      </c>
      <c r="EB16" s="211" t="str">
        <f>IF(COUNTIF('Eval-Avec act. écol. envisagée'!$A$761:$A$780,DY16)&gt;0,IF(OR(AND('Eval-Avec act. écol. envisagée'!$A$761=DY16, 'Eval-Avec act. écol. envisagée'!$G$761=""),AND('Eval-Avec act. écol. envisagée'!$A$762=DY16, 'Eval-Avec act. écol. envisagée'!$G$762=""),AND('Eval-Avec act. écol. envisagée'!$A$763=DY16, 'Eval-Avec act. écol. envisagée'!$G$763=""),AND('Eval-Avec act. écol. envisagée'!$A$764=DY16, 'Eval-Avec act. écol. envisagée'!$G$764=""),AND('Eval-Avec act. écol. envisagée'!$A$765=DY16, 'Eval-Avec act. écol. envisagée'!$G$765=""),AND('Eval-Avec act. écol. envisagée'!$A$766=DY16, 'Eval-Avec act. écol. envisagée'!$G$766=""),AND('Eval-Avec act. écol. envisagée'!$A$767=DY16, 'Eval-Avec act. écol. envisagée'!$G$767=""),AND('Eval-Avec act. écol. envisagée'!$A$768=DY16, 'Eval-Avec act. écol. envisagée'!$G$768=""),AND('Eval-Avec act. écol. envisagée'!$A$769=DY16, 'Eval-Avec act. écol. envisagée'!$G$769=""),AND('Eval-Avec act. écol. envisagée'!$A$770=DY16, 'Eval-Avec act. écol. envisagée'!$G$770=""),AND('Eval-Avec act. écol. envisagée'!$A$771=DY16, 'Eval-Avec act. écol. envisagée'!$G$771=""),AND('Eval-Avec act. écol. envisagée'!$A$772=DY16, 'Eval-Avec act. écol. envisagée'!$G$772=""),AND('Eval-Avec act. écol. envisagée'!$A$773=DY16, 'Eval-Avec act. écol. envisagée'!$G$773=""),AND('Eval-Avec act. écol. envisagée'!$A$774=DY16, 'Eval-Avec act. écol. envisagée'!$G$774=""),AND('Eval-Avec act. écol. envisagée'!$A$775=DY16, 'Eval-Avec act. écol. envisagée'!$G$775=""),AND('Eval-Avec act. écol. envisagée'!$A$776=DY16, 'Eval-Avec act. écol. envisagée'!$G$776=""),AND('Eval-Avec act. écol. envisagée'!$A$777=DY16, 'Eval-Avec act. écol. envisagée'!$G$777=""),AND('Eval-Avec act. écol. envisagée'!$A$778=DY16, 'Eval-Avec act. écol. envisagée'!$G$778=""),AND('Eval-Avec act. écol. envisagée'!$A$779=DY16, 'Eval-Avec act. écol. envisagée'!$G$779=""),AND('Eval-Avec act. écol. envisagée'!$A$780=DY16, 'Eval-Avec act. écol. envisagée'!$G$780="")),"",SUM(IF('Eval-Avec act. écol. envisagée'!$A$761=DY16,'Eval-Avec act. écol. envisagée'!$G$761,0),IF('Eval-Avec act. écol. envisagée'!$A$762=DY16,'Eval-Avec act. écol. envisagée'!$G$762,0),IF('Eval-Avec act. écol. envisagée'!$A$763=DY16,'Eval-Avec act. écol. envisagée'!$G$763,0),IF('Eval-Avec act. écol. envisagée'!$A$764=DY16,'Eval-Avec act. écol. envisagée'!$G$764,0),IF('Eval-Avec act. écol. envisagée'!$A$765=DY16,'Eval-Avec act. écol. envisagée'!$G$765,0),IF('Eval-Avec act. écol. envisagée'!$A$766=DY16,'Eval-Avec act. écol. envisagée'!$G$766,0),IF('Eval-Avec act. écol. envisagée'!$A$767=DY16,'Eval-Avec act. écol. envisagée'!$G$767,0),IF('Eval-Avec act. écol. envisagée'!$A$768=DY16,'Eval-Avec act. écol. envisagée'!$G$768,0),IF('Eval-Avec act. écol. envisagée'!$A$769=DY16,'Eval-Avec act. écol. envisagée'!$G$769,0),IF('Eval-Avec act. écol. envisagée'!$A$770=DY16,'Eval-Avec act. écol. envisagée'!$G$770,0),IF('Eval-Avec act. écol. envisagée'!$A$771=DY16,'Eval-Avec act. écol. envisagée'!$G$771,0),IF('Eval-Avec act. écol. envisagée'!$A$772=DY16,'Eval-Avec act. écol. envisagée'!$G$772,0),IF('Eval-Avec act. écol. envisagée'!$A$773=DY16,'Eval-Avec act. écol. envisagée'!$G$773,0),IF('Eval-Avec act. écol. envisagée'!$A$774=DY16,'Eval-Avec act. écol. envisagée'!$G$774,0),IF('Eval-Avec act. écol. envisagée'!$A$775=DY16,'Eval-Avec act. écol. envisagée'!$G$775,0), IF('Eval-Avec act. écol. envisagée'!$A$776=DY16,'Eval-Avec act. écol. envisagée'!$G$776,0), IF('Eval-Avec act. écol. envisagée'!$A$777=DY16,'Eval-Avec act. écol. envisagée'!$G$777,0), IF('Eval-Avec act. écol. envisagée'!$A$778=DY16,'Eval-Avec act. écol. envisagée'!$G$778,0), IF('Eval-Avec act. écol. envisagée'!$A$779=DY16,'Eval-Avec act. écol. envisagée'!$G$779,0), IF('Eval-Avec act. écol. envisagée'!$A$780=DY16,'Eval-Avec act. écol. envisagée'!$G$780,0))/ COUNTIF('Eval-Avec act. écol. envisagée'!$A$761:$A$780,DY16)),"")</f>
        <v/>
      </c>
      <c r="EC16" s="212" t="str">
        <f>IF(COUNTIF('Eval-Avec act. écol. envisagée'!$A$761:$A$780,DY16)&gt;0,IF(SUM(IF('Eval-Avec act. écol. envisagée'!$A$761=DY16,COUNTA('Eval-Avec act. écol. envisagée'!$H$761),0),IF('Eval-Avec act. écol. envisagée'!$A$762=DY16,COUNTA('Eval-Avec act. écol. envisagée'!$H$762),0),IF('Eval-Avec act. écol. envisagée'!$A$763=DY16,COUNTA('Eval-Avec act. écol. envisagée'!$H$763),0),IF('Eval-Avec act. écol. envisagée'!$A$764=DY16,COUNTA('Eval-Avec act. écol. envisagée'!$H$764),0),IF('Eval-Avec act. écol. envisagée'!$A$765=DY16,COUNTA('Eval-Avec act. écol. envisagée'!$H$765),0),IF('Eval-Avec act. écol. envisagée'!$A$766=DY16,COUNTA('Eval-Avec act. écol. envisagée'!$H$766),0),IF('Eval-Avec act. écol. envisagée'!$A$767=DY16,COUNTA('Eval-Avec act. écol. envisagée'!$H$767),0),IF('Eval-Avec act. écol. envisagée'!$A$768=DY16,COUNTA('Eval-Avec act. écol. envisagée'!$H$768),0),IF('Eval-Avec act. écol. envisagée'!$A$769=DY16,COUNTA('Eval-Avec act. écol. envisagée'!$H$769),0),IF('Eval-Avec act. écol. envisagée'!$A$770=DY16,COUNTA('Eval-Avec act. écol. envisagée'!$H$770),0),IF('Eval-Avec act. écol. envisagée'!$A$771=DY16,COUNTA('Eval-Avec act. écol. envisagée'!$H$771),0),IF('Eval-Avec act. écol. envisagée'!$A$772=DY16,COUNTA('Eval-Avec act. écol. envisagée'!$H$772),0),IF('Eval-Avec act. écol. envisagée'!$A$773=DY16,COUNTA('Eval-Avec act. écol. envisagée'!$H$773),0),IF('Eval-Avec act. écol. envisagée'!$A$774=DY16,COUNTA('Eval-Avec act. écol. envisagée'!$H$774),0),IF('Eval-Avec act. écol. envisagée'!$A$775=DY16,COUNTA('Eval-Avec act. écol. envisagée'!$H$775),0),IF('Eval-Avec act. écol. envisagée'!$A$776=DY16,COUNTA('Eval-Avec act. écol. envisagée'!$H$776),0),IF('Eval-Avec act. écol. envisagée'!$A$777=DY16,COUNTA('Eval-Avec act. écol. envisagée'!$H$777),0),IF('Eval-Avec act. écol. envisagée'!$A$778=DY16,COUNTA('Eval-Avec act. écol. envisagée'!$H$778),0),IF('Eval-Avec act. écol. envisagée'!$A$779=DY16,COUNTA('Eval-Avec act. écol. envisagée'!$H$779),0),IF('Eval-Avec act. écol. envisagée'!$A$780=DY16,COUNTA('Eval-Avec act. écol. envisagée'!$H$780),0))&gt;0,"X",0),"")</f>
        <v/>
      </c>
      <c r="ED16" s="213" t="str">
        <f>IF(COUNTIF('Eval-Avec act. écol. envisagée'!$A$761:$A$780,DY16)&gt;0,IF(SUM(IF('Eval-Avec act. écol. envisagée'!$A$761=DY16,COUNTA('Eval-Avec act. écol. envisagée'!$I$761),0),IF('Eval-Avec act. écol. envisagée'!$A$762=DY16,COUNTA('Eval-Avec act. écol. envisagée'!$I$762),0),IF('Eval-Avec act. écol. envisagée'!$A$763=DY16,COUNTA('Eval-Avec act. écol. envisagée'!$I$763),0),IF('Eval-Avec act. écol. envisagée'!$A$764=DY16,COUNTA('Eval-Avec act. écol. envisagée'!$I$764),0),IF('Eval-Avec act. écol. envisagée'!$A$765=DY16,COUNTA('Eval-Avec act. écol. envisagée'!$I$765),0),IF('Eval-Avec act. écol. envisagée'!$A$766=DY16,COUNTA('Eval-Avec act. écol. envisagée'!$I$766),0),IF('Eval-Avec act. écol. envisagée'!$A$767=DY16,COUNTA('Eval-Avec act. écol. envisagée'!$I$767),0),IF('Eval-Avec act. écol. envisagée'!$A$768=DY16,COUNTA('Eval-Avec act. écol. envisagée'!$I$768),0),IF('Eval-Avec act. écol. envisagée'!$A$769=DY16,COUNTA('Eval-Avec act. écol. envisagée'!$I$769),0),IF('Eval-Avec act. écol. envisagée'!$A$770=DY16,COUNTA('Eval-Avec act. écol. envisagée'!$I$770),0),IF('Eval-Avec act. écol. envisagée'!$A$771=DY16,COUNTA('Eval-Avec act. écol. envisagée'!$I$771),0),IF('Eval-Avec act. écol. envisagée'!$A$772=DY16,COUNTA('Eval-Avec act. écol. envisagée'!$I$772),0),IF('Eval-Avec act. écol. envisagée'!$A$773=DY16,COUNTA('Eval-Avec act. écol. envisagée'!$I$773),0),IF('Eval-Avec act. écol. envisagée'!$A$774=DY16,COUNTA('Eval-Avec act. écol. envisagée'!$I$774),0),IF('Eval-Avec act. écol. envisagée'!$A$775=DY16,COUNTA('Eval-Avec act. écol. envisagée'!$I$775),0),IF('Eval-Avec act. écol. envisagée'!$A$776=DY16,COUNTA('Eval-Avec act. écol. envisagée'!$I$776),0),IF('Eval-Avec act. écol. envisagée'!$A$777=DY16,COUNTA('Eval-Avec act. écol. envisagée'!$I$777),0),IF('Eval-Avec act. écol. envisagée'!$A$778=DY16,COUNTA('Eval-Avec act. écol. envisagée'!$I$778),0),IF('Eval-Avec act. écol. envisagée'!$A$779=DY16,COUNTA('Eval-Avec act. écol. envisagée'!$I$779),0),IF('Eval-Avec act. écol. envisagée'!$A$780=DY16,COUNTA('Eval-Avec act. écol. envisagée'!$I$780),0))&gt;0,"X",0),"")</f>
        <v/>
      </c>
      <c r="EE16" s="213" t="str">
        <f>IF(COUNTIF('Eval-Avec act. écol. envisagée'!$A$761:$A$780,DY16)&gt;0,IF(SUM(IF('Eval-Avec act. écol. envisagée'!$A$761=DY16,COUNTA('Eval-Avec act. écol. envisagée'!$J$761),0),IF('Eval-Avec act. écol. envisagée'!$A$762=DY16,COUNTA('Eval-Avec act. écol. envisagée'!$J$762),0),IF('Eval-Avec act. écol. envisagée'!$A$763=DY16,COUNTA('Eval-Avec act. écol. envisagée'!$J$763),0),IF('Eval-Avec act. écol. envisagée'!$A$764=DY16,COUNTA('Eval-Avec act. écol. envisagée'!$J$764),0),IF('Eval-Avec act. écol. envisagée'!$A$765=DY16,COUNTA('Eval-Avec act. écol. envisagée'!$J$765),0),IF('Eval-Avec act. écol. envisagée'!$A$766=DY16,COUNTA('Eval-Avec act. écol. envisagée'!$J$766),0),IF('Eval-Avec act. écol. envisagée'!$A$767=DY16,COUNTA('Eval-Avec act. écol. envisagée'!$J$767),0),IF('Eval-Avec act. écol. envisagée'!$A$768=DY16,COUNTA('Eval-Avec act. écol. envisagée'!$J$768),0),IF('Eval-Avec act. écol. envisagée'!$A$769=DY16,COUNTA('Eval-Avec act. écol. envisagée'!$J$769),0),IF('Eval-Avec act. écol. envisagée'!$A$770=DY16,COUNTA('Eval-Avec act. écol. envisagée'!$J$770),0),IF('Eval-Avec act. écol. envisagée'!$A$771=DY16,COUNTA('Eval-Avec act. écol. envisagée'!$J$771),0),IF('Eval-Avec act. écol. envisagée'!$A$772=DY16,COUNTA('Eval-Avec act. écol. envisagée'!$J$772),0),IF('Eval-Avec act. écol. envisagée'!$A$773=DY16,COUNTA('Eval-Avec act. écol. envisagée'!$J$773),0),IF('Eval-Avec act. écol. envisagée'!$A$774=DY16,COUNTA('Eval-Avec act. écol. envisagée'!$J$774),0),IF('Eval-Avec act. écol. envisagée'!$A$775=DY16,COUNTA('Eval-Avec act. écol. envisagée'!$J$775),0),IF('Eval-Avec act. écol. envisagée'!$A$776=DY16,COUNTA('Eval-Avec act. écol. envisagée'!$J$776),0),IF('Eval-Avec act. écol. envisagée'!$A$777=DY16,COUNTA('Eval-Avec act. écol. envisagée'!$J$777),0),IF('Eval-Avec act. écol. envisagée'!$A$778=DY16,COUNTA('Eval-Avec act. écol. envisagée'!$J$778),0),IF('Eval-Avec act. écol. envisagée'!$A$779=DY16,COUNTA('Eval-Avec act. écol. envisagée'!$J$779),0),IF('Eval-Avec act. écol. envisagée'!$A$780=DY16,COUNTA('Eval-Avec act. écol. envisagée'!$J$780),0))&gt;0,"X",0),"")</f>
        <v/>
      </c>
      <c r="EF16" s="213" t="str">
        <f>IF(COUNTIF('Eval-Avec act. écol. envisagée'!$A$761:$A$780,DY16)&gt;0,IF(SUM(IF('Eval-Avec act. écol. envisagée'!$A$761=DY16,COUNTA('Eval-Avec act. écol. envisagée'!$K$761),0),IF('Eval-Avec act. écol. envisagée'!$A$762=DY16,COUNTA('Eval-Avec act. écol. envisagée'!$K$762),0),IF('Eval-Avec act. écol. envisagée'!$A$763=DY16,COUNTA('Eval-Avec act. écol. envisagée'!$K$763),0),IF('Eval-Avec act. écol. envisagée'!$A$764=DY16,COUNTA('Eval-Avec act. écol. envisagée'!$K$764),0),IF('Eval-Avec act. écol. envisagée'!$A$765=DY16,COUNTA('Eval-Avec act. écol. envisagée'!$K$765),0),IF('Eval-Avec act. écol. envisagée'!$A$766=DY16,COUNTA('Eval-Avec act. écol. envisagée'!$K$766),0),IF('Eval-Avec act. écol. envisagée'!$A$767=DY16,COUNTA('Eval-Avec act. écol. envisagée'!$K$767),0),IF('Eval-Avec act. écol. envisagée'!$A$768=DY16,COUNTA('Eval-Avec act. écol. envisagée'!$K$768),0),IF('Eval-Avec act. écol. envisagée'!$A$769=DY16,COUNTA('Eval-Avec act. écol. envisagée'!$K$769),0),IF('Eval-Avec act. écol. envisagée'!$A$770=DY16,COUNTA('Eval-Avec act. écol. envisagée'!$K$770),0),IF('Eval-Avec act. écol. envisagée'!$A$771=DY16,COUNTA('Eval-Avec act. écol. envisagée'!$K$771),0),IF('Eval-Avec act. écol. envisagée'!$A$772=DY16,COUNTA('Eval-Avec act. écol. envisagée'!$K$772),0),IF('Eval-Avec act. écol. envisagée'!$A$773=DY16,COUNTA('Eval-Avec act. écol. envisagée'!$K$773),0),IF('Eval-Avec act. écol. envisagée'!$A$774=DY16,COUNTA('Eval-Avec act. écol. envisagée'!$K$774),0),IF('Eval-Avec act. écol. envisagée'!$A$775=DY16,COUNTA('Eval-Avec act. écol. envisagée'!$K$775),0),IF('Eval-Avec act. écol. envisagée'!$A$776=DY16,COUNTA('Eval-Avec act. écol. envisagée'!$K$776),0),IF('Eval-Avec act. écol. envisagée'!$A$777=DY16,COUNTA('Eval-Avec act. écol. envisagée'!$K$777),0),IF('Eval-Avec act. écol. envisagée'!$A$778=DY16,COUNTA('Eval-Avec act. écol. envisagée'!$K$778),0),IF('Eval-Avec act. écol. envisagée'!$A$779=DY16,COUNTA('Eval-Avec act. écol. envisagée'!$K$779),0),IF('Eval-Avec act. écol. envisagée'!$A$780=DY16,COUNTA('Eval-Avec act. écol. envisagée'!$K$780),0))&gt;0,"X",0),"")</f>
        <v/>
      </c>
      <c r="EG16" s="211" t="str">
        <f>IF(COUNTIF('Eval-Avec act. écol. envisagée'!$A$761:$A$780,DY16)&gt;0,IF(OR(AND('Eval-Avec act. écol. envisagée'!$A$761=DY16,'Eval-Avec act. écol. envisagée'!$L$761&lt;120,'Eval-Avec act. écol. envisagée'!$L$761&gt;=EV9),AND('Eval-Avec act. écol. envisagée'!$A$762=DY16,'Eval-Avec act. écol. envisagée'!$L$762&lt;120,'Eval-Avec act. écol. envisagée'!$L$762&gt;=EV10),AND('Eval-Avec act. écol. envisagée'!$A$763=DY16,'Eval-Avec act. écol. envisagée'!$L$763&lt;120,'Eval-Avec act. écol. envisagée'!$L$763&gt;=EV11),AND('Eval-Avec act. écol. envisagée'!$A$764=DY16,'Eval-Avec act. écol. envisagée'!$L$764&lt;120,'Eval-Avec act. écol. envisagée'!$L$764&gt;=EV12),AND('Eval-Avec act. écol. envisagée'!$A$765=DY16,'Eval-Avec act. écol. envisagée'!$L$765&lt;120,'Eval-Avec act. écol. envisagée'!$L$765&gt;=EV13),AND('Eval-Avec act. écol. envisagée'!$A$766=DY16,'Eval-Avec act. écol. envisagée'!$L$766&lt;120,'Eval-Avec act. écol. envisagée'!$L$766&gt;=EV14),AND('Eval-Avec act. écol. envisagée'!$A$767=DY16,'Eval-Avec act. écol. envisagée'!$L$767&lt;120,'Eval-Avec act. écol. envisagée'!$L$767&gt;=EV15),AND('Eval-Avec act. écol. envisagée'!$A$768=DY16,'Eval-Avec act. écol. envisagée'!$L$768&lt;120,'Eval-Avec act. écol. envisagée'!$L$768&gt;=EV16),AND('Eval-Avec act. écol. envisagée'!$A$769=DY16,'Eval-Avec act. écol. envisagée'!$L$769&lt;120,'Eval-Avec act. écol. envisagée'!$L$769&gt;=EV17),AND('Eval-Avec act. écol. envisagée'!$A$770=DY16,'Eval-Avec act. écol. envisagée'!$L$770&lt;120,'Eval-Avec act. écol. envisagée'!$L$770&gt;=EV18),AND('Eval-Avec act. écol. envisagée'!$A$771=DY16,'Eval-Avec act. écol. envisagée'!$L$771&lt;120,'Eval-Avec act. écol. envisagée'!$L$771&gt;=EV19),AND('Eval-Avec act. écol. envisagée'!$A$772=DY16,'Eval-Avec act. écol. envisagée'!$L$772&lt;120,'Eval-Avec act. écol. envisagée'!$L$772&gt;=EV20),AND('Eval-Avec act. écol. envisagée'!$A$773=DY16,'Eval-Avec act. écol. envisagée'!$L$773&lt;120,'Eval-Avec act. écol. envisagée'!$L$773&gt;=EV21),AND('Eval-Avec act. écol. envisagée'!$A$774=DY16,'Eval-Avec act. écol. envisagée'!$L$774&lt;120,'Eval-Avec act. écol. envisagée'!$L$774&gt;=EV22),AND('Eval-Avec act. écol. envisagée'!$A$775=DY16,'Eval-Avec act. écol. envisagée'!$L$775&lt;120,'Eval-Avec act. écol. envisagée'!$L$775&gt;=EV23),AND('Eval-Avec act. écol. envisagée'!$A$776=DY16,'Eval-Avec act. écol. envisagée'!$L$776&lt;120,'Eval-Avec act. écol. envisagée'!$L$776&gt;=EV24),AND('Eval-Avec act. écol. envisagée'!$A$777=DY16,'Eval-Avec act. écol. envisagée'!$L$777&lt;120,'Eval-Avec act. écol. envisagée'!$L$777&gt;=EV25),AND('Eval-Avec act. écol. envisagée'!$A$778=DY16,'Eval-Avec act. écol. envisagée'!$L$778&lt;120,'Eval-Avec act. écol. envisagée'!$L$778&gt;=EV26),AND('Eval-Avec act. écol. envisagée'!$A$779=DY16,'Eval-Avec act. écol. envisagée'!$L$779&lt;120,'Eval-Avec act. écol. envisagée'!$L$779&gt;=EV27),AND('Eval-Avec act. écol. envisagée'!$A$780=DY16,'Eval-Avec act. écol. envisagée'!$L$780&lt;120,'Eval-Avec act. écol. envisagée'!$L$780&gt;=EV28)),"",SUM(IF('Eval-Avec act. écol. envisagée'!$A$761=DY16,'Eval-Avec act. écol. envisagée'!$L$761,0),IF('Eval-Avec act. écol. envisagée'!$A$762=DY16,'Eval-Avec act. écol. envisagée'!$L$762,0),IF('Eval-Avec act. écol. envisagée'!$A$763=DY16,'Eval-Avec act. écol. envisagée'!$L$763,0),IF('Eval-Avec act. écol. envisagée'!$A$764=DY16,'Eval-Avec act. écol. envisagée'!$L$764,0),IF('Eval-Avec act. écol. envisagée'!$A$765=DY16,'Eval-Avec act. écol. envisagée'!$L$765,0),IF('Eval-Avec act. écol. envisagée'!$A$766=DY16,'Eval-Avec act. écol. envisagée'!$L$766,0),IF('Eval-Avec act. écol. envisagée'!$A$767=DY16,'Eval-Avec act. écol. envisagée'!$L$767,0),IF('Eval-Avec act. écol. envisagée'!$A$768=DY16,'Eval-Avec act. écol. envisagée'!$L$768,0),IF('Eval-Avec act. écol. envisagée'!$A$769=DY16,'Eval-Avec act. écol. envisagée'!$L$769,0),IF('Eval-Avec act. écol. envisagée'!$A$770=DY16,'Eval-Avec act. écol. envisagée'!$L$770,0),IF('Eval-Avec act. écol. envisagée'!$A$771=DY16,'Eval-Avec act. écol. envisagée'!$L$771,0),IF('Eval-Avec act. écol. envisagée'!$A$772=DY16,'Eval-Avec act. écol. envisagée'!$L$772,0),IF('Eval-Avec act. écol. envisagée'!$A$773=DY16,'Eval-Avec act. écol. envisagée'!$L$773,0),IF('Eval-Avec act. écol. envisagée'!$A$774=DY16,'Eval-Avec act. écol. envisagée'!$L$774,0),IF('Eval-Avec act. écol. envisagée'!$A$775=DY16,'Eval-Avec act. écol. envisagée'!$L$775,0),IF('Eval-Avec act. écol. envisagée'!$A$776=DY16,'Eval-Avec act. écol. envisagée'!$L$776,0),IF('Eval-Avec act. écol. envisagée'!$A$777=DY16,'Eval-Avec act. écol. envisagée'!$L$777,0),IF('Eval-Avec act. écol. envisagée'!$A$778=DY16,'Eval-Avec act. écol. envisagée'!$L$778,0),IF('Eval-Avec act. écol. envisagée'!$A$779=DY16,'Eval-Avec act. écol. envisagée'!$L$779,0),IF('Eval-Avec act. écol. envisagée'!$A$780=DY16,'Eval-Avec act. écol. envisagée'!$L$780,0))/ COUNTIF('Eval-Avec act. écol. envisagée'!$A$761:$A$780,DY16)),"")</f>
        <v/>
      </c>
      <c r="EH16" s="211" t="str">
        <f>IF(COUNTIF('Eval-Avec act. écol. envisagée'!$A$761:$A$780,DY16)&gt;0,IF(OR(AND('Eval-Avec act. écol. envisagée'!$A$761=DY16, EV9&lt;120),AND(EV10&lt;120),AND(EV11&lt;120),AND(EV12&lt;120),AND(EV13&lt;120),AND(EV14&lt;120),AND(EV15&lt;120),AND(EV16&lt;120),AND(EV17&lt;120),AND(EV18&lt;120),AND(EV19&lt;120),AND(EV20&lt;120),AND(EV21&lt;120),AND(EV22&lt;120),AND(EV23&lt;120),AND(EV24&lt;120),AND(EV25&lt;120),AND(EV26&lt;120),AND(EV27&lt;120),AND(EV28&lt;120)),"",SUM(IF('Eval-Avec act. écol. envisagée'!$A$761=DY16,'Eval-Avec act. écol. envisagée'!$M$761,0),IF('Eval-Avec act. écol. envisagée'!$A$762=DY16,'Eval-Avec act. écol. envisagée'!$M$762,0),IF('Eval-Avec act. écol. envisagée'!$A$763=DY16,'Eval-Avec act. écol. envisagée'!$M$763,0),IF('Eval-Avec act. écol. envisagée'!$A$764=DY16,'Eval-Avec act. écol. envisagée'!$M$764,0),IF('Eval-Avec act. écol. envisagée'!$A$765=DY16,'Eval-Avec act. écol. envisagée'!$M$765,0),IF('Eval-Avec act. écol. envisagée'!$A$766=DY16,'Eval-Avec act. écol. envisagée'!$M$766,0),IF('Eval-Avec act. écol. envisagée'!$A$767=DY16,'Eval-Avec act. écol. envisagée'!$M$767,0),IF('Eval-Avec act. écol. envisagée'!$A$768=DY16,'Eval-Avec act. écol. envisagée'!$M$768,0),IF('Eval-Avec act. écol. envisagée'!$A$769=DY16,'Eval-Avec act. écol. envisagée'!$M$769,0),IF('Eval-Avec act. écol. envisagée'!$A$770=DY16,'Eval-Avec act. écol. envisagée'!$M$770,0),IF('Eval-Avec act. écol. envisagée'!$A$771=DY16,'Eval-Avec act. écol. envisagée'!$M$771,0),IF('Eval-Avec act. écol. envisagée'!$A$772=DY16,'Eval-Avec act. écol. envisagée'!$M$772,0),IF('Eval-Avec act. écol. envisagée'!$A$773=DY16,'Eval-Avec act. écol. envisagée'!$M$773,0),IF('Eval-Avec act. écol. envisagée'!$A$774=DY16,'Eval-Avec act. écol. envisagée'!$M$774,0),IF('Eval-Avec act. écol. envisagée'!$A$775=DY16,'Eval-Avec act. écol. envisagée'!$M$775,0), IF('Eval-Avec act. écol. envisagée'!$A$776=DY16,'Eval-Avec act. écol. envisagée'!$M$776,0), IF('Eval-Avec act. écol. envisagée'!$A$777=DY16,'Eval-Avec act. écol. envisagée'!$M$777,0), IF('Eval-Avec act. écol. envisagée'!$A$778=DY16,'Eval-Avec act. écol. envisagée'!$M$778,0), IF('Eval-Avec act. écol. envisagée'!$A$779=DY16,'Eval-Avec act. écol. envisagée'!$M$779,0), IF('Eval-Avec act. écol. envisagée'!$A$780=DY16,'Eval-Avec act. écol. envisagée'!$M$780,0))/COUNTIF('Eval-Avec act. écol. envisagée'!$A$761:$A$780,DY16)),"")</f>
        <v/>
      </c>
      <c r="EI16" s="211" t="str">
        <f>IF(COUNTIF('Eval-Avec act. écol. envisagée'!$A$761:$A$780,DY16)&gt;0,SUM(IF('Eval-Avec act. écol. envisagée'!$A$761=DY16,LEN(SUBSTITUTE((SUBSTITUTE(EX9,"TM","")),"TS",""))*10/2,0),IF('Eval-Avec act. écol. envisagée'!$A$762=DY16,LEN(SUBSTITUTE((SUBSTITUTE(EX10,"TM","")),"TS",""))*10/2,0),IF('Eval-Avec act. écol. envisagée'!$A$763=DY16,LEN(SUBSTITUTE((SUBSTITUTE(EX11,"TM","")),"TS",""))*10/2,0),IF('Eval-Avec act. écol. envisagée'!$A$764=DY16,LEN(SUBSTITUTE((SUBSTITUTE(EX12,"TM","")),"TS",""))*10/2,0),IF('Eval-Avec act. écol. envisagée'!$A$765=DY16,LEN(SUBSTITUTE((SUBSTITUTE(EX13,"TM","")),"TS",""))*10/2,0),IF('Eval-Avec act. écol. envisagée'!$A$766=DY16,LEN(SUBSTITUTE((SUBSTITUTE(EX14,"TM","")),"TS",""))*10/2,0),IF('Eval-Avec act. écol. envisagée'!$A$767=DY16,LEN(SUBSTITUTE((SUBSTITUTE(EX15,"TM","")),"TS",""))*10/2,0),IF('Eval-Avec act. écol. envisagée'!$A$768=DY16,LEN(SUBSTITUTE((SUBSTITUTE(EX16,"TM","")),"TS",""))*10/2,0),IF('Eval-Avec act. écol. envisagée'!$A$769=DY16,LEN(SUBSTITUTE((SUBSTITUTE(EX17,"TM","")),"TS",""))*10/2,0),IF('Eval-Avec act. écol. envisagée'!$A$770=DY16,LEN(SUBSTITUTE((SUBSTITUTE(EX18,"TM","")),"TS",""))*10/2,0),IF('Eval-Avec act. écol. envisagée'!$A$771=DY16,LEN(SUBSTITUTE((SUBSTITUTE(EX19,"TM","")),"TS",""))*10/2,0),IF('Eval-Avec act. écol. envisagée'!$A$772=DY16,LEN(SUBSTITUTE((SUBSTITUTE(EX20,"TM","")),"TS",""))*10/2,0),IF('Eval-Avec act. écol. envisagée'!$A$773=DY16,LEN(SUBSTITUTE((SUBSTITUTE(EX21,"TM","")),"TS",""))*10/2,0),IF('Eval-Avec act. écol. envisagée'!$A$774=DY16,LEN(SUBSTITUTE((SUBSTITUTE(EX22,"TM","")),"TS",""))*10/2,0),IF('Eval-Avec act. écol. envisagée'!$A$775=DY16,LEN(SUBSTITUTE((SUBSTITUTE(EX23,"TM","")),"TS",""))*10/2,0),IF('Eval-Avec act. écol. envisagée'!$A$776=DY16,LEN(SUBSTITUTE((SUBSTITUTE(EX24,"TM","")),"TS",""))*10/2,0),IF('Eval-Avec act. écol. envisagée'!$A$777=DY16,LEN(SUBSTITUTE((SUBSTITUTE(EX25,"TM","")),"TS",""))*10/2,0),IF('Eval-Avec act. écol. envisagée'!$A$778=DY16,LEN(SUBSTITUTE((SUBSTITUTE(EX26,"TM","")),"TS",""))*10/2,0),IF('Eval-Avec act. écol. envisagée'!$A$779=DY16,LEN(SUBSTITUTE((SUBSTITUTE(EX27,"TM","")),"TS",""))*10/2,0),IF('Eval-Avec act. écol. envisagée'!$A$780=DY16,LEN(SUBSTITUTE((SUBSTITUTE(EX28,"TM","")),"TS",""))*10/2,0))/COUNTIF('Eval-Avec act. écol. envisagée'!$A$761:$A$780,DY16),"")</f>
        <v/>
      </c>
      <c r="EJ16" s="211" t="str">
        <f>IF(COUNTIF('Eval-Avec act. écol. envisagée'!$A$761:$A$780,DY16)&gt;0,SUM(IF('Eval-Avec act. écol. envisagée'!$A$761=DY16,LEN(SUBSTITUTE((SUBSTITUTE(EX9,"TF","")),"TS",""))*10/2,0),IF('Eval-Avec act. écol. envisagée'!$A$762=DY16,LEN(SUBSTITUTE((SUBSTITUTE(EX10,"TF","")),"TS",""))*10/2,0),IF('Eval-Avec act. écol. envisagée'!$A$763=DY16,LEN(SUBSTITUTE((SUBSTITUTE(EX11,"TF","")),"TS",""))*10/2,0),IF('Eval-Avec act. écol. envisagée'!$A$764=DY16,LEN(SUBSTITUTE((SUBSTITUTE(EX12,"TF","")),"TS",""))*10/2,0),IF('Eval-Avec act. écol. envisagée'!$A$765=DY16,LEN(SUBSTITUTE((SUBSTITUTE(EX13,"TF","")),"TS",""))*10/2,0),IF('Eval-Avec act. écol. envisagée'!$A$766=DY16,LEN(SUBSTITUTE((SUBSTITUTE(EX14,"TF","")),"TS",""))*10/2,0),IF('Eval-Avec act. écol. envisagée'!$A$767=DY16,LEN(SUBSTITUTE((SUBSTITUTE(EX15,"TF","")),"TS",""))*10/2,0),IF('Eval-Avec act. écol. envisagée'!$A$768=DY16,LEN(SUBSTITUTE((SUBSTITUTE(EX16,"TF","")),"TS",""))*10/2,0),IF('Eval-Avec act. écol. envisagée'!$A$769=DY16,LEN(SUBSTITUTE((SUBSTITUTE(EX17,"TF","")),"TS",""))*10/2,0),IF('Eval-Avec act. écol. envisagée'!$A$770=DY16,LEN(SUBSTITUTE((SUBSTITUTE(EX18,"TF","")),"TS",""))*10/2,0),IF('Eval-Avec act. écol. envisagée'!$A$771=DY16,LEN(SUBSTITUTE((SUBSTITUTE(EX19,"TF","")),"TS",""))*10/2,0),IF('Eval-Avec act. écol. envisagée'!$A$772=DY16,LEN(SUBSTITUTE((SUBSTITUTE(EX20,"TF","")),"TS",""))*10/2,0),IF('Eval-Avec act. écol. envisagée'!$A$773=DY16,LEN(SUBSTITUTE((SUBSTITUTE(EX21,"TF","")),"TS",""))*10/2,0),IF('Eval-Avec act. écol. envisagée'!$A$774=DY16,LEN(SUBSTITUTE((SUBSTITUTE(EX22,"TF","")),"TS",""))*10/2,0),IF('Eval-Avec act. écol. envisagée'!$A$775=DY16,LEN(SUBSTITUTE((SUBSTITUTE(EX23,"TF","")),"TS",""))*10/2,0),IF('Eval-Avec act. écol. envisagée'!$A$776=DY16,LEN(SUBSTITUTE((SUBSTITUTE(EX24,"TF","")),"TS",""))*10/2,0),IF('Eval-Avec act. écol. envisagée'!$A$777=DY16,LEN(SUBSTITUTE((SUBSTITUTE(EX25,"TF","")),"TS",""))*10/2,0),IF('Eval-Avec act. écol. envisagée'!$A$778=DY16,LEN(SUBSTITUTE((SUBSTITUTE(EX26,"TF","")),"TS",""))*10/2,0),IF('Eval-Avec act. écol. envisagée'!$A$779=DY16,LEN(SUBSTITUTE((SUBSTITUTE(EX27,"TF","")),"TS",""))*10/2,0),IF('Eval-Avec act. écol. envisagée'!$A$780=DY16,LEN(SUBSTITUTE((SUBSTITUTE(EX28,"TF","")),"TS",""))*10/2,0))/COUNTIF('Eval-Avec act. écol. envisagée'!$A$761:$A$780,DY16),"")</f>
        <v/>
      </c>
      <c r="EK16" s="211" t="str">
        <f>IF(COUNTIF('Eval-Avec act. écol. envisagée'!$A$761:$A$780,DY16)&gt;0,SUM(IF('Eval-Avec act. écol. envisagée'!$A$761=DY16,LEN(SUBSTITUTE((SUBSTITUTE(EX9,"TF","")),"TM",""))*10/2,0),IF('Eval-Avec act. écol. envisagée'!$A$762=DY16,LEN(SUBSTITUTE((SUBSTITUTE(EX10,"TF","")),"TM",""))*10/2,0),IF('Eval-Avec act. écol. envisagée'!$A$763=DY16,LEN(SUBSTITUTE((SUBSTITUTE(EX11,"TF","")),"TM",""))*10/2,0),IF('Eval-Avec act. écol. envisagée'!$A$764=DY16,LEN(SUBSTITUTE((SUBSTITUTE(EX12,"TF","")),"TM",""))*10/2,0),IF('Eval-Avec act. écol. envisagée'!$A$765=DY16,LEN(SUBSTITUTE((SUBSTITUTE(EX13,"TF","")),"TM",""))*10/2,0),IF('Eval-Avec act. écol. envisagée'!$A$766=DY16,LEN(SUBSTITUTE((SUBSTITUTE(EX14,"TF","")),"TM",""))*10/2,0),IF('Eval-Avec act. écol. envisagée'!$A$767=DY16,LEN(SUBSTITUTE((SUBSTITUTE(EX15,"TF","")),"TM",""))*10/2,0),IF('Eval-Avec act. écol. envisagée'!$A$768=DY16,LEN(SUBSTITUTE((SUBSTITUTE(EX16,"TF","")),"TM",""))*10/2,0),IF('Eval-Avec act. écol. envisagée'!$A$769=DY16,LEN(SUBSTITUTE((SUBSTITUTE(EX17,"TF","")),"TM",""))*10/2,0),IF('Eval-Avec act. écol. envisagée'!$A$770=DY16,LEN(SUBSTITUTE((SUBSTITUTE(EX18,"TF","")),"TM",""))*10/2,0),IF('Eval-Avec act. écol. envisagée'!$A$771=DY16,LEN(SUBSTITUTE((SUBSTITUTE(EX19,"TF","")),"TM",""))*10/2,0),IF('Eval-Avec act. écol. envisagée'!$A$772=DY16,LEN(SUBSTITUTE((SUBSTITUTE(EX20,"TF","")),"TM",""))*10/2,0),IF('Eval-Avec act. écol. envisagée'!$A$773=DY16,LEN(SUBSTITUTE((SUBSTITUTE(EX21,"TF","")),"TM",""))*10/2,0),IF('Eval-Avec act. écol. envisagée'!$A$774=DY16,LEN(SUBSTITUTE((SUBSTITUTE(EX22,"TF","")),"TM",""))*10/2,0),IF('Eval-Avec act. écol. envisagée'!$A$775=DY16,LEN(SUBSTITUTE((SUBSTITUTE(EX23,"TF","")),"TM",""))*10/2,0),IF('Eval-Avec act. écol. envisagée'!$A$776=DY16,LEN(SUBSTITUTE((SUBSTITUTE(EX24,"TF","")),"TM",""))*10/2,0),IF('Eval-Avec act. écol. envisagée'!$A$777=DY16,LEN(SUBSTITUTE((SUBSTITUTE(EX25,"TF","")),"TM",""))*10/2,0),IF('Eval-Avec act. écol. envisagée'!$A$778=DY16,LEN(SUBSTITUTE((SUBSTITUTE(EX26,"TF","")),"TM",""))*10/2,0),IF('Eval-Avec act. écol. envisagée'!$A$779=DY16,LEN(SUBSTITUTE((SUBSTITUTE(EX27,"TF","")),"TM",""))*10/2,0),IF('Eval-Avec act. écol. envisagée'!$A$780=DY16,LEN(SUBSTITUTE((SUBSTITUTE(EX28,"TF","")),"TM",""))*10/2,0))/COUNTIF('Eval-Avec act. écol. envisagée'!$A$761:$A$780,DY16),"")</f>
        <v/>
      </c>
      <c r="EL16" s="211" t="str">
        <f>IF(COUNTIF('Eval-Avec act. écol. envisagée'!$A$761:$A$780,DY16)&gt;0,SUM(IF('Eval-Avec act. écol. envisagée'!$A$761=DY16,LEN(SUBSTITUTE((SUBSTITUTE(EY9,"TM","")),"TS",""))*10/2,0),IF('Eval-Avec act. écol. envisagée'!$A$762=DY16,LEN(SUBSTITUTE((SUBSTITUTE(EY10,"TM","")),"TS",""))*10/2,0),IF('Eval-Avec act. écol. envisagée'!$A$763=DY16,LEN(SUBSTITUTE((SUBSTITUTE(EY11,"TM","")),"TS",""))*10/2,0),IF('Eval-Avec act. écol. envisagée'!$A$764=DY16,LEN(SUBSTITUTE((SUBSTITUTE(EY12,"TM","")),"TS",""))*10/2,0),IF('Eval-Avec act. écol. envisagée'!$A$765=DY16,LEN(SUBSTITUTE((SUBSTITUTE(EY13,"TM","")),"TS",""))*10/2,0),IF('Eval-Avec act. écol. envisagée'!$A$766=DY16,LEN(SUBSTITUTE((SUBSTITUTE(EY14,"TM","")),"TS",""))*10/2,0),IF('Eval-Avec act. écol. envisagée'!$A$767=DY16,LEN(SUBSTITUTE((SUBSTITUTE(EY15,"TM","")),"TS",""))*10/2,0),IF('Eval-Avec act. écol. envisagée'!$A$768=DY16,LEN(SUBSTITUTE((SUBSTITUTE(EY16,"TM","")),"TS",""))*10/2,0),IF('Eval-Avec act. écol. envisagée'!$A$769=DY16,LEN(SUBSTITUTE((SUBSTITUTE(EY17,"TM","")),"TS",""))*10/2,0),IF('Eval-Avec act. écol. envisagée'!$A$770=DY16,LEN(SUBSTITUTE((SUBSTITUTE(EY18,"TM","")),"TS",""))*10/2,0),IF('Eval-Avec act. écol. envisagée'!$A$771=DY16,LEN(SUBSTITUTE((SUBSTITUTE(EY19,"TM","")),"TS",""))*10/2,0),IF('Eval-Avec act. écol. envisagée'!$A$772=DY16,LEN(SUBSTITUTE((SUBSTITUTE(EY20,"TM","")),"TS",""))*10/2,0),IF('Eval-Avec act. écol. envisagée'!$A$773=DY16,LEN(SUBSTITUTE((SUBSTITUTE(EY21,"TM","")),"TS",""))*10/2,0),IF('Eval-Avec act. écol. envisagée'!$A$774=DY16,LEN(SUBSTITUTE((SUBSTITUTE(EY22,"TM","")),"TS",""))*10/2,0),IF('Eval-Avec act. écol. envisagée'!$A$775=DY16,LEN(SUBSTITUTE((SUBSTITUTE(EY23,"TM","")),"TS",""))*10/2,0),IF('Eval-Avec act. écol. envisagée'!$A$776=DY16,LEN(SUBSTITUTE((SUBSTITUTE(EY24,"TM","")),"TS",""))*10/2,0),IF('Eval-Avec act. écol. envisagée'!$A$777=DY16,LEN(SUBSTITUTE((SUBSTITUTE(EY25,"TM","")),"TS",""))*10/2,0),IF('Eval-Avec act. écol. envisagée'!$A$778=DY16,LEN(SUBSTITUTE((SUBSTITUTE(EY26,"TM","")),"TS",""))*10/2,0),IF('Eval-Avec act. écol. envisagée'!$A$779=DY16,LEN(SUBSTITUTE((SUBSTITUTE(EY27,"TM","")),"TS",""))*10/2,0),IF('Eval-Avec act. écol. envisagée'!$A$780=DY16,LEN(SUBSTITUTE((SUBSTITUTE(EY28,"TM","")),"TS",""))*10/2,0))/COUNTIF('Eval-Avec act. écol. envisagée'!$A$761:$A$780,DY16),"")</f>
        <v/>
      </c>
      <c r="EM16" s="211" t="str">
        <f>IF(COUNTIF('Eval-Avec act. écol. envisagée'!$A$761:$A$780,DY16)&gt;0,SUM(IF('Eval-Avec act. écol. envisagée'!$A$761=DY16,LEN(SUBSTITUTE((SUBSTITUTE(EY9,"TF","")),"TS",""))*10/2,0),IF('Eval-Avec act. écol. envisagée'!$A$762=DY16,LEN(SUBSTITUTE((SUBSTITUTE(EY10,"TF","")),"TS",""))*10/2,0),IF('Eval-Avec act. écol. envisagée'!$A$763=DY16,LEN(SUBSTITUTE((SUBSTITUTE(EY11,"TF","")),"TS",""))*10/2,0),IF('Eval-Avec act. écol. envisagée'!$A$764=DY16,LEN(SUBSTITUTE((SUBSTITUTE(EY12,"TF","")),"TS",""))*10/2,0),IF('Eval-Avec act. écol. envisagée'!$A$765=DY16,LEN(SUBSTITUTE((SUBSTITUTE(EY13,"TF","")),"TS",""))*10/2,0),IF('Eval-Avec act. écol. envisagée'!$A$766=DY16,LEN(SUBSTITUTE((SUBSTITUTE(EY14,"TF","")),"TS",""))*10/2,0),IF('Eval-Avec act. écol. envisagée'!$A$767=DY16,LEN(SUBSTITUTE((SUBSTITUTE(EY15,"TF","")),"TS",""))*10/2,0),IF('Eval-Avec act. écol. envisagée'!$A$768=DY16,LEN(SUBSTITUTE((SUBSTITUTE(EY16,"TF","")),"TS",""))*10/2,0),IF('Eval-Avec act. écol. envisagée'!$A$769=DY16,LEN(SUBSTITUTE((SUBSTITUTE(EY17,"TF","")),"TS",""))*10/2,0),IF('Eval-Avec act. écol. envisagée'!$A$770=DY16,LEN(SUBSTITUTE((SUBSTITUTE(EY18,"TF","")),"TS",""))*10/2,0),IF('Eval-Avec act. écol. envisagée'!$A$771=DY16,LEN(SUBSTITUTE((SUBSTITUTE(EY19,"TF","")),"TS",""))*10/2,0),IF('Eval-Avec act. écol. envisagée'!$A$772=DY16,LEN(SUBSTITUTE((SUBSTITUTE(EY20,"TF","")),"TS",""))*10/2,0),IF('Eval-Avec act. écol. envisagée'!$A$773=DY16,LEN(SUBSTITUTE((SUBSTITUTE(EY21,"TF","")),"TS",""))*10/2,0),IF('Eval-Avec act. écol. envisagée'!$A$774=DY16,LEN(SUBSTITUTE((SUBSTITUTE(EY22,"TF","")),"TS",""))*10/2,0),IF('Eval-Avec act. écol. envisagée'!$A$775=DY16,LEN(SUBSTITUTE((SUBSTITUTE(EY23,"TF","")),"TS",""))*10/2,0),IF('Eval-Avec act. écol. envisagée'!$A$776=DY16,LEN(SUBSTITUTE((SUBSTITUTE(EY24,"TF","")),"TS",""))*10/2,0),IF('Eval-Avec act. écol. envisagée'!$A$777=DY16,LEN(SUBSTITUTE((SUBSTITUTE(EY25,"TF","")),"TS",""))*10/2,0),IF('Eval-Avec act. écol. envisagée'!$A$778=DY16,LEN(SUBSTITUTE((SUBSTITUTE(EY26,"TF","")),"TS",""))*10/2,0),IF('Eval-Avec act. écol. envisagée'!$A$779=DY16,LEN(SUBSTITUTE((SUBSTITUTE(EY27,"TF","")),"TS",""))*10/2,0),IF('Eval-Avec act. écol. envisagée'!$A$780=DY16,LEN(SUBSTITUTE((SUBSTITUTE(EY28,"TF","")),"TS",""))*10/2,0))/COUNTIF('Eval-Avec act. écol. envisagée'!$A$761:$A$780,DY16),"")</f>
        <v/>
      </c>
      <c r="EN16" s="211" t="str">
        <f>IF(COUNTIF('Eval-Avec act. écol. envisagée'!$A$761:$A$780,DY16)&gt;0,SUM(IF('Eval-Avec act. écol. envisagée'!$A$761=DY16,LEN(SUBSTITUTE((SUBSTITUTE(EY9,"TF","")),"TM",""))*10/2,0),IF('Eval-Avec act. écol. envisagée'!$A$762=DY16,LEN(SUBSTITUTE((SUBSTITUTE(EY10,"TF","")),"TM",""))*10/2,0),IF('Eval-Avec act. écol. envisagée'!$A$763=DY16,LEN(SUBSTITUTE((SUBSTITUTE(EY11,"TF","")),"TM",""))*10/2,0),IF('Eval-Avec act. écol. envisagée'!$A$764=DY16,LEN(SUBSTITUTE((SUBSTITUTE(EY12,"TF","")),"TM",""))*10/2,0),IF('Eval-Avec act. écol. envisagée'!$A$765=DY16,LEN(SUBSTITUTE((SUBSTITUTE(EY13,"TF","")),"TM",""))*10/2,0),IF('Eval-Avec act. écol. envisagée'!$A$766=DY16,LEN(SUBSTITUTE((SUBSTITUTE(EY14,"TF","")),"TM",""))*10/2,0),IF('Eval-Avec act. écol. envisagée'!$A$767=DY16,LEN(SUBSTITUTE((SUBSTITUTE(EY15,"TF","")),"TM",""))*10/2,0),IF('Eval-Avec act. écol. envisagée'!$A$768=DY16,LEN(SUBSTITUTE((SUBSTITUTE(EY16,"TF","")),"TM",""))*10/2,0),IF('Eval-Avec act. écol. envisagée'!$A$769=DY16,LEN(SUBSTITUTE((SUBSTITUTE(EY17,"TF","")),"TM",""))*10/2,0),IF('Eval-Avec act. écol. envisagée'!$A$770=DY16,LEN(SUBSTITUTE((SUBSTITUTE(EY18,"TF","")),"TM",""))*10/2,0),IF('Eval-Avec act. écol. envisagée'!$A$771=DY16,LEN(SUBSTITUTE((SUBSTITUTE(EY19,"TF","")),"TM",""))*10/2,0),IF('Eval-Avec act. écol. envisagée'!$A$772=DY16,LEN(SUBSTITUTE((SUBSTITUTE(EY20,"TF","")),"TM",""))*10/2,0),IF('Eval-Avec act. écol. envisagée'!$A$773=DY16,LEN(SUBSTITUTE((SUBSTITUTE(EY21,"TF","")),"TM",""))*10/2,0),IF('Eval-Avec act. écol. envisagée'!$A$774=DY16,LEN(SUBSTITUTE((SUBSTITUTE(EY22,"TF","")),"TM",""))*10/2,0),IF('Eval-Avec act. écol. envisagée'!$A$775=DY16,LEN(SUBSTITUTE((SUBSTITUTE(EY23,"TF","")),"TM",""))*10/2,0),IF('Eval-Avec act. écol. envisagée'!$A$776=DY16,LEN(SUBSTITUTE((SUBSTITUTE(EY24,"TF","")),"TM",""))*10/2,0),IF('Eval-Avec act. écol. envisagée'!$A$777=DY16,LEN(SUBSTITUTE((SUBSTITUTE(EY25,"TF","")),"TM",""))*10/2,0),IF('Eval-Avec act. écol. envisagée'!$A$778=DY16,LEN(SUBSTITUTE((SUBSTITUTE(EY26,"TF","")),"TM",""))*10/2,0),IF('Eval-Avec act. écol. envisagée'!$A$779=DY16,LEN(SUBSTITUTE((SUBSTITUTE(EY27,"TF","")),"TM",""))*10/2,0),IF('Eval-Avec act. écol. envisagée'!$A$780=DY16,LEN(SUBSTITUTE((SUBSTITUTE(EY28,"TF","")),"TM",""))*10/2,0))/COUNTIF('Eval-Avec act. écol. envisagée'!$A$761:$A$780,DY16),"")</f>
        <v/>
      </c>
      <c r="EO16" s="211" t="str">
        <f>IF(COUNTIF('Eval-Avec act. écol. envisagée'!$A$761:$A$780,DY16)&gt;0,IF(OR(AND('Eval-Avec act. écol. envisagée'!$A$761=DY16,EV9&lt;30),AND('Eval-Avec act. écol. envisagée'!$A$762=DY16,EV10&lt;30),AND('Eval-Avec act. écol. envisagée'!$A$763=DY16,EV11&lt;30),AND('Eval-Avec act. écol. envisagée'!$A$764=DY16,EV12&lt;30),AND('Eval-Avec act. écol. envisagée'!$A$765=DY16,EV13&lt;30),AND('Eval-Avec act. écol. envisagée'!$A$766=DY16,EV14&lt;30),AND('Eval-Avec act. écol. envisagée'!$A$767=DY16,EV15&lt;30),AND('Eval-Avec act. écol. envisagée'!$A$768=DY16,EV16&lt;30),AND('Eval-Avec act. écol. envisagée'!$A$769=DY16,EV17&lt;30),AND('Eval-Avec act. écol. envisagée'!$A$770=DY16,EV18&lt;30),AND('Eval-Avec act. écol. envisagée'!$A$771=DY16,EV19&lt;30),AND('Eval-Avec act. écol. envisagée'!$A$772=DY16,EV20&lt;30),AND('Eval-Avec act. écol. envisagée'!$A$773=DY16,EV21&lt;30),AND('Eval-Avec act. écol. envisagée'!$A$774=DY16,EV22&lt;30),AND('Eval-Avec act. écol. envisagée'!$A$775=DY16,EV23&lt;30),AND('Eval-Avec act. écol. envisagée'!$A$776=DY16,EV24&lt;30),AND('Eval-Avec act. écol. envisagée'!$A$777=DY16,EV25&lt;30),AND('Eval-Avec act. écol. envisagée'!$A$778=DY16,EV26&lt;30),AND('Eval-Avec act. écol. envisagée'!$A$779=DY16,EV27&lt;30),AND('Eval-Avec act. écol. envisagée'!$A$780=DY16,EV28&lt;30)),"",SUM(0.1*(SUMPRODUCT(('Eval-Avec act. écol. envisagée'!$A$761:$A$780=DY16)*('Eval-Avec act. écol. envisagée'!$N$761:$P$780="A"))+ SUMPRODUCT(('Eval-Avec act. écol. envisagée'!$A$761:$A$780=DY16)*('Eval-Avec act. écol. envisagée'!$N$761:$P$780="AL"))),0.7*(SUMPRODUCT(('Eval-Avec act. écol. envisagée'!$A$761:$A$780=DY16)*('Eval-Avec act. écol. envisagée'!$N$761:$P$780="TF"))+SUMPRODUCT(('Eval-Avec act. écol. envisagée'!$A$761:$A$780=DY16)*('Eval-Avec act. écol. envisagée'!$N$761:$P$780="TM"))+SUMPRODUCT(('Eval-Avec act. écol. envisagée'!$A$761:$A$780=DY16)*('Eval-Avec act. écol. envisagée'!$N$761:$P$780="TS"))),0.4*(SUMPRODUCT(('Eval-Avec act. écol. envisagée'!$A$761:$A$780=DY16)*('Eval-Avec act. écol. envisagée'!$N$761:$P$780="LA"))+SUMPRODUCT(('Eval-Avec act. écol. envisagée'!$A$761:$A$780=DY16)*('Eval-Avec act. écol. envisagée'!$N$761:$P$780="L"))+SUMPRODUCT(('Eval-Avec act. écol. envisagée'!$A$761:$A$780=DY16)*('Eval-Avec act. écol. envisagée'!$N$761:$P$780="LS"))),1*(SUMPRODUCT(('Eval-Avec act. écol. envisagée'!$A$761:$A$780=DY16)*('Eval-Avec act. écol. envisagée'!$N$761:$P$780="SL"))+ SUMPRODUCT(('Eval-Avec act. écol. envisagée'!$A$761:$A$780=DY16)*('Eval-Avec act. écol. envisagée'!$N$761:$P$780="S"))))/(3*COUNTIF('Eval-Avec act. écol. envisagée'!$A$761:$A$780,DY16))),"")</f>
        <v/>
      </c>
      <c r="EP16" s="211" t="str">
        <f>IF(COUNTIF('Eval-Avec act. écol. envisagée'!$A$761:$A$780,DY16)&gt;0,IF(OR(AND('Eval-Avec act. écol. envisagée'!$A$761=DY16,EV9&lt;120),AND('Eval-Avec act. écol. envisagée'!$A$762=DY16,EV10&lt;120),AND('Eval-Avec act. écol. envisagée'!$A$763=DY16,EV11&lt;120),AND('Eval-Avec act. écol. envisagée'!$A$764=DY16,EV12&lt;120),AND('Eval-Avec act. écol. envisagée'!$A$765=DY16,EV13&lt;120),AND('Eval-Avec act. écol. envisagée'!$A$766=DY16,EV14&lt;120),AND('Eval-Avec act. écol. envisagée'!$A$767=DY16,EV15&lt;120),AND('Eval-Avec act. écol. envisagée'!$A$768=DY16,EV16&lt;120),AND('Eval-Avec act. écol. envisagée'!$A$769=DY16,EV17&lt;120),AND('Eval-Avec act. écol. envisagée'!$A$770=DY16,EV18&lt;120),AND('Eval-Avec act. écol. envisagée'!$A$771=DY16,EV19&lt;120),AND('Eval-Avec act. écol. envisagée'!$A$772=DY16,EV20&lt;120),AND('Eval-Avec act. écol. envisagée'!$A$773=DY16,EV21&lt;120),AND('Eval-Avec act. écol. envisagée'!$A$774=DY16,EV22&lt;120),AND('Eval-Avec act. écol. envisagée'!$A$775=DY16,EV23&lt;120),AND('Eval-Avec act. écol. envisagée'!$A$776=DY16,EV24&lt;120),AND('Eval-Avec act. écol. envisagée'!$A$777=DY16,EV25&lt;120),AND('Eval-Avec act. écol. envisagée'!$A$778=DY16,EV26&lt;120),AND('Eval-Avec act. écol. envisagée'!$A$779=DY16,EV27&lt;120),AND('Eval-Avec act. écol. envisagée'!$A$780=DY16,EV28&lt;120)),"",SUM(0.1*(SUMPRODUCT(('Eval-Avec act. écol. envisagée'!$A$761:$A$780=DY16)*('Eval-Avec act. écol. envisagée'!$Q$761:$Y$780="A"))+ SUMPRODUCT(('Eval-Avec act. écol. envisagée'!$A$761:$A$780=DY16)*('Eval-Avec act. écol. envisagée'!$Q$761:$Y$780="AL"))),0.7*(SUMPRODUCT(('Eval-Avec act. écol. envisagée'!$A$761:$A$780=DY16)*('Eval-Avec act. écol. envisagée'!$Q$761:$Y$780="TF"))+SUMPRODUCT(('Eval-Avec act. écol. envisagée'!$A$761:$A$780=DY16)*('Eval-Avec act. écol. envisagée'!$Q$761:$Y$780="TM"))+SUMPRODUCT(('Eval-Avec act. écol. envisagée'!$A$761:$A$780=DY16)*('Eval-Avec act. écol. envisagée'!$Q$761:$Y$780="TS"))),0.4*(SUMPRODUCT(('Eval-Avec act. écol. envisagée'!$A$761:$A$780=DY16)*('Eval-Avec act. écol. envisagée'!$Q$761:$Y$780="LA"))+SUMPRODUCT(('Eval-Avec act. écol. envisagée'!$A$761:$A$780=DY16)*('Eval-Avec act. écol. envisagée'!$Q$761:$Y$780="L"))+SUMPRODUCT(('Eval-Avec act. écol. envisagée'!$A$761:$A$780=DY16)*('Eval-Avec act. écol. envisagée'!$Q$761:$Y$780="LS"))),1*(SUMPRODUCT(('Eval-Avec act. écol. envisagée'!$A$761:$A$780=DY16)*('Eval-Avec act. écol. envisagée'!$Q$761:$Y$780="SL"))+ SUMPRODUCT(('Eval-Avec act. écol. envisagée'!$A$761:$A$780=DY16)*('Eval-Avec act. écol. envisagée'!$Q$761:$Y$780="S"))))/(9*COUNTIF('Eval-Avec act. écol. envisagée'!$A$761:$A$780,DY16))),"")</f>
        <v/>
      </c>
      <c r="EQ16" s="211" t="str">
        <f>IF(COUNTIF('Eval-Avec act. écol. envisagée'!$A$761:$A$780,DY16)&gt;0,IF(OR(AND('Eval-Avec act. écol. envisagée'!$A$761=DY16,OR(COUNTIF('Eval-Avec act. écol. envisagée'!$N$761:$P$761,"*T*")&gt;0,EV9&lt;30)),AND('Eval-Avec act. écol. envisagée'!$A$762=DY16,OR(COUNTIF('Eval-Avec act. écol. envisagée'!$N$762:$P$762,"*T*")&gt;0,EV10&lt;30)),AND('Eval-Avec act. écol. envisagée'!$A$763=DY16,OR(COUNTIF('Eval-Avec act. écol. envisagée'!$N$763:$P$763,"*T*")&gt;0,EV11&lt;30)),AND('Eval-Avec act. écol. envisagée'!$A$764=DY16,OR(COUNTIF('Eval-Avec act. écol. envisagée'!$N$764:$P$764,"*T*")&gt;0,EV12&lt;30)),AND('Eval-Avec act. écol. envisagée'!$A$765=DY16,OR(COUNTIF('Eval-Avec act. écol. envisagée'!$N$765:$P$765,"*T*")&gt;0,EV13&lt;30)),AND('Eval-Avec act. écol. envisagée'!$A$766=DY16,OR(COUNTIF('Eval-Avec act. écol. envisagée'!$N$766:$P$766,"*T*")&gt;0,EV14&lt;30)),AND('Eval-Avec act. écol. envisagée'!$A$767=DY16,OR(COUNTIF('Eval-Avec act. écol. envisagée'!$N$767:$P$767,"*T*")&gt;0,EV15&lt;30)),AND('Eval-Avec act. écol. envisagée'!$A$768=DY16,OR(COUNTIF('Eval-Avec act. écol. envisagée'!$N$768:$P$768,"*T*")&gt;0,EV16&lt;30)),AND('Eval-Avec act. écol. envisagée'!$A$769=DY16,OR(COUNTIF('Eval-Avec act. écol. envisagée'!$N$769:$P$769,"*T*")&gt;0,EV17&lt;30)),AND('Eval-Avec act. écol. envisagée'!$A$770=DY16,OR(COUNTIF('Eval-Avec act. écol. envisagée'!$N$770:$P$770,"*T*")&gt;0,EV18&lt;30)),AND('Eval-Avec act. écol. envisagée'!$A$771=DY16,OR(COUNTIF('Eval-Avec act. écol. envisagée'!$N$771:$P$771,"*T*")&gt;0,EV19&lt;30)),AND('Eval-Avec act. écol. envisagée'!$A$772=DY16,OR(COUNTIF('Eval-Avec act. écol. envisagée'!$N$772:$P$772,"*T*")&gt;0,EV20&lt;30)),AND('Eval-Avec act. écol. envisagée'!$A$773=DY16,OR(COUNTIF('Eval-Avec act. écol. envisagée'!$N$773:$P$773,"*T*")&gt;0,EV21&lt;30)),AND('Eval-Avec act. écol. envisagée'!$A$774=DY16,OR(COUNTIF('Eval-Avec act. écol. envisagée'!$N$774:$P$774,"*T*")&gt;0,EV22&lt;30)),AND('Eval-Avec act. écol. envisagée'!$A$775=DY16,OR(COUNTIF('Eval-Avec act. écol. envisagée'!$N$775:$P$775,"*T*")&gt;0,EV23&lt;30)),AND('Eval-Avec act. écol. envisagée'!$A$776=DY16,OR(COUNTIF('Eval-Avec act. écol. envisagée'!$N$776:$P$776,"*T*")&gt;0,EV24&lt;30)),AND('Eval-Avec act. écol. envisagée'!$A$777=DY16,OR(COUNTIF('Eval-Avec act. écol. envisagée'!$N$777:$P$777,"*T*")&gt;0,EV25&lt;30)),AND('Eval-Avec act. écol. envisagée'!$A$778=DY16,OR(COUNTIF('Eval-Avec act. écol. envisagée'!$N$778:$P$778,"*T*")&gt;0,EV26&lt;30)),AND('Eval-Avec act. écol. envisagée'!$A$779=DY16,OR(COUNTIF('Eval-Avec act. écol. envisagée'!$N$779:$P$779,"*T*")&gt;0,EV27&lt;30)),AND('Eval-Avec act. écol. envisagée'!$A$780=DY16,OR(COUNTIF('Eval-Avec act. écol. envisagée'!$N$780:$P$780,"*T*")&gt;0,EV28&lt;30))),"",SUM(0.1*(SUMPRODUCT(('Eval-Avec act. écol. envisagée'!$A$761:$A$780=DY16)*('Eval-Avec act. écol. envisagée'!$N$761:$P$780="L"))),0.4*(SUMPRODUCT(('Eval-Avec act. écol. envisagée'!$A$761:$A$780=DY16)*('Eval-Avec act. écol. envisagée'!$N$761:$P$780="LA"))+SUMPRODUCT(('Eval-Avec act. écol. envisagée'!$A$761:$A$780=DY16)*('Eval-Avec act. écol. envisagée'!$N$761:$P$780="LS"))),0.7*(SUMPRODUCT(('Eval-Avec act. écol. envisagée'!$A$761:$A$780=DY16)*('Eval-Avec act. écol. envisagée'!$N$761:$P$780="AL"))+SUMPRODUCT(('Eval-Avec act. écol. envisagée'!$A$761:$A$780=DY16)*('Eval-Avec act. écol. envisagée'!$N$761:$P$780="SL"))),1*(SUMPRODUCT(('Eval-Avec act. écol. envisagée'!$A$761:$A$780=DY16)*('Eval-Avec act. écol. envisagée'!$N$761:$P$780="S"))+ SUMPRODUCT(('Eval-Avec act. écol. envisagée'!$A$761:$A$780=DY16)*('Eval-Avec act. écol. envisagée'!$N$761:$P$780="A"))))/(3*COUNTIF('Eval-Avec act. écol. envisagée'!$A$761:$A$780,DY16))),"")</f>
        <v/>
      </c>
      <c r="ER16" s="211" t="str">
        <f>IF(COUNTIF('Eval-Avec act. écol. envisagée'!$A$761:$A$780,DY16)&gt;0,IF(OR(AND('Eval-Avec act. écol. envisagée'!$A$761=DY16,OR(COUNTIF('Eval-Avec act. écol. envisagée'!$N$761:$P$761,"*T*")&gt;0,EV9&lt;30)),AND('Eval-Avec act. écol. envisagée'!$A$762=DY16,OR(COUNTIF('Eval-Avec act. écol. envisagée'!$N$762:$P$762,"*T*")&gt;0,EV10&lt;30)),AND('Eval-Avec act. écol. envisagée'!$A$763=DY16,OR(COUNTIF('Eval-Avec act. écol. envisagée'!$N$763:$P$763,"*T*")&gt;0,EV11&lt;30)),AND('Eval-Avec act. écol. envisagée'!$A$764=DY16,OR(COUNTIF('Eval-Avec act. écol. envisagée'!$N$764:$P$764,"*T*")&gt;0,EV12&lt;30)),AND('Eval-Avec act. écol. envisagée'!$A$765=DY16,OR(COUNTIF('Eval-Avec act. écol. envisagée'!$N$765:$P$765,"*T*")&gt;0,EV13&lt;30)),AND('Eval-Avec act. écol. envisagée'!$A$766=DY16,OR(COUNTIF('Eval-Avec act. écol. envisagée'!$N$766:$P$766,"*T*")&gt;0,EV14&lt;30)),AND('Eval-Avec act. écol. envisagée'!$A$767=DY16,OR(COUNTIF('Eval-Avec act. écol. envisagée'!$N$767:$P$767,"*T*")&gt;0,EV15&lt;30)),AND('Eval-Avec act. écol. envisagée'!$A$768=DY16,OR(COUNTIF('Eval-Avec act. écol. envisagée'!$N$768:$P$768,"*T*")&gt;0,EV16&lt;30)),AND('Eval-Avec act. écol. envisagée'!$A$769=DY16,OR(COUNTIF('Eval-Avec act. écol. envisagée'!$N$769:$P$769,"*T*")&gt;0,EV17&lt;30)),AND('Eval-Avec act. écol. envisagée'!$A$770=DY16,OR(COUNTIF('Eval-Avec act. écol. envisagée'!$N$770:$P$770,"*T*")&gt;0,EV18&lt;30)),AND('Eval-Avec act. écol. envisagée'!$A$771=DY16,OR(COUNTIF('Eval-Avec act. écol. envisagée'!$N$771:$P$771,"*T*")&gt;0,EV19&lt;30)),AND('Eval-Avec act. écol. envisagée'!$A$772=DY16,OR(COUNTIF('Eval-Avec act. écol. envisagée'!$N$772:$P$772,"*T*")&gt;0,EV20&lt;30)),AND('Eval-Avec act. écol. envisagée'!$A$773=DY16,OR(COUNTIF('Eval-Avec act. écol. envisagée'!$N$773:$P$773,"*T*")&gt;0,EV21&lt;30)),AND('Eval-Avec act. écol. envisagée'!$A$774=DY16,OR(COUNTIF('Eval-Avec act. écol. envisagée'!$N$774:$P$774,"*T*")&gt;0,EV22&lt;30)),AND('Eval-Avec act. écol. envisagée'!$A$775=DY16,OR(COUNTIF('Eval-Avec act. écol. envisagée'!$N$775:$P$775,"*T*")&gt;0,EV23&lt;30)),AND('Eval-Avec act. écol. envisagée'!$A$776=DY16,OR(COUNTIF('Eval-Avec act. écol. envisagée'!$N$776:$P$776,"*T*")&gt;0,EV24&lt;30)),AND('Eval-Avec act. écol. envisagée'!$A$777=DY16,OR(COUNTIF('Eval-Avec act. écol. envisagée'!$N$777:$P$777,"*T*")&gt;0,EV25&lt;30)),AND('Eval-Avec act. écol. envisagée'!$A$778=DY16,OR(COUNTIF('Eval-Avec act. écol. envisagée'!$N$778:$P$778,"*T*")&gt;0,EV26&lt;30)),AND('Eval-Avec act. écol. envisagée'!$A$779=DY16,OR(COUNTIF('Eval-Avec act. écol. envisagée'!$N$779:$P$779,"*T*")&gt;0,EV27&lt;30)),AND('Eval-Avec act. écol. envisagée'!$A$780=DY16,OR(COUNTIF('Eval-Avec act. écol. envisagée'!$N$780:$P$780,"*T*")&gt;0,EV28&lt;30))),"",SUM(1*(SUMPRODUCT(('Eval-Avec act. écol. envisagée'!$A$761:$A$780=DY16)*('Eval-Avec act. écol. envisagée'!$N$761:$P$780="A"))),0.85*(SUMPRODUCT(('Eval-Avec act. écol. envisagée'!$A$761:$A$780=DY16)*('Eval-Avec act. écol. envisagée'!$N$761:$P$780="AL"))),0.7*(SUMPRODUCT(('Eval-Avec act. écol. envisagée'!$A$761:$A$780=DY16)*('Eval-Avec act. écol. envisagée'!$N$761:$P$780="LA"))),0.55*(SUMPRODUCT(('Eval-Avec act. écol. envisagée'!$A$761:$A$780=DY16)*('Eval-Avec act. écol. envisagée'!$N$761:$P$780="L"))),0.4*(SUMPRODUCT(('Eval-Avec act. écol. envisagée'!$A$761:$A$780=DY16)*('Eval-Avec act. écol. envisagée'!$N$761:$P$780="LS"))),0.25*(SUMPRODUCT(('Eval-Avec act. écol. envisagée'!$A$761:$A$780=DY16)*('Eval-Avec act. écol. envisagée'!$N$761:$P$780="SL"))),0.1*(SUMPRODUCT(('Eval-Avec act. écol. envisagée'!$A$761:$A$780=DY16)*('Eval-Avec act. écol. envisagée'!$N$761:$P$780="S"))))/(3*COUNTIF('Eval-Avec act. écol. envisagée'!$A$761:$A$780,DY16))),"")</f>
        <v/>
      </c>
      <c r="ES16" s="214" t="str">
        <f>IF(COUNTIF('Eval-Avec act. écol. envisagée'!$A$761:$A$780,DY16)&gt;0,IF(OR(AND('Eval-Avec act. écol. envisagée'!$A$761=DY16,OR(COUNTIF('Eval-Avec act. écol. envisagée'!$Q$761:$Y$761,"*T*")&gt;0,EV9&lt;120)),AND('Eval-Avec act. écol. envisagée'!$A$762=DY16,OR(COUNTIF('Eval-Avec act. écol. envisagée'!$Q$762:$Y$762,"*T*")&gt;0,EV10&lt;120)),AND('Eval-Avec act. écol. envisagée'!$A$763=DY16,OR(COUNTIF('Eval-Avec act. écol. envisagée'!$Q$763:$Y$763,"*T*")&gt;0,EV11&lt;120)),AND('Eval-Avec act. écol. envisagée'!$A$764=DY16,OR(COUNTIF('Eval-Avec act. écol. envisagée'!$Q$764:$Y$764,"*T*")&gt;0,EV12&lt;120)),AND('Eval-Avec act. écol. envisagée'!$A$765=DY16,OR(COUNTIF('Eval-Avec act. écol. envisagée'!$Q$765:$Y$765,"*T*")&gt;0,EV13&lt;120)),AND('Eval-Avec act. écol. envisagée'!$A$766=DY16,OR(COUNTIF('Eval-Avec act. écol. envisagée'!$Q$766:$Y$766,"*T*")&gt;0,EV14&lt;120)),AND('Eval-Avec act. écol. envisagée'!$A$767=DY16,OR(COUNTIF('Eval-Avec act. écol. envisagée'!$Q$767:$Y$767,"*T*")&gt;0,EV15&lt;120)),AND('Eval-Avec act. écol. envisagée'!$A$768=DY16,OR(COUNTIF('Eval-Avec act. écol. envisagée'!$Q$768:$Y$768,"*T*")&gt;0,EV16&lt;120)),AND('Eval-Avec act. écol. envisagée'!$A$769=DY16,OR(COUNTIF('Eval-Avec act. écol. envisagée'!$Q$769:$Y$769,"*T*")&gt;0,EV17&lt;120)),AND('Eval-Avec act. écol. envisagée'!$A$770=DY16,OR(COUNTIF('Eval-Avec act. écol. envisagée'!$Q$770:$Y$770,"*T*")&gt;0,EV18&lt;120)),AND('Eval-Avec act. écol. envisagée'!$A$771=DY16,OR(COUNTIF('Eval-Avec act. écol. envisagée'!$Q$771:$Y$771,"*T*")&gt;0,EV19&lt;120)),AND('Eval-Avec act. écol. envisagée'!$A$772=DY16,OR(COUNTIF('Eval-Avec act. écol. envisagée'!$Q$772:$Y$772,"*T*")&gt;0,EV20&lt;120)),AND('Eval-Avec act. écol. envisagée'!$A$773=DY16,OR(COUNTIF('Eval-Avec act. écol. envisagée'!$Q$773:$Y$773,"*T*")&gt;0,EV21&lt;120)),AND('Eval-Avec act. écol. envisagée'!$A$774=DY16,OR(COUNTIF('Eval-Avec act. écol. envisagée'!$Q$774:$Y$774,"*T*")&gt;0,EV22&lt;120)),AND('Eval-Avec act. écol. envisagée'!$A$775=DY16,OR(COUNTIF('Eval-Avec act. écol. envisagée'!$Q$775:$Y$775,"*T*")&gt;0,EV23&lt;120)),AND('Eval-Avec act. écol. envisagée'!$A$776=DY16,OR(COUNTIF('Eval-Avec act. écol. envisagée'!$Q$776:$Y$776,"*T*")&gt;0,EV24&lt;120)),AND('Eval-Avec act. écol. envisagée'!$A$777=DY16,OR(COUNTIF('Eval-Avec act. écol. envisagée'!$Q$777:$Y$777,"*T*")&gt;0,EV25&lt;120)),AND('Eval-Avec act. écol. envisagée'!$A$778=DY16,OR(COUNTIF('Eval-Avec act. écol. envisagée'!$Q$778:$Y$778,"*T*")&gt;0,EV26&lt;120)),AND('Eval-Avec act. écol. envisagée'!$A$779=DY16,OR(COUNTIF('Eval-Avec act. écol. envisagée'!$Q$779:$Y$779,"*T*")&gt;0,EV27&lt;120)),AND('Eval-Avec act. écol. envisagée'!$A$780=DY16,OR(COUNTIF('Eval-Avec act. écol. envisagée'!$Q$780:$Y$780,"*T*")&gt;0,EV28&lt;120))),"",SUM(1*(SUMPRODUCT(('Eval-Avec act. écol. envisagée'!$A$761:$A$780=DY16)*('Eval-Avec act. écol. envisagée'!$Q$761:$Y$780="A"))),0.85*(SUMPRODUCT(('Eval-Avec act. écol. envisagée'!$A$761:$A$780=DY16)*('Eval-Avec act. écol. envisagée'!$Q$761:$Y$780="AL"))),0.7*(SUMPRODUCT(('Eval-Avec act. écol. envisagée'!$A$761:$A$780=DY16)*('Eval-Avec act. écol. envisagée'!$Q$761:$Y$780="LA"))),0.55*(SUMPRODUCT(('Eval-Avec act. écol. envisagée'!$A$761:$A$780=DY16)*('Eval-Avec act. écol. envisagée'!$Q$761:$Y$780="L"))),0.4*(SUMPRODUCT(('Eval-Avec act. écol. envisagée'!$A$761:$A$780=DY16)*('Eval-Avec act. écol. envisagée'!$Q$761:$Y$780="LS"))),0.25*(SUMPRODUCT(('Eval-Avec act. écol. envisagée'!$A$761:$A$780=DY16)*('Eval-Avec act. écol. envisagée'!$Q$761:$Y$780="SL"))),0.1*(SUMPRODUCT(('Eval-Avec act. écol. envisagée'!$A$761:$A$780=DY16)*('Eval-Avec act. écol. envisagée'!$Q$761:$Y$780="S"))))/(9*COUNTIF('Eval-Avec act. écol. envisagée'!$A$761:$A$780,DY16))),"")</f>
        <v/>
      </c>
      <c r="ET16" s="215"/>
      <c r="EU16" s="216">
        <f>'Eval-Avec act. écol. envisagée'!$D$768</f>
        <v>8</v>
      </c>
      <c r="EV16" s="217" t="str">
        <f>IF(EW16="C",0,IF(IF(COUNTIF('Eval-Avec act. écol. envisagée'!$N$768:$Y$768,"=C")&gt;0,(COUNTA('Eval-Avec act. écol. envisagée'!$N$768:$Y$768)-1)*10,COUNTA('Eval-Avec act. écol. envisagée'!$N$768:$Y$768)*10)=0,"",IF(COUNTIF('Eval-Avec act. écol. envisagée'!$N$768:$Y$768,"=C")&gt;0,(COUNTA('Eval-Avec act. écol. envisagée'!$N$768:$Y$768)-1)*10,COUNTA('Eval-Avec act. écol. envisagée'!$N$768:$Y$768)*10)))</f>
        <v/>
      </c>
      <c r="EW16" s="217" t="str">
        <f>CONCATENATE('Eval-Avec act. écol. envisagée'!$N$768,'Eval-Avec act. écol. envisagée'!$O$768,'Eval-Avec act. écol. envisagée'!$P$768,'Eval-Avec act. écol. envisagée'!$Q$768,'Eval-Avec act. écol. envisagée'!$R$768,'Eval-Avec act. écol. envisagée'!$S$768,'Eval-Avec act. écol. envisagée'!$T$768,'Eval-Avec act. écol. envisagée'!$U$768,'Eval-Avec act. écol. envisagée'!$V$768,'Eval-Avec act. écol. envisagée'!$W$768,'Eval-Avec act. écol. envisagée'!$X$768,'Eval-Avec act. écol. envisagée'!$Y$768)</f>
        <v/>
      </c>
      <c r="EX16" s="217" t="str">
        <f t="shared" si="16"/>
        <v/>
      </c>
      <c r="EY16" s="217" t="str">
        <f t="shared" si="17"/>
        <v/>
      </c>
      <c r="EZ16" s="217" t="str">
        <f>IF(COUNTIF('Eval-Avec act. écol. envisagée'!$N$768:$Y$768,"=C")&gt;0,"X","")</f>
        <v/>
      </c>
      <c r="FA16" s="217" t="str">
        <f t="shared" si="18"/>
        <v/>
      </c>
      <c r="FB16" s="218" t="str">
        <f t="shared" si="19"/>
        <v/>
      </c>
      <c r="FC16" s="197"/>
      <c r="FE16" s="210">
        <v>8</v>
      </c>
      <c r="FF16" s="211" t="str">
        <f>IF(COUNTIF('Eval-Après action écologique'!$A$761:$A$780,FE16)&gt;0,SUM(IF('Eval-Après action écologique'!$A$761=FE16,'Eval-Après action écologique'!$B$761,0),IF('Eval-Après action écologique'!$A$762=FE16, 'Eval-Après action écologique'!$B$762,0),IF('Eval-Après action écologique'!$A$763=FE16, 'Eval-Après action écologique'!$B$763,0),IF('Eval-Après action écologique'!$A$764=FE16, 'Eval-Après action écologique'!$B$764,0),IF('Eval-Après action écologique'!$A$765=FE16, 'Eval-Après action écologique'!$B$765,0),IF('Eval-Après action écologique'!$A$766=FE16, 'Eval-Après action écologique'!$B$766,0),IF('Eval-Après action écologique'!$A$767=FE16, 'Eval-Après action écologique'!$B$767,0),IF('Eval-Après action écologique'!$A$768=FE16, 'Eval-Après action écologique'!$B$768,0),IF('Eval-Après action écologique'!$A$769=FE16, 'Eval-Après action écologique'!$B$769,0),IF('Eval-Après action écologique'!$A$770=FE16, 'Eval-Après action écologique'!$B$770,0),IF('Eval-Après action écologique'!$A$771=FE16, 'Eval-Après action écologique'!$B$771,0),IF('Eval-Après action écologique'!$A$772=FE16, 'Eval-Après action écologique'!$B$772,0),IF('Eval-Après action écologique'!$A$773=FE16, 'Eval-Après action écologique'!$B$773,0),IF('Eval-Après action écologique'!$A$774=FE16, 'Eval-Après action écologique'!$B$774,0),IF('Eval-Après action écologique'!$A$775=FE16, 'Eval-Après action écologique'!$B$775,0),IF('Eval-Après action écologique'!$A$776=FE16, 'Eval-Après action écologique'!$B$776,0),IF('Eval-Après action écologique'!$A$777=FE16, 'Eval-Après action écologique'!$B$777,0),IF('Eval-Après action écologique'!$A$778=FE16, 'Eval-Après action écologique'!$B$778,0),IF('Eval-Après action écologique'!$A$779=FE16, 'Eval-Après action écologique'!$B$779,0),IF('Eval-Après action écologique'!$A$780=FE16, 'Eval-Après action écologique'!$B$780,0))/COUNTIF('Eval-Après action écologique'!$A$761:$A$780,FE16),"")</f>
        <v/>
      </c>
      <c r="FG16" s="212" t="str">
        <f>IF(COUNTIF('Eval-Après action écologique'!$A$761:$A$780,FE16)&gt;0,COUNTIF('Eval-Après action écologique'!$A$761:$A$780,FE16),"")</f>
        <v/>
      </c>
      <c r="FH16" s="211" t="str">
        <f>IF(COUNTIF('Eval-Après action écologique'!$A$761:$A$780,FE16)&gt;0,IF(OR(AND('Eval-Après action écologique'!$A$761=FE16, 'Eval-Après action écologique'!$G$761=""),AND('Eval-Après action écologique'!$A$762=FE16, 'Eval-Après action écologique'!$G$762=""),AND('Eval-Après action écologique'!$A$763=FE16, 'Eval-Après action écologique'!$G$763=""),AND('Eval-Après action écologique'!$A$764=FE16, 'Eval-Après action écologique'!$G$764=""),AND('Eval-Après action écologique'!$A$765=FE16, 'Eval-Après action écologique'!$G$765=""),AND('Eval-Après action écologique'!$A$766=FE16, 'Eval-Après action écologique'!$G$766=""),AND('Eval-Après action écologique'!$A$767=FE16, 'Eval-Après action écologique'!$G$767=""),AND('Eval-Après action écologique'!$A$768=FE16, 'Eval-Après action écologique'!$G$768=""),AND('Eval-Après action écologique'!$A$769=FE16, 'Eval-Après action écologique'!$G$769=""),AND('Eval-Après action écologique'!$A$770=FE16, 'Eval-Après action écologique'!$G$770=""),AND('Eval-Après action écologique'!$A$771=FE16, 'Eval-Après action écologique'!$G$771=""),AND('Eval-Après action écologique'!$A$772=FE16, 'Eval-Après action écologique'!$G$772=""),AND('Eval-Après action écologique'!$A$773=FE16, 'Eval-Après action écologique'!$G$773=""),AND('Eval-Après action écologique'!$A$774=FE16, 'Eval-Après action écologique'!$G$774=""),AND('Eval-Après action écologique'!$A$775=FE16, 'Eval-Après action écologique'!$G$775=""),AND('Eval-Après action écologique'!$A$776=FE16, 'Eval-Après action écologique'!$G$776=""),AND('Eval-Après action écologique'!$A$777=FE16, 'Eval-Après action écologique'!$G$777=""),AND('Eval-Après action écologique'!$A$778=FE16, 'Eval-Après action écologique'!$G$778=""),AND('Eval-Après action écologique'!$A$779=FE16, 'Eval-Après action écologique'!$G$779=""),AND('Eval-Après action écologique'!$A$780=FE16, 'Eval-Après action écologique'!$G$780="")),"",SUM(IF('Eval-Après action écologique'!$A$761=FE16,'Eval-Après action écologique'!$G$761,0),IF('Eval-Après action écologique'!$A$762=FE16,'Eval-Après action écologique'!$G$762,0),IF('Eval-Après action écologique'!$A$763=FE16,'Eval-Après action écologique'!$G$763,0),IF('Eval-Après action écologique'!$A$764=FE16,'Eval-Après action écologique'!$G$764,0),IF('Eval-Après action écologique'!$A$765=FE16,'Eval-Après action écologique'!$G$765,0),IF('Eval-Après action écologique'!$A$766=FE16,'Eval-Après action écologique'!$G$766,0),IF('Eval-Après action écologique'!$A$767=FE16,'Eval-Après action écologique'!$G$767,0),IF('Eval-Après action écologique'!$A$768=FE16,'Eval-Après action écologique'!$G$768,0),IF('Eval-Après action écologique'!$A$769=FE16,'Eval-Après action écologique'!$G$769,0),IF('Eval-Après action écologique'!$A$770=FE16,'Eval-Après action écologique'!$G$770,0),IF('Eval-Après action écologique'!$A$771=FE16,'Eval-Après action écologique'!$G$771,0),IF('Eval-Après action écologique'!$A$772=FE16,'Eval-Après action écologique'!$G$772,0),IF('Eval-Après action écologique'!$A$773=FE16,'Eval-Après action écologique'!$G$773,0),IF('Eval-Après action écologique'!$A$774=FE16,'Eval-Après action écologique'!$G$774,0),IF('Eval-Après action écologique'!$A$775=FE16,'Eval-Après action écologique'!$G$775,0), IF('Eval-Après action écologique'!$A$776=FE16,'Eval-Après action écologique'!$G$776,0), IF('Eval-Après action écologique'!$A$777=FE16,'Eval-Après action écologique'!$G$777,0), IF('Eval-Après action écologique'!$A$778=FE16,'Eval-Après action écologique'!$G$778,0), IF('Eval-Après action écologique'!$A$779=FE16,'Eval-Après action écologique'!$G$779,0), IF('Eval-Après action écologique'!$A$780=FE16,'Eval-Après action écologique'!$G$780,0))/ COUNTIF('Eval-Après action écologique'!$A$761:$A$780,FE16)),"")</f>
        <v/>
      </c>
      <c r="FI16" s="212" t="str">
        <f>IF(COUNTIF('Eval-Après action écologique'!$A$761:$A$780,FE16)&gt;0,IF(SUM(IF('Eval-Après action écologique'!$A$761=FE16,COUNTA('Eval-Après action écologique'!$H$761),0),IF('Eval-Après action écologique'!$A$762=FE16,COUNTA('Eval-Après action écologique'!$H$762),0),IF('Eval-Après action écologique'!$A$763=FE16,COUNTA('Eval-Après action écologique'!$H$763),0),IF('Eval-Après action écologique'!$A$764=FE16,COUNTA('Eval-Après action écologique'!$H$764),0),IF('Eval-Après action écologique'!$A$765=FE16,COUNTA('Eval-Après action écologique'!$H$765),0),IF('Eval-Après action écologique'!$A$766=FE16,COUNTA('Eval-Après action écologique'!$H$766),0),IF('Eval-Après action écologique'!$A$767=FE16,COUNTA('Eval-Après action écologique'!$H$767),0),IF('Eval-Après action écologique'!$A$768=FE16,COUNTA('Eval-Après action écologique'!$H$768),0),IF('Eval-Après action écologique'!$A$769=FE16,COUNTA('Eval-Après action écologique'!$H$769),0),IF('Eval-Après action écologique'!$A$770=FE16,COUNTA('Eval-Après action écologique'!$H$770),0),IF('Eval-Après action écologique'!$A$771=FE16,COUNTA('Eval-Après action écologique'!$H$771),0),IF('Eval-Après action écologique'!$A$772=FE16,COUNTA('Eval-Après action écologique'!$H$772),0),IF('Eval-Après action écologique'!$A$773=FE16,COUNTA('Eval-Après action écologique'!$H$773),0),IF('Eval-Après action écologique'!$A$774=FE16,COUNTA('Eval-Après action écologique'!$H$774),0),IF('Eval-Après action écologique'!$A$775=FE16,COUNTA('Eval-Après action écologique'!$H$775),0),IF('Eval-Après action écologique'!$A$776=FE16,COUNTA('Eval-Après action écologique'!$H$776),0),IF('Eval-Après action écologique'!$A$777=FE16,COUNTA('Eval-Après action écologique'!$H$777),0),IF('Eval-Après action écologique'!$A$778=FE16,COUNTA('Eval-Après action écologique'!$H$778),0),IF('Eval-Après action écologique'!$A$779=FE16,COUNTA('Eval-Après action écologique'!$H$779),0),IF('Eval-Après action écologique'!$A$780=FE16,COUNTA('Eval-Après action écologique'!$H$780),0))&gt;0,"X",0),"")</f>
        <v/>
      </c>
      <c r="FJ16" s="213" t="str">
        <f>IF(COUNTIF('Eval-Après action écologique'!$A$761:$A$780,FE16)&gt;0,IF(SUM(IF('Eval-Après action écologique'!$A$761=FE16,COUNTA('Eval-Après action écologique'!$I$761),0),IF('Eval-Après action écologique'!$A$762=FE16,COUNTA('Eval-Après action écologique'!$I$762),0),IF('Eval-Après action écologique'!$A$763=FE16,COUNTA('Eval-Après action écologique'!$I$763),0),IF('Eval-Après action écologique'!$A$764=FE16,COUNTA('Eval-Après action écologique'!$I$764),0),IF('Eval-Après action écologique'!$A$765=FE16,COUNTA('Eval-Après action écologique'!$I$765),0),IF('Eval-Après action écologique'!$A$766=FE16,COUNTA('Eval-Après action écologique'!$I$766),0),IF('Eval-Après action écologique'!$A$767=FE16,COUNTA('Eval-Après action écologique'!$I$767),0),IF('Eval-Après action écologique'!$A$768=FE16,COUNTA('Eval-Après action écologique'!$I$768),0),IF('Eval-Après action écologique'!$A$769=FE16,COUNTA('Eval-Après action écologique'!$I$769),0),IF('Eval-Après action écologique'!$A$770=FE16,COUNTA('Eval-Après action écologique'!$I$770),0),IF('Eval-Après action écologique'!$A$771=FE16,COUNTA('Eval-Après action écologique'!$I$771),0),IF('Eval-Après action écologique'!$A$772=FE16,COUNTA('Eval-Après action écologique'!$I$772),0),IF('Eval-Après action écologique'!$A$773=FE16,COUNTA('Eval-Après action écologique'!$I$773),0),IF('Eval-Après action écologique'!$A$774=FE16,COUNTA('Eval-Après action écologique'!$I$774),0),IF('Eval-Après action écologique'!$A$775=FE16,COUNTA('Eval-Après action écologique'!$I$775),0),IF('Eval-Après action écologique'!$A$776=FE16,COUNTA('Eval-Après action écologique'!$I$776),0),IF('Eval-Après action écologique'!$A$777=FE16,COUNTA('Eval-Après action écologique'!$I$777),0),IF('Eval-Après action écologique'!$A$778=FE16,COUNTA('Eval-Après action écologique'!$I$778),0),IF('Eval-Après action écologique'!$A$779=FE16,COUNTA('Eval-Après action écologique'!$I$779),0),IF('Eval-Après action écologique'!$A$780=FE16,COUNTA('Eval-Après action écologique'!$I$780),0))&gt;0,"X",0),"")</f>
        <v/>
      </c>
      <c r="FK16" s="213" t="str">
        <f>IF(COUNTIF('Eval-Après action écologique'!$A$761:$A$780,FE16)&gt;0,IF(SUM(IF('Eval-Après action écologique'!$A$761=FE16,COUNTA('Eval-Après action écologique'!$J$761),0),IF('Eval-Après action écologique'!$A$762=FE16,COUNTA('Eval-Après action écologique'!$J$762),0),IF('Eval-Après action écologique'!$A$763=FE16,COUNTA('Eval-Après action écologique'!$J$763),0),IF('Eval-Après action écologique'!$A$764=FE16,COUNTA('Eval-Après action écologique'!$J$764),0),IF('Eval-Après action écologique'!$A$765=FE16,COUNTA('Eval-Après action écologique'!$J$765),0),IF('Eval-Après action écologique'!$A$766=FE16,COUNTA('Eval-Après action écologique'!$J$766),0),IF('Eval-Après action écologique'!$A$767=FE16,COUNTA('Eval-Après action écologique'!$J$767),0),IF('Eval-Après action écologique'!$A$768=FE16,COUNTA('Eval-Après action écologique'!$J$768),0),IF('Eval-Après action écologique'!$A$769=FE16,COUNTA('Eval-Après action écologique'!$J$769),0),IF('Eval-Après action écologique'!$A$770=FE16,COUNTA('Eval-Après action écologique'!$J$770),0),IF('Eval-Après action écologique'!$A$771=FE16,COUNTA('Eval-Après action écologique'!$J$771),0),IF('Eval-Après action écologique'!$A$772=FE16,COUNTA('Eval-Après action écologique'!$J$772),0),IF('Eval-Après action écologique'!$A$773=FE16,COUNTA('Eval-Après action écologique'!$J$773),0),IF('Eval-Après action écologique'!$A$774=FE16,COUNTA('Eval-Après action écologique'!$J$774),0),IF('Eval-Après action écologique'!$A$775=FE16,COUNTA('Eval-Après action écologique'!$J$775),0),IF('Eval-Après action écologique'!$A$776=FE16,COUNTA('Eval-Après action écologique'!$J$776),0),IF('Eval-Après action écologique'!$A$777=FE16,COUNTA('Eval-Après action écologique'!$J$777),0),IF('Eval-Après action écologique'!$A$778=FE16,COUNTA('Eval-Après action écologique'!$J$778),0),IF('Eval-Après action écologique'!$A$779=FE16,COUNTA('Eval-Après action écologique'!$J$779),0),IF('Eval-Après action écologique'!$A$780=FE16,COUNTA('Eval-Après action écologique'!$J$780),0))&gt;0,"X",0),"")</f>
        <v/>
      </c>
      <c r="FL16" s="213" t="str">
        <f>IF(COUNTIF('Eval-Après action écologique'!$A$761:$A$780,FE16)&gt;0,IF(SUM(IF('Eval-Après action écologique'!$A$761=FE16,COUNTA('Eval-Après action écologique'!$K$761),0),IF('Eval-Après action écologique'!$A$762=FE16,COUNTA('Eval-Après action écologique'!$K$762),0),IF('Eval-Après action écologique'!$A$763=FE16,COUNTA('Eval-Après action écologique'!$K$763),0),IF('Eval-Après action écologique'!$A$764=FE16,COUNTA('Eval-Après action écologique'!$K$764),0),IF('Eval-Après action écologique'!$A$765=FE16,COUNTA('Eval-Après action écologique'!$K$765),0),IF('Eval-Après action écologique'!$A$766=FE16,COUNTA('Eval-Après action écologique'!$K$766),0),IF('Eval-Après action écologique'!$A$767=FE16,COUNTA('Eval-Après action écologique'!$K$767),0),IF('Eval-Après action écologique'!$A$768=FE16,COUNTA('Eval-Après action écologique'!$K$768),0),IF('Eval-Après action écologique'!$A$769=FE16,COUNTA('Eval-Après action écologique'!$K$769),0),IF('Eval-Après action écologique'!$A$770=FE16,COUNTA('Eval-Après action écologique'!$K$770),0),IF('Eval-Après action écologique'!$A$771=FE16,COUNTA('Eval-Après action écologique'!$K$771),0),IF('Eval-Après action écologique'!$A$772=FE16,COUNTA('Eval-Après action écologique'!$K$772),0),IF('Eval-Après action écologique'!$A$773=FE16,COUNTA('Eval-Après action écologique'!$K$773),0),IF('Eval-Après action écologique'!$A$774=FE16,COUNTA('Eval-Après action écologique'!$K$774),0),IF('Eval-Après action écologique'!$A$775=FE16,COUNTA('Eval-Après action écologique'!$K$775),0),IF('Eval-Après action écologique'!$A$776=FE16,COUNTA('Eval-Après action écologique'!$K$776),0),IF('Eval-Après action écologique'!$A$777=FE16,COUNTA('Eval-Après action écologique'!$K$777),0),IF('Eval-Après action écologique'!$A$778=FE16,COUNTA('Eval-Après action écologique'!$K$778),0),IF('Eval-Après action écologique'!$A$779=FE16,COUNTA('Eval-Après action écologique'!$K$779),0),IF('Eval-Après action écologique'!$A$780=FE16,COUNTA('Eval-Après action écologique'!$K$780),0))&gt;0,"X",0),"")</f>
        <v/>
      </c>
      <c r="FM16" s="211" t="str">
        <f>IF(COUNTIF('Eval-Après action écologique'!$A$761:$A$780,FE16)&gt;0,IF(OR(AND('Eval-Après action écologique'!$A$761=FE16,'Eval-Après action écologique'!$L$761&lt;120,'Eval-Après action écologique'!$L$761&gt;=GB9),AND('Eval-Après action écologique'!$A$762=FE16,'Eval-Après action écologique'!$L$762&lt;120,'Eval-Après action écologique'!$L$762&gt;=GB10),AND('Eval-Après action écologique'!$A$763=FE16,'Eval-Après action écologique'!$L$763&lt;120,'Eval-Après action écologique'!$L$763&gt;=GB11),AND('Eval-Après action écologique'!$A$764=FE16,'Eval-Après action écologique'!$L$764&lt;120,'Eval-Après action écologique'!$L$764&gt;=GB12),AND('Eval-Après action écologique'!$A$765=FE16,'Eval-Après action écologique'!$L$765&lt;120,'Eval-Après action écologique'!$L$765&gt;=GB13),AND('Eval-Après action écologique'!$A$766=FE16,'Eval-Après action écologique'!$L$766&lt;120,'Eval-Après action écologique'!$L$766&gt;=GB14),AND('Eval-Après action écologique'!$A$767=FE16,'Eval-Après action écologique'!$L$767&lt;120,'Eval-Après action écologique'!$L$767&gt;=GB15),AND('Eval-Après action écologique'!$A$768=FE16,'Eval-Après action écologique'!$L$768&lt;120,'Eval-Après action écologique'!$L$768&gt;=GB16),AND('Eval-Après action écologique'!$A$769=FE16,'Eval-Après action écologique'!$L$769&lt;120,'Eval-Après action écologique'!$L$769&gt;=GB17),AND('Eval-Après action écologique'!$A$770=FE16,'Eval-Après action écologique'!$L$770&lt;120,'Eval-Après action écologique'!$L$770&gt;=GB18),AND('Eval-Après action écologique'!$A$771=FE16,'Eval-Après action écologique'!$L$771&lt;120,'Eval-Après action écologique'!$L$771&gt;=GB19),AND('Eval-Après action écologique'!$A$772=FE16,'Eval-Après action écologique'!$L$772&lt;120,'Eval-Après action écologique'!$L$772&gt;=GB20),AND('Eval-Après action écologique'!$A$773=FE16,'Eval-Après action écologique'!$L$773&lt;120,'Eval-Après action écologique'!$L$773&gt;=GB21),AND('Eval-Après action écologique'!$A$774=FE16,'Eval-Après action écologique'!$L$774&lt;120,'Eval-Après action écologique'!$L$774&gt;=GB22),AND('Eval-Après action écologique'!$A$775=FE16,'Eval-Après action écologique'!$L$775&lt;120,'Eval-Après action écologique'!$L$775&gt;=GB23),AND('Eval-Après action écologique'!$A$776=FE16,'Eval-Après action écologique'!$L$776&lt;120,'Eval-Après action écologique'!$L$776&gt;=GB24),AND('Eval-Après action écologique'!$A$777=FE16,'Eval-Après action écologique'!$L$777&lt;120,'Eval-Après action écologique'!$L$777&gt;=GB25),AND('Eval-Après action écologique'!$A$778=FE16,'Eval-Après action écologique'!$L$778&lt;120,'Eval-Après action écologique'!$L$778&gt;=GB26),AND('Eval-Après action écologique'!$A$779=FE16,'Eval-Après action écologique'!$L$779&lt;120,'Eval-Après action écologique'!$L$779&gt;=GB27),AND('Eval-Après action écologique'!$A$780=FE16,'Eval-Après action écologique'!$L$780&lt;120,'Eval-Après action écologique'!$L$780&gt;=GB28)),"",SUM(IF('Eval-Après action écologique'!$A$761=FE16,'Eval-Après action écologique'!$L$761,0),IF('Eval-Après action écologique'!$A$762=FE16,'Eval-Après action écologique'!$L$762,0),IF('Eval-Après action écologique'!$A$763=FE16,'Eval-Après action écologique'!$L$763,0),IF('Eval-Après action écologique'!$A$764=FE16,'Eval-Après action écologique'!$L$764,0),IF('Eval-Après action écologique'!$A$765=FE16,'Eval-Après action écologique'!$L$765,0),IF('Eval-Après action écologique'!$A$766=FE16,'Eval-Après action écologique'!$L$766,0),IF('Eval-Après action écologique'!$A$767=FE16,'Eval-Après action écologique'!$L$767,0),IF('Eval-Après action écologique'!$A$768=FE16,'Eval-Après action écologique'!$L$768,0),IF('Eval-Après action écologique'!$A$769=FE16,'Eval-Après action écologique'!$L$769,0),IF('Eval-Après action écologique'!$A$770=FE16,'Eval-Après action écologique'!$L$770,0),IF('Eval-Après action écologique'!$A$771=FE16,'Eval-Après action écologique'!$L$771,0),IF('Eval-Après action écologique'!$A$772=FE16,'Eval-Après action écologique'!$L$772,0),IF('Eval-Après action écologique'!$A$773=FE16,'Eval-Après action écologique'!$L$773,0),IF('Eval-Après action écologique'!$A$774=FE16,'Eval-Après action écologique'!$L$774,0),IF('Eval-Après action écologique'!$A$775=FE16,'Eval-Après action écologique'!$L$775,0),IF('Eval-Après action écologique'!$A$776=FE16,'Eval-Après action écologique'!$L$776,0),IF('Eval-Après action écologique'!$A$777=FE16,'Eval-Après action écologique'!$L$777,0),IF('Eval-Après action écologique'!$A$778=FE16,'Eval-Après action écologique'!$L$778,0),IF('Eval-Après action écologique'!$A$779=FE16,'Eval-Après action écologique'!$L$779,0),IF('Eval-Après action écologique'!$A$780=FE16,'Eval-Après action écologique'!$L$780,0))/ COUNTIF('Eval-Après action écologique'!$A$761:$A$780,FE16)),"")</f>
        <v/>
      </c>
      <c r="FN16" s="211" t="str">
        <f>IF(COUNTIF('Eval-Après action écologique'!$A$761:$A$780,FE16)&gt;0,IF(OR(AND('Eval-Après action écologique'!$A$761=FE16, GB9&lt;120),AND(GB10&lt;120),AND(GB11&lt;120),AND(GB12&lt;120),AND(GB13&lt;120),AND(GB14&lt;120),AND(GB15&lt;120),AND(GB16&lt;120),AND(GB17&lt;120),AND(GB18&lt;120),AND(GB19&lt;120),AND(GB20&lt;120),AND(GB21&lt;120),AND(GB22&lt;120),AND(GB23&lt;120),AND(GB24&lt;120),AND(GB25&lt;120),AND(GB26&lt;120),AND(GB27&lt;120),AND(GB28&lt;120)),"",SUM(IF('Eval-Après action écologique'!$A$761=FE16,'Eval-Après action écologique'!$M$761,0),IF('Eval-Après action écologique'!$A$762=FE16,'Eval-Après action écologique'!$M$762,0),IF('Eval-Après action écologique'!$A$763=FE16,'Eval-Après action écologique'!$M$763,0),IF('Eval-Après action écologique'!$A$764=FE16,'Eval-Après action écologique'!$M$764,0),IF('Eval-Après action écologique'!$A$765=FE16,'Eval-Après action écologique'!$M$765,0),IF('Eval-Après action écologique'!$A$766=FE16,'Eval-Après action écologique'!$M$766,0),IF('Eval-Après action écologique'!$A$767=FE16,'Eval-Après action écologique'!$M$767,0),IF('Eval-Après action écologique'!$A$768=FE16,'Eval-Après action écologique'!$M$768,0),IF('Eval-Après action écologique'!$A$769=FE16,'Eval-Après action écologique'!$M$769,0),IF('Eval-Après action écologique'!$A$770=FE16,'Eval-Après action écologique'!$M$770,0),IF('Eval-Après action écologique'!$A$771=FE16,'Eval-Après action écologique'!$M$771,0),IF('Eval-Après action écologique'!$A$772=FE16,'Eval-Après action écologique'!$M$772,0),IF('Eval-Après action écologique'!$A$773=FE16,'Eval-Après action écologique'!$M$773,0),IF('Eval-Après action écologique'!$A$774=FE16,'Eval-Après action écologique'!$M$774,0),IF('Eval-Après action écologique'!$A$775=FE16,'Eval-Après action écologique'!$M$775,0), IF('Eval-Après action écologique'!$A$776=FE16,'Eval-Après action écologique'!$M$776,0), IF('Eval-Après action écologique'!$A$777=FE16,'Eval-Après action écologique'!$M$777,0), IF('Eval-Après action écologique'!$A$778=FE16,'Eval-Après action écologique'!$M$778,0), IF('Eval-Après action écologique'!$A$779=FE16,'Eval-Après action écologique'!$M$779,0), IF('Eval-Après action écologique'!$A$780=FE16,'Eval-Après action écologique'!$M$780,0))/COUNTIF('Eval-Après action écologique'!$A$761:$A$780,FE16)),"")</f>
        <v/>
      </c>
      <c r="FO16" s="211" t="str">
        <f>IF(COUNTIF('Eval-Après action écologique'!$A$761:$A$780,FE16)&gt;0,SUM(IF('Eval-Après action écologique'!$A$761=FE16,LEN(SUBSTITUTE((SUBSTITUTE(GD9,"TM","")),"TS",""))*10/2,0),IF('Eval-Après action écologique'!$A$762=FE16,LEN(SUBSTITUTE((SUBSTITUTE(GD10,"TM","")),"TS",""))*10/2,0),IF('Eval-Après action écologique'!$A$763=FE16,LEN(SUBSTITUTE((SUBSTITUTE(GD11,"TM","")),"TS",""))*10/2,0),IF('Eval-Après action écologique'!$A$764=FE16,LEN(SUBSTITUTE((SUBSTITUTE(GD12,"TM","")),"TS",""))*10/2,0),IF('Eval-Après action écologique'!$A$765=FE16,LEN(SUBSTITUTE((SUBSTITUTE(GD13,"TM","")),"TS",""))*10/2,0),IF('Eval-Après action écologique'!$A$766=FE16,LEN(SUBSTITUTE((SUBSTITUTE(GD14,"TM","")),"TS",""))*10/2,0),IF('Eval-Après action écologique'!$A$767=FE16,LEN(SUBSTITUTE((SUBSTITUTE(GD15,"TM","")),"TS",""))*10/2,0),IF('Eval-Après action écologique'!$A$768=FE16,LEN(SUBSTITUTE((SUBSTITUTE(GD16,"TM","")),"TS",""))*10/2,0),IF('Eval-Après action écologique'!$A$769=FE16,LEN(SUBSTITUTE((SUBSTITUTE(GD17,"TM","")),"TS",""))*10/2,0),IF('Eval-Après action écologique'!$A$770=FE16,LEN(SUBSTITUTE((SUBSTITUTE(GD18,"TM","")),"TS",""))*10/2,0),IF('Eval-Après action écologique'!$A$771=FE16,LEN(SUBSTITUTE((SUBSTITUTE(GD19,"TM","")),"TS",""))*10/2,0),IF('Eval-Après action écologique'!$A$772=FE16,LEN(SUBSTITUTE((SUBSTITUTE(GD20,"TM","")),"TS",""))*10/2,0),IF('Eval-Après action écologique'!$A$773=FE16,LEN(SUBSTITUTE((SUBSTITUTE(GD21,"TM","")),"TS",""))*10/2,0),IF('Eval-Après action écologique'!$A$774=FE16,LEN(SUBSTITUTE((SUBSTITUTE(GD22,"TM","")),"TS",""))*10/2,0),IF('Eval-Après action écologique'!$A$775=FE16,LEN(SUBSTITUTE((SUBSTITUTE(GD23,"TM","")),"TS",""))*10/2,0),IF('Eval-Après action écologique'!$A$776=FE16,LEN(SUBSTITUTE((SUBSTITUTE(GD24,"TM","")),"TS",""))*10/2,0),IF('Eval-Après action écologique'!$A$777=FE16,LEN(SUBSTITUTE((SUBSTITUTE(GD25,"TM","")),"TS",""))*10/2,0),IF('Eval-Après action écologique'!$A$778=FE16,LEN(SUBSTITUTE((SUBSTITUTE(GD26,"TM","")),"TS",""))*10/2,0),IF('Eval-Après action écologique'!$A$779=FE16,LEN(SUBSTITUTE((SUBSTITUTE(GD27,"TM","")),"TS",""))*10/2,0),IF('Eval-Après action écologique'!$A$780=FE16,LEN(SUBSTITUTE((SUBSTITUTE(GD28,"TM","")),"TS",""))*10/2,0))/COUNTIF('Eval-Après action écologique'!$A$761:$A$780,FE16),"")</f>
        <v/>
      </c>
      <c r="FP16" s="211" t="str">
        <f>IF(COUNTIF('Eval-Après action écologique'!$A$761:$A$780,FE16)&gt;0,SUM(IF('Eval-Après action écologique'!$A$761=FE16,LEN(SUBSTITUTE((SUBSTITUTE(GD9,"TF","")),"TS",""))*10/2,0),IF('Eval-Après action écologique'!$A$762=FE16,LEN(SUBSTITUTE((SUBSTITUTE(GD10,"TF","")),"TS",""))*10/2,0),IF('Eval-Après action écologique'!$A$763=FE16,LEN(SUBSTITUTE((SUBSTITUTE(GD11,"TF","")),"TS",""))*10/2,0),IF('Eval-Après action écologique'!$A$764=FE16,LEN(SUBSTITUTE((SUBSTITUTE(GD12,"TF","")),"TS",""))*10/2,0),IF('Eval-Après action écologique'!$A$765=FE16,LEN(SUBSTITUTE((SUBSTITUTE(GD13,"TF","")),"TS",""))*10/2,0),IF('Eval-Après action écologique'!$A$766=FE16,LEN(SUBSTITUTE((SUBSTITUTE(GD14,"TF","")),"TS",""))*10/2,0),IF('Eval-Après action écologique'!$A$767=FE16,LEN(SUBSTITUTE((SUBSTITUTE(GD15,"TF","")),"TS",""))*10/2,0),IF('Eval-Après action écologique'!$A$768=FE16,LEN(SUBSTITUTE((SUBSTITUTE(GD16,"TF","")),"TS",""))*10/2,0),IF('Eval-Après action écologique'!$A$769=FE16,LEN(SUBSTITUTE((SUBSTITUTE(GD17,"TF","")),"TS",""))*10/2,0),IF('Eval-Après action écologique'!$A$770=FE16,LEN(SUBSTITUTE((SUBSTITUTE(GD18,"TF","")),"TS",""))*10/2,0),IF('Eval-Après action écologique'!$A$771=FE16,LEN(SUBSTITUTE((SUBSTITUTE(GD19,"TF","")),"TS",""))*10/2,0),IF('Eval-Après action écologique'!$A$772=FE16,LEN(SUBSTITUTE((SUBSTITUTE(GD20,"TF","")),"TS",""))*10/2,0),IF('Eval-Après action écologique'!$A$773=FE16,LEN(SUBSTITUTE((SUBSTITUTE(GD21,"TF","")),"TS",""))*10/2,0),IF('Eval-Après action écologique'!$A$774=FE16,LEN(SUBSTITUTE((SUBSTITUTE(GD22,"TF","")),"TS",""))*10/2,0),IF('Eval-Après action écologique'!$A$775=FE16,LEN(SUBSTITUTE((SUBSTITUTE(GD23,"TF","")),"TS",""))*10/2,0),IF('Eval-Après action écologique'!$A$776=FE16,LEN(SUBSTITUTE((SUBSTITUTE(GD24,"TF","")),"TS",""))*10/2,0),IF('Eval-Après action écologique'!$A$777=FE16,LEN(SUBSTITUTE((SUBSTITUTE(GD25,"TF","")),"TS",""))*10/2,0),IF('Eval-Après action écologique'!$A$778=FE16,LEN(SUBSTITUTE((SUBSTITUTE(GD26,"TF","")),"TS",""))*10/2,0),IF('Eval-Après action écologique'!$A$779=FE16,LEN(SUBSTITUTE((SUBSTITUTE(GD27,"TF","")),"TS",""))*10/2,0),IF('Eval-Après action écologique'!$A$780=FE16,LEN(SUBSTITUTE((SUBSTITUTE(GD28,"TF","")),"TS",""))*10/2,0))/COUNTIF('Eval-Après action écologique'!$A$761:$A$780,FE16),"")</f>
        <v/>
      </c>
      <c r="FQ16" s="211" t="str">
        <f>IF(COUNTIF('Eval-Après action écologique'!$A$761:$A$780,FE16)&gt;0,SUM(IF('Eval-Après action écologique'!$A$761=FE16,LEN(SUBSTITUTE((SUBSTITUTE(GD9,"TF","")),"TM",""))*10/2,0),IF('Eval-Après action écologique'!$A$762=FE16,LEN(SUBSTITUTE((SUBSTITUTE(GD10,"TF","")),"TM",""))*10/2,0),IF('Eval-Après action écologique'!$A$763=FE16,LEN(SUBSTITUTE((SUBSTITUTE(GD11,"TF","")),"TM",""))*10/2,0),IF('Eval-Après action écologique'!$A$764=FE16,LEN(SUBSTITUTE((SUBSTITUTE(GD12,"TF","")),"TM",""))*10/2,0),IF('Eval-Après action écologique'!$A$765=FE16,LEN(SUBSTITUTE((SUBSTITUTE(GD13,"TF","")),"TM",""))*10/2,0),IF('Eval-Après action écologique'!$A$766=FE16,LEN(SUBSTITUTE((SUBSTITUTE(GD14,"TF","")),"TM",""))*10/2,0),IF('Eval-Après action écologique'!$A$767=FE16,LEN(SUBSTITUTE((SUBSTITUTE(GD15,"TF","")),"TM",""))*10/2,0),IF('Eval-Après action écologique'!$A$768=FE16,LEN(SUBSTITUTE((SUBSTITUTE(GD16,"TF","")),"TM",""))*10/2,0),IF('Eval-Après action écologique'!$A$769=FE16,LEN(SUBSTITUTE((SUBSTITUTE(GD17,"TF","")),"TM",""))*10/2,0),IF('Eval-Après action écologique'!$A$770=FE16,LEN(SUBSTITUTE((SUBSTITUTE(GD18,"TF","")),"TM",""))*10/2,0),IF('Eval-Après action écologique'!$A$771=FE16,LEN(SUBSTITUTE((SUBSTITUTE(GD19,"TF","")),"TM",""))*10/2,0),IF('Eval-Après action écologique'!$A$772=FE16,LEN(SUBSTITUTE((SUBSTITUTE(GD20,"TF","")),"TM",""))*10/2,0),IF('Eval-Après action écologique'!$A$773=FE16,LEN(SUBSTITUTE((SUBSTITUTE(GD21,"TF","")),"TM",""))*10/2,0),IF('Eval-Après action écologique'!$A$774=FE16,LEN(SUBSTITUTE((SUBSTITUTE(GD22,"TF","")),"TM",""))*10/2,0),IF('Eval-Après action écologique'!$A$775=FE16,LEN(SUBSTITUTE((SUBSTITUTE(GD23,"TF","")),"TM",""))*10/2,0),IF('Eval-Après action écologique'!$A$776=FE16,LEN(SUBSTITUTE((SUBSTITUTE(GD24,"TF","")),"TM",""))*10/2,0),IF('Eval-Après action écologique'!$A$777=FE16,LEN(SUBSTITUTE((SUBSTITUTE(GD25,"TF","")),"TM",""))*10/2,0),IF('Eval-Après action écologique'!$A$778=FE16,LEN(SUBSTITUTE((SUBSTITUTE(GD26,"TF","")),"TM",""))*10/2,0),IF('Eval-Après action écologique'!$A$779=FE16,LEN(SUBSTITUTE((SUBSTITUTE(GD27,"TF","")),"TM",""))*10/2,0),IF('Eval-Après action écologique'!$A$780=FE16,LEN(SUBSTITUTE((SUBSTITUTE(GD28,"TF","")),"TM",""))*10/2,0))/COUNTIF('Eval-Après action écologique'!$A$761:$A$780,FE16),"")</f>
        <v/>
      </c>
      <c r="FR16" s="211" t="str">
        <f>IF(COUNTIF('Eval-Après action écologique'!$A$761:$A$780,FE16)&gt;0,SUM(IF('Eval-Après action écologique'!$A$761=FE16,LEN(SUBSTITUTE((SUBSTITUTE(GE9,"TM","")),"TS",""))*10/2,0),IF('Eval-Après action écologique'!$A$762=FE16,LEN(SUBSTITUTE((SUBSTITUTE(GE10,"TM","")),"TS",""))*10/2,0),IF('Eval-Après action écologique'!$A$763=FE16,LEN(SUBSTITUTE((SUBSTITUTE(GE11,"TM","")),"TS",""))*10/2,0),IF('Eval-Après action écologique'!$A$764=FE16,LEN(SUBSTITUTE((SUBSTITUTE(GE12,"TM","")),"TS",""))*10/2,0),IF('Eval-Après action écologique'!$A$765=FE16,LEN(SUBSTITUTE((SUBSTITUTE(GE13,"TM","")),"TS",""))*10/2,0),IF('Eval-Après action écologique'!$A$766=FE16,LEN(SUBSTITUTE((SUBSTITUTE(GE14,"TM","")),"TS",""))*10/2,0),IF('Eval-Après action écologique'!$A$767=FE16,LEN(SUBSTITUTE((SUBSTITUTE(GE15,"TM","")),"TS",""))*10/2,0),IF('Eval-Après action écologique'!$A$768=FE16,LEN(SUBSTITUTE((SUBSTITUTE(GE16,"TM","")),"TS",""))*10/2,0),IF('Eval-Après action écologique'!$A$769=FE16,LEN(SUBSTITUTE((SUBSTITUTE(GE17,"TM","")),"TS",""))*10/2,0),IF('Eval-Après action écologique'!$A$770=FE16,LEN(SUBSTITUTE((SUBSTITUTE(GE18,"TM","")),"TS",""))*10/2,0),IF('Eval-Après action écologique'!$A$771=FE16,LEN(SUBSTITUTE((SUBSTITUTE(GE19,"TM","")),"TS",""))*10/2,0),IF('Eval-Après action écologique'!$A$772=FE16,LEN(SUBSTITUTE((SUBSTITUTE(GE20,"TM","")),"TS",""))*10/2,0),IF('Eval-Après action écologique'!$A$773=FE16,LEN(SUBSTITUTE((SUBSTITUTE(GE21,"TM","")),"TS",""))*10/2,0),IF('Eval-Après action écologique'!$A$774=FE16,LEN(SUBSTITUTE((SUBSTITUTE(GE22,"TM","")),"TS",""))*10/2,0),IF('Eval-Après action écologique'!$A$775=FE16,LEN(SUBSTITUTE((SUBSTITUTE(GE23,"TM","")),"TS",""))*10/2,0),IF('Eval-Après action écologique'!$A$776=FE16,LEN(SUBSTITUTE((SUBSTITUTE(GE24,"TM","")),"TS",""))*10/2,0),IF('Eval-Après action écologique'!$A$777=FE16,LEN(SUBSTITUTE((SUBSTITUTE(GE25,"TM","")),"TS",""))*10/2,0),IF('Eval-Après action écologique'!$A$778=FE16,LEN(SUBSTITUTE((SUBSTITUTE(GE26,"TM","")),"TS",""))*10/2,0),IF('Eval-Après action écologique'!$A$779=FE16,LEN(SUBSTITUTE((SUBSTITUTE(GE27,"TM","")),"TS",""))*10/2,0),IF('Eval-Après action écologique'!$A$780=FE16,LEN(SUBSTITUTE((SUBSTITUTE(GE28,"TM","")),"TS",""))*10/2,0))/COUNTIF('Eval-Après action écologique'!$A$761:$A$780,FE16),"")</f>
        <v/>
      </c>
      <c r="FS16" s="211" t="str">
        <f>IF(COUNTIF('Eval-Après action écologique'!$A$761:$A$780,FE16)&gt;0,SUM(IF('Eval-Après action écologique'!$A$761=FE16,LEN(SUBSTITUTE((SUBSTITUTE(GE9,"TF","")),"TS",""))*10/2,0),IF('Eval-Après action écologique'!$A$762=FE16,LEN(SUBSTITUTE((SUBSTITUTE(GE10,"TF","")),"TS",""))*10/2,0),IF('Eval-Après action écologique'!$A$763=FE16,LEN(SUBSTITUTE((SUBSTITUTE(GE11,"TF","")),"TS",""))*10/2,0),IF('Eval-Après action écologique'!$A$764=FE16,LEN(SUBSTITUTE((SUBSTITUTE(GE12,"TF","")),"TS",""))*10/2,0),IF('Eval-Après action écologique'!$A$765=FE16,LEN(SUBSTITUTE((SUBSTITUTE(GE13,"TF","")),"TS",""))*10/2,0),IF('Eval-Après action écologique'!$A$766=FE16,LEN(SUBSTITUTE((SUBSTITUTE(GE14,"TF","")),"TS",""))*10/2,0),IF('Eval-Après action écologique'!$A$767=FE16,LEN(SUBSTITUTE((SUBSTITUTE(GE15,"TF","")),"TS",""))*10/2,0),IF('Eval-Après action écologique'!$A$768=FE16,LEN(SUBSTITUTE((SUBSTITUTE(GE16,"TF","")),"TS",""))*10/2,0),IF('Eval-Après action écologique'!$A$769=FE16,LEN(SUBSTITUTE((SUBSTITUTE(GE17,"TF","")),"TS",""))*10/2,0),IF('Eval-Après action écologique'!$A$770=FE16,LEN(SUBSTITUTE((SUBSTITUTE(GE18,"TF","")),"TS",""))*10/2,0),IF('Eval-Après action écologique'!$A$771=FE16,LEN(SUBSTITUTE((SUBSTITUTE(GE19,"TF","")),"TS",""))*10/2,0),IF('Eval-Après action écologique'!$A$772=FE16,LEN(SUBSTITUTE((SUBSTITUTE(GE20,"TF","")),"TS",""))*10/2,0),IF('Eval-Après action écologique'!$A$773=FE16,LEN(SUBSTITUTE((SUBSTITUTE(GE21,"TF","")),"TS",""))*10/2,0),IF('Eval-Après action écologique'!$A$774=FE16,LEN(SUBSTITUTE((SUBSTITUTE(GE22,"TF","")),"TS",""))*10/2,0),IF('Eval-Après action écologique'!$A$775=FE16,LEN(SUBSTITUTE((SUBSTITUTE(GE23,"TF","")),"TS",""))*10/2,0),IF('Eval-Après action écologique'!$A$776=FE16,LEN(SUBSTITUTE((SUBSTITUTE(GE24,"TF","")),"TS",""))*10/2,0),IF('Eval-Après action écologique'!$A$777=FE16,LEN(SUBSTITUTE((SUBSTITUTE(GE25,"TF","")),"TS",""))*10/2,0),IF('Eval-Après action écologique'!$A$778=FE16,LEN(SUBSTITUTE((SUBSTITUTE(GE26,"TF","")),"TS",""))*10/2,0),IF('Eval-Après action écologique'!$A$779=FE16,LEN(SUBSTITUTE((SUBSTITUTE(GE27,"TF","")),"TS",""))*10/2,0),IF('Eval-Après action écologique'!$A$780=FE16,LEN(SUBSTITUTE((SUBSTITUTE(GE28,"TF","")),"TS",""))*10/2,0))/COUNTIF('Eval-Après action écologique'!$A$761:$A$780,FE16),"")</f>
        <v/>
      </c>
      <c r="FT16" s="211" t="str">
        <f>IF(COUNTIF('Eval-Après action écologique'!$A$761:$A$780,FE16)&gt;0,SUM(IF('Eval-Après action écologique'!$A$761=FE16,LEN(SUBSTITUTE((SUBSTITUTE(GE9,"TF","")),"TM",""))*10/2,0),IF('Eval-Après action écologique'!$A$762=FE16,LEN(SUBSTITUTE((SUBSTITUTE(GE10,"TF","")),"TM",""))*10/2,0),IF('Eval-Après action écologique'!$A$763=FE16,LEN(SUBSTITUTE((SUBSTITUTE(GE11,"TF","")),"TM",""))*10/2,0),IF('Eval-Après action écologique'!$A$764=FE16,LEN(SUBSTITUTE((SUBSTITUTE(GE12,"TF","")),"TM",""))*10/2,0),IF('Eval-Après action écologique'!$A$765=FE16,LEN(SUBSTITUTE((SUBSTITUTE(GE13,"TF","")),"TM",""))*10/2,0),IF('Eval-Après action écologique'!$A$766=FE16,LEN(SUBSTITUTE((SUBSTITUTE(GE14,"TF","")),"TM",""))*10/2,0),IF('Eval-Après action écologique'!$A$767=FE16,LEN(SUBSTITUTE((SUBSTITUTE(GE15,"TF","")),"TM",""))*10/2,0),IF('Eval-Après action écologique'!$A$768=FE16,LEN(SUBSTITUTE((SUBSTITUTE(GE16,"TF","")),"TM",""))*10/2,0),IF('Eval-Après action écologique'!$A$769=FE16,LEN(SUBSTITUTE((SUBSTITUTE(GE17,"TF","")),"TM",""))*10/2,0),IF('Eval-Après action écologique'!$A$770=FE16,LEN(SUBSTITUTE((SUBSTITUTE(GE18,"TF","")),"TM",""))*10/2,0),IF('Eval-Après action écologique'!$A$771=FE16,LEN(SUBSTITUTE((SUBSTITUTE(GE19,"TF","")),"TM",""))*10/2,0),IF('Eval-Après action écologique'!$A$772=FE16,LEN(SUBSTITUTE((SUBSTITUTE(GE20,"TF","")),"TM",""))*10/2,0),IF('Eval-Après action écologique'!$A$773=FE16,LEN(SUBSTITUTE((SUBSTITUTE(GE21,"TF","")),"TM",""))*10/2,0),IF('Eval-Après action écologique'!$A$774=FE16,LEN(SUBSTITUTE((SUBSTITUTE(GE22,"TF","")),"TM",""))*10/2,0),IF('Eval-Après action écologique'!$A$775=FE16,LEN(SUBSTITUTE((SUBSTITUTE(GE23,"TF","")),"TM",""))*10/2,0),IF('Eval-Après action écologique'!$A$776=FE16,LEN(SUBSTITUTE((SUBSTITUTE(GE24,"TF","")),"TM",""))*10/2,0),IF('Eval-Après action écologique'!$A$777=FE16,LEN(SUBSTITUTE((SUBSTITUTE(GE25,"TF","")),"TM",""))*10/2,0),IF('Eval-Après action écologique'!$A$778=FE16,LEN(SUBSTITUTE((SUBSTITUTE(GE26,"TF","")),"TM",""))*10/2,0),IF('Eval-Après action écologique'!$A$779=FE16,LEN(SUBSTITUTE((SUBSTITUTE(GE27,"TF","")),"TM",""))*10/2,0),IF('Eval-Après action écologique'!$A$780=FE16,LEN(SUBSTITUTE((SUBSTITUTE(GE28,"TF","")),"TM",""))*10/2,0))/COUNTIF('Eval-Après action écologique'!$A$761:$A$780,FE16),"")</f>
        <v/>
      </c>
      <c r="FU16" s="211" t="str">
        <f>IF(COUNTIF('Eval-Après action écologique'!$A$761:$A$780,FE16)&gt;0,IF(OR(AND('Eval-Après action écologique'!$A$761=FE16,GB9&lt;30),AND('Eval-Après action écologique'!$A$762=FE16,GB10&lt;30),AND('Eval-Après action écologique'!$A$763=FE16,GB11&lt;30),AND('Eval-Après action écologique'!$A$764=FE16,GB12&lt;30),AND('Eval-Après action écologique'!$A$765=FE16,GB13&lt;30),AND('Eval-Après action écologique'!$A$766=FE16,GB14&lt;30),AND('Eval-Après action écologique'!$A$767=FE16,GB15&lt;30),AND('Eval-Après action écologique'!$A$768=FE16,GB16&lt;30),AND('Eval-Après action écologique'!$A$769=FE16,GB17&lt;30),AND('Eval-Après action écologique'!$A$770=FE16,GB18&lt;30),AND('Eval-Après action écologique'!$A$771=FE16,GB19&lt;30),AND('Eval-Après action écologique'!$A$772=FE16,GB20&lt;30),AND('Eval-Après action écologique'!$A$773=FE16,GB21&lt;30),AND('Eval-Après action écologique'!$A$774=FE16,GB22&lt;30),AND('Eval-Après action écologique'!$A$775=FE16,GB23&lt;30),AND('Eval-Après action écologique'!$A$776=FE16,GB24&lt;30),AND('Eval-Après action écologique'!$A$777=FE16,GB25&lt;30),AND('Eval-Après action écologique'!$A$778=FE16,GB26&lt;30),AND('Eval-Après action écologique'!$A$779=FE16,GB27&lt;30),AND('Eval-Après action écologique'!$A$780=FE16,GB28&lt;30)),"",SUM(0.1*(SUMPRODUCT(('Eval-Après action écologique'!$A$761:$A$780=FE16)*('Eval-Après action écologique'!$N$761:$P$780="A"))+ SUMPRODUCT(('Eval-Après action écologique'!$A$761:$A$780=FE16)*('Eval-Après action écologique'!$N$761:$P$780="AL"))),0.7*(SUMPRODUCT(('Eval-Après action écologique'!$A$761:$A$780=FE16)*('Eval-Après action écologique'!$N$761:$P$780="TF"))+SUMPRODUCT(('Eval-Après action écologique'!$A$761:$A$780=FE16)*('Eval-Après action écologique'!$N$761:$P$780="TM"))+SUMPRODUCT(('Eval-Après action écologique'!$A$761:$A$780=FE16)*('Eval-Après action écologique'!$N$761:$P$780="TS"))),0.4*(SUMPRODUCT(('Eval-Après action écologique'!$A$761:$A$780=FE16)*('Eval-Après action écologique'!$N$761:$P$780="LA"))+SUMPRODUCT(('Eval-Après action écologique'!$A$761:$A$780=FE16)*('Eval-Après action écologique'!$N$761:$P$780="L"))+SUMPRODUCT(('Eval-Après action écologique'!$A$761:$A$780=FE16)*('Eval-Après action écologique'!$N$761:$P$780="LS"))),1*(SUMPRODUCT(('Eval-Après action écologique'!$A$761:$A$780=FE16)*('Eval-Après action écologique'!$N$761:$P$780="SL"))+ SUMPRODUCT(('Eval-Après action écologique'!$A$761:$A$780=FE16)*('Eval-Après action écologique'!$N$761:$P$780="S"))))/(3*COUNTIF('Eval-Après action écologique'!$A$761:$A$780,FE16))),"")</f>
        <v/>
      </c>
      <c r="FV16" s="211" t="str">
        <f>IF(COUNTIF('Eval-Après action écologique'!$A$761:$A$780,FE16)&gt;0,IF(OR(AND('Eval-Après action écologique'!$A$761=FE16,GB9&lt;120),AND('Eval-Après action écologique'!$A$762=FE16,GB10&lt;120),AND('Eval-Après action écologique'!$A$763=FE16,GB11&lt;120),AND('Eval-Après action écologique'!$A$764=FE16,GB12&lt;120),AND('Eval-Après action écologique'!$A$765=FE16,GB13&lt;120),AND('Eval-Après action écologique'!$A$766=FE16,GB14&lt;120),AND('Eval-Après action écologique'!$A$767=FE16,GB15&lt;120),AND('Eval-Après action écologique'!$A$768=FE16,GB16&lt;120),AND('Eval-Après action écologique'!$A$769=FE16,GB17&lt;120),AND('Eval-Après action écologique'!$A$770=FE16,GB18&lt;120),AND('Eval-Après action écologique'!$A$771=FE16,GB19&lt;120),AND('Eval-Après action écologique'!$A$772=FE16,GB20&lt;120),AND('Eval-Après action écologique'!$A$773=FE16,GB21&lt;120),AND('Eval-Après action écologique'!$A$774=FE16,GB22&lt;120),AND('Eval-Après action écologique'!$A$775=FE16,GB23&lt;120),AND('Eval-Après action écologique'!$A$776=FE16,GB24&lt;120),AND('Eval-Après action écologique'!$A$777=FE16,GB25&lt;120),AND('Eval-Après action écologique'!$A$778=FE16,GB26&lt;120),AND('Eval-Après action écologique'!$A$779=FE16,GB27&lt;120),AND('Eval-Après action écologique'!$A$780=FE16,GB28&lt;120)),"",SUM(0.1*(SUMPRODUCT(('Eval-Après action écologique'!$A$761:$A$780=FE16)*('Eval-Après action écologique'!$Q$761:$Y$780="A"))+ SUMPRODUCT(('Eval-Après action écologique'!$A$761:$A$780=FE16)*('Eval-Après action écologique'!$Q$761:$Y$780="AL"))),0.7*(SUMPRODUCT(('Eval-Après action écologique'!$A$761:$A$780=FE16)*('Eval-Après action écologique'!$Q$761:$Y$780="TF"))+SUMPRODUCT(('Eval-Après action écologique'!$A$761:$A$780=FE16)*('Eval-Après action écologique'!$Q$761:$Y$780="TM"))+SUMPRODUCT(('Eval-Après action écologique'!$A$761:$A$780=FE16)*('Eval-Après action écologique'!$Q$761:$Y$780="TS"))),0.4*(SUMPRODUCT(('Eval-Après action écologique'!$A$761:$A$780=FE16)*('Eval-Après action écologique'!$Q$761:$Y$780="LA"))+SUMPRODUCT(('Eval-Après action écologique'!$A$761:$A$780=FE16)*('Eval-Après action écologique'!$Q$761:$Y$780="L"))+SUMPRODUCT(('Eval-Après action écologique'!$A$761:$A$780=FE16)*('Eval-Après action écologique'!$Q$761:$Y$780="LS"))),1*(SUMPRODUCT(('Eval-Après action écologique'!$A$761:$A$780=FE16)*('Eval-Après action écologique'!$Q$761:$Y$780="SL"))+ SUMPRODUCT(('Eval-Après action écologique'!$A$761:$A$780=FE16)*('Eval-Après action écologique'!$Q$761:$Y$780="S"))))/(9*COUNTIF('Eval-Après action écologique'!$A$761:$A$780,FE16))),"")</f>
        <v/>
      </c>
      <c r="FW16" s="211" t="str">
        <f>IF(COUNTIF('Eval-Après action écologique'!$A$761:$A$780,FE16)&gt;0,IF(OR(AND('Eval-Après action écologique'!$A$761=FE16,OR(COUNTIF('Eval-Après action écologique'!$N$761:$P$761,"*T*")&gt;0,GB9&lt;30)),AND('Eval-Après action écologique'!$A$762=FE16,OR(COUNTIF('Eval-Après action écologique'!$N$762:$P$762,"*T*")&gt;0,GB10&lt;30)),AND('Eval-Après action écologique'!$A$763=FE16,OR(COUNTIF('Eval-Après action écologique'!$N$763:$P$763,"*T*")&gt;0,GB11&lt;30)),AND('Eval-Après action écologique'!$A$764=FE16,OR(COUNTIF('Eval-Après action écologique'!$N$764:$P$764,"*T*")&gt;0,GB12&lt;30)),AND('Eval-Après action écologique'!$A$765=FE16,OR(COUNTIF('Eval-Après action écologique'!$N$765:$P$765,"*T*")&gt;0,GB13&lt;30)),AND('Eval-Après action écologique'!$A$766=FE16,OR(COUNTIF('Eval-Après action écologique'!$N$766:$P$766,"*T*")&gt;0,GB14&lt;30)),AND('Eval-Après action écologique'!$A$767=FE16,OR(COUNTIF('Eval-Après action écologique'!$N$767:$P$767,"*T*")&gt;0,GB15&lt;30)),AND('Eval-Après action écologique'!$A$768=FE16,OR(COUNTIF('Eval-Après action écologique'!$N$768:$P$768,"*T*")&gt;0,GB16&lt;30)),AND('Eval-Après action écologique'!$A$769=FE16,OR(COUNTIF('Eval-Après action écologique'!$N$769:$P$769,"*T*")&gt;0,GB17&lt;30)),AND('Eval-Après action écologique'!$A$770=FE16,OR(COUNTIF('Eval-Après action écologique'!$N$770:$P$770,"*T*")&gt;0,GB18&lt;30)),AND('Eval-Après action écologique'!$A$771=FE16,OR(COUNTIF('Eval-Après action écologique'!$N$771:$P$771,"*T*")&gt;0,GB19&lt;30)),AND('Eval-Après action écologique'!$A$772=FE16,OR(COUNTIF('Eval-Après action écologique'!$N$772:$P$772,"*T*")&gt;0,GB20&lt;30)),AND('Eval-Après action écologique'!$A$773=FE16,OR(COUNTIF('Eval-Après action écologique'!$N$773:$P$773,"*T*")&gt;0,GB21&lt;30)),AND('Eval-Après action écologique'!$A$774=FE16,OR(COUNTIF('Eval-Après action écologique'!$N$774:$P$774,"*T*")&gt;0,GB22&lt;30)),AND('Eval-Après action écologique'!$A$775=FE16,OR(COUNTIF('Eval-Après action écologique'!$N$775:$P$775,"*T*")&gt;0,GB23&lt;30)),AND('Eval-Après action écologique'!$A$776=FE16,OR(COUNTIF('Eval-Après action écologique'!$N$776:$P$776,"*T*")&gt;0,GB24&lt;30)),AND('Eval-Après action écologique'!$A$777=FE16,OR(COUNTIF('Eval-Après action écologique'!$N$777:$P$777,"*T*")&gt;0,GB25&lt;30)),AND('Eval-Après action écologique'!$A$778=FE16,OR(COUNTIF('Eval-Après action écologique'!$N$778:$P$778,"*T*")&gt;0,GB26&lt;30)),AND('Eval-Après action écologique'!$A$779=FE16,OR(COUNTIF('Eval-Après action écologique'!$N$779:$P$779,"*T*")&gt;0,GB27&lt;30)),AND('Eval-Après action écologique'!$A$780=FE16,OR(COUNTIF('Eval-Après action écologique'!$N$780:$P$780,"*T*")&gt;0,GB28&lt;30))),"",SUM(0.1*(SUMPRODUCT(('Eval-Après action écologique'!$A$761:$A$780=FE16)*('Eval-Après action écologique'!$N$761:$P$780="L"))),0.4*(SUMPRODUCT(('Eval-Après action écologique'!$A$761:$A$780=FE16)*('Eval-Après action écologique'!$N$761:$P$780="LA"))+SUMPRODUCT(('Eval-Après action écologique'!$A$761:$A$780=FE16)*('Eval-Après action écologique'!$N$761:$P$780="LS"))),0.7*(SUMPRODUCT(('Eval-Après action écologique'!$A$761:$A$780=FE16)*('Eval-Après action écologique'!$N$761:$P$780="AL"))+SUMPRODUCT(('Eval-Après action écologique'!$A$761:$A$780=FE16)*('Eval-Après action écologique'!$N$761:$P$780="SL"))),1*(SUMPRODUCT(('Eval-Après action écologique'!$A$761:$A$780=FE16)*('Eval-Après action écologique'!$N$761:$P$780="S"))+ SUMPRODUCT(('Eval-Après action écologique'!$A$761:$A$780=FE16)*('Eval-Après action écologique'!$N$761:$P$780="A"))))/(3*COUNTIF('Eval-Après action écologique'!$A$761:$A$780,FE16))),"")</f>
        <v/>
      </c>
      <c r="FX16" s="211" t="str">
        <f>IF(COUNTIF('Eval-Après action écologique'!$A$761:$A$780,FE16)&gt;0,IF(OR(AND('Eval-Après action écologique'!$A$761=FE16,OR(COUNTIF('Eval-Après action écologique'!$N$761:$P$761,"*T*")&gt;0,GB9&lt;30)),AND('Eval-Après action écologique'!$A$762=FE16,OR(COUNTIF('Eval-Après action écologique'!$N$762:$P$762,"*T*")&gt;0,GB10&lt;30)),AND('Eval-Après action écologique'!$A$763=FE16,OR(COUNTIF('Eval-Après action écologique'!$N$763:$P$763,"*T*")&gt;0,GB11&lt;30)),AND('Eval-Après action écologique'!$A$764=FE16,OR(COUNTIF('Eval-Après action écologique'!$N$764:$P$764,"*T*")&gt;0,GB12&lt;30)),AND('Eval-Après action écologique'!$A$765=FE16,OR(COUNTIF('Eval-Après action écologique'!$N$765:$P$765,"*T*")&gt;0,GB13&lt;30)),AND('Eval-Après action écologique'!$A$766=FE16,OR(COUNTIF('Eval-Après action écologique'!$N$766:$P$766,"*T*")&gt;0,GB14&lt;30)),AND('Eval-Après action écologique'!$A$767=FE16,OR(COUNTIF('Eval-Après action écologique'!$N$767:$P$767,"*T*")&gt;0,GB15&lt;30)),AND('Eval-Après action écologique'!$A$768=FE16,OR(COUNTIF('Eval-Après action écologique'!$N$768:$P$768,"*T*")&gt;0,GB16&lt;30)),AND('Eval-Après action écologique'!$A$769=FE16,OR(COUNTIF('Eval-Après action écologique'!$N$769:$P$769,"*T*")&gt;0,GB17&lt;30)),AND('Eval-Après action écologique'!$A$770=FE16,OR(COUNTIF('Eval-Après action écologique'!$N$770:$P$770,"*T*")&gt;0,GB18&lt;30)),AND('Eval-Après action écologique'!$A$771=FE16,OR(COUNTIF('Eval-Après action écologique'!$N$771:$P$771,"*T*")&gt;0,GB19&lt;30)),AND('Eval-Après action écologique'!$A$772=FE16,OR(COUNTIF('Eval-Après action écologique'!$N$772:$P$772,"*T*")&gt;0,GB20&lt;30)),AND('Eval-Après action écologique'!$A$773=FE16,OR(COUNTIF('Eval-Après action écologique'!$N$773:$P$773,"*T*")&gt;0,GB21&lt;30)),AND('Eval-Après action écologique'!$A$774=FE16,OR(COUNTIF('Eval-Après action écologique'!$N$774:$P$774,"*T*")&gt;0,GB22&lt;30)),AND('Eval-Après action écologique'!$A$775=FE16,OR(COUNTIF('Eval-Après action écologique'!$N$775:$P$775,"*T*")&gt;0,GB23&lt;30)),AND('Eval-Après action écologique'!$A$776=FE16,OR(COUNTIF('Eval-Après action écologique'!$N$776:$P$776,"*T*")&gt;0,GB24&lt;30)),AND('Eval-Après action écologique'!$A$777=FE16,OR(COUNTIF('Eval-Après action écologique'!$N$777:$P$777,"*T*")&gt;0,GB25&lt;30)),AND('Eval-Après action écologique'!$A$778=FE16,OR(COUNTIF('Eval-Après action écologique'!$N$778:$P$778,"*T*")&gt;0,GB26&lt;30)),AND('Eval-Après action écologique'!$A$779=FE16,OR(COUNTIF('Eval-Après action écologique'!$N$779:$P$779,"*T*")&gt;0,GB27&lt;30)),AND('Eval-Après action écologique'!$A$780=FE16,OR(COUNTIF('Eval-Après action écologique'!$N$780:$P$780,"*T*")&gt;0,GB28&lt;30))),"",SUM(1*(SUMPRODUCT(('Eval-Après action écologique'!$A$761:$A$780=FE16)*('Eval-Après action écologique'!$N$761:$P$780="A"))),0.85*(SUMPRODUCT(('Eval-Après action écologique'!$A$761:$A$780=FE16)*('Eval-Après action écologique'!$N$761:$P$780="AL"))),0.7*(SUMPRODUCT(('Eval-Après action écologique'!$A$761:$A$780=FE16)*('Eval-Après action écologique'!$N$761:$P$780="LA"))),0.55*(SUMPRODUCT(('Eval-Après action écologique'!$A$761:$A$780=FE16)*('Eval-Après action écologique'!$N$761:$P$780="L"))),0.4*(SUMPRODUCT(('Eval-Après action écologique'!$A$761:$A$780=FE16)*('Eval-Après action écologique'!$N$761:$P$780="LS"))),0.25*(SUMPRODUCT(('Eval-Après action écologique'!$A$761:$A$780=FE16)*('Eval-Après action écologique'!$N$761:$P$780="SL"))),0.1*(SUMPRODUCT(('Eval-Après action écologique'!$A$761:$A$780=FE16)*('Eval-Après action écologique'!$N$761:$P$780="S"))))/(3*COUNTIF('Eval-Après action écologique'!$A$761:$A$780,FE16))),"")</f>
        <v/>
      </c>
      <c r="FY16" s="214" t="str">
        <f>IF(COUNTIF('Eval-Après action écologique'!$A$761:$A$780,FE16)&gt;0,IF(OR(AND('Eval-Après action écologique'!$A$761=FE16,OR(COUNTIF('Eval-Après action écologique'!$Q$761:$Y$761,"*T*")&gt;0,GB9&lt;120)),AND('Eval-Après action écologique'!$A$762=FE16,OR(COUNTIF('Eval-Après action écologique'!$Q$762:$Y$762,"*T*")&gt;0,GB10&lt;120)),AND('Eval-Après action écologique'!$A$763=FE16,OR(COUNTIF('Eval-Après action écologique'!$Q$763:$Y$763,"*T*")&gt;0,GB11&lt;120)),AND('Eval-Après action écologique'!$A$764=FE16,OR(COUNTIF('Eval-Après action écologique'!$Q$764:$Y$764,"*T*")&gt;0,GB12&lt;120)),AND('Eval-Après action écologique'!$A$765=FE16,OR(COUNTIF('Eval-Après action écologique'!$Q$765:$Y$765,"*T*")&gt;0,GB13&lt;120)),AND('Eval-Après action écologique'!$A$766=FE16,OR(COUNTIF('Eval-Après action écologique'!$Q$766:$Y$766,"*T*")&gt;0,GB14&lt;120)),AND('Eval-Après action écologique'!$A$767=FE16,OR(COUNTIF('Eval-Après action écologique'!$Q$767:$Y$767,"*T*")&gt;0,GB15&lt;120)),AND('Eval-Après action écologique'!$A$768=FE16,OR(COUNTIF('Eval-Après action écologique'!$Q$768:$Y$768,"*T*")&gt;0,GB16&lt;120)),AND('Eval-Après action écologique'!$A$769=FE16,OR(COUNTIF('Eval-Après action écologique'!$Q$769:$Y$769,"*T*")&gt;0,GB17&lt;120)),AND('Eval-Après action écologique'!$A$770=FE16,OR(COUNTIF('Eval-Après action écologique'!$Q$770:$Y$770,"*T*")&gt;0,GB18&lt;120)),AND('Eval-Après action écologique'!$A$771=FE16,OR(COUNTIF('Eval-Après action écologique'!$Q$771:$Y$771,"*T*")&gt;0,GB19&lt;120)),AND('Eval-Après action écologique'!$A$772=FE16,OR(COUNTIF('Eval-Après action écologique'!$Q$772:$Y$772,"*T*")&gt;0,GB20&lt;120)),AND('Eval-Après action écologique'!$A$773=FE16,OR(COUNTIF('Eval-Après action écologique'!$Q$773:$Y$773,"*T*")&gt;0,GB21&lt;120)),AND('Eval-Après action écologique'!$A$774=FE16,OR(COUNTIF('Eval-Après action écologique'!$Q$774:$Y$774,"*T*")&gt;0,GB22&lt;120)),AND('Eval-Après action écologique'!$A$775=FE16,OR(COUNTIF('Eval-Après action écologique'!$Q$775:$Y$775,"*T*")&gt;0,GB23&lt;120)),AND('Eval-Après action écologique'!$A$776=FE16,OR(COUNTIF('Eval-Après action écologique'!$Q$776:$Y$776,"*T*")&gt;0,GB24&lt;120)),AND('Eval-Après action écologique'!$A$777=FE16,OR(COUNTIF('Eval-Après action écologique'!$Q$777:$Y$777,"*T*")&gt;0,GB25&lt;120)),AND('Eval-Après action écologique'!$A$778=FE16,OR(COUNTIF('Eval-Après action écologique'!$Q$778:$Y$778,"*T*")&gt;0,GB26&lt;120)),AND('Eval-Après action écologique'!$A$779=FE16,OR(COUNTIF('Eval-Après action écologique'!$Q$779:$Y$779,"*T*")&gt;0,GB27&lt;120)),AND('Eval-Après action écologique'!$A$780=FE16,OR(COUNTIF('Eval-Après action écologique'!$Q$780:$Y$780,"*T*")&gt;0,GB28&lt;120))),"",SUM(1*(SUMPRODUCT(('Eval-Après action écologique'!$A$761:$A$780=FE16)*('Eval-Après action écologique'!$Q$761:$Y$780="A"))),0.85*(SUMPRODUCT(('Eval-Après action écologique'!$A$761:$A$780=FE16)*('Eval-Après action écologique'!$Q$761:$Y$780="AL"))),0.7*(SUMPRODUCT(('Eval-Après action écologique'!$A$761:$A$780=FE16)*('Eval-Après action écologique'!$Q$761:$Y$780="LA"))),0.55*(SUMPRODUCT(('Eval-Après action écologique'!$A$761:$A$780=FE16)*('Eval-Après action écologique'!$Q$761:$Y$780="L"))),0.4*(SUMPRODUCT(('Eval-Après action écologique'!$A$761:$A$780=FE16)*('Eval-Après action écologique'!$Q$761:$Y$780="LS"))),0.25*(SUMPRODUCT(('Eval-Après action écologique'!$A$761:$A$780=FE16)*('Eval-Après action écologique'!$Q$761:$Y$780="SL"))),0.1*(SUMPRODUCT(('Eval-Après action écologique'!$A$761:$A$780=FE16)*('Eval-Après action écologique'!$Q$761:$Y$780="S"))))/(9*COUNTIF('Eval-Après action écologique'!$A$761:$A$780,FE16))),"")</f>
        <v/>
      </c>
      <c r="FZ16" s="215"/>
      <c r="GA16" s="216">
        <f>'Eval-Après action écologique'!$D$768</f>
        <v>8</v>
      </c>
      <c r="GB16" s="217" t="str">
        <f>IF(GC16="C",0,IF(IF(COUNTIF('Eval-Après action écologique'!$N$768:$Y$768,"=C")&gt;0,(COUNTA('Eval-Après action écologique'!$N$768:$Y$768)-1)*10,COUNTA('Eval-Après action écologique'!$N$768:$Y$768)*10)=0,"",IF(COUNTIF('Eval-Après action écologique'!$N$768:$Y$768,"=C")&gt;0,(COUNTA('Eval-Après action écologique'!$N$768:$Y$768)-1)*10,COUNTA('Eval-Après action écologique'!$N$768:$Y$768)*10)))</f>
        <v/>
      </c>
      <c r="GC16" s="217" t="str">
        <f>CONCATENATE('Eval-Après action écologique'!$N$768,'Eval-Après action écologique'!$O$768,'Eval-Après action écologique'!$P$768,'Eval-Après action écologique'!$Q$768,'Eval-Après action écologique'!$R$768,'Eval-Après action écologique'!$S$768,'Eval-Après action écologique'!$T$768,'Eval-Après action écologique'!$U$768,'Eval-Après action écologique'!$V$768,'Eval-Après action écologique'!$W$768,'Eval-Après action écologique'!$X$768,'Eval-Après action écologique'!$Y$768)</f>
        <v/>
      </c>
      <c r="GD16" s="217" t="str">
        <f t="shared" si="20"/>
        <v/>
      </c>
      <c r="GE16" s="217" t="str">
        <f t="shared" si="21"/>
        <v/>
      </c>
      <c r="GF16" s="217" t="str">
        <f>IF(COUNTIF('Eval-Après action écologique'!$N$768:$Y$768,"=C")&gt;0,"X","")</f>
        <v/>
      </c>
      <c r="GG16" s="217" t="str">
        <f t="shared" si="22"/>
        <v/>
      </c>
      <c r="GH16" s="218" t="str">
        <f t="shared" si="23"/>
        <v/>
      </c>
      <c r="GI16" s="197"/>
    </row>
    <row r="17" spans="1:191" ht="18" customHeight="1" x14ac:dyDescent="0.2">
      <c r="A17" s="210">
        <v>9</v>
      </c>
      <c r="B17" s="211" t="str">
        <f>IF(COUNTIF('Eval-Avant impact'!$A$761:$A$780,A17)&gt;0,SUM(IF('Eval-Avant impact'!$A$761=A17,'Eval-Avant impact'!$B$761,0),IF('Eval-Avant impact'!$A$762=A17, 'Eval-Avant impact'!$B$762,0),IF('Eval-Avant impact'!$A$763=A17, 'Eval-Avant impact'!$B$763,0),IF('Eval-Avant impact'!$A$764=A17, 'Eval-Avant impact'!$B$764,0),IF('Eval-Avant impact'!$A$765=A17, 'Eval-Avant impact'!$B$765,0),IF('Eval-Avant impact'!$A$766=A17, 'Eval-Avant impact'!$B$766,0),IF('Eval-Avant impact'!$A$767=A17, 'Eval-Avant impact'!$B$767,0),IF('Eval-Avant impact'!$A$768=A17, 'Eval-Avant impact'!$B$768,0),IF('Eval-Avant impact'!$A$769=A17, 'Eval-Avant impact'!$B$769,0),IF('Eval-Avant impact'!$A$770=A17, 'Eval-Avant impact'!$B$770,0),IF('Eval-Avant impact'!$A$771=A17, 'Eval-Avant impact'!$B$771,0),IF('Eval-Avant impact'!$A$772=A17, 'Eval-Avant impact'!$B$772,0),IF('Eval-Avant impact'!$A$773=A17, 'Eval-Avant impact'!$B$773,0),IF('Eval-Avant impact'!$A$774=A17, 'Eval-Avant impact'!$B$774,0),IF('Eval-Avant impact'!$A$775=A17, 'Eval-Avant impact'!$B$775,0),IF('Eval-Avant impact'!$A$776=A17, 'Eval-Avant impact'!$B$776,0),IF('Eval-Avant impact'!$A$777=A17, 'Eval-Avant impact'!$B$777,0),IF('Eval-Avant impact'!$A$778=A17, 'Eval-Avant impact'!$B$778,0),IF('Eval-Avant impact'!$A$779=A17, 'Eval-Avant impact'!$B$779,0),IF('Eval-Avant impact'!$A$780=A17, 'Eval-Avant impact'!$B$780,0))/COUNTIF('Eval-Avant impact'!$A$761:$A$780,A17),"")</f>
        <v/>
      </c>
      <c r="C17" s="212" t="str">
        <f>IF(COUNTIF('Eval-Avant impact'!$A$761:$A$780,A17)&gt;0,COUNTIF('Eval-Avant impact'!$A$761:$A$780,A17),"")</f>
        <v/>
      </c>
      <c r="D17" s="211" t="str">
        <f>IF(COUNTIF('Eval-Avant impact'!$A$761:$A$780,A17)&gt;0,IF(OR(AND('Eval-Avant impact'!$A$761=A17, 'Eval-Avant impact'!$G$761=""),AND('Eval-Avant impact'!$A$762=A17, 'Eval-Avant impact'!$G$762=""),AND('Eval-Avant impact'!$A$763=A17, 'Eval-Avant impact'!$G$763=""),AND('Eval-Avant impact'!$A$764=A17, 'Eval-Avant impact'!$G$764=""),AND('Eval-Avant impact'!$A$765=A17, 'Eval-Avant impact'!$G$765=""),AND('Eval-Avant impact'!$A$766=A17, 'Eval-Avant impact'!$G$766=""),AND('Eval-Avant impact'!$A$767=A17, 'Eval-Avant impact'!$G$767=""),AND('Eval-Avant impact'!$A$768=A17, 'Eval-Avant impact'!$G$768=""),AND('Eval-Avant impact'!$A$769=A17, 'Eval-Avant impact'!$G$769=""),AND('Eval-Avant impact'!$A$770=A17, 'Eval-Avant impact'!$G$770=""),AND('Eval-Avant impact'!$A$771=A17, 'Eval-Avant impact'!$G$771=""),AND('Eval-Avant impact'!$A$772=A17, 'Eval-Avant impact'!$G$772=""),AND('Eval-Avant impact'!$A$773=A17, 'Eval-Avant impact'!$G$773=""),AND('Eval-Avant impact'!$A$774=A17, 'Eval-Avant impact'!$G$774=""),AND('Eval-Avant impact'!$A$775=A17, 'Eval-Avant impact'!$G$775=""),AND('Eval-Avant impact'!$A$776=A17, 'Eval-Avant impact'!$G$776=""),AND('Eval-Avant impact'!$A$777=A17, 'Eval-Avant impact'!$G$777=""),AND('Eval-Avant impact'!$A$778=A17, 'Eval-Avant impact'!$G$778=""),AND('Eval-Avant impact'!$A$779=A17, 'Eval-Avant impact'!$G$779=""),AND('Eval-Avant impact'!$A$780=A17, 'Eval-Avant impact'!$G$780="")),"",SUM(IF('Eval-Avant impact'!$A$761=A17,'Eval-Avant impact'!$G$761,0),IF('Eval-Avant impact'!$A$762=A17,'Eval-Avant impact'!$G$762,0),IF('Eval-Avant impact'!$A$763=A17,'Eval-Avant impact'!$G$763,0),IF('Eval-Avant impact'!$A$764=A17,'Eval-Avant impact'!$G$764,0),IF('Eval-Avant impact'!$A$765=A17,'Eval-Avant impact'!$G$765,0),IF('Eval-Avant impact'!$A$766=A17,'Eval-Avant impact'!$G$766,0),IF('Eval-Avant impact'!$A$767=A17,'Eval-Avant impact'!$G$767,0),IF('Eval-Avant impact'!$A$768=A17,'Eval-Avant impact'!$G$768,0),IF('Eval-Avant impact'!$A$769=A17,'Eval-Avant impact'!$G$769,0),IF('Eval-Avant impact'!$A$770=A17,'Eval-Avant impact'!$G$770,0),IF('Eval-Avant impact'!$A$771=A17,'Eval-Avant impact'!$G$771,0),IF('Eval-Avant impact'!$A$772=A17,'Eval-Avant impact'!$G$772,0),IF('Eval-Avant impact'!$A$773=A17,'Eval-Avant impact'!$G$773,0),IF('Eval-Avant impact'!$A$774=A17,'Eval-Avant impact'!$G$774,0),IF('Eval-Avant impact'!$A$775=A17,'Eval-Avant impact'!$G$775,0), IF('Eval-Avant impact'!$A$776=A17,'Eval-Avant impact'!$G$776,0), IF('Eval-Avant impact'!$A$777=A17,'Eval-Avant impact'!$G$777,0), IF('Eval-Avant impact'!$A$778=A17,'Eval-Avant impact'!$G$778,0), IF('Eval-Avant impact'!$A$779=A17,'Eval-Avant impact'!$G$779,0), IF('Eval-Avant impact'!$A$780=A17,'Eval-Avant impact'!$G$780,0))/ COUNTIF('Eval-Avant impact'!$A$761:$A$780,A17)),"")</f>
        <v/>
      </c>
      <c r="E17" s="212" t="str">
        <f>IF(COUNTIF('Eval-Avant impact'!$A$761:$A$780,A17)&gt;0,IF(SUM(IF('Eval-Avant impact'!$A$761=A17,COUNTA('Eval-Avant impact'!$H$761),0),IF('Eval-Avant impact'!$A$762=A17,COUNTA('Eval-Avant impact'!$H$762),0),IF('Eval-Avant impact'!$A$763=A17,COUNTA('Eval-Avant impact'!$H$763),0),IF('Eval-Avant impact'!$A$764=A17,COUNTA('Eval-Avant impact'!$H$764),0),IF('Eval-Avant impact'!$A$765=A17,COUNTA('Eval-Avant impact'!$H$765),0),IF('Eval-Avant impact'!$A$766=A17,COUNTA('Eval-Avant impact'!$H$766),0),IF('Eval-Avant impact'!$A$767=A17,COUNTA('Eval-Avant impact'!$H$767),0),IF('Eval-Avant impact'!$A$768=A17,COUNTA('Eval-Avant impact'!$H$768),0),IF('Eval-Avant impact'!$A$769=A17,COUNTA('Eval-Avant impact'!$H$769),0),IF('Eval-Avant impact'!$A$770=A17,COUNTA('Eval-Avant impact'!$H$770),0),IF('Eval-Avant impact'!$A$771=A17,COUNTA('Eval-Avant impact'!$H$771),0),IF('Eval-Avant impact'!$A$772=A17,COUNTA('Eval-Avant impact'!$H$772),0),IF('Eval-Avant impact'!$A$773=A17,COUNTA('Eval-Avant impact'!$H$773),0),IF('Eval-Avant impact'!$A$774=A17,COUNTA('Eval-Avant impact'!$H$774),0),IF('Eval-Avant impact'!$A$775=A17,COUNTA('Eval-Avant impact'!$H$775),0),IF('Eval-Avant impact'!$A$776=A17,COUNTA('Eval-Avant impact'!$H$776),0),IF('Eval-Avant impact'!$A$777=A17,COUNTA('Eval-Avant impact'!$H$777),0),IF('Eval-Avant impact'!$A$778=A17,COUNTA('Eval-Avant impact'!$H$778),0),IF('Eval-Avant impact'!$A$779=A17,COUNTA('Eval-Avant impact'!$H$779),0),IF('Eval-Avant impact'!$A$780=A17,COUNTA('Eval-Avant impact'!$H$780),0))&gt;0,"X",0),"")</f>
        <v/>
      </c>
      <c r="F17" s="213" t="str">
        <f>IF(COUNTIF('Eval-Avant impact'!$A$761:$A$780,A17)&gt;0,IF(SUM(IF('Eval-Avant impact'!$A$761=A17,COUNTA('Eval-Avant impact'!$I$761),0),IF('Eval-Avant impact'!$A$762=A17,COUNTA('Eval-Avant impact'!$I$762),0),IF('Eval-Avant impact'!$A$763=A17,COUNTA('Eval-Avant impact'!$I$763),0),IF('Eval-Avant impact'!$A$764=A17,COUNTA('Eval-Avant impact'!$I$764),0),IF('Eval-Avant impact'!$A$765=A17,COUNTA('Eval-Avant impact'!$I$765),0),IF('Eval-Avant impact'!$A$766=A17,COUNTA('Eval-Avant impact'!$I$766),0),IF('Eval-Avant impact'!$A$767=A17,COUNTA('Eval-Avant impact'!$I$767),0),IF('Eval-Avant impact'!$A$768=A17,COUNTA('Eval-Avant impact'!$I$768),0),IF('Eval-Avant impact'!$A$769=A17,COUNTA('Eval-Avant impact'!$I$769),0),IF('Eval-Avant impact'!$A$770=A17,COUNTA('Eval-Avant impact'!$I$770),0),IF('Eval-Avant impact'!$A$771=A17,COUNTA('Eval-Avant impact'!$I$771),0),IF('Eval-Avant impact'!$A$772=A17,COUNTA('Eval-Avant impact'!$I$772),0),IF('Eval-Avant impact'!$A$773=A17,COUNTA('Eval-Avant impact'!$I$773),0),IF('Eval-Avant impact'!$A$774=A17,COUNTA('Eval-Avant impact'!$I$774),0),IF('Eval-Avant impact'!$A$775=A17,COUNTA('Eval-Avant impact'!$I$775),0),IF('Eval-Avant impact'!$A$776=A17,COUNTA('Eval-Avant impact'!$I$776),0),IF('Eval-Avant impact'!$A$777=A17,COUNTA('Eval-Avant impact'!$I$777),0),IF('Eval-Avant impact'!$A$778=A17,COUNTA('Eval-Avant impact'!$I$778),0),IF('Eval-Avant impact'!$A$779=A17,COUNTA('Eval-Avant impact'!$I$779),0),IF('Eval-Avant impact'!$A$780=A17,COUNTA('Eval-Avant impact'!$I$780),0))&gt;0,"X",0),"")</f>
        <v/>
      </c>
      <c r="G17" s="213" t="str">
        <f>IF(COUNTIF('Eval-Avant impact'!$A$761:$A$780,A17)&gt;0,IF(SUM(IF('Eval-Avant impact'!$A$761=A17,COUNTA('Eval-Avant impact'!$J$761),0),IF('Eval-Avant impact'!$A$762=A17,COUNTA('Eval-Avant impact'!$J$762),0),IF('Eval-Avant impact'!$A$763=A17,COUNTA('Eval-Avant impact'!$J$763),0),IF('Eval-Avant impact'!$A$764=A17,COUNTA('Eval-Avant impact'!$J$764),0),IF('Eval-Avant impact'!$A$765=A17,COUNTA('Eval-Avant impact'!$J$765),0),IF('Eval-Avant impact'!$A$766=A17,COUNTA('Eval-Avant impact'!$J$766),0),IF('Eval-Avant impact'!$A$767=A17,COUNTA('Eval-Avant impact'!$J$767),0),IF('Eval-Avant impact'!$A$768=A17,COUNTA('Eval-Avant impact'!$J$768),0),IF('Eval-Avant impact'!$A$769=A17,COUNTA('Eval-Avant impact'!$J$769),0),IF('Eval-Avant impact'!$A$770=A17,COUNTA('Eval-Avant impact'!$J$770),0),IF('Eval-Avant impact'!$A$771=A17,COUNTA('Eval-Avant impact'!$J$771),0),IF('Eval-Avant impact'!$A$772=A17,COUNTA('Eval-Avant impact'!$J$772),0),IF('Eval-Avant impact'!$A$773=A17,COUNTA('Eval-Avant impact'!$J$773),0),IF('Eval-Avant impact'!$A$774=A17,COUNTA('Eval-Avant impact'!$J$774),0),IF('Eval-Avant impact'!$A$775=A17,COUNTA('Eval-Avant impact'!$J$775),0),IF('Eval-Avant impact'!$A$776=A17,COUNTA('Eval-Avant impact'!$J$776),0),IF('Eval-Avant impact'!$A$777=A17,COUNTA('Eval-Avant impact'!$J$777),0),IF('Eval-Avant impact'!$A$778=A17,COUNTA('Eval-Avant impact'!$J$778),0),IF('Eval-Avant impact'!$A$779=A17,COUNTA('Eval-Avant impact'!$J$779),0),IF('Eval-Avant impact'!$A$780=A17,COUNTA('Eval-Avant impact'!$J$780),0))&gt;0,"X",0),"")</f>
        <v/>
      </c>
      <c r="H17" s="213" t="str">
        <f>IF(COUNTIF('Eval-Avant impact'!$A$761:$A$780,A17)&gt;0,IF(SUM(IF('Eval-Avant impact'!$A$761=A17,COUNTA('Eval-Avant impact'!$K$761),0),IF('Eval-Avant impact'!$A$762=A17,COUNTA('Eval-Avant impact'!$K$762),0),IF('Eval-Avant impact'!$A$763=A17,COUNTA('Eval-Avant impact'!$K$763),0),IF('Eval-Avant impact'!$A$764=A17,COUNTA('Eval-Avant impact'!$K$764),0),IF('Eval-Avant impact'!$A$765=A17,COUNTA('Eval-Avant impact'!$K$765),0),IF('Eval-Avant impact'!$A$766=A17,COUNTA('Eval-Avant impact'!$K$766),0),IF('Eval-Avant impact'!$A$767=A17,COUNTA('Eval-Avant impact'!$K$767),0),IF('Eval-Avant impact'!$A$768=A17,COUNTA('Eval-Avant impact'!$K$768),0),IF('Eval-Avant impact'!$A$769=A17,COUNTA('Eval-Avant impact'!$K$769),0),IF('Eval-Avant impact'!$A$770=A17,COUNTA('Eval-Avant impact'!$K$770),0),IF('Eval-Avant impact'!$A$771=A17,COUNTA('Eval-Avant impact'!$K$771),0),IF('Eval-Avant impact'!$A$772=A17,COUNTA('Eval-Avant impact'!$K$772),0),IF('Eval-Avant impact'!$A$773=A17,COUNTA('Eval-Avant impact'!$K$773),0),IF('Eval-Avant impact'!$A$774=A17,COUNTA('Eval-Avant impact'!$K$774),0),IF('Eval-Avant impact'!$A$775=A17,COUNTA('Eval-Avant impact'!$K$775),0),IF('Eval-Avant impact'!$A$776=A17,COUNTA('Eval-Avant impact'!$K$776),0),IF('Eval-Avant impact'!$A$777=A17,COUNTA('Eval-Avant impact'!$K$777),0),IF('Eval-Avant impact'!$A$778=A17,COUNTA('Eval-Avant impact'!$K$778),0),IF('Eval-Avant impact'!$A$779=A17,COUNTA('Eval-Avant impact'!$K$779),0),IF('Eval-Avant impact'!$A$780=A17,COUNTA('Eval-Avant impact'!$K$780),0))&gt;0,"X",0),"")</f>
        <v/>
      </c>
      <c r="I17" s="211" t="str">
        <f>IF(COUNTIF('Eval-Avant impact'!$A$761:$A$780,A17)&gt;0,IF(OR(AND('Eval-Avant impact'!$A$761=A17,'Eval-Avant impact'!$L$761&lt;120,'Eval-Avant impact'!$L$761&gt;=X9),AND('Eval-Avant impact'!$A$762=A17,'Eval-Avant impact'!$L$762&lt;120,'Eval-Avant impact'!$L$762&gt;=X10),AND('Eval-Avant impact'!$A$763=A17,'Eval-Avant impact'!$L$763&lt;120,'Eval-Avant impact'!$L$763&gt;=X11),AND('Eval-Avant impact'!$A$764=A17,'Eval-Avant impact'!$L$764&lt;120,'Eval-Avant impact'!$L$764&gt;=X12),AND('Eval-Avant impact'!$A$765=A17,'Eval-Avant impact'!$L$765&lt;120,'Eval-Avant impact'!$L$765&gt;=X13),AND('Eval-Avant impact'!$A$766=A17,'Eval-Avant impact'!$L$766&lt;120,'Eval-Avant impact'!$L$766&gt;=X14),AND('Eval-Avant impact'!$A$767=A17,'Eval-Avant impact'!$L$767&lt;120,'Eval-Avant impact'!$L$767&gt;=X15),AND('Eval-Avant impact'!$A$768=A17,'Eval-Avant impact'!$L$768&lt;120,'Eval-Avant impact'!$L$768&gt;=X16),AND('Eval-Avant impact'!$A$769=A17,'Eval-Avant impact'!$L$769&lt;120,'Eval-Avant impact'!$L$769&gt;=X17),AND('Eval-Avant impact'!$A$770=A17,'Eval-Avant impact'!$L$770&lt;120,'Eval-Avant impact'!$L$770&gt;=X18),AND('Eval-Avant impact'!$A$771=A17,'Eval-Avant impact'!$L$771&lt;120,'Eval-Avant impact'!$L$771&gt;=X19),AND('Eval-Avant impact'!$A$772=A17,'Eval-Avant impact'!$L$772&lt;120,'Eval-Avant impact'!$L$772&gt;=X20),AND('Eval-Avant impact'!$A$773=A17,'Eval-Avant impact'!$L$773&lt;120,'Eval-Avant impact'!$L$773&gt;=X21),AND('Eval-Avant impact'!$A$774=A17,'Eval-Avant impact'!$L$774&lt;120,'Eval-Avant impact'!$L$774&gt;=X22),AND('Eval-Avant impact'!$A$775=A17,'Eval-Avant impact'!$L$775&lt;120,'Eval-Avant impact'!$L$775&gt;=X23),AND('Eval-Avant impact'!$A$776=A17,'Eval-Avant impact'!$L$776&lt;120,'Eval-Avant impact'!$L$776&gt;=X24),AND('Eval-Avant impact'!$A$777=A17,'Eval-Avant impact'!$L$777&lt;120,'Eval-Avant impact'!$L$777&gt;=X25),AND('Eval-Avant impact'!$A$778=A17,'Eval-Avant impact'!$L$778&lt;120,'Eval-Avant impact'!$L$778&gt;=X26),AND('Eval-Avant impact'!$A$779=A17,'Eval-Avant impact'!$L$779&lt;120,'Eval-Avant impact'!$L$779&gt;=X27),AND('Eval-Avant impact'!$A$780=A17,'Eval-Avant impact'!$L$780&lt;120,'Eval-Avant impact'!$L$780&gt;=X28)),"",SUM(IF('Eval-Avant impact'!$A$761=A17,'Eval-Avant impact'!$L$761,0),IF('Eval-Avant impact'!$A$762=A17,'Eval-Avant impact'!$L$762,0),IF('Eval-Avant impact'!$A$763=A17,'Eval-Avant impact'!$L$763,0),IF('Eval-Avant impact'!$A$764=A17,'Eval-Avant impact'!$L$764,0),IF('Eval-Avant impact'!$A$765=A17,'Eval-Avant impact'!$L$765,0),IF('Eval-Avant impact'!$A$766=A17,'Eval-Avant impact'!$L$766,0),IF('Eval-Avant impact'!$A$767=A17,'Eval-Avant impact'!$L$767,0),IF('Eval-Avant impact'!$A$768=A17,'Eval-Avant impact'!$L$768,0),IF('Eval-Avant impact'!$A$769=A17,'Eval-Avant impact'!$L$769,0),IF('Eval-Avant impact'!$A$770=A17,'Eval-Avant impact'!$L$770,0),IF('Eval-Avant impact'!$A$771=A17,'Eval-Avant impact'!$L$771,0),IF('Eval-Avant impact'!$A$772=A17,'Eval-Avant impact'!$L$772,0),IF('Eval-Avant impact'!$A$773=A17,'Eval-Avant impact'!$L$773,0),IF('Eval-Avant impact'!$A$774=A17,'Eval-Avant impact'!$L$774,0),IF('Eval-Avant impact'!$A$775=A17,'Eval-Avant impact'!$L$775,0),IF('Eval-Avant impact'!$A$776=A17,'Eval-Avant impact'!$L$776,0),IF('Eval-Avant impact'!$A$777=A17,'Eval-Avant impact'!$L$777,0),IF('Eval-Avant impact'!$A$778=A17,'Eval-Avant impact'!$L$778,0),IF('Eval-Avant impact'!$A$779=A17,'Eval-Avant impact'!$L$779,0),IF('Eval-Avant impact'!$A$780=A17,'Eval-Avant impact'!$L$780,0))/ COUNTIF('Eval-Avant impact'!$A$761:$A$780,A17)),"")</f>
        <v/>
      </c>
      <c r="J17" s="211" t="str">
        <f>IF(COUNTIF('Eval-Avant impact'!$A$761:$A$780,A17)&gt;0,IF(OR(AND('Eval-Avant impact'!$A$761=A17, X9&lt;120),AND(X10&lt;120),AND(X11&lt;120),AND(X12&lt;120),AND(X13&lt;120),AND(X14&lt;120),AND(X15&lt;120),AND(X16&lt;120),AND(X17&lt;120),AND(X18&lt;120),AND(X19&lt;120),AND(X20&lt;120),AND(X21&lt;120),AND(X22&lt;120),AND(X23&lt;120),AND(X24&lt;120),AND(X25&lt;120),AND(X26&lt;120),AND(X27&lt;120),AND(X28&lt;120)),"",SUM(IF('Eval-Avant impact'!$A$761=A17,'Eval-Avant impact'!$M$761,0),IF('Eval-Avant impact'!$A$762=A17,'Eval-Avant impact'!$M$762,0),IF('Eval-Avant impact'!$A$763=A17,'Eval-Avant impact'!$M$763,0),IF('Eval-Avant impact'!$A$764=A17,'Eval-Avant impact'!$M$764,0),IF('Eval-Avant impact'!$A$765=A17,'Eval-Avant impact'!$M$765,0),IF('Eval-Avant impact'!$A$766=A17,'Eval-Avant impact'!$M$766,0),IF('Eval-Avant impact'!$A$767=A17,'Eval-Avant impact'!$M$767,0),IF('Eval-Avant impact'!$A$768=A17,'Eval-Avant impact'!$M$768,0),IF('Eval-Avant impact'!$A$769=A17,'Eval-Avant impact'!$M$769,0),IF('Eval-Avant impact'!$A$770=A17,'Eval-Avant impact'!$M$770,0),IF('Eval-Avant impact'!$A$771=A17,'Eval-Avant impact'!$M$771,0),IF('Eval-Avant impact'!$A$772=A17,'Eval-Avant impact'!$M$772,0),IF('Eval-Avant impact'!$A$773=A17,'Eval-Avant impact'!$M$773,0),IF('Eval-Avant impact'!$A$774=A17,'Eval-Avant impact'!$M$774,0),IF('Eval-Avant impact'!$A$775=A17,'Eval-Avant impact'!$M$775,0), IF('Eval-Avant impact'!$A$776=A17,'Eval-Avant impact'!$M$776,0), IF('Eval-Avant impact'!$A$777=A17,'Eval-Avant impact'!$M$777,0), IF('Eval-Avant impact'!$A$778=A17,'Eval-Avant impact'!$M$778,0), IF('Eval-Avant impact'!$A$779=A17,'Eval-Avant impact'!$M$779,0), IF('Eval-Avant impact'!$A$780=A17,'Eval-Avant impact'!$M$780,0))/COUNTIF('Eval-Avant impact'!$A$761:$A$780,A17)),"")</f>
        <v/>
      </c>
      <c r="K17" s="211" t="str">
        <f>IF(COUNTIF('Eval-Avant impact'!$A$761:$A$780,A17)&gt;0,SUM(IF('Eval-Avant impact'!$A$761=A17,LEN(SUBSTITUTE((SUBSTITUTE(Z9,"TM","")),"TS",""))*10/2,0),IF('Eval-Avant impact'!$A$762=A17,LEN(SUBSTITUTE((SUBSTITUTE(Z10,"TM","")),"TS",""))*10/2,0),IF('Eval-Avant impact'!$A$763=A17,LEN(SUBSTITUTE((SUBSTITUTE(Z11,"TM","")),"TS",""))*10/2,0),IF('Eval-Avant impact'!$A$764=A17,LEN(SUBSTITUTE((SUBSTITUTE(Z12,"TM","")),"TS",""))*10/2,0),IF('Eval-Avant impact'!$A$765=A17,LEN(SUBSTITUTE((SUBSTITUTE(Z13,"TM","")),"TS",""))*10/2,0),IF('Eval-Avant impact'!$A$766=A17,LEN(SUBSTITUTE((SUBSTITUTE(Z14,"TM","")),"TS",""))*10/2,0),IF('Eval-Avant impact'!$A$767=A17,LEN(SUBSTITUTE((SUBSTITUTE(Z15,"TM","")),"TS",""))*10/2,0),IF('Eval-Avant impact'!$A$768=A17,LEN(SUBSTITUTE((SUBSTITUTE(Z16,"TM","")),"TS",""))*10/2,0),IF('Eval-Avant impact'!$A$769=A17,LEN(SUBSTITUTE((SUBSTITUTE(Z17,"TM","")),"TS",""))*10/2,0),IF('Eval-Avant impact'!$A$770=A17,LEN(SUBSTITUTE((SUBSTITUTE(Z18,"TM","")),"TS",""))*10/2,0),IF('Eval-Avant impact'!$A$771=A17,LEN(SUBSTITUTE((SUBSTITUTE(Z19,"TM","")),"TS",""))*10/2,0),IF('Eval-Avant impact'!$A$772=A17,LEN(SUBSTITUTE((SUBSTITUTE(Z20,"TM","")),"TS",""))*10/2,0),IF('Eval-Avant impact'!$A$773=A17,LEN(SUBSTITUTE((SUBSTITUTE(Z21,"TM","")),"TS",""))*10/2,0),IF('Eval-Avant impact'!$A$774=A17,LEN(SUBSTITUTE((SUBSTITUTE(Z22,"TM","")),"TS",""))*10/2,0),IF('Eval-Avant impact'!$A$775=A17,LEN(SUBSTITUTE((SUBSTITUTE(Z23,"TM","")),"TS",""))*10/2,0),IF('Eval-Avant impact'!$A$776=A17,LEN(SUBSTITUTE((SUBSTITUTE(Z24,"TM","")),"TS",""))*10/2,0),IF('Eval-Avant impact'!$A$777=A17,LEN(SUBSTITUTE((SUBSTITUTE(Z25,"TM","")),"TS",""))*10/2,0),IF('Eval-Avant impact'!$A$778=A17,LEN(SUBSTITUTE((SUBSTITUTE(Z26,"TM","")),"TS",""))*10/2,0),IF('Eval-Avant impact'!$A$779=A17,LEN(SUBSTITUTE((SUBSTITUTE(Z27,"TM","")),"TS",""))*10/2,0),IF('Eval-Avant impact'!$A$780=A17,LEN(SUBSTITUTE((SUBSTITUTE(Z28,"TM","")),"TS",""))*10/2,0))/COUNTIF('Eval-Avant impact'!$A$761:$A$780,A17),"")</f>
        <v/>
      </c>
      <c r="L17" s="211" t="str">
        <f>IF(COUNTIF('Eval-Avant impact'!$A$761:$A$780,A17)&gt;0,SUM(IF('Eval-Avant impact'!$A$761=A17,LEN(SUBSTITUTE((SUBSTITUTE(Z9,"TF","")),"TS",""))*10/2,0),IF('Eval-Avant impact'!$A$762=A17,LEN(SUBSTITUTE((SUBSTITUTE(Z10,"TF","")),"TS",""))*10/2,0),IF('Eval-Avant impact'!$A$763=A17,LEN(SUBSTITUTE((SUBSTITUTE(Z11,"TF","")),"TS",""))*10/2,0),IF('Eval-Avant impact'!$A$764=A17,LEN(SUBSTITUTE((SUBSTITUTE(Z12,"TF","")),"TS",""))*10/2,0),IF('Eval-Avant impact'!$A$765=A17,LEN(SUBSTITUTE((SUBSTITUTE(Z13,"TF","")),"TS",""))*10/2,0),IF('Eval-Avant impact'!$A$766=A17,LEN(SUBSTITUTE((SUBSTITUTE(Z14,"TF","")),"TS",""))*10/2,0),IF('Eval-Avant impact'!$A$767=A17,LEN(SUBSTITUTE((SUBSTITUTE(Z15,"TF","")),"TS",""))*10/2,0),IF('Eval-Avant impact'!$A$768=A17,LEN(SUBSTITUTE((SUBSTITUTE(Z16,"TF","")),"TS",""))*10/2,0),IF('Eval-Avant impact'!$A$769=A17,LEN(SUBSTITUTE((SUBSTITUTE(Z17,"TF","")),"TS",""))*10/2,0),IF('Eval-Avant impact'!$A$770=A17,LEN(SUBSTITUTE((SUBSTITUTE(Z18,"TF","")),"TS",""))*10/2,0),IF('Eval-Avant impact'!$A$771=A17,LEN(SUBSTITUTE((SUBSTITUTE(Z19,"TF","")),"TS",""))*10/2,0),IF('Eval-Avant impact'!$A$772=A17,LEN(SUBSTITUTE((SUBSTITUTE(Z20,"TF","")),"TS",""))*10/2,0),IF('Eval-Avant impact'!$A$773=A17,LEN(SUBSTITUTE((SUBSTITUTE(Z21,"TF","")),"TS",""))*10/2,0),IF('Eval-Avant impact'!$A$774=A17,LEN(SUBSTITUTE((SUBSTITUTE(Z22,"TF","")),"TS",""))*10/2,0),IF('Eval-Avant impact'!$A$775=A17,LEN(SUBSTITUTE((SUBSTITUTE(Z23,"TF","")),"TS",""))*10/2,0),IF('Eval-Avant impact'!$A$776=A17,LEN(SUBSTITUTE((SUBSTITUTE(Z24,"TF","")),"TS",""))*10/2,0),IF('Eval-Avant impact'!$A$777=A17,LEN(SUBSTITUTE((SUBSTITUTE(Z25,"TF","")),"TS",""))*10/2,0),IF('Eval-Avant impact'!$A$778=A17,LEN(SUBSTITUTE((SUBSTITUTE(Z26,"TF","")),"TS",""))*10/2,0),IF('Eval-Avant impact'!$A$779=A17,LEN(SUBSTITUTE((SUBSTITUTE(Z27,"TF","")),"TS",""))*10/2,0),IF('Eval-Avant impact'!$A$780=A17,LEN(SUBSTITUTE((SUBSTITUTE(Z28,"TF","")),"TS",""))*10/2,0))/COUNTIF('Eval-Avant impact'!$A$761:$A$780,A17),"")</f>
        <v/>
      </c>
      <c r="M17" s="211" t="str">
        <f>IF(COUNTIF('Eval-Avant impact'!$A$761:$A$780,A17)&gt;0,SUM(IF('Eval-Avant impact'!$A$761=A17,LEN(SUBSTITUTE((SUBSTITUTE(Z9,"TF","")),"TM",""))*10/2,0),IF('Eval-Avant impact'!$A$762=A17,LEN(SUBSTITUTE((SUBSTITUTE(Z10,"TF","")),"TM",""))*10/2,0),IF('Eval-Avant impact'!$A$763=A17,LEN(SUBSTITUTE((SUBSTITUTE(Z11,"TF","")),"TM",""))*10/2,0),IF('Eval-Avant impact'!$A$764=A17,LEN(SUBSTITUTE((SUBSTITUTE(Z12,"TF","")),"TM",""))*10/2,0),IF('Eval-Avant impact'!$A$765=A17,LEN(SUBSTITUTE((SUBSTITUTE(Z13,"TF","")),"TM",""))*10/2,0),IF('Eval-Avant impact'!$A$766=A17,LEN(SUBSTITUTE((SUBSTITUTE(Z14,"TF","")),"TM",""))*10/2,0),IF('Eval-Avant impact'!$A$767=A17,LEN(SUBSTITUTE((SUBSTITUTE(Z15,"TF","")),"TM",""))*10/2,0),IF('Eval-Avant impact'!$A$768=A17,LEN(SUBSTITUTE((SUBSTITUTE(Z16,"TF","")),"TM",""))*10/2,0),IF('Eval-Avant impact'!$A$769=A17,LEN(SUBSTITUTE((SUBSTITUTE(Z17,"TF","")),"TM",""))*10/2,0),IF('Eval-Avant impact'!$A$770=A17,LEN(SUBSTITUTE((SUBSTITUTE(Z18,"TF","")),"TM",""))*10/2,0),IF('Eval-Avant impact'!$A$771=A17,LEN(SUBSTITUTE((SUBSTITUTE(Z19,"TF","")),"TM",""))*10/2,0),IF('Eval-Avant impact'!$A$772=A17,LEN(SUBSTITUTE((SUBSTITUTE(Z20,"TF","")),"TM",""))*10/2,0),IF('Eval-Avant impact'!$A$773=A17,LEN(SUBSTITUTE((SUBSTITUTE(Z21,"TF","")),"TM",""))*10/2,0),IF('Eval-Avant impact'!$A$774=A17,LEN(SUBSTITUTE((SUBSTITUTE(Z22,"TF","")),"TM",""))*10/2,0),IF('Eval-Avant impact'!$A$775=A17,LEN(SUBSTITUTE((SUBSTITUTE(Z23,"TF","")),"TM",""))*10/2,0),IF('Eval-Avant impact'!$A$776=A17,LEN(SUBSTITUTE((SUBSTITUTE(Z24,"TF","")),"TM",""))*10/2,0),IF('Eval-Avant impact'!$A$777=A17,LEN(SUBSTITUTE((SUBSTITUTE(Z25,"TF","")),"TM",""))*10/2,0),IF('Eval-Avant impact'!$A$778=A17,LEN(SUBSTITUTE((SUBSTITUTE(Z26,"TF","")),"TM",""))*10/2,0),IF('Eval-Avant impact'!$A$779=A17,LEN(SUBSTITUTE((SUBSTITUTE(Z27,"TF","")),"TM",""))*10/2,0),IF('Eval-Avant impact'!$A$780=A17,LEN(SUBSTITUTE((SUBSTITUTE(Z28,"TF","")),"TM",""))*10/2,0))/COUNTIF('Eval-Avant impact'!$A$761:$A$780,A17),"")</f>
        <v/>
      </c>
      <c r="N17" s="211" t="str">
        <f>IF(COUNTIF('Eval-Avant impact'!$A$761:$A$780,A17)&gt;0,SUM(IF('Eval-Avant impact'!$A$761=A17,LEN(SUBSTITUTE((SUBSTITUTE(AA9,"TM","")),"TS",""))*10/2,0),IF('Eval-Avant impact'!$A$762=A17,LEN(SUBSTITUTE((SUBSTITUTE(AA10,"TM","")),"TS",""))*10/2,0),IF('Eval-Avant impact'!$A$763=A17,LEN(SUBSTITUTE((SUBSTITUTE(AA11,"TM","")),"TS",""))*10/2,0),IF('Eval-Avant impact'!$A$764=A17,LEN(SUBSTITUTE((SUBSTITUTE(AA12,"TM","")),"TS",""))*10/2,0),IF('Eval-Avant impact'!$A$765=A17,LEN(SUBSTITUTE((SUBSTITUTE(AA13,"TM","")),"TS",""))*10/2,0),IF('Eval-Avant impact'!$A$766=A17,LEN(SUBSTITUTE((SUBSTITUTE(AA14,"TM","")),"TS",""))*10/2,0),IF('Eval-Avant impact'!$A$767=A17,LEN(SUBSTITUTE((SUBSTITUTE(AA15,"TM","")),"TS",""))*10/2,0),IF('Eval-Avant impact'!$A$768=A17,LEN(SUBSTITUTE((SUBSTITUTE(AA16,"TM","")),"TS",""))*10/2,0),IF('Eval-Avant impact'!$A$769=A17,LEN(SUBSTITUTE((SUBSTITUTE(AA17,"TM","")),"TS",""))*10/2,0),IF('Eval-Avant impact'!$A$770=A17,LEN(SUBSTITUTE((SUBSTITUTE(AA18,"TM","")),"TS",""))*10/2,0),IF('Eval-Avant impact'!$A$771=A17,LEN(SUBSTITUTE((SUBSTITUTE(AA19,"TM","")),"TS",""))*10/2,0),IF('Eval-Avant impact'!$A$772=A17,LEN(SUBSTITUTE((SUBSTITUTE(AA20,"TM","")),"TS",""))*10/2,0),IF('Eval-Avant impact'!$A$773=A17,LEN(SUBSTITUTE((SUBSTITUTE(AA21,"TM","")),"TS",""))*10/2,0),IF('Eval-Avant impact'!$A$774=A17,LEN(SUBSTITUTE((SUBSTITUTE(AA22,"TM","")),"TS",""))*10/2,0),IF('Eval-Avant impact'!$A$775=A17,LEN(SUBSTITUTE((SUBSTITUTE(AA23,"TM","")),"TS",""))*10/2,0),IF('Eval-Avant impact'!$A$776=A17,LEN(SUBSTITUTE((SUBSTITUTE(AA24,"TM","")),"TS",""))*10/2,0),IF('Eval-Avant impact'!$A$777=A17,LEN(SUBSTITUTE((SUBSTITUTE(AA25,"TM","")),"TS",""))*10/2,0),IF('Eval-Avant impact'!$A$778=A17,LEN(SUBSTITUTE((SUBSTITUTE(AA26,"TM","")),"TS",""))*10/2,0),IF('Eval-Avant impact'!$A$779=A17,LEN(SUBSTITUTE((SUBSTITUTE(AA27,"TM","")),"TS",""))*10/2,0),IF('Eval-Avant impact'!$A$780=A17,LEN(SUBSTITUTE((SUBSTITUTE(AA28,"TM","")),"TS",""))*10/2,0))/COUNTIF('Eval-Avant impact'!$A$761:$A$780,A17),"")</f>
        <v/>
      </c>
      <c r="O17" s="211" t="str">
        <f>IF(COUNTIF('Eval-Avant impact'!$A$761:$A$780,A17)&gt;0,SUM(IF('Eval-Avant impact'!$A$761=A17,LEN(SUBSTITUTE((SUBSTITUTE(AA9,"TF","")),"TS",""))*10/2,0),IF('Eval-Avant impact'!$A$762=A17,LEN(SUBSTITUTE((SUBSTITUTE(AA10,"TF","")),"TS",""))*10/2,0),IF('Eval-Avant impact'!$A$763=A17,LEN(SUBSTITUTE((SUBSTITUTE(AA11,"TF","")),"TS",""))*10/2,0),IF('Eval-Avant impact'!$A$764=A17,LEN(SUBSTITUTE((SUBSTITUTE(AA12,"TF","")),"TS",""))*10/2,0),IF('Eval-Avant impact'!$A$765=A17,LEN(SUBSTITUTE((SUBSTITUTE(AA13,"TF","")),"TS",""))*10/2,0),IF('Eval-Avant impact'!$A$766=A17,LEN(SUBSTITUTE((SUBSTITUTE(AA14,"TF","")),"TS",""))*10/2,0),IF('Eval-Avant impact'!$A$767=A17,LEN(SUBSTITUTE((SUBSTITUTE(AA15,"TF","")),"TS",""))*10/2,0),IF('Eval-Avant impact'!$A$768=A17,LEN(SUBSTITUTE((SUBSTITUTE(AA16,"TF","")),"TS",""))*10/2,0),IF('Eval-Avant impact'!$A$769=A17,LEN(SUBSTITUTE((SUBSTITUTE(AA17,"TF","")),"TS",""))*10/2,0),IF('Eval-Avant impact'!$A$770=A17,LEN(SUBSTITUTE((SUBSTITUTE(AA18,"TF","")),"TS",""))*10/2,0),IF('Eval-Avant impact'!$A$771=A17,LEN(SUBSTITUTE((SUBSTITUTE(AA19,"TF","")),"TS",""))*10/2,0),IF('Eval-Avant impact'!$A$772=A17,LEN(SUBSTITUTE((SUBSTITUTE(AA20,"TF","")),"TS",""))*10/2,0),IF('Eval-Avant impact'!$A$773=A17,LEN(SUBSTITUTE((SUBSTITUTE(AA21,"TF","")),"TS",""))*10/2,0),IF('Eval-Avant impact'!$A$774=A17,LEN(SUBSTITUTE((SUBSTITUTE(AA22,"TF","")),"TS",""))*10/2,0),IF('Eval-Avant impact'!$A$775=A17,LEN(SUBSTITUTE((SUBSTITUTE(AA23,"TF","")),"TS",""))*10/2,0),IF('Eval-Avant impact'!$A$776=A17,LEN(SUBSTITUTE((SUBSTITUTE(AA24,"TF","")),"TS",""))*10/2,0),IF('Eval-Avant impact'!$A$777=A17,LEN(SUBSTITUTE((SUBSTITUTE(AA25,"TF","")),"TS",""))*10/2,0),IF('Eval-Avant impact'!$A$778=A17,LEN(SUBSTITUTE((SUBSTITUTE(AA26,"TF","")),"TS",""))*10/2,0),IF('Eval-Avant impact'!$A$779=A17,LEN(SUBSTITUTE((SUBSTITUTE(AA27,"TF","")),"TS",""))*10/2,0),IF('Eval-Avant impact'!$A$780=A17,LEN(SUBSTITUTE((SUBSTITUTE(AA28,"TF","")),"TS",""))*10/2,0))/COUNTIF('Eval-Avant impact'!$A$761:$A$780,A17),"")</f>
        <v/>
      </c>
      <c r="P17" s="211" t="str">
        <f>IF(COUNTIF('Eval-Avant impact'!$A$761:$A$780,A17)&gt;0,SUM(IF('Eval-Avant impact'!$A$761=A17,LEN(SUBSTITUTE((SUBSTITUTE(AA9,"TF","")),"TM",""))*10/2,0),IF('Eval-Avant impact'!$A$762=A17,LEN(SUBSTITUTE((SUBSTITUTE(AA10,"TF","")),"TM",""))*10/2,0),IF('Eval-Avant impact'!$A$763=A17,LEN(SUBSTITUTE((SUBSTITUTE(AA11,"TF","")),"TM",""))*10/2,0),IF('Eval-Avant impact'!$A$764=A17,LEN(SUBSTITUTE((SUBSTITUTE(AA12,"TF","")),"TM",""))*10/2,0),IF('Eval-Avant impact'!$A$765=A17,LEN(SUBSTITUTE((SUBSTITUTE(AA13,"TF","")),"TM",""))*10/2,0),IF('Eval-Avant impact'!$A$766=A17,LEN(SUBSTITUTE((SUBSTITUTE(AA14,"TF","")),"TM",""))*10/2,0),IF('Eval-Avant impact'!$A$767=A17,LEN(SUBSTITUTE((SUBSTITUTE(AA15,"TF","")),"TM",""))*10/2,0),IF('Eval-Avant impact'!$A$768=A17,LEN(SUBSTITUTE((SUBSTITUTE(AA16,"TF","")),"TM",""))*10/2,0),IF('Eval-Avant impact'!$A$769=A17,LEN(SUBSTITUTE((SUBSTITUTE(AA17,"TF","")),"TM",""))*10/2,0),IF('Eval-Avant impact'!$A$770=A17,LEN(SUBSTITUTE((SUBSTITUTE(AA18,"TF","")),"TM",""))*10/2,0),IF('Eval-Avant impact'!$A$771=A17,LEN(SUBSTITUTE((SUBSTITUTE(AA19,"TF","")),"TM",""))*10/2,0),IF('Eval-Avant impact'!$A$772=A17,LEN(SUBSTITUTE((SUBSTITUTE(AA20,"TF","")),"TM",""))*10/2,0),IF('Eval-Avant impact'!$A$773=A17,LEN(SUBSTITUTE((SUBSTITUTE(AA21,"TF","")),"TM",""))*10/2,0),IF('Eval-Avant impact'!$A$774=A17,LEN(SUBSTITUTE((SUBSTITUTE(AA22,"TF","")),"TM",""))*10/2,0),IF('Eval-Avant impact'!$A$775=A17,LEN(SUBSTITUTE((SUBSTITUTE(AA23,"TF","")),"TM",""))*10/2,0),IF('Eval-Avant impact'!$A$776=A17,LEN(SUBSTITUTE((SUBSTITUTE(AA24,"TF","")),"TM",""))*10/2,0),IF('Eval-Avant impact'!$A$777=A17,LEN(SUBSTITUTE((SUBSTITUTE(AA25,"TF","")),"TM",""))*10/2,0),IF('Eval-Avant impact'!$A$778=A17,LEN(SUBSTITUTE((SUBSTITUTE(AA26,"TF","")),"TM",""))*10/2,0),IF('Eval-Avant impact'!$A$779=A17,LEN(SUBSTITUTE((SUBSTITUTE(AA27,"TF","")),"TM",""))*10/2,0),IF('Eval-Avant impact'!$A$780=A17,LEN(SUBSTITUTE((SUBSTITUTE(AA28,"TF","")),"TM",""))*10/2,0))/COUNTIF('Eval-Avant impact'!$A$761:$A$780,A17),"")</f>
        <v/>
      </c>
      <c r="Q17" s="211" t="str">
        <f>IF(COUNTIF('Eval-Avant impact'!$A$761:$A$780,A17)&gt;0,IF(OR(AND('Eval-Avant impact'!$A$761=A17,X9&lt;30),AND('Eval-Avant impact'!$A$762=A17,X10&lt;30),AND('Eval-Avant impact'!$A$763=A17,X11&lt;30),AND('Eval-Avant impact'!$A$764=A17,X12&lt;30),AND('Eval-Avant impact'!$A$765=A17,X13&lt;30),AND('Eval-Avant impact'!$A$766=A17,X14&lt;30),AND('Eval-Avant impact'!$A$767=A17,X15&lt;30),AND('Eval-Avant impact'!$A$768=A17,X16&lt;30),AND('Eval-Avant impact'!$A$769=A17,X17&lt;30),AND('Eval-Avant impact'!$A$770=A17,X18&lt;30),AND('Eval-Avant impact'!$A$771=A17,X19&lt;30),AND('Eval-Avant impact'!$A$772=A17,X20&lt;30),AND('Eval-Avant impact'!$A$773=A17,X21&lt;30),AND('Eval-Avant impact'!$A$774=A17,X22&lt;30),AND('Eval-Avant impact'!$A$775=A17,X23&lt;30),AND('Eval-Avant impact'!$A$776=A17,X24&lt;30),AND('Eval-Avant impact'!$A$777=A17,X25&lt;30),AND('Eval-Avant impact'!$A$778=A17,X26&lt;30),AND('Eval-Avant impact'!$A$779=A17,X27&lt;30),AND('Eval-Avant impact'!$A$780=A17,X28&lt;30)),"",SUM(0.1*(SUMPRODUCT(('Eval-Avant impact'!$A$761:$A$780=A17)*('Eval-Avant impact'!$N$761:$P$780="A"))+ SUMPRODUCT(('Eval-Avant impact'!$A$761:$A$780=A17)*('Eval-Avant impact'!$N$761:$P$780="AL"))),0.7*(SUMPRODUCT(('Eval-Avant impact'!$A$761:$A$780=A17)*('Eval-Avant impact'!$N$761:$P$780="TF"))+SUMPRODUCT(('Eval-Avant impact'!$A$761:$A$780=A17)*('Eval-Avant impact'!$N$761:$P$780="TM"))+SUMPRODUCT(('Eval-Avant impact'!$A$761:$A$780=A17)*('Eval-Avant impact'!$N$761:$P$780="TS"))),0.4*(SUMPRODUCT(('Eval-Avant impact'!$A$761:$A$780=A17)*('Eval-Avant impact'!$N$761:$P$780="LA"))+SUMPRODUCT(('Eval-Avant impact'!$A$761:$A$780=A17)*('Eval-Avant impact'!$N$761:$P$780="L"))+SUMPRODUCT(('Eval-Avant impact'!$A$761:$A$780=A17)*('Eval-Avant impact'!$N$761:$P$780="LS"))),1*(SUMPRODUCT(('Eval-Avant impact'!$A$761:$A$780=A17)*('Eval-Avant impact'!$N$761:$P$780="SL"))+ SUMPRODUCT(('Eval-Avant impact'!$A$761:$A$780=A17)*('Eval-Avant impact'!$N$761:$P$780="S"))))/(3*COUNTIF('Eval-Avant impact'!$A$761:$A$780,A17))),"")</f>
        <v/>
      </c>
      <c r="R17" s="211" t="str">
        <f>IF(COUNTIF('Eval-Avant impact'!$A$761:$A$780,A17)&gt;0,IF(OR(AND('Eval-Avant impact'!$A$761=A17,X9&lt;120),AND('Eval-Avant impact'!$A$762=A17,X10&lt;120),AND('Eval-Avant impact'!$A$763=A17,X11&lt;120),AND('Eval-Avant impact'!$A$764=A17,X12&lt;120),AND('Eval-Avant impact'!$A$765=A17,X13&lt;120),AND('Eval-Avant impact'!$A$766=A17,X14&lt;120),AND('Eval-Avant impact'!$A$767=A17,X15&lt;120),AND('Eval-Avant impact'!$A$768=A17,X16&lt;120),AND('Eval-Avant impact'!$A$769=A17,X17&lt;120),AND('Eval-Avant impact'!$A$770=A17,X18&lt;120),AND('Eval-Avant impact'!$A$771=A17,X19&lt;120),AND('Eval-Avant impact'!$A$772=A17,X20&lt;120),AND('Eval-Avant impact'!$A$773=A17,X21&lt;120),AND('Eval-Avant impact'!$A$774=A17,X22&lt;120),AND('Eval-Avant impact'!$A$775=A17,X23&lt;120),AND('Eval-Avant impact'!$A$776=A17,X24&lt;120),AND('Eval-Avant impact'!$A$777=A17,X25&lt;120),AND('Eval-Avant impact'!$A$778=A17,X26&lt;120),AND('Eval-Avant impact'!$A$779=A17,X27&lt;120),AND('Eval-Avant impact'!$A$780=A17,X28&lt;120)),"",SUM(0.1*(SUMPRODUCT(('Eval-Avant impact'!$A$761:$A$780=A17)*('Eval-Avant impact'!$Q$761:$Y$780="A"))+ SUMPRODUCT(('Eval-Avant impact'!$A$761:$A$780=A17)*('Eval-Avant impact'!$Q$761:$Y$780="AL"))),0.7*(SUMPRODUCT(('Eval-Avant impact'!$A$761:$A$780=A17)*('Eval-Avant impact'!$Q$761:$Y$780="TF"))+SUMPRODUCT(('Eval-Avant impact'!$A$761:$A$780=A17)*('Eval-Avant impact'!$Q$761:$Y$780="TM"))+SUMPRODUCT(('Eval-Avant impact'!$A$761:$A$780=A17)*('Eval-Avant impact'!$Q$761:$Y$780="TS"))),0.4*(SUMPRODUCT(('Eval-Avant impact'!$A$761:$A$780=A17)*('Eval-Avant impact'!$Q$761:$Y$780="LA"))+SUMPRODUCT(('Eval-Avant impact'!$A$761:$A$780=A17)*('Eval-Avant impact'!$Q$761:$Y$780="L"))+SUMPRODUCT(('Eval-Avant impact'!$A$761:$A$780=A17)*('Eval-Avant impact'!$Q$761:$Y$780="LS"))),1*(SUMPRODUCT(('Eval-Avant impact'!$A$761:$A$780=A17)*('Eval-Avant impact'!$Q$761:$Y$780="SL"))+ SUMPRODUCT(('Eval-Avant impact'!$A$761:$A$780=A17)*('Eval-Avant impact'!$Q$761:$Y$780="S"))))/(9*COUNTIF('Eval-Avant impact'!$A$761:$A$780,A17))),"")</f>
        <v/>
      </c>
      <c r="S17" s="211" t="str">
        <f>IF(COUNTIF('Eval-Avant impact'!$A$761:$A$780,A17)&gt;0,IF(OR(AND('Eval-Avant impact'!$A$761=A17,OR(COUNTIF('Eval-Avant impact'!$N$761:$P$761,"*T*")&gt;0,X9&lt;30)),AND('Eval-Avant impact'!$A$762=A17,OR(COUNTIF('Eval-Avant impact'!$N$762:$P$762,"*T*")&gt;0,X10&lt;30)),AND('Eval-Avant impact'!$A$763=A17,OR(COUNTIF('Eval-Avant impact'!$N$763:$P$763,"*T*")&gt;0,X11&lt;30)),AND('Eval-Avant impact'!$A$764=A17,OR(COUNTIF('Eval-Avant impact'!$N$764:$P$764,"*T*")&gt;0,X12&lt;30)),AND('Eval-Avant impact'!$A$765=A17,OR(COUNTIF('Eval-Avant impact'!$N$765:$P$765,"*T*")&gt;0,X13&lt;30)),AND('Eval-Avant impact'!$A$766=A17,OR(COUNTIF('Eval-Avant impact'!$N$766:$P$766,"*T*")&gt;0,X14&lt;30)),AND('Eval-Avant impact'!$A$767=A17,OR(COUNTIF('Eval-Avant impact'!$N$767:$P$767,"*T*")&gt;0,X15&lt;30)),AND('Eval-Avant impact'!$A$768=A17,OR(COUNTIF('Eval-Avant impact'!$N$768:$P$768,"*T*")&gt;0,X16&lt;30)),AND('Eval-Avant impact'!$A$769=A17,OR(COUNTIF('Eval-Avant impact'!$N$769:$P$769,"*T*")&gt;0,X17&lt;30)),AND('Eval-Avant impact'!$A$770=A17,OR(COUNTIF('Eval-Avant impact'!$N$770:$P$770,"*T*")&gt;0,X18&lt;30)),AND('Eval-Avant impact'!$A$771=A17,OR(COUNTIF('Eval-Avant impact'!$N$771:$P$771,"*T*")&gt;0,X19&lt;30)),AND('Eval-Avant impact'!$A$772=A17,OR(COUNTIF('Eval-Avant impact'!$N$772:$P$772,"*T*")&gt;0,X20&lt;30)),AND('Eval-Avant impact'!$A$773=A17,OR(COUNTIF('Eval-Avant impact'!$N$773:$P$773,"*T*")&gt;0,X21&lt;30)),AND('Eval-Avant impact'!$A$774=A17,OR(COUNTIF('Eval-Avant impact'!$N$774:$P$774,"*T*")&gt;0,X22&lt;30)),AND('Eval-Avant impact'!$A$775=A17,OR(COUNTIF('Eval-Avant impact'!$N$775:$P$775,"*T*")&gt;0,X23&lt;30)),AND('Eval-Avant impact'!$A$776=A17,OR(COUNTIF('Eval-Avant impact'!$N$776:$P$776,"*T*")&gt;0,X24&lt;30)),AND('Eval-Avant impact'!$A$777=A17,OR(COUNTIF('Eval-Avant impact'!$N$777:$P$777,"*T*")&gt;0,X25&lt;30)),AND('Eval-Avant impact'!$A$778=A17,OR(COUNTIF('Eval-Avant impact'!$N$778:$P$778,"*T*")&gt;0,X26&lt;30)),AND('Eval-Avant impact'!$A$779=A17,OR(COUNTIF('Eval-Avant impact'!$N$779:$P$779,"*T*")&gt;0,X27&lt;30)),AND('Eval-Avant impact'!$A$780=A17,OR(COUNTIF('Eval-Avant impact'!$N$780:$P$780,"*T*")&gt;0,X28&lt;30))),"",SUM(0.1*(SUMPRODUCT(('Eval-Avant impact'!$A$761:$A$780=A17)*('Eval-Avant impact'!$N$761:$P$780="L"))),0.4*(SUMPRODUCT(('Eval-Avant impact'!$A$761:$A$780=A17)*('Eval-Avant impact'!$N$761:$P$780="LA"))+SUMPRODUCT(('Eval-Avant impact'!$A$761:$A$780=A17)*('Eval-Avant impact'!$N$761:$P$780="LS"))),0.7*(SUMPRODUCT(('Eval-Avant impact'!$A$761:$A$780=A17)*('Eval-Avant impact'!$N$761:$P$780="AL"))+SUMPRODUCT(('Eval-Avant impact'!$A$761:$A$780=A17)*('Eval-Avant impact'!$N$761:$P$780="SL"))),1*(SUMPRODUCT(('Eval-Avant impact'!$A$761:$A$780=A17)*('Eval-Avant impact'!$N$761:$P$780="S"))+ SUMPRODUCT(('Eval-Avant impact'!$A$761:$A$780=A17)*('Eval-Avant impact'!$N$761:$P$780="A"))))/(3*COUNTIF('Eval-Avant impact'!$A$761:$A$780,A17))),"")</f>
        <v/>
      </c>
      <c r="T17" s="211" t="str">
        <f>IF(COUNTIF('Eval-Avant impact'!$A$761:$A$780,A17)&gt;0,IF(OR(AND('Eval-Avant impact'!$A$761=A17,OR(COUNTIF('Eval-Avant impact'!$N$761:$P$761,"*T*")&gt;0,X9&lt;30)),AND('Eval-Avant impact'!$A$762=A17,OR(COUNTIF('Eval-Avant impact'!$N$762:$P$762,"*T*")&gt;0,X10&lt;30)),AND('Eval-Avant impact'!$A$763=A17,OR(COUNTIF('Eval-Avant impact'!$N$763:$P$763,"*T*")&gt;0,X11&lt;30)),AND('Eval-Avant impact'!$A$764=A17,OR(COUNTIF('Eval-Avant impact'!$N$764:$P$764,"*T*")&gt;0,X12&lt;30)),AND('Eval-Avant impact'!$A$765=A17,OR(COUNTIF('Eval-Avant impact'!$N$765:$P$765,"*T*")&gt;0,X13&lt;30)),AND('Eval-Avant impact'!$A$766=A17,OR(COUNTIF('Eval-Avant impact'!$N$766:$P$766,"*T*")&gt;0,X14&lt;30)),AND('Eval-Avant impact'!$A$767=A17,OR(COUNTIF('Eval-Avant impact'!$N$767:$P$767,"*T*")&gt;0,X15&lt;30)),AND('Eval-Avant impact'!$A$768=A17,OR(COUNTIF('Eval-Avant impact'!$N$768:$P$768,"*T*")&gt;0,X16&lt;30)),AND('Eval-Avant impact'!$A$769=A17,OR(COUNTIF('Eval-Avant impact'!$N$769:$P$769,"*T*")&gt;0,X17&lt;30)),AND('Eval-Avant impact'!$A$770=A17,OR(COUNTIF('Eval-Avant impact'!$N$770:$P$770,"*T*")&gt;0,X18&lt;30)),AND('Eval-Avant impact'!$A$771=A17,OR(COUNTIF('Eval-Avant impact'!$N$771:$P$771,"*T*")&gt;0,X19&lt;30)),AND('Eval-Avant impact'!$A$772=A17,OR(COUNTIF('Eval-Avant impact'!$N$772:$P$772,"*T*")&gt;0,X20&lt;30)),AND('Eval-Avant impact'!$A$773=A17,OR(COUNTIF('Eval-Avant impact'!$N$773:$P$773,"*T*")&gt;0,X21&lt;30)),AND('Eval-Avant impact'!$A$774=A17,OR(COUNTIF('Eval-Avant impact'!$N$774:$P$774,"*T*")&gt;0,X22&lt;30)),AND('Eval-Avant impact'!$A$775=A17,OR(COUNTIF('Eval-Avant impact'!$N$775:$P$775,"*T*")&gt;0,X23&lt;30)),AND('Eval-Avant impact'!$A$776=A17,OR(COUNTIF('Eval-Avant impact'!$N$776:$P$776,"*T*")&gt;0,X24&lt;30)),AND('Eval-Avant impact'!$A$777=A17,OR(COUNTIF('Eval-Avant impact'!$N$777:$P$777,"*T*")&gt;0,X25&lt;30)),AND('Eval-Avant impact'!$A$778=A17,OR(COUNTIF('Eval-Avant impact'!$N$778:$P$778,"*T*")&gt;0,X26&lt;30)),AND('Eval-Avant impact'!$A$779=A17,OR(COUNTIF('Eval-Avant impact'!$N$779:$P$779,"*T*")&gt;0,X27&lt;30)),AND('Eval-Avant impact'!$A$780=A17,OR(COUNTIF('Eval-Avant impact'!$N$780:$P$780,"*T*")&gt;0,X28&lt;30))),"",SUM(1*(SUMPRODUCT(('Eval-Avant impact'!$A$761:$A$780=A17)*('Eval-Avant impact'!$N$761:$P$780="A"))),0.85*(SUMPRODUCT(('Eval-Avant impact'!$A$761:$A$780=A17)*('Eval-Avant impact'!$N$761:$P$780="AL"))),0.7*(SUMPRODUCT(('Eval-Avant impact'!$A$761:$A$780=A17)*('Eval-Avant impact'!$N$761:$P$780="LA"))),0.55*(SUMPRODUCT(('Eval-Avant impact'!$A$761:$A$780=A17)*('Eval-Avant impact'!$N$761:$P$780="L"))),0.4*(SUMPRODUCT(('Eval-Avant impact'!$A$761:$A$780=A17)*('Eval-Avant impact'!$N$761:$P$780="LS"))),0.25*(SUMPRODUCT(('Eval-Avant impact'!$A$761:$A$780=A17)*('Eval-Avant impact'!$N$761:$P$780="SL"))),0.1*(SUMPRODUCT(('Eval-Avant impact'!$A$761:$A$780=A17)*('Eval-Avant impact'!$N$761:$P$780="S"))))/(3*COUNTIF('Eval-Avant impact'!$A$761:$A$780,A17))),"")</f>
        <v/>
      </c>
      <c r="U17" s="214" t="str">
        <f>IF(COUNTIF('Eval-Avant impact'!$A$761:$A$780,A17)&gt;0,IF(OR(AND('Eval-Avant impact'!$A$761=A17,OR(COUNTIF('Eval-Avant impact'!$Q$761:$Y$761,"*T*")&gt;0,X9&lt;120)),AND('Eval-Avant impact'!$A$762=A17,OR(COUNTIF('Eval-Avant impact'!$Q$762:$Y$762,"*T*")&gt;0,X10&lt;120)),AND('Eval-Avant impact'!$A$763=A17,OR(COUNTIF('Eval-Avant impact'!$Q$763:$Y$763,"*T*")&gt;0,X11&lt;120)),AND('Eval-Avant impact'!$A$764=A17,OR(COUNTIF('Eval-Avant impact'!$Q$764:$Y$764,"*T*")&gt;0,X12&lt;120)),AND('Eval-Avant impact'!$A$765=A17,OR(COUNTIF('Eval-Avant impact'!$Q$765:$Y$765,"*T*")&gt;0,X13&lt;120)),AND('Eval-Avant impact'!$A$766=A17,OR(COUNTIF('Eval-Avant impact'!$Q$766:$Y$766,"*T*")&gt;0,X14&lt;120)),AND('Eval-Avant impact'!$A$767=A17,OR(COUNTIF('Eval-Avant impact'!$Q$767:$Y$767,"*T*")&gt;0,X15&lt;120)),AND('Eval-Avant impact'!$A$768=A17,OR(COUNTIF('Eval-Avant impact'!$Q$768:$Y$768,"*T*")&gt;0,X16&lt;120)),AND('Eval-Avant impact'!$A$769=A17,OR(COUNTIF('Eval-Avant impact'!$Q$769:$Y$769,"*T*")&gt;0,X17&lt;120)),AND('Eval-Avant impact'!$A$770=A17,OR(COUNTIF('Eval-Avant impact'!$Q$770:$Y$770,"*T*")&gt;0,X18&lt;120)),AND('Eval-Avant impact'!$A$771=A17,OR(COUNTIF('Eval-Avant impact'!$Q$771:$Y$771,"*T*")&gt;0,X19&lt;120)),AND('Eval-Avant impact'!$A$772=A17,OR(COUNTIF('Eval-Avant impact'!$Q$772:$Y$772,"*T*")&gt;0,X20&lt;120)),AND('Eval-Avant impact'!$A$773=A17,OR(COUNTIF('Eval-Avant impact'!$Q$773:$Y$773,"*T*")&gt;0,X21&lt;120)),AND('Eval-Avant impact'!$A$774=A17,OR(COUNTIF('Eval-Avant impact'!$Q$774:$Y$774,"*T*")&gt;0,X22&lt;120)),AND('Eval-Avant impact'!$A$775=A17,OR(COUNTIF('Eval-Avant impact'!$Q$775:$Y$775,"*T*")&gt;0,X23&lt;120)),AND('Eval-Avant impact'!$A$776=A17,OR(COUNTIF('Eval-Avant impact'!$Q$776:$Y$776,"*T*")&gt;0,X24&lt;120)),AND('Eval-Avant impact'!$A$777=A17,OR(COUNTIF('Eval-Avant impact'!$Q$777:$Y$777,"*T*")&gt;0,X25&lt;120)),AND('Eval-Avant impact'!$A$778=A17,OR(COUNTIF('Eval-Avant impact'!$Q$778:$Y$778,"*T*")&gt;0,X26&lt;120)),AND('Eval-Avant impact'!$A$779=A17,OR(COUNTIF('Eval-Avant impact'!$Q$779:$Y$779,"*T*")&gt;0,X27&lt;120)),AND('Eval-Avant impact'!$A$780=A17,OR(COUNTIF('Eval-Avant impact'!$Q$780:$Y$780,"*T*")&gt;0,X28&lt;120))),"",SUM(1*(SUMPRODUCT(('Eval-Avant impact'!$A$761:$A$780=A17)*('Eval-Avant impact'!$Q$761:$Y$780="A"))),0.85*(SUMPRODUCT(('Eval-Avant impact'!$A$761:$A$780=A17)*('Eval-Avant impact'!$Q$761:$Y$780="AL"))),0.7*(SUMPRODUCT(('Eval-Avant impact'!$A$761:$A$780=A17)*('Eval-Avant impact'!$Q$761:$Y$780="LA"))),0.55*(SUMPRODUCT(('Eval-Avant impact'!$A$761:$A$780=A17)*('Eval-Avant impact'!$Q$761:$Y$780="L"))),0.4*(SUMPRODUCT(('Eval-Avant impact'!$A$761:$A$780=A17)*('Eval-Avant impact'!$Q$761:$Y$780="LS"))),0.25*(SUMPRODUCT(('Eval-Avant impact'!$A$761:$A$780=A17)*('Eval-Avant impact'!$Q$761:$Y$780="SL"))),0.1*(SUMPRODUCT(('Eval-Avant impact'!$A$761:$A$780=A17)*('Eval-Avant impact'!$Q$761:$Y$780="S"))))/(9*COUNTIF('Eval-Avant impact'!$A$761:$A$780,A17))),"")</f>
        <v/>
      </c>
      <c r="V17" s="215"/>
      <c r="W17" s="216">
        <f>'Eval-Avant impact'!$D$769</f>
        <v>9</v>
      </c>
      <c r="X17" s="217" t="str">
        <f>IF(Y17="C",0,IF(IF(COUNTIF('Eval-Avant impact'!$N$769:$Y$769,"=C")&gt;0,(COUNTA('Eval-Avant impact'!$N$769:$Y$769)-1)*10,COUNTA('Eval-Avant impact'!$N$769:$Y$769)*10)=0,"",IF(COUNTIF('Eval-Avant impact'!$N$769:$Y$769,"=C")&gt;0,(COUNTA('Eval-Avant impact'!$N$769:$Y$769)-1)*10,COUNTA('Eval-Avant impact'!$N$769:$Y$769)*10)))</f>
        <v/>
      </c>
      <c r="Y17" s="217" t="str">
        <f>CONCATENATE('Eval-Avant impact'!$N$769,'Eval-Avant impact'!$O$769,'Eval-Avant impact'!$P$769,'Eval-Avant impact'!$Q$769,'Eval-Avant impact'!$R$769,'Eval-Avant impact'!$S$769,'Eval-Avant impact'!$T$769,'Eval-Avant impact'!$U$769,'Eval-Avant impact'!$V$769,'Eval-Avant impact'!$W$769,'Eval-Avant impact'!$X$769,'Eval-Avant impact'!$Y$769)</f>
        <v/>
      </c>
      <c r="Z17" s="217" t="str">
        <f t="shared" si="0"/>
        <v/>
      </c>
      <c r="AA17" s="217" t="str">
        <f t="shared" si="1"/>
        <v/>
      </c>
      <c r="AB17" s="217" t="str">
        <f>IF(COUNTIF('Eval-Avant impact'!$N$769:$Y$769,"=C")&gt;0,"X","")</f>
        <v/>
      </c>
      <c r="AC17" s="217" t="str">
        <f t="shared" si="2"/>
        <v/>
      </c>
      <c r="AD17" s="218" t="str">
        <f t="shared" si="3"/>
        <v/>
      </c>
      <c r="AE17" s="197"/>
      <c r="AG17" s="210">
        <v>9</v>
      </c>
      <c r="AH17" s="211" t="str">
        <f>IF(COUNTIF('Eval-Avec impact envisagé'!$A$761:$A$780,AG17)&gt;0,SUM(IF('Eval-Avec impact envisagé'!$A$761=AG17,'Eval-Avec impact envisagé'!$B$761,0),IF('Eval-Avec impact envisagé'!$A$762=AG17, 'Eval-Avec impact envisagé'!$B$762,0),IF('Eval-Avec impact envisagé'!$A$763=AG17, 'Eval-Avec impact envisagé'!$B$763,0),IF('Eval-Avec impact envisagé'!$A$764=AG17, 'Eval-Avec impact envisagé'!$B$764,0),IF('Eval-Avec impact envisagé'!$A$765=AG17, 'Eval-Avec impact envisagé'!$B$765,0),IF('Eval-Avec impact envisagé'!$A$766=AG17, 'Eval-Avec impact envisagé'!$B$766,0),IF('Eval-Avec impact envisagé'!$A$767=AG17, 'Eval-Avec impact envisagé'!$B$767,0),IF('Eval-Avec impact envisagé'!$A$768=AG17, 'Eval-Avec impact envisagé'!$B$768,0),IF('Eval-Avec impact envisagé'!$A$769=AG17, 'Eval-Avec impact envisagé'!$B$769,0),IF('Eval-Avec impact envisagé'!$A$770=AG17, 'Eval-Avec impact envisagé'!$B$770,0),IF('Eval-Avec impact envisagé'!$A$771=AG17, 'Eval-Avec impact envisagé'!$B$771,0),IF('Eval-Avec impact envisagé'!$A$772=AG17, 'Eval-Avec impact envisagé'!$B$772,0),IF('Eval-Avec impact envisagé'!$A$773=AG17, 'Eval-Avec impact envisagé'!$B$773,0),IF('Eval-Avec impact envisagé'!$A$774=AG17, 'Eval-Avec impact envisagé'!$B$774,0),IF('Eval-Avec impact envisagé'!$A$775=AG17, 'Eval-Avec impact envisagé'!$B$775,0),IF('Eval-Avec impact envisagé'!$A$776=AG17, 'Eval-Avec impact envisagé'!$B$776,0),IF('Eval-Avec impact envisagé'!$A$777=AG17, 'Eval-Avec impact envisagé'!$B$777,0),IF('Eval-Avec impact envisagé'!$A$778=AG17, 'Eval-Avec impact envisagé'!$B$778,0),IF('Eval-Avec impact envisagé'!$A$779=AG17, 'Eval-Avec impact envisagé'!$B$779,0),IF('Eval-Avec impact envisagé'!$A$780=AG17, 'Eval-Avec impact envisagé'!$B$780,0))/COUNTIF('Eval-Avec impact envisagé'!$A$761:$A$780,AG17),"")</f>
        <v/>
      </c>
      <c r="AI17" s="212" t="str">
        <f>IF(COUNTIF('Eval-Avec impact envisagé'!$A$761:$A$780,AG17)&gt;0,COUNTIF('Eval-Avec impact envisagé'!$A$761:$A$780,AG17),"")</f>
        <v/>
      </c>
      <c r="AJ17" s="211" t="str">
        <f>IF(COUNTIF('Eval-Avec impact envisagé'!$A$761:$A$780,AG17)&gt;0,IF(OR(AND('Eval-Avec impact envisagé'!$A$761=AG17, 'Eval-Avec impact envisagé'!$G$761=""),AND('Eval-Avec impact envisagé'!$A$762=AG17, 'Eval-Avec impact envisagé'!$G$762=""),AND('Eval-Avec impact envisagé'!$A$763=AG17, 'Eval-Avec impact envisagé'!$G$763=""),AND('Eval-Avec impact envisagé'!$A$764=AG17, 'Eval-Avec impact envisagé'!$G$764=""),AND('Eval-Avec impact envisagé'!$A$765=AG17, 'Eval-Avec impact envisagé'!$G$765=""),AND('Eval-Avec impact envisagé'!$A$766=AG17, 'Eval-Avec impact envisagé'!$G$766=""),AND('Eval-Avec impact envisagé'!$A$767=AG17, 'Eval-Avec impact envisagé'!$G$767=""),AND('Eval-Avec impact envisagé'!$A$768=AG17, 'Eval-Avec impact envisagé'!$G$768=""),AND('Eval-Avec impact envisagé'!$A$769=AG17, 'Eval-Avec impact envisagé'!$G$769=""),AND('Eval-Avec impact envisagé'!$A$770=AG17, 'Eval-Avec impact envisagé'!$G$770=""),AND('Eval-Avec impact envisagé'!$A$771=AG17, 'Eval-Avec impact envisagé'!$G$771=""),AND('Eval-Avec impact envisagé'!$A$772=AG17, 'Eval-Avec impact envisagé'!$G$772=""),AND('Eval-Avec impact envisagé'!$A$773=AG17, 'Eval-Avec impact envisagé'!$G$773=""),AND('Eval-Avec impact envisagé'!$A$774=AG17, 'Eval-Avec impact envisagé'!$G$774=""),AND('Eval-Avec impact envisagé'!$A$775=AG17, 'Eval-Avec impact envisagé'!$G$775=""),AND('Eval-Avec impact envisagé'!$A$776=AG17, 'Eval-Avec impact envisagé'!$G$776=""),AND('Eval-Avec impact envisagé'!$A$777=AG17, 'Eval-Avec impact envisagé'!$G$777=""),AND('Eval-Avec impact envisagé'!$A$778=AG17, 'Eval-Avec impact envisagé'!$G$778=""),AND('Eval-Avec impact envisagé'!$A$779=AG17, 'Eval-Avec impact envisagé'!$G$779=""),AND('Eval-Avec impact envisagé'!$A$780=AG17, 'Eval-Avec impact envisagé'!$G$780="")),"",SUM(IF('Eval-Avec impact envisagé'!$A$761=AG17,'Eval-Avec impact envisagé'!$G$761,0),IF('Eval-Avec impact envisagé'!$A$762=AG17,'Eval-Avec impact envisagé'!$G$762,0),IF('Eval-Avec impact envisagé'!$A$763=AG17,'Eval-Avec impact envisagé'!$G$763,0),IF('Eval-Avec impact envisagé'!$A$764=AG17,'Eval-Avec impact envisagé'!$G$764,0),IF('Eval-Avec impact envisagé'!$A$765=AG17,'Eval-Avec impact envisagé'!$G$765,0),IF('Eval-Avec impact envisagé'!$A$766=AG17,'Eval-Avec impact envisagé'!$G$766,0),IF('Eval-Avec impact envisagé'!$A$767=AG17,'Eval-Avec impact envisagé'!$G$767,0),IF('Eval-Avec impact envisagé'!$A$768=AG17,'Eval-Avec impact envisagé'!$G$768,0),IF('Eval-Avec impact envisagé'!$A$769=AG17,'Eval-Avec impact envisagé'!$G$769,0),IF('Eval-Avec impact envisagé'!$A$770=AG17,'Eval-Avec impact envisagé'!$G$770,0),IF('Eval-Avec impact envisagé'!$A$771=AG17,'Eval-Avec impact envisagé'!$G$771,0),IF('Eval-Avec impact envisagé'!$A$772=AG17,'Eval-Avec impact envisagé'!$G$772,0),IF('Eval-Avec impact envisagé'!$A$773=AG17,'Eval-Avec impact envisagé'!$G$773,0),IF('Eval-Avec impact envisagé'!$A$774=AG17,'Eval-Avec impact envisagé'!$G$774,0),IF('Eval-Avec impact envisagé'!$A$775=AG17,'Eval-Avec impact envisagé'!$G$775,0), IF('Eval-Avec impact envisagé'!$A$776=AG17,'Eval-Avec impact envisagé'!$G$776,0), IF('Eval-Avec impact envisagé'!$A$777=AG17,'Eval-Avec impact envisagé'!$G$777,0), IF('Eval-Avec impact envisagé'!$A$778=AG17,'Eval-Avec impact envisagé'!$G$778,0), IF('Eval-Avec impact envisagé'!$A$779=AG17,'Eval-Avec impact envisagé'!$G$779,0), IF('Eval-Avec impact envisagé'!$A$780=AG17,'Eval-Avec impact envisagé'!$G$780,0))/ COUNTIF('Eval-Avec impact envisagé'!$A$761:$A$780,AG17)),"")</f>
        <v/>
      </c>
      <c r="AK17" s="212" t="str">
        <f>IF(COUNTIF('Eval-Avec impact envisagé'!$A$761:$A$780,AG17)&gt;0,IF(SUM(IF('Eval-Avec impact envisagé'!$A$761=AG17,COUNTA('Eval-Avec impact envisagé'!$H$761),0),IF('Eval-Avec impact envisagé'!$A$762=AG17,COUNTA('Eval-Avec impact envisagé'!$H$762),0),IF('Eval-Avec impact envisagé'!$A$763=AG17,COUNTA('Eval-Avec impact envisagé'!$H$763),0),IF('Eval-Avec impact envisagé'!$A$764=AG17,COUNTA('Eval-Avec impact envisagé'!$H$764),0),IF('Eval-Avec impact envisagé'!$A$765=AG17,COUNTA('Eval-Avec impact envisagé'!$H$765),0),IF('Eval-Avec impact envisagé'!$A$766=AG17,COUNTA('Eval-Avec impact envisagé'!$H$766),0),IF('Eval-Avec impact envisagé'!$A$767=AG17,COUNTA('Eval-Avec impact envisagé'!$H$767),0),IF('Eval-Avec impact envisagé'!$A$768=AG17,COUNTA('Eval-Avec impact envisagé'!$H$768),0),IF('Eval-Avec impact envisagé'!$A$769=AG17,COUNTA('Eval-Avec impact envisagé'!$H$769),0),IF('Eval-Avec impact envisagé'!$A$770=AG17,COUNTA('Eval-Avec impact envisagé'!$H$770),0),IF('Eval-Avec impact envisagé'!$A$771=AG17,COUNTA('Eval-Avec impact envisagé'!$H$771),0),IF('Eval-Avec impact envisagé'!$A$772=AG17,COUNTA('Eval-Avec impact envisagé'!$H$772),0),IF('Eval-Avec impact envisagé'!$A$773=AG17,COUNTA('Eval-Avec impact envisagé'!$H$773),0),IF('Eval-Avec impact envisagé'!$A$774=AG17,COUNTA('Eval-Avec impact envisagé'!$H$774),0),IF('Eval-Avec impact envisagé'!$A$775=AG17,COUNTA('Eval-Avec impact envisagé'!$H$775),0),IF('Eval-Avec impact envisagé'!$A$776=AG17,COUNTA('Eval-Avec impact envisagé'!$H$776),0),IF('Eval-Avec impact envisagé'!$A$777=AG17,COUNTA('Eval-Avec impact envisagé'!$H$777),0),IF('Eval-Avec impact envisagé'!$A$778=AG17,COUNTA('Eval-Avec impact envisagé'!$H$778),0),IF('Eval-Avec impact envisagé'!$A$779=AG17,COUNTA('Eval-Avec impact envisagé'!$H$779),0),IF('Eval-Avec impact envisagé'!$A$780=AG17,COUNTA('Eval-Avec impact envisagé'!$H$780),0))&gt;0,"X",0),"")</f>
        <v/>
      </c>
      <c r="AL17" s="213" t="str">
        <f>IF(COUNTIF('Eval-Avec impact envisagé'!$A$761:$A$780,AG17)&gt;0,IF(SUM(IF('Eval-Avec impact envisagé'!$A$761=AG17,COUNTA('Eval-Avec impact envisagé'!$I$761),0),IF('Eval-Avec impact envisagé'!$A$762=AG17,COUNTA('Eval-Avec impact envisagé'!$I$762),0),IF('Eval-Avec impact envisagé'!$A$763=AG17,COUNTA('Eval-Avec impact envisagé'!$I$763),0),IF('Eval-Avec impact envisagé'!$A$764=AG17,COUNTA('Eval-Avec impact envisagé'!$I$764),0),IF('Eval-Avec impact envisagé'!$A$765=AG17,COUNTA('Eval-Avec impact envisagé'!$I$765),0),IF('Eval-Avec impact envisagé'!$A$766=AG17,COUNTA('Eval-Avec impact envisagé'!$I$766),0),IF('Eval-Avec impact envisagé'!$A$767=AG17,COUNTA('Eval-Avec impact envisagé'!$I$767),0),IF('Eval-Avec impact envisagé'!$A$768=AG17,COUNTA('Eval-Avec impact envisagé'!$I$768),0),IF('Eval-Avec impact envisagé'!$A$769=AG17,COUNTA('Eval-Avec impact envisagé'!$I$769),0),IF('Eval-Avec impact envisagé'!$A$770=AG17,COUNTA('Eval-Avec impact envisagé'!$I$770),0),IF('Eval-Avec impact envisagé'!$A$771=AG17,COUNTA('Eval-Avec impact envisagé'!$I$771),0),IF('Eval-Avec impact envisagé'!$A$772=AG17,COUNTA('Eval-Avec impact envisagé'!$I$772),0),IF('Eval-Avec impact envisagé'!$A$773=AG17,COUNTA('Eval-Avec impact envisagé'!$I$773),0),IF('Eval-Avec impact envisagé'!$A$774=AG17,COUNTA('Eval-Avec impact envisagé'!$I$774),0),IF('Eval-Avec impact envisagé'!$A$775=AG17,COUNTA('Eval-Avec impact envisagé'!$I$775),0),IF('Eval-Avec impact envisagé'!$A$776=AG17,COUNTA('Eval-Avec impact envisagé'!$I$776),0),IF('Eval-Avec impact envisagé'!$A$777=AG17,COUNTA('Eval-Avec impact envisagé'!$I$777),0),IF('Eval-Avec impact envisagé'!$A$778=AG17,COUNTA('Eval-Avec impact envisagé'!$I$778),0),IF('Eval-Avec impact envisagé'!$A$779=AG17,COUNTA('Eval-Avec impact envisagé'!$I$779),0),IF('Eval-Avec impact envisagé'!$A$780=AG17,COUNTA('Eval-Avec impact envisagé'!$I$780),0))&gt;0,"X",0),"")</f>
        <v/>
      </c>
      <c r="AM17" s="213" t="str">
        <f>IF(COUNTIF('Eval-Avec impact envisagé'!$A$761:$A$780,AG17)&gt;0,IF(SUM(IF('Eval-Avec impact envisagé'!$A$761=AG17,COUNTA('Eval-Avec impact envisagé'!$J$761),0),IF('Eval-Avec impact envisagé'!$A$762=AG17,COUNTA('Eval-Avec impact envisagé'!$J$762),0),IF('Eval-Avec impact envisagé'!$A$763=AG17,COUNTA('Eval-Avec impact envisagé'!$J$763),0),IF('Eval-Avec impact envisagé'!$A$764=AG17,COUNTA('Eval-Avec impact envisagé'!$J$764),0),IF('Eval-Avec impact envisagé'!$A$765=AG17,COUNTA('Eval-Avec impact envisagé'!$J$765),0),IF('Eval-Avec impact envisagé'!$A$766=AG17,COUNTA('Eval-Avec impact envisagé'!$J$766),0),IF('Eval-Avec impact envisagé'!$A$767=AG17,COUNTA('Eval-Avec impact envisagé'!$J$767),0),IF('Eval-Avec impact envisagé'!$A$768=AG17,COUNTA('Eval-Avec impact envisagé'!$J$768),0),IF('Eval-Avec impact envisagé'!$A$769=AG17,COUNTA('Eval-Avec impact envisagé'!$J$769),0),IF('Eval-Avec impact envisagé'!$A$770=AG17,COUNTA('Eval-Avec impact envisagé'!$J$770),0),IF('Eval-Avec impact envisagé'!$A$771=AG17,COUNTA('Eval-Avec impact envisagé'!$J$771),0),IF('Eval-Avec impact envisagé'!$A$772=AG17,COUNTA('Eval-Avec impact envisagé'!$J$772),0),IF('Eval-Avec impact envisagé'!$A$773=AG17,COUNTA('Eval-Avec impact envisagé'!$J$773),0),IF('Eval-Avec impact envisagé'!$A$774=AG17,COUNTA('Eval-Avec impact envisagé'!$J$774),0),IF('Eval-Avec impact envisagé'!$A$775=AG17,COUNTA('Eval-Avec impact envisagé'!$J$775),0),IF('Eval-Avec impact envisagé'!$A$776=AG17,COUNTA('Eval-Avec impact envisagé'!$J$776),0),IF('Eval-Avec impact envisagé'!$A$777=AG17,COUNTA('Eval-Avec impact envisagé'!$J$777),0),IF('Eval-Avec impact envisagé'!$A$778=AG17,COUNTA('Eval-Avec impact envisagé'!$J$778),0),IF('Eval-Avec impact envisagé'!$A$779=AG17,COUNTA('Eval-Avec impact envisagé'!$J$779),0),IF('Eval-Avec impact envisagé'!$A$780=AG17,COUNTA('Eval-Avec impact envisagé'!$J$780),0))&gt;0,"X",0),"")</f>
        <v/>
      </c>
      <c r="AN17" s="213" t="str">
        <f>IF(COUNTIF('Eval-Avec impact envisagé'!$A$761:$A$780,AG17)&gt;0,IF(SUM(IF('Eval-Avec impact envisagé'!$A$761=AG17,COUNTA('Eval-Avec impact envisagé'!$K$761),0),IF('Eval-Avec impact envisagé'!$A$762=AG17,COUNTA('Eval-Avec impact envisagé'!$K$762),0),IF('Eval-Avec impact envisagé'!$A$763=AG17,COUNTA('Eval-Avec impact envisagé'!$K$763),0),IF('Eval-Avec impact envisagé'!$A$764=AG17,COUNTA('Eval-Avec impact envisagé'!$K$764),0),IF('Eval-Avec impact envisagé'!$A$765=AG17,COUNTA('Eval-Avec impact envisagé'!$K$765),0),IF('Eval-Avec impact envisagé'!$A$766=AG17,COUNTA('Eval-Avec impact envisagé'!$K$766),0),IF('Eval-Avec impact envisagé'!$A$767=AG17,COUNTA('Eval-Avec impact envisagé'!$K$767),0),IF('Eval-Avec impact envisagé'!$A$768=AG17,COUNTA('Eval-Avec impact envisagé'!$K$768),0),IF('Eval-Avec impact envisagé'!$A$769=AG17,COUNTA('Eval-Avec impact envisagé'!$K$769),0),IF('Eval-Avec impact envisagé'!$A$770=AG17,COUNTA('Eval-Avec impact envisagé'!$K$770),0),IF('Eval-Avec impact envisagé'!$A$771=AG17,COUNTA('Eval-Avec impact envisagé'!$K$771),0),IF('Eval-Avec impact envisagé'!$A$772=AG17,COUNTA('Eval-Avec impact envisagé'!$K$772),0),IF('Eval-Avec impact envisagé'!$A$773=AG17,COUNTA('Eval-Avec impact envisagé'!$K$773),0),IF('Eval-Avec impact envisagé'!$A$774=AG17,COUNTA('Eval-Avec impact envisagé'!$K$774),0),IF('Eval-Avec impact envisagé'!$A$775=AG17,COUNTA('Eval-Avec impact envisagé'!$K$775),0),IF('Eval-Avec impact envisagé'!$A$776=AG17,COUNTA('Eval-Avec impact envisagé'!$K$776),0),IF('Eval-Avec impact envisagé'!$A$777=AG17,COUNTA('Eval-Avec impact envisagé'!$K$777),0),IF('Eval-Avec impact envisagé'!$A$778=AG17,COUNTA('Eval-Avec impact envisagé'!$K$778),0),IF('Eval-Avec impact envisagé'!$A$779=AG17,COUNTA('Eval-Avec impact envisagé'!$K$779),0),IF('Eval-Avec impact envisagé'!$A$780=AG17,COUNTA('Eval-Avec impact envisagé'!$K$780),0))&gt;0,"X",0),"")</f>
        <v/>
      </c>
      <c r="AO17" s="211" t="str">
        <f>IF(COUNTIF('Eval-Avec impact envisagé'!$A$761:$A$780,AG17)&gt;0,IF(OR(AND('Eval-Avec impact envisagé'!$A$761=AG17,'Eval-Avec impact envisagé'!$L$761&lt;120,'Eval-Avec impact envisagé'!$L$761&gt;=BD9),AND('Eval-Avec impact envisagé'!$A$762=AG17,'Eval-Avec impact envisagé'!$L$762&lt;120,'Eval-Avec impact envisagé'!$L$762&gt;=BD10),AND('Eval-Avec impact envisagé'!$A$763=AG17,'Eval-Avec impact envisagé'!$L$763&lt;120,'Eval-Avec impact envisagé'!$L$763&gt;=BD11),AND('Eval-Avec impact envisagé'!$A$764=AG17,'Eval-Avec impact envisagé'!$L$764&lt;120,'Eval-Avec impact envisagé'!$L$764&gt;=BD12),AND('Eval-Avec impact envisagé'!$A$765=AG17,'Eval-Avec impact envisagé'!$L$765&lt;120,'Eval-Avec impact envisagé'!$L$765&gt;=BD13),AND('Eval-Avec impact envisagé'!$A$766=AG17,'Eval-Avec impact envisagé'!$L$766&lt;120,'Eval-Avec impact envisagé'!$L$766&gt;=BD14),AND('Eval-Avec impact envisagé'!$A$767=AG17,'Eval-Avec impact envisagé'!$L$767&lt;120,'Eval-Avec impact envisagé'!$L$767&gt;=BD15),AND('Eval-Avec impact envisagé'!$A$768=AG17,'Eval-Avec impact envisagé'!$L$768&lt;120,'Eval-Avec impact envisagé'!$L$768&gt;=BD16),AND('Eval-Avec impact envisagé'!$A$769=AG17,'Eval-Avec impact envisagé'!$L$769&lt;120,'Eval-Avec impact envisagé'!$L$769&gt;=BD17),AND('Eval-Avec impact envisagé'!$A$770=AG17,'Eval-Avec impact envisagé'!$L$770&lt;120,'Eval-Avec impact envisagé'!$L$770&gt;=BD18),AND('Eval-Avec impact envisagé'!$A$771=AG17,'Eval-Avec impact envisagé'!$L$771&lt;120,'Eval-Avec impact envisagé'!$L$771&gt;=BD19),AND('Eval-Avec impact envisagé'!$A$772=AG17,'Eval-Avec impact envisagé'!$L$772&lt;120,'Eval-Avec impact envisagé'!$L$772&gt;=BD20),AND('Eval-Avec impact envisagé'!$A$773=AG17,'Eval-Avec impact envisagé'!$L$773&lt;120,'Eval-Avec impact envisagé'!$L$773&gt;=BD21),AND('Eval-Avec impact envisagé'!$A$774=AG17,'Eval-Avec impact envisagé'!$L$774&lt;120,'Eval-Avec impact envisagé'!$L$774&gt;=BD22),AND('Eval-Avec impact envisagé'!$A$775=AG17,'Eval-Avec impact envisagé'!$L$775&lt;120,'Eval-Avec impact envisagé'!$L$775&gt;=BD23),AND('Eval-Avec impact envisagé'!$A$776=AG17,'Eval-Avec impact envisagé'!$L$776&lt;120,'Eval-Avec impact envisagé'!$L$776&gt;=BD24),AND('Eval-Avec impact envisagé'!$A$777=AG17,'Eval-Avec impact envisagé'!$L$777&lt;120,'Eval-Avec impact envisagé'!$L$777&gt;=BD25),AND('Eval-Avec impact envisagé'!$A$778=AG17,'Eval-Avec impact envisagé'!$L$778&lt;120,'Eval-Avec impact envisagé'!$L$778&gt;=BD26),AND('Eval-Avec impact envisagé'!$A$779=AG17,'Eval-Avec impact envisagé'!$L$779&lt;120,'Eval-Avec impact envisagé'!$L$779&gt;=BD27),AND('Eval-Avec impact envisagé'!$A$780=AG17,'Eval-Avec impact envisagé'!$L$780&lt;120,'Eval-Avec impact envisagé'!$L$780&gt;=BD28)),"",SUM(IF('Eval-Avec impact envisagé'!$A$761=AG17,'Eval-Avec impact envisagé'!$L$761,0),IF('Eval-Avec impact envisagé'!$A$762=AG17,'Eval-Avec impact envisagé'!$L$762,0),IF('Eval-Avec impact envisagé'!$A$763=AG17,'Eval-Avec impact envisagé'!$L$763,0),IF('Eval-Avec impact envisagé'!$A$764=AG17,'Eval-Avec impact envisagé'!$L$764,0),IF('Eval-Avec impact envisagé'!$A$765=AG17,'Eval-Avec impact envisagé'!$L$765,0),IF('Eval-Avec impact envisagé'!$A$766=AG17,'Eval-Avec impact envisagé'!$L$766,0),IF('Eval-Avec impact envisagé'!$A$767=AG17,'Eval-Avec impact envisagé'!$L$767,0),IF('Eval-Avec impact envisagé'!$A$768=AG17,'Eval-Avec impact envisagé'!$L$768,0),IF('Eval-Avec impact envisagé'!$A$769=AG17,'Eval-Avec impact envisagé'!$L$769,0),IF('Eval-Avec impact envisagé'!$A$770=AG17,'Eval-Avec impact envisagé'!$L$770,0),IF('Eval-Avec impact envisagé'!$A$771=AG17,'Eval-Avec impact envisagé'!$L$771,0),IF('Eval-Avec impact envisagé'!$A$772=AG17,'Eval-Avec impact envisagé'!$L$772,0),IF('Eval-Avec impact envisagé'!$A$773=AG17,'Eval-Avec impact envisagé'!$L$773,0),IF('Eval-Avec impact envisagé'!$A$774=AG17,'Eval-Avec impact envisagé'!$L$774,0),IF('Eval-Avec impact envisagé'!$A$775=AG17,'Eval-Avec impact envisagé'!$L$775,0),IF('Eval-Avec impact envisagé'!$A$776=AG17,'Eval-Avec impact envisagé'!$L$776,0),IF('Eval-Avec impact envisagé'!$A$777=AG17,'Eval-Avec impact envisagé'!$L$777,0),IF('Eval-Avec impact envisagé'!$A$778=AG17,'Eval-Avec impact envisagé'!$L$778,0),IF('Eval-Avec impact envisagé'!$A$779=AG17,'Eval-Avec impact envisagé'!$L$779,0),IF('Eval-Avec impact envisagé'!$A$780=AG17,'Eval-Avec impact envisagé'!$L$780,0))/ COUNTIF('Eval-Avec impact envisagé'!$A$761:$A$780,AG17)),"")</f>
        <v/>
      </c>
      <c r="AP17" s="211" t="str">
        <f>IF(COUNTIF('Eval-Avec impact envisagé'!$A$761:$A$780,AG17)&gt;0,IF(OR(AND('Eval-Avec impact envisagé'!$A$761=AG17, BD9&lt;120),AND(BD10&lt;120),AND(BD11&lt;120),AND(BD12&lt;120),AND(BD13&lt;120),AND(BD14&lt;120),AND(BD15&lt;120),AND(BD16&lt;120),AND(BD17&lt;120),AND(BD18&lt;120),AND(BD19&lt;120),AND(BD20&lt;120),AND(BD21&lt;120),AND(BD22&lt;120),AND(BD23&lt;120),AND(BD24&lt;120),AND(BD25&lt;120),AND(BD26&lt;120),AND(BD27&lt;120),AND(BD28&lt;120)),"",SUM(IF('Eval-Avec impact envisagé'!$A$761=AG17,'Eval-Avec impact envisagé'!$M$761,0),IF('Eval-Avec impact envisagé'!$A$762=AG17,'Eval-Avec impact envisagé'!$M$762,0),IF('Eval-Avec impact envisagé'!$A$763=AG17,'Eval-Avec impact envisagé'!$M$763,0),IF('Eval-Avec impact envisagé'!$A$764=AG17,'Eval-Avec impact envisagé'!$M$764,0),IF('Eval-Avec impact envisagé'!$A$765=AG17,'Eval-Avec impact envisagé'!$M$765,0),IF('Eval-Avec impact envisagé'!$A$766=AG17,'Eval-Avec impact envisagé'!$M$766,0),IF('Eval-Avec impact envisagé'!$A$767=AG17,'Eval-Avec impact envisagé'!$M$767,0),IF('Eval-Avec impact envisagé'!$A$768=AG17,'Eval-Avec impact envisagé'!$M$768,0),IF('Eval-Avec impact envisagé'!$A$769=AG17,'Eval-Avec impact envisagé'!$M$769,0),IF('Eval-Avec impact envisagé'!$A$770=AG17,'Eval-Avec impact envisagé'!$M$770,0),IF('Eval-Avec impact envisagé'!$A$771=AG17,'Eval-Avec impact envisagé'!$M$771,0),IF('Eval-Avec impact envisagé'!$A$772=AG17,'Eval-Avec impact envisagé'!$M$772,0),IF('Eval-Avec impact envisagé'!$A$773=AG17,'Eval-Avec impact envisagé'!$M$773,0),IF('Eval-Avec impact envisagé'!$A$774=AG17,'Eval-Avec impact envisagé'!$M$774,0),IF('Eval-Avec impact envisagé'!$A$775=AG17,'Eval-Avec impact envisagé'!$M$775,0), IF('Eval-Avec impact envisagé'!$A$776=AG17,'Eval-Avec impact envisagé'!$M$776,0), IF('Eval-Avec impact envisagé'!$A$777=AG17,'Eval-Avec impact envisagé'!$M$777,0), IF('Eval-Avec impact envisagé'!$A$778=AG17,'Eval-Avec impact envisagé'!$M$778,0), IF('Eval-Avec impact envisagé'!$A$779=AG17,'Eval-Avec impact envisagé'!$M$779,0), IF('Eval-Avec impact envisagé'!$A$780=AG17,'Eval-Avec impact envisagé'!$M$780,0))/COUNTIF('Eval-Avec impact envisagé'!$A$761:$A$780,AG17)),"")</f>
        <v/>
      </c>
      <c r="AQ17" s="211" t="str">
        <f>IF(COUNTIF('Eval-Avec impact envisagé'!$A$761:$A$780,AG17)&gt;0,SUM(IF('Eval-Avec impact envisagé'!$A$761=AG17,LEN(SUBSTITUTE((SUBSTITUTE(BF9,"TM","")),"TS",""))*10/2,0),IF('Eval-Avec impact envisagé'!$A$762=AG17,LEN(SUBSTITUTE((SUBSTITUTE(BF10,"TM","")),"TS",""))*10/2,0),IF('Eval-Avec impact envisagé'!$A$763=AG17,LEN(SUBSTITUTE((SUBSTITUTE(BF11,"TM","")),"TS",""))*10/2,0),IF('Eval-Avec impact envisagé'!$A$764=AG17,LEN(SUBSTITUTE((SUBSTITUTE(BF12,"TM","")),"TS",""))*10/2,0),IF('Eval-Avec impact envisagé'!$A$765=AG17,LEN(SUBSTITUTE((SUBSTITUTE(BF13,"TM","")),"TS",""))*10/2,0),IF('Eval-Avec impact envisagé'!$A$766=AG17,LEN(SUBSTITUTE((SUBSTITUTE(BF14,"TM","")),"TS",""))*10/2,0),IF('Eval-Avec impact envisagé'!$A$767=AG17,LEN(SUBSTITUTE((SUBSTITUTE(BF15,"TM","")),"TS",""))*10/2,0),IF('Eval-Avec impact envisagé'!$A$768=AG17,LEN(SUBSTITUTE((SUBSTITUTE(BF16,"TM","")),"TS",""))*10/2,0),IF('Eval-Avec impact envisagé'!$A$769=AG17,LEN(SUBSTITUTE((SUBSTITUTE(BF17,"TM","")),"TS",""))*10/2,0),IF('Eval-Avec impact envisagé'!$A$770=AG17,LEN(SUBSTITUTE((SUBSTITUTE(BF18,"TM","")),"TS",""))*10/2,0),IF('Eval-Avec impact envisagé'!$A$771=AG17,LEN(SUBSTITUTE((SUBSTITUTE(BF19,"TM","")),"TS",""))*10/2,0),IF('Eval-Avec impact envisagé'!$A$772=AG17,LEN(SUBSTITUTE((SUBSTITUTE(BF20,"TM","")),"TS",""))*10/2,0),IF('Eval-Avec impact envisagé'!$A$773=AG17,LEN(SUBSTITUTE((SUBSTITUTE(BF21,"TM","")),"TS",""))*10/2,0),IF('Eval-Avec impact envisagé'!$A$774=AG17,LEN(SUBSTITUTE((SUBSTITUTE(BF22,"TM","")),"TS",""))*10/2,0),IF('Eval-Avec impact envisagé'!$A$775=AG17,LEN(SUBSTITUTE((SUBSTITUTE(BF23,"TM","")),"TS",""))*10/2,0),IF('Eval-Avec impact envisagé'!$A$776=AG17,LEN(SUBSTITUTE((SUBSTITUTE(BF24,"TM","")),"TS",""))*10/2,0),IF('Eval-Avec impact envisagé'!$A$777=AG17,LEN(SUBSTITUTE((SUBSTITUTE(BF25,"TM","")),"TS",""))*10/2,0),IF('Eval-Avec impact envisagé'!$A$778=AG17,LEN(SUBSTITUTE((SUBSTITUTE(BF26,"TM","")),"TS",""))*10/2,0),IF('Eval-Avec impact envisagé'!$A$779=AG17,LEN(SUBSTITUTE((SUBSTITUTE(BF27,"TM","")),"TS",""))*10/2,0),IF('Eval-Avec impact envisagé'!$A$780=AG17,LEN(SUBSTITUTE((SUBSTITUTE(BF28,"TM","")),"TS",""))*10/2,0))/COUNTIF('Eval-Avec impact envisagé'!$A$761:$A$780,AG17),"")</f>
        <v/>
      </c>
      <c r="AR17" s="211" t="str">
        <f>IF(COUNTIF('Eval-Avec impact envisagé'!$A$761:$A$780,AG17)&gt;0,SUM(IF('Eval-Avec impact envisagé'!$A$761=AG17,LEN(SUBSTITUTE((SUBSTITUTE(BF9,"TF","")),"TS",""))*10/2,0),IF('Eval-Avec impact envisagé'!$A$762=AG17,LEN(SUBSTITUTE((SUBSTITUTE(BF10,"TF","")),"TS",""))*10/2,0),IF('Eval-Avec impact envisagé'!$A$763=AG17,LEN(SUBSTITUTE((SUBSTITUTE(BF11,"TF","")),"TS",""))*10/2,0),IF('Eval-Avec impact envisagé'!$A$764=AG17,LEN(SUBSTITUTE((SUBSTITUTE(BF12,"TF","")),"TS",""))*10/2,0),IF('Eval-Avec impact envisagé'!$A$765=AG17,LEN(SUBSTITUTE((SUBSTITUTE(BF13,"TF","")),"TS",""))*10/2,0),IF('Eval-Avec impact envisagé'!$A$766=AG17,LEN(SUBSTITUTE((SUBSTITUTE(BF14,"TF","")),"TS",""))*10/2,0),IF('Eval-Avec impact envisagé'!$A$767=AG17,LEN(SUBSTITUTE((SUBSTITUTE(BF15,"TF","")),"TS",""))*10/2,0),IF('Eval-Avec impact envisagé'!$A$768=AG17,LEN(SUBSTITUTE((SUBSTITUTE(BF16,"TF","")),"TS",""))*10/2,0),IF('Eval-Avec impact envisagé'!$A$769=AG17,LEN(SUBSTITUTE((SUBSTITUTE(BF17,"TF","")),"TS",""))*10/2,0),IF('Eval-Avec impact envisagé'!$A$770=AG17,LEN(SUBSTITUTE((SUBSTITUTE(BF18,"TF","")),"TS",""))*10/2,0),IF('Eval-Avec impact envisagé'!$A$771=AG17,LEN(SUBSTITUTE((SUBSTITUTE(BF19,"TF","")),"TS",""))*10/2,0),IF('Eval-Avec impact envisagé'!$A$772=AG17,LEN(SUBSTITUTE((SUBSTITUTE(BF20,"TF","")),"TS",""))*10/2,0),IF('Eval-Avec impact envisagé'!$A$773=AG17,LEN(SUBSTITUTE((SUBSTITUTE(BF21,"TF","")),"TS",""))*10/2,0),IF('Eval-Avec impact envisagé'!$A$774=AG17,LEN(SUBSTITUTE((SUBSTITUTE(BF22,"TF","")),"TS",""))*10/2,0),IF('Eval-Avec impact envisagé'!$A$775=AG17,LEN(SUBSTITUTE((SUBSTITUTE(BF23,"TF","")),"TS",""))*10/2,0),IF('Eval-Avec impact envisagé'!$A$776=AG17,LEN(SUBSTITUTE((SUBSTITUTE(BF24,"TF","")),"TS",""))*10/2,0),IF('Eval-Avec impact envisagé'!$A$777=AG17,LEN(SUBSTITUTE((SUBSTITUTE(BF25,"TF","")),"TS",""))*10/2,0),IF('Eval-Avec impact envisagé'!$A$778=AG17,LEN(SUBSTITUTE((SUBSTITUTE(BF26,"TF","")),"TS",""))*10/2,0),IF('Eval-Avec impact envisagé'!$A$779=AG17,LEN(SUBSTITUTE((SUBSTITUTE(BF27,"TF","")),"TS",""))*10/2,0),IF('Eval-Avec impact envisagé'!$A$780=AG17,LEN(SUBSTITUTE((SUBSTITUTE(BF28,"TF","")),"TS",""))*10/2,0))/COUNTIF('Eval-Avec impact envisagé'!$A$761:$A$780,AG17),"")</f>
        <v/>
      </c>
      <c r="AS17" s="211" t="str">
        <f>IF(COUNTIF('Eval-Avec impact envisagé'!$A$761:$A$780,AG17)&gt;0,SUM(IF('Eval-Avec impact envisagé'!$A$761=AG17,LEN(SUBSTITUTE((SUBSTITUTE(BF9,"TF","")),"TM",""))*10/2,0),IF('Eval-Avec impact envisagé'!$A$762=AG17,LEN(SUBSTITUTE((SUBSTITUTE(BF10,"TF","")),"TM",""))*10/2,0),IF('Eval-Avec impact envisagé'!$A$763=AG17,LEN(SUBSTITUTE((SUBSTITUTE(BF11,"TF","")),"TM",""))*10/2,0),IF('Eval-Avec impact envisagé'!$A$764=AG17,LEN(SUBSTITUTE((SUBSTITUTE(BF12,"TF","")),"TM",""))*10/2,0),IF('Eval-Avec impact envisagé'!$A$765=AG17,LEN(SUBSTITUTE((SUBSTITUTE(BF13,"TF","")),"TM",""))*10/2,0),IF('Eval-Avec impact envisagé'!$A$766=AG17,LEN(SUBSTITUTE((SUBSTITUTE(BF14,"TF","")),"TM",""))*10/2,0),IF('Eval-Avec impact envisagé'!$A$767=AG17,LEN(SUBSTITUTE((SUBSTITUTE(BF15,"TF","")),"TM",""))*10/2,0),IF('Eval-Avec impact envisagé'!$A$768=AG17,LEN(SUBSTITUTE((SUBSTITUTE(BF16,"TF","")),"TM",""))*10/2,0),IF('Eval-Avec impact envisagé'!$A$769=AG17,LEN(SUBSTITUTE((SUBSTITUTE(BF17,"TF","")),"TM",""))*10/2,0),IF('Eval-Avec impact envisagé'!$A$770=AG17,LEN(SUBSTITUTE((SUBSTITUTE(BF18,"TF","")),"TM",""))*10/2,0),IF('Eval-Avec impact envisagé'!$A$771=AG17,LEN(SUBSTITUTE((SUBSTITUTE(BF19,"TF","")),"TM",""))*10/2,0),IF('Eval-Avec impact envisagé'!$A$772=AG17,LEN(SUBSTITUTE((SUBSTITUTE(BF20,"TF","")),"TM",""))*10/2,0),IF('Eval-Avec impact envisagé'!$A$773=AG17,LEN(SUBSTITUTE((SUBSTITUTE(BF21,"TF","")),"TM",""))*10/2,0),IF('Eval-Avec impact envisagé'!$A$774=AG17,LEN(SUBSTITUTE((SUBSTITUTE(BF22,"TF","")),"TM",""))*10/2,0),IF('Eval-Avec impact envisagé'!$A$775=AG17,LEN(SUBSTITUTE((SUBSTITUTE(BF23,"TF","")),"TM",""))*10/2,0),IF('Eval-Avec impact envisagé'!$A$776=AG17,LEN(SUBSTITUTE((SUBSTITUTE(BF24,"TF","")),"TM",""))*10/2,0),IF('Eval-Avec impact envisagé'!$A$777=AG17,LEN(SUBSTITUTE((SUBSTITUTE(BF25,"TF","")),"TM",""))*10/2,0),IF('Eval-Avec impact envisagé'!$A$778=AG17,LEN(SUBSTITUTE((SUBSTITUTE(BF26,"TF","")),"TM",""))*10/2,0),IF('Eval-Avec impact envisagé'!$A$779=AG17,LEN(SUBSTITUTE((SUBSTITUTE(BF27,"TF","")),"TM",""))*10/2,0),IF('Eval-Avec impact envisagé'!$A$780=AG17,LEN(SUBSTITUTE((SUBSTITUTE(BF28,"TF","")),"TM",""))*10/2,0))/COUNTIF('Eval-Avec impact envisagé'!$A$761:$A$780,AG17),"")</f>
        <v/>
      </c>
      <c r="AT17" s="211" t="str">
        <f>IF(COUNTIF('Eval-Avec impact envisagé'!$A$761:$A$780,AG17)&gt;0,SUM(IF('Eval-Avec impact envisagé'!$A$761=AG17,LEN(SUBSTITUTE((SUBSTITUTE(BG9,"TM","")),"TS",""))*10/2,0),IF('Eval-Avec impact envisagé'!$A$762=AG17,LEN(SUBSTITUTE((SUBSTITUTE(BG10,"TM","")),"TS",""))*10/2,0),IF('Eval-Avec impact envisagé'!$A$763=AG17,LEN(SUBSTITUTE((SUBSTITUTE(BG11,"TM","")),"TS",""))*10/2,0),IF('Eval-Avec impact envisagé'!$A$764=AG17,LEN(SUBSTITUTE((SUBSTITUTE(BG12,"TM","")),"TS",""))*10/2,0),IF('Eval-Avec impact envisagé'!$A$765=AG17,LEN(SUBSTITUTE((SUBSTITUTE(BG13,"TM","")),"TS",""))*10/2,0),IF('Eval-Avec impact envisagé'!$A$766=AG17,LEN(SUBSTITUTE((SUBSTITUTE(BG14,"TM","")),"TS",""))*10/2,0),IF('Eval-Avec impact envisagé'!$A$767=AG17,LEN(SUBSTITUTE((SUBSTITUTE(BG15,"TM","")),"TS",""))*10/2,0),IF('Eval-Avec impact envisagé'!$A$768=AG17,LEN(SUBSTITUTE((SUBSTITUTE(BG16,"TM","")),"TS",""))*10/2,0),IF('Eval-Avec impact envisagé'!$A$769=AG17,LEN(SUBSTITUTE((SUBSTITUTE(BG17,"TM","")),"TS",""))*10/2,0),IF('Eval-Avec impact envisagé'!$A$770=AG17,LEN(SUBSTITUTE((SUBSTITUTE(BG18,"TM","")),"TS",""))*10/2,0),IF('Eval-Avec impact envisagé'!$A$771=AG17,LEN(SUBSTITUTE((SUBSTITUTE(BG19,"TM","")),"TS",""))*10/2,0),IF('Eval-Avec impact envisagé'!$A$772=AG17,LEN(SUBSTITUTE((SUBSTITUTE(BG20,"TM","")),"TS",""))*10/2,0),IF('Eval-Avec impact envisagé'!$A$773=AG17,LEN(SUBSTITUTE((SUBSTITUTE(BG21,"TM","")),"TS",""))*10/2,0),IF('Eval-Avec impact envisagé'!$A$774=AG17,LEN(SUBSTITUTE((SUBSTITUTE(BG22,"TM","")),"TS",""))*10/2,0),IF('Eval-Avec impact envisagé'!$A$775=AG17,LEN(SUBSTITUTE((SUBSTITUTE(BG23,"TM","")),"TS",""))*10/2,0),IF('Eval-Avec impact envisagé'!$A$776=AG17,LEN(SUBSTITUTE((SUBSTITUTE(BG24,"TM","")),"TS",""))*10/2,0),IF('Eval-Avec impact envisagé'!$A$777=AG17,LEN(SUBSTITUTE((SUBSTITUTE(BG25,"TM","")),"TS",""))*10/2,0),IF('Eval-Avec impact envisagé'!$A$778=AG17,LEN(SUBSTITUTE((SUBSTITUTE(BG26,"TM","")),"TS",""))*10/2,0),IF('Eval-Avec impact envisagé'!$A$779=AG17,LEN(SUBSTITUTE((SUBSTITUTE(BG27,"TM","")),"TS",""))*10/2,0),IF('Eval-Avec impact envisagé'!$A$780=AG17,LEN(SUBSTITUTE((SUBSTITUTE(BG28,"TM","")),"TS",""))*10/2,0))/COUNTIF('Eval-Avec impact envisagé'!$A$761:$A$780,AG17),"")</f>
        <v/>
      </c>
      <c r="AU17" s="211" t="str">
        <f>IF(COUNTIF('Eval-Avec impact envisagé'!$A$761:$A$780,AG17)&gt;0,SUM(IF('Eval-Avec impact envisagé'!$A$761=AG17,LEN(SUBSTITUTE((SUBSTITUTE(BG9,"TF","")),"TS",""))*10/2,0),IF('Eval-Avec impact envisagé'!$A$762=AG17,LEN(SUBSTITUTE((SUBSTITUTE(BG10,"TF","")),"TS",""))*10/2,0),IF('Eval-Avec impact envisagé'!$A$763=AG17,LEN(SUBSTITUTE((SUBSTITUTE(BG11,"TF","")),"TS",""))*10/2,0),IF('Eval-Avec impact envisagé'!$A$764=AG17,LEN(SUBSTITUTE((SUBSTITUTE(BG12,"TF","")),"TS",""))*10/2,0),IF('Eval-Avec impact envisagé'!$A$765=AG17,LEN(SUBSTITUTE((SUBSTITUTE(BG13,"TF","")),"TS",""))*10/2,0),IF('Eval-Avec impact envisagé'!$A$766=AG17,LEN(SUBSTITUTE((SUBSTITUTE(BG14,"TF","")),"TS",""))*10/2,0),IF('Eval-Avec impact envisagé'!$A$767=AG17,LEN(SUBSTITUTE((SUBSTITUTE(BG15,"TF","")),"TS",""))*10/2,0),IF('Eval-Avec impact envisagé'!$A$768=AG17,LEN(SUBSTITUTE((SUBSTITUTE(BG16,"TF","")),"TS",""))*10/2,0),IF('Eval-Avec impact envisagé'!$A$769=AG17,LEN(SUBSTITUTE((SUBSTITUTE(BG17,"TF","")),"TS",""))*10/2,0),IF('Eval-Avec impact envisagé'!$A$770=AG17,LEN(SUBSTITUTE((SUBSTITUTE(BG18,"TF","")),"TS",""))*10/2,0),IF('Eval-Avec impact envisagé'!$A$771=AG17,LEN(SUBSTITUTE((SUBSTITUTE(BG19,"TF","")),"TS",""))*10/2,0),IF('Eval-Avec impact envisagé'!$A$772=AG17,LEN(SUBSTITUTE((SUBSTITUTE(BG20,"TF","")),"TS",""))*10/2,0),IF('Eval-Avec impact envisagé'!$A$773=AG17,LEN(SUBSTITUTE((SUBSTITUTE(BG21,"TF","")),"TS",""))*10/2,0),IF('Eval-Avec impact envisagé'!$A$774=AG17,LEN(SUBSTITUTE((SUBSTITUTE(BG22,"TF","")),"TS",""))*10/2,0),IF('Eval-Avec impact envisagé'!$A$775=AG17,LEN(SUBSTITUTE((SUBSTITUTE(BG23,"TF","")),"TS",""))*10/2,0),IF('Eval-Avec impact envisagé'!$A$776=AG17,LEN(SUBSTITUTE((SUBSTITUTE(BG24,"TF","")),"TS",""))*10/2,0),IF('Eval-Avec impact envisagé'!$A$777=AG17,LEN(SUBSTITUTE((SUBSTITUTE(BG25,"TF","")),"TS",""))*10/2,0),IF('Eval-Avec impact envisagé'!$A$778=AG17,LEN(SUBSTITUTE((SUBSTITUTE(BG26,"TF","")),"TS",""))*10/2,0),IF('Eval-Avec impact envisagé'!$A$779=AG17,LEN(SUBSTITUTE((SUBSTITUTE(BG27,"TF","")),"TS",""))*10/2,0),IF('Eval-Avec impact envisagé'!$A$780=AG17,LEN(SUBSTITUTE((SUBSTITUTE(BG28,"TF","")),"TS",""))*10/2,0))/COUNTIF('Eval-Avec impact envisagé'!$A$761:$A$780,AG17),"")</f>
        <v/>
      </c>
      <c r="AV17" s="211" t="str">
        <f>IF(COUNTIF('Eval-Avec impact envisagé'!$A$761:$A$780,AG17)&gt;0,SUM(IF('Eval-Avec impact envisagé'!$A$761=AG17,LEN(SUBSTITUTE((SUBSTITUTE(BG9,"TF","")),"TM",""))*10/2,0),IF('Eval-Avec impact envisagé'!$A$762=AG17,LEN(SUBSTITUTE((SUBSTITUTE(BG10,"TF","")),"TM",""))*10/2,0),IF('Eval-Avec impact envisagé'!$A$763=AG17,LEN(SUBSTITUTE((SUBSTITUTE(BG11,"TF","")),"TM",""))*10/2,0),IF('Eval-Avec impact envisagé'!$A$764=AG17,LEN(SUBSTITUTE((SUBSTITUTE(BG12,"TF","")),"TM",""))*10/2,0),IF('Eval-Avec impact envisagé'!$A$765=AG17,LEN(SUBSTITUTE((SUBSTITUTE(BG13,"TF","")),"TM",""))*10/2,0),IF('Eval-Avec impact envisagé'!$A$766=AG17,LEN(SUBSTITUTE((SUBSTITUTE(BG14,"TF","")),"TM",""))*10/2,0),IF('Eval-Avec impact envisagé'!$A$767=AG17,LEN(SUBSTITUTE((SUBSTITUTE(BG15,"TF","")),"TM",""))*10/2,0),IF('Eval-Avec impact envisagé'!$A$768=AG17,LEN(SUBSTITUTE((SUBSTITUTE(BG16,"TF","")),"TM",""))*10/2,0),IF('Eval-Avec impact envisagé'!$A$769=AG17,LEN(SUBSTITUTE((SUBSTITUTE(BG17,"TF","")),"TM",""))*10/2,0),IF('Eval-Avec impact envisagé'!$A$770=AG17,LEN(SUBSTITUTE((SUBSTITUTE(BG18,"TF","")),"TM",""))*10/2,0),IF('Eval-Avec impact envisagé'!$A$771=AG17,LEN(SUBSTITUTE((SUBSTITUTE(BG19,"TF","")),"TM",""))*10/2,0),IF('Eval-Avec impact envisagé'!$A$772=AG17,LEN(SUBSTITUTE((SUBSTITUTE(BG20,"TF","")),"TM",""))*10/2,0),IF('Eval-Avec impact envisagé'!$A$773=AG17,LEN(SUBSTITUTE((SUBSTITUTE(BG21,"TF","")),"TM",""))*10/2,0),IF('Eval-Avec impact envisagé'!$A$774=AG17,LEN(SUBSTITUTE((SUBSTITUTE(BG22,"TF","")),"TM",""))*10/2,0),IF('Eval-Avec impact envisagé'!$A$775=AG17,LEN(SUBSTITUTE((SUBSTITUTE(BG23,"TF","")),"TM",""))*10/2,0),IF('Eval-Avec impact envisagé'!$A$776=AG17,LEN(SUBSTITUTE((SUBSTITUTE(BG24,"TF","")),"TM",""))*10/2,0),IF('Eval-Avec impact envisagé'!$A$777=AG17,LEN(SUBSTITUTE((SUBSTITUTE(BG25,"TF","")),"TM",""))*10/2,0),IF('Eval-Avec impact envisagé'!$A$778=AG17,LEN(SUBSTITUTE((SUBSTITUTE(BG26,"TF","")),"TM",""))*10/2,0),IF('Eval-Avec impact envisagé'!$A$779=AG17,LEN(SUBSTITUTE((SUBSTITUTE(BG27,"TF","")),"TM",""))*10/2,0),IF('Eval-Avec impact envisagé'!$A$780=AG17,LEN(SUBSTITUTE((SUBSTITUTE(BG28,"TF","")),"TM",""))*10/2,0))/COUNTIF('Eval-Avec impact envisagé'!$A$761:$A$780,AG17),"")</f>
        <v/>
      </c>
      <c r="AW17" s="211" t="str">
        <f>IF(COUNTIF('Eval-Avec impact envisagé'!$A$761:$A$780,AG17)&gt;0,IF(OR(AND('Eval-Avec impact envisagé'!$A$761=AG17,BD9&lt;30),AND('Eval-Avec impact envisagé'!$A$762=AG17,BD10&lt;30),AND('Eval-Avec impact envisagé'!$A$763=AG17,BD11&lt;30),AND('Eval-Avec impact envisagé'!$A$764=AG17,BD12&lt;30),AND('Eval-Avec impact envisagé'!$A$765=AG17,BD13&lt;30),AND('Eval-Avec impact envisagé'!$A$766=AG17,BD14&lt;30),AND('Eval-Avec impact envisagé'!$A$767=AG17,BD15&lt;30),AND('Eval-Avec impact envisagé'!$A$768=AG17,BD16&lt;30),AND('Eval-Avec impact envisagé'!$A$769=AG17,BD17&lt;30),AND('Eval-Avec impact envisagé'!$A$770=AG17,BD18&lt;30),AND('Eval-Avec impact envisagé'!$A$771=AG17,BD19&lt;30),AND('Eval-Avec impact envisagé'!$A$772=AG17,BD20&lt;30),AND('Eval-Avec impact envisagé'!$A$773=AG17,BD21&lt;30),AND('Eval-Avec impact envisagé'!$A$774=AG17,BD22&lt;30),AND('Eval-Avec impact envisagé'!$A$775=AG17,BD23&lt;30),AND('Eval-Avec impact envisagé'!$A$776=AG17,BD24&lt;30),AND('Eval-Avec impact envisagé'!$A$777=AG17,BD25&lt;30),AND('Eval-Avec impact envisagé'!$A$778=AG17,BD26&lt;30),AND('Eval-Avec impact envisagé'!$A$779=AG17,BD27&lt;30),AND('Eval-Avec impact envisagé'!$A$780=AG17,BD28&lt;30)),"",SUM(0.1*(SUMPRODUCT(('Eval-Avec impact envisagé'!$A$761:$A$780=AG17)*('Eval-Avec impact envisagé'!$N$761:$P$780="A"))+ SUMPRODUCT(('Eval-Avec impact envisagé'!$A$761:$A$780=AG17)*('Eval-Avec impact envisagé'!$N$761:$P$780="AL"))),0.7*(SUMPRODUCT(('Eval-Avec impact envisagé'!$A$761:$A$780=AG17)*('Eval-Avec impact envisagé'!$N$761:$P$780="TF"))+SUMPRODUCT(('Eval-Avec impact envisagé'!$A$761:$A$780=AG17)*('Eval-Avec impact envisagé'!$N$761:$P$780="TM"))+SUMPRODUCT(('Eval-Avec impact envisagé'!$A$761:$A$780=AG17)*('Eval-Avec impact envisagé'!$N$761:$P$780="TS"))),0.4*(SUMPRODUCT(('Eval-Avec impact envisagé'!$A$761:$A$780=AG17)*('Eval-Avec impact envisagé'!$N$761:$P$780="LA"))+SUMPRODUCT(('Eval-Avec impact envisagé'!$A$761:$A$780=AG17)*('Eval-Avec impact envisagé'!$N$761:$P$780="L"))+SUMPRODUCT(('Eval-Avec impact envisagé'!$A$761:$A$780=AG17)*('Eval-Avec impact envisagé'!$N$761:$P$780="LS"))),1*(SUMPRODUCT(('Eval-Avec impact envisagé'!$A$761:$A$780=AG17)*('Eval-Avec impact envisagé'!$N$761:$P$780="SL"))+ SUMPRODUCT(('Eval-Avec impact envisagé'!$A$761:$A$780=AG17)*('Eval-Avec impact envisagé'!$N$761:$P$780="S"))))/(3*COUNTIF('Eval-Avec impact envisagé'!$A$761:$A$780,AG17))),"")</f>
        <v/>
      </c>
      <c r="AX17" s="211" t="str">
        <f>IF(COUNTIF('Eval-Avec impact envisagé'!$A$761:$A$780,AG17)&gt;0,IF(OR(AND('Eval-Avec impact envisagé'!$A$761=AG17,BD9&lt;120),AND('Eval-Avec impact envisagé'!$A$762=AG17,BD10&lt;120),AND('Eval-Avec impact envisagé'!$A$763=AG17,BD11&lt;120),AND('Eval-Avec impact envisagé'!$A$764=AG17,BD12&lt;120),AND('Eval-Avec impact envisagé'!$A$765=AG17,BD13&lt;120),AND('Eval-Avec impact envisagé'!$A$766=AG17,BD14&lt;120),AND('Eval-Avec impact envisagé'!$A$767=AG17,BD15&lt;120),AND('Eval-Avec impact envisagé'!$A$768=AG17,BD16&lt;120),AND('Eval-Avec impact envisagé'!$A$769=AG17,BD17&lt;120),AND('Eval-Avec impact envisagé'!$A$770=AG17,BD18&lt;120),AND('Eval-Avec impact envisagé'!$A$771=AG17,BD19&lt;120),AND('Eval-Avec impact envisagé'!$A$772=AG17,BD20&lt;120),AND('Eval-Avec impact envisagé'!$A$773=AG17,BD21&lt;120),AND('Eval-Avec impact envisagé'!$A$774=AG17,BD22&lt;120),AND('Eval-Avec impact envisagé'!$A$775=AG17,BD23&lt;120),AND('Eval-Avec impact envisagé'!$A$776=AG17,BD24&lt;120),AND('Eval-Avec impact envisagé'!$A$777=AG17,BD25&lt;120),AND('Eval-Avec impact envisagé'!$A$778=AG17,BD26&lt;120),AND('Eval-Avec impact envisagé'!$A$779=AG17,BD27&lt;120),AND('Eval-Avec impact envisagé'!$A$780=AG17,BD28&lt;120)),"",SUM(0.1*(SUMPRODUCT(('Eval-Avec impact envisagé'!$A$761:$A$780=AG17)*('Eval-Avec impact envisagé'!$Q$761:$Y$780="A"))+ SUMPRODUCT(('Eval-Avec impact envisagé'!$A$761:$A$780=AG17)*('Eval-Avec impact envisagé'!$Q$761:$Y$780="AL"))),0.7*(SUMPRODUCT(('Eval-Avec impact envisagé'!$A$761:$A$780=AG17)*('Eval-Avec impact envisagé'!$Q$761:$Y$780="TF"))+SUMPRODUCT(('Eval-Avec impact envisagé'!$A$761:$A$780=AG17)*('Eval-Avec impact envisagé'!$Q$761:$Y$780="TM"))+SUMPRODUCT(('Eval-Avec impact envisagé'!$A$761:$A$780=AG17)*('Eval-Avec impact envisagé'!$Q$761:$Y$780="TS"))),0.4*(SUMPRODUCT(('Eval-Avec impact envisagé'!$A$761:$A$780=AG17)*('Eval-Avec impact envisagé'!$Q$761:$Y$780="LA"))+SUMPRODUCT(('Eval-Avec impact envisagé'!$A$761:$A$780=AG17)*('Eval-Avec impact envisagé'!$Q$761:$Y$780="L"))+SUMPRODUCT(('Eval-Avec impact envisagé'!$A$761:$A$780=AG17)*('Eval-Avec impact envisagé'!$Q$761:$Y$780="LS"))),1*(SUMPRODUCT(('Eval-Avec impact envisagé'!$A$761:$A$780=AG17)*('Eval-Avec impact envisagé'!$Q$761:$Y$780="SL"))+ SUMPRODUCT(('Eval-Avec impact envisagé'!$A$761:$A$780=AG17)*('Eval-Avec impact envisagé'!$Q$761:$Y$780="S"))))/(9*COUNTIF('Eval-Avec impact envisagé'!$A$761:$A$780,AG17))),"")</f>
        <v/>
      </c>
      <c r="AY17" s="211" t="str">
        <f>IF(COUNTIF('Eval-Avec impact envisagé'!$A$761:$A$780,AG17)&gt;0,IF(OR(AND('Eval-Avec impact envisagé'!$A$761=AG17,OR(COUNTIF('Eval-Avec impact envisagé'!$N$761:$P$761,"*T*")&gt;0,BD9&lt;30)),AND('Eval-Avec impact envisagé'!$A$762=AG17,OR(COUNTIF('Eval-Avec impact envisagé'!$N$762:$P$762,"*T*")&gt;0,BD10&lt;30)),AND('Eval-Avec impact envisagé'!$A$763=AG17,OR(COUNTIF('Eval-Avec impact envisagé'!$N$763:$P$763,"*T*")&gt;0,BD11&lt;30)),AND('Eval-Avec impact envisagé'!$A$764=AG17,OR(COUNTIF('Eval-Avec impact envisagé'!$N$764:$P$764,"*T*")&gt;0,BD12&lt;30)),AND('Eval-Avec impact envisagé'!$A$765=AG17,OR(COUNTIF('Eval-Avec impact envisagé'!$N$765:$P$765,"*T*")&gt;0,BD13&lt;30)),AND('Eval-Avec impact envisagé'!$A$766=AG17,OR(COUNTIF('Eval-Avec impact envisagé'!$N$766:$P$766,"*T*")&gt;0,BD14&lt;30)),AND('Eval-Avec impact envisagé'!$A$767=AG17,OR(COUNTIF('Eval-Avec impact envisagé'!$N$767:$P$767,"*T*")&gt;0,BD15&lt;30)),AND('Eval-Avec impact envisagé'!$A$768=AG17,OR(COUNTIF('Eval-Avec impact envisagé'!$N$768:$P$768,"*T*")&gt;0,BD16&lt;30)),AND('Eval-Avec impact envisagé'!$A$769=AG17,OR(COUNTIF('Eval-Avec impact envisagé'!$N$769:$P$769,"*T*")&gt;0,BD17&lt;30)),AND('Eval-Avec impact envisagé'!$A$770=AG17,OR(COUNTIF('Eval-Avec impact envisagé'!$N$770:$P$770,"*T*")&gt;0,BD18&lt;30)),AND('Eval-Avec impact envisagé'!$A$771=AG17,OR(COUNTIF('Eval-Avec impact envisagé'!$N$771:$P$771,"*T*")&gt;0,BD19&lt;30)),AND('Eval-Avec impact envisagé'!$A$772=AG17,OR(COUNTIF('Eval-Avec impact envisagé'!$N$772:$P$772,"*T*")&gt;0,BD20&lt;30)),AND('Eval-Avec impact envisagé'!$A$773=AG17,OR(COUNTIF('Eval-Avec impact envisagé'!$N$773:$P$773,"*T*")&gt;0,BD21&lt;30)),AND('Eval-Avec impact envisagé'!$A$774=AG17,OR(COUNTIF('Eval-Avec impact envisagé'!$N$774:$P$774,"*T*")&gt;0,BD22&lt;30)),AND('Eval-Avec impact envisagé'!$A$775=AG17,OR(COUNTIF('Eval-Avec impact envisagé'!$N$775:$P$775,"*T*")&gt;0,BD23&lt;30)),AND('Eval-Avec impact envisagé'!$A$776=AG17,OR(COUNTIF('Eval-Avec impact envisagé'!$N$776:$P$776,"*T*")&gt;0,BD24&lt;30)),AND('Eval-Avec impact envisagé'!$A$777=AG17,OR(COUNTIF('Eval-Avec impact envisagé'!$N$777:$P$777,"*T*")&gt;0,BD25&lt;30)),AND('Eval-Avec impact envisagé'!$A$778=AG17,OR(COUNTIF('Eval-Avec impact envisagé'!$N$778:$P$778,"*T*")&gt;0,BD26&lt;30)),AND('Eval-Avec impact envisagé'!$A$779=AG17,OR(COUNTIF('Eval-Avec impact envisagé'!$N$779:$P$779,"*T*")&gt;0,BD27&lt;30)),AND('Eval-Avec impact envisagé'!$A$780=AG17,OR(COUNTIF('Eval-Avec impact envisagé'!$N$780:$P$780,"*T*")&gt;0,BD28&lt;30))),"",SUM(0.1*(SUMPRODUCT(('Eval-Avec impact envisagé'!$A$761:$A$780=AG17)*('Eval-Avec impact envisagé'!$N$761:$P$780="L"))),0.4*(SUMPRODUCT(('Eval-Avec impact envisagé'!$A$761:$A$780=AG17)*('Eval-Avec impact envisagé'!$N$761:$P$780="LA"))+SUMPRODUCT(('Eval-Avec impact envisagé'!$A$761:$A$780=AG17)*('Eval-Avec impact envisagé'!$N$761:$P$780="LS"))),0.7*(SUMPRODUCT(('Eval-Avec impact envisagé'!$A$761:$A$780=AG17)*('Eval-Avec impact envisagé'!$N$761:$P$780="AL"))+SUMPRODUCT(('Eval-Avec impact envisagé'!$A$761:$A$780=AG17)*('Eval-Avec impact envisagé'!$N$761:$P$780="SL"))),1*(SUMPRODUCT(('Eval-Avec impact envisagé'!$A$761:$A$780=AG17)*('Eval-Avec impact envisagé'!$N$761:$P$780="S"))+ SUMPRODUCT(('Eval-Avec impact envisagé'!$A$761:$A$780=AG17)*('Eval-Avec impact envisagé'!$N$761:$P$780="A"))))/(3*COUNTIF('Eval-Avec impact envisagé'!$A$761:$A$780,AG17))),"")</f>
        <v/>
      </c>
      <c r="AZ17" s="211" t="str">
        <f>IF(COUNTIF('Eval-Avec impact envisagé'!$A$761:$A$780,AG17)&gt;0,IF(OR(AND('Eval-Avec impact envisagé'!$A$761=AG17,OR(COUNTIF('Eval-Avec impact envisagé'!$N$761:$P$761,"*T*")&gt;0,BD9&lt;30)),AND('Eval-Avec impact envisagé'!$A$762=AG17,OR(COUNTIF('Eval-Avec impact envisagé'!$N$762:$P$762,"*T*")&gt;0,BD10&lt;30)),AND('Eval-Avec impact envisagé'!$A$763=AG17,OR(COUNTIF('Eval-Avec impact envisagé'!$N$763:$P$763,"*T*")&gt;0,BD11&lt;30)),AND('Eval-Avec impact envisagé'!$A$764=AG17,OR(COUNTIF('Eval-Avec impact envisagé'!$N$764:$P$764,"*T*")&gt;0,BD12&lt;30)),AND('Eval-Avec impact envisagé'!$A$765=AG17,OR(COUNTIF('Eval-Avec impact envisagé'!$N$765:$P$765,"*T*")&gt;0,BD13&lt;30)),AND('Eval-Avec impact envisagé'!$A$766=AG17,OR(COUNTIF('Eval-Avec impact envisagé'!$N$766:$P$766,"*T*")&gt;0,BD14&lt;30)),AND('Eval-Avec impact envisagé'!$A$767=AG17,OR(COUNTIF('Eval-Avec impact envisagé'!$N$767:$P$767,"*T*")&gt;0,BD15&lt;30)),AND('Eval-Avec impact envisagé'!$A$768=AG17,OR(COUNTIF('Eval-Avec impact envisagé'!$N$768:$P$768,"*T*")&gt;0,BD16&lt;30)),AND('Eval-Avec impact envisagé'!$A$769=AG17,OR(COUNTIF('Eval-Avec impact envisagé'!$N$769:$P$769,"*T*")&gt;0,BD17&lt;30)),AND('Eval-Avec impact envisagé'!$A$770=AG17,OR(COUNTIF('Eval-Avec impact envisagé'!$N$770:$P$770,"*T*")&gt;0,BD18&lt;30)),AND('Eval-Avec impact envisagé'!$A$771=AG17,OR(COUNTIF('Eval-Avec impact envisagé'!$N$771:$P$771,"*T*")&gt;0,BD19&lt;30)),AND('Eval-Avec impact envisagé'!$A$772=AG17,OR(COUNTIF('Eval-Avec impact envisagé'!$N$772:$P$772,"*T*")&gt;0,BD20&lt;30)),AND('Eval-Avec impact envisagé'!$A$773=AG17,OR(COUNTIF('Eval-Avec impact envisagé'!$N$773:$P$773,"*T*")&gt;0,BD21&lt;30)),AND('Eval-Avec impact envisagé'!$A$774=AG17,OR(COUNTIF('Eval-Avec impact envisagé'!$N$774:$P$774,"*T*")&gt;0,BD22&lt;30)),AND('Eval-Avec impact envisagé'!$A$775=AG17,OR(COUNTIF('Eval-Avec impact envisagé'!$N$775:$P$775,"*T*")&gt;0,BD23&lt;30)),AND('Eval-Avec impact envisagé'!$A$776=AG17,OR(COUNTIF('Eval-Avec impact envisagé'!$N$776:$P$776,"*T*")&gt;0,BD24&lt;30)),AND('Eval-Avec impact envisagé'!$A$777=AG17,OR(COUNTIF('Eval-Avec impact envisagé'!$N$777:$P$777,"*T*")&gt;0,BD25&lt;30)),AND('Eval-Avec impact envisagé'!$A$778=AG17,OR(COUNTIF('Eval-Avec impact envisagé'!$N$778:$P$778,"*T*")&gt;0,BD26&lt;30)),AND('Eval-Avec impact envisagé'!$A$779=AG17,OR(COUNTIF('Eval-Avec impact envisagé'!$N$779:$P$779,"*T*")&gt;0,BD27&lt;30)),AND('Eval-Avec impact envisagé'!$A$780=AG17,OR(COUNTIF('Eval-Avec impact envisagé'!$N$780:$P$780,"*T*")&gt;0,BD28&lt;30))),"",SUM(1*(SUMPRODUCT(('Eval-Avec impact envisagé'!$A$761:$A$780=AG17)*('Eval-Avec impact envisagé'!$N$761:$P$780="A"))),0.85*(SUMPRODUCT(('Eval-Avec impact envisagé'!$A$761:$A$780=AG17)*('Eval-Avec impact envisagé'!$N$761:$P$780="AL"))),0.7*(SUMPRODUCT(('Eval-Avec impact envisagé'!$A$761:$A$780=AG17)*('Eval-Avec impact envisagé'!$N$761:$P$780="LA"))),0.55*(SUMPRODUCT(('Eval-Avec impact envisagé'!$A$761:$A$780=AG17)*('Eval-Avec impact envisagé'!$N$761:$P$780="L"))),0.4*(SUMPRODUCT(('Eval-Avec impact envisagé'!$A$761:$A$780=AG17)*('Eval-Avec impact envisagé'!$N$761:$P$780="LS"))),0.25*(SUMPRODUCT(('Eval-Avec impact envisagé'!$A$761:$A$780=AG17)*('Eval-Avec impact envisagé'!$N$761:$P$780="SL"))),0.1*(SUMPRODUCT(('Eval-Avec impact envisagé'!$A$761:$A$780=AG17)*('Eval-Avec impact envisagé'!$N$761:$P$780="S"))))/(3*COUNTIF('Eval-Avec impact envisagé'!$A$761:$A$780,AG17))),"")</f>
        <v/>
      </c>
      <c r="BA17" s="214" t="str">
        <f>IF(COUNTIF('Eval-Avec impact envisagé'!$A$761:$A$780,AG17)&gt;0,IF(OR(AND('Eval-Avec impact envisagé'!$A$761=AG17,OR(COUNTIF('Eval-Avec impact envisagé'!$Q$761:$Y$761,"*T*")&gt;0,BD9&lt;120)),AND('Eval-Avec impact envisagé'!$A$762=AG17,OR(COUNTIF('Eval-Avec impact envisagé'!$Q$762:$Y$762,"*T*")&gt;0,BD10&lt;120)),AND('Eval-Avec impact envisagé'!$A$763=AG17,OR(COUNTIF('Eval-Avec impact envisagé'!$Q$763:$Y$763,"*T*")&gt;0,BD11&lt;120)),AND('Eval-Avec impact envisagé'!$A$764=AG17,OR(COUNTIF('Eval-Avec impact envisagé'!$Q$764:$Y$764,"*T*")&gt;0,BD12&lt;120)),AND('Eval-Avec impact envisagé'!$A$765=AG17,OR(COUNTIF('Eval-Avec impact envisagé'!$Q$765:$Y$765,"*T*")&gt;0,BD13&lt;120)),AND('Eval-Avec impact envisagé'!$A$766=AG17,OR(COUNTIF('Eval-Avec impact envisagé'!$Q$766:$Y$766,"*T*")&gt;0,BD14&lt;120)),AND('Eval-Avec impact envisagé'!$A$767=AG17,OR(COUNTIF('Eval-Avec impact envisagé'!$Q$767:$Y$767,"*T*")&gt;0,BD15&lt;120)),AND('Eval-Avec impact envisagé'!$A$768=AG17,OR(COUNTIF('Eval-Avec impact envisagé'!$Q$768:$Y$768,"*T*")&gt;0,BD16&lt;120)),AND('Eval-Avec impact envisagé'!$A$769=AG17,OR(COUNTIF('Eval-Avec impact envisagé'!$Q$769:$Y$769,"*T*")&gt;0,BD17&lt;120)),AND('Eval-Avec impact envisagé'!$A$770=AG17,OR(COUNTIF('Eval-Avec impact envisagé'!$Q$770:$Y$770,"*T*")&gt;0,BD18&lt;120)),AND('Eval-Avec impact envisagé'!$A$771=AG17,OR(COUNTIF('Eval-Avec impact envisagé'!$Q$771:$Y$771,"*T*")&gt;0,BD19&lt;120)),AND('Eval-Avec impact envisagé'!$A$772=AG17,OR(COUNTIF('Eval-Avec impact envisagé'!$Q$772:$Y$772,"*T*")&gt;0,BD20&lt;120)),AND('Eval-Avec impact envisagé'!$A$773=AG17,OR(COUNTIF('Eval-Avec impact envisagé'!$Q$773:$Y$773,"*T*")&gt;0,BD21&lt;120)),AND('Eval-Avec impact envisagé'!$A$774=AG17,OR(COUNTIF('Eval-Avec impact envisagé'!$Q$774:$Y$774,"*T*")&gt;0,BD22&lt;120)),AND('Eval-Avec impact envisagé'!$A$775=AG17,OR(COUNTIF('Eval-Avec impact envisagé'!$Q$775:$Y$775,"*T*")&gt;0,BD23&lt;120)),AND('Eval-Avec impact envisagé'!$A$776=AG17,OR(COUNTIF('Eval-Avec impact envisagé'!$Q$776:$Y$776,"*T*")&gt;0,BD24&lt;120)),AND('Eval-Avec impact envisagé'!$A$777=AG17,OR(COUNTIF('Eval-Avec impact envisagé'!$Q$777:$Y$777,"*T*")&gt;0,BD25&lt;120)),AND('Eval-Avec impact envisagé'!$A$778=AG17,OR(COUNTIF('Eval-Avec impact envisagé'!$Q$778:$Y$778,"*T*")&gt;0,BD26&lt;120)),AND('Eval-Avec impact envisagé'!$A$779=AG17,OR(COUNTIF('Eval-Avec impact envisagé'!$Q$779:$Y$779,"*T*")&gt;0,BD27&lt;120)),AND('Eval-Avec impact envisagé'!$A$780=AG17,OR(COUNTIF('Eval-Avec impact envisagé'!$Q$780:$Y$780,"*T*")&gt;0,BD28&lt;120))),"",SUM(1*(SUMPRODUCT(('Eval-Avec impact envisagé'!$A$761:$A$780=AG17)*('Eval-Avec impact envisagé'!$Q$761:$Y$780="A"))),0.85*(SUMPRODUCT(('Eval-Avec impact envisagé'!$A$761:$A$780=AG17)*('Eval-Avec impact envisagé'!$Q$761:$Y$780="AL"))),0.7*(SUMPRODUCT(('Eval-Avec impact envisagé'!$A$761:$A$780=AG17)*('Eval-Avec impact envisagé'!$Q$761:$Y$780="LA"))),0.55*(SUMPRODUCT(('Eval-Avec impact envisagé'!$A$761:$A$780=AG17)*('Eval-Avec impact envisagé'!$Q$761:$Y$780="L"))),0.4*(SUMPRODUCT(('Eval-Avec impact envisagé'!$A$761:$A$780=AG17)*('Eval-Avec impact envisagé'!$Q$761:$Y$780="LS"))),0.25*(SUMPRODUCT(('Eval-Avec impact envisagé'!$A$761:$A$780=AG17)*('Eval-Avec impact envisagé'!$Q$761:$Y$780="SL"))),0.1*(SUMPRODUCT(('Eval-Avec impact envisagé'!$A$761:$A$780=AG17)*('Eval-Avec impact envisagé'!$Q$761:$Y$780="S"))))/(9*COUNTIF('Eval-Avec impact envisagé'!$A$761:$A$780,AG17))),"")</f>
        <v/>
      </c>
      <c r="BB17" s="215"/>
      <c r="BC17" s="216">
        <f>'Eval-Avec impact envisagé'!$D$769</f>
        <v>9</v>
      </c>
      <c r="BD17" s="217" t="str">
        <f>IF(BE17="C",0,IF(IF(COUNTIF('Eval-Avec impact envisagé'!$N$769:$Y$769,"=C")&gt;0,(COUNTA('Eval-Avec impact envisagé'!$N$769:$Y$769)-1)*10,COUNTA('Eval-Avec impact envisagé'!$N$769:$Y$769)*10)=0,"",IF(COUNTIF('Eval-Avec impact envisagé'!$N$769:$Y$769,"=C")&gt;0,(COUNTA('Eval-Avec impact envisagé'!$N$769:$Y$769)-1)*10,COUNTA('Eval-Avec impact envisagé'!$N$769:$Y$769)*10)))</f>
        <v/>
      </c>
      <c r="BE17" s="217" t="str">
        <f>CONCATENATE('Eval-Avec impact envisagé'!$N$769,'Eval-Avec impact envisagé'!$O$769,'Eval-Avec impact envisagé'!$P$769,'Eval-Avec impact envisagé'!$Q$769,'Eval-Avec impact envisagé'!$R$769,'Eval-Avec impact envisagé'!$S$769,'Eval-Avec impact envisagé'!$T$769,'Eval-Avec impact envisagé'!$U$769,'Eval-Avec impact envisagé'!$V$769,'Eval-Avec impact envisagé'!$W$769,'Eval-Avec impact envisagé'!$X$769,'Eval-Avec impact envisagé'!$Y$769)</f>
        <v/>
      </c>
      <c r="BF17" s="217" t="str">
        <f t="shared" si="4"/>
        <v/>
      </c>
      <c r="BG17" s="217" t="str">
        <f t="shared" si="5"/>
        <v/>
      </c>
      <c r="BH17" s="217" t="str">
        <f>IF(COUNTIF('Eval-Avec impact envisagé'!$N$769:$Y$769,"=C")&gt;0,"X","")</f>
        <v/>
      </c>
      <c r="BI17" s="217" t="str">
        <f t="shared" si="6"/>
        <v/>
      </c>
      <c r="BJ17" s="218" t="str">
        <f t="shared" si="7"/>
        <v/>
      </c>
      <c r="BK17" s="197"/>
      <c r="BM17" s="210">
        <v>9</v>
      </c>
      <c r="BN17" s="211" t="str">
        <f>IF(COUNTIF('Eval-Après impact'!$A$761:$A$780,BM17)&gt;0,SUM(IF('Eval-Après impact'!$A$761=BM17,'Eval-Après impact'!$B$761,0),IF('Eval-Après impact'!$A$762=BM17, 'Eval-Après impact'!$B$762,0),IF('Eval-Après impact'!$A$763=BM17, 'Eval-Après impact'!$B$763,0),IF('Eval-Après impact'!$A$764=BM17, 'Eval-Après impact'!$B$764,0),IF('Eval-Après impact'!$A$765=BM17, 'Eval-Après impact'!$B$765,0),IF('Eval-Après impact'!$A$766=BM17, 'Eval-Après impact'!$B$766,0),IF('Eval-Après impact'!$A$767=BM17, 'Eval-Après impact'!$B$767,0),IF('Eval-Après impact'!$A$768=BM17, 'Eval-Après impact'!$B$768,0),IF('Eval-Après impact'!$A$769=BM17, 'Eval-Après impact'!$B$769,0),IF('Eval-Après impact'!$A$770=BM17, 'Eval-Après impact'!$B$770,0),IF('Eval-Après impact'!$A$771=BM17, 'Eval-Après impact'!$B$771,0),IF('Eval-Après impact'!$A$772=BM17, 'Eval-Après impact'!$B$772,0),IF('Eval-Après impact'!$A$773=BM17, 'Eval-Après impact'!$B$773,0),IF('Eval-Après impact'!$A$774=BM17, 'Eval-Après impact'!$B$774,0),IF('Eval-Après impact'!$A$775=BM17, 'Eval-Après impact'!$B$775,0),IF('Eval-Après impact'!$A$776=BM17, 'Eval-Après impact'!$B$776,0),IF('Eval-Après impact'!$A$777=BM17, 'Eval-Après impact'!$B$777,0),IF('Eval-Après impact'!$A$778=BM17, 'Eval-Après impact'!$B$778,0),IF('Eval-Après impact'!$A$779=BM17, 'Eval-Après impact'!$B$779,0),IF('Eval-Après impact'!$A$780=BM17, 'Eval-Après impact'!$B$780,0))/COUNTIF('Eval-Après impact'!$A$761:$A$780,BM17),"")</f>
        <v/>
      </c>
      <c r="BO17" s="212" t="str">
        <f>IF(COUNTIF('Eval-Après impact'!$A$761:$A$780,BM17)&gt;0,COUNTIF('Eval-Après impact'!$A$761:$A$780,BM17),"")</f>
        <v/>
      </c>
      <c r="BP17" s="211" t="str">
        <f>IF(COUNTIF('Eval-Après impact'!$A$761:$A$780,BM17)&gt;0,IF(OR(AND('Eval-Après impact'!$A$761=BM17, 'Eval-Après impact'!$G$761=""),AND('Eval-Après impact'!$A$762=BM17, 'Eval-Après impact'!$G$762=""),AND('Eval-Après impact'!$A$763=BM17, 'Eval-Après impact'!$G$763=""),AND('Eval-Après impact'!$A$764=BM17, 'Eval-Après impact'!$G$764=""),AND('Eval-Après impact'!$A$765=BM17, 'Eval-Après impact'!$G$765=""),AND('Eval-Après impact'!$A$766=BM17, 'Eval-Après impact'!$G$766=""),AND('Eval-Après impact'!$A$767=BM17, 'Eval-Après impact'!$G$767=""),AND('Eval-Après impact'!$A$768=BM17, 'Eval-Après impact'!$G$768=""),AND('Eval-Après impact'!$A$769=BM17, 'Eval-Après impact'!$G$769=""),AND('Eval-Après impact'!$A$770=BM17, 'Eval-Après impact'!$G$770=""),AND('Eval-Après impact'!$A$771=BM17, 'Eval-Après impact'!$G$771=""),AND('Eval-Après impact'!$A$772=BM17, 'Eval-Après impact'!$G$772=""),AND('Eval-Après impact'!$A$773=BM17, 'Eval-Après impact'!$G$773=""),AND('Eval-Après impact'!$A$774=BM17, 'Eval-Après impact'!$G$774=""),AND('Eval-Après impact'!$A$775=BM17, 'Eval-Après impact'!$G$775=""),AND('Eval-Après impact'!$A$776=BM17, 'Eval-Après impact'!$G$776=""),AND('Eval-Après impact'!$A$777=BM17, 'Eval-Après impact'!$G$777=""),AND('Eval-Après impact'!$A$778=BM17, 'Eval-Après impact'!$G$778=""),AND('Eval-Après impact'!$A$779=BM17, 'Eval-Après impact'!$G$779=""),AND('Eval-Après impact'!$A$780=BM17, 'Eval-Après impact'!$G$780="")),"",SUM(IF('Eval-Après impact'!$A$761=BM17,'Eval-Après impact'!$G$761,0),IF('Eval-Après impact'!$A$762=BM17,'Eval-Après impact'!$G$762,0),IF('Eval-Après impact'!$A$763=BM17,'Eval-Après impact'!$G$763,0),IF('Eval-Après impact'!$A$764=BM17,'Eval-Après impact'!$G$764,0),IF('Eval-Après impact'!$A$765=BM17,'Eval-Après impact'!$G$765,0),IF('Eval-Après impact'!$A$766=BM17,'Eval-Après impact'!$G$766,0),IF('Eval-Après impact'!$A$767=BM17,'Eval-Après impact'!$G$767,0),IF('Eval-Après impact'!$A$768=BM17,'Eval-Après impact'!$G$768,0),IF('Eval-Après impact'!$A$769=BM17,'Eval-Après impact'!$G$769,0),IF('Eval-Après impact'!$A$770=BM17,'Eval-Après impact'!$G$770,0),IF('Eval-Après impact'!$A$771=BM17,'Eval-Après impact'!$G$771,0),IF('Eval-Après impact'!$A$772=BM17,'Eval-Après impact'!$G$772,0),IF('Eval-Après impact'!$A$773=BM17,'Eval-Après impact'!$G$773,0),IF('Eval-Après impact'!$A$774=BM17,'Eval-Après impact'!$G$774,0),IF('Eval-Après impact'!$A$775=BM17,'Eval-Après impact'!$G$775,0), IF('Eval-Après impact'!$A$776=BM17,'Eval-Après impact'!$G$776,0), IF('Eval-Après impact'!$A$777=BM17,'Eval-Après impact'!$G$777,0), IF('Eval-Après impact'!$A$778=BM17,'Eval-Après impact'!$G$778,0), IF('Eval-Après impact'!$A$779=BM17,'Eval-Après impact'!$G$779,0), IF('Eval-Après impact'!$A$780=BM17,'Eval-Après impact'!$G$780,0))/ COUNTIF('Eval-Après impact'!$A$761:$A$780,BM17)),"")</f>
        <v/>
      </c>
      <c r="BQ17" s="212" t="str">
        <f>IF(COUNTIF('Eval-Après impact'!$A$761:$A$780,BM17)&gt;0,IF(SUM(IF('Eval-Après impact'!$A$761=BM17,COUNTA('Eval-Après impact'!$H$761),0),IF('Eval-Après impact'!$A$762=BM17,COUNTA('Eval-Après impact'!$H$762),0),IF('Eval-Après impact'!$A$763=BM17,COUNTA('Eval-Après impact'!$H$763),0),IF('Eval-Après impact'!$A$764=BM17,COUNTA('Eval-Après impact'!$H$764),0),IF('Eval-Après impact'!$A$765=BM17,COUNTA('Eval-Après impact'!$H$765),0),IF('Eval-Après impact'!$A$766=BM17,COUNTA('Eval-Après impact'!$H$766),0),IF('Eval-Après impact'!$A$767=BM17,COUNTA('Eval-Après impact'!$H$767),0),IF('Eval-Après impact'!$A$768=BM17,COUNTA('Eval-Après impact'!$H$768),0),IF('Eval-Après impact'!$A$769=BM17,COUNTA('Eval-Après impact'!$H$769),0),IF('Eval-Après impact'!$A$770=BM17,COUNTA('Eval-Après impact'!$H$770),0),IF('Eval-Après impact'!$A$771=BM17,COUNTA('Eval-Après impact'!$H$771),0),IF('Eval-Après impact'!$A$772=BM17,COUNTA('Eval-Après impact'!$H$772),0),IF('Eval-Après impact'!$A$773=BM17,COUNTA('Eval-Après impact'!$H$773),0),IF('Eval-Après impact'!$A$774=BM17,COUNTA('Eval-Après impact'!$H$774),0),IF('Eval-Après impact'!$A$775=BM17,COUNTA('Eval-Après impact'!$H$775),0),IF('Eval-Après impact'!$A$776=BM17,COUNTA('Eval-Après impact'!$H$776),0),IF('Eval-Après impact'!$A$777=BM17,COUNTA('Eval-Après impact'!$H$777),0),IF('Eval-Après impact'!$A$778=BM17,COUNTA('Eval-Après impact'!$H$778),0),IF('Eval-Après impact'!$A$779=BM17,COUNTA('Eval-Après impact'!$H$779),0),IF('Eval-Après impact'!$A$780=BM17,COUNTA('Eval-Après impact'!$H$780),0))&gt;0,"X",0),"")</f>
        <v/>
      </c>
      <c r="BR17" s="213" t="str">
        <f>IF(COUNTIF('Eval-Après impact'!$A$761:$A$780,BM17)&gt;0,IF(SUM(IF('Eval-Après impact'!$A$761=BM17,COUNTA('Eval-Après impact'!$I$761),0),IF('Eval-Après impact'!$A$762=BM17,COUNTA('Eval-Après impact'!$I$762),0),IF('Eval-Après impact'!$A$763=BM17,COUNTA('Eval-Après impact'!$I$763),0),IF('Eval-Après impact'!$A$764=BM17,COUNTA('Eval-Après impact'!$I$764),0),IF('Eval-Après impact'!$A$765=BM17,COUNTA('Eval-Après impact'!$I$765),0),IF('Eval-Après impact'!$A$766=BM17,COUNTA('Eval-Après impact'!$I$766),0),IF('Eval-Après impact'!$A$767=BM17,COUNTA('Eval-Après impact'!$I$767),0),IF('Eval-Après impact'!$A$768=BM17,COUNTA('Eval-Après impact'!$I$768),0),IF('Eval-Après impact'!$A$769=BM17,COUNTA('Eval-Après impact'!$I$769),0),IF('Eval-Après impact'!$A$770=BM17,COUNTA('Eval-Après impact'!$I$770),0),IF('Eval-Après impact'!$A$771=BM17,COUNTA('Eval-Après impact'!$I$771),0),IF('Eval-Après impact'!$A$772=BM17,COUNTA('Eval-Après impact'!$I$772),0),IF('Eval-Après impact'!$A$773=BM17,COUNTA('Eval-Après impact'!$I$773),0),IF('Eval-Après impact'!$A$774=BM17,COUNTA('Eval-Après impact'!$I$774),0),IF('Eval-Après impact'!$A$775=BM17,COUNTA('Eval-Après impact'!$I$775),0),IF('Eval-Après impact'!$A$776=BM17,COUNTA('Eval-Après impact'!$I$776),0),IF('Eval-Après impact'!$A$777=BM17,COUNTA('Eval-Après impact'!$I$777),0),IF('Eval-Après impact'!$A$778=BM17,COUNTA('Eval-Après impact'!$I$778),0),IF('Eval-Après impact'!$A$779=BM17,COUNTA('Eval-Après impact'!$I$779),0),IF('Eval-Après impact'!$A$780=BM17,COUNTA('Eval-Après impact'!$I$780),0))&gt;0,"X",0),"")</f>
        <v/>
      </c>
      <c r="BS17" s="213" t="str">
        <f>IF(COUNTIF('Eval-Après impact'!$A$761:$A$780,BM17)&gt;0,IF(SUM(IF('Eval-Après impact'!$A$761=BM17,COUNTA('Eval-Après impact'!$J$761),0),IF('Eval-Après impact'!$A$762=BM17,COUNTA('Eval-Après impact'!$J$762),0),IF('Eval-Après impact'!$A$763=BM17,COUNTA('Eval-Après impact'!$J$763),0),IF('Eval-Après impact'!$A$764=BM17,COUNTA('Eval-Après impact'!$J$764),0),IF('Eval-Après impact'!$A$765=BM17,COUNTA('Eval-Après impact'!$J$765),0),IF('Eval-Après impact'!$A$766=BM17,COUNTA('Eval-Après impact'!$J$766),0),IF('Eval-Après impact'!$A$767=BM17,COUNTA('Eval-Après impact'!$J$767),0),IF('Eval-Après impact'!$A$768=BM17,COUNTA('Eval-Après impact'!$J$768),0),IF('Eval-Après impact'!$A$769=BM17,COUNTA('Eval-Après impact'!$J$769),0),IF('Eval-Après impact'!$A$770=BM17,COUNTA('Eval-Après impact'!$J$770),0),IF('Eval-Après impact'!$A$771=BM17,COUNTA('Eval-Après impact'!$J$771),0),IF('Eval-Après impact'!$A$772=BM17,COUNTA('Eval-Après impact'!$J$772),0),IF('Eval-Après impact'!$A$773=BM17,COUNTA('Eval-Après impact'!$J$773),0),IF('Eval-Après impact'!$A$774=BM17,COUNTA('Eval-Après impact'!$J$774),0),IF('Eval-Après impact'!$A$775=BM17,COUNTA('Eval-Après impact'!$J$775),0),IF('Eval-Après impact'!$A$776=BM17,COUNTA('Eval-Après impact'!$J$776),0),IF('Eval-Après impact'!$A$777=BM17,COUNTA('Eval-Après impact'!$J$777),0),IF('Eval-Après impact'!$A$778=BM17,COUNTA('Eval-Après impact'!$J$778),0),IF('Eval-Après impact'!$A$779=BM17,COUNTA('Eval-Après impact'!$J$779),0),IF('Eval-Après impact'!$A$780=BM17,COUNTA('Eval-Après impact'!$J$780),0))&gt;0,"X",0),"")</f>
        <v/>
      </c>
      <c r="BT17" s="213" t="str">
        <f>IF(COUNTIF('Eval-Après impact'!$A$761:$A$780,BM17)&gt;0,IF(SUM(IF('Eval-Après impact'!$A$761=BM17,COUNTA('Eval-Après impact'!$K$761),0),IF('Eval-Après impact'!$A$762=BM17,COUNTA('Eval-Après impact'!$K$762),0),IF('Eval-Après impact'!$A$763=BM17,COUNTA('Eval-Après impact'!$K$763),0),IF('Eval-Après impact'!$A$764=BM17,COUNTA('Eval-Après impact'!$K$764),0),IF('Eval-Après impact'!$A$765=BM17,COUNTA('Eval-Après impact'!$K$765),0),IF('Eval-Après impact'!$A$766=BM17,COUNTA('Eval-Après impact'!$K$766),0),IF('Eval-Après impact'!$A$767=BM17,COUNTA('Eval-Après impact'!$K$767),0),IF('Eval-Après impact'!$A$768=BM17,COUNTA('Eval-Après impact'!$K$768),0),IF('Eval-Après impact'!$A$769=BM17,COUNTA('Eval-Après impact'!$K$769),0),IF('Eval-Après impact'!$A$770=BM17,COUNTA('Eval-Après impact'!$K$770),0),IF('Eval-Après impact'!$A$771=BM17,COUNTA('Eval-Après impact'!$K$771),0),IF('Eval-Après impact'!$A$772=BM17,COUNTA('Eval-Après impact'!$K$772),0),IF('Eval-Après impact'!$A$773=BM17,COUNTA('Eval-Après impact'!$K$773),0),IF('Eval-Après impact'!$A$774=BM17,COUNTA('Eval-Après impact'!$K$774),0),IF('Eval-Après impact'!$A$775=BM17,COUNTA('Eval-Après impact'!$K$775),0),IF('Eval-Après impact'!$A$776=BM17,COUNTA('Eval-Après impact'!$K$776),0),IF('Eval-Après impact'!$A$777=BM17,COUNTA('Eval-Après impact'!$K$777),0),IF('Eval-Après impact'!$A$778=BM17,COUNTA('Eval-Après impact'!$K$778),0),IF('Eval-Après impact'!$A$779=BM17,COUNTA('Eval-Après impact'!$K$779),0),IF('Eval-Après impact'!$A$780=BM17,COUNTA('Eval-Après impact'!$K$780),0))&gt;0,"X",0),"")</f>
        <v/>
      </c>
      <c r="BU17" s="211" t="str">
        <f>IF(COUNTIF('Eval-Après impact'!$A$761:$A$780,BM17)&gt;0,IF(OR(AND('Eval-Après impact'!$A$761=BM17,'Eval-Après impact'!$L$761&lt;120,'Eval-Après impact'!$L$761&gt;=CJ9),AND('Eval-Après impact'!$A$762=BM17,'Eval-Après impact'!$L$762&lt;120,'Eval-Après impact'!$L$762&gt;=CJ10),AND('Eval-Après impact'!$A$763=BM17,'Eval-Après impact'!$L$763&lt;120,'Eval-Après impact'!$L$763&gt;=CJ11),AND('Eval-Après impact'!$A$764=BM17,'Eval-Après impact'!$L$764&lt;120,'Eval-Après impact'!$L$764&gt;=CJ12),AND('Eval-Après impact'!$A$765=BM17,'Eval-Après impact'!$L$765&lt;120,'Eval-Après impact'!$L$765&gt;=CJ13),AND('Eval-Après impact'!$A$766=BM17,'Eval-Après impact'!$L$766&lt;120,'Eval-Après impact'!$L$766&gt;=CJ14),AND('Eval-Après impact'!$A$767=BM17,'Eval-Après impact'!$L$767&lt;120,'Eval-Après impact'!$L$767&gt;=CJ15),AND('Eval-Après impact'!$A$768=BM17,'Eval-Après impact'!$L$768&lt;120,'Eval-Après impact'!$L$768&gt;=CJ16),AND('Eval-Après impact'!$A$769=BM17,'Eval-Après impact'!$L$769&lt;120,'Eval-Après impact'!$L$769&gt;=CJ17),AND('Eval-Après impact'!$A$770=BM17,'Eval-Après impact'!$L$770&lt;120,'Eval-Après impact'!$L$770&gt;=CJ18),AND('Eval-Après impact'!$A$771=BM17,'Eval-Après impact'!$L$771&lt;120,'Eval-Après impact'!$L$771&gt;=CJ19),AND('Eval-Après impact'!$A$772=BM17,'Eval-Après impact'!$L$772&lt;120,'Eval-Après impact'!$L$772&gt;=CJ20),AND('Eval-Après impact'!$A$773=BM17,'Eval-Après impact'!$L$773&lt;120,'Eval-Après impact'!$L$773&gt;=CJ21),AND('Eval-Après impact'!$A$774=BM17,'Eval-Après impact'!$L$774&lt;120,'Eval-Après impact'!$L$774&gt;=CJ22),AND('Eval-Après impact'!$A$775=BM17,'Eval-Après impact'!$L$775&lt;120,'Eval-Après impact'!$L$775&gt;=CJ23),AND('Eval-Après impact'!$A$776=BM17,'Eval-Après impact'!$L$776&lt;120,'Eval-Après impact'!$L$776&gt;=CJ24),AND('Eval-Après impact'!$A$777=BM17,'Eval-Après impact'!$L$777&lt;120,'Eval-Après impact'!$L$777&gt;=CJ25),AND('Eval-Après impact'!$A$778=BM17,'Eval-Après impact'!$L$778&lt;120,'Eval-Après impact'!$L$778&gt;=CJ26),AND('Eval-Après impact'!$A$779=BM17,'Eval-Après impact'!$L$779&lt;120,'Eval-Après impact'!$L$779&gt;=CJ27),AND('Eval-Après impact'!$A$780=BM17,'Eval-Après impact'!$L$780&lt;120,'Eval-Après impact'!$L$780&gt;=CJ28)),"",SUM(IF('Eval-Après impact'!$A$761=BM17,'Eval-Après impact'!$L$761,0),IF('Eval-Après impact'!$A$762=BM17,'Eval-Après impact'!$L$762,0),IF('Eval-Après impact'!$A$763=BM17,'Eval-Après impact'!$L$763,0),IF('Eval-Après impact'!$A$764=BM17,'Eval-Après impact'!$L$764,0),IF('Eval-Après impact'!$A$765=BM17,'Eval-Après impact'!$L$765,0),IF('Eval-Après impact'!$A$766=BM17,'Eval-Après impact'!$L$766,0),IF('Eval-Après impact'!$A$767=BM17,'Eval-Après impact'!$L$767,0),IF('Eval-Après impact'!$A$768=BM17,'Eval-Après impact'!$L$768,0),IF('Eval-Après impact'!$A$769=BM17,'Eval-Après impact'!$L$769,0),IF('Eval-Après impact'!$A$770=BM17,'Eval-Après impact'!$L$770,0),IF('Eval-Après impact'!$A$771=BM17,'Eval-Après impact'!$L$771,0),IF('Eval-Après impact'!$A$772=BM17,'Eval-Après impact'!$L$772,0),IF('Eval-Après impact'!$A$773=BM17,'Eval-Après impact'!$L$773,0),IF('Eval-Après impact'!$A$774=BM17,'Eval-Après impact'!$L$774,0),IF('Eval-Après impact'!$A$775=BM17,'Eval-Après impact'!$L$775,0),IF('Eval-Après impact'!$A$776=BM17,'Eval-Après impact'!$L$776,0),IF('Eval-Après impact'!$A$777=BM17,'Eval-Après impact'!$L$777,0),IF('Eval-Après impact'!$A$778=BM17,'Eval-Après impact'!$L$778,0),IF('Eval-Après impact'!$A$779=BM17,'Eval-Après impact'!$L$779,0),IF('Eval-Après impact'!$A$780=BM17,'Eval-Après impact'!$L$780,0))/ COUNTIF('Eval-Après impact'!$A$761:$A$780,BM17)),"")</f>
        <v/>
      </c>
      <c r="BV17" s="211" t="str">
        <f>IF(COUNTIF('Eval-Après impact'!$A$761:$A$780,BM17)&gt;0,IF(OR(AND('Eval-Après impact'!$A$761=BM17, CJ9&lt;120),AND(CJ10&lt;120),AND(CJ11&lt;120),AND(CJ12&lt;120),AND(CJ13&lt;120),AND(CJ14&lt;120),AND(CJ15&lt;120),AND(CJ16&lt;120),AND(CJ17&lt;120),AND(CJ18&lt;120),AND(CJ19&lt;120),AND(CJ20&lt;120),AND(CJ21&lt;120),AND(CJ22&lt;120),AND(CJ23&lt;120),AND(CJ24&lt;120),AND(CJ25&lt;120),AND(CJ26&lt;120),AND(CJ27&lt;120),AND(CJ28&lt;120)),"",SUM(IF('Eval-Après impact'!$A$761=BM17,'Eval-Après impact'!$M$761,0),IF('Eval-Après impact'!$A$762=BM17,'Eval-Après impact'!$M$762,0),IF('Eval-Après impact'!$A$763=BM17,'Eval-Après impact'!$M$763,0),IF('Eval-Après impact'!$A$764=BM17,'Eval-Après impact'!$M$764,0),IF('Eval-Après impact'!$A$765=BM17,'Eval-Après impact'!$M$765,0),IF('Eval-Après impact'!$A$766=BM17,'Eval-Après impact'!$M$766,0),IF('Eval-Après impact'!$A$767=BM17,'Eval-Après impact'!$M$767,0),IF('Eval-Après impact'!$A$768=BM17,'Eval-Après impact'!$M$768,0),IF('Eval-Après impact'!$A$769=BM17,'Eval-Après impact'!$M$769,0),IF('Eval-Après impact'!$A$770=BM17,'Eval-Après impact'!$M$770,0),IF('Eval-Après impact'!$A$771=BM17,'Eval-Après impact'!$M$771,0),IF('Eval-Après impact'!$A$772=BM17,'Eval-Après impact'!$M$772,0),IF('Eval-Après impact'!$A$773=BM17,'Eval-Après impact'!$M$773,0),IF('Eval-Après impact'!$A$774=BM17,'Eval-Après impact'!$M$774,0),IF('Eval-Après impact'!$A$775=BM17,'Eval-Après impact'!$M$775,0), IF('Eval-Après impact'!$A$776=BM17,'Eval-Après impact'!$M$776,0), IF('Eval-Après impact'!$A$777=BM17,'Eval-Après impact'!$M$777,0), IF('Eval-Après impact'!$A$778=BM17,'Eval-Après impact'!$M$778,0), IF('Eval-Après impact'!$A$779=BM17,'Eval-Après impact'!$M$779,0), IF('Eval-Après impact'!$A$780=BM17,'Eval-Après impact'!$M$780,0))/COUNTIF('Eval-Après impact'!$A$761:$A$780,BM17)),"")</f>
        <v/>
      </c>
      <c r="BW17" s="211" t="str">
        <f>IF(COUNTIF('Eval-Après impact'!$A$761:$A$780,BM17)&gt;0,SUM(IF('Eval-Après impact'!$A$761=BM17,LEN(SUBSTITUTE((SUBSTITUTE(CL9,"TM","")),"TS",""))*10/2,0),IF('Eval-Après impact'!$A$762=BM17,LEN(SUBSTITUTE((SUBSTITUTE(CL10,"TM","")),"TS",""))*10/2,0),IF('Eval-Après impact'!$A$763=BM17,LEN(SUBSTITUTE((SUBSTITUTE(CL11,"TM","")),"TS",""))*10/2,0),IF('Eval-Après impact'!$A$764=BM17,LEN(SUBSTITUTE((SUBSTITUTE(CL12,"TM","")),"TS",""))*10/2,0),IF('Eval-Après impact'!$A$765=BM17,LEN(SUBSTITUTE((SUBSTITUTE(CL13,"TM","")),"TS",""))*10/2,0),IF('Eval-Après impact'!$A$766=BM17,LEN(SUBSTITUTE((SUBSTITUTE(CL14,"TM","")),"TS",""))*10/2,0),IF('Eval-Après impact'!$A$767=BM17,LEN(SUBSTITUTE((SUBSTITUTE(CL15,"TM","")),"TS",""))*10/2,0),IF('Eval-Après impact'!$A$768=BM17,LEN(SUBSTITUTE((SUBSTITUTE(CL16,"TM","")),"TS",""))*10/2,0),IF('Eval-Après impact'!$A$769=BM17,LEN(SUBSTITUTE((SUBSTITUTE(CL17,"TM","")),"TS",""))*10/2,0),IF('Eval-Après impact'!$A$770=BM17,LEN(SUBSTITUTE((SUBSTITUTE(CL18,"TM","")),"TS",""))*10/2,0),IF('Eval-Après impact'!$A$771=BM17,LEN(SUBSTITUTE((SUBSTITUTE(CL19,"TM","")),"TS",""))*10/2,0),IF('Eval-Après impact'!$A$772=BM17,LEN(SUBSTITUTE((SUBSTITUTE(CL20,"TM","")),"TS",""))*10/2,0),IF('Eval-Après impact'!$A$773=BM17,LEN(SUBSTITUTE((SUBSTITUTE(CL21,"TM","")),"TS",""))*10/2,0),IF('Eval-Après impact'!$A$774=BM17,LEN(SUBSTITUTE((SUBSTITUTE(CL22,"TM","")),"TS",""))*10/2,0),IF('Eval-Après impact'!$A$775=BM17,LEN(SUBSTITUTE((SUBSTITUTE(CL23,"TM","")),"TS",""))*10/2,0),IF('Eval-Après impact'!$A$776=BM17,LEN(SUBSTITUTE((SUBSTITUTE(CL24,"TM","")),"TS",""))*10/2,0),IF('Eval-Après impact'!$A$777=BM17,LEN(SUBSTITUTE((SUBSTITUTE(CL25,"TM","")),"TS",""))*10/2,0),IF('Eval-Après impact'!$A$778=BM17,LEN(SUBSTITUTE((SUBSTITUTE(CL26,"TM","")),"TS",""))*10/2,0),IF('Eval-Après impact'!$A$779=BM17,LEN(SUBSTITUTE((SUBSTITUTE(CL27,"TM","")),"TS",""))*10/2,0),IF('Eval-Après impact'!$A$780=BM17,LEN(SUBSTITUTE((SUBSTITUTE(CL28,"TM","")),"TS",""))*10/2,0))/COUNTIF('Eval-Après impact'!$A$761:$A$780,BM17),"")</f>
        <v/>
      </c>
      <c r="BX17" s="211" t="str">
        <f>IF(COUNTIF('Eval-Après impact'!$A$761:$A$780,BM17)&gt;0,SUM(IF('Eval-Après impact'!$A$761=BM17,LEN(SUBSTITUTE((SUBSTITUTE(CL9,"TF","")),"TS",""))*10/2,0),IF('Eval-Après impact'!$A$762=BM17,LEN(SUBSTITUTE((SUBSTITUTE(CL10,"TF","")),"TS",""))*10/2,0),IF('Eval-Après impact'!$A$763=BM17,LEN(SUBSTITUTE((SUBSTITUTE(CL11,"TF","")),"TS",""))*10/2,0),IF('Eval-Après impact'!$A$764=BM17,LEN(SUBSTITUTE((SUBSTITUTE(CL12,"TF","")),"TS",""))*10/2,0),IF('Eval-Après impact'!$A$765=BM17,LEN(SUBSTITUTE((SUBSTITUTE(CL13,"TF","")),"TS",""))*10/2,0),IF('Eval-Après impact'!$A$766=BM17,LEN(SUBSTITUTE((SUBSTITUTE(CL14,"TF","")),"TS",""))*10/2,0),IF('Eval-Après impact'!$A$767=BM17,LEN(SUBSTITUTE((SUBSTITUTE(CL15,"TF","")),"TS",""))*10/2,0),IF('Eval-Après impact'!$A$768=BM17,LEN(SUBSTITUTE((SUBSTITUTE(CL16,"TF","")),"TS",""))*10/2,0),IF('Eval-Après impact'!$A$769=BM17,LEN(SUBSTITUTE((SUBSTITUTE(CL17,"TF","")),"TS",""))*10/2,0),IF('Eval-Après impact'!$A$770=BM17,LEN(SUBSTITUTE((SUBSTITUTE(CL18,"TF","")),"TS",""))*10/2,0),IF('Eval-Après impact'!$A$771=BM17,LEN(SUBSTITUTE((SUBSTITUTE(CL19,"TF","")),"TS",""))*10/2,0),IF('Eval-Après impact'!$A$772=BM17,LEN(SUBSTITUTE((SUBSTITUTE(CL20,"TF","")),"TS",""))*10/2,0),IF('Eval-Après impact'!$A$773=BM17,LEN(SUBSTITUTE((SUBSTITUTE(CL21,"TF","")),"TS",""))*10/2,0),IF('Eval-Après impact'!$A$774=BM17,LEN(SUBSTITUTE((SUBSTITUTE(CL22,"TF","")),"TS",""))*10/2,0),IF('Eval-Après impact'!$A$775=BM17,LEN(SUBSTITUTE((SUBSTITUTE(CL23,"TF","")),"TS",""))*10/2,0),IF('Eval-Après impact'!$A$776=BM17,LEN(SUBSTITUTE((SUBSTITUTE(CL24,"TF","")),"TS",""))*10/2,0),IF('Eval-Après impact'!$A$777=BM17,LEN(SUBSTITUTE((SUBSTITUTE(CL25,"TF","")),"TS",""))*10/2,0),IF('Eval-Après impact'!$A$778=BM17,LEN(SUBSTITUTE((SUBSTITUTE(CL26,"TF","")),"TS",""))*10/2,0),IF('Eval-Après impact'!$A$779=BM17,LEN(SUBSTITUTE((SUBSTITUTE(CL27,"TF","")),"TS",""))*10/2,0),IF('Eval-Après impact'!$A$780=BM17,LEN(SUBSTITUTE((SUBSTITUTE(CL28,"TF","")),"TS",""))*10/2,0))/COUNTIF('Eval-Après impact'!$A$761:$A$780,BM17),"")</f>
        <v/>
      </c>
      <c r="BY17" s="211" t="str">
        <f>IF(COUNTIF('Eval-Après impact'!$A$761:$A$780,BM17)&gt;0,SUM(IF('Eval-Après impact'!$A$761=BM17,LEN(SUBSTITUTE((SUBSTITUTE(CL9,"TF","")),"TM",""))*10/2,0),IF('Eval-Après impact'!$A$762=BM17,LEN(SUBSTITUTE((SUBSTITUTE(CL10,"TF","")),"TM",""))*10/2,0),IF('Eval-Après impact'!$A$763=BM17,LEN(SUBSTITUTE((SUBSTITUTE(CL11,"TF","")),"TM",""))*10/2,0),IF('Eval-Après impact'!$A$764=BM17,LEN(SUBSTITUTE((SUBSTITUTE(CL12,"TF","")),"TM",""))*10/2,0),IF('Eval-Après impact'!$A$765=BM17,LEN(SUBSTITUTE((SUBSTITUTE(CL13,"TF","")),"TM",""))*10/2,0),IF('Eval-Après impact'!$A$766=BM17,LEN(SUBSTITUTE((SUBSTITUTE(CL14,"TF","")),"TM",""))*10/2,0),IF('Eval-Après impact'!$A$767=BM17,LEN(SUBSTITUTE((SUBSTITUTE(CL15,"TF","")),"TM",""))*10/2,0),IF('Eval-Après impact'!$A$768=BM17,LEN(SUBSTITUTE((SUBSTITUTE(CL16,"TF","")),"TM",""))*10/2,0),IF('Eval-Après impact'!$A$769=BM17,LEN(SUBSTITUTE((SUBSTITUTE(CL17,"TF","")),"TM",""))*10/2,0),IF('Eval-Après impact'!$A$770=BM17,LEN(SUBSTITUTE((SUBSTITUTE(CL18,"TF","")),"TM",""))*10/2,0),IF('Eval-Après impact'!$A$771=BM17,LEN(SUBSTITUTE((SUBSTITUTE(CL19,"TF","")),"TM",""))*10/2,0),IF('Eval-Après impact'!$A$772=BM17,LEN(SUBSTITUTE((SUBSTITUTE(CL20,"TF","")),"TM",""))*10/2,0),IF('Eval-Après impact'!$A$773=BM17,LEN(SUBSTITUTE((SUBSTITUTE(CL21,"TF","")),"TM",""))*10/2,0),IF('Eval-Après impact'!$A$774=BM17,LEN(SUBSTITUTE((SUBSTITUTE(CL22,"TF","")),"TM",""))*10/2,0),IF('Eval-Après impact'!$A$775=BM17,LEN(SUBSTITUTE((SUBSTITUTE(CL23,"TF","")),"TM",""))*10/2,0),IF('Eval-Après impact'!$A$776=BM17,LEN(SUBSTITUTE((SUBSTITUTE(CL24,"TF","")),"TM",""))*10/2,0),IF('Eval-Après impact'!$A$777=BM17,LEN(SUBSTITUTE((SUBSTITUTE(CL25,"TF","")),"TM",""))*10/2,0),IF('Eval-Après impact'!$A$778=BM17,LEN(SUBSTITUTE((SUBSTITUTE(CL26,"TF","")),"TM",""))*10/2,0),IF('Eval-Après impact'!$A$779=BM17,LEN(SUBSTITUTE((SUBSTITUTE(CL27,"TF","")),"TM",""))*10/2,0),IF('Eval-Après impact'!$A$780=BM17,LEN(SUBSTITUTE((SUBSTITUTE(CL28,"TF","")),"TM",""))*10/2,0))/COUNTIF('Eval-Après impact'!$A$761:$A$780,BM17),"")</f>
        <v/>
      </c>
      <c r="BZ17" s="211" t="str">
        <f>IF(COUNTIF('Eval-Après impact'!$A$761:$A$780,BM17)&gt;0,SUM(IF('Eval-Après impact'!$A$761=BM17,LEN(SUBSTITUTE((SUBSTITUTE(CM9,"TM","")),"TS",""))*10/2,0),IF('Eval-Après impact'!$A$762=BM17,LEN(SUBSTITUTE((SUBSTITUTE(CM10,"TM","")),"TS",""))*10/2,0),IF('Eval-Après impact'!$A$763=BM17,LEN(SUBSTITUTE((SUBSTITUTE(CM11,"TM","")),"TS",""))*10/2,0),IF('Eval-Après impact'!$A$764=BM17,LEN(SUBSTITUTE((SUBSTITUTE(CM12,"TM","")),"TS",""))*10/2,0),IF('Eval-Après impact'!$A$765=BM17,LEN(SUBSTITUTE((SUBSTITUTE(CM13,"TM","")),"TS",""))*10/2,0),IF('Eval-Après impact'!$A$766=BM17,LEN(SUBSTITUTE((SUBSTITUTE(CM14,"TM","")),"TS",""))*10/2,0),IF('Eval-Après impact'!$A$767=BM17,LEN(SUBSTITUTE((SUBSTITUTE(CM15,"TM","")),"TS",""))*10/2,0),IF('Eval-Après impact'!$A$768=BM17,LEN(SUBSTITUTE((SUBSTITUTE(CM16,"TM","")),"TS",""))*10/2,0),IF('Eval-Après impact'!$A$769=BM17,LEN(SUBSTITUTE((SUBSTITUTE(CM17,"TM","")),"TS",""))*10/2,0),IF('Eval-Après impact'!$A$770=BM17,LEN(SUBSTITUTE((SUBSTITUTE(CM18,"TM","")),"TS",""))*10/2,0),IF('Eval-Après impact'!$A$771=BM17,LEN(SUBSTITUTE((SUBSTITUTE(CM19,"TM","")),"TS",""))*10/2,0),IF('Eval-Après impact'!$A$772=BM17,LEN(SUBSTITUTE((SUBSTITUTE(CM20,"TM","")),"TS",""))*10/2,0),IF('Eval-Après impact'!$A$773=BM17,LEN(SUBSTITUTE((SUBSTITUTE(CM21,"TM","")),"TS",""))*10/2,0),IF('Eval-Après impact'!$A$774=BM17,LEN(SUBSTITUTE((SUBSTITUTE(CM22,"TM","")),"TS",""))*10/2,0),IF('Eval-Après impact'!$A$775=BM17,LEN(SUBSTITUTE((SUBSTITUTE(CM23,"TM","")),"TS",""))*10/2,0),IF('Eval-Après impact'!$A$776=BM17,LEN(SUBSTITUTE((SUBSTITUTE(CM24,"TM","")),"TS",""))*10/2,0),IF('Eval-Après impact'!$A$777=BM17,LEN(SUBSTITUTE((SUBSTITUTE(CM25,"TM","")),"TS",""))*10/2,0),IF('Eval-Après impact'!$A$778=BM17,LEN(SUBSTITUTE((SUBSTITUTE(CM26,"TM","")),"TS",""))*10/2,0),IF('Eval-Après impact'!$A$779=BM17,LEN(SUBSTITUTE((SUBSTITUTE(CM27,"TM","")),"TS",""))*10/2,0),IF('Eval-Après impact'!$A$780=BM17,LEN(SUBSTITUTE((SUBSTITUTE(CM28,"TM","")),"TS",""))*10/2,0))/COUNTIF('Eval-Après impact'!$A$761:$A$780,BM17),"")</f>
        <v/>
      </c>
      <c r="CA17" s="211" t="str">
        <f>IF(COUNTIF('Eval-Après impact'!$A$761:$A$780,BM17)&gt;0,SUM(IF('Eval-Après impact'!$A$761=BM17,LEN(SUBSTITUTE((SUBSTITUTE(CM9,"TF","")),"TS",""))*10/2,0),IF('Eval-Après impact'!$A$762=BM17,LEN(SUBSTITUTE((SUBSTITUTE(CM10,"TF","")),"TS",""))*10/2,0),IF('Eval-Après impact'!$A$763=BM17,LEN(SUBSTITUTE((SUBSTITUTE(CM11,"TF","")),"TS",""))*10/2,0),IF('Eval-Après impact'!$A$764=BM17,LEN(SUBSTITUTE((SUBSTITUTE(CM12,"TF","")),"TS",""))*10/2,0),IF('Eval-Après impact'!$A$765=BM17,LEN(SUBSTITUTE((SUBSTITUTE(CM13,"TF","")),"TS",""))*10/2,0),IF('Eval-Après impact'!$A$766=BM17,LEN(SUBSTITUTE((SUBSTITUTE(CM14,"TF","")),"TS",""))*10/2,0),IF('Eval-Après impact'!$A$767=BM17,LEN(SUBSTITUTE((SUBSTITUTE(CM15,"TF","")),"TS",""))*10/2,0),IF('Eval-Après impact'!$A$768=BM17,LEN(SUBSTITUTE((SUBSTITUTE(CM16,"TF","")),"TS",""))*10/2,0),IF('Eval-Après impact'!$A$769=BM17,LEN(SUBSTITUTE((SUBSTITUTE(CM17,"TF","")),"TS",""))*10/2,0),IF('Eval-Après impact'!$A$770=BM17,LEN(SUBSTITUTE((SUBSTITUTE(CM18,"TF","")),"TS",""))*10/2,0),IF('Eval-Après impact'!$A$771=BM17,LEN(SUBSTITUTE((SUBSTITUTE(CM19,"TF","")),"TS",""))*10/2,0),IF('Eval-Après impact'!$A$772=BM17,LEN(SUBSTITUTE((SUBSTITUTE(CM20,"TF","")),"TS",""))*10/2,0),IF('Eval-Après impact'!$A$773=BM17,LEN(SUBSTITUTE((SUBSTITUTE(CM21,"TF","")),"TS",""))*10/2,0),IF('Eval-Après impact'!$A$774=BM17,LEN(SUBSTITUTE((SUBSTITUTE(CM22,"TF","")),"TS",""))*10/2,0),IF('Eval-Après impact'!$A$775=BM17,LEN(SUBSTITUTE((SUBSTITUTE(CM23,"TF","")),"TS",""))*10/2,0),IF('Eval-Après impact'!$A$776=BM17,LEN(SUBSTITUTE((SUBSTITUTE(CM24,"TF","")),"TS",""))*10/2,0),IF('Eval-Après impact'!$A$777=BM17,LEN(SUBSTITUTE((SUBSTITUTE(CM25,"TF","")),"TS",""))*10/2,0),IF('Eval-Après impact'!$A$778=BM17,LEN(SUBSTITUTE((SUBSTITUTE(CM26,"TF","")),"TS",""))*10/2,0),IF('Eval-Après impact'!$A$779=BM17,LEN(SUBSTITUTE((SUBSTITUTE(CM27,"TF","")),"TS",""))*10/2,0),IF('Eval-Après impact'!$A$780=BM17,LEN(SUBSTITUTE((SUBSTITUTE(CM28,"TF","")),"TS",""))*10/2,0))/COUNTIF('Eval-Après impact'!$A$761:$A$780,BM17),"")</f>
        <v/>
      </c>
      <c r="CB17" s="211" t="str">
        <f>IF(COUNTIF('Eval-Après impact'!$A$761:$A$780,BM17)&gt;0,SUM(IF('Eval-Après impact'!$A$761=BM17,LEN(SUBSTITUTE((SUBSTITUTE(CM9,"TF","")),"TM",""))*10/2,0),IF('Eval-Après impact'!$A$762=BM17,LEN(SUBSTITUTE((SUBSTITUTE(CM10,"TF","")),"TM",""))*10/2,0),IF('Eval-Après impact'!$A$763=BM17,LEN(SUBSTITUTE((SUBSTITUTE(CM11,"TF","")),"TM",""))*10/2,0),IF('Eval-Après impact'!$A$764=BM17,LEN(SUBSTITUTE((SUBSTITUTE(CM12,"TF","")),"TM",""))*10/2,0),IF('Eval-Après impact'!$A$765=BM17,LEN(SUBSTITUTE((SUBSTITUTE(CM13,"TF","")),"TM",""))*10/2,0),IF('Eval-Après impact'!$A$766=BM17,LEN(SUBSTITUTE((SUBSTITUTE(CM14,"TF","")),"TM",""))*10/2,0),IF('Eval-Après impact'!$A$767=BM17,LEN(SUBSTITUTE((SUBSTITUTE(CM15,"TF","")),"TM",""))*10/2,0),IF('Eval-Après impact'!$A$768=BM17,LEN(SUBSTITUTE((SUBSTITUTE(CM16,"TF","")),"TM",""))*10/2,0),IF('Eval-Après impact'!$A$769=BM17,LEN(SUBSTITUTE((SUBSTITUTE(CM17,"TF","")),"TM",""))*10/2,0),IF('Eval-Après impact'!$A$770=BM17,LEN(SUBSTITUTE((SUBSTITUTE(CM18,"TF","")),"TM",""))*10/2,0),IF('Eval-Après impact'!$A$771=BM17,LEN(SUBSTITUTE((SUBSTITUTE(CM19,"TF","")),"TM",""))*10/2,0),IF('Eval-Après impact'!$A$772=BM17,LEN(SUBSTITUTE((SUBSTITUTE(CM20,"TF","")),"TM",""))*10/2,0),IF('Eval-Après impact'!$A$773=BM17,LEN(SUBSTITUTE((SUBSTITUTE(CM21,"TF","")),"TM",""))*10/2,0),IF('Eval-Après impact'!$A$774=BM17,LEN(SUBSTITUTE((SUBSTITUTE(CM22,"TF","")),"TM",""))*10/2,0),IF('Eval-Après impact'!$A$775=BM17,LEN(SUBSTITUTE((SUBSTITUTE(CM23,"TF","")),"TM",""))*10/2,0),IF('Eval-Après impact'!$A$776=BM17,LEN(SUBSTITUTE((SUBSTITUTE(CM24,"TF","")),"TM",""))*10/2,0),IF('Eval-Après impact'!$A$777=BM17,LEN(SUBSTITUTE((SUBSTITUTE(CM25,"TF","")),"TM",""))*10/2,0),IF('Eval-Après impact'!$A$778=BM17,LEN(SUBSTITUTE((SUBSTITUTE(CM26,"TF","")),"TM",""))*10/2,0),IF('Eval-Après impact'!$A$779=BM17,LEN(SUBSTITUTE((SUBSTITUTE(CM27,"TF","")),"TM",""))*10/2,0),IF('Eval-Après impact'!$A$780=BM17,LEN(SUBSTITUTE((SUBSTITUTE(CM28,"TF","")),"TM",""))*10/2,0))/COUNTIF('Eval-Après impact'!$A$761:$A$780,BM17),"")</f>
        <v/>
      </c>
      <c r="CC17" s="211" t="str">
        <f>IF(COUNTIF('Eval-Après impact'!$A$761:$A$780,BM17)&gt;0,IF(OR(AND('Eval-Après impact'!$A$761=BM17,CJ9&lt;30),AND('Eval-Après impact'!$A$762=BM17,CJ10&lt;30),AND('Eval-Après impact'!$A$763=BM17,CJ11&lt;30),AND('Eval-Après impact'!$A$764=BM17,CJ12&lt;30),AND('Eval-Après impact'!$A$765=BM17,CJ13&lt;30),AND('Eval-Après impact'!$A$766=BM17,CJ14&lt;30),AND('Eval-Après impact'!$A$767=BM17,CJ15&lt;30),AND('Eval-Après impact'!$A$768=BM17,CJ16&lt;30),AND('Eval-Après impact'!$A$769=BM17,CJ17&lt;30),AND('Eval-Après impact'!$A$770=BM17,CJ18&lt;30),AND('Eval-Après impact'!$A$771=BM17,CJ19&lt;30),AND('Eval-Après impact'!$A$772=BM17,CJ20&lt;30),AND('Eval-Après impact'!$A$773=BM17,CJ21&lt;30),AND('Eval-Après impact'!$A$774=BM17,CJ22&lt;30),AND('Eval-Après impact'!$A$775=BM17,CJ23&lt;30),AND('Eval-Après impact'!$A$776=BM17,CJ24&lt;30),AND('Eval-Après impact'!$A$777=BM17,CJ25&lt;30),AND('Eval-Après impact'!$A$778=BM17,CJ26&lt;30),AND('Eval-Après impact'!$A$779=BM17,CJ27&lt;30),AND('Eval-Après impact'!$A$780=BM17,CJ28&lt;30)),"",SUM(0.1*(SUMPRODUCT(('Eval-Après impact'!$A$761:$A$780=BM17)*('Eval-Après impact'!$N$761:$P$780="A"))+ SUMPRODUCT(('Eval-Après impact'!$A$761:$A$780=BM17)*('Eval-Après impact'!$N$761:$P$780="AL"))),0.7*(SUMPRODUCT(('Eval-Après impact'!$A$761:$A$780=BM17)*('Eval-Après impact'!$N$761:$P$780="TF"))+SUMPRODUCT(('Eval-Après impact'!$A$761:$A$780=BM17)*('Eval-Après impact'!$N$761:$P$780="TM"))+SUMPRODUCT(('Eval-Après impact'!$A$761:$A$780=BM17)*('Eval-Après impact'!$N$761:$P$780="TS"))),0.4*(SUMPRODUCT(('Eval-Après impact'!$A$761:$A$780=BM17)*('Eval-Après impact'!$N$761:$P$780="LA"))+SUMPRODUCT(('Eval-Après impact'!$A$761:$A$780=BM17)*('Eval-Après impact'!$N$761:$P$780="L"))+SUMPRODUCT(('Eval-Après impact'!$A$761:$A$780=BM17)*('Eval-Après impact'!$N$761:$P$780="LS"))),1*(SUMPRODUCT(('Eval-Après impact'!$A$761:$A$780=BM17)*('Eval-Après impact'!$N$761:$P$780="SL"))+ SUMPRODUCT(('Eval-Après impact'!$A$761:$A$780=BM17)*('Eval-Après impact'!$N$761:$P$780="S"))))/(3*COUNTIF('Eval-Après impact'!$A$761:$A$780,BM17))),"")</f>
        <v/>
      </c>
      <c r="CD17" s="211" t="str">
        <f>IF(COUNTIF('Eval-Après impact'!$A$761:$A$780,BM17)&gt;0,IF(OR(AND('Eval-Après impact'!$A$761=BM17,CJ9&lt;120),AND('Eval-Après impact'!$A$762=BM17,CJ10&lt;120),AND('Eval-Après impact'!$A$763=BM17,CJ11&lt;120),AND('Eval-Après impact'!$A$764=BM17,CJ12&lt;120),AND('Eval-Après impact'!$A$765=BM17,CJ13&lt;120),AND('Eval-Après impact'!$A$766=BM17,CJ14&lt;120),AND('Eval-Après impact'!$A$767=BM17,CJ15&lt;120),AND('Eval-Après impact'!$A$768=BM17,CJ16&lt;120),AND('Eval-Après impact'!$A$769=BM17,CJ17&lt;120),AND('Eval-Après impact'!$A$770=BM17,CJ18&lt;120),AND('Eval-Après impact'!$A$771=BM17,CJ19&lt;120),AND('Eval-Après impact'!$A$772=BM17,CJ20&lt;120),AND('Eval-Après impact'!$A$773=BM17,CJ21&lt;120),AND('Eval-Après impact'!$A$774=BM17,CJ22&lt;120),AND('Eval-Après impact'!$A$775=BM17,CJ23&lt;120),AND('Eval-Après impact'!$A$776=BM17,CJ24&lt;120),AND('Eval-Après impact'!$A$777=BM17,CJ25&lt;120),AND('Eval-Après impact'!$A$778=BM17,CJ26&lt;120),AND('Eval-Après impact'!$A$779=BM17,CJ27&lt;120),AND('Eval-Après impact'!$A$780=BM17,CJ28&lt;120)),"",SUM(0.1*(SUMPRODUCT(('Eval-Après impact'!$A$761:$A$780=BM17)*('Eval-Après impact'!$Q$761:$Y$780="A"))+ SUMPRODUCT(('Eval-Après impact'!$A$761:$A$780=BM17)*('Eval-Après impact'!$Q$761:$Y$780="AL"))),0.7*(SUMPRODUCT(('Eval-Après impact'!$A$761:$A$780=BM17)*('Eval-Après impact'!$Q$761:$Y$780="TF"))+SUMPRODUCT(('Eval-Après impact'!$A$761:$A$780=BM17)*('Eval-Après impact'!$Q$761:$Y$780="TM"))+SUMPRODUCT(('Eval-Après impact'!$A$761:$A$780=BM17)*('Eval-Après impact'!$Q$761:$Y$780="TS"))),0.4*(SUMPRODUCT(('Eval-Après impact'!$A$761:$A$780=BM17)*('Eval-Après impact'!$Q$761:$Y$780="LA"))+SUMPRODUCT(('Eval-Après impact'!$A$761:$A$780=BM17)*('Eval-Après impact'!$Q$761:$Y$780="L"))+SUMPRODUCT(('Eval-Après impact'!$A$761:$A$780=BM17)*('Eval-Après impact'!$Q$761:$Y$780="LS"))),1*(SUMPRODUCT(('Eval-Après impact'!$A$761:$A$780=BM17)*('Eval-Après impact'!$Q$761:$Y$780="SL"))+ SUMPRODUCT(('Eval-Après impact'!$A$761:$A$780=BM17)*('Eval-Après impact'!$Q$761:$Y$780="S"))))/(9*COUNTIF('Eval-Après impact'!$A$761:$A$780,BM17))),"")</f>
        <v/>
      </c>
      <c r="CE17" s="211" t="str">
        <f>IF(COUNTIF('Eval-Après impact'!$A$761:$A$780,BM17)&gt;0,IF(OR(AND('Eval-Après impact'!$A$761=BM17,OR(COUNTIF('Eval-Après impact'!$N$761:$P$761,"*T*")&gt;0,CJ9&lt;30)),AND('Eval-Après impact'!$A$762=BM17,OR(COUNTIF('Eval-Après impact'!$N$762:$P$762,"*T*")&gt;0,CJ10&lt;30)),AND('Eval-Après impact'!$A$763=BM17,OR(COUNTIF('Eval-Après impact'!$N$763:$P$763,"*T*")&gt;0,CJ11&lt;30)),AND('Eval-Après impact'!$A$764=BM17,OR(COUNTIF('Eval-Après impact'!$N$764:$P$764,"*T*")&gt;0,CJ12&lt;30)),AND('Eval-Après impact'!$A$765=BM17,OR(COUNTIF('Eval-Après impact'!$N$765:$P$765,"*T*")&gt;0,CJ13&lt;30)),AND('Eval-Après impact'!$A$766=BM17,OR(COUNTIF('Eval-Après impact'!$N$766:$P$766,"*T*")&gt;0,CJ14&lt;30)),AND('Eval-Après impact'!$A$767=BM17,OR(COUNTIF('Eval-Après impact'!$N$767:$P$767,"*T*")&gt;0,CJ15&lt;30)),AND('Eval-Après impact'!$A$768=BM17,OR(COUNTIF('Eval-Après impact'!$N$768:$P$768,"*T*")&gt;0,CJ16&lt;30)),AND('Eval-Après impact'!$A$769=BM17,OR(COUNTIF('Eval-Après impact'!$N$769:$P$769,"*T*")&gt;0,CJ17&lt;30)),AND('Eval-Après impact'!$A$770=BM17,OR(COUNTIF('Eval-Après impact'!$N$770:$P$770,"*T*")&gt;0,CJ18&lt;30)),AND('Eval-Après impact'!$A$771=BM17,OR(COUNTIF('Eval-Après impact'!$N$771:$P$771,"*T*")&gt;0,CJ19&lt;30)),AND('Eval-Après impact'!$A$772=BM17,OR(COUNTIF('Eval-Après impact'!$N$772:$P$772,"*T*")&gt;0,CJ20&lt;30)),AND('Eval-Après impact'!$A$773=BM17,OR(COUNTIF('Eval-Après impact'!$N$773:$P$773,"*T*")&gt;0,CJ21&lt;30)),AND('Eval-Après impact'!$A$774=BM17,OR(COUNTIF('Eval-Après impact'!$N$774:$P$774,"*T*")&gt;0,CJ22&lt;30)),AND('Eval-Après impact'!$A$775=BM17,OR(COUNTIF('Eval-Après impact'!$N$775:$P$775,"*T*")&gt;0,CJ23&lt;30)),AND('Eval-Après impact'!$A$776=BM17,OR(COUNTIF('Eval-Après impact'!$N$776:$P$776,"*T*")&gt;0,CJ24&lt;30)),AND('Eval-Après impact'!$A$777=BM17,OR(COUNTIF('Eval-Après impact'!$N$777:$P$777,"*T*")&gt;0,CJ25&lt;30)),AND('Eval-Après impact'!$A$778=BM17,OR(COUNTIF('Eval-Après impact'!$N$778:$P$778,"*T*")&gt;0,CJ26&lt;30)),AND('Eval-Après impact'!$A$779=BM17,OR(COUNTIF('Eval-Après impact'!$N$779:$P$779,"*T*")&gt;0,CJ27&lt;30)),AND('Eval-Après impact'!$A$780=BM17,OR(COUNTIF('Eval-Après impact'!$N$780:$P$780,"*T*")&gt;0,CJ28&lt;30))),"",SUM(0.1*(SUMPRODUCT(('Eval-Après impact'!$A$761:$A$780=BM17)*('Eval-Après impact'!$N$761:$P$780="L"))),0.4*(SUMPRODUCT(('Eval-Après impact'!$A$761:$A$780=BM17)*('Eval-Après impact'!$N$761:$P$780="LA"))+SUMPRODUCT(('Eval-Après impact'!$A$761:$A$780=BM17)*('Eval-Après impact'!$N$761:$P$780="LS"))),0.7*(SUMPRODUCT(('Eval-Après impact'!$A$761:$A$780=BM17)*('Eval-Après impact'!$N$761:$P$780="AL"))+SUMPRODUCT(('Eval-Après impact'!$A$761:$A$780=BM17)*('Eval-Après impact'!$N$761:$P$780="SL"))),1*(SUMPRODUCT(('Eval-Après impact'!$A$761:$A$780=BM17)*('Eval-Après impact'!$N$761:$P$780="S"))+ SUMPRODUCT(('Eval-Après impact'!$A$761:$A$780=BM17)*('Eval-Après impact'!$N$761:$P$780="A"))))/(3*COUNTIF('Eval-Après impact'!$A$761:$A$780,BM17))),"")</f>
        <v/>
      </c>
      <c r="CF17" s="211" t="str">
        <f>IF(COUNTIF('Eval-Après impact'!$A$761:$A$780,BM17)&gt;0,IF(OR(AND('Eval-Après impact'!$A$761=BM17,OR(COUNTIF('Eval-Après impact'!$N$761:$P$761,"*T*")&gt;0,CJ9&lt;30)),AND('Eval-Après impact'!$A$762=BM17,OR(COUNTIF('Eval-Après impact'!$N$762:$P$762,"*T*")&gt;0,CJ10&lt;30)),AND('Eval-Après impact'!$A$763=BM17,OR(COUNTIF('Eval-Après impact'!$N$763:$P$763,"*T*")&gt;0,CJ11&lt;30)),AND('Eval-Après impact'!$A$764=BM17,OR(COUNTIF('Eval-Après impact'!$N$764:$P$764,"*T*")&gt;0,CJ12&lt;30)),AND('Eval-Après impact'!$A$765=BM17,OR(COUNTIF('Eval-Après impact'!$N$765:$P$765,"*T*")&gt;0,CJ13&lt;30)),AND('Eval-Après impact'!$A$766=BM17,OR(COUNTIF('Eval-Après impact'!$N$766:$P$766,"*T*")&gt;0,CJ14&lt;30)),AND('Eval-Après impact'!$A$767=BM17,OR(COUNTIF('Eval-Après impact'!$N$767:$P$767,"*T*")&gt;0,CJ15&lt;30)),AND('Eval-Après impact'!$A$768=BM17,OR(COUNTIF('Eval-Après impact'!$N$768:$P$768,"*T*")&gt;0,CJ16&lt;30)),AND('Eval-Après impact'!$A$769=BM17,OR(COUNTIF('Eval-Après impact'!$N$769:$P$769,"*T*")&gt;0,CJ17&lt;30)),AND('Eval-Après impact'!$A$770=BM17,OR(COUNTIF('Eval-Après impact'!$N$770:$P$770,"*T*")&gt;0,CJ18&lt;30)),AND('Eval-Après impact'!$A$771=BM17,OR(COUNTIF('Eval-Après impact'!$N$771:$P$771,"*T*")&gt;0,CJ19&lt;30)),AND('Eval-Après impact'!$A$772=BM17,OR(COUNTIF('Eval-Après impact'!$N$772:$P$772,"*T*")&gt;0,CJ20&lt;30)),AND('Eval-Après impact'!$A$773=BM17,OR(COUNTIF('Eval-Après impact'!$N$773:$P$773,"*T*")&gt;0,CJ21&lt;30)),AND('Eval-Après impact'!$A$774=BM17,OR(COUNTIF('Eval-Après impact'!$N$774:$P$774,"*T*")&gt;0,CJ22&lt;30)),AND('Eval-Après impact'!$A$775=BM17,OR(COUNTIF('Eval-Après impact'!$N$775:$P$775,"*T*")&gt;0,CJ23&lt;30)),AND('Eval-Après impact'!$A$776=BM17,OR(COUNTIF('Eval-Après impact'!$N$776:$P$776,"*T*")&gt;0,CJ24&lt;30)),AND('Eval-Après impact'!$A$777=BM17,OR(COUNTIF('Eval-Après impact'!$N$777:$P$777,"*T*")&gt;0,CJ25&lt;30)),AND('Eval-Après impact'!$A$778=BM17,OR(COUNTIF('Eval-Après impact'!$N$778:$P$778,"*T*")&gt;0,CJ26&lt;30)),AND('Eval-Après impact'!$A$779=BM17,OR(COUNTIF('Eval-Après impact'!$N$779:$P$779,"*T*")&gt;0,CJ27&lt;30)),AND('Eval-Après impact'!$A$780=BM17,OR(COUNTIF('Eval-Après impact'!$N$780:$P$780,"*T*")&gt;0,CJ28&lt;30))),"",SUM(1*(SUMPRODUCT(('Eval-Après impact'!$A$761:$A$780=BM17)*('Eval-Après impact'!$N$761:$P$780="A"))),0.85*(SUMPRODUCT(('Eval-Après impact'!$A$761:$A$780=BM17)*('Eval-Après impact'!$N$761:$P$780="AL"))),0.7*(SUMPRODUCT(('Eval-Après impact'!$A$761:$A$780=BM17)*('Eval-Après impact'!$N$761:$P$780="LA"))),0.55*(SUMPRODUCT(('Eval-Après impact'!$A$761:$A$780=BM17)*('Eval-Après impact'!$N$761:$P$780="L"))),0.4*(SUMPRODUCT(('Eval-Après impact'!$A$761:$A$780=BM17)*('Eval-Après impact'!$N$761:$P$780="LS"))),0.25*(SUMPRODUCT(('Eval-Après impact'!$A$761:$A$780=BM17)*('Eval-Après impact'!$N$761:$P$780="SL"))),0.1*(SUMPRODUCT(('Eval-Après impact'!$A$761:$A$780=BM17)*('Eval-Après impact'!$N$761:$P$780="S"))))/(3*COUNTIF('Eval-Après impact'!$A$761:$A$780,BM17))),"")</f>
        <v/>
      </c>
      <c r="CG17" s="214" t="str">
        <f>IF(COUNTIF('Eval-Après impact'!$A$761:$A$780,BM17)&gt;0,IF(OR(AND('Eval-Après impact'!$A$761=BM17,OR(COUNTIF('Eval-Après impact'!$Q$761:$Y$761,"*T*")&gt;0,CJ9&lt;120)),AND('Eval-Après impact'!$A$762=BM17,OR(COUNTIF('Eval-Après impact'!$Q$762:$Y$762,"*T*")&gt;0,CJ10&lt;120)),AND('Eval-Après impact'!$A$763=BM17,OR(COUNTIF('Eval-Après impact'!$Q$763:$Y$763,"*T*")&gt;0,CJ11&lt;120)),AND('Eval-Après impact'!$A$764=BM17,OR(COUNTIF('Eval-Après impact'!$Q$764:$Y$764,"*T*")&gt;0,CJ12&lt;120)),AND('Eval-Après impact'!$A$765=BM17,OR(COUNTIF('Eval-Après impact'!$Q$765:$Y$765,"*T*")&gt;0,CJ13&lt;120)),AND('Eval-Après impact'!$A$766=BM17,OR(COUNTIF('Eval-Après impact'!$Q$766:$Y$766,"*T*")&gt;0,CJ14&lt;120)),AND('Eval-Après impact'!$A$767=BM17,OR(COUNTIF('Eval-Après impact'!$Q$767:$Y$767,"*T*")&gt;0,CJ15&lt;120)),AND('Eval-Après impact'!$A$768=BM17,OR(COUNTIF('Eval-Après impact'!$Q$768:$Y$768,"*T*")&gt;0,CJ16&lt;120)),AND('Eval-Après impact'!$A$769=BM17,OR(COUNTIF('Eval-Après impact'!$Q$769:$Y$769,"*T*")&gt;0,CJ17&lt;120)),AND('Eval-Après impact'!$A$770=BM17,OR(COUNTIF('Eval-Après impact'!$Q$770:$Y$770,"*T*")&gt;0,CJ18&lt;120)),AND('Eval-Après impact'!$A$771=BM17,OR(COUNTIF('Eval-Après impact'!$Q$771:$Y$771,"*T*")&gt;0,CJ19&lt;120)),AND('Eval-Après impact'!$A$772=BM17,OR(COUNTIF('Eval-Après impact'!$Q$772:$Y$772,"*T*")&gt;0,CJ20&lt;120)),AND('Eval-Après impact'!$A$773=BM17,OR(COUNTIF('Eval-Après impact'!$Q$773:$Y$773,"*T*")&gt;0,CJ21&lt;120)),AND('Eval-Après impact'!$A$774=BM17,OR(COUNTIF('Eval-Après impact'!$Q$774:$Y$774,"*T*")&gt;0,CJ22&lt;120)),AND('Eval-Après impact'!$A$775=BM17,OR(COUNTIF('Eval-Après impact'!$Q$775:$Y$775,"*T*")&gt;0,CJ23&lt;120)),AND('Eval-Après impact'!$A$776=BM17,OR(COUNTIF('Eval-Après impact'!$Q$776:$Y$776,"*T*")&gt;0,CJ24&lt;120)),AND('Eval-Après impact'!$A$777=BM17,OR(COUNTIF('Eval-Après impact'!$Q$777:$Y$777,"*T*")&gt;0,CJ25&lt;120)),AND('Eval-Après impact'!$A$778=BM17,OR(COUNTIF('Eval-Après impact'!$Q$778:$Y$778,"*T*")&gt;0,CJ26&lt;120)),AND('Eval-Après impact'!$A$779=BM17,OR(COUNTIF('Eval-Après impact'!$Q$779:$Y$779,"*T*")&gt;0,CJ27&lt;120)),AND('Eval-Après impact'!$A$780=BM17,OR(COUNTIF('Eval-Après impact'!$Q$780:$Y$780,"*T*")&gt;0,CJ28&lt;120))),"",SUM(1*(SUMPRODUCT(('Eval-Après impact'!$A$761:$A$780=BM17)*('Eval-Après impact'!$Q$761:$Y$780="A"))),0.85*(SUMPRODUCT(('Eval-Après impact'!$A$761:$A$780=BM17)*('Eval-Après impact'!$Q$761:$Y$780="AL"))),0.7*(SUMPRODUCT(('Eval-Après impact'!$A$761:$A$780=BM17)*('Eval-Après impact'!$Q$761:$Y$780="LA"))),0.55*(SUMPRODUCT(('Eval-Après impact'!$A$761:$A$780=BM17)*('Eval-Après impact'!$Q$761:$Y$780="L"))),0.4*(SUMPRODUCT(('Eval-Après impact'!$A$761:$A$780=BM17)*('Eval-Après impact'!$Q$761:$Y$780="LS"))),0.25*(SUMPRODUCT(('Eval-Après impact'!$A$761:$A$780=BM17)*('Eval-Après impact'!$Q$761:$Y$780="SL"))),0.1*(SUMPRODUCT(('Eval-Après impact'!$A$761:$A$780=BM17)*('Eval-Après impact'!$Q$761:$Y$780="S"))))/(9*COUNTIF('Eval-Après impact'!$A$761:$A$780,BM17))),"")</f>
        <v/>
      </c>
      <c r="CH17" s="215"/>
      <c r="CI17" s="216">
        <f>'Eval-Après impact'!$D$769</f>
        <v>9</v>
      </c>
      <c r="CJ17" s="217" t="str">
        <f>IF(CK17="C",0,IF(IF(COUNTIF('Eval-Après impact'!$N$769:$Y$769,"=C")&gt;0,(COUNTA('Eval-Après impact'!$N$769:$Y$769)-1)*10,COUNTA('Eval-Après impact'!$N$769:$Y$769)*10)=0,"",IF(COUNTIF('Eval-Après impact'!$N$769:$Y$769,"=C")&gt;0,(COUNTA('Eval-Après impact'!$N$769:$Y$769)-1)*10,COUNTA('Eval-Après impact'!$N$769:$Y$769)*10)))</f>
        <v/>
      </c>
      <c r="CK17" s="217" t="str">
        <f>CONCATENATE('Eval-Après impact'!$N$769,'Eval-Après impact'!$O$769,'Eval-Après impact'!$P$769,'Eval-Après impact'!$Q$769,'Eval-Après impact'!$R$769,'Eval-Après impact'!$S$769,'Eval-Après impact'!$T$769,'Eval-Après impact'!$U$769,'Eval-Après impact'!$V$769,'Eval-Après impact'!$W$769,'Eval-Après impact'!$X$769,'Eval-Après impact'!$Y$769)</f>
        <v/>
      </c>
      <c r="CL17" s="217" t="str">
        <f t="shared" si="8"/>
        <v/>
      </c>
      <c r="CM17" s="217" t="str">
        <f t="shared" si="9"/>
        <v/>
      </c>
      <c r="CN17" s="217" t="str">
        <f>IF(COUNTIF('Eval-Après impact'!$N$769:$Y$769,"=C")&gt;0,"X","")</f>
        <v/>
      </c>
      <c r="CO17" s="217" t="str">
        <f t="shared" si="10"/>
        <v/>
      </c>
      <c r="CP17" s="218" t="str">
        <f t="shared" si="11"/>
        <v/>
      </c>
      <c r="CQ17" s="197"/>
      <c r="CS17" s="210">
        <v>9</v>
      </c>
      <c r="CT17" s="211" t="str">
        <f>IF(COUNTIF('Eval-Avant action écologique'!$A$761:$A$780,CS17)&gt;0,SUM(IF('Eval-Avant action écologique'!$A$761=CS17,'Eval-Avant action écologique'!$B$761,0),IF('Eval-Avant action écologique'!$A$762=CS17, 'Eval-Avant action écologique'!$B$762,0),IF('Eval-Avant action écologique'!$A$763=CS17, 'Eval-Avant action écologique'!$B$763,0),IF('Eval-Avant action écologique'!$A$764=CS17, 'Eval-Avant action écologique'!$B$764,0),IF('Eval-Avant action écologique'!$A$765=CS17, 'Eval-Avant action écologique'!$B$765,0),IF('Eval-Avant action écologique'!$A$766=CS17, 'Eval-Avant action écologique'!$B$766,0),IF('Eval-Avant action écologique'!$A$767=CS17, 'Eval-Avant action écologique'!$B$767,0),IF('Eval-Avant action écologique'!$A$768=CS17, 'Eval-Avant action écologique'!$B$768,0),IF('Eval-Avant action écologique'!$A$769=CS17, 'Eval-Avant action écologique'!$B$769,0),IF('Eval-Avant action écologique'!$A$770=CS17, 'Eval-Avant action écologique'!$B$770,0),IF('Eval-Avant action écologique'!$A$771=CS17, 'Eval-Avant action écologique'!$B$771,0),IF('Eval-Avant action écologique'!$A$772=CS17, 'Eval-Avant action écologique'!$B$772,0),IF('Eval-Avant action écologique'!$A$773=CS17, 'Eval-Avant action écologique'!$B$773,0),IF('Eval-Avant action écologique'!$A$774=CS17, 'Eval-Avant action écologique'!$B$774,0),IF('Eval-Avant action écologique'!$A$775=CS17, 'Eval-Avant action écologique'!$B$775,0),IF('Eval-Avant action écologique'!$A$776=CS17, 'Eval-Avant action écologique'!$B$776,0),IF('Eval-Avant action écologique'!$A$777=CS17, 'Eval-Avant action écologique'!$B$777,0),IF('Eval-Avant action écologique'!$A$778=CS17, 'Eval-Avant action écologique'!$B$778,0),IF('Eval-Avant action écologique'!$A$779=CS17, 'Eval-Avant action écologique'!$B$779,0),IF('Eval-Avant action écologique'!$A$780=CS17, 'Eval-Avant action écologique'!$B$780,0))/COUNTIF('Eval-Avant action écologique'!$A$761:$A$780,CS17),"")</f>
        <v/>
      </c>
      <c r="CU17" s="212" t="str">
        <f>IF(COUNTIF('Eval-Avant action écologique'!$A$761:$A$780,CS17)&gt;0,COUNTIF('Eval-Avant action écologique'!$A$761:$A$780,CS17),"")</f>
        <v/>
      </c>
      <c r="CV17" s="211" t="str">
        <f>IF(COUNTIF('Eval-Avant action écologique'!$A$761:$A$780,CS17)&gt;0,IF(OR(AND('Eval-Avant action écologique'!$A$761=CS17, 'Eval-Avant action écologique'!$G$761=""),AND('Eval-Avant action écologique'!$A$762=CS17, 'Eval-Avant action écologique'!$G$762=""),AND('Eval-Avant action écologique'!$A$763=CS17, 'Eval-Avant action écologique'!$G$763=""),AND('Eval-Avant action écologique'!$A$764=CS17, 'Eval-Avant action écologique'!$G$764=""),AND('Eval-Avant action écologique'!$A$765=CS17, 'Eval-Avant action écologique'!$G$765=""),AND('Eval-Avant action écologique'!$A$766=CS17, 'Eval-Avant action écologique'!$G$766=""),AND('Eval-Avant action écologique'!$A$767=CS17, 'Eval-Avant action écologique'!$G$767=""),AND('Eval-Avant action écologique'!$A$768=CS17, 'Eval-Avant action écologique'!$G$768=""),AND('Eval-Avant action écologique'!$A$769=CS17, 'Eval-Avant action écologique'!$G$769=""),AND('Eval-Avant action écologique'!$A$770=CS17, 'Eval-Avant action écologique'!$G$770=""),AND('Eval-Avant action écologique'!$A$771=CS17, 'Eval-Avant action écologique'!$G$771=""),AND('Eval-Avant action écologique'!$A$772=CS17, 'Eval-Avant action écologique'!$G$772=""),AND('Eval-Avant action écologique'!$A$773=CS17, 'Eval-Avant action écologique'!$G$773=""),AND('Eval-Avant action écologique'!$A$774=CS17, 'Eval-Avant action écologique'!$G$774=""),AND('Eval-Avant action écologique'!$A$775=CS17, 'Eval-Avant action écologique'!$G$775=""),AND('Eval-Avant action écologique'!$A$776=CS17, 'Eval-Avant action écologique'!$G$776=""),AND('Eval-Avant action écologique'!$A$777=CS17, 'Eval-Avant action écologique'!$G$777=""),AND('Eval-Avant action écologique'!$A$778=CS17, 'Eval-Avant action écologique'!$G$778=""),AND('Eval-Avant action écologique'!$A$779=CS17, 'Eval-Avant action écologique'!$G$779=""),AND('Eval-Avant action écologique'!$A$780=CS17, 'Eval-Avant action écologique'!$G$780="")),"",SUM(IF('Eval-Avant action écologique'!$A$761=CS17,'Eval-Avant action écologique'!$G$761,0),IF('Eval-Avant action écologique'!$A$762=CS17,'Eval-Avant action écologique'!$G$762,0),IF('Eval-Avant action écologique'!$A$763=CS17,'Eval-Avant action écologique'!$G$763,0),IF('Eval-Avant action écologique'!$A$764=CS17,'Eval-Avant action écologique'!$G$764,0),IF('Eval-Avant action écologique'!$A$765=CS17,'Eval-Avant action écologique'!$G$765,0),IF('Eval-Avant action écologique'!$A$766=CS17,'Eval-Avant action écologique'!$G$766,0),IF('Eval-Avant action écologique'!$A$767=CS17,'Eval-Avant action écologique'!$G$767,0),IF('Eval-Avant action écologique'!$A$768=CS17,'Eval-Avant action écologique'!$G$768,0),IF('Eval-Avant action écologique'!$A$769=CS17,'Eval-Avant action écologique'!$G$769,0),IF('Eval-Avant action écologique'!$A$770=CS17,'Eval-Avant action écologique'!$G$770,0),IF('Eval-Avant action écologique'!$A$771=CS17,'Eval-Avant action écologique'!$G$771,0),IF('Eval-Avant action écologique'!$A$772=CS17,'Eval-Avant action écologique'!$G$772,0),IF('Eval-Avant action écologique'!$A$773=CS17,'Eval-Avant action écologique'!$G$773,0),IF('Eval-Avant action écologique'!$A$774=CS17,'Eval-Avant action écologique'!$G$774,0),IF('Eval-Avant action écologique'!$A$775=CS17,'Eval-Avant action écologique'!$G$775,0), IF('Eval-Avant action écologique'!$A$776=CS17,'Eval-Avant action écologique'!$G$776,0), IF('Eval-Avant action écologique'!$A$777=CS17,'Eval-Avant action écologique'!$G$777,0), IF('Eval-Avant action écologique'!$A$778=CS17,'Eval-Avant action écologique'!$G$778,0), IF('Eval-Avant action écologique'!$A$779=CS17,'Eval-Avant action écologique'!$G$779,0), IF('Eval-Avant action écologique'!$A$780=CS17,'Eval-Avant action écologique'!$G$780,0))/ COUNTIF('Eval-Avant action écologique'!$A$761:$A$780,CS17)),"")</f>
        <v/>
      </c>
      <c r="CW17" s="212" t="str">
        <f>IF(COUNTIF('Eval-Avant action écologique'!$A$761:$A$780,CS17)&gt;0,IF(SUM(IF('Eval-Avant action écologique'!$A$761=CS17,COUNTA('Eval-Avant action écologique'!$H$761),0),IF('Eval-Avant action écologique'!$A$762=CS17,COUNTA('Eval-Avant action écologique'!$H$762),0),IF('Eval-Avant action écologique'!$A$763=CS17,COUNTA('Eval-Avant action écologique'!$H$763),0),IF('Eval-Avant action écologique'!$A$764=CS17,COUNTA('Eval-Avant action écologique'!$H$764),0),IF('Eval-Avant action écologique'!$A$765=CS17,COUNTA('Eval-Avant action écologique'!$H$765),0),IF('Eval-Avant action écologique'!$A$766=CS17,COUNTA('Eval-Avant action écologique'!$H$766),0),IF('Eval-Avant action écologique'!$A$767=CS17,COUNTA('Eval-Avant action écologique'!$H$767),0),IF('Eval-Avant action écologique'!$A$768=CS17,COUNTA('Eval-Avant action écologique'!$H$768),0),IF('Eval-Avant action écologique'!$A$769=CS17,COUNTA('Eval-Avant action écologique'!$H$769),0),IF('Eval-Avant action écologique'!$A$770=CS17,COUNTA('Eval-Avant action écologique'!$H$770),0),IF('Eval-Avant action écologique'!$A$771=CS17,COUNTA('Eval-Avant action écologique'!$H$771),0),IF('Eval-Avant action écologique'!$A$772=CS17,COUNTA('Eval-Avant action écologique'!$H$772),0),IF('Eval-Avant action écologique'!$A$773=CS17,COUNTA('Eval-Avant action écologique'!$H$773),0),IF('Eval-Avant action écologique'!$A$774=CS17,COUNTA('Eval-Avant action écologique'!$H$774),0),IF('Eval-Avant action écologique'!$A$775=CS17,COUNTA('Eval-Avant action écologique'!$H$775),0),IF('Eval-Avant action écologique'!$A$776=CS17,COUNTA('Eval-Avant action écologique'!$H$776),0),IF('Eval-Avant action écologique'!$A$777=CS17,COUNTA('Eval-Avant action écologique'!$H$777),0),IF('Eval-Avant action écologique'!$A$778=CS17,COUNTA('Eval-Avant action écologique'!$H$778),0),IF('Eval-Avant action écologique'!$A$779=CS17,COUNTA('Eval-Avant action écologique'!$H$779),0),IF('Eval-Avant action écologique'!$A$780=CS17,COUNTA('Eval-Avant action écologique'!$H$780),0))&gt;0,"X",0),"")</f>
        <v/>
      </c>
      <c r="CX17" s="213" t="str">
        <f>IF(COUNTIF('Eval-Avant action écologique'!$A$761:$A$780,CS17)&gt;0,IF(SUM(IF('Eval-Avant action écologique'!$A$761=CS17,COUNTA('Eval-Avant action écologique'!$I$761),0),IF('Eval-Avant action écologique'!$A$762=CS17,COUNTA('Eval-Avant action écologique'!$I$762),0),IF('Eval-Avant action écologique'!$A$763=CS17,COUNTA('Eval-Avant action écologique'!$I$763),0),IF('Eval-Avant action écologique'!$A$764=CS17,COUNTA('Eval-Avant action écologique'!$I$764),0),IF('Eval-Avant action écologique'!$A$765=CS17,COUNTA('Eval-Avant action écologique'!$I$765),0),IF('Eval-Avant action écologique'!$A$766=CS17,COUNTA('Eval-Avant action écologique'!$I$766),0),IF('Eval-Avant action écologique'!$A$767=CS17,COUNTA('Eval-Avant action écologique'!$I$767),0),IF('Eval-Avant action écologique'!$A$768=CS17,COUNTA('Eval-Avant action écologique'!$I$768),0),IF('Eval-Avant action écologique'!$A$769=CS17,COUNTA('Eval-Avant action écologique'!$I$769),0),IF('Eval-Avant action écologique'!$A$770=CS17,COUNTA('Eval-Avant action écologique'!$I$770),0),IF('Eval-Avant action écologique'!$A$771=CS17,COUNTA('Eval-Avant action écologique'!$I$771),0),IF('Eval-Avant action écologique'!$A$772=CS17,COUNTA('Eval-Avant action écologique'!$I$772),0),IF('Eval-Avant action écologique'!$A$773=CS17,COUNTA('Eval-Avant action écologique'!$I$773),0),IF('Eval-Avant action écologique'!$A$774=CS17,COUNTA('Eval-Avant action écologique'!$I$774),0),IF('Eval-Avant action écologique'!$A$775=CS17,COUNTA('Eval-Avant action écologique'!$I$775),0),IF('Eval-Avant action écologique'!$A$776=CS17,COUNTA('Eval-Avant action écologique'!$I$776),0),IF('Eval-Avant action écologique'!$A$777=CS17,COUNTA('Eval-Avant action écologique'!$I$777),0),IF('Eval-Avant action écologique'!$A$778=CS17,COUNTA('Eval-Avant action écologique'!$I$778),0),IF('Eval-Avant action écologique'!$A$779=CS17,COUNTA('Eval-Avant action écologique'!$I$779),0),IF('Eval-Avant action écologique'!$A$780=CS17,COUNTA('Eval-Avant action écologique'!$I$780),0))&gt;0,"X",0),"")</f>
        <v/>
      </c>
      <c r="CY17" s="213" t="str">
        <f>IF(COUNTIF('Eval-Avant action écologique'!$A$761:$A$780,CS17)&gt;0,IF(SUM(IF('Eval-Avant action écologique'!$A$761=CS17,COUNTA('Eval-Avant action écologique'!$J$761),0),IF('Eval-Avant action écologique'!$A$762=CS17,COUNTA('Eval-Avant action écologique'!$J$762),0),IF('Eval-Avant action écologique'!$A$763=CS17,COUNTA('Eval-Avant action écologique'!$J$763),0),IF('Eval-Avant action écologique'!$A$764=CS17,COUNTA('Eval-Avant action écologique'!$J$764),0),IF('Eval-Avant action écologique'!$A$765=CS17,COUNTA('Eval-Avant action écologique'!$J$765),0),IF('Eval-Avant action écologique'!$A$766=CS17,COUNTA('Eval-Avant action écologique'!$J$766),0),IF('Eval-Avant action écologique'!$A$767=CS17,COUNTA('Eval-Avant action écologique'!$J$767),0),IF('Eval-Avant action écologique'!$A$768=CS17,COUNTA('Eval-Avant action écologique'!$J$768),0),IF('Eval-Avant action écologique'!$A$769=CS17,COUNTA('Eval-Avant action écologique'!$J$769),0),IF('Eval-Avant action écologique'!$A$770=CS17,COUNTA('Eval-Avant action écologique'!$J$770),0),IF('Eval-Avant action écologique'!$A$771=CS17,COUNTA('Eval-Avant action écologique'!$J$771),0),IF('Eval-Avant action écologique'!$A$772=CS17,COUNTA('Eval-Avant action écologique'!$J$772),0),IF('Eval-Avant action écologique'!$A$773=CS17,COUNTA('Eval-Avant action écologique'!$J$773),0),IF('Eval-Avant action écologique'!$A$774=CS17,COUNTA('Eval-Avant action écologique'!$J$774),0),IF('Eval-Avant action écologique'!$A$775=CS17,COUNTA('Eval-Avant action écologique'!$J$775),0),IF('Eval-Avant action écologique'!$A$776=CS17,COUNTA('Eval-Avant action écologique'!$J$776),0),IF('Eval-Avant action écologique'!$A$777=CS17,COUNTA('Eval-Avant action écologique'!$J$777),0),IF('Eval-Avant action écologique'!$A$778=CS17,COUNTA('Eval-Avant action écologique'!$J$778),0),IF('Eval-Avant action écologique'!$A$779=CS17,COUNTA('Eval-Avant action écologique'!$J$779),0),IF('Eval-Avant action écologique'!$A$780=CS17,COUNTA('Eval-Avant action écologique'!$J$780),0))&gt;0,"X",0),"")</f>
        <v/>
      </c>
      <c r="CZ17" s="213" t="str">
        <f>IF(COUNTIF('Eval-Avant action écologique'!$A$761:$A$780,CS17)&gt;0,IF(SUM(IF('Eval-Avant action écologique'!$A$761=CS17,COUNTA('Eval-Avant action écologique'!$K$761),0),IF('Eval-Avant action écologique'!$A$762=CS17,COUNTA('Eval-Avant action écologique'!$K$762),0),IF('Eval-Avant action écologique'!$A$763=CS17,COUNTA('Eval-Avant action écologique'!$K$763),0),IF('Eval-Avant action écologique'!$A$764=CS17,COUNTA('Eval-Avant action écologique'!$K$764),0),IF('Eval-Avant action écologique'!$A$765=CS17,COUNTA('Eval-Avant action écologique'!$K$765),0),IF('Eval-Avant action écologique'!$A$766=CS17,COUNTA('Eval-Avant action écologique'!$K$766),0),IF('Eval-Avant action écologique'!$A$767=CS17,COUNTA('Eval-Avant action écologique'!$K$767),0),IF('Eval-Avant action écologique'!$A$768=CS17,COUNTA('Eval-Avant action écologique'!$K$768),0),IF('Eval-Avant action écologique'!$A$769=CS17,COUNTA('Eval-Avant action écologique'!$K$769),0),IF('Eval-Avant action écologique'!$A$770=CS17,COUNTA('Eval-Avant action écologique'!$K$770),0),IF('Eval-Avant action écologique'!$A$771=CS17,COUNTA('Eval-Avant action écologique'!$K$771),0),IF('Eval-Avant action écologique'!$A$772=CS17,COUNTA('Eval-Avant action écologique'!$K$772),0),IF('Eval-Avant action écologique'!$A$773=CS17,COUNTA('Eval-Avant action écologique'!$K$773),0),IF('Eval-Avant action écologique'!$A$774=CS17,COUNTA('Eval-Avant action écologique'!$K$774),0),IF('Eval-Avant action écologique'!$A$775=CS17,COUNTA('Eval-Avant action écologique'!$K$775),0),IF('Eval-Avant action écologique'!$A$776=CS17,COUNTA('Eval-Avant action écologique'!$K$776),0),IF('Eval-Avant action écologique'!$A$777=CS17,COUNTA('Eval-Avant action écologique'!$K$777),0),IF('Eval-Avant action écologique'!$A$778=CS17,COUNTA('Eval-Avant action écologique'!$K$778),0),IF('Eval-Avant action écologique'!$A$779=CS17,COUNTA('Eval-Avant action écologique'!$K$779),0),IF('Eval-Avant action écologique'!$A$780=CS17,COUNTA('Eval-Avant action écologique'!$K$780),0))&gt;0,"X",0),"")</f>
        <v/>
      </c>
      <c r="DA17" s="211" t="str">
        <f>IF(COUNTIF('Eval-Avant action écologique'!$A$761:$A$780,CS17)&gt;0,IF(OR(AND('Eval-Avant action écologique'!$A$761=CS17,'Eval-Avant action écologique'!$L$761&lt;120,'Eval-Avant action écologique'!$L$761&gt;=DP9),AND('Eval-Avant action écologique'!$A$762=CS17,'Eval-Avant action écologique'!$L$762&lt;120,'Eval-Avant action écologique'!$L$762&gt;=DP10),AND('Eval-Avant action écologique'!$A$763=CS17,'Eval-Avant action écologique'!$L$763&lt;120,'Eval-Avant action écologique'!$L$763&gt;=DP11),AND('Eval-Avant action écologique'!$A$764=CS17,'Eval-Avant action écologique'!$L$764&lt;120,'Eval-Avant action écologique'!$L$764&gt;=DP12),AND('Eval-Avant action écologique'!$A$765=CS17,'Eval-Avant action écologique'!$L$765&lt;120,'Eval-Avant action écologique'!$L$765&gt;=DP13),AND('Eval-Avant action écologique'!$A$766=CS17,'Eval-Avant action écologique'!$L$766&lt;120,'Eval-Avant action écologique'!$L$766&gt;=DP14),AND('Eval-Avant action écologique'!$A$767=CS17,'Eval-Avant action écologique'!$L$767&lt;120,'Eval-Avant action écologique'!$L$767&gt;=DP15),AND('Eval-Avant action écologique'!$A$768=CS17,'Eval-Avant action écologique'!$L$768&lt;120,'Eval-Avant action écologique'!$L$768&gt;=DP16),AND('Eval-Avant action écologique'!$A$769=CS17,'Eval-Avant action écologique'!$L$769&lt;120,'Eval-Avant action écologique'!$L$769&gt;=DP17),AND('Eval-Avant action écologique'!$A$770=CS17,'Eval-Avant action écologique'!$L$770&lt;120,'Eval-Avant action écologique'!$L$770&gt;=DP18),AND('Eval-Avant action écologique'!$A$771=CS17,'Eval-Avant action écologique'!$L$771&lt;120,'Eval-Avant action écologique'!$L$771&gt;=DP19),AND('Eval-Avant action écologique'!$A$772=CS17,'Eval-Avant action écologique'!$L$772&lt;120,'Eval-Avant action écologique'!$L$772&gt;=DP20),AND('Eval-Avant action écologique'!$A$773=CS17,'Eval-Avant action écologique'!$L$773&lt;120,'Eval-Avant action écologique'!$L$773&gt;=DP21),AND('Eval-Avant action écologique'!$A$774=CS17,'Eval-Avant action écologique'!$L$774&lt;120,'Eval-Avant action écologique'!$L$774&gt;=DP22),AND('Eval-Avant action écologique'!$A$775=CS17,'Eval-Avant action écologique'!$L$775&lt;120,'Eval-Avant action écologique'!$L$775&gt;=DP23),AND('Eval-Avant action écologique'!$A$776=CS17,'Eval-Avant action écologique'!$L$776&lt;120,'Eval-Avant action écologique'!$L$776&gt;=DP24),AND('Eval-Avant action écologique'!$A$777=CS17,'Eval-Avant action écologique'!$L$777&lt;120,'Eval-Avant action écologique'!$L$777&gt;=DP25),AND('Eval-Avant action écologique'!$A$778=CS17,'Eval-Avant action écologique'!$L$778&lt;120,'Eval-Avant action écologique'!$L$778&gt;=DP26),AND('Eval-Avant action écologique'!$A$779=CS17,'Eval-Avant action écologique'!$L$779&lt;120,'Eval-Avant action écologique'!$L$779&gt;=DP27),AND('Eval-Avant action écologique'!$A$780=CS17,'Eval-Avant action écologique'!$L$780&lt;120,'Eval-Avant action écologique'!$L$780&gt;=DP28)),"",SUM(IF('Eval-Avant action écologique'!$A$761=CS17,'Eval-Avant action écologique'!$L$761,0),IF('Eval-Avant action écologique'!$A$762=CS17,'Eval-Avant action écologique'!$L$762,0),IF('Eval-Avant action écologique'!$A$763=CS17,'Eval-Avant action écologique'!$L$763,0),IF('Eval-Avant action écologique'!$A$764=CS17,'Eval-Avant action écologique'!$L$764,0),IF('Eval-Avant action écologique'!$A$765=CS17,'Eval-Avant action écologique'!$L$765,0),IF('Eval-Avant action écologique'!$A$766=CS17,'Eval-Avant action écologique'!$L$766,0),IF('Eval-Avant action écologique'!$A$767=CS17,'Eval-Avant action écologique'!$L$767,0),IF('Eval-Avant action écologique'!$A$768=CS17,'Eval-Avant action écologique'!$L$768,0),IF('Eval-Avant action écologique'!$A$769=CS17,'Eval-Avant action écologique'!$L$769,0),IF('Eval-Avant action écologique'!$A$770=CS17,'Eval-Avant action écologique'!$L$770,0),IF('Eval-Avant action écologique'!$A$771=CS17,'Eval-Avant action écologique'!$L$771,0),IF('Eval-Avant action écologique'!$A$772=CS17,'Eval-Avant action écologique'!$L$772,0),IF('Eval-Avant action écologique'!$A$773=CS17,'Eval-Avant action écologique'!$L$773,0),IF('Eval-Avant action écologique'!$A$774=CS17,'Eval-Avant action écologique'!$L$774,0),IF('Eval-Avant action écologique'!$A$775=CS17,'Eval-Avant action écologique'!$L$775,0),IF('Eval-Avant action écologique'!$A$776=CS17,'Eval-Avant action écologique'!$L$776,0),IF('Eval-Avant action écologique'!$A$777=CS17,'Eval-Avant action écologique'!$L$777,0),IF('Eval-Avant action écologique'!$A$778=CS17,'Eval-Avant action écologique'!$L$778,0),IF('Eval-Avant action écologique'!$A$779=CS17,'Eval-Avant action écologique'!$L$779,0),IF('Eval-Avant action écologique'!$A$780=CS17,'Eval-Avant action écologique'!$L$780,0))/ COUNTIF('Eval-Avant action écologique'!$A$761:$A$780,CS17)),"")</f>
        <v/>
      </c>
      <c r="DB17" s="211" t="str">
        <f>IF(COUNTIF('Eval-Avant action écologique'!$A$761:$A$780,CS17)&gt;0,IF(OR(AND('Eval-Avant action écologique'!$A$761=CS17, DP9&lt;120),AND(DP10&lt;120),AND(DP11&lt;120),AND(DP12&lt;120),AND(DP13&lt;120),AND(DP14&lt;120),AND(DP15&lt;120),AND(DP16&lt;120),AND(DP17&lt;120),AND(DP18&lt;120),AND(DP19&lt;120),AND(DP20&lt;120),AND(DP21&lt;120),AND(DP22&lt;120),AND(DP23&lt;120),AND(DP24&lt;120),AND(DP25&lt;120),AND(DP26&lt;120),AND(DP27&lt;120),AND(DP28&lt;120)),"",SUM(IF('Eval-Avant action écologique'!$A$761=CS17,'Eval-Avant action écologique'!$M$761,0),IF('Eval-Avant action écologique'!$A$762=CS17,'Eval-Avant action écologique'!$M$762,0),IF('Eval-Avant action écologique'!$A$763=CS17,'Eval-Avant action écologique'!$M$763,0),IF('Eval-Avant action écologique'!$A$764=CS17,'Eval-Avant action écologique'!$M$764,0),IF('Eval-Avant action écologique'!$A$765=CS17,'Eval-Avant action écologique'!$M$765,0),IF('Eval-Avant action écologique'!$A$766=CS17,'Eval-Avant action écologique'!$M$766,0),IF('Eval-Avant action écologique'!$A$767=CS17,'Eval-Avant action écologique'!$M$767,0),IF('Eval-Avant action écologique'!$A$768=CS17,'Eval-Avant action écologique'!$M$768,0),IF('Eval-Avant action écologique'!$A$769=CS17,'Eval-Avant action écologique'!$M$769,0),IF('Eval-Avant action écologique'!$A$770=CS17,'Eval-Avant action écologique'!$M$770,0),IF('Eval-Avant action écologique'!$A$771=CS17,'Eval-Avant action écologique'!$M$771,0),IF('Eval-Avant action écologique'!$A$772=CS17,'Eval-Avant action écologique'!$M$772,0),IF('Eval-Avant action écologique'!$A$773=CS17,'Eval-Avant action écologique'!$M$773,0),IF('Eval-Avant action écologique'!$A$774=CS17,'Eval-Avant action écologique'!$M$774,0),IF('Eval-Avant action écologique'!$A$775=CS17,'Eval-Avant action écologique'!$M$775,0), IF('Eval-Avant action écologique'!$A$776=CS17,'Eval-Avant action écologique'!$M$776,0), IF('Eval-Avant action écologique'!$A$777=CS17,'Eval-Avant action écologique'!$M$777,0), IF('Eval-Avant action écologique'!$A$778=CS17,'Eval-Avant action écologique'!$M$778,0), IF('Eval-Avant action écologique'!$A$779=CS17,'Eval-Avant action écologique'!$M$779,0), IF('Eval-Avant action écologique'!$A$780=CS17,'Eval-Avant action écologique'!$M$780,0))/COUNTIF('Eval-Avant action écologique'!$A$761:$A$780,CS17)),"")</f>
        <v/>
      </c>
      <c r="DC17" s="211" t="str">
        <f>IF(COUNTIF('Eval-Avant action écologique'!$A$761:$A$780,CS17)&gt;0,SUM(IF('Eval-Avant action écologique'!$A$761=CS17,LEN(SUBSTITUTE((SUBSTITUTE(DR9,"TM","")),"TS",""))*10/2,0),IF('Eval-Avant action écologique'!$A$762=CS17,LEN(SUBSTITUTE((SUBSTITUTE(DR10,"TM","")),"TS",""))*10/2,0),IF('Eval-Avant action écologique'!$A$763=CS17,LEN(SUBSTITUTE((SUBSTITUTE(DR11,"TM","")),"TS",""))*10/2,0),IF('Eval-Avant action écologique'!$A$764=CS17,LEN(SUBSTITUTE((SUBSTITUTE(DR12,"TM","")),"TS",""))*10/2,0),IF('Eval-Avant action écologique'!$A$765=CS17,LEN(SUBSTITUTE((SUBSTITUTE(DR13,"TM","")),"TS",""))*10/2,0),IF('Eval-Avant action écologique'!$A$766=CS17,LEN(SUBSTITUTE((SUBSTITUTE(DR14,"TM","")),"TS",""))*10/2,0),IF('Eval-Avant action écologique'!$A$767=CS17,LEN(SUBSTITUTE((SUBSTITUTE(DR15,"TM","")),"TS",""))*10/2,0),IF('Eval-Avant action écologique'!$A$768=CS17,LEN(SUBSTITUTE((SUBSTITUTE(DR16,"TM","")),"TS",""))*10/2,0),IF('Eval-Avant action écologique'!$A$769=CS17,LEN(SUBSTITUTE((SUBSTITUTE(DR17,"TM","")),"TS",""))*10/2,0),IF('Eval-Avant action écologique'!$A$770=CS17,LEN(SUBSTITUTE((SUBSTITUTE(DR18,"TM","")),"TS",""))*10/2,0),IF('Eval-Avant action écologique'!$A$771=CS17,LEN(SUBSTITUTE((SUBSTITUTE(DR19,"TM","")),"TS",""))*10/2,0),IF('Eval-Avant action écologique'!$A$772=CS17,LEN(SUBSTITUTE((SUBSTITUTE(DR20,"TM","")),"TS",""))*10/2,0),IF('Eval-Avant action écologique'!$A$773=CS17,LEN(SUBSTITUTE((SUBSTITUTE(DR21,"TM","")),"TS",""))*10/2,0),IF('Eval-Avant action écologique'!$A$774=CS17,LEN(SUBSTITUTE((SUBSTITUTE(DR22,"TM","")),"TS",""))*10/2,0),IF('Eval-Avant action écologique'!$A$775=CS17,LEN(SUBSTITUTE((SUBSTITUTE(DR23,"TM","")),"TS",""))*10/2,0),IF('Eval-Avant action écologique'!$A$776=CS17,LEN(SUBSTITUTE((SUBSTITUTE(DR24,"TM","")),"TS",""))*10/2,0),IF('Eval-Avant action écologique'!$A$777=CS17,LEN(SUBSTITUTE((SUBSTITUTE(DR25,"TM","")),"TS",""))*10/2,0),IF('Eval-Avant action écologique'!$A$778=CS17,LEN(SUBSTITUTE((SUBSTITUTE(DR26,"TM","")),"TS",""))*10/2,0),IF('Eval-Avant action écologique'!$A$779=CS17,LEN(SUBSTITUTE((SUBSTITUTE(DR27,"TM","")),"TS",""))*10/2,0),IF('Eval-Avant action écologique'!$A$780=CS17,LEN(SUBSTITUTE((SUBSTITUTE(DR28,"TM","")),"TS",""))*10/2,0))/COUNTIF('Eval-Avant action écologique'!$A$761:$A$780,CS17),"")</f>
        <v/>
      </c>
      <c r="DD17" s="211" t="str">
        <f>IF(COUNTIF('Eval-Avant action écologique'!$A$761:$A$780,CS17)&gt;0,SUM(IF('Eval-Avant action écologique'!$A$761=CS17,LEN(SUBSTITUTE((SUBSTITUTE(DR9,"TF","")),"TS",""))*10/2,0),IF('Eval-Avant action écologique'!$A$762=CS17,LEN(SUBSTITUTE((SUBSTITUTE(DR10,"TF","")),"TS",""))*10/2,0),IF('Eval-Avant action écologique'!$A$763=CS17,LEN(SUBSTITUTE((SUBSTITUTE(DR11,"TF","")),"TS",""))*10/2,0),IF('Eval-Avant action écologique'!$A$764=CS17,LEN(SUBSTITUTE((SUBSTITUTE(DR12,"TF","")),"TS",""))*10/2,0),IF('Eval-Avant action écologique'!$A$765=CS17,LEN(SUBSTITUTE((SUBSTITUTE(DR13,"TF","")),"TS",""))*10/2,0),IF('Eval-Avant action écologique'!$A$766=CS17,LEN(SUBSTITUTE((SUBSTITUTE(DR14,"TF","")),"TS",""))*10/2,0),IF('Eval-Avant action écologique'!$A$767=CS17,LEN(SUBSTITUTE((SUBSTITUTE(DR15,"TF","")),"TS",""))*10/2,0),IF('Eval-Avant action écologique'!$A$768=CS17,LEN(SUBSTITUTE((SUBSTITUTE(DR16,"TF","")),"TS",""))*10/2,0),IF('Eval-Avant action écologique'!$A$769=CS17,LEN(SUBSTITUTE((SUBSTITUTE(DR17,"TF","")),"TS",""))*10/2,0),IF('Eval-Avant action écologique'!$A$770=CS17,LEN(SUBSTITUTE((SUBSTITUTE(DR18,"TF","")),"TS",""))*10/2,0),IF('Eval-Avant action écologique'!$A$771=CS17,LEN(SUBSTITUTE((SUBSTITUTE(DR19,"TF","")),"TS",""))*10/2,0),IF('Eval-Avant action écologique'!$A$772=CS17,LEN(SUBSTITUTE((SUBSTITUTE(DR20,"TF","")),"TS",""))*10/2,0),IF('Eval-Avant action écologique'!$A$773=CS17,LEN(SUBSTITUTE((SUBSTITUTE(DR21,"TF","")),"TS",""))*10/2,0),IF('Eval-Avant action écologique'!$A$774=CS17,LEN(SUBSTITUTE((SUBSTITUTE(DR22,"TF","")),"TS",""))*10/2,0),IF('Eval-Avant action écologique'!$A$775=CS17,LEN(SUBSTITUTE((SUBSTITUTE(DR23,"TF","")),"TS",""))*10/2,0),IF('Eval-Avant action écologique'!$A$776=CS17,LEN(SUBSTITUTE((SUBSTITUTE(DR24,"TF","")),"TS",""))*10/2,0),IF('Eval-Avant action écologique'!$A$777=CS17,LEN(SUBSTITUTE((SUBSTITUTE(DR25,"TF","")),"TS",""))*10/2,0),IF('Eval-Avant action écologique'!$A$778=CS17,LEN(SUBSTITUTE((SUBSTITUTE(DR26,"TF","")),"TS",""))*10/2,0),IF('Eval-Avant action écologique'!$A$779=CS17,LEN(SUBSTITUTE((SUBSTITUTE(DR27,"TF","")),"TS",""))*10/2,0),IF('Eval-Avant action écologique'!$A$780=CS17,LEN(SUBSTITUTE((SUBSTITUTE(DR28,"TF","")),"TS",""))*10/2,0))/COUNTIF('Eval-Avant action écologique'!$A$761:$A$780,CS17),"")</f>
        <v/>
      </c>
      <c r="DE17" s="211" t="str">
        <f>IF(COUNTIF('Eval-Avant action écologique'!$A$761:$A$780,CS17)&gt;0,SUM(IF('Eval-Avant action écologique'!$A$761=CS17,LEN(SUBSTITUTE((SUBSTITUTE(DR9,"TF","")),"TM",""))*10/2,0),IF('Eval-Avant action écologique'!$A$762=CS17,LEN(SUBSTITUTE((SUBSTITUTE(DR10,"TF","")),"TM",""))*10/2,0),IF('Eval-Avant action écologique'!$A$763=CS17,LEN(SUBSTITUTE((SUBSTITUTE(DR11,"TF","")),"TM",""))*10/2,0),IF('Eval-Avant action écologique'!$A$764=CS17,LEN(SUBSTITUTE((SUBSTITUTE(DR12,"TF","")),"TM",""))*10/2,0),IF('Eval-Avant action écologique'!$A$765=CS17,LEN(SUBSTITUTE((SUBSTITUTE(DR13,"TF","")),"TM",""))*10/2,0),IF('Eval-Avant action écologique'!$A$766=CS17,LEN(SUBSTITUTE((SUBSTITUTE(DR14,"TF","")),"TM",""))*10/2,0),IF('Eval-Avant action écologique'!$A$767=CS17,LEN(SUBSTITUTE((SUBSTITUTE(DR15,"TF","")),"TM",""))*10/2,0),IF('Eval-Avant action écologique'!$A$768=CS17,LEN(SUBSTITUTE((SUBSTITUTE(DR16,"TF","")),"TM",""))*10/2,0),IF('Eval-Avant action écologique'!$A$769=CS17,LEN(SUBSTITUTE((SUBSTITUTE(DR17,"TF","")),"TM",""))*10/2,0),IF('Eval-Avant action écologique'!$A$770=CS17,LEN(SUBSTITUTE((SUBSTITUTE(DR18,"TF","")),"TM",""))*10/2,0),IF('Eval-Avant action écologique'!$A$771=CS17,LEN(SUBSTITUTE((SUBSTITUTE(DR19,"TF","")),"TM",""))*10/2,0),IF('Eval-Avant action écologique'!$A$772=CS17,LEN(SUBSTITUTE((SUBSTITUTE(DR20,"TF","")),"TM",""))*10/2,0),IF('Eval-Avant action écologique'!$A$773=CS17,LEN(SUBSTITUTE((SUBSTITUTE(DR21,"TF","")),"TM",""))*10/2,0),IF('Eval-Avant action écologique'!$A$774=CS17,LEN(SUBSTITUTE((SUBSTITUTE(DR22,"TF","")),"TM",""))*10/2,0),IF('Eval-Avant action écologique'!$A$775=CS17,LEN(SUBSTITUTE((SUBSTITUTE(DR23,"TF","")),"TM",""))*10/2,0),IF('Eval-Avant action écologique'!$A$776=CS17,LEN(SUBSTITUTE((SUBSTITUTE(DR24,"TF","")),"TM",""))*10/2,0),IF('Eval-Avant action écologique'!$A$777=CS17,LEN(SUBSTITUTE((SUBSTITUTE(DR25,"TF","")),"TM",""))*10/2,0),IF('Eval-Avant action écologique'!$A$778=CS17,LEN(SUBSTITUTE((SUBSTITUTE(DR26,"TF","")),"TM",""))*10/2,0),IF('Eval-Avant action écologique'!$A$779=CS17,LEN(SUBSTITUTE((SUBSTITUTE(DR27,"TF","")),"TM",""))*10/2,0),IF('Eval-Avant action écologique'!$A$780=CS17,LEN(SUBSTITUTE((SUBSTITUTE(DR28,"TF","")),"TM",""))*10/2,0))/COUNTIF('Eval-Avant action écologique'!$A$761:$A$780,CS17),"")</f>
        <v/>
      </c>
      <c r="DF17" s="211" t="str">
        <f>IF(COUNTIF('Eval-Avant action écologique'!$A$761:$A$780,CS17)&gt;0,SUM(IF('Eval-Avant action écologique'!$A$761=CS17,LEN(SUBSTITUTE((SUBSTITUTE(DS9,"TM","")),"TS",""))*10/2,0),IF('Eval-Avant action écologique'!$A$762=CS17,LEN(SUBSTITUTE((SUBSTITUTE(DS10,"TM","")),"TS",""))*10/2,0),IF('Eval-Avant action écologique'!$A$763=CS17,LEN(SUBSTITUTE((SUBSTITUTE(DS11,"TM","")),"TS",""))*10/2,0),IF('Eval-Avant action écologique'!$A$764=CS17,LEN(SUBSTITUTE((SUBSTITUTE(DS12,"TM","")),"TS",""))*10/2,0),IF('Eval-Avant action écologique'!$A$765=CS17,LEN(SUBSTITUTE((SUBSTITUTE(DS13,"TM","")),"TS",""))*10/2,0),IF('Eval-Avant action écologique'!$A$766=CS17,LEN(SUBSTITUTE((SUBSTITUTE(DS14,"TM","")),"TS",""))*10/2,0),IF('Eval-Avant action écologique'!$A$767=CS17,LEN(SUBSTITUTE((SUBSTITUTE(DS15,"TM","")),"TS",""))*10/2,0),IF('Eval-Avant action écologique'!$A$768=CS17,LEN(SUBSTITUTE((SUBSTITUTE(DS16,"TM","")),"TS",""))*10/2,0),IF('Eval-Avant action écologique'!$A$769=CS17,LEN(SUBSTITUTE((SUBSTITUTE(DS17,"TM","")),"TS",""))*10/2,0),IF('Eval-Avant action écologique'!$A$770=CS17,LEN(SUBSTITUTE((SUBSTITUTE(DS18,"TM","")),"TS",""))*10/2,0),IF('Eval-Avant action écologique'!$A$771=CS17,LEN(SUBSTITUTE((SUBSTITUTE(DS19,"TM","")),"TS",""))*10/2,0),IF('Eval-Avant action écologique'!$A$772=CS17,LEN(SUBSTITUTE((SUBSTITUTE(DS20,"TM","")),"TS",""))*10/2,0),IF('Eval-Avant action écologique'!$A$773=CS17,LEN(SUBSTITUTE((SUBSTITUTE(DS21,"TM","")),"TS",""))*10/2,0),IF('Eval-Avant action écologique'!$A$774=CS17,LEN(SUBSTITUTE((SUBSTITUTE(DS22,"TM","")),"TS",""))*10/2,0),IF('Eval-Avant action écologique'!$A$775=CS17,LEN(SUBSTITUTE((SUBSTITUTE(DS23,"TM","")),"TS",""))*10/2,0),IF('Eval-Avant action écologique'!$A$776=CS17,LEN(SUBSTITUTE((SUBSTITUTE(DS24,"TM","")),"TS",""))*10/2,0),IF('Eval-Avant action écologique'!$A$777=CS17,LEN(SUBSTITUTE((SUBSTITUTE(DS25,"TM","")),"TS",""))*10/2,0),IF('Eval-Avant action écologique'!$A$778=CS17,LEN(SUBSTITUTE((SUBSTITUTE(DS26,"TM","")),"TS",""))*10/2,0),IF('Eval-Avant action écologique'!$A$779=CS17,LEN(SUBSTITUTE((SUBSTITUTE(DS27,"TM","")),"TS",""))*10/2,0),IF('Eval-Avant action écologique'!$A$780=CS17,LEN(SUBSTITUTE((SUBSTITUTE(DS28,"TM","")),"TS",""))*10/2,0))/COUNTIF('Eval-Avant action écologique'!$A$761:$A$780,CS17),"")</f>
        <v/>
      </c>
      <c r="DG17" s="211" t="str">
        <f>IF(COUNTIF('Eval-Avant action écologique'!$A$761:$A$780,CS17)&gt;0,SUM(IF('Eval-Avant action écologique'!$A$761=CS17,LEN(SUBSTITUTE((SUBSTITUTE(DS9,"TF","")),"TS",""))*10/2,0),IF('Eval-Avant action écologique'!$A$762=CS17,LEN(SUBSTITUTE((SUBSTITUTE(DS10,"TF","")),"TS",""))*10/2,0),IF('Eval-Avant action écologique'!$A$763=CS17,LEN(SUBSTITUTE((SUBSTITUTE(DS11,"TF","")),"TS",""))*10/2,0),IF('Eval-Avant action écologique'!$A$764=CS17,LEN(SUBSTITUTE((SUBSTITUTE(DS12,"TF","")),"TS",""))*10/2,0),IF('Eval-Avant action écologique'!$A$765=CS17,LEN(SUBSTITUTE((SUBSTITUTE(DS13,"TF","")),"TS",""))*10/2,0),IF('Eval-Avant action écologique'!$A$766=CS17,LEN(SUBSTITUTE((SUBSTITUTE(DS14,"TF","")),"TS",""))*10/2,0),IF('Eval-Avant action écologique'!$A$767=CS17,LEN(SUBSTITUTE((SUBSTITUTE(DS15,"TF","")),"TS",""))*10/2,0),IF('Eval-Avant action écologique'!$A$768=CS17,LEN(SUBSTITUTE((SUBSTITUTE(DS16,"TF","")),"TS",""))*10/2,0),IF('Eval-Avant action écologique'!$A$769=CS17,LEN(SUBSTITUTE((SUBSTITUTE(DS17,"TF","")),"TS",""))*10/2,0),IF('Eval-Avant action écologique'!$A$770=CS17,LEN(SUBSTITUTE((SUBSTITUTE(DS18,"TF","")),"TS",""))*10/2,0),IF('Eval-Avant action écologique'!$A$771=CS17,LEN(SUBSTITUTE((SUBSTITUTE(DS19,"TF","")),"TS",""))*10/2,0),IF('Eval-Avant action écologique'!$A$772=CS17,LEN(SUBSTITUTE((SUBSTITUTE(DS20,"TF","")),"TS",""))*10/2,0),IF('Eval-Avant action écologique'!$A$773=CS17,LEN(SUBSTITUTE((SUBSTITUTE(DS21,"TF","")),"TS",""))*10/2,0),IF('Eval-Avant action écologique'!$A$774=CS17,LEN(SUBSTITUTE((SUBSTITUTE(DS22,"TF","")),"TS",""))*10/2,0),IF('Eval-Avant action écologique'!$A$775=CS17,LEN(SUBSTITUTE((SUBSTITUTE(DS23,"TF","")),"TS",""))*10/2,0),IF('Eval-Avant action écologique'!$A$776=CS17,LEN(SUBSTITUTE((SUBSTITUTE(DS24,"TF","")),"TS",""))*10/2,0),IF('Eval-Avant action écologique'!$A$777=CS17,LEN(SUBSTITUTE((SUBSTITUTE(DS25,"TF","")),"TS",""))*10/2,0),IF('Eval-Avant action écologique'!$A$778=CS17,LEN(SUBSTITUTE((SUBSTITUTE(DS26,"TF","")),"TS",""))*10/2,0),IF('Eval-Avant action écologique'!$A$779=CS17,LEN(SUBSTITUTE((SUBSTITUTE(DS27,"TF","")),"TS",""))*10/2,0),IF('Eval-Avant action écologique'!$A$780=CS17,LEN(SUBSTITUTE((SUBSTITUTE(DS28,"TF","")),"TS",""))*10/2,0))/COUNTIF('Eval-Avant action écologique'!$A$761:$A$780,CS17),"")</f>
        <v/>
      </c>
      <c r="DH17" s="211" t="str">
        <f>IF(COUNTIF('Eval-Avant action écologique'!$A$761:$A$780,CS17)&gt;0,SUM(IF('Eval-Avant action écologique'!$A$761=CS17,LEN(SUBSTITUTE((SUBSTITUTE(DS9,"TF","")),"TM",""))*10/2,0),IF('Eval-Avant action écologique'!$A$762=CS17,LEN(SUBSTITUTE((SUBSTITUTE(DS10,"TF","")),"TM",""))*10/2,0),IF('Eval-Avant action écologique'!$A$763=CS17,LEN(SUBSTITUTE((SUBSTITUTE(DS11,"TF","")),"TM",""))*10/2,0),IF('Eval-Avant action écologique'!$A$764=CS17,LEN(SUBSTITUTE((SUBSTITUTE(DS12,"TF","")),"TM",""))*10/2,0),IF('Eval-Avant action écologique'!$A$765=CS17,LEN(SUBSTITUTE((SUBSTITUTE(DS13,"TF","")),"TM",""))*10/2,0),IF('Eval-Avant action écologique'!$A$766=CS17,LEN(SUBSTITUTE((SUBSTITUTE(DS14,"TF","")),"TM",""))*10/2,0),IF('Eval-Avant action écologique'!$A$767=CS17,LEN(SUBSTITUTE((SUBSTITUTE(DS15,"TF","")),"TM",""))*10/2,0),IF('Eval-Avant action écologique'!$A$768=CS17,LEN(SUBSTITUTE((SUBSTITUTE(DS16,"TF","")),"TM",""))*10/2,0),IF('Eval-Avant action écologique'!$A$769=CS17,LEN(SUBSTITUTE((SUBSTITUTE(DS17,"TF","")),"TM",""))*10/2,0),IF('Eval-Avant action écologique'!$A$770=CS17,LEN(SUBSTITUTE((SUBSTITUTE(DS18,"TF","")),"TM",""))*10/2,0),IF('Eval-Avant action écologique'!$A$771=CS17,LEN(SUBSTITUTE((SUBSTITUTE(DS19,"TF","")),"TM",""))*10/2,0),IF('Eval-Avant action écologique'!$A$772=CS17,LEN(SUBSTITUTE((SUBSTITUTE(DS20,"TF","")),"TM",""))*10/2,0),IF('Eval-Avant action écologique'!$A$773=CS17,LEN(SUBSTITUTE((SUBSTITUTE(DS21,"TF","")),"TM",""))*10/2,0),IF('Eval-Avant action écologique'!$A$774=CS17,LEN(SUBSTITUTE((SUBSTITUTE(DS22,"TF","")),"TM",""))*10/2,0),IF('Eval-Avant action écologique'!$A$775=CS17,LEN(SUBSTITUTE((SUBSTITUTE(DS23,"TF","")),"TM",""))*10/2,0),IF('Eval-Avant action écologique'!$A$776=CS17,LEN(SUBSTITUTE((SUBSTITUTE(DS24,"TF","")),"TM",""))*10/2,0),IF('Eval-Avant action écologique'!$A$777=CS17,LEN(SUBSTITUTE((SUBSTITUTE(DS25,"TF","")),"TM",""))*10/2,0),IF('Eval-Avant action écologique'!$A$778=CS17,LEN(SUBSTITUTE((SUBSTITUTE(DS26,"TF","")),"TM",""))*10/2,0),IF('Eval-Avant action écologique'!$A$779=CS17,LEN(SUBSTITUTE((SUBSTITUTE(DS27,"TF","")),"TM",""))*10/2,0),IF('Eval-Avant action écologique'!$A$780=CS17,LEN(SUBSTITUTE((SUBSTITUTE(DS28,"TF","")),"TM",""))*10/2,0))/COUNTIF('Eval-Avant action écologique'!$A$761:$A$780,CS17),"")</f>
        <v/>
      </c>
      <c r="DI17" s="211" t="str">
        <f>IF(COUNTIF('Eval-Avant action écologique'!$A$761:$A$780,CS17)&gt;0,IF(OR(AND('Eval-Avant action écologique'!$A$761=CS17,DP9&lt;30),AND('Eval-Avant action écologique'!$A$762=CS17,DP10&lt;30),AND('Eval-Avant action écologique'!$A$763=CS17,DP11&lt;30),AND('Eval-Avant action écologique'!$A$764=CS17,DP12&lt;30),AND('Eval-Avant action écologique'!$A$765=CS17,DP13&lt;30),AND('Eval-Avant action écologique'!$A$766=CS17,DP14&lt;30),AND('Eval-Avant action écologique'!$A$767=CS17,DP15&lt;30),AND('Eval-Avant action écologique'!$A$768=CS17,DP16&lt;30),AND('Eval-Avant action écologique'!$A$769=CS17,DP17&lt;30),AND('Eval-Avant action écologique'!$A$770=CS17,DP18&lt;30),AND('Eval-Avant action écologique'!$A$771=CS17,DP19&lt;30),AND('Eval-Avant action écologique'!$A$772=CS17,DP20&lt;30),AND('Eval-Avant action écologique'!$A$773=CS17,DP21&lt;30),AND('Eval-Avant action écologique'!$A$774=CS17,DP22&lt;30),AND('Eval-Avant action écologique'!$A$775=CS17,DP23&lt;30),AND('Eval-Avant action écologique'!$A$776=CS17,DP24&lt;30),AND('Eval-Avant action écologique'!$A$777=CS17,DP25&lt;30),AND('Eval-Avant action écologique'!$A$778=CS17,DP26&lt;30),AND('Eval-Avant action écologique'!$A$779=CS17,DP27&lt;30),AND('Eval-Avant action écologique'!$A$780=CS17,DP28&lt;30)),"",SUM(0.1*(SUMPRODUCT(('Eval-Avant action écologique'!$A$761:$A$780=CS17)*('Eval-Avant action écologique'!$N$761:$P$780="A"))+ SUMPRODUCT(('Eval-Avant action écologique'!$A$761:$A$780=CS17)*('Eval-Avant action écologique'!$N$761:$P$780="AL"))),0.7*(SUMPRODUCT(('Eval-Avant action écologique'!$A$761:$A$780=CS17)*('Eval-Avant action écologique'!$N$761:$P$780="TF"))+SUMPRODUCT(('Eval-Avant action écologique'!$A$761:$A$780=CS17)*('Eval-Avant action écologique'!$N$761:$P$780="TM"))+SUMPRODUCT(('Eval-Avant action écologique'!$A$761:$A$780=CS17)*('Eval-Avant action écologique'!$N$761:$P$780="TS"))),0.4*(SUMPRODUCT(('Eval-Avant action écologique'!$A$761:$A$780=CS17)*('Eval-Avant action écologique'!$N$761:$P$780="LA"))+SUMPRODUCT(('Eval-Avant action écologique'!$A$761:$A$780=CS17)*('Eval-Avant action écologique'!$N$761:$P$780="L"))+SUMPRODUCT(('Eval-Avant action écologique'!$A$761:$A$780=CS17)*('Eval-Avant action écologique'!$N$761:$P$780="LS"))),1*(SUMPRODUCT(('Eval-Avant action écologique'!$A$761:$A$780=CS17)*('Eval-Avant action écologique'!$N$761:$P$780="SL"))+ SUMPRODUCT(('Eval-Avant action écologique'!$A$761:$A$780=CS17)*('Eval-Avant action écologique'!$N$761:$P$780="S"))))/(3*COUNTIF('Eval-Avant action écologique'!$A$761:$A$780,CS17))),"")</f>
        <v/>
      </c>
      <c r="DJ17" s="211" t="str">
        <f>IF(COUNTIF('Eval-Avant action écologique'!$A$761:$A$780,CS17)&gt;0,IF(OR(AND('Eval-Avant action écologique'!$A$761=CS17,DP9&lt;120),AND('Eval-Avant action écologique'!$A$762=CS17,DP10&lt;120),AND('Eval-Avant action écologique'!$A$763=CS17,DP11&lt;120),AND('Eval-Avant action écologique'!$A$764=CS17,DP12&lt;120),AND('Eval-Avant action écologique'!$A$765=CS17,DP13&lt;120),AND('Eval-Avant action écologique'!$A$766=CS17,DP14&lt;120),AND('Eval-Avant action écologique'!$A$767=CS17,DP15&lt;120),AND('Eval-Avant action écologique'!$A$768=CS17,DP16&lt;120),AND('Eval-Avant action écologique'!$A$769=CS17,DP17&lt;120),AND('Eval-Avant action écologique'!$A$770=CS17,DP18&lt;120),AND('Eval-Avant action écologique'!$A$771=CS17,DP19&lt;120),AND('Eval-Avant action écologique'!$A$772=CS17,DP20&lt;120),AND('Eval-Avant action écologique'!$A$773=CS17,DP21&lt;120),AND('Eval-Avant action écologique'!$A$774=CS17,DP22&lt;120),AND('Eval-Avant action écologique'!$A$775=CS17,DP23&lt;120),AND('Eval-Avant action écologique'!$A$776=CS17,DP24&lt;120),AND('Eval-Avant action écologique'!$A$777=CS17,DP25&lt;120),AND('Eval-Avant action écologique'!$A$778=CS17,DP26&lt;120),AND('Eval-Avant action écologique'!$A$779=CS17,DP27&lt;120),AND('Eval-Avant action écologique'!$A$780=CS17,DP28&lt;120)),"",SUM(0.1*(SUMPRODUCT(('Eval-Avant action écologique'!$A$761:$A$780=CS17)*('Eval-Avant action écologique'!$Q$761:$Y$780="A"))+ SUMPRODUCT(('Eval-Avant action écologique'!$A$761:$A$780=CS17)*('Eval-Avant action écologique'!$Q$761:$Y$780="AL"))),0.7*(SUMPRODUCT(('Eval-Avant action écologique'!$A$761:$A$780=CS17)*('Eval-Avant action écologique'!$Q$761:$Y$780="TF"))+SUMPRODUCT(('Eval-Avant action écologique'!$A$761:$A$780=CS17)*('Eval-Avant action écologique'!$Q$761:$Y$780="TM"))+SUMPRODUCT(('Eval-Avant action écologique'!$A$761:$A$780=CS17)*('Eval-Avant action écologique'!$Q$761:$Y$780="TS"))),0.4*(SUMPRODUCT(('Eval-Avant action écologique'!$A$761:$A$780=CS17)*('Eval-Avant action écologique'!$Q$761:$Y$780="LA"))+SUMPRODUCT(('Eval-Avant action écologique'!$A$761:$A$780=CS17)*('Eval-Avant action écologique'!$Q$761:$Y$780="L"))+SUMPRODUCT(('Eval-Avant action écologique'!$A$761:$A$780=CS17)*('Eval-Avant action écologique'!$Q$761:$Y$780="LS"))),1*(SUMPRODUCT(('Eval-Avant action écologique'!$A$761:$A$780=CS17)*('Eval-Avant action écologique'!$Q$761:$Y$780="SL"))+ SUMPRODUCT(('Eval-Avant action écologique'!$A$761:$A$780=CS17)*('Eval-Avant action écologique'!$Q$761:$Y$780="S"))))/(9*COUNTIF('Eval-Avant action écologique'!$A$761:$A$780,CS17))),"")</f>
        <v/>
      </c>
      <c r="DK17" s="211" t="str">
        <f>IF(COUNTIF('Eval-Avant action écologique'!$A$761:$A$780,CS17)&gt;0,IF(OR(AND('Eval-Avant action écologique'!$A$761=CS17,OR(COUNTIF('Eval-Avant action écologique'!$N$761:$P$761,"*T*")&gt;0,DP9&lt;30)),AND('Eval-Avant action écologique'!$A$762=CS17,OR(COUNTIF('Eval-Avant action écologique'!$N$762:$P$762,"*T*")&gt;0,DP10&lt;30)),AND('Eval-Avant action écologique'!$A$763=CS17,OR(COUNTIF('Eval-Avant action écologique'!$N$763:$P$763,"*T*")&gt;0,DP11&lt;30)),AND('Eval-Avant action écologique'!$A$764=CS17,OR(COUNTIF('Eval-Avant action écologique'!$N$764:$P$764,"*T*")&gt;0,DP12&lt;30)),AND('Eval-Avant action écologique'!$A$765=CS17,OR(COUNTIF('Eval-Avant action écologique'!$N$765:$P$765,"*T*")&gt;0,DP13&lt;30)),AND('Eval-Avant action écologique'!$A$766=CS17,OR(COUNTIF('Eval-Avant action écologique'!$N$766:$P$766,"*T*")&gt;0,DP14&lt;30)),AND('Eval-Avant action écologique'!$A$767=CS17,OR(COUNTIF('Eval-Avant action écologique'!$N$767:$P$767,"*T*")&gt;0,DP15&lt;30)),AND('Eval-Avant action écologique'!$A$768=CS17,OR(COUNTIF('Eval-Avant action écologique'!$N$768:$P$768,"*T*")&gt;0,DP16&lt;30)),AND('Eval-Avant action écologique'!$A$769=CS17,OR(COUNTIF('Eval-Avant action écologique'!$N$769:$P$769,"*T*")&gt;0,DP17&lt;30)),AND('Eval-Avant action écologique'!$A$770=CS17,OR(COUNTIF('Eval-Avant action écologique'!$N$770:$P$770,"*T*")&gt;0,DP18&lt;30)),AND('Eval-Avant action écologique'!$A$771=CS17,OR(COUNTIF('Eval-Avant action écologique'!$N$771:$P$771,"*T*")&gt;0,DP19&lt;30)),AND('Eval-Avant action écologique'!$A$772=CS17,OR(COUNTIF('Eval-Avant action écologique'!$N$772:$P$772,"*T*")&gt;0,DP20&lt;30)),AND('Eval-Avant action écologique'!$A$773=CS17,OR(COUNTIF('Eval-Avant action écologique'!$N$773:$P$773,"*T*")&gt;0,DP21&lt;30)),AND('Eval-Avant action écologique'!$A$774=CS17,OR(COUNTIF('Eval-Avant action écologique'!$N$774:$P$774,"*T*")&gt;0,DP22&lt;30)),AND('Eval-Avant action écologique'!$A$775=CS17,OR(COUNTIF('Eval-Avant action écologique'!$N$775:$P$775,"*T*")&gt;0,DP23&lt;30)),AND('Eval-Avant action écologique'!$A$776=CS17,OR(COUNTIF('Eval-Avant action écologique'!$N$776:$P$776,"*T*")&gt;0,DP24&lt;30)),AND('Eval-Avant action écologique'!$A$777=CS17,OR(COUNTIF('Eval-Avant action écologique'!$N$777:$P$777,"*T*")&gt;0,DP25&lt;30)),AND('Eval-Avant action écologique'!$A$778=CS17,OR(COUNTIF('Eval-Avant action écologique'!$N$778:$P$778,"*T*")&gt;0,DP26&lt;30)),AND('Eval-Avant action écologique'!$A$779=CS17,OR(COUNTIF('Eval-Avant action écologique'!$N$779:$P$779,"*T*")&gt;0,DP27&lt;30)),AND('Eval-Avant action écologique'!$A$780=CS17,OR(COUNTIF('Eval-Avant action écologique'!$N$780:$P$780,"*T*")&gt;0,DP28&lt;30))),"",SUM(0.1*(SUMPRODUCT(('Eval-Avant action écologique'!$A$761:$A$780=CS17)*('Eval-Avant action écologique'!$N$761:$P$780="L"))),0.4*(SUMPRODUCT(('Eval-Avant action écologique'!$A$761:$A$780=CS17)*('Eval-Avant action écologique'!$N$761:$P$780="LA"))+SUMPRODUCT(('Eval-Avant action écologique'!$A$761:$A$780=CS17)*('Eval-Avant action écologique'!$N$761:$P$780="LS"))),0.7*(SUMPRODUCT(('Eval-Avant action écologique'!$A$761:$A$780=CS17)*('Eval-Avant action écologique'!$N$761:$P$780="AL"))+SUMPRODUCT(('Eval-Avant action écologique'!$A$761:$A$780=CS17)*('Eval-Avant action écologique'!$N$761:$P$780="SL"))),1*(SUMPRODUCT(('Eval-Avant action écologique'!$A$761:$A$780=CS17)*('Eval-Avant action écologique'!$N$761:$P$780="S"))+ SUMPRODUCT(('Eval-Avant action écologique'!$A$761:$A$780=CS17)*('Eval-Avant action écologique'!$N$761:$P$780="A"))))/(3*COUNTIF('Eval-Avant action écologique'!$A$761:$A$780,CS17))),"")</f>
        <v/>
      </c>
      <c r="DL17" s="211" t="str">
        <f>IF(COUNTIF('Eval-Avant action écologique'!$A$761:$A$780,CS17)&gt;0,IF(OR(AND('Eval-Avant action écologique'!$A$761=CS17,OR(COUNTIF('Eval-Avant action écologique'!$N$761:$P$761,"*T*")&gt;0,DP9&lt;30)),AND('Eval-Avant action écologique'!$A$762=CS17,OR(COUNTIF('Eval-Avant action écologique'!$N$762:$P$762,"*T*")&gt;0,DP10&lt;30)),AND('Eval-Avant action écologique'!$A$763=CS17,OR(COUNTIF('Eval-Avant action écologique'!$N$763:$P$763,"*T*")&gt;0,DP11&lt;30)),AND('Eval-Avant action écologique'!$A$764=CS17,OR(COUNTIF('Eval-Avant action écologique'!$N$764:$P$764,"*T*")&gt;0,DP12&lt;30)),AND('Eval-Avant action écologique'!$A$765=CS17,OR(COUNTIF('Eval-Avant action écologique'!$N$765:$P$765,"*T*")&gt;0,DP13&lt;30)),AND('Eval-Avant action écologique'!$A$766=CS17,OR(COUNTIF('Eval-Avant action écologique'!$N$766:$P$766,"*T*")&gt;0,DP14&lt;30)),AND('Eval-Avant action écologique'!$A$767=CS17,OR(COUNTIF('Eval-Avant action écologique'!$N$767:$P$767,"*T*")&gt;0,DP15&lt;30)),AND('Eval-Avant action écologique'!$A$768=CS17,OR(COUNTIF('Eval-Avant action écologique'!$N$768:$P$768,"*T*")&gt;0,DP16&lt;30)),AND('Eval-Avant action écologique'!$A$769=CS17,OR(COUNTIF('Eval-Avant action écologique'!$N$769:$P$769,"*T*")&gt;0,DP17&lt;30)),AND('Eval-Avant action écologique'!$A$770=CS17,OR(COUNTIF('Eval-Avant action écologique'!$N$770:$P$770,"*T*")&gt;0,DP18&lt;30)),AND('Eval-Avant action écologique'!$A$771=CS17,OR(COUNTIF('Eval-Avant action écologique'!$N$771:$P$771,"*T*")&gt;0,DP19&lt;30)),AND('Eval-Avant action écologique'!$A$772=CS17,OR(COUNTIF('Eval-Avant action écologique'!$N$772:$P$772,"*T*")&gt;0,DP20&lt;30)),AND('Eval-Avant action écologique'!$A$773=CS17,OR(COUNTIF('Eval-Avant action écologique'!$N$773:$P$773,"*T*")&gt;0,DP21&lt;30)),AND('Eval-Avant action écologique'!$A$774=CS17,OR(COUNTIF('Eval-Avant action écologique'!$N$774:$P$774,"*T*")&gt;0,DP22&lt;30)),AND('Eval-Avant action écologique'!$A$775=CS17,OR(COUNTIF('Eval-Avant action écologique'!$N$775:$P$775,"*T*")&gt;0,DP23&lt;30)),AND('Eval-Avant action écologique'!$A$776=CS17,OR(COUNTIF('Eval-Avant action écologique'!$N$776:$P$776,"*T*")&gt;0,DP24&lt;30)),AND('Eval-Avant action écologique'!$A$777=CS17,OR(COUNTIF('Eval-Avant action écologique'!$N$777:$P$777,"*T*")&gt;0,DP25&lt;30)),AND('Eval-Avant action écologique'!$A$778=CS17,OR(COUNTIF('Eval-Avant action écologique'!$N$778:$P$778,"*T*")&gt;0,DP26&lt;30)),AND('Eval-Avant action écologique'!$A$779=CS17,OR(COUNTIF('Eval-Avant action écologique'!$N$779:$P$779,"*T*")&gt;0,DP27&lt;30)),AND('Eval-Avant action écologique'!$A$780=CS17,OR(COUNTIF('Eval-Avant action écologique'!$N$780:$P$780,"*T*")&gt;0,DP28&lt;30))),"",SUM(1*(SUMPRODUCT(('Eval-Avant action écologique'!$A$761:$A$780=CS17)*('Eval-Avant action écologique'!$N$761:$P$780="A"))),0.85*(SUMPRODUCT(('Eval-Avant action écologique'!$A$761:$A$780=CS17)*('Eval-Avant action écologique'!$N$761:$P$780="AL"))),0.7*(SUMPRODUCT(('Eval-Avant action écologique'!$A$761:$A$780=CS17)*('Eval-Avant action écologique'!$N$761:$P$780="LA"))),0.55*(SUMPRODUCT(('Eval-Avant action écologique'!$A$761:$A$780=CS17)*('Eval-Avant action écologique'!$N$761:$P$780="L"))),0.4*(SUMPRODUCT(('Eval-Avant action écologique'!$A$761:$A$780=CS17)*('Eval-Avant action écologique'!$N$761:$P$780="LS"))),0.25*(SUMPRODUCT(('Eval-Avant action écologique'!$A$761:$A$780=CS17)*('Eval-Avant action écologique'!$N$761:$P$780="SL"))),0.1*(SUMPRODUCT(('Eval-Avant action écologique'!$A$761:$A$780=CS17)*('Eval-Avant action écologique'!$N$761:$P$780="S"))))/(3*COUNTIF('Eval-Avant action écologique'!$A$761:$A$780,CS17))),"")</f>
        <v/>
      </c>
      <c r="DM17" s="214" t="str">
        <f>IF(COUNTIF('Eval-Avant action écologique'!$A$761:$A$780,CS17)&gt;0,IF(OR(AND('Eval-Avant action écologique'!$A$761=CS17,OR(COUNTIF('Eval-Avant action écologique'!$Q$761:$Y$761,"*T*")&gt;0,DP9&lt;120)),AND('Eval-Avant action écologique'!$A$762=CS17,OR(COUNTIF('Eval-Avant action écologique'!$Q$762:$Y$762,"*T*")&gt;0,DP10&lt;120)),AND('Eval-Avant action écologique'!$A$763=CS17,OR(COUNTIF('Eval-Avant action écologique'!$Q$763:$Y$763,"*T*")&gt;0,DP11&lt;120)),AND('Eval-Avant action écologique'!$A$764=CS17,OR(COUNTIF('Eval-Avant action écologique'!$Q$764:$Y$764,"*T*")&gt;0,DP12&lt;120)),AND('Eval-Avant action écologique'!$A$765=CS17,OR(COUNTIF('Eval-Avant action écologique'!$Q$765:$Y$765,"*T*")&gt;0,DP13&lt;120)),AND('Eval-Avant action écologique'!$A$766=CS17,OR(COUNTIF('Eval-Avant action écologique'!$Q$766:$Y$766,"*T*")&gt;0,DP14&lt;120)),AND('Eval-Avant action écologique'!$A$767=CS17,OR(COUNTIF('Eval-Avant action écologique'!$Q$767:$Y$767,"*T*")&gt;0,DP15&lt;120)),AND('Eval-Avant action écologique'!$A$768=CS17,OR(COUNTIF('Eval-Avant action écologique'!$Q$768:$Y$768,"*T*")&gt;0,DP16&lt;120)),AND('Eval-Avant action écologique'!$A$769=CS17,OR(COUNTIF('Eval-Avant action écologique'!$Q$769:$Y$769,"*T*")&gt;0,DP17&lt;120)),AND('Eval-Avant action écologique'!$A$770=CS17,OR(COUNTIF('Eval-Avant action écologique'!$Q$770:$Y$770,"*T*")&gt;0,DP18&lt;120)),AND('Eval-Avant action écologique'!$A$771=CS17,OR(COUNTIF('Eval-Avant action écologique'!$Q$771:$Y$771,"*T*")&gt;0,DP19&lt;120)),AND('Eval-Avant action écologique'!$A$772=CS17,OR(COUNTIF('Eval-Avant action écologique'!$Q$772:$Y$772,"*T*")&gt;0,DP20&lt;120)),AND('Eval-Avant action écologique'!$A$773=CS17,OR(COUNTIF('Eval-Avant action écologique'!$Q$773:$Y$773,"*T*")&gt;0,DP21&lt;120)),AND('Eval-Avant action écologique'!$A$774=CS17,OR(COUNTIF('Eval-Avant action écologique'!$Q$774:$Y$774,"*T*")&gt;0,DP22&lt;120)),AND('Eval-Avant action écologique'!$A$775=CS17,OR(COUNTIF('Eval-Avant action écologique'!$Q$775:$Y$775,"*T*")&gt;0,DP23&lt;120)),AND('Eval-Avant action écologique'!$A$776=CS17,OR(COUNTIF('Eval-Avant action écologique'!$Q$776:$Y$776,"*T*")&gt;0,DP24&lt;120)),AND('Eval-Avant action écologique'!$A$777=CS17,OR(COUNTIF('Eval-Avant action écologique'!$Q$777:$Y$777,"*T*")&gt;0,DP25&lt;120)),AND('Eval-Avant action écologique'!$A$778=CS17,OR(COUNTIF('Eval-Avant action écologique'!$Q$778:$Y$778,"*T*")&gt;0,DP26&lt;120)),AND('Eval-Avant action écologique'!$A$779=CS17,OR(COUNTIF('Eval-Avant action écologique'!$Q$779:$Y$779,"*T*")&gt;0,DP27&lt;120)),AND('Eval-Avant action écologique'!$A$780=CS17,OR(COUNTIF('Eval-Avant action écologique'!$Q$780:$Y$780,"*T*")&gt;0,DP28&lt;120))),"",SUM(1*(SUMPRODUCT(('Eval-Avant action écologique'!$A$761:$A$780=CS17)*('Eval-Avant action écologique'!$Q$761:$Y$780="A"))),0.85*(SUMPRODUCT(('Eval-Avant action écologique'!$A$761:$A$780=CS17)*('Eval-Avant action écologique'!$Q$761:$Y$780="AL"))),0.7*(SUMPRODUCT(('Eval-Avant action écologique'!$A$761:$A$780=CS17)*('Eval-Avant action écologique'!$Q$761:$Y$780="LA"))),0.55*(SUMPRODUCT(('Eval-Avant action écologique'!$A$761:$A$780=CS17)*('Eval-Avant action écologique'!$Q$761:$Y$780="L"))),0.4*(SUMPRODUCT(('Eval-Avant action écologique'!$A$761:$A$780=CS17)*('Eval-Avant action écologique'!$Q$761:$Y$780="LS"))),0.25*(SUMPRODUCT(('Eval-Avant action écologique'!$A$761:$A$780=CS17)*('Eval-Avant action écologique'!$Q$761:$Y$780="SL"))),0.1*(SUMPRODUCT(('Eval-Avant action écologique'!$A$761:$A$780=CS17)*('Eval-Avant action écologique'!$Q$761:$Y$780="S"))))/(9*COUNTIF('Eval-Avant action écologique'!$A$761:$A$780,CS17))),"")</f>
        <v/>
      </c>
      <c r="DN17" s="215"/>
      <c r="DO17" s="216">
        <f>'Eval-Avant action écologique'!$D$769</f>
        <v>9</v>
      </c>
      <c r="DP17" s="217" t="str">
        <f>IF(DQ17="C",0,IF(IF(COUNTIF('Eval-Avant action écologique'!$N$769:$Y$769,"=C")&gt;0,(COUNTA('Eval-Avant action écologique'!$N$769:$Y$769)-1)*10,COUNTA('Eval-Avant action écologique'!$N$769:$Y$769)*10)=0,"",IF(COUNTIF('Eval-Avant action écologique'!$N$769:$Y$769,"=C")&gt;0,(COUNTA('Eval-Avant action écologique'!$N$769:$Y$769)-1)*10,COUNTA('Eval-Avant action écologique'!$N$769:$Y$769)*10)))</f>
        <v/>
      </c>
      <c r="DQ17" s="217" t="str">
        <f>CONCATENATE('Eval-Avant action écologique'!$N$769,'Eval-Avant action écologique'!$O$769,'Eval-Avant action écologique'!$P$769,'Eval-Avant action écologique'!$Q$769,'Eval-Avant action écologique'!$R$769,'Eval-Avant action écologique'!$S$769,'Eval-Avant action écologique'!$T$769,'Eval-Avant action écologique'!$U$769,'Eval-Avant action écologique'!$V$769,'Eval-Avant action écologique'!$W$769,'Eval-Avant action écologique'!$X$769,'Eval-Avant action écologique'!$Y$769)</f>
        <v/>
      </c>
      <c r="DR17" s="217" t="str">
        <f t="shared" si="12"/>
        <v/>
      </c>
      <c r="DS17" s="217" t="str">
        <f t="shared" si="13"/>
        <v/>
      </c>
      <c r="DT17" s="217" t="str">
        <f>IF(COUNTIF('Eval-Avant action écologique'!$N$769:$Y$769,"=C")&gt;0,"X","")</f>
        <v/>
      </c>
      <c r="DU17" s="217" t="str">
        <f t="shared" si="14"/>
        <v/>
      </c>
      <c r="DV17" s="218" t="str">
        <f t="shared" si="15"/>
        <v/>
      </c>
      <c r="DW17" s="197"/>
      <c r="DY17" s="210">
        <v>9</v>
      </c>
      <c r="DZ17" s="211" t="str">
        <f>IF(COUNTIF('Eval-Avec act. écol. envisagée'!$A$761:$A$780,DY17)&gt;0,SUM(IF('Eval-Avec act. écol. envisagée'!$A$761=DY17,'Eval-Avec act. écol. envisagée'!$B$761,0),IF('Eval-Avec act. écol. envisagée'!$A$762=DY17, 'Eval-Avec act. écol. envisagée'!$B$762,0),IF('Eval-Avec act. écol. envisagée'!$A$763=DY17, 'Eval-Avec act. écol. envisagée'!$B$763,0),IF('Eval-Avec act. écol. envisagée'!$A$764=DY17, 'Eval-Avec act. écol. envisagée'!$B$764,0),IF('Eval-Avec act. écol. envisagée'!$A$765=DY17, 'Eval-Avec act. écol. envisagée'!$B$765,0),IF('Eval-Avec act. écol. envisagée'!$A$766=DY17, 'Eval-Avec act. écol. envisagée'!$B$766,0),IF('Eval-Avec act. écol. envisagée'!$A$767=DY17, 'Eval-Avec act. écol. envisagée'!$B$767,0),IF('Eval-Avec act. écol. envisagée'!$A$768=DY17, 'Eval-Avec act. écol. envisagée'!$B$768,0),IF('Eval-Avec act. écol. envisagée'!$A$769=DY17, 'Eval-Avec act. écol. envisagée'!$B$769,0),IF('Eval-Avec act. écol. envisagée'!$A$770=DY17, 'Eval-Avec act. écol. envisagée'!$B$770,0),IF('Eval-Avec act. écol. envisagée'!$A$771=DY17, 'Eval-Avec act. écol. envisagée'!$B$771,0),IF('Eval-Avec act. écol. envisagée'!$A$772=DY17, 'Eval-Avec act. écol. envisagée'!$B$772,0),IF('Eval-Avec act. écol. envisagée'!$A$773=DY17, 'Eval-Avec act. écol. envisagée'!$B$773,0),IF('Eval-Avec act. écol. envisagée'!$A$774=DY17, 'Eval-Avec act. écol. envisagée'!$B$774,0),IF('Eval-Avec act. écol. envisagée'!$A$775=DY17, 'Eval-Avec act. écol. envisagée'!$B$775,0),IF('Eval-Avec act. écol. envisagée'!$A$776=DY17, 'Eval-Avec act. écol. envisagée'!$B$776,0),IF('Eval-Avec act. écol. envisagée'!$A$777=DY17, 'Eval-Avec act. écol. envisagée'!$B$777,0),IF('Eval-Avec act. écol. envisagée'!$A$778=DY17, 'Eval-Avec act. écol. envisagée'!$B$778,0),IF('Eval-Avec act. écol. envisagée'!$A$779=DY17, 'Eval-Avec act. écol. envisagée'!$B$779,0),IF('Eval-Avec act. écol. envisagée'!$A$780=DY17, 'Eval-Avec act. écol. envisagée'!$B$780,0))/COUNTIF('Eval-Avec act. écol. envisagée'!$A$761:$A$780,DY17),"")</f>
        <v/>
      </c>
      <c r="EA17" s="212" t="str">
        <f>IF(COUNTIF('Eval-Avec act. écol. envisagée'!$A$761:$A$780,DY17)&gt;0,COUNTIF('Eval-Avec act. écol. envisagée'!$A$761:$A$780,DY17),"")</f>
        <v/>
      </c>
      <c r="EB17" s="211" t="str">
        <f>IF(COUNTIF('Eval-Avec act. écol. envisagée'!$A$761:$A$780,DY17)&gt;0,IF(OR(AND('Eval-Avec act. écol. envisagée'!$A$761=DY17, 'Eval-Avec act. écol. envisagée'!$G$761=""),AND('Eval-Avec act. écol. envisagée'!$A$762=DY17, 'Eval-Avec act. écol. envisagée'!$G$762=""),AND('Eval-Avec act. écol. envisagée'!$A$763=DY17, 'Eval-Avec act. écol. envisagée'!$G$763=""),AND('Eval-Avec act. écol. envisagée'!$A$764=DY17, 'Eval-Avec act. écol. envisagée'!$G$764=""),AND('Eval-Avec act. écol. envisagée'!$A$765=DY17, 'Eval-Avec act. écol. envisagée'!$G$765=""),AND('Eval-Avec act. écol. envisagée'!$A$766=DY17, 'Eval-Avec act. écol. envisagée'!$G$766=""),AND('Eval-Avec act. écol. envisagée'!$A$767=DY17, 'Eval-Avec act. écol. envisagée'!$G$767=""),AND('Eval-Avec act. écol. envisagée'!$A$768=DY17, 'Eval-Avec act. écol. envisagée'!$G$768=""),AND('Eval-Avec act. écol. envisagée'!$A$769=DY17, 'Eval-Avec act. écol. envisagée'!$G$769=""),AND('Eval-Avec act. écol. envisagée'!$A$770=DY17, 'Eval-Avec act. écol. envisagée'!$G$770=""),AND('Eval-Avec act. écol. envisagée'!$A$771=DY17, 'Eval-Avec act. écol. envisagée'!$G$771=""),AND('Eval-Avec act. écol. envisagée'!$A$772=DY17, 'Eval-Avec act. écol. envisagée'!$G$772=""),AND('Eval-Avec act. écol. envisagée'!$A$773=DY17, 'Eval-Avec act. écol. envisagée'!$G$773=""),AND('Eval-Avec act. écol. envisagée'!$A$774=DY17, 'Eval-Avec act. écol. envisagée'!$G$774=""),AND('Eval-Avec act. écol. envisagée'!$A$775=DY17, 'Eval-Avec act. écol. envisagée'!$G$775=""),AND('Eval-Avec act. écol. envisagée'!$A$776=DY17, 'Eval-Avec act. écol. envisagée'!$G$776=""),AND('Eval-Avec act. écol. envisagée'!$A$777=DY17, 'Eval-Avec act. écol. envisagée'!$G$777=""),AND('Eval-Avec act. écol. envisagée'!$A$778=DY17, 'Eval-Avec act. écol. envisagée'!$G$778=""),AND('Eval-Avec act. écol. envisagée'!$A$779=DY17, 'Eval-Avec act. écol. envisagée'!$G$779=""),AND('Eval-Avec act. écol. envisagée'!$A$780=DY17, 'Eval-Avec act. écol. envisagée'!$G$780="")),"",SUM(IF('Eval-Avec act. écol. envisagée'!$A$761=DY17,'Eval-Avec act. écol. envisagée'!$G$761,0),IF('Eval-Avec act. écol. envisagée'!$A$762=DY17,'Eval-Avec act. écol. envisagée'!$G$762,0),IF('Eval-Avec act. écol. envisagée'!$A$763=DY17,'Eval-Avec act. écol. envisagée'!$G$763,0),IF('Eval-Avec act. écol. envisagée'!$A$764=DY17,'Eval-Avec act. écol. envisagée'!$G$764,0),IF('Eval-Avec act. écol. envisagée'!$A$765=DY17,'Eval-Avec act. écol. envisagée'!$G$765,0),IF('Eval-Avec act. écol. envisagée'!$A$766=DY17,'Eval-Avec act. écol. envisagée'!$G$766,0),IF('Eval-Avec act. écol. envisagée'!$A$767=DY17,'Eval-Avec act. écol. envisagée'!$G$767,0),IF('Eval-Avec act. écol. envisagée'!$A$768=DY17,'Eval-Avec act. écol. envisagée'!$G$768,0),IF('Eval-Avec act. écol. envisagée'!$A$769=DY17,'Eval-Avec act. écol. envisagée'!$G$769,0),IF('Eval-Avec act. écol. envisagée'!$A$770=DY17,'Eval-Avec act. écol. envisagée'!$G$770,0),IF('Eval-Avec act. écol. envisagée'!$A$771=DY17,'Eval-Avec act. écol. envisagée'!$G$771,0),IF('Eval-Avec act. écol. envisagée'!$A$772=DY17,'Eval-Avec act. écol. envisagée'!$G$772,0),IF('Eval-Avec act. écol. envisagée'!$A$773=DY17,'Eval-Avec act. écol. envisagée'!$G$773,0),IF('Eval-Avec act. écol. envisagée'!$A$774=DY17,'Eval-Avec act. écol. envisagée'!$G$774,0),IF('Eval-Avec act. écol. envisagée'!$A$775=DY17,'Eval-Avec act. écol. envisagée'!$G$775,0), IF('Eval-Avec act. écol. envisagée'!$A$776=DY17,'Eval-Avec act. écol. envisagée'!$G$776,0), IF('Eval-Avec act. écol. envisagée'!$A$777=DY17,'Eval-Avec act. écol. envisagée'!$G$777,0), IF('Eval-Avec act. écol. envisagée'!$A$778=DY17,'Eval-Avec act. écol. envisagée'!$G$778,0), IF('Eval-Avec act. écol. envisagée'!$A$779=DY17,'Eval-Avec act. écol. envisagée'!$G$779,0), IF('Eval-Avec act. écol. envisagée'!$A$780=DY17,'Eval-Avec act. écol. envisagée'!$G$780,0))/ COUNTIF('Eval-Avec act. écol. envisagée'!$A$761:$A$780,DY17)),"")</f>
        <v/>
      </c>
      <c r="EC17" s="212" t="str">
        <f>IF(COUNTIF('Eval-Avec act. écol. envisagée'!$A$761:$A$780,DY17)&gt;0,IF(SUM(IF('Eval-Avec act. écol. envisagée'!$A$761=DY17,COUNTA('Eval-Avec act. écol. envisagée'!$H$761),0),IF('Eval-Avec act. écol. envisagée'!$A$762=DY17,COUNTA('Eval-Avec act. écol. envisagée'!$H$762),0),IF('Eval-Avec act. écol. envisagée'!$A$763=DY17,COUNTA('Eval-Avec act. écol. envisagée'!$H$763),0),IF('Eval-Avec act. écol. envisagée'!$A$764=DY17,COUNTA('Eval-Avec act. écol. envisagée'!$H$764),0),IF('Eval-Avec act. écol. envisagée'!$A$765=DY17,COUNTA('Eval-Avec act. écol. envisagée'!$H$765),0),IF('Eval-Avec act. écol. envisagée'!$A$766=DY17,COUNTA('Eval-Avec act. écol. envisagée'!$H$766),0),IF('Eval-Avec act. écol. envisagée'!$A$767=DY17,COUNTA('Eval-Avec act. écol. envisagée'!$H$767),0),IF('Eval-Avec act. écol. envisagée'!$A$768=DY17,COUNTA('Eval-Avec act. écol. envisagée'!$H$768),0),IF('Eval-Avec act. écol. envisagée'!$A$769=DY17,COUNTA('Eval-Avec act. écol. envisagée'!$H$769),0),IF('Eval-Avec act. écol. envisagée'!$A$770=DY17,COUNTA('Eval-Avec act. écol. envisagée'!$H$770),0),IF('Eval-Avec act. écol. envisagée'!$A$771=DY17,COUNTA('Eval-Avec act. écol. envisagée'!$H$771),0),IF('Eval-Avec act. écol. envisagée'!$A$772=DY17,COUNTA('Eval-Avec act. écol. envisagée'!$H$772),0),IF('Eval-Avec act. écol. envisagée'!$A$773=DY17,COUNTA('Eval-Avec act. écol. envisagée'!$H$773),0),IF('Eval-Avec act. écol. envisagée'!$A$774=DY17,COUNTA('Eval-Avec act. écol. envisagée'!$H$774),0),IF('Eval-Avec act. écol. envisagée'!$A$775=DY17,COUNTA('Eval-Avec act. écol. envisagée'!$H$775),0),IF('Eval-Avec act. écol. envisagée'!$A$776=DY17,COUNTA('Eval-Avec act. écol. envisagée'!$H$776),0),IF('Eval-Avec act. écol. envisagée'!$A$777=DY17,COUNTA('Eval-Avec act. écol. envisagée'!$H$777),0),IF('Eval-Avec act. écol. envisagée'!$A$778=DY17,COUNTA('Eval-Avec act. écol. envisagée'!$H$778),0),IF('Eval-Avec act. écol. envisagée'!$A$779=DY17,COUNTA('Eval-Avec act. écol. envisagée'!$H$779),0),IF('Eval-Avec act. écol. envisagée'!$A$780=DY17,COUNTA('Eval-Avec act. écol. envisagée'!$H$780),0))&gt;0,"X",0),"")</f>
        <v/>
      </c>
      <c r="ED17" s="213" t="str">
        <f>IF(COUNTIF('Eval-Avec act. écol. envisagée'!$A$761:$A$780,DY17)&gt;0,IF(SUM(IF('Eval-Avec act. écol. envisagée'!$A$761=DY17,COUNTA('Eval-Avec act. écol. envisagée'!$I$761),0),IF('Eval-Avec act. écol. envisagée'!$A$762=DY17,COUNTA('Eval-Avec act. écol. envisagée'!$I$762),0),IF('Eval-Avec act. écol. envisagée'!$A$763=DY17,COUNTA('Eval-Avec act. écol. envisagée'!$I$763),0),IF('Eval-Avec act. écol. envisagée'!$A$764=DY17,COUNTA('Eval-Avec act. écol. envisagée'!$I$764),0),IF('Eval-Avec act. écol. envisagée'!$A$765=DY17,COUNTA('Eval-Avec act. écol. envisagée'!$I$765),0),IF('Eval-Avec act. écol. envisagée'!$A$766=DY17,COUNTA('Eval-Avec act. écol. envisagée'!$I$766),0),IF('Eval-Avec act. écol. envisagée'!$A$767=DY17,COUNTA('Eval-Avec act. écol. envisagée'!$I$767),0),IF('Eval-Avec act. écol. envisagée'!$A$768=DY17,COUNTA('Eval-Avec act. écol. envisagée'!$I$768),0),IF('Eval-Avec act. écol. envisagée'!$A$769=DY17,COUNTA('Eval-Avec act. écol. envisagée'!$I$769),0),IF('Eval-Avec act. écol. envisagée'!$A$770=DY17,COUNTA('Eval-Avec act. écol. envisagée'!$I$770),0),IF('Eval-Avec act. écol. envisagée'!$A$771=DY17,COUNTA('Eval-Avec act. écol. envisagée'!$I$771),0),IF('Eval-Avec act. écol. envisagée'!$A$772=DY17,COUNTA('Eval-Avec act. écol. envisagée'!$I$772),0),IF('Eval-Avec act. écol. envisagée'!$A$773=DY17,COUNTA('Eval-Avec act. écol. envisagée'!$I$773),0),IF('Eval-Avec act. écol. envisagée'!$A$774=DY17,COUNTA('Eval-Avec act. écol. envisagée'!$I$774),0),IF('Eval-Avec act. écol. envisagée'!$A$775=DY17,COUNTA('Eval-Avec act. écol. envisagée'!$I$775),0),IF('Eval-Avec act. écol. envisagée'!$A$776=DY17,COUNTA('Eval-Avec act. écol. envisagée'!$I$776),0),IF('Eval-Avec act. écol. envisagée'!$A$777=DY17,COUNTA('Eval-Avec act. écol. envisagée'!$I$777),0),IF('Eval-Avec act. écol. envisagée'!$A$778=DY17,COUNTA('Eval-Avec act. écol. envisagée'!$I$778),0),IF('Eval-Avec act. écol. envisagée'!$A$779=DY17,COUNTA('Eval-Avec act. écol. envisagée'!$I$779),0),IF('Eval-Avec act. écol. envisagée'!$A$780=DY17,COUNTA('Eval-Avec act. écol. envisagée'!$I$780),0))&gt;0,"X",0),"")</f>
        <v/>
      </c>
      <c r="EE17" s="213" t="str">
        <f>IF(COUNTIF('Eval-Avec act. écol. envisagée'!$A$761:$A$780,DY17)&gt;0,IF(SUM(IF('Eval-Avec act. écol. envisagée'!$A$761=DY17,COUNTA('Eval-Avec act. écol. envisagée'!$J$761),0),IF('Eval-Avec act. écol. envisagée'!$A$762=DY17,COUNTA('Eval-Avec act. écol. envisagée'!$J$762),0),IF('Eval-Avec act. écol. envisagée'!$A$763=DY17,COUNTA('Eval-Avec act. écol. envisagée'!$J$763),0),IF('Eval-Avec act. écol. envisagée'!$A$764=DY17,COUNTA('Eval-Avec act. écol. envisagée'!$J$764),0),IF('Eval-Avec act. écol. envisagée'!$A$765=DY17,COUNTA('Eval-Avec act. écol. envisagée'!$J$765),0),IF('Eval-Avec act. écol. envisagée'!$A$766=DY17,COUNTA('Eval-Avec act. écol. envisagée'!$J$766),0),IF('Eval-Avec act. écol. envisagée'!$A$767=DY17,COUNTA('Eval-Avec act. écol. envisagée'!$J$767),0),IF('Eval-Avec act. écol. envisagée'!$A$768=DY17,COUNTA('Eval-Avec act. écol. envisagée'!$J$768),0),IF('Eval-Avec act. écol. envisagée'!$A$769=DY17,COUNTA('Eval-Avec act. écol. envisagée'!$J$769),0),IF('Eval-Avec act. écol. envisagée'!$A$770=DY17,COUNTA('Eval-Avec act. écol. envisagée'!$J$770),0),IF('Eval-Avec act. écol. envisagée'!$A$771=DY17,COUNTA('Eval-Avec act. écol. envisagée'!$J$771),0),IF('Eval-Avec act. écol. envisagée'!$A$772=DY17,COUNTA('Eval-Avec act. écol. envisagée'!$J$772),0),IF('Eval-Avec act. écol. envisagée'!$A$773=DY17,COUNTA('Eval-Avec act. écol. envisagée'!$J$773),0),IF('Eval-Avec act. écol. envisagée'!$A$774=DY17,COUNTA('Eval-Avec act. écol. envisagée'!$J$774),0),IF('Eval-Avec act. écol. envisagée'!$A$775=DY17,COUNTA('Eval-Avec act. écol. envisagée'!$J$775),0),IF('Eval-Avec act. écol. envisagée'!$A$776=DY17,COUNTA('Eval-Avec act. écol. envisagée'!$J$776),0),IF('Eval-Avec act. écol. envisagée'!$A$777=DY17,COUNTA('Eval-Avec act. écol. envisagée'!$J$777),0),IF('Eval-Avec act. écol. envisagée'!$A$778=DY17,COUNTA('Eval-Avec act. écol. envisagée'!$J$778),0),IF('Eval-Avec act. écol. envisagée'!$A$779=DY17,COUNTA('Eval-Avec act. écol. envisagée'!$J$779),0),IF('Eval-Avec act. écol. envisagée'!$A$780=DY17,COUNTA('Eval-Avec act. écol. envisagée'!$J$780),0))&gt;0,"X",0),"")</f>
        <v/>
      </c>
      <c r="EF17" s="213" t="str">
        <f>IF(COUNTIF('Eval-Avec act. écol. envisagée'!$A$761:$A$780,DY17)&gt;0,IF(SUM(IF('Eval-Avec act. écol. envisagée'!$A$761=DY17,COUNTA('Eval-Avec act. écol. envisagée'!$K$761),0),IF('Eval-Avec act. écol. envisagée'!$A$762=DY17,COUNTA('Eval-Avec act. écol. envisagée'!$K$762),0),IF('Eval-Avec act. écol. envisagée'!$A$763=DY17,COUNTA('Eval-Avec act. écol. envisagée'!$K$763),0),IF('Eval-Avec act. écol. envisagée'!$A$764=DY17,COUNTA('Eval-Avec act. écol. envisagée'!$K$764),0),IF('Eval-Avec act. écol. envisagée'!$A$765=DY17,COUNTA('Eval-Avec act. écol. envisagée'!$K$765),0),IF('Eval-Avec act. écol. envisagée'!$A$766=DY17,COUNTA('Eval-Avec act. écol. envisagée'!$K$766),0),IF('Eval-Avec act. écol. envisagée'!$A$767=DY17,COUNTA('Eval-Avec act. écol. envisagée'!$K$767),0),IF('Eval-Avec act. écol. envisagée'!$A$768=DY17,COUNTA('Eval-Avec act. écol. envisagée'!$K$768),0),IF('Eval-Avec act. écol. envisagée'!$A$769=DY17,COUNTA('Eval-Avec act. écol. envisagée'!$K$769),0),IF('Eval-Avec act. écol. envisagée'!$A$770=DY17,COUNTA('Eval-Avec act. écol. envisagée'!$K$770),0),IF('Eval-Avec act. écol. envisagée'!$A$771=DY17,COUNTA('Eval-Avec act. écol. envisagée'!$K$771),0),IF('Eval-Avec act. écol. envisagée'!$A$772=DY17,COUNTA('Eval-Avec act. écol. envisagée'!$K$772),0),IF('Eval-Avec act. écol. envisagée'!$A$773=DY17,COUNTA('Eval-Avec act. écol. envisagée'!$K$773),0),IF('Eval-Avec act. écol. envisagée'!$A$774=DY17,COUNTA('Eval-Avec act. écol. envisagée'!$K$774),0),IF('Eval-Avec act. écol. envisagée'!$A$775=DY17,COUNTA('Eval-Avec act. écol. envisagée'!$K$775),0),IF('Eval-Avec act. écol. envisagée'!$A$776=DY17,COUNTA('Eval-Avec act. écol. envisagée'!$K$776),0),IF('Eval-Avec act. écol. envisagée'!$A$777=DY17,COUNTA('Eval-Avec act. écol. envisagée'!$K$777),0),IF('Eval-Avec act. écol. envisagée'!$A$778=DY17,COUNTA('Eval-Avec act. écol. envisagée'!$K$778),0),IF('Eval-Avec act. écol. envisagée'!$A$779=DY17,COUNTA('Eval-Avec act. écol. envisagée'!$K$779),0),IF('Eval-Avec act. écol. envisagée'!$A$780=DY17,COUNTA('Eval-Avec act. écol. envisagée'!$K$780),0))&gt;0,"X",0),"")</f>
        <v/>
      </c>
      <c r="EG17" s="211" t="str">
        <f>IF(COUNTIF('Eval-Avec act. écol. envisagée'!$A$761:$A$780,DY17)&gt;0,IF(OR(AND('Eval-Avec act. écol. envisagée'!$A$761=DY17,'Eval-Avec act. écol. envisagée'!$L$761&lt;120,'Eval-Avec act. écol. envisagée'!$L$761&gt;=EV9),AND('Eval-Avec act. écol. envisagée'!$A$762=DY17,'Eval-Avec act. écol. envisagée'!$L$762&lt;120,'Eval-Avec act. écol. envisagée'!$L$762&gt;=EV10),AND('Eval-Avec act. écol. envisagée'!$A$763=DY17,'Eval-Avec act. écol. envisagée'!$L$763&lt;120,'Eval-Avec act. écol. envisagée'!$L$763&gt;=EV11),AND('Eval-Avec act. écol. envisagée'!$A$764=DY17,'Eval-Avec act. écol. envisagée'!$L$764&lt;120,'Eval-Avec act. écol. envisagée'!$L$764&gt;=EV12),AND('Eval-Avec act. écol. envisagée'!$A$765=DY17,'Eval-Avec act. écol. envisagée'!$L$765&lt;120,'Eval-Avec act. écol. envisagée'!$L$765&gt;=EV13),AND('Eval-Avec act. écol. envisagée'!$A$766=DY17,'Eval-Avec act. écol. envisagée'!$L$766&lt;120,'Eval-Avec act. écol. envisagée'!$L$766&gt;=EV14),AND('Eval-Avec act. écol. envisagée'!$A$767=DY17,'Eval-Avec act. écol. envisagée'!$L$767&lt;120,'Eval-Avec act. écol. envisagée'!$L$767&gt;=EV15),AND('Eval-Avec act. écol. envisagée'!$A$768=DY17,'Eval-Avec act. écol. envisagée'!$L$768&lt;120,'Eval-Avec act. écol. envisagée'!$L$768&gt;=EV16),AND('Eval-Avec act. écol. envisagée'!$A$769=DY17,'Eval-Avec act. écol. envisagée'!$L$769&lt;120,'Eval-Avec act. écol. envisagée'!$L$769&gt;=EV17),AND('Eval-Avec act. écol. envisagée'!$A$770=DY17,'Eval-Avec act. écol. envisagée'!$L$770&lt;120,'Eval-Avec act. écol. envisagée'!$L$770&gt;=EV18),AND('Eval-Avec act. écol. envisagée'!$A$771=DY17,'Eval-Avec act. écol. envisagée'!$L$771&lt;120,'Eval-Avec act. écol. envisagée'!$L$771&gt;=EV19),AND('Eval-Avec act. écol. envisagée'!$A$772=DY17,'Eval-Avec act. écol. envisagée'!$L$772&lt;120,'Eval-Avec act. écol. envisagée'!$L$772&gt;=EV20),AND('Eval-Avec act. écol. envisagée'!$A$773=DY17,'Eval-Avec act. écol. envisagée'!$L$773&lt;120,'Eval-Avec act. écol. envisagée'!$L$773&gt;=EV21),AND('Eval-Avec act. écol. envisagée'!$A$774=DY17,'Eval-Avec act. écol. envisagée'!$L$774&lt;120,'Eval-Avec act. écol. envisagée'!$L$774&gt;=EV22),AND('Eval-Avec act. écol. envisagée'!$A$775=DY17,'Eval-Avec act. écol. envisagée'!$L$775&lt;120,'Eval-Avec act. écol. envisagée'!$L$775&gt;=EV23),AND('Eval-Avec act. écol. envisagée'!$A$776=DY17,'Eval-Avec act. écol. envisagée'!$L$776&lt;120,'Eval-Avec act. écol. envisagée'!$L$776&gt;=EV24),AND('Eval-Avec act. écol. envisagée'!$A$777=DY17,'Eval-Avec act. écol. envisagée'!$L$777&lt;120,'Eval-Avec act. écol. envisagée'!$L$777&gt;=EV25),AND('Eval-Avec act. écol. envisagée'!$A$778=DY17,'Eval-Avec act. écol. envisagée'!$L$778&lt;120,'Eval-Avec act. écol. envisagée'!$L$778&gt;=EV26),AND('Eval-Avec act. écol. envisagée'!$A$779=DY17,'Eval-Avec act. écol. envisagée'!$L$779&lt;120,'Eval-Avec act. écol. envisagée'!$L$779&gt;=EV27),AND('Eval-Avec act. écol. envisagée'!$A$780=DY17,'Eval-Avec act. écol. envisagée'!$L$780&lt;120,'Eval-Avec act. écol. envisagée'!$L$780&gt;=EV28)),"",SUM(IF('Eval-Avec act. écol. envisagée'!$A$761=DY17,'Eval-Avec act. écol. envisagée'!$L$761,0),IF('Eval-Avec act. écol. envisagée'!$A$762=DY17,'Eval-Avec act. écol. envisagée'!$L$762,0),IF('Eval-Avec act. écol. envisagée'!$A$763=DY17,'Eval-Avec act. écol. envisagée'!$L$763,0),IF('Eval-Avec act. écol. envisagée'!$A$764=DY17,'Eval-Avec act. écol. envisagée'!$L$764,0),IF('Eval-Avec act. écol. envisagée'!$A$765=DY17,'Eval-Avec act. écol. envisagée'!$L$765,0),IF('Eval-Avec act. écol. envisagée'!$A$766=DY17,'Eval-Avec act. écol. envisagée'!$L$766,0),IF('Eval-Avec act. écol. envisagée'!$A$767=DY17,'Eval-Avec act. écol. envisagée'!$L$767,0),IF('Eval-Avec act. écol. envisagée'!$A$768=DY17,'Eval-Avec act. écol. envisagée'!$L$768,0),IF('Eval-Avec act. écol. envisagée'!$A$769=DY17,'Eval-Avec act. écol. envisagée'!$L$769,0),IF('Eval-Avec act. écol. envisagée'!$A$770=DY17,'Eval-Avec act. écol. envisagée'!$L$770,0),IF('Eval-Avec act. écol. envisagée'!$A$771=DY17,'Eval-Avec act. écol. envisagée'!$L$771,0),IF('Eval-Avec act. écol. envisagée'!$A$772=DY17,'Eval-Avec act. écol. envisagée'!$L$772,0),IF('Eval-Avec act. écol. envisagée'!$A$773=DY17,'Eval-Avec act. écol. envisagée'!$L$773,0),IF('Eval-Avec act. écol. envisagée'!$A$774=DY17,'Eval-Avec act. écol. envisagée'!$L$774,0),IF('Eval-Avec act. écol. envisagée'!$A$775=DY17,'Eval-Avec act. écol. envisagée'!$L$775,0),IF('Eval-Avec act. écol. envisagée'!$A$776=DY17,'Eval-Avec act. écol. envisagée'!$L$776,0),IF('Eval-Avec act. écol. envisagée'!$A$777=DY17,'Eval-Avec act. écol. envisagée'!$L$777,0),IF('Eval-Avec act. écol. envisagée'!$A$778=DY17,'Eval-Avec act. écol. envisagée'!$L$778,0),IF('Eval-Avec act. écol. envisagée'!$A$779=DY17,'Eval-Avec act. écol. envisagée'!$L$779,0),IF('Eval-Avec act. écol. envisagée'!$A$780=DY17,'Eval-Avec act. écol. envisagée'!$L$780,0))/ COUNTIF('Eval-Avec act. écol. envisagée'!$A$761:$A$780,DY17)),"")</f>
        <v/>
      </c>
      <c r="EH17" s="211" t="str">
        <f>IF(COUNTIF('Eval-Avec act. écol. envisagée'!$A$761:$A$780,DY17)&gt;0,IF(OR(AND('Eval-Avec act. écol. envisagée'!$A$761=DY17, EV9&lt;120),AND(EV10&lt;120),AND(EV11&lt;120),AND(EV12&lt;120),AND(EV13&lt;120),AND(EV14&lt;120),AND(EV15&lt;120),AND(EV16&lt;120),AND(EV17&lt;120),AND(EV18&lt;120),AND(EV19&lt;120),AND(EV20&lt;120),AND(EV21&lt;120),AND(EV22&lt;120),AND(EV23&lt;120),AND(EV24&lt;120),AND(EV25&lt;120),AND(EV26&lt;120),AND(EV27&lt;120),AND(EV28&lt;120)),"",SUM(IF('Eval-Avec act. écol. envisagée'!$A$761=DY17,'Eval-Avec act. écol. envisagée'!$M$761,0),IF('Eval-Avec act. écol. envisagée'!$A$762=DY17,'Eval-Avec act. écol. envisagée'!$M$762,0),IF('Eval-Avec act. écol. envisagée'!$A$763=DY17,'Eval-Avec act. écol. envisagée'!$M$763,0),IF('Eval-Avec act. écol. envisagée'!$A$764=DY17,'Eval-Avec act. écol. envisagée'!$M$764,0),IF('Eval-Avec act. écol. envisagée'!$A$765=DY17,'Eval-Avec act. écol. envisagée'!$M$765,0),IF('Eval-Avec act. écol. envisagée'!$A$766=DY17,'Eval-Avec act. écol. envisagée'!$M$766,0),IF('Eval-Avec act. écol. envisagée'!$A$767=DY17,'Eval-Avec act. écol. envisagée'!$M$767,0),IF('Eval-Avec act. écol. envisagée'!$A$768=DY17,'Eval-Avec act. écol. envisagée'!$M$768,0),IF('Eval-Avec act. écol. envisagée'!$A$769=DY17,'Eval-Avec act. écol. envisagée'!$M$769,0),IF('Eval-Avec act. écol. envisagée'!$A$770=DY17,'Eval-Avec act. écol. envisagée'!$M$770,0),IF('Eval-Avec act. écol. envisagée'!$A$771=DY17,'Eval-Avec act. écol. envisagée'!$M$771,0),IF('Eval-Avec act. écol. envisagée'!$A$772=DY17,'Eval-Avec act. écol. envisagée'!$M$772,0),IF('Eval-Avec act. écol. envisagée'!$A$773=DY17,'Eval-Avec act. écol. envisagée'!$M$773,0),IF('Eval-Avec act. écol. envisagée'!$A$774=DY17,'Eval-Avec act. écol. envisagée'!$M$774,0),IF('Eval-Avec act. écol. envisagée'!$A$775=DY17,'Eval-Avec act. écol. envisagée'!$M$775,0), IF('Eval-Avec act. écol. envisagée'!$A$776=DY17,'Eval-Avec act. écol. envisagée'!$M$776,0), IF('Eval-Avec act. écol. envisagée'!$A$777=DY17,'Eval-Avec act. écol. envisagée'!$M$777,0), IF('Eval-Avec act. écol. envisagée'!$A$778=DY17,'Eval-Avec act. écol. envisagée'!$M$778,0), IF('Eval-Avec act. écol. envisagée'!$A$779=DY17,'Eval-Avec act. écol. envisagée'!$M$779,0), IF('Eval-Avec act. écol. envisagée'!$A$780=DY17,'Eval-Avec act. écol. envisagée'!$M$780,0))/COUNTIF('Eval-Avec act. écol. envisagée'!$A$761:$A$780,DY17)),"")</f>
        <v/>
      </c>
      <c r="EI17" s="211" t="str">
        <f>IF(COUNTIF('Eval-Avec act. écol. envisagée'!$A$761:$A$780,DY17)&gt;0,SUM(IF('Eval-Avec act. écol. envisagée'!$A$761=DY17,LEN(SUBSTITUTE((SUBSTITUTE(EX9,"TM","")),"TS",""))*10/2,0),IF('Eval-Avec act. écol. envisagée'!$A$762=DY17,LEN(SUBSTITUTE((SUBSTITUTE(EX10,"TM","")),"TS",""))*10/2,0),IF('Eval-Avec act. écol. envisagée'!$A$763=DY17,LEN(SUBSTITUTE((SUBSTITUTE(EX11,"TM","")),"TS",""))*10/2,0),IF('Eval-Avec act. écol. envisagée'!$A$764=DY17,LEN(SUBSTITUTE((SUBSTITUTE(EX12,"TM","")),"TS",""))*10/2,0),IF('Eval-Avec act. écol. envisagée'!$A$765=DY17,LEN(SUBSTITUTE((SUBSTITUTE(EX13,"TM","")),"TS",""))*10/2,0),IF('Eval-Avec act. écol. envisagée'!$A$766=DY17,LEN(SUBSTITUTE((SUBSTITUTE(EX14,"TM","")),"TS",""))*10/2,0),IF('Eval-Avec act. écol. envisagée'!$A$767=DY17,LEN(SUBSTITUTE((SUBSTITUTE(EX15,"TM","")),"TS",""))*10/2,0),IF('Eval-Avec act. écol. envisagée'!$A$768=DY17,LEN(SUBSTITUTE((SUBSTITUTE(EX16,"TM","")),"TS",""))*10/2,0),IF('Eval-Avec act. écol. envisagée'!$A$769=DY17,LEN(SUBSTITUTE((SUBSTITUTE(EX17,"TM","")),"TS",""))*10/2,0),IF('Eval-Avec act. écol. envisagée'!$A$770=DY17,LEN(SUBSTITUTE((SUBSTITUTE(EX18,"TM","")),"TS",""))*10/2,0),IF('Eval-Avec act. écol. envisagée'!$A$771=DY17,LEN(SUBSTITUTE((SUBSTITUTE(EX19,"TM","")),"TS",""))*10/2,0),IF('Eval-Avec act. écol. envisagée'!$A$772=DY17,LEN(SUBSTITUTE((SUBSTITUTE(EX20,"TM","")),"TS",""))*10/2,0),IF('Eval-Avec act. écol. envisagée'!$A$773=DY17,LEN(SUBSTITUTE((SUBSTITUTE(EX21,"TM","")),"TS",""))*10/2,0),IF('Eval-Avec act. écol. envisagée'!$A$774=DY17,LEN(SUBSTITUTE((SUBSTITUTE(EX22,"TM","")),"TS",""))*10/2,0),IF('Eval-Avec act. écol. envisagée'!$A$775=DY17,LEN(SUBSTITUTE((SUBSTITUTE(EX23,"TM","")),"TS",""))*10/2,0),IF('Eval-Avec act. écol. envisagée'!$A$776=DY17,LEN(SUBSTITUTE((SUBSTITUTE(EX24,"TM","")),"TS",""))*10/2,0),IF('Eval-Avec act. écol. envisagée'!$A$777=DY17,LEN(SUBSTITUTE((SUBSTITUTE(EX25,"TM","")),"TS",""))*10/2,0),IF('Eval-Avec act. écol. envisagée'!$A$778=DY17,LEN(SUBSTITUTE((SUBSTITUTE(EX26,"TM","")),"TS",""))*10/2,0),IF('Eval-Avec act. écol. envisagée'!$A$779=DY17,LEN(SUBSTITUTE((SUBSTITUTE(EX27,"TM","")),"TS",""))*10/2,0),IF('Eval-Avec act. écol. envisagée'!$A$780=DY17,LEN(SUBSTITUTE((SUBSTITUTE(EX28,"TM","")),"TS",""))*10/2,0))/COUNTIF('Eval-Avec act. écol. envisagée'!$A$761:$A$780,DY17),"")</f>
        <v/>
      </c>
      <c r="EJ17" s="211" t="str">
        <f>IF(COUNTIF('Eval-Avec act. écol. envisagée'!$A$761:$A$780,DY17)&gt;0,SUM(IF('Eval-Avec act. écol. envisagée'!$A$761=DY17,LEN(SUBSTITUTE((SUBSTITUTE(EX9,"TF","")),"TS",""))*10/2,0),IF('Eval-Avec act. écol. envisagée'!$A$762=DY17,LEN(SUBSTITUTE((SUBSTITUTE(EX10,"TF","")),"TS",""))*10/2,0),IF('Eval-Avec act. écol. envisagée'!$A$763=DY17,LEN(SUBSTITUTE((SUBSTITUTE(EX11,"TF","")),"TS",""))*10/2,0),IF('Eval-Avec act. écol. envisagée'!$A$764=DY17,LEN(SUBSTITUTE((SUBSTITUTE(EX12,"TF","")),"TS",""))*10/2,0),IF('Eval-Avec act. écol. envisagée'!$A$765=DY17,LEN(SUBSTITUTE((SUBSTITUTE(EX13,"TF","")),"TS",""))*10/2,0),IF('Eval-Avec act. écol. envisagée'!$A$766=DY17,LEN(SUBSTITUTE((SUBSTITUTE(EX14,"TF","")),"TS",""))*10/2,0),IF('Eval-Avec act. écol. envisagée'!$A$767=DY17,LEN(SUBSTITUTE((SUBSTITUTE(EX15,"TF","")),"TS",""))*10/2,0),IF('Eval-Avec act. écol. envisagée'!$A$768=DY17,LEN(SUBSTITUTE((SUBSTITUTE(EX16,"TF","")),"TS",""))*10/2,0),IF('Eval-Avec act. écol. envisagée'!$A$769=DY17,LEN(SUBSTITUTE((SUBSTITUTE(EX17,"TF","")),"TS",""))*10/2,0),IF('Eval-Avec act. écol. envisagée'!$A$770=DY17,LEN(SUBSTITUTE((SUBSTITUTE(EX18,"TF","")),"TS",""))*10/2,0),IF('Eval-Avec act. écol. envisagée'!$A$771=DY17,LEN(SUBSTITUTE((SUBSTITUTE(EX19,"TF","")),"TS",""))*10/2,0),IF('Eval-Avec act. écol. envisagée'!$A$772=DY17,LEN(SUBSTITUTE((SUBSTITUTE(EX20,"TF","")),"TS",""))*10/2,0),IF('Eval-Avec act. écol. envisagée'!$A$773=DY17,LEN(SUBSTITUTE((SUBSTITUTE(EX21,"TF","")),"TS",""))*10/2,0),IF('Eval-Avec act. écol. envisagée'!$A$774=DY17,LEN(SUBSTITUTE((SUBSTITUTE(EX22,"TF","")),"TS",""))*10/2,0),IF('Eval-Avec act. écol. envisagée'!$A$775=DY17,LEN(SUBSTITUTE((SUBSTITUTE(EX23,"TF","")),"TS",""))*10/2,0),IF('Eval-Avec act. écol. envisagée'!$A$776=DY17,LEN(SUBSTITUTE((SUBSTITUTE(EX24,"TF","")),"TS",""))*10/2,0),IF('Eval-Avec act. écol. envisagée'!$A$777=DY17,LEN(SUBSTITUTE((SUBSTITUTE(EX25,"TF","")),"TS",""))*10/2,0),IF('Eval-Avec act. écol. envisagée'!$A$778=DY17,LEN(SUBSTITUTE((SUBSTITUTE(EX26,"TF","")),"TS",""))*10/2,0),IF('Eval-Avec act. écol. envisagée'!$A$779=DY17,LEN(SUBSTITUTE((SUBSTITUTE(EX27,"TF","")),"TS",""))*10/2,0),IF('Eval-Avec act. écol. envisagée'!$A$780=DY17,LEN(SUBSTITUTE((SUBSTITUTE(EX28,"TF","")),"TS",""))*10/2,0))/COUNTIF('Eval-Avec act. écol. envisagée'!$A$761:$A$780,DY17),"")</f>
        <v/>
      </c>
      <c r="EK17" s="211" t="str">
        <f>IF(COUNTIF('Eval-Avec act. écol. envisagée'!$A$761:$A$780,DY17)&gt;0,SUM(IF('Eval-Avec act. écol. envisagée'!$A$761=DY17,LEN(SUBSTITUTE((SUBSTITUTE(EX9,"TF","")),"TM",""))*10/2,0),IF('Eval-Avec act. écol. envisagée'!$A$762=DY17,LEN(SUBSTITUTE((SUBSTITUTE(EX10,"TF","")),"TM",""))*10/2,0),IF('Eval-Avec act. écol. envisagée'!$A$763=DY17,LEN(SUBSTITUTE((SUBSTITUTE(EX11,"TF","")),"TM",""))*10/2,0),IF('Eval-Avec act. écol. envisagée'!$A$764=DY17,LEN(SUBSTITUTE((SUBSTITUTE(EX12,"TF","")),"TM",""))*10/2,0),IF('Eval-Avec act. écol. envisagée'!$A$765=DY17,LEN(SUBSTITUTE((SUBSTITUTE(EX13,"TF","")),"TM",""))*10/2,0),IF('Eval-Avec act. écol. envisagée'!$A$766=DY17,LEN(SUBSTITUTE((SUBSTITUTE(EX14,"TF","")),"TM",""))*10/2,0),IF('Eval-Avec act. écol. envisagée'!$A$767=DY17,LEN(SUBSTITUTE((SUBSTITUTE(EX15,"TF","")),"TM",""))*10/2,0),IF('Eval-Avec act. écol. envisagée'!$A$768=DY17,LEN(SUBSTITUTE((SUBSTITUTE(EX16,"TF","")),"TM",""))*10/2,0),IF('Eval-Avec act. écol. envisagée'!$A$769=DY17,LEN(SUBSTITUTE((SUBSTITUTE(EX17,"TF","")),"TM",""))*10/2,0),IF('Eval-Avec act. écol. envisagée'!$A$770=DY17,LEN(SUBSTITUTE((SUBSTITUTE(EX18,"TF","")),"TM",""))*10/2,0),IF('Eval-Avec act. écol. envisagée'!$A$771=DY17,LEN(SUBSTITUTE((SUBSTITUTE(EX19,"TF","")),"TM",""))*10/2,0),IF('Eval-Avec act. écol. envisagée'!$A$772=DY17,LEN(SUBSTITUTE((SUBSTITUTE(EX20,"TF","")),"TM",""))*10/2,0),IF('Eval-Avec act. écol. envisagée'!$A$773=DY17,LEN(SUBSTITUTE((SUBSTITUTE(EX21,"TF","")),"TM",""))*10/2,0),IF('Eval-Avec act. écol. envisagée'!$A$774=DY17,LEN(SUBSTITUTE((SUBSTITUTE(EX22,"TF","")),"TM",""))*10/2,0),IF('Eval-Avec act. écol. envisagée'!$A$775=DY17,LEN(SUBSTITUTE((SUBSTITUTE(EX23,"TF","")),"TM",""))*10/2,0),IF('Eval-Avec act. écol. envisagée'!$A$776=DY17,LEN(SUBSTITUTE((SUBSTITUTE(EX24,"TF","")),"TM",""))*10/2,0),IF('Eval-Avec act. écol. envisagée'!$A$777=DY17,LEN(SUBSTITUTE((SUBSTITUTE(EX25,"TF","")),"TM",""))*10/2,0),IF('Eval-Avec act. écol. envisagée'!$A$778=DY17,LEN(SUBSTITUTE((SUBSTITUTE(EX26,"TF","")),"TM",""))*10/2,0),IF('Eval-Avec act. écol. envisagée'!$A$779=DY17,LEN(SUBSTITUTE((SUBSTITUTE(EX27,"TF","")),"TM",""))*10/2,0),IF('Eval-Avec act. écol. envisagée'!$A$780=DY17,LEN(SUBSTITUTE((SUBSTITUTE(EX28,"TF","")),"TM",""))*10/2,0))/COUNTIF('Eval-Avec act. écol. envisagée'!$A$761:$A$780,DY17),"")</f>
        <v/>
      </c>
      <c r="EL17" s="211" t="str">
        <f>IF(COUNTIF('Eval-Avec act. écol. envisagée'!$A$761:$A$780,DY17)&gt;0,SUM(IF('Eval-Avec act. écol. envisagée'!$A$761=DY17,LEN(SUBSTITUTE((SUBSTITUTE(EY9,"TM","")),"TS",""))*10/2,0),IF('Eval-Avec act. écol. envisagée'!$A$762=DY17,LEN(SUBSTITUTE((SUBSTITUTE(EY10,"TM","")),"TS",""))*10/2,0),IF('Eval-Avec act. écol. envisagée'!$A$763=DY17,LEN(SUBSTITUTE((SUBSTITUTE(EY11,"TM","")),"TS",""))*10/2,0),IF('Eval-Avec act. écol. envisagée'!$A$764=DY17,LEN(SUBSTITUTE((SUBSTITUTE(EY12,"TM","")),"TS",""))*10/2,0),IF('Eval-Avec act. écol. envisagée'!$A$765=DY17,LEN(SUBSTITUTE((SUBSTITUTE(EY13,"TM","")),"TS",""))*10/2,0),IF('Eval-Avec act. écol. envisagée'!$A$766=DY17,LEN(SUBSTITUTE((SUBSTITUTE(EY14,"TM","")),"TS",""))*10/2,0),IF('Eval-Avec act. écol. envisagée'!$A$767=DY17,LEN(SUBSTITUTE((SUBSTITUTE(EY15,"TM","")),"TS",""))*10/2,0),IF('Eval-Avec act. écol. envisagée'!$A$768=DY17,LEN(SUBSTITUTE((SUBSTITUTE(EY16,"TM","")),"TS",""))*10/2,0),IF('Eval-Avec act. écol. envisagée'!$A$769=DY17,LEN(SUBSTITUTE((SUBSTITUTE(EY17,"TM","")),"TS",""))*10/2,0),IF('Eval-Avec act. écol. envisagée'!$A$770=DY17,LEN(SUBSTITUTE((SUBSTITUTE(EY18,"TM","")),"TS",""))*10/2,0),IF('Eval-Avec act. écol. envisagée'!$A$771=DY17,LEN(SUBSTITUTE((SUBSTITUTE(EY19,"TM","")),"TS",""))*10/2,0),IF('Eval-Avec act. écol. envisagée'!$A$772=DY17,LEN(SUBSTITUTE((SUBSTITUTE(EY20,"TM","")),"TS",""))*10/2,0),IF('Eval-Avec act. écol. envisagée'!$A$773=DY17,LEN(SUBSTITUTE((SUBSTITUTE(EY21,"TM","")),"TS",""))*10/2,0),IF('Eval-Avec act. écol. envisagée'!$A$774=DY17,LEN(SUBSTITUTE((SUBSTITUTE(EY22,"TM","")),"TS",""))*10/2,0),IF('Eval-Avec act. écol. envisagée'!$A$775=DY17,LEN(SUBSTITUTE((SUBSTITUTE(EY23,"TM","")),"TS",""))*10/2,0),IF('Eval-Avec act. écol. envisagée'!$A$776=DY17,LEN(SUBSTITUTE((SUBSTITUTE(EY24,"TM","")),"TS",""))*10/2,0),IF('Eval-Avec act. écol. envisagée'!$A$777=DY17,LEN(SUBSTITUTE((SUBSTITUTE(EY25,"TM","")),"TS",""))*10/2,0),IF('Eval-Avec act. écol. envisagée'!$A$778=DY17,LEN(SUBSTITUTE((SUBSTITUTE(EY26,"TM","")),"TS",""))*10/2,0),IF('Eval-Avec act. écol. envisagée'!$A$779=DY17,LEN(SUBSTITUTE((SUBSTITUTE(EY27,"TM","")),"TS",""))*10/2,0),IF('Eval-Avec act. écol. envisagée'!$A$780=DY17,LEN(SUBSTITUTE((SUBSTITUTE(EY28,"TM","")),"TS",""))*10/2,0))/COUNTIF('Eval-Avec act. écol. envisagée'!$A$761:$A$780,DY17),"")</f>
        <v/>
      </c>
      <c r="EM17" s="211" t="str">
        <f>IF(COUNTIF('Eval-Avec act. écol. envisagée'!$A$761:$A$780,DY17)&gt;0,SUM(IF('Eval-Avec act. écol. envisagée'!$A$761=DY17,LEN(SUBSTITUTE((SUBSTITUTE(EY9,"TF","")),"TS",""))*10/2,0),IF('Eval-Avec act. écol. envisagée'!$A$762=DY17,LEN(SUBSTITUTE((SUBSTITUTE(EY10,"TF","")),"TS",""))*10/2,0),IF('Eval-Avec act. écol. envisagée'!$A$763=DY17,LEN(SUBSTITUTE((SUBSTITUTE(EY11,"TF","")),"TS",""))*10/2,0),IF('Eval-Avec act. écol. envisagée'!$A$764=DY17,LEN(SUBSTITUTE((SUBSTITUTE(EY12,"TF","")),"TS",""))*10/2,0),IF('Eval-Avec act. écol. envisagée'!$A$765=DY17,LEN(SUBSTITUTE((SUBSTITUTE(EY13,"TF","")),"TS",""))*10/2,0),IF('Eval-Avec act. écol. envisagée'!$A$766=DY17,LEN(SUBSTITUTE((SUBSTITUTE(EY14,"TF","")),"TS",""))*10/2,0),IF('Eval-Avec act. écol. envisagée'!$A$767=DY17,LEN(SUBSTITUTE((SUBSTITUTE(EY15,"TF","")),"TS",""))*10/2,0),IF('Eval-Avec act. écol. envisagée'!$A$768=DY17,LEN(SUBSTITUTE((SUBSTITUTE(EY16,"TF","")),"TS",""))*10/2,0),IF('Eval-Avec act. écol. envisagée'!$A$769=DY17,LEN(SUBSTITUTE((SUBSTITUTE(EY17,"TF","")),"TS",""))*10/2,0),IF('Eval-Avec act. écol. envisagée'!$A$770=DY17,LEN(SUBSTITUTE((SUBSTITUTE(EY18,"TF","")),"TS",""))*10/2,0),IF('Eval-Avec act. écol. envisagée'!$A$771=DY17,LEN(SUBSTITUTE((SUBSTITUTE(EY19,"TF","")),"TS",""))*10/2,0),IF('Eval-Avec act. écol. envisagée'!$A$772=DY17,LEN(SUBSTITUTE((SUBSTITUTE(EY20,"TF","")),"TS",""))*10/2,0),IF('Eval-Avec act. écol. envisagée'!$A$773=DY17,LEN(SUBSTITUTE((SUBSTITUTE(EY21,"TF","")),"TS",""))*10/2,0),IF('Eval-Avec act. écol. envisagée'!$A$774=DY17,LEN(SUBSTITUTE((SUBSTITUTE(EY22,"TF","")),"TS",""))*10/2,0),IF('Eval-Avec act. écol. envisagée'!$A$775=DY17,LEN(SUBSTITUTE((SUBSTITUTE(EY23,"TF","")),"TS",""))*10/2,0),IF('Eval-Avec act. écol. envisagée'!$A$776=DY17,LEN(SUBSTITUTE((SUBSTITUTE(EY24,"TF","")),"TS",""))*10/2,0),IF('Eval-Avec act. écol. envisagée'!$A$777=DY17,LEN(SUBSTITUTE((SUBSTITUTE(EY25,"TF","")),"TS",""))*10/2,0),IF('Eval-Avec act. écol. envisagée'!$A$778=DY17,LEN(SUBSTITUTE((SUBSTITUTE(EY26,"TF","")),"TS",""))*10/2,0),IF('Eval-Avec act. écol. envisagée'!$A$779=DY17,LEN(SUBSTITUTE((SUBSTITUTE(EY27,"TF","")),"TS",""))*10/2,0),IF('Eval-Avec act. écol. envisagée'!$A$780=DY17,LEN(SUBSTITUTE((SUBSTITUTE(EY28,"TF","")),"TS",""))*10/2,0))/COUNTIF('Eval-Avec act. écol. envisagée'!$A$761:$A$780,DY17),"")</f>
        <v/>
      </c>
      <c r="EN17" s="211" t="str">
        <f>IF(COUNTIF('Eval-Avec act. écol. envisagée'!$A$761:$A$780,DY17)&gt;0,SUM(IF('Eval-Avec act. écol. envisagée'!$A$761=DY17,LEN(SUBSTITUTE((SUBSTITUTE(EY9,"TF","")),"TM",""))*10/2,0),IF('Eval-Avec act. écol. envisagée'!$A$762=DY17,LEN(SUBSTITUTE((SUBSTITUTE(EY10,"TF","")),"TM",""))*10/2,0),IF('Eval-Avec act. écol. envisagée'!$A$763=DY17,LEN(SUBSTITUTE((SUBSTITUTE(EY11,"TF","")),"TM",""))*10/2,0),IF('Eval-Avec act. écol. envisagée'!$A$764=DY17,LEN(SUBSTITUTE((SUBSTITUTE(EY12,"TF","")),"TM",""))*10/2,0),IF('Eval-Avec act. écol. envisagée'!$A$765=DY17,LEN(SUBSTITUTE((SUBSTITUTE(EY13,"TF","")),"TM",""))*10/2,0),IF('Eval-Avec act. écol. envisagée'!$A$766=DY17,LEN(SUBSTITUTE((SUBSTITUTE(EY14,"TF","")),"TM",""))*10/2,0),IF('Eval-Avec act. écol. envisagée'!$A$767=DY17,LEN(SUBSTITUTE((SUBSTITUTE(EY15,"TF","")),"TM",""))*10/2,0),IF('Eval-Avec act. écol. envisagée'!$A$768=DY17,LEN(SUBSTITUTE((SUBSTITUTE(EY16,"TF","")),"TM",""))*10/2,0),IF('Eval-Avec act. écol. envisagée'!$A$769=DY17,LEN(SUBSTITUTE((SUBSTITUTE(EY17,"TF","")),"TM",""))*10/2,0),IF('Eval-Avec act. écol. envisagée'!$A$770=DY17,LEN(SUBSTITUTE((SUBSTITUTE(EY18,"TF","")),"TM",""))*10/2,0),IF('Eval-Avec act. écol. envisagée'!$A$771=DY17,LEN(SUBSTITUTE((SUBSTITUTE(EY19,"TF","")),"TM",""))*10/2,0),IF('Eval-Avec act. écol. envisagée'!$A$772=DY17,LEN(SUBSTITUTE((SUBSTITUTE(EY20,"TF","")),"TM",""))*10/2,0),IF('Eval-Avec act. écol. envisagée'!$A$773=DY17,LEN(SUBSTITUTE((SUBSTITUTE(EY21,"TF","")),"TM",""))*10/2,0),IF('Eval-Avec act. écol. envisagée'!$A$774=DY17,LEN(SUBSTITUTE((SUBSTITUTE(EY22,"TF","")),"TM",""))*10/2,0),IF('Eval-Avec act. écol. envisagée'!$A$775=DY17,LEN(SUBSTITUTE((SUBSTITUTE(EY23,"TF","")),"TM",""))*10/2,0),IF('Eval-Avec act. écol. envisagée'!$A$776=DY17,LEN(SUBSTITUTE((SUBSTITUTE(EY24,"TF","")),"TM",""))*10/2,0),IF('Eval-Avec act. écol. envisagée'!$A$777=DY17,LEN(SUBSTITUTE((SUBSTITUTE(EY25,"TF","")),"TM",""))*10/2,0),IF('Eval-Avec act. écol. envisagée'!$A$778=DY17,LEN(SUBSTITUTE((SUBSTITUTE(EY26,"TF","")),"TM",""))*10/2,0),IF('Eval-Avec act. écol. envisagée'!$A$779=DY17,LEN(SUBSTITUTE((SUBSTITUTE(EY27,"TF","")),"TM",""))*10/2,0),IF('Eval-Avec act. écol. envisagée'!$A$780=DY17,LEN(SUBSTITUTE((SUBSTITUTE(EY28,"TF","")),"TM",""))*10/2,0))/COUNTIF('Eval-Avec act. écol. envisagée'!$A$761:$A$780,DY17),"")</f>
        <v/>
      </c>
      <c r="EO17" s="211" t="str">
        <f>IF(COUNTIF('Eval-Avec act. écol. envisagée'!$A$761:$A$780,DY17)&gt;0,IF(OR(AND('Eval-Avec act. écol. envisagée'!$A$761=DY17,EV9&lt;30),AND('Eval-Avec act. écol. envisagée'!$A$762=DY17,EV10&lt;30),AND('Eval-Avec act. écol. envisagée'!$A$763=DY17,EV11&lt;30),AND('Eval-Avec act. écol. envisagée'!$A$764=DY17,EV12&lt;30),AND('Eval-Avec act. écol. envisagée'!$A$765=DY17,EV13&lt;30),AND('Eval-Avec act. écol. envisagée'!$A$766=DY17,EV14&lt;30),AND('Eval-Avec act. écol. envisagée'!$A$767=DY17,EV15&lt;30),AND('Eval-Avec act. écol. envisagée'!$A$768=DY17,EV16&lt;30),AND('Eval-Avec act. écol. envisagée'!$A$769=DY17,EV17&lt;30),AND('Eval-Avec act. écol. envisagée'!$A$770=DY17,EV18&lt;30),AND('Eval-Avec act. écol. envisagée'!$A$771=DY17,EV19&lt;30),AND('Eval-Avec act. écol. envisagée'!$A$772=DY17,EV20&lt;30),AND('Eval-Avec act. écol. envisagée'!$A$773=DY17,EV21&lt;30),AND('Eval-Avec act. écol. envisagée'!$A$774=DY17,EV22&lt;30),AND('Eval-Avec act. écol. envisagée'!$A$775=DY17,EV23&lt;30),AND('Eval-Avec act. écol. envisagée'!$A$776=DY17,EV24&lt;30),AND('Eval-Avec act. écol. envisagée'!$A$777=DY17,EV25&lt;30),AND('Eval-Avec act. écol. envisagée'!$A$778=DY17,EV26&lt;30),AND('Eval-Avec act. écol. envisagée'!$A$779=DY17,EV27&lt;30),AND('Eval-Avec act. écol. envisagée'!$A$780=DY17,EV28&lt;30)),"",SUM(0.1*(SUMPRODUCT(('Eval-Avec act. écol. envisagée'!$A$761:$A$780=DY17)*('Eval-Avec act. écol. envisagée'!$N$761:$P$780="A"))+ SUMPRODUCT(('Eval-Avec act. écol. envisagée'!$A$761:$A$780=DY17)*('Eval-Avec act. écol. envisagée'!$N$761:$P$780="AL"))),0.7*(SUMPRODUCT(('Eval-Avec act. écol. envisagée'!$A$761:$A$780=DY17)*('Eval-Avec act. écol. envisagée'!$N$761:$P$780="TF"))+SUMPRODUCT(('Eval-Avec act. écol. envisagée'!$A$761:$A$780=DY17)*('Eval-Avec act. écol. envisagée'!$N$761:$P$780="TM"))+SUMPRODUCT(('Eval-Avec act. écol. envisagée'!$A$761:$A$780=DY17)*('Eval-Avec act. écol. envisagée'!$N$761:$P$780="TS"))),0.4*(SUMPRODUCT(('Eval-Avec act. écol. envisagée'!$A$761:$A$780=DY17)*('Eval-Avec act. écol. envisagée'!$N$761:$P$780="LA"))+SUMPRODUCT(('Eval-Avec act. écol. envisagée'!$A$761:$A$780=DY17)*('Eval-Avec act. écol. envisagée'!$N$761:$P$780="L"))+SUMPRODUCT(('Eval-Avec act. écol. envisagée'!$A$761:$A$780=DY17)*('Eval-Avec act. écol. envisagée'!$N$761:$P$780="LS"))),1*(SUMPRODUCT(('Eval-Avec act. écol. envisagée'!$A$761:$A$780=DY17)*('Eval-Avec act. écol. envisagée'!$N$761:$P$780="SL"))+ SUMPRODUCT(('Eval-Avec act. écol. envisagée'!$A$761:$A$780=DY17)*('Eval-Avec act. écol. envisagée'!$N$761:$P$780="S"))))/(3*COUNTIF('Eval-Avec act. écol. envisagée'!$A$761:$A$780,DY17))),"")</f>
        <v/>
      </c>
      <c r="EP17" s="211" t="str">
        <f>IF(COUNTIF('Eval-Avec act. écol. envisagée'!$A$761:$A$780,DY17)&gt;0,IF(OR(AND('Eval-Avec act. écol. envisagée'!$A$761=DY17,EV9&lt;120),AND('Eval-Avec act. écol. envisagée'!$A$762=DY17,EV10&lt;120),AND('Eval-Avec act. écol. envisagée'!$A$763=DY17,EV11&lt;120),AND('Eval-Avec act. écol. envisagée'!$A$764=DY17,EV12&lt;120),AND('Eval-Avec act. écol. envisagée'!$A$765=DY17,EV13&lt;120),AND('Eval-Avec act. écol. envisagée'!$A$766=DY17,EV14&lt;120),AND('Eval-Avec act. écol. envisagée'!$A$767=DY17,EV15&lt;120),AND('Eval-Avec act. écol. envisagée'!$A$768=DY17,EV16&lt;120),AND('Eval-Avec act. écol. envisagée'!$A$769=DY17,EV17&lt;120),AND('Eval-Avec act. écol. envisagée'!$A$770=DY17,EV18&lt;120),AND('Eval-Avec act. écol. envisagée'!$A$771=DY17,EV19&lt;120),AND('Eval-Avec act. écol. envisagée'!$A$772=DY17,EV20&lt;120),AND('Eval-Avec act. écol. envisagée'!$A$773=DY17,EV21&lt;120),AND('Eval-Avec act. écol. envisagée'!$A$774=DY17,EV22&lt;120),AND('Eval-Avec act. écol. envisagée'!$A$775=DY17,EV23&lt;120),AND('Eval-Avec act. écol. envisagée'!$A$776=DY17,EV24&lt;120),AND('Eval-Avec act. écol. envisagée'!$A$777=DY17,EV25&lt;120),AND('Eval-Avec act. écol. envisagée'!$A$778=DY17,EV26&lt;120),AND('Eval-Avec act. écol. envisagée'!$A$779=DY17,EV27&lt;120),AND('Eval-Avec act. écol. envisagée'!$A$780=DY17,EV28&lt;120)),"",SUM(0.1*(SUMPRODUCT(('Eval-Avec act. écol. envisagée'!$A$761:$A$780=DY17)*('Eval-Avec act. écol. envisagée'!$Q$761:$Y$780="A"))+ SUMPRODUCT(('Eval-Avec act. écol. envisagée'!$A$761:$A$780=DY17)*('Eval-Avec act. écol. envisagée'!$Q$761:$Y$780="AL"))),0.7*(SUMPRODUCT(('Eval-Avec act. écol. envisagée'!$A$761:$A$780=DY17)*('Eval-Avec act. écol. envisagée'!$Q$761:$Y$780="TF"))+SUMPRODUCT(('Eval-Avec act. écol. envisagée'!$A$761:$A$780=DY17)*('Eval-Avec act. écol. envisagée'!$Q$761:$Y$780="TM"))+SUMPRODUCT(('Eval-Avec act. écol. envisagée'!$A$761:$A$780=DY17)*('Eval-Avec act. écol. envisagée'!$Q$761:$Y$780="TS"))),0.4*(SUMPRODUCT(('Eval-Avec act. écol. envisagée'!$A$761:$A$780=DY17)*('Eval-Avec act. écol. envisagée'!$Q$761:$Y$780="LA"))+SUMPRODUCT(('Eval-Avec act. écol. envisagée'!$A$761:$A$780=DY17)*('Eval-Avec act. écol. envisagée'!$Q$761:$Y$780="L"))+SUMPRODUCT(('Eval-Avec act. écol. envisagée'!$A$761:$A$780=DY17)*('Eval-Avec act. écol. envisagée'!$Q$761:$Y$780="LS"))),1*(SUMPRODUCT(('Eval-Avec act. écol. envisagée'!$A$761:$A$780=DY17)*('Eval-Avec act. écol. envisagée'!$Q$761:$Y$780="SL"))+ SUMPRODUCT(('Eval-Avec act. écol. envisagée'!$A$761:$A$780=DY17)*('Eval-Avec act. écol. envisagée'!$Q$761:$Y$780="S"))))/(9*COUNTIF('Eval-Avec act. écol. envisagée'!$A$761:$A$780,DY17))),"")</f>
        <v/>
      </c>
      <c r="EQ17" s="211" t="str">
        <f>IF(COUNTIF('Eval-Avec act. écol. envisagée'!$A$761:$A$780,DY17)&gt;0,IF(OR(AND('Eval-Avec act. écol. envisagée'!$A$761=DY17,OR(COUNTIF('Eval-Avec act. écol. envisagée'!$N$761:$P$761,"*T*")&gt;0,EV9&lt;30)),AND('Eval-Avec act. écol. envisagée'!$A$762=DY17,OR(COUNTIF('Eval-Avec act. écol. envisagée'!$N$762:$P$762,"*T*")&gt;0,EV10&lt;30)),AND('Eval-Avec act. écol. envisagée'!$A$763=DY17,OR(COUNTIF('Eval-Avec act. écol. envisagée'!$N$763:$P$763,"*T*")&gt;0,EV11&lt;30)),AND('Eval-Avec act. écol. envisagée'!$A$764=DY17,OR(COUNTIF('Eval-Avec act. écol. envisagée'!$N$764:$P$764,"*T*")&gt;0,EV12&lt;30)),AND('Eval-Avec act. écol. envisagée'!$A$765=DY17,OR(COUNTIF('Eval-Avec act. écol. envisagée'!$N$765:$P$765,"*T*")&gt;0,EV13&lt;30)),AND('Eval-Avec act. écol. envisagée'!$A$766=DY17,OR(COUNTIF('Eval-Avec act. écol. envisagée'!$N$766:$P$766,"*T*")&gt;0,EV14&lt;30)),AND('Eval-Avec act. écol. envisagée'!$A$767=DY17,OR(COUNTIF('Eval-Avec act. écol. envisagée'!$N$767:$P$767,"*T*")&gt;0,EV15&lt;30)),AND('Eval-Avec act. écol. envisagée'!$A$768=DY17,OR(COUNTIF('Eval-Avec act. écol. envisagée'!$N$768:$P$768,"*T*")&gt;0,EV16&lt;30)),AND('Eval-Avec act. écol. envisagée'!$A$769=DY17,OR(COUNTIF('Eval-Avec act. écol. envisagée'!$N$769:$P$769,"*T*")&gt;0,EV17&lt;30)),AND('Eval-Avec act. écol. envisagée'!$A$770=DY17,OR(COUNTIF('Eval-Avec act. écol. envisagée'!$N$770:$P$770,"*T*")&gt;0,EV18&lt;30)),AND('Eval-Avec act. écol. envisagée'!$A$771=DY17,OR(COUNTIF('Eval-Avec act. écol. envisagée'!$N$771:$P$771,"*T*")&gt;0,EV19&lt;30)),AND('Eval-Avec act. écol. envisagée'!$A$772=DY17,OR(COUNTIF('Eval-Avec act. écol. envisagée'!$N$772:$P$772,"*T*")&gt;0,EV20&lt;30)),AND('Eval-Avec act. écol. envisagée'!$A$773=DY17,OR(COUNTIF('Eval-Avec act. écol. envisagée'!$N$773:$P$773,"*T*")&gt;0,EV21&lt;30)),AND('Eval-Avec act. écol. envisagée'!$A$774=DY17,OR(COUNTIF('Eval-Avec act. écol. envisagée'!$N$774:$P$774,"*T*")&gt;0,EV22&lt;30)),AND('Eval-Avec act. écol. envisagée'!$A$775=DY17,OR(COUNTIF('Eval-Avec act. écol. envisagée'!$N$775:$P$775,"*T*")&gt;0,EV23&lt;30)),AND('Eval-Avec act. écol. envisagée'!$A$776=DY17,OR(COUNTIF('Eval-Avec act. écol. envisagée'!$N$776:$P$776,"*T*")&gt;0,EV24&lt;30)),AND('Eval-Avec act. écol. envisagée'!$A$777=DY17,OR(COUNTIF('Eval-Avec act. écol. envisagée'!$N$777:$P$777,"*T*")&gt;0,EV25&lt;30)),AND('Eval-Avec act. écol. envisagée'!$A$778=DY17,OR(COUNTIF('Eval-Avec act. écol. envisagée'!$N$778:$P$778,"*T*")&gt;0,EV26&lt;30)),AND('Eval-Avec act. écol. envisagée'!$A$779=DY17,OR(COUNTIF('Eval-Avec act. écol. envisagée'!$N$779:$P$779,"*T*")&gt;0,EV27&lt;30)),AND('Eval-Avec act. écol. envisagée'!$A$780=DY17,OR(COUNTIF('Eval-Avec act. écol. envisagée'!$N$780:$P$780,"*T*")&gt;0,EV28&lt;30))),"",SUM(0.1*(SUMPRODUCT(('Eval-Avec act. écol. envisagée'!$A$761:$A$780=DY17)*('Eval-Avec act. écol. envisagée'!$N$761:$P$780="L"))),0.4*(SUMPRODUCT(('Eval-Avec act. écol. envisagée'!$A$761:$A$780=DY17)*('Eval-Avec act. écol. envisagée'!$N$761:$P$780="LA"))+SUMPRODUCT(('Eval-Avec act. écol. envisagée'!$A$761:$A$780=DY17)*('Eval-Avec act. écol. envisagée'!$N$761:$P$780="LS"))),0.7*(SUMPRODUCT(('Eval-Avec act. écol. envisagée'!$A$761:$A$780=DY17)*('Eval-Avec act. écol. envisagée'!$N$761:$P$780="AL"))+SUMPRODUCT(('Eval-Avec act. écol. envisagée'!$A$761:$A$780=DY17)*('Eval-Avec act. écol. envisagée'!$N$761:$P$780="SL"))),1*(SUMPRODUCT(('Eval-Avec act. écol. envisagée'!$A$761:$A$780=DY17)*('Eval-Avec act. écol. envisagée'!$N$761:$P$780="S"))+ SUMPRODUCT(('Eval-Avec act. écol. envisagée'!$A$761:$A$780=DY17)*('Eval-Avec act. écol. envisagée'!$N$761:$P$780="A"))))/(3*COUNTIF('Eval-Avec act. écol. envisagée'!$A$761:$A$780,DY17))),"")</f>
        <v/>
      </c>
      <c r="ER17" s="211" t="str">
        <f>IF(COUNTIF('Eval-Avec act. écol. envisagée'!$A$761:$A$780,DY17)&gt;0,IF(OR(AND('Eval-Avec act. écol. envisagée'!$A$761=DY17,OR(COUNTIF('Eval-Avec act. écol. envisagée'!$N$761:$P$761,"*T*")&gt;0,EV9&lt;30)),AND('Eval-Avec act. écol. envisagée'!$A$762=DY17,OR(COUNTIF('Eval-Avec act. écol. envisagée'!$N$762:$P$762,"*T*")&gt;0,EV10&lt;30)),AND('Eval-Avec act. écol. envisagée'!$A$763=DY17,OR(COUNTIF('Eval-Avec act. écol. envisagée'!$N$763:$P$763,"*T*")&gt;0,EV11&lt;30)),AND('Eval-Avec act. écol. envisagée'!$A$764=DY17,OR(COUNTIF('Eval-Avec act. écol. envisagée'!$N$764:$P$764,"*T*")&gt;0,EV12&lt;30)),AND('Eval-Avec act. écol. envisagée'!$A$765=DY17,OR(COUNTIF('Eval-Avec act. écol. envisagée'!$N$765:$P$765,"*T*")&gt;0,EV13&lt;30)),AND('Eval-Avec act. écol. envisagée'!$A$766=DY17,OR(COUNTIF('Eval-Avec act. écol. envisagée'!$N$766:$P$766,"*T*")&gt;0,EV14&lt;30)),AND('Eval-Avec act. écol. envisagée'!$A$767=DY17,OR(COUNTIF('Eval-Avec act. écol. envisagée'!$N$767:$P$767,"*T*")&gt;0,EV15&lt;30)),AND('Eval-Avec act. écol. envisagée'!$A$768=DY17,OR(COUNTIF('Eval-Avec act. écol. envisagée'!$N$768:$P$768,"*T*")&gt;0,EV16&lt;30)),AND('Eval-Avec act. écol. envisagée'!$A$769=DY17,OR(COUNTIF('Eval-Avec act. écol. envisagée'!$N$769:$P$769,"*T*")&gt;0,EV17&lt;30)),AND('Eval-Avec act. écol. envisagée'!$A$770=DY17,OR(COUNTIF('Eval-Avec act. écol. envisagée'!$N$770:$P$770,"*T*")&gt;0,EV18&lt;30)),AND('Eval-Avec act. écol. envisagée'!$A$771=DY17,OR(COUNTIF('Eval-Avec act. écol. envisagée'!$N$771:$P$771,"*T*")&gt;0,EV19&lt;30)),AND('Eval-Avec act. écol. envisagée'!$A$772=DY17,OR(COUNTIF('Eval-Avec act. écol. envisagée'!$N$772:$P$772,"*T*")&gt;0,EV20&lt;30)),AND('Eval-Avec act. écol. envisagée'!$A$773=DY17,OR(COUNTIF('Eval-Avec act. écol. envisagée'!$N$773:$P$773,"*T*")&gt;0,EV21&lt;30)),AND('Eval-Avec act. écol. envisagée'!$A$774=DY17,OR(COUNTIF('Eval-Avec act. écol. envisagée'!$N$774:$P$774,"*T*")&gt;0,EV22&lt;30)),AND('Eval-Avec act. écol. envisagée'!$A$775=DY17,OR(COUNTIF('Eval-Avec act. écol. envisagée'!$N$775:$P$775,"*T*")&gt;0,EV23&lt;30)),AND('Eval-Avec act. écol. envisagée'!$A$776=DY17,OR(COUNTIF('Eval-Avec act. écol. envisagée'!$N$776:$P$776,"*T*")&gt;0,EV24&lt;30)),AND('Eval-Avec act. écol. envisagée'!$A$777=DY17,OR(COUNTIF('Eval-Avec act. écol. envisagée'!$N$777:$P$777,"*T*")&gt;0,EV25&lt;30)),AND('Eval-Avec act. écol. envisagée'!$A$778=DY17,OR(COUNTIF('Eval-Avec act. écol. envisagée'!$N$778:$P$778,"*T*")&gt;0,EV26&lt;30)),AND('Eval-Avec act. écol. envisagée'!$A$779=DY17,OR(COUNTIF('Eval-Avec act. écol. envisagée'!$N$779:$P$779,"*T*")&gt;0,EV27&lt;30)),AND('Eval-Avec act. écol. envisagée'!$A$780=DY17,OR(COUNTIF('Eval-Avec act. écol. envisagée'!$N$780:$P$780,"*T*")&gt;0,EV28&lt;30))),"",SUM(1*(SUMPRODUCT(('Eval-Avec act. écol. envisagée'!$A$761:$A$780=DY17)*('Eval-Avec act. écol. envisagée'!$N$761:$P$780="A"))),0.85*(SUMPRODUCT(('Eval-Avec act. écol. envisagée'!$A$761:$A$780=DY17)*('Eval-Avec act. écol. envisagée'!$N$761:$P$780="AL"))),0.7*(SUMPRODUCT(('Eval-Avec act. écol. envisagée'!$A$761:$A$780=DY17)*('Eval-Avec act. écol. envisagée'!$N$761:$P$780="LA"))),0.55*(SUMPRODUCT(('Eval-Avec act. écol. envisagée'!$A$761:$A$780=DY17)*('Eval-Avec act. écol. envisagée'!$N$761:$P$780="L"))),0.4*(SUMPRODUCT(('Eval-Avec act. écol. envisagée'!$A$761:$A$780=DY17)*('Eval-Avec act. écol. envisagée'!$N$761:$P$780="LS"))),0.25*(SUMPRODUCT(('Eval-Avec act. écol. envisagée'!$A$761:$A$780=DY17)*('Eval-Avec act. écol. envisagée'!$N$761:$P$780="SL"))),0.1*(SUMPRODUCT(('Eval-Avec act. écol. envisagée'!$A$761:$A$780=DY17)*('Eval-Avec act. écol. envisagée'!$N$761:$P$780="S"))))/(3*COUNTIF('Eval-Avec act. écol. envisagée'!$A$761:$A$780,DY17))),"")</f>
        <v/>
      </c>
      <c r="ES17" s="214" t="str">
        <f>IF(COUNTIF('Eval-Avec act. écol. envisagée'!$A$761:$A$780,DY17)&gt;0,IF(OR(AND('Eval-Avec act. écol. envisagée'!$A$761=DY17,OR(COUNTIF('Eval-Avec act. écol. envisagée'!$Q$761:$Y$761,"*T*")&gt;0,EV9&lt;120)),AND('Eval-Avec act. écol. envisagée'!$A$762=DY17,OR(COUNTIF('Eval-Avec act. écol. envisagée'!$Q$762:$Y$762,"*T*")&gt;0,EV10&lt;120)),AND('Eval-Avec act. écol. envisagée'!$A$763=DY17,OR(COUNTIF('Eval-Avec act. écol. envisagée'!$Q$763:$Y$763,"*T*")&gt;0,EV11&lt;120)),AND('Eval-Avec act. écol. envisagée'!$A$764=DY17,OR(COUNTIF('Eval-Avec act. écol. envisagée'!$Q$764:$Y$764,"*T*")&gt;0,EV12&lt;120)),AND('Eval-Avec act. écol. envisagée'!$A$765=DY17,OR(COUNTIF('Eval-Avec act. écol. envisagée'!$Q$765:$Y$765,"*T*")&gt;0,EV13&lt;120)),AND('Eval-Avec act. écol. envisagée'!$A$766=DY17,OR(COUNTIF('Eval-Avec act. écol. envisagée'!$Q$766:$Y$766,"*T*")&gt;0,EV14&lt;120)),AND('Eval-Avec act. écol. envisagée'!$A$767=DY17,OR(COUNTIF('Eval-Avec act. écol. envisagée'!$Q$767:$Y$767,"*T*")&gt;0,EV15&lt;120)),AND('Eval-Avec act. écol. envisagée'!$A$768=DY17,OR(COUNTIF('Eval-Avec act. écol. envisagée'!$Q$768:$Y$768,"*T*")&gt;0,EV16&lt;120)),AND('Eval-Avec act. écol. envisagée'!$A$769=DY17,OR(COUNTIF('Eval-Avec act. écol. envisagée'!$Q$769:$Y$769,"*T*")&gt;0,EV17&lt;120)),AND('Eval-Avec act. écol. envisagée'!$A$770=DY17,OR(COUNTIF('Eval-Avec act. écol. envisagée'!$Q$770:$Y$770,"*T*")&gt;0,EV18&lt;120)),AND('Eval-Avec act. écol. envisagée'!$A$771=DY17,OR(COUNTIF('Eval-Avec act. écol. envisagée'!$Q$771:$Y$771,"*T*")&gt;0,EV19&lt;120)),AND('Eval-Avec act. écol. envisagée'!$A$772=DY17,OR(COUNTIF('Eval-Avec act. écol. envisagée'!$Q$772:$Y$772,"*T*")&gt;0,EV20&lt;120)),AND('Eval-Avec act. écol. envisagée'!$A$773=DY17,OR(COUNTIF('Eval-Avec act. écol. envisagée'!$Q$773:$Y$773,"*T*")&gt;0,EV21&lt;120)),AND('Eval-Avec act. écol. envisagée'!$A$774=DY17,OR(COUNTIF('Eval-Avec act. écol. envisagée'!$Q$774:$Y$774,"*T*")&gt;0,EV22&lt;120)),AND('Eval-Avec act. écol. envisagée'!$A$775=DY17,OR(COUNTIF('Eval-Avec act. écol. envisagée'!$Q$775:$Y$775,"*T*")&gt;0,EV23&lt;120)),AND('Eval-Avec act. écol. envisagée'!$A$776=DY17,OR(COUNTIF('Eval-Avec act. écol. envisagée'!$Q$776:$Y$776,"*T*")&gt;0,EV24&lt;120)),AND('Eval-Avec act. écol. envisagée'!$A$777=DY17,OR(COUNTIF('Eval-Avec act. écol. envisagée'!$Q$777:$Y$777,"*T*")&gt;0,EV25&lt;120)),AND('Eval-Avec act. écol. envisagée'!$A$778=DY17,OR(COUNTIF('Eval-Avec act. écol. envisagée'!$Q$778:$Y$778,"*T*")&gt;0,EV26&lt;120)),AND('Eval-Avec act. écol. envisagée'!$A$779=DY17,OR(COUNTIF('Eval-Avec act. écol. envisagée'!$Q$779:$Y$779,"*T*")&gt;0,EV27&lt;120)),AND('Eval-Avec act. écol. envisagée'!$A$780=DY17,OR(COUNTIF('Eval-Avec act. écol. envisagée'!$Q$780:$Y$780,"*T*")&gt;0,EV28&lt;120))),"",SUM(1*(SUMPRODUCT(('Eval-Avec act. écol. envisagée'!$A$761:$A$780=DY17)*('Eval-Avec act. écol. envisagée'!$Q$761:$Y$780="A"))),0.85*(SUMPRODUCT(('Eval-Avec act. écol. envisagée'!$A$761:$A$780=DY17)*('Eval-Avec act. écol. envisagée'!$Q$761:$Y$780="AL"))),0.7*(SUMPRODUCT(('Eval-Avec act. écol. envisagée'!$A$761:$A$780=DY17)*('Eval-Avec act. écol. envisagée'!$Q$761:$Y$780="LA"))),0.55*(SUMPRODUCT(('Eval-Avec act. écol. envisagée'!$A$761:$A$780=DY17)*('Eval-Avec act. écol. envisagée'!$Q$761:$Y$780="L"))),0.4*(SUMPRODUCT(('Eval-Avec act. écol. envisagée'!$A$761:$A$780=DY17)*('Eval-Avec act. écol. envisagée'!$Q$761:$Y$780="LS"))),0.25*(SUMPRODUCT(('Eval-Avec act. écol. envisagée'!$A$761:$A$780=DY17)*('Eval-Avec act. écol. envisagée'!$Q$761:$Y$780="SL"))),0.1*(SUMPRODUCT(('Eval-Avec act. écol. envisagée'!$A$761:$A$780=DY17)*('Eval-Avec act. écol. envisagée'!$Q$761:$Y$780="S"))))/(9*COUNTIF('Eval-Avec act. écol. envisagée'!$A$761:$A$780,DY17))),"")</f>
        <v/>
      </c>
      <c r="ET17" s="215"/>
      <c r="EU17" s="216">
        <f>'Eval-Avec act. écol. envisagée'!$D$769</f>
        <v>9</v>
      </c>
      <c r="EV17" s="217" t="str">
        <f>IF(EW17="C",0,IF(IF(COUNTIF('Eval-Avec act. écol. envisagée'!$N$769:$Y$769,"=C")&gt;0,(COUNTA('Eval-Avec act. écol. envisagée'!$N$769:$Y$769)-1)*10,COUNTA('Eval-Avec act. écol. envisagée'!$N$769:$Y$769)*10)=0,"",IF(COUNTIF('Eval-Avec act. écol. envisagée'!$N$769:$Y$769,"=C")&gt;0,(COUNTA('Eval-Avec act. écol. envisagée'!$N$769:$Y$769)-1)*10,COUNTA('Eval-Avec act. écol. envisagée'!$N$769:$Y$769)*10)))</f>
        <v/>
      </c>
      <c r="EW17" s="217" t="str">
        <f>CONCATENATE('Eval-Avec act. écol. envisagée'!$N$769,'Eval-Avec act. écol. envisagée'!$O$769,'Eval-Avec act. écol. envisagée'!$P$769,'Eval-Avec act. écol. envisagée'!$Q$769,'Eval-Avec act. écol. envisagée'!$R$769,'Eval-Avec act. écol. envisagée'!$S$769,'Eval-Avec act. écol. envisagée'!$T$769,'Eval-Avec act. écol. envisagée'!$U$769,'Eval-Avec act. écol. envisagée'!$V$769,'Eval-Avec act. écol. envisagée'!$W$769,'Eval-Avec act. écol. envisagée'!$X$769,'Eval-Avec act. écol. envisagée'!$Y$769)</f>
        <v/>
      </c>
      <c r="EX17" s="217" t="str">
        <f t="shared" si="16"/>
        <v/>
      </c>
      <c r="EY17" s="217" t="str">
        <f t="shared" si="17"/>
        <v/>
      </c>
      <c r="EZ17" s="217" t="str">
        <f>IF(COUNTIF('Eval-Avec act. écol. envisagée'!$N$769:$Y$769,"=C")&gt;0,"X","")</f>
        <v/>
      </c>
      <c r="FA17" s="217" t="str">
        <f t="shared" si="18"/>
        <v/>
      </c>
      <c r="FB17" s="218" t="str">
        <f t="shared" si="19"/>
        <v/>
      </c>
      <c r="FC17" s="197"/>
      <c r="FE17" s="210">
        <v>9</v>
      </c>
      <c r="FF17" s="211" t="str">
        <f>IF(COUNTIF('Eval-Après action écologique'!$A$761:$A$780,FE17)&gt;0,SUM(IF('Eval-Après action écologique'!$A$761=FE17,'Eval-Après action écologique'!$B$761,0),IF('Eval-Après action écologique'!$A$762=FE17, 'Eval-Après action écologique'!$B$762,0),IF('Eval-Après action écologique'!$A$763=FE17, 'Eval-Après action écologique'!$B$763,0),IF('Eval-Après action écologique'!$A$764=FE17, 'Eval-Après action écologique'!$B$764,0),IF('Eval-Après action écologique'!$A$765=FE17, 'Eval-Après action écologique'!$B$765,0),IF('Eval-Après action écologique'!$A$766=FE17, 'Eval-Après action écologique'!$B$766,0),IF('Eval-Après action écologique'!$A$767=FE17, 'Eval-Après action écologique'!$B$767,0),IF('Eval-Après action écologique'!$A$768=FE17, 'Eval-Après action écologique'!$B$768,0),IF('Eval-Après action écologique'!$A$769=FE17, 'Eval-Après action écologique'!$B$769,0),IF('Eval-Après action écologique'!$A$770=FE17, 'Eval-Après action écologique'!$B$770,0),IF('Eval-Après action écologique'!$A$771=FE17, 'Eval-Après action écologique'!$B$771,0),IF('Eval-Après action écologique'!$A$772=FE17, 'Eval-Après action écologique'!$B$772,0),IF('Eval-Après action écologique'!$A$773=FE17, 'Eval-Après action écologique'!$B$773,0),IF('Eval-Après action écologique'!$A$774=FE17, 'Eval-Après action écologique'!$B$774,0),IF('Eval-Après action écologique'!$A$775=FE17, 'Eval-Après action écologique'!$B$775,0),IF('Eval-Après action écologique'!$A$776=FE17, 'Eval-Après action écologique'!$B$776,0),IF('Eval-Après action écologique'!$A$777=FE17, 'Eval-Après action écologique'!$B$777,0),IF('Eval-Après action écologique'!$A$778=FE17, 'Eval-Après action écologique'!$B$778,0),IF('Eval-Après action écologique'!$A$779=FE17, 'Eval-Après action écologique'!$B$779,0),IF('Eval-Après action écologique'!$A$780=FE17, 'Eval-Après action écologique'!$B$780,0))/COUNTIF('Eval-Après action écologique'!$A$761:$A$780,FE17),"")</f>
        <v/>
      </c>
      <c r="FG17" s="212" t="str">
        <f>IF(COUNTIF('Eval-Après action écologique'!$A$761:$A$780,FE17)&gt;0,COUNTIF('Eval-Après action écologique'!$A$761:$A$780,FE17),"")</f>
        <v/>
      </c>
      <c r="FH17" s="211" t="str">
        <f>IF(COUNTIF('Eval-Après action écologique'!$A$761:$A$780,FE17)&gt;0,IF(OR(AND('Eval-Après action écologique'!$A$761=FE17, 'Eval-Après action écologique'!$G$761=""),AND('Eval-Après action écologique'!$A$762=FE17, 'Eval-Après action écologique'!$G$762=""),AND('Eval-Après action écologique'!$A$763=FE17, 'Eval-Après action écologique'!$G$763=""),AND('Eval-Après action écologique'!$A$764=FE17, 'Eval-Après action écologique'!$G$764=""),AND('Eval-Après action écologique'!$A$765=FE17, 'Eval-Après action écologique'!$G$765=""),AND('Eval-Après action écologique'!$A$766=FE17, 'Eval-Après action écologique'!$G$766=""),AND('Eval-Après action écologique'!$A$767=FE17, 'Eval-Après action écologique'!$G$767=""),AND('Eval-Après action écologique'!$A$768=FE17, 'Eval-Après action écologique'!$G$768=""),AND('Eval-Après action écologique'!$A$769=FE17, 'Eval-Après action écologique'!$G$769=""),AND('Eval-Après action écologique'!$A$770=FE17, 'Eval-Après action écologique'!$G$770=""),AND('Eval-Après action écologique'!$A$771=FE17, 'Eval-Après action écologique'!$G$771=""),AND('Eval-Après action écologique'!$A$772=FE17, 'Eval-Après action écologique'!$G$772=""),AND('Eval-Après action écologique'!$A$773=FE17, 'Eval-Après action écologique'!$G$773=""),AND('Eval-Après action écologique'!$A$774=FE17, 'Eval-Après action écologique'!$G$774=""),AND('Eval-Après action écologique'!$A$775=FE17, 'Eval-Après action écologique'!$G$775=""),AND('Eval-Après action écologique'!$A$776=FE17, 'Eval-Après action écologique'!$G$776=""),AND('Eval-Après action écologique'!$A$777=FE17, 'Eval-Après action écologique'!$G$777=""),AND('Eval-Après action écologique'!$A$778=FE17, 'Eval-Après action écologique'!$G$778=""),AND('Eval-Après action écologique'!$A$779=FE17, 'Eval-Après action écologique'!$G$779=""),AND('Eval-Après action écologique'!$A$780=FE17, 'Eval-Après action écologique'!$G$780="")),"",SUM(IF('Eval-Après action écologique'!$A$761=FE17,'Eval-Après action écologique'!$G$761,0),IF('Eval-Après action écologique'!$A$762=FE17,'Eval-Après action écologique'!$G$762,0),IF('Eval-Après action écologique'!$A$763=FE17,'Eval-Après action écologique'!$G$763,0),IF('Eval-Après action écologique'!$A$764=FE17,'Eval-Après action écologique'!$G$764,0),IF('Eval-Après action écologique'!$A$765=FE17,'Eval-Après action écologique'!$G$765,0),IF('Eval-Après action écologique'!$A$766=FE17,'Eval-Après action écologique'!$G$766,0),IF('Eval-Après action écologique'!$A$767=FE17,'Eval-Après action écologique'!$G$767,0),IF('Eval-Après action écologique'!$A$768=FE17,'Eval-Après action écologique'!$G$768,0),IF('Eval-Après action écologique'!$A$769=FE17,'Eval-Après action écologique'!$G$769,0),IF('Eval-Après action écologique'!$A$770=FE17,'Eval-Après action écologique'!$G$770,0),IF('Eval-Après action écologique'!$A$771=FE17,'Eval-Après action écologique'!$G$771,0),IF('Eval-Après action écologique'!$A$772=FE17,'Eval-Après action écologique'!$G$772,0),IF('Eval-Après action écologique'!$A$773=FE17,'Eval-Après action écologique'!$G$773,0),IF('Eval-Après action écologique'!$A$774=FE17,'Eval-Après action écologique'!$G$774,0),IF('Eval-Après action écologique'!$A$775=FE17,'Eval-Après action écologique'!$G$775,0), IF('Eval-Après action écologique'!$A$776=FE17,'Eval-Après action écologique'!$G$776,0), IF('Eval-Après action écologique'!$A$777=FE17,'Eval-Après action écologique'!$G$777,0), IF('Eval-Après action écologique'!$A$778=FE17,'Eval-Après action écologique'!$G$778,0), IF('Eval-Après action écologique'!$A$779=FE17,'Eval-Après action écologique'!$G$779,0), IF('Eval-Après action écologique'!$A$780=FE17,'Eval-Après action écologique'!$G$780,0))/ COUNTIF('Eval-Après action écologique'!$A$761:$A$780,FE17)),"")</f>
        <v/>
      </c>
      <c r="FI17" s="212" t="str">
        <f>IF(COUNTIF('Eval-Après action écologique'!$A$761:$A$780,FE17)&gt;0,IF(SUM(IF('Eval-Après action écologique'!$A$761=FE17,COUNTA('Eval-Après action écologique'!$H$761),0),IF('Eval-Après action écologique'!$A$762=FE17,COUNTA('Eval-Après action écologique'!$H$762),0),IF('Eval-Après action écologique'!$A$763=FE17,COUNTA('Eval-Après action écologique'!$H$763),0),IF('Eval-Après action écologique'!$A$764=FE17,COUNTA('Eval-Après action écologique'!$H$764),0),IF('Eval-Après action écologique'!$A$765=FE17,COUNTA('Eval-Après action écologique'!$H$765),0),IF('Eval-Après action écologique'!$A$766=FE17,COUNTA('Eval-Après action écologique'!$H$766),0),IF('Eval-Après action écologique'!$A$767=FE17,COUNTA('Eval-Après action écologique'!$H$767),0),IF('Eval-Après action écologique'!$A$768=FE17,COUNTA('Eval-Après action écologique'!$H$768),0),IF('Eval-Après action écologique'!$A$769=FE17,COUNTA('Eval-Après action écologique'!$H$769),0),IF('Eval-Après action écologique'!$A$770=FE17,COUNTA('Eval-Après action écologique'!$H$770),0),IF('Eval-Après action écologique'!$A$771=FE17,COUNTA('Eval-Après action écologique'!$H$771),0),IF('Eval-Après action écologique'!$A$772=FE17,COUNTA('Eval-Après action écologique'!$H$772),0),IF('Eval-Après action écologique'!$A$773=FE17,COUNTA('Eval-Après action écologique'!$H$773),0),IF('Eval-Après action écologique'!$A$774=FE17,COUNTA('Eval-Après action écologique'!$H$774),0),IF('Eval-Après action écologique'!$A$775=FE17,COUNTA('Eval-Après action écologique'!$H$775),0),IF('Eval-Après action écologique'!$A$776=FE17,COUNTA('Eval-Après action écologique'!$H$776),0),IF('Eval-Après action écologique'!$A$777=FE17,COUNTA('Eval-Après action écologique'!$H$777),0),IF('Eval-Après action écologique'!$A$778=FE17,COUNTA('Eval-Après action écologique'!$H$778),0),IF('Eval-Après action écologique'!$A$779=FE17,COUNTA('Eval-Après action écologique'!$H$779),0),IF('Eval-Après action écologique'!$A$780=FE17,COUNTA('Eval-Après action écologique'!$H$780),0))&gt;0,"X",0),"")</f>
        <v/>
      </c>
      <c r="FJ17" s="213" t="str">
        <f>IF(COUNTIF('Eval-Après action écologique'!$A$761:$A$780,FE17)&gt;0,IF(SUM(IF('Eval-Après action écologique'!$A$761=FE17,COUNTA('Eval-Après action écologique'!$I$761),0),IF('Eval-Après action écologique'!$A$762=FE17,COUNTA('Eval-Après action écologique'!$I$762),0),IF('Eval-Après action écologique'!$A$763=FE17,COUNTA('Eval-Après action écologique'!$I$763),0),IF('Eval-Après action écologique'!$A$764=FE17,COUNTA('Eval-Après action écologique'!$I$764),0),IF('Eval-Après action écologique'!$A$765=FE17,COUNTA('Eval-Après action écologique'!$I$765),0),IF('Eval-Après action écologique'!$A$766=FE17,COUNTA('Eval-Après action écologique'!$I$766),0),IF('Eval-Après action écologique'!$A$767=FE17,COUNTA('Eval-Après action écologique'!$I$767),0),IF('Eval-Après action écologique'!$A$768=FE17,COUNTA('Eval-Après action écologique'!$I$768),0),IF('Eval-Après action écologique'!$A$769=FE17,COUNTA('Eval-Après action écologique'!$I$769),0),IF('Eval-Après action écologique'!$A$770=FE17,COUNTA('Eval-Après action écologique'!$I$770),0),IF('Eval-Après action écologique'!$A$771=FE17,COUNTA('Eval-Après action écologique'!$I$771),0),IF('Eval-Après action écologique'!$A$772=FE17,COUNTA('Eval-Après action écologique'!$I$772),0),IF('Eval-Après action écologique'!$A$773=FE17,COUNTA('Eval-Après action écologique'!$I$773),0),IF('Eval-Après action écologique'!$A$774=FE17,COUNTA('Eval-Après action écologique'!$I$774),0),IF('Eval-Après action écologique'!$A$775=FE17,COUNTA('Eval-Après action écologique'!$I$775),0),IF('Eval-Après action écologique'!$A$776=FE17,COUNTA('Eval-Après action écologique'!$I$776),0),IF('Eval-Après action écologique'!$A$777=FE17,COUNTA('Eval-Après action écologique'!$I$777),0),IF('Eval-Après action écologique'!$A$778=FE17,COUNTA('Eval-Après action écologique'!$I$778),0),IF('Eval-Après action écologique'!$A$779=FE17,COUNTA('Eval-Après action écologique'!$I$779),0),IF('Eval-Après action écologique'!$A$780=FE17,COUNTA('Eval-Après action écologique'!$I$780),0))&gt;0,"X",0),"")</f>
        <v/>
      </c>
      <c r="FK17" s="213" t="str">
        <f>IF(COUNTIF('Eval-Après action écologique'!$A$761:$A$780,FE17)&gt;0,IF(SUM(IF('Eval-Après action écologique'!$A$761=FE17,COUNTA('Eval-Après action écologique'!$J$761),0),IF('Eval-Après action écologique'!$A$762=FE17,COUNTA('Eval-Après action écologique'!$J$762),0),IF('Eval-Après action écologique'!$A$763=FE17,COUNTA('Eval-Après action écologique'!$J$763),0),IF('Eval-Après action écologique'!$A$764=FE17,COUNTA('Eval-Après action écologique'!$J$764),0),IF('Eval-Après action écologique'!$A$765=FE17,COUNTA('Eval-Après action écologique'!$J$765),0),IF('Eval-Après action écologique'!$A$766=FE17,COUNTA('Eval-Après action écologique'!$J$766),0),IF('Eval-Après action écologique'!$A$767=FE17,COUNTA('Eval-Après action écologique'!$J$767),0),IF('Eval-Après action écologique'!$A$768=FE17,COUNTA('Eval-Après action écologique'!$J$768),0),IF('Eval-Après action écologique'!$A$769=FE17,COUNTA('Eval-Après action écologique'!$J$769),0),IF('Eval-Après action écologique'!$A$770=FE17,COUNTA('Eval-Après action écologique'!$J$770),0),IF('Eval-Après action écologique'!$A$771=FE17,COUNTA('Eval-Après action écologique'!$J$771),0),IF('Eval-Après action écologique'!$A$772=FE17,COUNTA('Eval-Après action écologique'!$J$772),0),IF('Eval-Après action écologique'!$A$773=FE17,COUNTA('Eval-Après action écologique'!$J$773),0),IF('Eval-Après action écologique'!$A$774=FE17,COUNTA('Eval-Après action écologique'!$J$774),0),IF('Eval-Après action écologique'!$A$775=FE17,COUNTA('Eval-Après action écologique'!$J$775),0),IF('Eval-Après action écologique'!$A$776=FE17,COUNTA('Eval-Après action écologique'!$J$776),0),IF('Eval-Après action écologique'!$A$777=FE17,COUNTA('Eval-Après action écologique'!$J$777),0),IF('Eval-Après action écologique'!$A$778=FE17,COUNTA('Eval-Après action écologique'!$J$778),0),IF('Eval-Après action écologique'!$A$779=FE17,COUNTA('Eval-Après action écologique'!$J$779),0),IF('Eval-Après action écologique'!$A$780=FE17,COUNTA('Eval-Après action écologique'!$J$780),0))&gt;0,"X",0),"")</f>
        <v/>
      </c>
      <c r="FL17" s="213" t="str">
        <f>IF(COUNTIF('Eval-Après action écologique'!$A$761:$A$780,FE17)&gt;0,IF(SUM(IF('Eval-Après action écologique'!$A$761=FE17,COUNTA('Eval-Après action écologique'!$K$761),0),IF('Eval-Après action écologique'!$A$762=FE17,COUNTA('Eval-Après action écologique'!$K$762),0),IF('Eval-Après action écologique'!$A$763=FE17,COUNTA('Eval-Après action écologique'!$K$763),0),IF('Eval-Après action écologique'!$A$764=FE17,COUNTA('Eval-Après action écologique'!$K$764),0),IF('Eval-Après action écologique'!$A$765=FE17,COUNTA('Eval-Après action écologique'!$K$765),0),IF('Eval-Après action écologique'!$A$766=FE17,COUNTA('Eval-Après action écologique'!$K$766),0),IF('Eval-Après action écologique'!$A$767=FE17,COUNTA('Eval-Après action écologique'!$K$767),0),IF('Eval-Après action écologique'!$A$768=FE17,COUNTA('Eval-Après action écologique'!$K$768),0),IF('Eval-Après action écologique'!$A$769=FE17,COUNTA('Eval-Après action écologique'!$K$769),0),IF('Eval-Après action écologique'!$A$770=FE17,COUNTA('Eval-Après action écologique'!$K$770),0),IF('Eval-Après action écologique'!$A$771=FE17,COUNTA('Eval-Après action écologique'!$K$771),0),IF('Eval-Après action écologique'!$A$772=FE17,COUNTA('Eval-Après action écologique'!$K$772),0),IF('Eval-Après action écologique'!$A$773=FE17,COUNTA('Eval-Après action écologique'!$K$773),0),IF('Eval-Après action écologique'!$A$774=FE17,COUNTA('Eval-Après action écologique'!$K$774),0),IF('Eval-Après action écologique'!$A$775=FE17,COUNTA('Eval-Après action écologique'!$K$775),0),IF('Eval-Après action écologique'!$A$776=FE17,COUNTA('Eval-Après action écologique'!$K$776),0),IF('Eval-Après action écologique'!$A$777=FE17,COUNTA('Eval-Après action écologique'!$K$777),0),IF('Eval-Après action écologique'!$A$778=FE17,COUNTA('Eval-Après action écologique'!$K$778),0),IF('Eval-Après action écologique'!$A$779=FE17,COUNTA('Eval-Après action écologique'!$K$779),0),IF('Eval-Après action écologique'!$A$780=FE17,COUNTA('Eval-Après action écologique'!$K$780),0))&gt;0,"X",0),"")</f>
        <v/>
      </c>
      <c r="FM17" s="211" t="str">
        <f>IF(COUNTIF('Eval-Après action écologique'!$A$761:$A$780,FE17)&gt;0,IF(OR(AND('Eval-Après action écologique'!$A$761=FE17,'Eval-Après action écologique'!$L$761&lt;120,'Eval-Après action écologique'!$L$761&gt;=GB9),AND('Eval-Après action écologique'!$A$762=FE17,'Eval-Après action écologique'!$L$762&lt;120,'Eval-Après action écologique'!$L$762&gt;=GB10),AND('Eval-Après action écologique'!$A$763=FE17,'Eval-Après action écologique'!$L$763&lt;120,'Eval-Après action écologique'!$L$763&gt;=GB11),AND('Eval-Après action écologique'!$A$764=FE17,'Eval-Après action écologique'!$L$764&lt;120,'Eval-Après action écologique'!$L$764&gt;=GB12),AND('Eval-Après action écologique'!$A$765=FE17,'Eval-Après action écologique'!$L$765&lt;120,'Eval-Après action écologique'!$L$765&gt;=GB13),AND('Eval-Après action écologique'!$A$766=FE17,'Eval-Après action écologique'!$L$766&lt;120,'Eval-Après action écologique'!$L$766&gt;=GB14),AND('Eval-Après action écologique'!$A$767=FE17,'Eval-Après action écologique'!$L$767&lt;120,'Eval-Après action écologique'!$L$767&gt;=GB15),AND('Eval-Après action écologique'!$A$768=FE17,'Eval-Après action écologique'!$L$768&lt;120,'Eval-Après action écologique'!$L$768&gt;=GB16),AND('Eval-Après action écologique'!$A$769=FE17,'Eval-Après action écologique'!$L$769&lt;120,'Eval-Après action écologique'!$L$769&gt;=GB17),AND('Eval-Après action écologique'!$A$770=FE17,'Eval-Après action écologique'!$L$770&lt;120,'Eval-Après action écologique'!$L$770&gt;=GB18),AND('Eval-Après action écologique'!$A$771=FE17,'Eval-Après action écologique'!$L$771&lt;120,'Eval-Après action écologique'!$L$771&gt;=GB19),AND('Eval-Après action écologique'!$A$772=FE17,'Eval-Après action écologique'!$L$772&lt;120,'Eval-Après action écologique'!$L$772&gt;=GB20),AND('Eval-Après action écologique'!$A$773=FE17,'Eval-Après action écologique'!$L$773&lt;120,'Eval-Après action écologique'!$L$773&gt;=GB21),AND('Eval-Après action écologique'!$A$774=FE17,'Eval-Après action écologique'!$L$774&lt;120,'Eval-Après action écologique'!$L$774&gt;=GB22),AND('Eval-Après action écologique'!$A$775=FE17,'Eval-Après action écologique'!$L$775&lt;120,'Eval-Après action écologique'!$L$775&gt;=GB23),AND('Eval-Après action écologique'!$A$776=FE17,'Eval-Après action écologique'!$L$776&lt;120,'Eval-Après action écologique'!$L$776&gt;=GB24),AND('Eval-Après action écologique'!$A$777=FE17,'Eval-Après action écologique'!$L$777&lt;120,'Eval-Après action écologique'!$L$777&gt;=GB25),AND('Eval-Après action écologique'!$A$778=FE17,'Eval-Après action écologique'!$L$778&lt;120,'Eval-Après action écologique'!$L$778&gt;=GB26),AND('Eval-Après action écologique'!$A$779=FE17,'Eval-Après action écologique'!$L$779&lt;120,'Eval-Après action écologique'!$L$779&gt;=GB27),AND('Eval-Après action écologique'!$A$780=FE17,'Eval-Après action écologique'!$L$780&lt;120,'Eval-Après action écologique'!$L$780&gt;=GB28)),"",SUM(IF('Eval-Après action écologique'!$A$761=FE17,'Eval-Après action écologique'!$L$761,0),IF('Eval-Après action écologique'!$A$762=FE17,'Eval-Après action écologique'!$L$762,0),IF('Eval-Après action écologique'!$A$763=FE17,'Eval-Après action écologique'!$L$763,0),IF('Eval-Après action écologique'!$A$764=FE17,'Eval-Après action écologique'!$L$764,0),IF('Eval-Après action écologique'!$A$765=FE17,'Eval-Après action écologique'!$L$765,0),IF('Eval-Après action écologique'!$A$766=FE17,'Eval-Après action écologique'!$L$766,0),IF('Eval-Après action écologique'!$A$767=FE17,'Eval-Après action écologique'!$L$767,0),IF('Eval-Après action écologique'!$A$768=FE17,'Eval-Après action écologique'!$L$768,0),IF('Eval-Après action écologique'!$A$769=FE17,'Eval-Après action écologique'!$L$769,0),IF('Eval-Après action écologique'!$A$770=FE17,'Eval-Après action écologique'!$L$770,0),IF('Eval-Après action écologique'!$A$771=FE17,'Eval-Après action écologique'!$L$771,0),IF('Eval-Après action écologique'!$A$772=FE17,'Eval-Après action écologique'!$L$772,0),IF('Eval-Après action écologique'!$A$773=FE17,'Eval-Après action écologique'!$L$773,0),IF('Eval-Après action écologique'!$A$774=FE17,'Eval-Après action écologique'!$L$774,0),IF('Eval-Après action écologique'!$A$775=FE17,'Eval-Après action écologique'!$L$775,0),IF('Eval-Après action écologique'!$A$776=FE17,'Eval-Après action écologique'!$L$776,0),IF('Eval-Après action écologique'!$A$777=FE17,'Eval-Après action écologique'!$L$777,0),IF('Eval-Après action écologique'!$A$778=FE17,'Eval-Après action écologique'!$L$778,0),IF('Eval-Après action écologique'!$A$779=FE17,'Eval-Après action écologique'!$L$779,0),IF('Eval-Après action écologique'!$A$780=FE17,'Eval-Après action écologique'!$L$780,0))/ COUNTIF('Eval-Après action écologique'!$A$761:$A$780,FE17)),"")</f>
        <v/>
      </c>
      <c r="FN17" s="211" t="str">
        <f>IF(COUNTIF('Eval-Après action écologique'!$A$761:$A$780,FE17)&gt;0,IF(OR(AND('Eval-Après action écologique'!$A$761=FE17, GB9&lt;120),AND(GB10&lt;120),AND(GB11&lt;120),AND(GB12&lt;120),AND(GB13&lt;120),AND(GB14&lt;120),AND(GB15&lt;120),AND(GB16&lt;120),AND(GB17&lt;120),AND(GB18&lt;120),AND(GB19&lt;120),AND(GB20&lt;120),AND(GB21&lt;120),AND(GB22&lt;120),AND(GB23&lt;120),AND(GB24&lt;120),AND(GB25&lt;120),AND(GB26&lt;120),AND(GB27&lt;120),AND(GB28&lt;120)),"",SUM(IF('Eval-Après action écologique'!$A$761=FE17,'Eval-Après action écologique'!$M$761,0),IF('Eval-Après action écologique'!$A$762=FE17,'Eval-Après action écologique'!$M$762,0),IF('Eval-Après action écologique'!$A$763=FE17,'Eval-Après action écologique'!$M$763,0),IF('Eval-Après action écologique'!$A$764=FE17,'Eval-Après action écologique'!$M$764,0),IF('Eval-Après action écologique'!$A$765=FE17,'Eval-Après action écologique'!$M$765,0),IF('Eval-Après action écologique'!$A$766=FE17,'Eval-Après action écologique'!$M$766,0),IF('Eval-Après action écologique'!$A$767=FE17,'Eval-Après action écologique'!$M$767,0),IF('Eval-Après action écologique'!$A$768=FE17,'Eval-Après action écologique'!$M$768,0),IF('Eval-Après action écologique'!$A$769=FE17,'Eval-Après action écologique'!$M$769,0),IF('Eval-Après action écologique'!$A$770=FE17,'Eval-Après action écologique'!$M$770,0),IF('Eval-Après action écologique'!$A$771=FE17,'Eval-Après action écologique'!$M$771,0),IF('Eval-Après action écologique'!$A$772=FE17,'Eval-Après action écologique'!$M$772,0),IF('Eval-Après action écologique'!$A$773=FE17,'Eval-Après action écologique'!$M$773,0),IF('Eval-Après action écologique'!$A$774=FE17,'Eval-Après action écologique'!$M$774,0),IF('Eval-Après action écologique'!$A$775=FE17,'Eval-Après action écologique'!$M$775,0), IF('Eval-Après action écologique'!$A$776=FE17,'Eval-Après action écologique'!$M$776,0), IF('Eval-Après action écologique'!$A$777=FE17,'Eval-Après action écologique'!$M$777,0), IF('Eval-Après action écologique'!$A$778=FE17,'Eval-Après action écologique'!$M$778,0), IF('Eval-Après action écologique'!$A$779=FE17,'Eval-Après action écologique'!$M$779,0), IF('Eval-Après action écologique'!$A$780=FE17,'Eval-Après action écologique'!$M$780,0))/COUNTIF('Eval-Après action écologique'!$A$761:$A$780,FE17)),"")</f>
        <v/>
      </c>
      <c r="FO17" s="211" t="str">
        <f>IF(COUNTIF('Eval-Après action écologique'!$A$761:$A$780,FE17)&gt;0,SUM(IF('Eval-Après action écologique'!$A$761=FE17,LEN(SUBSTITUTE((SUBSTITUTE(GD9,"TM","")),"TS",""))*10/2,0),IF('Eval-Après action écologique'!$A$762=FE17,LEN(SUBSTITUTE((SUBSTITUTE(GD10,"TM","")),"TS",""))*10/2,0),IF('Eval-Après action écologique'!$A$763=FE17,LEN(SUBSTITUTE((SUBSTITUTE(GD11,"TM","")),"TS",""))*10/2,0),IF('Eval-Après action écologique'!$A$764=FE17,LEN(SUBSTITUTE((SUBSTITUTE(GD12,"TM","")),"TS",""))*10/2,0),IF('Eval-Après action écologique'!$A$765=FE17,LEN(SUBSTITUTE((SUBSTITUTE(GD13,"TM","")),"TS",""))*10/2,0),IF('Eval-Après action écologique'!$A$766=FE17,LEN(SUBSTITUTE((SUBSTITUTE(GD14,"TM","")),"TS",""))*10/2,0),IF('Eval-Après action écologique'!$A$767=FE17,LEN(SUBSTITUTE((SUBSTITUTE(GD15,"TM","")),"TS",""))*10/2,0),IF('Eval-Après action écologique'!$A$768=FE17,LEN(SUBSTITUTE((SUBSTITUTE(GD16,"TM","")),"TS",""))*10/2,0),IF('Eval-Après action écologique'!$A$769=FE17,LEN(SUBSTITUTE((SUBSTITUTE(GD17,"TM","")),"TS",""))*10/2,0),IF('Eval-Après action écologique'!$A$770=FE17,LEN(SUBSTITUTE((SUBSTITUTE(GD18,"TM","")),"TS",""))*10/2,0),IF('Eval-Après action écologique'!$A$771=FE17,LEN(SUBSTITUTE((SUBSTITUTE(GD19,"TM","")),"TS",""))*10/2,0),IF('Eval-Après action écologique'!$A$772=FE17,LEN(SUBSTITUTE((SUBSTITUTE(GD20,"TM","")),"TS",""))*10/2,0),IF('Eval-Après action écologique'!$A$773=FE17,LEN(SUBSTITUTE((SUBSTITUTE(GD21,"TM","")),"TS",""))*10/2,0),IF('Eval-Après action écologique'!$A$774=FE17,LEN(SUBSTITUTE((SUBSTITUTE(GD22,"TM","")),"TS",""))*10/2,0),IF('Eval-Après action écologique'!$A$775=FE17,LEN(SUBSTITUTE((SUBSTITUTE(GD23,"TM","")),"TS",""))*10/2,0),IF('Eval-Après action écologique'!$A$776=FE17,LEN(SUBSTITUTE((SUBSTITUTE(GD24,"TM","")),"TS",""))*10/2,0),IF('Eval-Après action écologique'!$A$777=FE17,LEN(SUBSTITUTE((SUBSTITUTE(GD25,"TM","")),"TS",""))*10/2,0),IF('Eval-Après action écologique'!$A$778=FE17,LEN(SUBSTITUTE((SUBSTITUTE(GD26,"TM","")),"TS",""))*10/2,0),IF('Eval-Après action écologique'!$A$779=FE17,LEN(SUBSTITUTE((SUBSTITUTE(GD27,"TM","")),"TS",""))*10/2,0),IF('Eval-Après action écologique'!$A$780=FE17,LEN(SUBSTITUTE((SUBSTITUTE(GD28,"TM","")),"TS",""))*10/2,0))/COUNTIF('Eval-Après action écologique'!$A$761:$A$780,FE17),"")</f>
        <v/>
      </c>
      <c r="FP17" s="211" t="str">
        <f>IF(COUNTIF('Eval-Après action écologique'!$A$761:$A$780,FE17)&gt;0,SUM(IF('Eval-Après action écologique'!$A$761=FE17,LEN(SUBSTITUTE((SUBSTITUTE(GD9,"TF","")),"TS",""))*10/2,0),IF('Eval-Après action écologique'!$A$762=FE17,LEN(SUBSTITUTE((SUBSTITUTE(GD10,"TF","")),"TS",""))*10/2,0),IF('Eval-Après action écologique'!$A$763=FE17,LEN(SUBSTITUTE((SUBSTITUTE(GD11,"TF","")),"TS",""))*10/2,0),IF('Eval-Après action écologique'!$A$764=FE17,LEN(SUBSTITUTE((SUBSTITUTE(GD12,"TF","")),"TS",""))*10/2,0),IF('Eval-Après action écologique'!$A$765=FE17,LEN(SUBSTITUTE((SUBSTITUTE(GD13,"TF","")),"TS",""))*10/2,0),IF('Eval-Après action écologique'!$A$766=FE17,LEN(SUBSTITUTE((SUBSTITUTE(GD14,"TF","")),"TS",""))*10/2,0),IF('Eval-Après action écologique'!$A$767=FE17,LEN(SUBSTITUTE((SUBSTITUTE(GD15,"TF","")),"TS",""))*10/2,0),IF('Eval-Après action écologique'!$A$768=FE17,LEN(SUBSTITUTE((SUBSTITUTE(GD16,"TF","")),"TS",""))*10/2,0),IF('Eval-Après action écologique'!$A$769=FE17,LEN(SUBSTITUTE((SUBSTITUTE(GD17,"TF","")),"TS",""))*10/2,0),IF('Eval-Après action écologique'!$A$770=FE17,LEN(SUBSTITUTE((SUBSTITUTE(GD18,"TF","")),"TS",""))*10/2,0),IF('Eval-Après action écologique'!$A$771=FE17,LEN(SUBSTITUTE((SUBSTITUTE(GD19,"TF","")),"TS",""))*10/2,0),IF('Eval-Après action écologique'!$A$772=FE17,LEN(SUBSTITUTE((SUBSTITUTE(GD20,"TF","")),"TS",""))*10/2,0),IF('Eval-Après action écologique'!$A$773=FE17,LEN(SUBSTITUTE((SUBSTITUTE(GD21,"TF","")),"TS",""))*10/2,0),IF('Eval-Après action écologique'!$A$774=FE17,LEN(SUBSTITUTE((SUBSTITUTE(GD22,"TF","")),"TS",""))*10/2,0),IF('Eval-Après action écologique'!$A$775=FE17,LEN(SUBSTITUTE((SUBSTITUTE(GD23,"TF","")),"TS",""))*10/2,0),IF('Eval-Après action écologique'!$A$776=FE17,LEN(SUBSTITUTE((SUBSTITUTE(GD24,"TF","")),"TS",""))*10/2,0),IF('Eval-Après action écologique'!$A$777=FE17,LEN(SUBSTITUTE((SUBSTITUTE(GD25,"TF","")),"TS",""))*10/2,0),IF('Eval-Après action écologique'!$A$778=FE17,LEN(SUBSTITUTE((SUBSTITUTE(GD26,"TF","")),"TS",""))*10/2,0),IF('Eval-Après action écologique'!$A$779=FE17,LEN(SUBSTITUTE((SUBSTITUTE(GD27,"TF","")),"TS",""))*10/2,0),IF('Eval-Après action écologique'!$A$780=FE17,LEN(SUBSTITUTE((SUBSTITUTE(GD28,"TF","")),"TS",""))*10/2,0))/COUNTIF('Eval-Après action écologique'!$A$761:$A$780,FE17),"")</f>
        <v/>
      </c>
      <c r="FQ17" s="211" t="str">
        <f>IF(COUNTIF('Eval-Après action écologique'!$A$761:$A$780,FE17)&gt;0,SUM(IF('Eval-Après action écologique'!$A$761=FE17,LEN(SUBSTITUTE((SUBSTITUTE(GD9,"TF","")),"TM",""))*10/2,0),IF('Eval-Après action écologique'!$A$762=FE17,LEN(SUBSTITUTE((SUBSTITUTE(GD10,"TF","")),"TM",""))*10/2,0),IF('Eval-Après action écologique'!$A$763=FE17,LEN(SUBSTITUTE((SUBSTITUTE(GD11,"TF","")),"TM",""))*10/2,0),IF('Eval-Après action écologique'!$A$764=FE17,LEN(SUBSTITUTE((SUBSTITUTE(GD12,"TF","")),"TM",""))*10/2,0),IF('Eval-Après action écologique'!$A$765=FE17,LEN(SUBSTITUTE((SUBSTITUTE(GD13,"TF","")),"TM",""))*10/2,0),IF('Eval-Après action écologique'!$A$766=FE17,LEN(SUBSTITUTE((SUBSTITUTE(GD14,"TF","")),"TM",""))*10/2,0),IF('Eval-Après action écologique'!$A$767=FE17,LEN(SUBSTITUTE((SUBSTITUTE(GD15,"TF","")),"TM",""))*10/2,0),IF('Eval-Après action écologique'!$A$768=FE17,LEN(SUBSTITUTE((SUBSTITUTE(GD16,"TF","")),"TM",""))*10/2,0),IF('Eval-Après action écologique'!$A$769=FE17,LEN(SUBSTITUTE((SUBSTITUTE(GD17,"TF","")),"TM",""))*10/2,0),IF('Eval-Après action écologique'!$A$770=FE17,LEN(SUBSTITUTE((SUBSTITUTE(GD18,"TF","")),"TM",""))*10/2,0),IF('Eval-Après action écologique'!$A$771=FE17,LEN(SUBSTITUTE((SUBSTITUTE(GD19,"TF","")),"TM",""))*10/2,0),IF('Eval-Après action écologique'!$A$772=FE17,LEN(SUBSTITUTE((SUBSTITUTE(GD20,"TF","")),"TM",""))*10/2,0),IF('Eval-Après action écologique'!$A$773=FE17,LEN(SUBSTITUTE((SUBSTITUTE(GD21,"TF","")),"TM",""))*10/2,0),IF('Eval-Après action écologique'!$A$774=FE17,LEN(SUBSTITUTE((SUBSTITUTE(GD22,"TF","")),"TM",""))*10/2,0),IF('Eval-Après action écologique'!$A$775=FE17,LEN(SUBSTITUTE((SUBSTITUTE(GD23,"TF","")),"TM",""))*10/2,0),IF('Eval-Après action écologique'!$A$776=FE17,LEN(SUBSTITUTE((SUBSTITUTE(GD24,"TF","")),"TM",""))*10/2,0),IF('Eval-Après action écologique'!$A$777=FE17,LEN(SUBSTITUTE((SUBSTITUTE(GD25,"TF","")),"TM",""))*10/2,0),IF('Eval-Après action écologique'!$A$778=FE17,LEN(SUBSTITUTE((SUBSTITUTE(GD26,"TF","")),"TM",""))*10/2,0),IF('Eval-Après action écologique'!$A$779=FE17,LEN(SUBSTITUTE((SUBSTITUTE(GD27,"TF","")),"TM",""))*10/2,0),IF('Eval-Après action écologique'!$A$780=FE17,LEN(SUBSTITUTE((SUBSTITUTE(GD28,"TF","")),"TM",""))*10/2,0))/COUNTIF('Eval-Après action écologique'!$A$761:$A$780,FE17),"")</f>
        <v/>
      </c>
      <c r="FR17" s="211" t="str">
        <f>IF(COUNTIF('Eval-Après action écologique'!$A$761:$A$780,FE17)&gt;0,SUM(IF('Eval-Après action écologique'!$A$761=FE17,LEN(SUBSTITUTE((SUBSTITUTE(GE9,"TM","")),"TS",""))*10/2,0),IF('Eval-Après action écologique'!$A$762=FE17,LEN(SUBSTITUTE((SUBSTITUTE(GE10,"TM","")),"TS",""))*10/2,0),IF('Eval-Après action écologique'!$A$763=FE17,LEN(SUBSTITUTE((SUBSTITUTE(GE11,"TM","")),"TS",""))*10/2,0),IF('Eval-Après action écologique'!$A$764=FE17,LEN(SUBSTITUTE((SUBSTITUTE(GE12,"TM","")),"TS",""))*10/2,0),IF('Eval-Après action écologique'!$A$765=FE17,LEN(SUBSTITUTE((SUBSTITUTE(GE13,"TM","")),"TS",""))*10/2,0),IF('Eval-Après action écologique'!$A$766=FE17,LEN(SUBSTITUTE((SUBSTITUTE(GE14,"TM","")),"TS",""))*10/2,0),IF('Eval-Après action écologique'!$A$767=FE17,LEN(SUBSTITUTE((SUBSTITUTE(GE15,"TM","")),"TS",""))*10/2,0),IF('Eval-Après action écologique'!$A$768=FE17,LEN(SUBSTITUTE((SUBSTITUTE(GE16,"TM","")),"TS",""))*10/2,0),IF('Eval-Après action écologique'!$A$769=FE17,LEN(SUBSTITUTE((SUBSTITUTE(GE17,"TM","")),"TS",""))*10/2,0),IF('Eval-Après action écologique'!$A$770=FE17,LEN(SUBSTITUTE((SUBSTITUTE(GE18,"TM","")),"TS",""))*10/2,0),IF('Eval-Après action écologique'!$A$771=FE17,LEN(SUBSTITUTE((SUBSTITUTE(GE19,"TM","")),"TS",""))*10/2,0),IF('Eval-Après action écologique'!$A$772=FE17,LEN(SUBSTITUTE((SUBSTITUTE(GE20,"TM","")),"TS",""))*10/2,0),IF('Eval-Après action écologique'!$A$773=FE17,LEN(SUBSTITUTE((SUBSTITUTE(GE21,"TM","")),"TS",""))*10/2,0),IF('Eval-Après action écologique'!$A$774=FE17,LEN(SUBSTITUTE((SUBSTITUTE(GE22,"TM","")),"TS",""))*10/2,0),IF('Eval-Après action écologique'!$A$775=FE17,LEN(SUBSTITUTE((SUBSTITUTE(GE23,"TM","")),"TS",""))*10/2,0),IF('Eval-Après action écologique'!$A$776=FE17,LEN(SUBSTITUTE((SUBSTITUTE(GE24,"TM","")),"TS",""))*10/2,0),IF('Eval-Après action écologique'!$A$777=FE17,LEN(SUBSTITUTE((SUBSTITUTE(GE25,"TM","")),"TS",""))*10/2,0),IF('Eval-Après action écologique'!$A$778=FE17,LEN(SUBSTITUTE((SUBSTITUTE(GE26,"TM","")),"TS",""))*10/2,0),IF('Eval-Après action écologique'!$A$779=FE17,LEN(SUBSTITUTE((SUBSTITUTE(GE27,"TM","")),"TS",""))*10/2,0),IF('Eval-Après action écologique'!$A$780=FE17,LEN(SUBSTITUTE((SUBSTITUTE(GE28,"TM","")),"TS",""))*10/2,0))/COUNTIF('Eval-Après action écologique'!$A$761:$A$780,FE17),"")</f>
        <v/>
      </c>
      <c r="FS17" s="211" t="str">
        <f>IF(COUNTIF('Eval-Après action écologique'!$A$761:$A$780,FE17)&gt;0,SUM(IF('Eval-Après action écologique'!$A$761=FE17,LEN(SUBSTITUTE((SUBSTITUTE(GE9,"TF","")),"TS",""))*10/2,0),IF('Eval-Après action écologique'!$A$762=FE17,LEN(SUBSTITUTE((SUBSTITUTE(GE10,"TF","")),"TS",""))*10/2,0),IF('Eval-Après action écologique'!$A$763=FE17,LEN(SUBSTITUTE((SUBSTITUTE(GE11,"TF","")),"TS",""))*10/2,0),IF('Eval-Après action écologique'!$A$764=FE17,LEN(SUBSTITUTE((SUBSTITUTE(GE12,"TF","")),"TS",""))*10/2,0),IF('Eval-Après action écologique'!$A$765=FE17,LEN(SUBSTITUTE((SUBSTITUTE(GE13,"TF","")),"TS",""))*10/2,0),IF('Eval-Après action écologique'!$A$766=FE17,LEN(SUBSTITUTE((SUBSTITUTE(GE14,"TF","")),"TS",""))*10/2,0),IF('Eval-Après action écologique'!$A$767=FE17,LEN(SUBSTITUTE((SUBSTITUTE(GE15,"TF","")),"TS",""))*10/2,0),IF('Eval-Après action écologique'!$A$768=FE17,LEN(SUBSTITUTE((SUBSTITUTE(GE16,"TF","")),"TS",""))*10/2,0),IF('Eval-Après action écologique'!$A$769=FE17,LEN(SUBSTITUTE((SUBSTITUTE(GE17,"TF","")),"TS",""))*10/2,0),IF('Eval-Après action écologique'!$A$770=FE17,LEN(SUBSTITUTE((SUBSTITUTE(GE18,"TF","")),"TS",""))*10/2,0),IF('Eval-Après action écologique'!$A$771=FE17,LEN(SUBSTITUTE((SUBSTITUTE(GE19,"TF","")),"TS",""))*10/2,0),IF('Eval-Après action écologique'!$A$772=FE17,LEN(SUBSTITUTE((SUBSTITUTE(GE20,"TF","")),"TS",""))*10/2,0),IF('Eval-Après action écologique'!$A$773=FE17,LEN(SUBSTITUTE((SUBSTITUTE(GE21,"TF","")),"TS",""))*10/2,0),IF('Eval-Après action écologique'!$A$774=FE17,LEN(SUBSTITUTE((SUBSTITUTE(GE22,"TF","")),"TS",""))*10/2,0),IF('Eval-Après action écologique'!$A$775=FE17,LEN(SUBSTITUTE((SUBSTITUTE(GE23,"TF","")),"TS",""))*10/2,0),IF('Eval-Après action écologique'!$A$776=FE17,LEN(SUBSTITUTE((SUBSTITUTE(GE24,"TF","")),"TS",""))*10/2,0),IF('Eval-Après action écologique'!$A$777=FE17,LEN(SUBSTITUTE((SUBSTITUTE(GE25,"TF","")),"TS",""))*10/2,0),IF('Eval-Après action écologique'!$A$778=FE17,LEN(SUBSTITUTE((SUBSTITUTE(GE26,"TF","")),"TS",""))*10/2,0),IF('Eval-Après action écologique'!$A$779=FE17,LEN(SUBSTITUTE((SUBSTITUTE(GE27,"TF","")),"TS",""))*10/2,0),IF('Eval-Après action écologique'!$A$780=FE17,LEN(SUBSTITUTE((SUBSTITUTE(GE28,"TF","")),"TS",""))*10/2,0))/COUNTIF('Eval-Après action écologique'!$A$761:$A$780,FE17),"")</f>
        <v/>
      </c>
      <c r="FT17" s="211" t="str">
        <f>IF(COUNTIF('Eval-Après action écologique'!$A$761:$A$780,FE17)&gt;0,SUM(IF('Eval-Après action écologique'!$A$761=FE17,LEN(SUBSTITUTE((SUBSTITUTE(GE9,"TF","")),"TM",""))*10/2,0),IF('Eval-Après action écologique'!$A$762=FE17,LEN(SUBSTITUTE((SUBSTITUTE(GE10,"TF","")),"TM",""))*10/2,0),IF('Eval-Après action écologique'!$A$763=FE17,LEN(SUBSTITUTE((SUBSTITUTE(GE11,"TF","")),"TM",""))*10/2,0),IF('Eval-Après action écologique'!$A$764=FE17,LEN(SUBSTITUTE((SUBSTITUTE(GE12,"TF","")),"TM",""))*10/2,0),IF('Eval-Après action écologique'!$A$765=FE17,LEN(SUBSTITUTE((SUBSTITUTE(GE13,"TF","")),"TM",""))*10/2,0),IF('Eval-Après action écologique'!$A$766=FE17,LEN(SUBSTITUTE((SUBSTITUTE(GE14,"TF","")),"TM",""))*10/2,0),IF('Eval-Après action écologique'!$A$767=FE17,LEN(SUBSTITUTE((SUBSTITUTE(GE15,"TF","")),"TM",""))*10/2,0),IF('Eval-Après action écologique'!$A$768=FE17,LEN(SUBSTITUTE((SUBSTITUTE(GE16,"TF","")),"TM",""))*10/2,0),IF('Eval-Après action écologique'!$A$769=FE17,LEN(SUBSTITUTE((SUBSTITUTE(GE17,"TF","")),"TM",""))*10/2,0),IF('Eval-Après action écologique'!$A$770=FE17,LEN(SUBSTITUTE((SUBSTITUTE(GE18,"TF","")),"TM",""))*10/2,0),IF('Eval-Après action écologique'!$A$771=FE17,LEN(SUBSTITUTE((SUBSTITUTE(GE19,"TF","")),"TM",""))*10/2,0),IF('Eval-Après action écologique'!$A$772=FE17,LEN(SUBSTITUTE((SUBSTITUTE(GE20,"TF","")),"TM",""))*10/2,0),IF('Eval-Après action écologique'!$A$773=FE17,LEN(SUBSTITUTE((SUBSTITUTE(GE21,"TF","")),"TM",""))*10/2,0),IF('Eval-Après action écologique'!$A$774=FE17,LEN(SUBSTITUTE((SUBSTITUTE(GE22,"TF","")),"TM",""))*10/2,0),IF('Eval-Après action écologique'!$A$775=FE17,LEN(SUBSTITUTE((SUBSTITUTE(GE23,"TF","")),"TM",""))*10/2,0),IF('Eval-Après action écologique'!$A$776=FE17,LEN(SUBSTITUTE((SUBSTITUTE(GE24,"TF","")),"TM",""))*10/2,0),IF('Eval-Après action écologique'!$A$777=FE17,LEN(SUBSTITUTE((SUBSTITUTE(GE25,"TF","")),"TM",""))*10/2,0),IF('Eval-Après action écologique'!$A$778=FE17,LEN(SUBSTITUTE((SUBSTITUTE(GE26,"TF","")),"TM",""))*10/2,0),IF('Eval-Après action écologique'!$A$779=FE17,LEN(SUBSTITUTE((SUBSTITUTE(GE27,"TF","")),"TM",""))*10/2,0),IF('Eval-Après action écologique'!$A$780=FE17,LEN(SUBSTITUTE((SUBSTITUTE(GE28,"TF","")),"TM",""))*10/2,0))/COUNTIF('Eval-Après action écologique'!$A$761:$A$780,FE17),"")</f>
        <v/>
      </c>
      <c r="FU17" s="211" t="str">
        <f>IF(COUNTIF('Eval-Après action écologique'!$A$761:$A$780,FE17)&gt;0,IF(OR(AND('Eval-Après action écologique'!$A$761=FE17,GB9&lt;30),AND('Eval-Après action écologique'!$A$762=FE17,GB10&lt;30),AND('Eval-Après action écologique'!$A$763=FE17,GB11&lt;30),AND('Eval-Après action écologique'!$A$764=FE17,GB12&lt;30),AND('Eval-Après action écologique'!$A$765=FE17,GB13&lt;30),AND('Eval-Après action écologique'!$A$766=FE17,GB14&lt;30),AND('Eval-Après action écologique'!$A$767=FE17,GB15&lt;30),AND('Eval-Après action écologique'!$A$768=FE17,GB16&lt;30),AND('Eval-Après action écologique'!$A$769=FE17,GB17&lt;30),AND('Eval-Après action écologique'!$A$770=FE17,GB18&lt;30),AND('Eval-Après action écologique'!$A$771=FE17,GB19&lt;30),AND('Eval-Après action écologique'!$A$772=FE17,GB20&lt;30),AND('Eval-Après action écologique'!$A$773=FE17,GB21&lt;30),AND('Eval-Après action écologique'!$A$774=FE17,GB22&lt;30),AND('Eval-Après action écologique'!$A$775=FE17,GB23&lt;30),AND('Eval-Après action écologique'!$A$776=FE17,GB24&lt;30),AND('Eval-Après action écologique'!$A$777=FE17,GB25&lt;30),AND('Eval-Après action écologique'!$A$778=FE17,GB26&lt;30),AND('Eval-Après action écologique'!$A$779=FE17,GB27&lt;30),AND('Eval-Après action écologique'!$A$780=FE17,GB28&lt;30)),"",SUM(0.1*(SUMPRODUCT(('Eval-Après action écologique'!$A$761:$A$780=FE17)*('Eval-Après action écologique'!$N$761:$P$780="A"))+ SUMPRODUCT(('Eval-Après action écologique'!$A$761:$A$780=FE17)*('Eval-Après action écologique'!$N$761:$P$780="AL"))),0.7*(SUMPRODUCT(('Eval-Après action écologique'!$A$761:$A$780=FE17)*('Eval-Après action écologique'!$N$761:$P$780="TF"))+SUMPRODUCT(('Eval-Après action écologique'!$A$761:$A$780=FE17)*('Eval-Après action écologique'!$N$761:$P$780="TM"))+SUMPRODUCT(('Eval-Après action écologique'!$A$761:$A$780=FE17)*('Eval-Après action écologique'!$N$761:$P$780="TS"))),0.4*(SUMPRODUCT(('Eval-Après action écologique'!$A$761:$A$780=FE17)*('Eval-Après action écologique'!$N$761:$P$780="LA"))+SUMPRODUCT(('Eval-Après action écologique'!$A$761:$A$780=FE17)*('Eval-Après action écologique'!$N$761:$P$780="L"))+SUMPRODUCT(('Eval-Après action écologique'!$A$761:$A$780=FE17)*('Eval-Après action écologique'!$N$761:$P$780="LS"))),1*(SUMPRODUCT(('Eval-Après action écologique'!$A$761:$A$780=FE17)*('Eval-Après action écologique'!$N$761:$P$780="SL"))+ SUMPRODUCT(('Eval-Après action écologique'!$A$761:$A$780=FE17)*('Eval-Après action écologique'!$N$761:$P$780="S"))))/(3*COUNTIF('Eval-Après action écologique'!$A$761:$A$780,FE17))),"")</f>
        <v/>
      </c>
      <c r="FV17" s="211" t="str">
        <f>IF(COUNTIF('Eval-Après action écologique'!$A$761:$A$780,FE17)&gt;0,IF(OR(AND('Eval-Après action écologique'!$A$761=FE17,GB9&lt;120),AND('Eval-Après action écologique'!$A$762=FE17,GB10&lt;120),AND('Eval-Après action écologique'!$A$763=FE17,GB11&lt;120),AND('Eval-Après action écologique'!$A$764=FE17,GB12&lt;120),AND('Eval-Après action écologique'!$A$765=FE17,GB13&lt;120),AND('Eval-Après action écologique'!$A$766=FE17,GB14&lt;120),AND('Eval-Après action écologique'!$A$767=FE17,GB15&lt;120),AND('Eval-Après action écologique'!$A$768=FE17,GB16&lt;120),AND('Eval-Après action écologique'!$A$769=FE17,GB17&lt;120),AND('Eval-Après action écologique'!$A$770=FE17,GB18&lt;120),AND('Eval-Après action écologique'!$A$771=FE17,GB19&lt;120),AND('Eval-Après action écologique'!$A$772=FE17,GB20&lt;120),AND('Eval-Après action écologique'!$A$773=FE17,GB21&lt;120),AND('Eval-Après action écologique'!$A$774=FE17,GB22&lt;120),AND('Eval-Après action écologique'!$A$775=FE17,GB23&lt;120),AND('Eval-Après action écologique'!$A$776=FE17,GB24&lt;120),AND('Eval-Après action écologique'!$A$777=FE17,GB25&lt;120),AND('Eval-Après action écologique'!$A$778=FE17,GB26&lt;120),AND('Eval-Après action écologique'!$A$779=FE17,GB27&lt;120),AND('Eval-Après action écologique'!$A$780=FE17,GB28&lt;120)),"",SUM(0.1*(SUMPRODUCT(('Eval-Après action écologique'!$A$761:$A$780=FE17)*('Eval-Après action écologique'!$Q$761:$Y$780="A"))+ SUMPRODUCT(('Eval-Après action écologique'!$A$761:$A$780=FE17)*('Eval-Après action écologique'!$Q$761:$Y$780="AL"))),0.7*(SUMPRODUCT(('Eval-Après action écologique'!$A$761:$A$780=FE17)*('Eval-Après action écologique'!$Q$761:$Y$780="TF"))+SUMPRODUCT(('Eval-Après action écologique'!$A$761:$A$780=FE17)*('Eval-Après action écologique'!$Q$761:$Y$780="TM"))+SUMPRODUCT(('Eval-Après action écologique'!$A$761:$A$780=FE17)*('Eval-Après action écologique'!$Q$761:$Y$780="TS"))),0.4*(SUMPRODUCT(('Eval-Après action écologique'!$A$761:$A$780=FE17)*('Eval-Après action écologique'!$Q$761:$Y$780="LA"))+SUMPRODUCT(('Eval-Après action écologique'!$A$761:$A$780=FE17)*('Eval-Après action écologique'!$Q$761:$Y$780="L"))+SUMPRODUCT(('Eval-Après action écologique'!$A$761:$A$780=FE17)*('Eval-Après action écologique'!$Q$761:$Y$780="LS"))),1*(SUMPRODUCT(('Eval-Après action écologique'!$A$761:$A$780=FE17)*('Eval-Après action écologique'!$Q$761:$Y$780="SL"))+ SUMPRODUCT(('Eval-Après action écologique'!$A$761:$A$780=FE17)*('Eval-Après action écologique'!$Q$761:$Y$780="S"))))/(9*COUNTIF('Eval-Après action écologique'!$A$761:$A$780,FE17))),"")</f>
        <v/>
      </c>
      <c r="FW17" s="211" t="str">
        <f>IF(COUNTIF('Eval-Après action écologique'!$A$761:$A$780,FE17)&gt;0,IF(OR(AND('Eval-Après action écologique'!$A$761=FE17,OR(COUNTIF('Eval-Après action écologique'!$N$761:$P$761,"*T*")&gt;0,GB9&lt;30)),AND('Eval-Après action écologique'!$A$762=FE17,OR(COUNTIF('Eval-Après action écologique'!$N$762:$P$762,"*T*")&gt;0,GB10&lt;30)),AND('Eval-Après action écologique'!$A$763=FE17,OR(COUNTIF('Eval-Après action écologique'!$N$763:$P$763,"*T*")&gt;0,GB11&lt;30)),AND('Eval-Après action écologique'!$A$764=FE17,OR(COUNTIF('Eval-Après action écologique'!$N$764:$P$764,"*T*")&gt;0,GB12&lt;30)),AND('Eval-Après action écologique'!$A$765=FE17,OR(COUNTIF('Eval-Après action écologique'!$N$765:$P$765,"*T*")&gt;0,GB13&lt;30)),AND('Eval-Après action écologique'!$A$766=FE17,OR(COUNTIF('Eval-Après action écologique'!$N$766:$P$766,"*T*")&gt;0,GB14&lt;30)),AND('Eval-Après action écologique'!$A$767=FE17,OR(COUNTIF('Eval-Après action écologique'!$N$767:$P$767,"*T*")&gt;0,GB15&lt;30)),AND('Eval-Après action écologique'!$A$768=FE17,OR(COUNTIF('Eval-Après action écologique'!$N$768:$P$768,"*T*")&gt;0,GB16&lt;30)),AND('Eval-Après action écologique'!$A$769=FE17,OR(COUNTIF('Eval-Après action écologique'!$N$769:$P$769,"*T*")&gt;0,GB17&lt;30)),AND('Eval-Après action écologique'!$A$770=FE17,OR(COUNTIF('Eval-Après action écologique'!$N$770:$P$770,"*T*")&gt;0,GB18&lt;30)),AND('Eval-Après action écologique'!$A$771=FE17,OR(COUNTIF('Eval-Après action écologique'!$N$771:$P$771,"*T*")&gt;0,GB19&lt;30)),AND('Eval-Après action écologique'!$A$772=FE17,OR(COUNTIF('Eval-Après action écologique'!$N$772:$P$772,"*T*")&gt;0,GB20&lt;30)),AND('Eval-Après action écologique'!$A$773=FE17,OR(COUNTIF('Eval-Après action écologique'!$N$773:$P$773,"*T*")&gt;0,GB21&lt;30)),AND('Eval-Après action écologique'!$A$774=FE17,OR(COUNTIF('Eval-Après action écologique'!$N$774:$P$774,"*T*")&gt;0,GB22&lt;30)),AND('Eval-Après action écologique'!$A$775=FE17,OR(COUNTIF('Eval-Après action écologique'!$N$775:$P$775,"*T*")&gt;0,GB23&lt;30)),AND('Eval-Après action écologique'!$A$776=FE17,OR(COUNTIF('Eval-Après action écologique'!$N$776:$P$776,"*T*")&gt;0,GB24&lt;30)),AND('Eval-Après action écologique'!$A$777=FE17,OR(COUNTIF('Eval-Après action écologique'!$N$777:$P$777,"*T*")&gt;0,GB25&lt;30)),AND('Eval-Après action écologique'!$A$778=FE17,OR(COUNTIF('Eval-Après action écologique'!$N$778:$P$778,"*T*")&gt;0,GB26&lt;30)),AND('Eval-Après action écologique'!$A$779=FE17,OR(COUNTIF('Eval-Après action écologique'!$N$779:$P$779,"*T*")&gt;0,GB27&lt;30)),AND('Eval-Après action écologique'!$A$780=FE17,OR(COUNTIF('Eval-Après action écologique'!$N$780:$P$780,"*T*")&gt;0,GB28&lt;30))),"",SUM(0.1*(SUMPRODUCT(('Eval-Après action écologique'!$A$761:$A$780=FE17)*('Eval-Après action écologique'!$N$761:$P$780="L"))),0.4*(SUMPRODUCT(('Eval-Après action écologique'!$A$761:$A$780=FE17)*('Eval-Après action écologique'!$N$761:$P$780="LA"))+SUMPRODUCT(('Eval-Après action écologique'!$A$761:$A$780=FE17)*('Eval-Après action écologique'!$N$761:$P$780="LS"))),0.7*(SUMPRODUCT(('Eval-Après action écologique'!$A$761:$A$780=FE17)*('Eval-Après action écologique'!$N$761:$P$780="AL"))+SUMPRODUCT(('Eval-Après action écologique'!$A$761:$A$780=FE17)*('Eval-Après action écologique'!$N$761:$P$780="SL"))),1*(SUMPRODUCT(('Eval-Après action écologique'!$A$761:$A$780=FE17)*('Eval-Après action écologique'!$N$761:$P$780="S"))+ SUMPRODUCT(('Eval-Après action écologique'!$A$761:$A$780=FE17)*('Eval-Après action écologique'!$N$761:$P$780="A"))))/(3*COUNTIF('Eval-Après action écologique'!$A$761:$A$780,FE17))),"")</f>
        <v/>
      </c>
      <c r="FX17" s="211" t="str">
        <f>IF(COUNTIF('Eval-Après action écologique'!$A$761:$A$780,FE17)&gt;0,IF(OR(AND('Eval-Après action écologique'!$A$761=FE17,OR(COUNTIF('Eval-Après action écologique'!$N$761:$P$761,"*T*")&gt;0,GB9&lt;30)),AND('Eval-Après action écologique'!$A$762=FE17,OR(COUNTIF('Eval-Après action écologique'!$N$762:$P$762,"*T*")&gt;0,GB10&lt;30)),AND('Eval-Après action écologique'!$A$763=FE17,OR(COUNTIF('Eval-Après action écologique'!$N$763:$P$763,"*T*")&gt;0,GB11&lt;30)),AND('Eval-Après action écologique'!$A$764=FE17,OR(COUNTIF('Eval-Après action écologique'!$N$764:$P$764,"*T*")&gt;0,GB12&lt;30)),AND('Eval-Après action écologique'!$A$765=FE17,OR(COUNTIF('Eval-Après action écologique'!$N$765:$P$765,"*T*")&gt;0,GB13&lt;30)),AND('Eval-Après action écologique'!$A$766=FE17,OR(COUNTIF('Eval-Après action écologique'!$N$766:$P$766,"*T*")&gt;0,GB14&lt;30)),AND('Eval-Après action écologique'!$A$767=FE17,OR(COUNTIF('Eval-Après action écologique'!$N$767:$P$767,"*T*")&gt;0,GB15&lt;30)),AND('Eval-Après action écologique'!$A$768=FE17,OR(COUNTIF('Eval-Après action écologique'!$N$768:$P$768,"*T*")&gt;0,GB16&lt;30)),AND('Eval-Après action écologique'!$A$769=FE17,OR(COUNTIF('Eval-Après action écologique'!$N$769:$P$769,"*T*")&gt;0,GB17&lt;30)),AND('Eval-Après action écologique'!$A$770=FE17,OR(COUNTIF('Eval-Après action écologique'!$N$770:$P$770,"*T*")&gt;0,GB18&lt;30)),AND('Eval-Après action écologique'!$A$771=FE17,OR(COUNTIF('Eval-Après action écologique'!$N$771:$P$771,"*T*")&gt;0,GB19&lt;30)),AND('Eval-Après action écologique'!$A$772=FE17,OR(COUNTIF('Eval-Après action écologique'!$N$772:$P$772,"*T*")&gt;0,GB20&lt;30)),AND('Eval-Après action écologique'!$A$773=FE17,OR(COUNTIF('Eval-Après action écologique'!$N$773:$P$773,"*T*")&gt;0,GB21&lt;30)),AND('Eval-Après action écologique'!$A$774=FE17,OR(COUNTIF('Eval-Après action écologique'!$N$774:$P$774,"*T*")&gt;0,GB22&lt;30)),AND('Eval-Après action écologique'!$A$775=FE17,OR(COUNTIF('Eval-Après action écologique'!$N$775:$P$775,"*T*")&gt;0,GB23&lt;30)),AND('Eval-Après action écologique'!$A$776=FE17,OR(COUNTIF('Eval-Après action écologique'!$N$776:$P$776,"*T*")&gt;0,GB24&lt;30)),AND('Eval-Après action écologique'!$A$777=FE17,OR(COUNTIF('Eval-Après action écologique'!$N$777:$P$777,"*T*")&gt;0,GB25&lt;30)),AND('Eval-Après action écologique'!$A$778=FE17,OR(COUNTIF('Eval-Après action écologique'!$N$778:$P$778,"*T*")&gt;0,GB26&lt;30)),AND('Eval-Après action écologique'!$A$779=FE17,OR(COUNTIF('Eval-Après action écologique'!$N$779:$P$779,"*T*")&gt;0,GB27&lt;30)),AND('Eval-Après action écologique'!$A$780=FE17,OR(COUNTIF('Eval-Après action écologique'!$N$780:$P$780,"*T*")&gt;0,GB28&lt;30))),"",SUM(1*(SUMPRODUCT(('Eval-Après action écologique'!$A$761:$A$780=FE17)*('Eval-Après action écologique'!$N$761:$P$780="A"))),0.85*(SUMPRODUCT(('Eval-Après action écologique'!$A$761:$A$780=FE17)*('Eval-Après action écologique'!$N$761:$P$780="AL"))),0.7*(SUMPRODUCT(('Eval-Après action écologique'!$A$761:$A$780=FE17)*('Eval-Après action écologique'!$N$761:$P$780="LA"))),0.55*(SUMPRODUCT(('Eval-Après action écologique'!$A$761:$A$780=FE17)*('Eval-Après action écologique'!$N$761:$P$780="L"))),0.4*(SUMPRODUCT(('Eval-Après action écologique'!$A$761:$A$780=FE17)*('Eval-Après action écologique'!$N$761:$P$780="LS"))),0.25*(SUMPRODUCT(('Eval-Après action écologique'!$A$761:$A$780=FE17)*('Eval-Après action écologique'!$N$761:$P$780="SL"))),0.1*(SUMPRODUCT(('Eval-Après action écologique'!$A$761:$A$780=FE17)*('Eval-Après action écologique'!$N$761:$P$780="S"))))/(3*COUNTIF('Eval-Après action écologique'!$A$761:$A$780,FE17))),"")</f>
        <v/>
      </c>
      <c r="FY17" s="214" t="str">
        <f>IF(COUNTIF('Eval-Après action écologique'!$A$761:$A$780,FE17)&gt;0,IF(OR(AND('Eval-Après action écologique'!$A$761=FE17,OR(COUNTIF('Eval-Après action écologique'!$Q$761:$Y$761,"*T*")&gt;0,GB9&lt;120)),AND('Eval-Après action écologique'!$A$762=FE17,OR(COUNTIF('Eval-Après action écologique'!$Q$762:$Y$762,"*T*")&gt;0,GB10&lt;120)),AND('Eval-Après action écologique'!$A$763=FE17,OR(COUNTIF('Eval-Après action écologique'!$Q$763:$Y$763,"*T*")&gt;0,GB11&lt;120)),AND('Eval-Après action écologique'!$A$764=FE17,OR(COUNTIF('Eval-Après action écologique'!$Q$764:$Y$764,"*T*")&gt;0,GB12&lt;120)),AND('Eval-Après action écologique'!$A$765=FE17,OR(COUNTIF('Eval-Après action écologique'!$Q$765:$Y$765,"*T*")&gt;0,GB13&lt;120)),AND('Eval-Après action écologique'!$A$766=FE17,OR(COUNTIF('Eval-Après action écologique'!$Q$766:$Y$766,"*T*")&gt;0,GB14&lt;120)),AND('Eval-Après action écologique'!$A$767=FE17,OR(COUNTIF('Eval-Après action écologique'!$Q$767:$Y$767,"*T*")&gt;0,GB15&lt;120)),AND('Eval-Après action écologique'!$A$768=FE17,OR(COUNTIF('Eval-Après action écologique'!$Q$768:$Y$768,"*T*")&gt;0,GB16&lt;120)),AND('Eval-Après action écologique'!$A$769=FE17,OR(COUNTIF('Eval-Après action écologique'!$Q$769:$Y$769,"*T*")&gt;0,GB17&lt;120)),AND('Eval-Après action écologique'!$A$770=FE17,OR(COUNTIF('Eval-Après action écologique'!$Q$770:$Y$770,"*T*")&gt;0,GB18&lt;120)),AND('Eval-Après action écologique'!$A$771=FE17,OR(COUNTIF('Eval-Après action écologique'!$Q$771:$Y$771,"*T*")&gt;0,GB19&lt;120)),AND('Eval-Après action écologique'!$A$772=FE17,OR(COUNTIF('Eval-Après action écologique'!$Q$772:$Y$772,"*T*")&gt;0,GB20&lt;120)),AND('Eval-Après action écologique'!$A$773=FE17,OR(COUNTIF('Eval-Après action écologique'!$Q$773:$Y$773,"*T*")&gt;0,GB21&lt;120)),AND('Eval-Après action écologique'!$A$774=FE17,OR(COUNTIF('Eval-Après action écologique'!$Q$774:$Y$774,"*T*")&gt;0,GB22&lt;120)),AND('Eval-Après action écologique'!$A$775=FE17,OR(COUNTIF('Eval-Après action écologique'!$Q$775:$Y$775,"*T*")&gt;0,GB23&lt;120)),AND('Eval-Après action écologique'!$A$776=FE17,OR(COUNTIF('Eval-Après action écologique'!$Q$776:$Y$776,"*T*")&gt;0,GB24&lt;120)),AND('Eval-Après action écologique'!$A$777=FE17,OR(COUNTIF('Eval-Après action écologique'!$Q$777:$Y$777,"*T*")&gt;0,GB25&lt;120)),AND('Eval-Après action écologique'!$A$778=FE17,OR(COUNTIF('Eval-Après action écologique'!$Q$778:$Y$778,"*T*")&gt;0,GB26&lt;120)),AND('Eval-Après action écologique'!$A$779=FE17,OR(COUNTIF('Eval-Après action écologique'!$Q$779:$Y$779,"*T*")&gt;0,GB27&lt;120)),AND('Eval-Après action écologique'!$A$780=FE17,OR(COUNTIF('Eval-Après action écologique'!$Q$780:$Y$780,"*T*")&gt;0,GB28&lt;120))),"",SUM(1*(SUMPRODUCT(('Eval-Après action écologique'!$A$761:$A$780=FE17)*('Eval-Après action écologique'!$Q$761:$Y$780="A"))),0.85*(SUMPRODUCT(('Eval-Après action écologique'!$A$761:$A$780=FE17)*('Eval-Après action écologique'!$Q$761:$Y$780="AL"))),0.7*(SUMPRODUCT(('Eval-Après action écologique'!$A$761:$A$780=FE17)*('Eval-Après action écologique'!$Q$761:$Y$780="LA"))),0.55*(SUMPRODUCT(('Eval-Après action écologique'!$A$761:$A$780=FE17)*('Eval-Après action écologique'!$Q$761:$Y$780="L"))),0.4*(SUMPRODUCT(('Eval-Après action écologique'!$A$761:$A$780=FE17)*('Eval-Après action écologique'!$Q$761:$Y$780="LS"))),0.25*(SUMPRODUCT(('Eval-Après action écologique'!$A$761:$A$780=FE17)*('Eval-Après action écologique'!$Q$761:$Y$780="SL"))),0.1*(SUMPRODUCT(('Eval-Après action écologique'!$A$761:$A$780=FE17)*('Eval-Après action écologique'!$Q$761:$Y$780="S"))))/(9*COUNTIF('Eval-Après action écologique'!$A$761:$A$780,FE17))),"")</f>
        <v/>
      </c>
      <c r="FZ17" s="215"/>
      <c r="GA17" s="216">
        <f>'Eval-Après action écologique'!$D$769</f>
        <v>9</v>
      </c>
      <c r="GB17" s="217" t="str">
        <f>IF(GC17="C",0,IF(IF(COUNTIF('Eval-Après action écologique'!$N$769:$Y$769,"=C")&gt;0,(COUNTA('Eval-Après action écologique'!$N$769:$Y$769)-1)*10,COUNTA('Eval-Après action écologique'!$N$769:$Y$769)*10)=0,"",IF(COUNTIF('Eval-Après action écologique'!$N$769:$Y$769,"=C")&gt;0,(COUNTA('Eval-Après action écologique'!$N$769:$Y$769)-1)*10,COUNTA('Eval-Après action écologique'!$N$769:$Y$769)*10)))</f>
        <v/>
      </c>
      <c r="GC17" s="217" t="str">
        <f>CONCATENATE('Eval-Après action écologique'!$N$769,'Eval-Après action écologique'!$O$769,'Eval-Après action écologique'!$P$769,'Eval-Après action écologique'!$Q$769,'Eval-Après action écologique'!$R$769,'Eval-Après action écologique'!$S$769,'Eval-Après action écologique'!$T$769,'Eval-Après action écologique'!$U$769,'Eval-Après action écologique'!$V$769,'Eval-Après action écologique'!$W$769,'Eval-Après action écologique'!$X$769,'Eval-Après action écologique'!$Y$769)</f>
        <v/>
      </c>
      <c r="GD17" s="217" t="str">
        <f t="shared" si="20"/>
        <v/>
      </c>
      <c r="GE17" s="217" t="str">
        <f t="shared" si="21"/>
        <v/>
      </c>
      <c r="GF17" s="217" t="str">
        <f>IF(COUNTIF('Eval-Après action écologique'!$N$769:$Y$769,"=C")&gt;0,"X","")</f>
        <v/>
      </c>
      <c r="GG17" s="217" t="str">
        <f t="shared" si="22"/>
        <v/>
      </c>
      <c r="GH17" s="218" t="str">
        <f t="shared" si="23"/>
        <v/>
      </c>
      <c r="GI17" s="197"/>
    </row>
    <row r="18" spans="1:191" ht="18" customHeight="1" x14ac:dyDescent="0.2">
      <c r="A18" s="210">
        <v>10</v>
      </c>
      <c r="B18" s="211" t="str">
        <f>IF(COUNTIF('Eval-Avant impact'!$A$761:$A$780,A18)&gt;0,SUM(IF('Eval-Avant impact'!$A$761=A18,'Eval-Avant impact'!$B$761,0),IF('Eval-Avant impact'!$A$762=A18, 'Eval-Avant impact'!$B$762,0),IF('Eval-Avant impact'!$A$763=A18, 'Eval-Avant impact'!$B$763,0),IF('Eval-Avant impact'!$A$764=A18, 'Eval-Avant impact'!$B$764,0),IF('Eval-Avant impact'!$A$765=A18, 'Eval-Avant impact'!$B$765,0),IF('Eval-Avant impact'!$A$766=A18, 'Eval-Avant impact'!$B$766,0),IF('Eval-Avant impact'!$A$767=A18, 'Eval-Avant impact'!$B$767,0),IF('Eval-Avant impact'!$A$768=A18, 'Eval-Avant impact'!$B$768,0),IF('Eval-Avant impact'!$A$769=A18, 'Eval-Avant impact'!$B$769,0),IF('Eval-Avant impact'!$A$770=A18, 'Eval-Avant impact'!$B$770,0),IF('Eval-Avant impact'!$A$771=A18, 'Eval-Avant impact'!$B$771,0),IF('Eval-Avant impact'!$A$772=A18, 'Eval-Avant impact'!$B$772,0),IF('Eval-Avant impact'!$A$773=A18, 'Eval-Avant impact'!$B$773,0),IF('Eval-Avant impact'!$A$774=A18, 'Eval-Avant impact'!$B$774,0),IF('Eval-Avant impact'!$A$775=A18, 'Eval-Avant impact'!$B$775,0),IF('Eval-Avant impact'!$A$776=A18, 'Eval-Avant impact'!$B$776,0),IF('Eval-Avant impact'!$A$777=A18, 'Eval-Avant impact'!$B$777,0),IF('Eval-Avant impact'!$A$778=A18, 'Eval-Avant impact'!$B$778,0),IF('Eval-Avant impact'!$A$779=A18, 'Eval-Avant impact'!$B$779,0),IF('Eval-Avant impact'!$A$780=A18, 'Eval-Avant impact'!$B$780,0))/COUNTIF('Eval-Avant impact'!$A$761:$A$780,A18),"")</f>
        <v/>
      </c>
      <c r="C18" s="212" t="str">
        <f>IF(COUNTIF('Eval-Avant impact'!$A$761:$A$780,A18)&gt;0,COUNTIF('Eval-Avant impact'!$A$761:$A$780,A18),"")</f>
        <v/>
      </c>
      <c r="D18" s="211" t="str">
        <f>IF(COUNTIF('Eval-Avant impact'!$A$761:$A$780,A18)&gt;0,IF(OR(AND('Eval-Avant impact'!$A$761=A18, 'Eval-Avant impact'!$G$761=""),AND('Eval-Avant impact'!$A$762=A18, 'Eval-Avant impact'!$G$762=""),AND('Eval-Avant impact'!$A$763=A18, 'Eval-Avant impact'!$G$763=""),AND('Eval-Avant impact'!$A$764=A18, 'Eval-Avant impact'!$G$764=""),AND('Eval-Avant impact'!$A$765=A18, 'Eval-Avant impact'!$G$765=""),AND('Eval-Avant impact'!$A$766=A18, 'Eval-Avant impact'!$G$766=""),AND('Eval-Avant impact'!$A$767=A18, 'Eval-Avant impact'!$G$767=""),AND('Eval-Avant impact'!$A$768=A18, 'Eval-Avant impact'!$G$768=""),AND('Eval-Avant impact'!$A$769=A18, 'Eval-Avant impact'!$G$769=""),AND('Eval-Avant impact'!$A$770=A18, 'Eval-Avant impact'!$G$770=""),AND('Eval-Avant impact'!$A$771=A18, 'Eval-Avant impact'!$G$771=""),AND('Eval-Avant impact'!$A$772=A18, 'Eval-Avant impact'!$G$772=""),AND('Eval-Avant impact'!$A$773=A18, 'Eval-Avant impact'!$G$773=""),AND('Eval-Avant impact'!$A$774=A18, 'Eval-Avant impact'!$G$774=""),AND('Eval-Avant impact'!$A$775=A18, 'Eval-Avant impact'!$G$775=""),AND('Eval-Avant impact'!$A$776=A18, 'Eval-Avant impact'!$G$776=""),AND('Eval-Avant impact'!$A$777=A18, 'Eval-Avant impact'!$G$777=""),AND('Eval-Avant impact'!$A$778=A18, 'Eval-Avant impact'!$G$778=""),AND('Eval-Avant impact'!$A$779=A18, 'Eval-Avant impact'!$G$779=""),AND('Eval-Avant impact'!$A$780=A18, 'Eval-Avant impact'!$G$780="")),"",SUM(IF('Eval-Avant impact'!$A$761=A18,'Eval-Avant impact'!$G$761,0),IF('Eval-Avant impact'!$A$762=A18,'Eval-Avant impact'!$G$762,0),IF('Eval-Avant impact'!$A$763=A18,'Eval-Avant impact'!$G$763,0),IF('Eval-Avant impact'!$A$764=A18,'Eval-Avant impact'!$G$764,0),IF('Eval-Avant impact'!$A$765=A18,'Eval-Avant impact'!$G$765,0),IF('Eval-Avant impact'!$A$766=A18,'Eval-Avant impact'!$G$766,0),IF('Eval-Avant impact'!$A$767=A18,'Eval-Avant impact'!$G$767,0),IF('Eval-Avant impact'!$A$768=A18,'Eval-Avant impact'!$G$768,0),IF('Eval-Avant impact'!$A$769=A18,'Eval-Avant impact'!$G$769,0),IF('Eval-Avant impact'!$A$770=A18,'Eval-Avant impact'!$G$770,0),IF('Eval-Avant impact'!$A$771=A18,'Eval-Avant impact'!$G$771,0),IF('Eval-Avant impact'!$A$772=A18,'Eval-Avant impact'!$G$772,0),IF('Eval-Avant impact'!$A$773=A18,'Eval-Avant impact'!$G$773,0),IF('Eval-Avant impact'!$A$774=A18,'Eval-Avant impact'!$G$774,0),IF('Eval-Avant impact'!$A$775=A18,'Eval-Avant impact'!$G$775,0), IF('Eval-Avant impact'!$A$776=A18,'Eval-Avant impact'!$G$776,0), IF('Eval-Avant impact'!$A$777=A18,'Eval-Avant impact'!$G$777,0), IF('Eval-Avant impact'!$A$778=A18,'Eval-Avant impact'!$G$778,0), IF('Eval-Avant impact'!$A$779=A18,'Eval-Avant impact'!$G$779,0), IF('Eval-Avant impact'!$A$780=A18,'Eval-Avant impact'!$G$780,0))/ COUNTIF('Eval-Avant impact'!$A$761:$A$780,A18)),"")</f>
        <v/>
      </c>
      <c r="E18" s="212" t="str">
        <f>IF(COUNTIF('Eval-Avant impact'!$A$761:$A$780,A18)&gt;0,IF(SUM(IF('Eval-Avant impact'!$A$761=A18,COUNTA('Eval-Avant impact'!$H$761),0),IF('Eval-Avant impact'!$A$762=A18,COUNTA('Eval-Avant impact'!$H$762),0),IF('Eval-Avant impact'!$A$763=A18,COUNTA('Eval-Avant impact'!$H$763),0),IF('Eval-Avant impact'!$A$764=A18,COUNTA('Eval-Avant impact'!$H$764),0),IF('Eval-Avant impact'!$A$765=A18,COUNTA('Eval-Avant impact'!$H$765),0),IF('Eval-Avant impact'!$A$766=A18,COUNTA('Eval-Avant impact'!$H$766),0),IF('Eval-Avant impact'!$A$767=A18,COUNTA('Eval-Avant impact'!$H$767),0),IF('Eval-Avant impact'!$A$768=A18,COUNTA('Eval-Avant impact'!$H$768),0),IF('Eval-Avant impact'!$A$769=A18,COUNTA('Eval-Avant impact'!$H$769),0),IF('Eval-Avant impact'!$A$770=A18,COUNTA('Eval-Avant impact'!$H$770),0),IF('Eval-Avant impact'!$A$771=A18,COUNTA('Eval-Avant impact'!$H$771),0),IF('Eval-Avant impact'!$A$772=A18,COUNTA('Eval-Avant impact'!$H$772),0),IF('Eval-Avant impact'!$A$773=A18,COUNTA('Eval-Avant impact'!$H$773),0),IF('Eval-Avant impact'!$A$774=A18,COUNTA('Eval-Avant impact'!$H$774),0),IF('Eval-Avant impact'!$A$775=A18,COUNTA('Eval-Avant impact'!$H$775),0),IF('Eval-Avant impact'!$A$776=A18,COUNTA('Eval-Avant impact'!$H$776),0),IF('Eval-Avant impact'!$A$777=A18,COUNTA('Eval-Avant impact'!$H$777),0),IF('Eval-Avant impact'!$A$778=A18,COUNTA('Eval-Avant impact'!$H$778),0),IF('Eval-Avant impact'!$A$779=A18,COUNTA('Eval-Avant impact'!$H$779),0),IF('Eval-Avant impact'!$A$780=A18,COUNTA('Eval-Avant impact'!$H$780),0))&gt;0,"X",0),"")</f>
        <v/>
      </c>
      <c r="F18" s="213" t="str">
        <f>IF(COUNTIF('Eval-Avant impact'!$A$761:$A$780,A18)&gt;0,IF(SUM(IF('Eval-Avant impact'!$A$761=A18,COUNTA('Eval-Avant impact'!$I$761),0),IF('Eval-Avant impact'!$A$762=A18,COUNTA('Eval-Avant impact'!$I$762),0),IF('Eval-Avant impact'!$A$763=A18,COUNTA('Eval-Avant impact'!$I$763),0),IF('Eval-Avant impact'!$A$764=A18,COUNTA('Eval-Avant impact'!$I$764),0),IF('Eval-Avant impact'!$A$765=A18,COUNTA('Eval-Avant impact'!$I$765),0),IF('Eval-Avant impact'!$A$766=A18,COUNTA('Eval-Avant impact'!$I$766),0),IF('Eval-Avant impact'!$A$767=A18,COUNTA('Eval-Avant impact'!$I$767),0),IF('Eval-Avant impact'!$A$768=A18,COUNTA('Eval-Avant impact'!$I$768),0),IF('Eval-Avant impact'!$A$769=A18,COUNTA('Eval-Avant impact'!$I$769),0),IF('Eval-Avant impact'!$A$770=A18,COUNTA('Eval-Avant impact'!$I$770),0),IF('Eval-Avant impact'!$A$771=A18,COUNTA('Eval-Avant impact'!$I$771),0),IF('Eval-Avant impact'!$A$772=A18,COUNTA('Eval-Avant impact'!$I$772),0),IF('Eval-Avant impact'!$A$773=A18,COUNTA('Eval-Avant impact'!$I$773),0),IF('Eval-Avant impact'!$A$774=A18,COUNTA('Eval-Avant impact'!$I$774),0),IF('Eval-Avant impact'!$A$775=A18,COUNTA('Eval-Avant impact'!$I$775),0),IF('Eval-Avant impact'!$A$776=A18,COUNTA('Eval-Avant impact'!$I$776),0),IF('Eval-Avant impact'!$A$777=A18,COUNTA('Eval-Avant impact'!$I$777),0),IF('Eval-Avant impact'!$A$778=A18,COUNTA('Eval-Avant impact'!$I$778),0),IF('Eval-Avant impact'!$A$779=A18,COUNTA('Eval-Avant impact'!$I$779),0),IF('Eval-Avant impact'!$A$780=A18,COUNTA('Eval-Avant impact'!$I$780),0))&gt;0,"X",0),"")</f>
        <v/>
      </c>
      <c r="G18" s="213" t="str">
        <f>IF(COUNTIF('Eval-Avant impact'!$A$761:$A$780,A18)&gt;0,IF(SUM(IF('Eval-Avant impact'!$A$761=A18,COUNTA('Eval-Avant impact'!$J$761),0),IF('Eval-Avant impact'!$A$762=A18,COUNTA('Eval-Avant impact'!$J$762),0),IF('Eval-Avant impact'!$A$763=A18,COUNTA('Eval-Avant impact'!$J$763),0),IF('Eval-Avant impact'!$A$764=A18,COUNTA('Eval-Avant impact'!$J$764),0),IF('Eval-Avant impact'!$A$765=A18,COUNTA('Eval-Avant impact'!$J$765),0),IF('Eval-Avant impact'!$A$766=A18,COUNTA('Eval-Avant impact'!$J$766),0),IF('Eval-Avant impact'!$A$767=A18,COUNTA('Eval-Avant impact'!$J$767),0),IF('Eval-Avant impact'!$A$768=A18,COUNTA('Eval-Avant impact'!$J$768),0),IF('Eval-Avant impact'!$A$769=A18,COUNTA('Eval-Avant impact'!$J$769),0),IF('Eval-Avant impact'!$A$770=A18,COUNTA('Eval-Avant impact'!$J$770),0),IF('Eval-Avant impact'!$A$771=A18,COUNTA('Eval-Avant impact'!$J$771),0),IF('Eval-Avant impact'!$A$772=A18,COUNTA('Eval-Avant impact'!$J$772),0),IF('Eval-Avant impact'!$A$773=A18,COUNTA('Eval-Avant impact'!$J$773),0),IF('Eval-Avant impact'!$A$774=A18,COUNTA('Eval-Avant impact'!$J$774),0),IF('Eval-Avant impact'!$A$775=A18,COUNTA('Eval-Avant impact'!$J$775),0),IF('Eval-Avant impact'!$A$776=A18,COUNTA('Eval-Avant impact'!$J$776),0),IF('Eval-Avant impact'!$A$777=A18,COUNTA('Eval-Avant impact'!$J$777),0),IF('Eval-Avant impact'!$A$778=A18,COUNTA('Eval-Avant impact'!$J$778),0),IF('Eval-Avant impact'!$A$779=A18,COUNTA('Eval-Avant impact'!$J$779),0),IF('Eval-Avant impact'!$A$780=A18,COUNTA('Eval-Avant impact'!$J$780),0))&gt;0,"X",0),"")</f>
        <v/>
      </c>
      <c r="H18" s="213" t="str">
        <f>IF(COUNTIF('Eval-Avant impact'!$A$761:$A$780,A18)&gt;0,IF(SUM(IF('Eval-Avant impact'!$A$761=A18,COUNTA('Eval-Avant impact'!$K$761),0),IF('Eval-Avant impact'!$A$762=A18,COUNTA('Eval-Avant impact'!$K$762),0),IF('Eval-Avant impact'!$A$763=A18,COUNTA('Eval-Avant impact'!$K$763),0),IF('Eval-Avant impact'!$A$764=A18,COUNTA('Eval-Avant impact'!$K$764),0),IF('Eval-Avant impact'!$A$765=A18,COUNTA('Eval-Avant impact'!$K$765),0),IF('Eval-Avant impact'!$A$766=A18,COUNTA('Eval-Avant impact'!$K$766),0),IF('Eval-Avant impact'!$A$767=A18,COUNTA('Eval-Avant impact'!$K$767),0),IF('Eval-Avant impact'!$A$768=A18,COUNTA('Eval-Avant impact'!$K$768),0),IF('Eval-Avant impact'!$A$769=A18,COUNTA('Eval-Avant impact'!$K$769),0),IF('Eval-Avant impact'!$A$770=A18,COUNTA('Eval-Avant impact'!$K$770),0),IF('Eval-Avant impact'!$A$771=A18,COUNTA('Eval-Avant impact'!$K$771),0),IF('Eval-Avant impact'!$A$772=A18,COUNTA('Eval-Avant impact'!$K$772),0),IF('Eval-Avant impact'!$A$773=A18,COUNTA('Eval-Avant impact'!$K$773),0),IF('Eval-Avant impact'!$A$774=A18,COUNTA('Eval-Avant impact'!$K$774),0),IF('Eval-Avant impact'!$A$775=A18,COUNTA('Eval-Avant impact'!$K$775),0),IF('Eval-Avant impact'!$A$776=A18,COUNTA('Eval-Avant impact'!$K$776),0),IF('Eval-Avant impact'!$A$777=A18,COUNTA('Eval-Avant impact'!$K$777),0),IF('Eval-Avant impact'!$A$778=A18,COUNTA('Eval-Avant impact'!$K$778),0),IF('Eval-Avant impact'!$A$779=A18,COUNTA('Eval-Avant impact'!$K$779),0),IF('Eval-Avant impact'!$A$780=A18,COUNTA('Eval-Avant impact'!$K$780),0))&gt;0,"X",0),"")</f>
        <v/>
      </c>
      <c r="I18" s="211" t="str">
        <f>IF(COUNTIF('Eval-Avant impact'!$A$761:$A$780,A18)&gt;0,IF(OR(AND('Eval-Avant impact'!$A$761=A18,'Eval-Avant impact'!$L$761&lt;120,'Eval-Avant impact'!$L$761&gt;=X9),AND('Eval-Avant impact'!$A$762=A18,'Eval-Avant impact'!$L$762&lt;120,'Eval-Avant impact'!$L$762&gt;=X10),AND('Eval-Avant impact'!$A$763=A18,'Eval-Avant impact'!$L$763&lt;120,'Eval-Avant impact'!$L$763&gt;=X11),AND('Eval-Avant impact'!$A$764=A18,'Eval-Avant impact'!$L$764&lt;120,'Eval-Avant impact'!$L$764&gt;=X12),AND('Eval-Avant impact'!$A$765=A18,'Eval-Avant impact'!$L$765&lt;120,'Eval-Avant impact'!$L$765&gt;=X13),AND('Eval-Avant impact'!$A$766=A18,'Eval-Avant impact'!$L$766&lt;120,'Eval-Avant impact'!$L$766&gt;=X14),AND('Eval-Avant impact'!$A$767=A18,'Eval-Avant impact'!$L$767&lt;120,'Eval-Avant impact'!$L$767&gt;=X15),AND('Eval-Avant impact'!$A$768=A18,'Eval-Avant impact'!$L$768&lt;120,'Eval-Avant impact'!$L$768&gt;=X16),AND('Eval-Avant impact'!$A$769=A18,'Eval-Avant impact'!$L$769&lt;120,'Eval-Avant impact'!$L$769&gt;=X17),AND('Eval-Avant impact'!$A$770=A18,'Eval-Avant impact'!$L$770&lt;120,'Eval-Avant impact'!$L$770&gt;=X18),AND('Eval-Avant impact'!$A$771=A18,'Eval-Avant impact'!$L$771&lt;120,'Eval-Avant impact'!$L$771&gt;=X19),AND('Eval-Avant impact'!$A$772=A18,'Eval-Avant impact'!$L$772&lt;120,'Eval-Avant impact'!$L$772&gt;=X20),AND('Eval-Avant impact'!$A$773=A18,'Eval-Avant impact'!$L$773&lt;120,'Eval-Avant impact'!$L$773&gt;=X21),AND('Eval-Avant impact'!$A$774=A18,'Eval-Avant impact'!$L$774&lt;120,'Eval-Avant impact'!$L$774&gt;=X22),AND('Eval-Avant impact'!$A$775=A18,'Eval-Avant impact'!$L$775&lt;120,'Eval-Avant impact'!$L$775&gt;=X23),AND('Eval-Avant impact'!$A$776=A18,'Eval-Avant impact'!$L$776&lt;120,'Eval-Avant impact'!$L$776&gt;=X24),AND('Eval-Avant impact'!$A$777=A18,'Eval-Avant impact'!$L$777&lt;120,'Eval-Avant impact'!$L$777&gt;=X25),AND('Eval-Avant impact'!$A$778=A18,'Eval-Avant impact'!$L$778&lt;120,'Eval-Avant impact'!$L$778&gt;=X26),AND('Eval-Avant impact'!$A$779=A18,'Eval-Avant impact'!$L$779&lt;120,'Eval-Avant impact'!$L$779&gt;=X27),AND('Eval-Avant impact'!$A$780=A18,'Eval-Avant impact'!$L$780&lt;120,'Eval-Avant impact'!$L$780&gt;=X28)),"",SUM(IF('Eval-Avant impact'!$A$761=A18,'Eval-Avant impact'!$L$761,0),IF('Eval-Avant impact'!$A$762=A18,'Eval-Avant impact'!$L$762,0),IF('Eval-Avant impact'!$A$763=A18,'Eval-Avant impact'!$L$763,0),IF('Eval-Avant impact'!$A$764=A18,'Eval-Avant impact'!$L$764,0),IF('Eval-Avant impact'!$A$765=A18,'Eval-Avant impact'!$L$765,0),IF('Eval-Avant impact'!$A$766=A18,'Eval-Avant impact'!$L$766,0),IF('Eval-Avant impact'!$A$767=A18,'Eval-Avant impact'!$L$767,0),IF('Eval-Avant impact'!$A$768=A18,'Eval-Avant impact'!$L$768,0),IF('Eval-Avant impact'!$A$769=A18,'Eval-Avant impact'!$L$769,0),IF('Eval-Avant impact'!$A$770=A18,'Eval-Avant impact'!$L$770,0),IF('Eval-Avant impact'!$A$771=A18,'Eval-Avant impact'!$L$771,0),IF('Eval-Avant impact'!$A$772=A18,'Eval-Avant impact'!$L$772,0),IF('Eval-Avant impact'!$A$773=A18,'Eval-Avant impact'!$L$773,0),IF('Eval-Avant impact'!$A$774=A18,'Eval-Avant impact'!$L$774,0),IF('Eval-Avant impact'!$A$775=A18,'Eval-Avant impact'!$L$775,0),IF('Eval-Avant impact'!$A$776=A18,'Eval-Avant impact'!$L$776,0),IF('Eval-Avant impact'!$A$777=A18,'Eval-Avant impact'!$L$777,0),IF('Eval-Avant impact'!$A$778=A18,'Eval-Avant impact'!$L$778,0),IF('Eval-Avant impact'!$A$779=A18,'Eval-Avant impact'!$L$779,0),IF('Eval-Avant impact'!$A$780=A18,'Eval-Avant impact'!$L$780,0))/ COUNTIF('Eval-Avant impact'!$A$761:$A$780,A18)),"")</f>
        <v/>
      </c>
      <c r="J18" s="211" t="str">
        <f>IF(COUNTIF('Eval-Avant impact'!$A$761:$A$780,A18)&gt;0,IF(OR(AND('Eval-Avant impact'!$A$761=A18, X9&lt;120),AND(X10&lt;120),AND(X11&lt;120),AND(X12&lt;120),AND(X13&lt;120),AND(X14&lt;120),AND(X15&lt;120),AND(X16&lt;120),AND(X17&lt;120),AND(X18&lt;120),AND(X19&lt;120),AND(X20&lt;120),AND(X21&lt;120),AND(X22&lt;120),AND(X23&lt;120),AND(X24&lt;120),AND(X25&lt;120),AND(X26&lt;120),AND(X27&lt;120),AND(X28&lt;120)),"",SUM(IF('Eval-Avant impact'!$A$761=A18,'Eval-Avant impact'!$M$761,0),IF('Eval-Avant impact'!$A$762=A18,'Eval-Avant impact'!$M$762,0),IF('Eval-Avant impact'!$A$763=A18,'Eval-Avant impact'!$M$763,0),IF('Eval-Avant impact'!$A$764=A18,'Eval-Avant impact'!$M$764,0),IF('Eval-Avant impact'!$A$765=A18,'Eval-Avant impact'!$M$765,0),IF('Eval-Avant impact'!$A$766=A18,'Eval-Avant impact'!$M$766,0),IF('Eval-Avant impact'!$A$767=A18,'Eval-Avant impact'!$M$767,0),IF('Eval-Avant impact'!$A$768=A18,'Eval-Avant impact'!$M$768,0),IF('Eval-Avant impact'!$A$769=A18,'Eval-Avant impact'!$M$769,0),IF('Eval-Avant impact'!$A$770=A18,'Eval-Avant impact'!$M$770,0),IF('Eval-Avant impact'!$A$771=A18,'Eval-Avant impact'!$M$771,0),IF('Eval-Avant impact'!$A$772=A18,'Eval-Avant impact'!$M$772,0),IF('Eval-Avant impact'!$A$773=A18,'Eval-Avant impact'!$M$773,0),IF('Eval-Avant impact'!$A$774=A18,'Eval-Avant impact'!$M$774,0),IF('Eval-Avant impact'!$A$775=A18,'Eval-Avant impact'!$M$775,0), IF('Eval-Avant impact'!$A$776=A18,'Eval-Avant impact'!$M$776,0), IF('Eval-Avant impact'!$A$777=A18,'Eval-Avant impact'!$M$777,0), IF('Eval-Avant impact'!$A$778=A18,'Eval-Avant impact'!$M$778,0), IF('Eval-Avant impact'!$A$779=A18,'Eval-Avant impact'!$M$779,0), IF('Eval-Avant impact'!$A$780=A18,'Eval-Avant impact'!$M$780,0))/COUNTIF('Eval-Avant impact'!$A$761:$A$780,A18)),"")</f>
        <v/>
      </c>
      <c r="K18" s="211" t="str">
        <f>IF(COUNTIF('Eval-Avant impact'!$A$761:$A$780,A18)&gt;0,SUM(IF('Eval-Avant impact'!$A$761=A18,LEN(SUBSTITUTE((SUBSTITUTE(Z9,"TM","")),"TS",""))*10/2,0),IF('Eval-Avant impact'!$A$762=A18,LEN(SUBSTITUTE((SUBSTITUTE(Z10,"TM","")),"TS",""))*10/2,0),IF('Eval-Avant impact'!$A$763=A18,LEN(SUBSTITUTE((SUBSTITUTE(Z11,"TM","")),"TS",""))*10/2,0),IF('Eval-Avant impact'!$A$764=A18,LEN(SUBSTITUTE((SUBSTITUTE(Z12,"TM","")),"TS",""))*10/2,0),IF('Eval-Avant impact'!$A$765=A18,LEN(SUBSTITUTE((SUBSTITUTE(Z13,"TM","")),"TS",""))*10/2,0),IF('Eval-Avant impact'!$A$766=A18,LEN(SUBSTITUTE((SUBSTITUTE(Z14,"TM","")),"TS",""))*10/2,0),IF('Eval-Avant impact'!$A$767=A18,LEN(SUBSTITUTE((SUBSTITUTE(Z15,"TM","")),"TS",""))*10/2,0),IF('Eval-Avant impact'!$A$768=A18,LEN(SUBSTITUTE((SUBSTITUTE(Z16,"TM","")),"TS",""))*10/2,0),IF('Eval-Avant impact'!$A$769=A18,LEN(SUBSTITUTE((SUBSTITUTE(Z17,"TM","")),"TS",""))*10/2,0),IF('Eval-Avant impact'!$A$770=A18,LEN(SUBSTITUTE((SUBSTITUTE(Z18,"TM","")),"TS",""))*10/2,0),IF('Eval-Avant impact'!$A$771=A18,LEN(SUBSTITUTE((SUBSTITUTE(Z19,"TM","")),"TS",""))*10/2,0),IF('Eval-Avant impact'!$A$772=A18,LEN(SUBSTITUTE((SUBSTITUTE(Z20,"TM","")),"TS",""))*10/2,0),IF('Eval-Avant impact'!$A$773=A18,LEN(SUBSTITUTE((SUBSTITUTE(Z21,"TM","")),"TS",""))*10/2,0),IF('Eval-Avant impact'!$A$774=A18,LEN(SUBSTITUTE((SUBSTITUTE(Z22,"TM","")),"TS",""))*10/2,0),IF('Eval-Avant impact'!$A$775=A18,LEN(SUBSTITUTE((SUBSTITUTE(Z23,"TM","")),"TS",""))*10/2,0),IF('Eval-Avant impact'!$A$776=A18,LEN(SUBSTITUTE((SUBSTITUTE(Z24,"TM","")),"TS",""))*10/2,0),IF('Eval-Avant impact'!$A$777=A18,LEN(SUBSTITUTE((SUBSTITUTE(Z25,"TM","")),"TS",""))*10/2,0),IF('Eval-Avant impact'!$A$778=A18,LEN(SUBSTITUTE((SUBSTITUTE(Z26,"TM","")),"TS",""))*10/2,0),IF('Eval-Avant impact'!$A$779=A18,LEN(SUBSTITUTE((SUBSTITUTE(Z27,"TM","")),"TS",""))*10/2,0),IF('Eval-Avant impact'!$A$780=A18,LEN(SUBSTITUTE((SUBSTITUTE(Z28,"TM","")),"TS",""))*10/2,0))/COUNTIF('Eval-Avant impact'!$A$761:$A$780,A18),"")</f>
        <v/>
      </c>
      <c r="L18" s="211" t="str">
        <f>IF(COUNTIF('Eval-Avant impact'!$A$761:$A$780,A18)&gt;0,SUM(IF('Eval-Avant impact'!$A$761=A18,LEN(SUBSTITUTE((SUBSTITUTE(Z9,"TF","")),"TS",""))*10/2,0),IF('Eval-Avant impact'!$A$762=A18,LEN(SUBSTITUTE((SUBSTITUTE(Z10,"TF","")),"TS",""))*10/2,0),IF('Eval-Avant impact'!$A$763=A18,LEN(SUBSTITUTE((SUBSTITUTE(Z11,"TF","")),"TS",""))*10/2,0),IF('Eval-Avant impact'!$A$764=A18,LEN(SUBSTITUTE((SUBSTITUTE(Z12,"TF","")),"TS",""))*10/2,0),IF('Eval-Avant impact'!$A$765=A18,LEN(SUBSTITUTE((SUBSTITUTE(Z13,"TF","")),"TS",""))*10/2,0),IF('Eval-Avant impact'!$A$766=A18,LEN(SUBSTITUTE((SUBSTITUTE(Z14,"TF","")),"TS",""))*10/2,0),IF('Eval-Avant impact'!$A$767=A18,LEN(SUBSTITUTE((SUBSTITUTE(Z15,"TF","")),"TS",""))*10/2,0),IF('Eval-Avant impact'!$A$768=A18,LEN(SUBSTITUTE((SUBSTITUTE(Z16,"TF","")),"TS",""))*10/2,0),IF('Eval-Avant impact'!$A$769=A18,LEN(SUBSTITUTE((SUBSTITUTE(Z17,"TF","")),"TS",""))*10/2,0),IF('Eval-Avant impact'!$A$770=A18,LEN(SUBSTITUTE((SUBSTITUTE(Z18,"TF","")),"TS",""))*10/2,0),IF('Eval-Avant impact'!$A$771=A18,LEN(SUBSTITUTE((SUBSTITUTE(Z19,"TF","")),"TS",""))*10/2,0),IF('Eval-Avant impact'!$A$772=A18,LEN(SUBSTITUTE((SUBSTITUTE(Z20,"TF","")),"TS",""))*10/2,0),IF('Eval-Avant impact'!$A$773=A18,LEN(SUBSTITUTE((SUBSTITUTE(Z21,"TF","")),"TS",""))*10/2,0),IF('Eval-Avant impact'!$A$774=A18,LEN(SUBSTITUTE((SUBSTITUTE(Z22,"TF","")),"TS",""))*10/2,0),IF('Eval-Avant impact'!$A$775=A18,LEN(SUBSTITUTE((SUBSTITUTE(Z23,"TF","")),"TS",""))*10/2,0),IF('Eval-Avant impact'!$A$776=A18,LEN(SUBSTITUTE((SUBSTITUTE(Z24,"TF","")),"TS",""))*10/2,0),IF('Eval-Avant impact'!$A$777=A18,LEN(SUBSTITUTE((SUBSTITUTE(Z25,"TF","")),"TS",""))*10/2,0),IF('Eval-Avant impact'!$A$778=A18,LEN(SUBSTITUTE((SUBSTITUTE(Z26,"TF","")),"TS",""))*10/2,0),IF('Eval-Avant impact'!$A$779=A18,LEN(SUBSTITUTE((SUBSTITUTE(Z27,"TF","")),"TS",""))*10/2,0),IF('Eval-Avant impact'!$A$780=A18,LEN(SUBSTITUTE((SUBSTITUTE(Z28,"TF","")),"TS",""))*10/2,0))/COUNTIF('Eval-Avant impact'!$A$761:$A$780,A18),"")</f>
        <v/>
      </c>
      <c r="M18" s="211" t="str">
        <f>IF(COUNTIF('Eval-Avant impact'!$A$761:$A$780,A18)&gt;0,SUM(IF('Eval-Avant impact'!$A$761=A18,LEN(SUBSTITUTE((SUBSTITUTE(Z9,"TF","")),"TM",""))*10/2,0),IF('Eval-Avant impact'!$A$762=A18,LEN(SUBSTITUTE((SUBSTITUTE(Z10,"TF","")),"TM",""))*10/2,0),IF('Eval-Avant impact'!$A$763=A18,LEN(SUBSTITUTE((SUBSTITUTE(Z11,"TF","")),"TM",""))*10/2,0),IF('Eval-Avant impact'!$A$764=A18,LEN(SUBSTITUTE((SUBSTITUTE(Z12,"TF","")),"TM",""))*10/2,0),IF('Eval-Avant impact'!$A$765=A18,LEN(SUBSTITUTE((SUBSTITUTE(Z13,"TF","")),"TM",""))*10/2,0),IF('Eval-Avant impact'!$A$766=A18,LEN(SUBSTITUTE((SUBSTITUTE(Z14,"TF","")),"TM",""))*10/2,0),IF('Eval-Avant impact'!$A$767=A18,LEN(SUBSTITUTE((SUBSTITUTE(Z15,"TF","")),"TM",""))*10/2,0),IF('Eval-Avant impact'!$A$768=A18,LEN(SUBSTITUTE((SUBSTITUTE(Z16,"TF","")),"TM",""))*10/2,0),IF('Eval-Avant impact'!$A$769=A18,LEN(SUBSTITUTE((SUBSTITUTE(Z17,"TF","")),"TM",""))*10/2,0),IF('Eval-Avant impact'!$A$770=A18,LEN(SUBSTITUTE((SUBSTITUTE(Z18,"TF","")),"TM",""))*10/2,0),IF('Eval-Avant impact'!$A$771=A18,LEN(SUBSTITUTE((SUBSTITUTE(Z19,"TF","")),"TM",""))*10/2,0),IF('Eval-Avant impact'!$A$772=A18,LEN(SUBSTITUTE((SUBSTITUTE(Z20,"TF","")),"TM",""))*10/2,0),IF('Eval-Avant impact'!$A$773=A18,LEN(SUBSTITUTE((SUBSTITUTE(Z21,"TF","")),"TM",""))*10/2,0),IF('Eval-Avant impact'!$A$774=A18,LEN(SUBSTITUTE((SUBSTITUTE(Z22,"TF","")),"TM",""))*10/2,0),IF('Eval-Avant impact'!$A$775=A18,LEN(SUBSTITUTE((SUBSTITUTE(Z23,"TF","")),"TM",""))*10/2,0),IF('Eval-Avant impact'!$A$776=A18,LEN(SUBSTITUTE((SUBSTITUTE(Z24,"TF","")),"TM",""))*10/2,0),IF('Eval-Avant impact'!$A$777=A18,LEN(SUBSTITUTE((SUBSTITUTE(Z25,"TF","")),"TM",""))*10/2,0),IF('Eval-Avant impact'!$A$778=A18,LEN(SUBSTITUTE((SUBSTITUTE(Z26,"TF","")),"TM",""))*10/2,0),IF('Eval-Avant impact'!$A$779=A18,LEN(SUBSTITUTE((SUBSTITUTE(Z27,"TF","")),"TM",""))*10/2,0),IF('Eval-Avant impact'!$A$780=A18,LEN(SUBSTITUTE((SUBSTITUTE(Z28,"TF","")),"TM",""))*10/2,0))/COUNTIF('Eval-Avant impact'!$A$761:$A$780,A18),"")</f>
        <v/>
      </c>
      <c r="N18" s="211" t="str">
        <f>IF(COUNTIF('Eval-Avant impact'!$A$761:$A$780,A18)&gt;0,SUM(IF('Eval-Avant impact'!$A$761=A18,LEN(SUBSTITUTE((SUBSTITUTE(AA9,"TM","")),"TS",""))*10/2,0),IF('Eval-Avant impact'!$A$762=A18,LEN(SUBSTITUTE((SUBSTITUTE(AA10,"TM","")),"TS",""))*10/2,0),IF('Eval-Avant impact'!$A$763=A18,LEN(SUBSTITUTE((SUBSTITUTE(AA11,"TM","")),"TS",""))*10/2,0),IF('Eval-Avant impact'!$A$764=A18,LEN(SUBSTITUTE((SUBSTITUTE(AA12,"TM","")),"TS",""))*10/2,0),IF('Eval-Avant impact'!$A$765=A18,LEN(SUBSTITUTE((SUBSTITUTE(AA13,"TM","")),"TS",""))*10/2,0),IF('Eval-Avant impact'!$A$766=A18,LEN(SUBSTITUTE((SUBSTITUTE(AA14,"TM","")),"TS",""))*10/2,0),IF('Eval-Avant impact'!$A$767=A18,LEN(SUBSTITUTE((SUBSTITUTE(AA15,"TM","")),"TS",""))*10/2,0),IF('Eval-Avant impact'!$A$768=A18,LEN(SUBSTITUTE((SUBSTITUTE(AA16,"TM","")),"TS",""))*10/2,0),IF('Eval-Avant impact'!$A$769=A18,LEN(SUBSTITUTE((SUBSTITUTE(AA17,"TM","")),"TS",""))*10/2,0),IF('Eval-Avant impact'!$A$770=A18,LEN(SUBSTITUTE((SUBSTITUTE(AA18,"TM","")),"TS",""))*10/2,0),IF('Eval-Avant impact'!$A$771=A18,LEN(SUBSTITUTE((SUBSTITUTE(AA19,"TM","")),"TS",""))*10/2,0),IF('Eval-Avant impact'!$A$772=A18,LEN(SUBSTITUTE((SUBSTITUTE(AA20,"TM","")),"TS",""))*10/2,0),IF('Eval-Avant impact'!$A$773=A18,LEN(SUBSTITUTE((SUBSTITUTE(AA21,"TM","")),"TS",""))*10/2,0),IF('Eval-Avant impact'!$A$774=A18,LEN(SUBSTITUTE((SUBSTITUTE(AA22,"TM","")),"TS",""))*10/2,0),IF('Eval-Avant impact'!$A$775=A18,LEN(SUBSTITUTE((SUBSTITUTE(AA23,"TM","")),"TS",""))*10/2,0),IF('Eval-Avant impact'!$A$776=A18,LEN(SUBSTITUTE((SUBSTITUTE(AA24,"TM","")),"TS",""))*10/2,0),IF('Eval-Avant impact'!$A$777=A18,LEN(SUBSTITUTE((SUBSTITUTE(AA25,"TM","")),"TS",""))*10/2,0),IF('Eval-Avant impact'!$A$778=A18,LEN(SUBSTITUTE((SUBSTITUTE(AA26,"TM","")),"TS",""))*10/2,0),IF('Eval-Avant impact'!$A$779=A18,LEN(SUBSTITUTE((SUBSTITUTE(AA27,"TM","")),"TS",""))*10/2,0),IF('Eval-Avant impact'!$A$780=A18,LEN(SUBSTITUTE((SUBSTITUTE(AA28,"TM","")),"TS",""))*10/2,0))/COUNTIF('Eval-Avant impact'!$A$761:$A$780,A18),"")</f>
        <v/>
      </c>
      <c r="O18" s="211" t="str">
        <f>IF(COUNTIF('Eval-Avant impact'!$A$761:$A$780,A18)&gt;0,SUM(IF('Eval-Avant impact'!$A$761=A18,LEN(SUBSTITUTE((SUBSTITUTE(AA9,"TF","")),"TS",""))*10/2,0),IF('Eval-Avant impact'!$A$762=A18,LEN(SUBSTITUTE((SUBSTITUTE(AA10,"TF","")),"TS",""))*10/2,0),IF('Eval-Avant impact'!$A$763=A18,LEN(SUBSTITUTE((SUBSTITUTE(AA11,"TF","")),"TS",""))*10/2,0),IF('Eval-Avant impact'!$A$764=A18,LEN(SUBSTITUTE((SUBSTITUTE(AA12,"TF","")),"TS",""))*10/2,0),IF('Eval-Avant impact'!$A$765=A18,LEN(SUBSTITUTE((SUBSTITUTE(AA13,"TF","")),"TS",""))*10/2,0),IF('Eval-Avant impact'!$A$766=A18,LEN(SUBSTITUTE((SUBSTITUTE(AA14,"TF","")),"TS",""))*10/2,0),IF('Eval-Avant impact'!$A$767=A18,LEN(SUBSTITUTE((SUBSTITUTE(AA15,"TF","")),"TS",""))*10/2,0),IF('Eval-Avant impact'!$A$768=A18,LEN(SUBSTITUTE((SUBSTITUTE(AA16,"TF","")),"TS",""))*10/2,0),IF('Eval-Avant impact'!$A$769=A18,LEN(SUBSTITUTE((SUBSTITUTE(AA17,"TF","")),"TS",""))*10/2,0),IF('Eval-Avant impact'!$A$770=A18,LEN(SUBSTITUTE((SUBSTITUTE(AA18,"TF","")),"TS",""))*10/2,0),IF('Eval-Avant impact'!$A$771=A18,LEN(SUBSTITUTE((SUBSTITUTE(AA19,"TF","")),"TS",""))*10/2,0),IF('Eval-Avant impact'!$A$772=A18,LEN(SUBSTITUTE((SUBSTITUTE(AA20,"TF","")),"TS",""))*10/2,0),IF('Eval-Avant impact'!$A$773=A18,LEN(SUBSTITUTE((SUBSTITUTE(AA21,"TF","")),"TS",""))*10/2,0),IF('Eval-Avant impact'!$A$774=A18,LEN(SUBSTITUTE((SUBSTITUTE(AA22,"TF","")),"TS",""))*10/2,0),IF('Eval-Avant impact'!$A$775=A18,LEN(SUBSTITUTE((SUBSTITUTE(AA23,"TF","")),"TS",""))*10/2,0),IF('Eval-Avant impact'!$A$776=A18,LEN(SUBSTITUTE((SUBSTITUTE(AA24,"TF","")),"TS",""))*10/2,0),IF('Eval-Avant impact'!$A$777=A18,LEN(SUBSTITUTE((SUBSTITUTE(AA25,"TF","")),"TS",""))*10/2,0),IF('Eval-Avant impact'!$A$778=A18,LEN(SUBSTITUTE((SUBSTITUTE(AA26,"TF","")),"TS",""))*10/2,0),IF('Eval-Avant impact'!$A$779=A18,LEN(SUBSTITUTE((SUBSTITUTE(AA27,"TF","")),"TS",""))*10/2,0),IF('Eval-Avant impact'!$A$780=A18,LEN(SUBSTITUTE((SUBSTITUTE(AA28,"TF","")),"TS",""))*10/2,0))/COUNTIF('Eval-Avant impact'!$A$761:$A$780,A18),"")</f>
        <v/>
      </c>
      <c r="P18" s="211" t="str">
        <f>IF(COUNTIF('Eval-Avant impact'!$A$761:$A$780,A18)&gt;0,SUM(IF('Eval-Avant impact'!$A$761=A18,LEN(SUBSTITUTE((SUBSTITUTE(AA9,"TF","")),"TM",""))*10/2,0),IF('Eval-Avant impact'!$A$762=A18,LEN(SUBSTITUTE((SUBSTITUTE(AA10,"TF","")),"TM",""))*10/2,0),IF('Eval-Avant impact'!$A$763=A18,LEN(SUBSTITUTE((SUBSTITUTE(AA11,"TF","")),"TM",""))*10/2,0),IF('Eval-Avant impact'!$A$764=A18,LEN(SUBSTITUTE((SUBSTITUTE(AA12,"TF","")),"TM",""))*10/2,0),IF('Eval-Avant impact'!$A$765=A18,LEN(SUBSTITUTE((SUBSTITUTE(AA13,"TF","")),"TM",""))*10/2,0),IF('Eval-Avant impact'!$A$766=A18,LEN(SUBSTITUTE((SUBSTITUTE(AA14,"TF","")),"TM",""))*10/2,0),IF('Eval-Avant impact'!$A$767=A18,LEN(SUBSTITUTE((SUBSTITUTE(AA15,"TF","")),"TM",""))*10/2,0),IF('Eval-Avant impact'!$A$768=A18,LEN(SUBSTITUTE((SUBSTITUTE(AA16,"TF","")),"TM",""))*10/2,0),IF('Eval-Avant impact'!$A$769=A18,LEN(SUBSTITUTE((SUBSTITUTE(AA17,"TF","")),"TM",""))*10/2,0),IF('Eval-Avant impact'!$A$770=A18,LEN(SUBSTITUTE((SUBSTITUTE(AA18,"TF","")),"TM",""))*10/2,0),IF('Eval-Avant impact'!$A$771=A18,LEN(SUBSTITUTE((SUBSTITUTE(AA19,"TF","")),"TM",""))*10/2,0),IF('Eval-Avant impact'!$A$772=A18,LEN(SUBSTITUTE((SUBSTITUTE(AA20,"TF","")),"TM",""))*10/2,0),IF('Eval-Avant impact'!$A$773=A18,LEN(SUBSTITUTE((SUBSTITUTE(AA21,"TF","")),"TM",""))*10/2,0),IF('Eval-Avant impact'!$A$774=A18,LEN(SUBSTITUTE((SUBSTITUTE(AA22,"TF","")),"TM",""))*10/2,0),IF('Eval-Avant impact'!$A$775=A18,LEN(SUBSTITUTE((SUBSTITUTE(AA23,"TF","")),"TM",""))*10/2,0),IF('Eval-Avant impact'!$A$776=A18,LEN(SUBSTITUTE((SUBSTITUTE(AA24,"TF","")),"TM",""))*10/2,0),IF('Eval-Avant impact'!$A$777=A18,LEN(SUBSTITUTE((SUBSTITUTE(AA25,"TF","")),"TM",""))*10/2,0),IF('Eval-Avant impact'!$A$778=A18,LEN(SUBSTITUTE((SUBSTITUTE(AA26,"TF","")),"TM",""))*10/2,0),IF('Eval-Avant impact'!$A$779=A18,LEN(SUBSTITUTE((SUBSTITUTE(AA27,"TF","")),"TM",""))*10/2,0),IF('Eval-Avant impact'!$A$780=A18,LEN(SUBSTITUTE((SUBSTITUTE(AA28,"TF","")),"TM",""))*10/2,0))/COUNTIF('Eval-Avant impact'!$A$761:$A$780,A18),"")</f>
        <v/>
      </c>
      <c r="Q18" s="211" t="str">
        <f>IF(COUNTIF('Eval-Avant impact'!$A$761:$A$780,A18)&gt;0,IF(OR(AND('Eval-Avant impact'!$A$761=A18,X9&lt;30),AND('Eval-Avant impact'!$A$762=A18,X10&lt;30),AND('Eval-Avant impact'!$A$763=A18,X11&lt;30),AND('Eval-Avant impact'!$A$764=A18,X12&lt;30),AND('Eval-Avant impact'!$A$765=A18,X13&lt;30),AND('Eval-Avant impact'!$A$766=A18,X14&lt;30),AND('Eval-Avant impact'!$A$767=A18,X15&lt;30),AND('Eval-Avant impact'!$A$768=A18,X16&lt;30),AND('Eval-Avant impact'!$A$769=A18,X17&lt;30),AND('Eval-Avant impact'!$A$770=A18,X18&lt;30),AND('Eval-Avant impact'!$A$771=A18,X19&lt;30),AND('Eval-Avant impact'!$A$772=A18,X20&lt;30),AND('Eval-Avant impact'!$A$773=A18,X21&lt;30),AND('Eval-Avant impact'!$A$774=A18,X22&lt;30),AND('Eval-Avant impact'!$A$775=A18,X23&lt;30),AND('Eval-Avant impact'!$A$776=A18,X24&lt;30),AND('Eval-Avant impact'!$A$777=A18,X25&lt;30),AND('Eval-Avant impact'!$A$778=A18,X26&lt;30),AND('Eval-Avant impact'!$A$779=A18,X27&lt;30),AND('Eval-Avant impact'!$A$780=A18,X28&lt;30)),"",SUM(0.1*(SUMPRODUCT(('Eval-Avant impact'!$A$761:$A$780=A18)*('Eval-Avant impact'!$N$761:$P$780="A"))+ SUMPRODUCT(('Eval-Avant impact'!$A$761:$A$780=A18)*('Eval-Avant impact'!$N$761:$P$780="AL"))),0.7*(SUMPRODUCT(('Eval-Avant impact'!$A$761:$A$780=A18)*('Eval-Avant impact'!$N$761:$P$780="TF"))+SUMPRODUCT(('Eval-Avant impact'!$A$761:$A$780=A18)*('Eval-Avant impact'!$N$761:$P$780="TM"))+SUMPRODUCT(('Eval-Avant impact'!$A$761:$A$780=A18)*('Eval-Avant impact'!$N$761:$P$780="TS"))),0.4*(SUMPRODUCT(('Eval-Avant impact'!$A$761:$A$780=A18)*('Eval-Avant impact'!$N$761:$P$780="LA"))+SUMPRODUCT(('Eval-Avant impact'!$A$761:$A$780=A18)*('Eval-Avant impact'!$N$761:$P$780="L"))+SUMPRODUCT(('Eval-Avant impact'!$A$761:$A$780=A18)*('Eval-Avant impact'!$N$761:$P$780="LS"))),1*(SUMPRODUCT(('Eval-Avant impact'!$A$761:$A$780=A18)*('Eval-Avant impact'!$N$761:$P$780="SL"))+ SUMPRODUCT(('Eval-Avant impact'!$A$761:$A$780=A18)*('Eval-Avant impact'!$N$761:$P$780="S"))))/(3*COUNTIF('Eval-Avant impact'!$A$761:$A$780,A18))),"")</f>
        <v/>
      </c>
      <c r="R18" s="211" t="str">
        <f>IF(COUNTIF('Eval-Avant impact'!$A$761:$A$780,A18)&gt;0,IF(OR(AND('Eval-Avant impact'!$A$761=A18,X9&lt;120),AND('Eval-Avant impact'!$A$762=A18,X10&lt;120),AND('Eval-Avant impact'!$A$763=A18,X11&lt;120),AND('Eval-Avant impact'!$A$764=A18,X12&lt;120),AND('Eval-Avant impact'!$A$765=A18,X13&lt;120),AND('Eval-Avant impact'!$A$766=A18,X14&lt;120),AND('Eval-Avant impact'!$A$767=A18,X15&lt;120),AND('Eval-Avant impact'!$A$768=A18,X16&lt;120),AND('Eval-Avant impact'!$A$769=A18,X17&lt;120),AND('Eval-Avant impact'!$A$770=A18,X18&lt;120),AND('Eval-Avant impact'!$A$771=A18,X19&lt;120),AND('Eval-Avant impact'!$A$772=A18,X20&lt;120),AND('Eval-Avant impact'!$A$773=A18,X21&lt;120),AND('Eval-Avant impact'!$A$774=A18,X22&lt;120),AND('Eval-Avant impact'!$A$775=A18,X23&lt;120),AND('Eval-Avant impact'!$A$776=A18,X24&lt;120),AND('Eval-Avant impact'!$A$777=A18,X25&lt;120),AND('Eval-Avant impact'!$A$778=A18,X26&lt;120),AND('Eval-Avant impact'!$A$779=A18,X27&lt;120),AND('Eval-Avant impact'!$A$780=A18,X28&lt;120)),"",SUM(0.1*(SUMPRODUCT(('Eval-Avant impact'!$A$761:$A$780=A18)*('Eval-Avant impact'!$Q$761:$Y$780="A"))+ SUMPRODUCT(('Eval-Avant impact'!$A$761:$A$780=A18)*('Eval-Avant impact'!$Q$761:$Y$780="AL"))),0.7*(SUMPRODUCT(('Eval-Avant impact'!$A$761:$A$780=A18)*('Eval-Avant impact'!$Q$761:$Y$780="TF"))+SUMPRODUCT(('Eval-Avant impact'!$A$761:$A$780=A18)*('Eval-Avant impact'!$Q$761:$Y$780="TM"))+SUMPRODUCT(('Eval-Avant impact'!$A$761:$A$780=A18)*('Eval-Avant impact'!$Q$761:$Y$780="TS"))),0.4*(SUMPRODUCT(('Eval-Avant impact'!$A$761:$A$780=A18)*('Eval-Avant impact'!$Q$761:$Y$780="LA"))+SUMPRODUCT(('Eval-Avant impact'!$A$761:$A$780=A18)*('Eval-Avant impact'!$Q$761:$Y$780="L"))+SUMPRODUCT(('Eval-Avant impact'!$A$761:$A$780=A18)*('Eval-Avant impact'!$Q$761:$Y$780="LS"))),1*(SUMPRODUCT(('Eval-Avant impact'!$A$761:$A$780=A18)*('Eval-Avant impact'!$Q$761:$Y$780="SL"))+ SUMPRODUCT(('Eval-Avant impact'!$A$761:$A$780=A18)*('Eval-Avant impact'!$Q$761:$Y$780="S"))))/(9*COUNTIF('Eval-Avant impact'!$A$761:$A$780,A18))),"")</f>
        <v/>
      </c>
      <c r="S18" s="211" t="str">
        <f>IF(COUNTIF('Eval-Avant impact'!$A$761:$A$780,A18)&gt;0,IF(OR(AND('Eval-Avant impact'!$A$761=A18,OR(COUNTIF('Eval-Avant impact'!$N$761:$P$761,"*T*")&gt;0,X9&lt;30)),AND('Eval-Avant impact'!$A$762=A18,OR(COUNTIF('Eval-Avant impact'!$N$762:$P$762,"*T*")&gt;0,X10&lt;30)),AND('Eval-Avant impact'!$A$763=A18,OR(COUNTIF('Eval-Avant impact'!$N$763:$P$763,"*T*")&gt;0,X11&lt;30)),AND('Eval-Avant impact'!$A$764=A18,OR(COUNTIF('Eval-Avant impact'!$N$764:$P$764,"*T*")&gt;0,X12&lt;30)),AND('Eval-Avant impact'!$A$765=A18,OR(COUNTIF('Eval-Avant impact'!$N$765:$P$765,"*T*")&gt;0,X13&lt;30)),AND('Eval-Avant impact'!$A$766=A18,OR(COUNTIF('Eval-Avant impact'!$N$766:$P$766,"*T*")&gt;0,X14&lt;30)),AND('Eval-Avant impact'!$A$767=A18,OR(COUNTIF('Eval-Avant impact'!$N$767:$P$767,"*T*")&gt;0,X15&lt;30)),AND('Eval-Avant impact'!$A$768=A18,OR(COUNTIF('Eval-Avant impact'!$N$768:$P$768,"*T*")&gt;0,X16&lt;30)),AND('Eval-Avant impact'!$A$769=A18,OR(COUNTIF('Eval-Avant impact'!$N$769:$P$769,"*T*")&gt;0,X17&lt;30)),AND('Eval-Avant impact'!$A$770=A18,OR(COUNTIF('Eval-Avant impact'!$N$770:$P$770,"*T*")&gt;0,X18&lt;30)),AND('Eval-Avant impact'!$A$771=A18,OR(COUNTIF('Eval-Avant impact'!$N$771:$P$771,"*T*")&gt;0,X19&lt;30)),AND('Eval-Avant impact'!$A$772=A18,OR(COUNTIF('Eval-Avant impact'!$N$772:$P$772,"*T*")&gt;0,X20&lt;30)),AND('Eval-Avant impact'!$A$773=A18,OR(COUNTIF('Eval-Avant impact'!$N$773:$P$773,"*T*")&gt;0,X21&lt;30)),AND('Eval-Avant impact'!$A$774=A18,OR(COUNTIF('Eval-Avant impact'!$N$774:$P$774,"*T*")&gt;0,X22&lt;30)),AND('Eval-Avant impact'!$A$775=A18,OR(COUNTIF('Eval-Avant impact'!$N$775:$P$775,"*T*")&gt;0,X23&lt;30)),AND('Eval-Avant impact'!$A$776=A18,OR(COUNTIF('Eval-Avant impact'!$N$776:$P$776,"*T*")&gt;0,X24&lt;30)),AND('Eval-Avant impact'!$A$777=A18,OR(COUNTIF('Eval-Avant impact'!$N$777:$P$777,"*T*")&gt;0,X25&lt;30)),AND('Eval-Avant impact'!$A$778=A18,OR(COUNTIF('Eval-Avant impact'!$N$778:$P$778,"*T*")&gt;0,X26&lt;30)),AND('Eval-Avant impact'!$A$779=A18,OR(COUNTIF('Eval-Avant impact'!$N$779:$P$779,"*T*")&gt;0,X27&lt;30)),AND('Eval-Avant impact'!$A$780=A18,OR(COUNTIF('Eval-Avant impact'!$N$780:$P$780,"*T*")&gt;0,X28&lt;30))),"",SUM(0.1*(SUMPRODUCT(('Eval-Avant impact'!$A$761:$A$780=A18)*('Eval-Avant impact'!$N$761:$P$780="L"))),0.4*(SUMPRODUCT(('Eval-Avant impact'!$A$761:$A$780=A18)*('Eval-Avant impact'!$N$761:$P$780="LA"))+SUMPRODUCT(('Eval-Avant impact'!$A$761:$A$780=A18)*('Eval-Avant impact'!$N$761:$P$780="LS"))),0.7*(SUMPRODUCT(('Eval-Avant impact'!$A$761:$A$780=A18)*('Eval-Avant impact'!$N$761:$P$780="AL"))+SUMPRODUCT(('Eval-Avant impact'!$A$761:$A$780=A18)*('Eval-Avant impact'!$N$761:$P$780="SL"))),1*(SUMPRODUCT(('Eval-Avant impact'!$A$761:$A$780=A18)*('Eval-Avant impact'!$N$761:$P$780="S"))+ SUMPRODUCT(('Eval-Avant impact'!$A$761:$A$780=A18)*('Eval-Avant impact'!$N$761:$P$780="A"))))/(3*COUNTIF('Eval-Avant impact'!$A$761:$A$780,A18))),"")</f>
        <v/>
      </c>
      <c r="T18" s="211" t="str">
        <f>IF(COUNTIF('Eval-Avant impact'!$A$761:$A$780,A18)&gt;0,IF(OR(AND('Eval-Avant impact'!$A$761=A18,OR(COUNTIF('Eval-Avant impact'!$N$761:$P$761,"*T*")&gt;0,X9&lt;30)),AND('Eval-Avant impact'!$A$762=A18,OR(COUNTIF('Eval-Avant impact'!$N$762:$P$762,"*T*")&gt;0,X10&lt;30)),AND('Eval-Avant impact'!$A$763=A18,OR(COUNTIF('Eval-Avant impact'!$N$763:$P$763,"*T*")&gt;0,X11&lt;30)),AND('Eval-Avant impact'!$A$764=A18,OR(COUNTIF('Eval-Avant impact'!$N$764:$P$764,"*T*")&gt;0,X12&lt;30)),AND('Eval-Avant impact'!$A$765=A18,OR(COUNTIF('Eval-Avant impact'!$N$765:$P$765,"*T*")&gt;0,X13&lt;30)),AND('Eval-Avant impact'!$A$766=A18,OR(COUNTIF('Eval-Avant impact'!$N$766:$P$766,"*T*")&gt;0,X14&lt;30)),AND('Eval-Avant impact'!$A$767=A18,OR(COUNTIF('Eval-Avant impact'!$N$767:$P$767,"*T*")&gt;0,X15&lt;30)),AND('Eval-Avant impact'!$A$768=A18,OR(COUNTIF('Eval-Avant impact'!$N$768:$P$768,"*T*")&gt;0,X16&lt;30)),AND('Eval-Avant impact'!$A$769=A18,OR(COUNTIF('Eval-Avant impact'!$N$769:$P$769,"*T*")&gt;0,X17&lt;30)),AND('Eval-Avant impact'!$A$770=A18,OR(COUNTIF('Eval-Avant impact'!$N$770:$P$770,"*T*")&gt;0,X18&lt;30)),AND('Eval-Avant impact'!$A$771=A18,OR(COUNTIF('Eval-Avant impact'!$N$771:$P$771,"*T*")&gt;0,X19&lt;30)),AND('Eval-Avant impact'!$A$772=A18,OR(COUNTIF('Eval-Avant impact'!$N$772:$P$772,"*T*")&gt;0,X20&lt;30)),AND('Eval-Avant impact'!$A$773=A18,OR(COUNTIF('Eval-Avant impact'!$N$773:$P$773,"*T*")&gt;0,X21&lt;30)),AND('Eval-Avant impact'!$A$774=A18,OR(COUNTIF('Eval-Avant impact'!$N$774:$P$774,"*T*")&gt;0,X22&lt;30)),AND('Eval-Avant impact'!$A$775=A18,OR(COUNTIF('Eval-Avant impact'!$N$775:$P$775,"*T*")&gt;0,X23&lt;30)),AND('Eval-Avant impact'!$A$776=A18,OR(COUNTIF('Eval-Avant impact'!$N$776:$P$776,"*T*")&gt;0,X24&lt;30)),AND('Eval-Avant impact'!$A$777=A18,OR(COUNTIF('Eval-Avant impact'!$N$777:$P$777,"*T*")&gt;0,X25&lt;30)),AND('Eval-Avant impact'!$A$778=A18,OR(COUNTIF('Eval-Avant impact'!$N$778:$P$778,"*T*")&gt;0,X26&lt;30)),AND('Eval-Avant impact'!$A$779=A18,OR(COUNTIF('Eval-Avant impact'!$N$779:$P$779,"*T*")&gt;0,X27&lt;30)),AND('Eval-Avant impact'!$A$780=A18,OR(COUNTIF('Eval-Avant impact'!$N$780:$P$780,"*T*")&gt;0,X28&lt;30))),"",SUM(1*(SUMPRODUCT(('Eval-Avant impact'!$A$761:$A$780=A18)*('Eval-Avant impact'!$N$761:$P$780="A"))),0.85*(SUMPRODUCT(('Eval-Avant impact'!$A$761:$A$780=A18)*('Eval-Avant impact'!$N$761:$P$780="AL"))),0.7*(SUMPRODUCT(('Eval-Avant impact'!$A$761:$A$780=A18)*('Eval-Avant impact'!$N$761:$P$780="LA"))),0.55*(SUMPRODUCT(('Eval-Avant impact'!$A$761:$A$780=A18)*('Eval-Avant impact'!$N$761:$P$780="L"))),0.4*(SUMPRODUCT(('Eval-Avant impact'!$A$761:$A$780=A18)*('Eval-Avant impact'!$N$761:$P$780="LS"))),0.25*(SUMPRODUCT(('Eval-Avant impact'!$A$761:$A$780=A18)*('Eval-Avant impact'!$N$761:$P$780="SL"))),0.1*(SUMPRODUCT(('Eval-Avant impact'!$A$761:$A$780=A18)*('Eval-Avant impact'!$N$761:$P$780="S"))))/(3*COUNTIF('Eval-Avant impact'!$A$761:$A$780,A18))),"")</f>
        <v/>
      </c>
      <c r="U18" s="214" t="str">
        <f>IF(COUNTIF('Eval-Avant impact'!$A$761:$A$780,A18)&gt;0,IF(OR(AND('Eval-Avant impact'!$A$761=A18,OR(COUNTIF('Eval-Avant impact'!$Q$761:$Y$761,"*T*")&gt;0,X9&lt;120)),AND('Eval-Avant impact'!$A$762=A18,OR(COUNTIF('Eval-Avant impact'!$Q$762:$Y$762,"*T*")&gt;0,X10&lt;120)),AND('Eval-Avant impact'!$A$763=A18,OR(COUNTIF('Eval-Avant impact'!$Q$763:$Y$763,"*T*")&gt;0,X11&lt;120)),AND('Eval-Avant impact'!$A$764=A18,OR(COUNTIF('Eval-Avant impact'!$Q$764:$Y$764,"*T*")&gt;0,X12&lt;120)),AND('Eval-Avant impact'!$A$765=A18,OR(COUNTIF('Eval-Avant impact'!$Q$765:$Y$765,"*T*")&gt;0,X13&lt;120)),AND('Eval-Avant impact'!$A$766=A18,OR(COUNTIF('Eval-Avant impact'!$Q$766:$Y$766,"*T*")&gt;0,X14&lt;120)),AND('Eval-Avant impact'!$A$767=A18,OR(COUNTIF('Eval-Avant impact'!$Q$767:$Y$767,"*T*")&gt;0,X15&lt;120)),AND('Eval-Avant impact'!$A$768=A18,OR(COUNTIF('Eval-Avant impact'!$Q$768:$Y$768,"*T*")&gt;0,X16&lt;120)),AND('Eval-Avant impact'!$A$769=A18,OR(COUNTIF('Eval-Avant impact'!$Q$769:$Y$769,"*T*")&gt;0,X17&lt;120)),AND('Eval-Avant impact'!$A$770=A18,OR(COUNTIF('Eval-Avant impact'!$Q$770:$Y$770,"*T*")&gt;0,X18&lt;120)),AND('Eval-Avant impact'!$A$771=A18,OR(COUNTIF('Eval-Avant impact'!$Q$771:$Y$771,"*T*")&gt;0,X19&lt;120)),AND('Eval-Avant impact'!$A$772=A18,OR(COUNTIF('Eval-Avant impact'!$Q$772:$Y$772,"*T*")&gt;0,X20&lt;120)),AND('Eval-Avant impact'!$A$773=A18,OR(COUNTIF('Eval-Avant impact'!$Q$773:$Y$773,"*T*")&gt;0,X21&lt;120)),AND('Eval-Avant impact'!$A$774=A18,OR(COUNTIF('Eval-Avant impact'!$Q$774:$Y$774,"*T*")&gt;0,X22&lt;120)),AND('Eval-Avant impact'!$A$775=A18,OR(COUNTIF('Eval-Avant impact'!$Q$775:$Y$775,"*T*")&gt;0,X23&lt;120)),AND('Eval-Avant impact'!$A$776=A18,OR(COUNTIF('Eval-Avant impact'!$Q$776:$Y$776,"*T*")&gt;0,X24&lt;120)),AND('Eval-Avant impact'!$A$777=A18,OR(COUNTIF('Eval-Avant impact'!$Q$777:$Y$777,"*T*")&gt;0,X25&lt;120)),AND('Eval-Avant impact'!$A$778=A18,OR(COUNTIF('Eval-Avant impact'!$Q$778:$Y$778,"*T*")&gt;0,X26&lt;120)),AND('Eval-Avant impact'!$A$779=A18,OR(COUNTIF('Eval-Avant impact'!$Q$779:$Y$779,"*T*")&gt;0,X27&lt;120)),AND('Eval-Avant impact'!$A$780=A18,OR(COUNTIF('Eval-Avant impact'!$Q$780:$Y$780,"*T*")&gt;0,X28&lt;120))),"",SUM(1*(SUMPRODUCT(('Eval-Avant impact'!$A$761:$A$780=A18)*('Eval-Avant impact'!$Q$761:$Y$780="A"))),0.85*(SUMPRODUCT(('Eval-Avant impact'!$A$761:$A$780=A18)*('Eval-Avant impact'!$Q$761:$Y$780="AL"))),0.7*(SUMPRODUCT(('Eval-Avant impact'!$A$761:$A$780=A18)*('Eval-Avant impact'!$Q$761:$Y$780="LA"))),0.55*(SUMPRODUCT(('Eval-Avant impact'!$A$761:$A$780=A18)*('Eval-Avant impact'!$Q$761:$Y$780="L"))),0.4*(SUMPRODUCT(('Eval-Avant impact'!$A$761:$A$780=A18)*('Eval-Avant impact'!$Q$761:$Y$780="LS"))),0.25*(SUMPRODUCT(('Eval-Avant impact'!$A$761:$A$780=A18)*('Eval-Avant impact'!$Q$761:$Y$780="SL"))),0.1*(SUMPRODUCT(('Eval-Avant impact'!$A$761:$A$780=A18)*('Eval-Avant impact'!$Q$761:$Y$780="S"))))/(9*COUNTIF('Eval-Avant impact'!$A$761:$A$780,A18))),"")</f>
        <v/>
      </c>
      <c r="V18" s="215"/>
      <c r="W18" s="216">
        <f>'Eval-Avant impact'!$D$770</f>
        <v>10</v>
      </c>
      <c r="X18" s="217" t="str">
        <f>IF(Y18="C",0,IF(IF(COUNTIF('Eval-Avant impact'!$N$770:$Y$770,"=C")&gt;0,(COUNTA('Eval-Avant impact'!$N$770:$Y$770)-1)*10,COUNTA('Eval-Avant impact'!$N$770:$Y$770)*10)=0,"",IF(COUNTIF('Eval-Avant impact'!$N$770:$Y$770,"=C")&gt;0,(COUNTA('Eval-Avant impact'!$N$770:$Y$770)-1)*10,COUNTA('Eval-Avant impact'!$N$770:$Y$770)*10)))</f>
        <v/>
      </c>
      <c r="Y18" s="217" t="str">
        <f>CONCATENATE('Eval-Avant impact'!$N$770,'Eval-Avant impact'!$O$770,'Eval-Avant impact'!$P$770,'Eval-Avant impact'!$Q$770,'Eval-Avant impact'!$R$770,'Eval-Avant impact'!$S$770,'Eval-Avant impact'!$T$770,'Eval-Avant impact'!$U$770,'Eval-Avant impact'!$V$770,'Eval-Avant impact'!$W$770,'Eval-Avant impact'!$X$770,'Eval-Avant impact'!$Y$770)</f>
        <v/>
      </c>
      <c r="Z18" s="217" t="str">
        <f t="shared" si="0"/>
        <v/>
      </c>
      <c r="AA18" s="217" t="str">
        <f t="shared" si="1"/>
        <v/>
      </c>
      <c r="AB18" s="217" t="str">
        <f>IF(COUNTIF('Eval-Avant impact'!$N$770:$Y$770,"=C")&gt;0,"X","")</f>
        <v/>
      </c>
      <c r="AC18" s="217" t="str">
        <f t="shared" si="2"/>
        <v/>
      </c>
      <c r="AD18" s="218" t="str">
        <f t="shared" si="3"/>
        <v/>
      </c>
      <c r="AE18" s="197"/>
      <c r="AG18" s="210">
        <v>10</v>
      </c>
      <c r="AH18" s="211" t="str">
        <f>IF(COUNTIF('Eval-Avec impact envisagé'!$A$761:$A$780,AG18)&gt;0,SUM(IF('Eval-Avec impact envisagé'!$A$761=AG18,'Eval-Avec impact envisagé'!$B$761,0),IF('Eval-Avec impact envisagé'!$A$762=AG18, 'Eval-Avec impact envisagé'!$B$762,0),IF('Eval-Avec impact envisagé'!$A$763=AG18, 'Eval-Avec impact envisagé'!$B$763,0),IF('Eval-Avec impact envisagé'!$A$764=AG18, 'Eval-Avec impact envisagé'!$B$764,0),IF('Eval-Avec impact envisagé'!$A$765=AG18, 'Eval-Avec impact envisagé'!$B$765,0),IF('Eval-Avec impact envisagé'!$A$766=AG18, 'Eval-Avec impact envisagé'!$B$766,0),IF('Eval-Avec impact envisagé'!$A$767=AG18, 'Eval-Avec impact envisagé'!$B$767,0),IF('Eval-Avec impact envisagé'!$A$768=AG18, 'Eval-Avec impact envisagé'!$B$768,0),IF('Eval-Avec impact envisagé'!$A$769=AG18, 'Eval-Avec impact envisagé'!$B$769,0),IF('Eval-Avec impact envisagé'!$A$770=AG18, 'Eval-Avec impact envisagé'!$B$770,0),IF('Eval-Avec impact envisagé'!$A$771=AG18, 'Eval-Avec impact envisagé'!$B$771,0),IF('Eval-Avec impact envisagé'!$A$772=AG18, 'Eval-Avec impact envisagé'!$B$772,0),IF('Eval-Avec impact envisagé'!$A$773=AG18, 'Eval-Avec impact envisagé'!$B$773,0),IF('Eval-Avec impact envisagé'!$A$774=AG18, 'Eval-Avec impact envisagé'!$B$774,0),IF('Eval-Avec impact envisagé'!$A$775=AG18, 'Eval-Avec impact envisagé'!$B$775,0),IF('Eval-Avec impact envisagé'!$A$776=AG18, 'Eval-Avec impact envisagé'!$B$776,0),IF('Eval-Avec impact envisagé'!$A$777=AG18, 'Eval-Avec impact envisagé'!$B$777,0),IF('Eval-Avec impact envisagé'!$A$778=AG18, 'Eval-Avec impact envisagé'!$B$778,0),IF('Eval-Avec impact envisagé'!$A$779=AG18, 'Eval-Avec impact envisagé'!$B$779,0),IF('Eval-Avec impact envisagé'!$A$780=AG18, 'Eval-Avec impact envisagé'!$B$780,0))/COUNTIF('Eval-Avec impact envisagé'!$A$761:$A$780,AG18),"")</f>
        <v/>
      </c>
      <c r="AI18" s="212" t="str">
        <f>IF(COUNTIF('Eval-Avec impact envisagé'!$A$761:$A$780,AG18)&gt;0,COUNTIF('Eval-Avec impact envisagé'!$A$761:$A$780,AG18),"")</f>
        <v/>
      </c>
      <c r="AJ18" s="211" t="str">
        <f>IF(COUNTIF('Eval-Avec impact envisagé'!$A$761:$A$780,AG18)&gt;0,IF(OR(AND('Eval-Avec impact envisagé'!$A$761=AG18, 'Eval-Avec impact envisagé'!$G$761=""),AND('Eval-Avec impact envisagé'!$A$762=AG18, 'Eval-Avec impact envisagé'!$G$762=""),AND('Eval-Avec impact envisagé'!$A$763=AG18, 'Eval-Avec impact envisagé'!$G$763=""),AND('Eval-Avec impact envisagé'!$A$764=AG18, 'Eval-Avec impact envisagé'!$G$764=""),AND('Eval-Avec impact envisagé'!$A$765=AG18, 'Eval-Avec impact envisagé'!$G$765=""),AND('Eval-Avec impact envisagé'!$A$766=AG18, 'Eval-Avec impact envisagé'!$G$766=""),AND('Eval-Avec impact envisagé'!$A$767=AG18, 'Eval-Avec impact envisagé'!$G$767=""),AND('Eval-Avec impact envisagé'!$A$768=AG18, 'Eval-Avec impact envisagé'!$G$768=""),AND('Eval-Avec impact envisagé'!$A$769=AG18, 'Eval-Avec impact envisagé'!$G$769=""),AND('Eval-Avec impact envisagé'!$A$770=AG18, 'Eval-Avec impact envisagé'!$G$770=""),AND('Eval-Avec impact envisagé'!$A$771=AG18, 'Eval-Avec impact envisagé'!$G$771=""),AND('Eval-Avec impact envisagé'!$A$772=AG18, 'Eval-Avec impact envisagé'!$G$772=""),AND('Eval-Avec impact envisagé'!$A$773=AG18, 'Eval-Avec impact envisagé'!$G$773=""),AND('Eval-Avec impact envisagé'!$A$774=AG18, 'Eval-Avec impact envisagé'!$G$774=""),AND('Eval-Avec impact envisagé'!$A$775=AG18, 'Eval-Avec impact envisagé'!$G$775=""),AND('Eval-Avec impact envisagé'!$A$776=AG18, 'Eval-Avec impact envisagé'!$G$776=""),AND('Eval-Avec impact envisagé'!$A$777=AG18, 'Eval-Avec impact envisagé'!$G$777=""),AND('Eval-Avec impact envisagé'!$A$778=AG18, 'Eval-Avec impact envisagé'!$G$778=""),AND('Eval-Avec impact envisagé'!$A$779=AG18, 'Eval-Avec impact envisagé'!$G$779=""),AND('Eval-Avec impact envisagé'!$A$780=AG18, 'Eval-Avec impact envisagé'!$G$780="")),"",SUM(IF('Eval-Avec impact envisagé'!$A$761=AG18,'Eval-Avec impact envisagé'!$G$761,0),IF('Eval-Avec impact envisagé'!$A$762=AG18,'Eval-Avec impact envisagé'!$G$762,0),IF('Eval-Avec impact envisagé'!$A$763=AG18,'Eval-Avec impact envisagé'!$G$763,0),IF('Eval-Avec impact envisagé'!$A$764=AG18,'Eval-Avec impact envisagé'!$G$764,0),IF('Eval-Avec impact envisagé'!$A$765=AG18,'Eval-Avec impact envisagé'!$G$765,0),IF('Eval-Avec impact envisagé'!$A$766=AG18,'Eval-Avec impact envisagé'!$G$766,0),IF('Eval-Avec impact envisagé'!$A$767=AG18,'Eval-Avec impact envisagé'!$G$767,0),IF('Eval-Avec impact envisagé'!$A$768=AG18,'Eval-Avec impact envisagé'!$G$768,0),IF('Eval-Avec impact envisagé'!$A$769=AG18,'Eval-Avec impact envisagé'!$G$769,0),IF('Eval-Avec impact envisagé'!$A$770=AG18,'Eval-Avec impact envisagé'!$G$770,0),IF('Eval-Avec impact envisagé'!$A$771=AG18,'Eval-Avec impact envisagé'!$G$771,0),IF('Eval-Avec impact envisagé'!$A$772=AG18,'Eval-Avec impact envisagé'!$G$772,0),IF('Eval-Avec impact envisagé'!$A$773=AG18,'Eval-Avec impact envisagé'!$G$773,0),IF('Eval-Avec impact envisagé'!$A$774=AG18,'Eval-Avec impact envisagé'!$G$774,0),IF('Eval-Avec impact envisagé'!$A$775=AG18,'Eval-Avec impact envisagé'!$G$775,0), IF('Eval-Avec impact envisagé'!$A$776=AG18,'Eval-Avec impact envisagé'!$G$776,0), IF('Eval-Avec impact envisagé'!$A$777=AG18,'Eval-Avec impact envisagé'!$G$777,0), IF('Eval-Avec impact envisagé'!$A$778=AG18,'Eval-Avec impact envisagé'!$G$778,0), IF('Eval-Avec impact envisagé'!$A$779=AG18,'Eval-Avec impact envisagé'!$G$779,0), IF('Eval-Avec impact envisagé'!$A$780=AG18,'Eval-Avec impact envisagé'!$G$780,0))/ COUNTIF('Eval-Avec impact envisagé'!$A$761:$A$780,AG18)),"")</f>
        <v/>
      </c>
      <c r="AK18" s="212" t="str">
        <f>IF(COUNTIF('Eval-Avec impact envisagé'!$A$761:$A$780,AG18)&gt;0,IF(SUM(IF('Eval-Avec impact envisagé'!$A$761=AG18,COUNTA('Eval-Avec impact envisagé'!$H$761),0),IF('Eval-Avec impact envisagé'!$A$762=AG18,COUNTA('Eval-Avec impact envisagé'!$H$762),0),IF('Eval-Avec impact envisagé'!$A$763=AG18,COUNTA('Eval-Avec impact envisagé'!$H$763),0),IF('Eval-Avec impact envisagé'!$A$764=AG18,COUNTA('Eval-Avec impact envisagé'!$H$764),0),IF('Eval-Avec impact envisagé'!$A$765=AG18,COUNTA('Eval-Avec impact envisagé'!$H$765),0),IF('Eval-Avec impact envisagé'!$A$766=AG18,COUNTA('Eval-Avec impact envisagé'!$H$766),0),IF('Eval-Avec impact envisagé'!$A$767=AG18,COUNTA('Eval-Avec impact envisagé'!$H$767),0),IF('Eval-Avec impact envisagé'!$A$768=AG18,COUNTA('Eval-Avec impact envisagé'!$H$768),0),IF('Eval-Avec impact envisagé'!$A$769=AG18,COUNTA('Eval-Avec impact envisagé'!$H$769),0),IF('Eval-Avec impact envisagé'!$A$770=AG18,COUNTA('Eval-Avec impact envisagé'!$H$770),0),IF('Eval-Avec impact envisagé'!$A$771=AG18,COUNTA('Eval-Avec impact envisagé'!$H$771),0),IF('Eval-Avec impact envisagé'!$A$772=AG18,COUNTA('Eval-Avec impact envisagé'!$H$772),0),IF('Eval-Avec impact envisagé'!$A$773=AG18,COUNTA('Eval-Avec impact envisagé'!$H$773),0),IF('Eval-Avec impact envisagé'!$A$774=AG18,COUNTA('Eval-Avec impact envisagé'!$H$774),0),IF('Eval-Avec impact envisagé'!$A$775=AG18,COUNTA('Eval-Avec impact envisagé'!$H$775),0),IF('Eval-Avec impact envisagé'!$A$776=AG18,COUNTA('Eval-Avec impact envisagé'!$H$776),0),IF('Eval-Avec impact envisagé'!$A$777=AG18,COUNTA('Eval-Avec impact envisagé'!$H$777),0),IF('Eval-Avec impact envisagé'!$A$778=AG18,COUNTA('Eval-Avec impact envisagé'!$H$778),0),IF('Eval-Avec impact envisagé'!$A$779=AG18,COUNTA('Eval-Avec impact envisagé'!$H$779),0),IF('Eval-Avec impact envisagé'!$A$780=AG18,COUNTA('Eval-Avec impact envisagé'!$H$780),0))&gt;0,"X",0),"")</f>
        <v/>
      </c>
      <c r="AL18" s="213" t="str">
        <f>IF(COUNTIF('Eval-Avec impact envisagé'!$A$761:$A$780,AG18)&gt;0,IF(SUM(IF('Eval-Avec impact envisagé'!$A$761=AG18,COUNTA('Eval-Avec impact envisagé'!$I$761),0),IF('Eval-Avec impact envisagé'!$A$762=AG18,COUNTA('Eval-Avec impact envisagé'!$I$762),0),IF('Eval-Avec impact envisagé'!$A$763=AG18,COUNTA('Eval-Avec impact envisagé'!$I$763),0),IF('Eval-Avec impact envisagé'!$A$764=AG18,COUNTA('Eval-Avec impact envisagé'!$I$764),0),IF('Eval-Avec impact envisagé'!$A$765=AG18,COUNTA('Eval-Avec impact envisagé'!$I$765),0),IF('Eval-Avec impact envisagé'!$A$766=AG18,COUNTA('Eval-Avec impact envisagé'!$I$766),0),IF('Eval-Avec impact envisagé'!$A$767=AG18,COUNTA('Eval-Avec impact envisagé'!$I$767),0),IF('Eval-Avec impact envisagé'!$A$768=AG18,COUNTA('Eval-Avec impact envisagé'!$I$768),0),IF('Eval-Avec impact envisagé'!$A$769=AG18,COUNTA('Eval-Avec impact envisagé'!$I$769),0),IF('Eval-Avec impact envisagé'!$A$770=AG18,COUNTA('Eval-Avec impact envisagé'!$I$770),0),IF('Eval-Avec impact envisagé'!$A$771=AG18,COUNTA('Eval-Avec impact envisagé'!$I$771),0),IF('Eval-Avec impact envisagé'!$A$772=AG18,COUNTA('Eval-Avec impact envisagé'!$I$772),0),IF('Eval-Avec impact envisagé'!$A$773=AG18,COUNTA('Eval-Avec impact envisagé'!$I$773),0),IF('Eval-Avec impact envisagé'!$A$774=AG18,COUNTA('Eval-Avec impact envisagé'!$I$774),0),IF('Eval-Avec impact envisagé'!$A$775=AG18,COUNTA('Eval-Avec impact envisagé'!$I$775),0),IF('Eval-Avec impact envisagé'!$A$776=AG18,COUNTA('Eval-Avec impact envisagé'!$I$776),0),IF('Eval-Avec impact envisagé'!$A$777=AG18,COUNTA('Eval-Avec impact envisagé'!$I$777),0),IF('Eval-Avec impact envisagé'!$A$778=AG18,COUNTA('Eval-Avec impact envisagé'!$I$778),0),IF('Eval-Avec impact envisagé'!$A$779=AG18,COUNTA('Eval-Avec impact envisagé'!$I$779),0),IF('Eval-Avec impact envisagé'!$A$780=AG18,COUNTA('Eval-Avec impact envisagé'!$I$780),0))&gt;0,"X",0),"")</f>
        <v/>
      </c>
      <c r="AM18" s="213" t="str">
        <f>IF(COUNTIF('Eval-Avec impact envisagé'!$A$761:$A$780,AG18)&gt;0,IF(SUM(IF('Eval-Avec impact envisagé'!$A$761=AG18,COUNTA('Eval-Avec impact envisagé'!$J$761),0),IF('Eval-Avec impact envisagé'!$A$762=AG18,COUNTA('Eval-Avec impact envisagé'!$J$762),0),IF('Eval-Avec impact envisagé'!$A$763=AG18,COUNTA('Eval-Avec impact envisagé'!$J$763),0),IF('Eval-Avec impact envisagé'!$A$764=AG18,COUNTA('Eval-Avec impact envisagé'!$J$764),0),IF('Eval-Avec impact envisagé'!$A$765=AG18,COUNTA('Eval-Avec impact envisagé'!$J$765),0),IF('Eval-Avec impact envisagé'!$A$766=AG18,COUNTA('Eval-Avec impact envisagé'!$J$766),0),IF('Eval-Avec impact envisagé'!$A$767=AG18,COUNTA('Eval-Avec impact envisagé'!$J$767),0),IF('Eval-Avec impact envisagé'!$A$768=AG18,COUNTA('Eval-Avec impact envisagé'!$J$768),0),IF('Eval-Avec impact envisagé'!$A$769=AG18,COUNTA('Eval-Avec impact envisagé'!$J$769),0),IF('Eval-Avec impact envisagé'!$A$770=AG18,COUNTA('Eval-Avec impact envisagé'!$J$770),0),IF('Eval-Avec impact envisagé'!$A$771=AG18,COUNTA('Eval-Avec impact envisagé'!$J$771),0),IF('Eval-Avec impact envisagé'!$A$772=AG18,COUNTA('Eval-Avec impact envisagé'!$J$772),0),IF('Eval-Avec impact envisagé'!$A$773=AG18,COUNTA('Eval-Avec impact envisagé'!$J$773),0),IF('Eval-Avec impact envisagé'!$A$774=AG18,COUNTA('Eval-Avec impact envisagé'!$J$774),0),IF('Eval-Avec impact envisagé'!$A$775=AG18,COUNTA('Eval-Avec impact envisagé'!$J$775),0),IF('Eval-Avec impact envisagé'!$A$776=AG18,COUNTA('Eval-Avec impact envisagé'!$J$776),0),IF('Eval-Avec impact envisagé'!$A$777=AG18,COUNTA('Eval-Avec impact envisagé'!$J$777),0),IF('Eval-Avec impact envisagé'!$A$778=AG18,COUNTA('Eval-Avec impact envisagé'!$J$778),0),IF('Eval-Avec impact envisagé'!$A$779=AG18,COUNTA('Eval-Avec impact envisagé'!$J$779),0),IF('Eval-Avec impact envisagé'!$A$780=AG18,COUNTA('Eval-Avec impact envisagé'!$J$780),0))&gt;0,"X",0),"")</f>
        <v/>
      </c>
      <c r="AN18" s="213" t="str">
        <f>IF(COUNTIF('Eval-Avec impact envisagé'!$A$761:$A$780,AG18)&gt;0,IF(SUM(IF('Eval-Avec impact envisagé'!$A$761=AG18,COUNTA('Eval-Avec impact envisagé'!$K$761),0),IF('Eval-Avec impact envisagé'!$A$762=AG18,COUNTA('Eval-Avec impact envisagé'!$K$762),0),IF('Eval-Avec impact envisagé'!$A$763=AG18,COUNTA('Eval-Avec impact envisagé'!$K$763),0),IF('Eval-Avec impact envisagé'!$A$764=AG18,COUNTA('Eval-Avec impact envisagé'!$K$764),0),IF('Eval-Avec impact envisagé'!$A$765=AG18,COUNTA('Eval-Avec impact envisagé'!$K$765),0),IF('Eval-Avec impact envisagé'!$A$766=AG18,COUNTA('Eval-Avec impact envisagé'!$K$766),0),IF('Eval-Avec impact envisagé'!$A$767=AG18,COUNTA('Eval-Avec impact envisagé'!$K$767),0),IF('Eval-Avec impact envisagé'!$A$768=AG18,COUNTA('Eval-Avec impact envisagé'!$K$768),0),IF('Eval-Avec impact envisagé'!$A$769=AG18,COUNTA('Eval-Avec impact envisagé'!$K$769),0),IF('Eval-Avec impact envisagé'!$A$770=AG18,COUNTA('Eval-Avec impact envisagé'!$K$770),0),IF('Eval-Avec impact envisagé'!$A$771=AG18,COUNTA('Eval-Avec impact envisagé'!$K$771),0),IF('Eval-Avec impact envisagé'!$A$772=AG18,COUNTA('Eval-Avec impact envisagé'!$K$772),0),IF('Eval-Avec impact envisagé'!$A$773=AG18,COUNTA('Eval-Avec impact envisagé'!$K$773),0),IF('Eval-Avec impact envisagé'!$A$774=AG18,COUNTA('Eval-Avec impact envisagé'!$K$774),0),IF('Eval-Avec impact envisagé'!$A$775=AG18,COUNTA('Eval-Avec impact envisagé'!$K$775),0),IF('Eval-Avec impact envisagé'!$A$776=AG18,COUNTA('Eval-Avec impact envisagé'!$K$776),0),IF('Eval-Avec impact envisagé'!$A$777=AG18,COUNTA('Eval-Avec impact envisagé'!$K$777),0),IF('Eval-Avec impact envisagé'!$A$778=AG18,COUNTA('Eval-Avec impact envisagé'!$K$778),0),IF('Eval-Avec impact envisagé'!$A$779=AG18,COUNTA('Eval-Avec impact envisagé'!$K$779),0),IF('Eval-Avec impact envisagé'!$A$780=AG18,COUNTA('Eval-Avec impact envisagé'!$K$780),0))&gt;0,"X",0),"")</f>
        <v/>
      </c>
      <c r="AO18" s="211" t="str">
        <f>IF(COUNTIF('Eval-Avec impact envisagé'!$A$761:$A$780,AG18)&gt;0,IF(OR(AND('Eval-Avec impact envisagé'!$A$761=AG18,'Eval-Avec impact envisagé'!$L$761&lt;120,'Eval-Avec impact envisagé'!$L$761&gt;=BD9),AND('Eval-Avec impact envisagé'!$A$762=AG18,'Eval-Avec impact envisagé'!$L$762&lt;120,'Eval-Avec impact envisagé'!$L$762&gt;=BD10),AND('Eval-Avec impact envisagé'!$A$763=AG18,'Eval-Avec impact envisagé'!$L$763&lt;120,'Eval-Avec impact envisagé'!$L$763&gt;=BD11),AND('Eval-Avec impact envisagé'!$A$764=AG18,'Eval-Avec impact envisagé'!$L$764&lt;120,'Eval-Avec impact envisagé'!$L$764&gt;=BD12),AND('Eval-Avec impact envisagé'!$A$765=AG18,'Eval-Avec impact envisagé'!$L$765&lt;120,'Eval-Avec impact envisagé'!$L$765&gt;=BD13),AND('Eval-Avec impact envisagé'!$A$766=AG18,'Eval-Avec impact envisagé'!$L$766&lt;120,'Eval-Avec impact envisagé'!$L$766&gt;=BD14),AND('Eval-Avec impact envisagé'!$A$767=AG18,'Eval-Avec impact envisagé'!$L$767&lt;120,'Eval-Avec impact envisagé'!$L$767&gt;=BD15),AND('Eval-Avec impact envisagé'!$A$768=AG18,'Eval-Avec impact envisagé'!$L$768&lt;120,'Eval-Avec impact envisagé'!$L$768&gt;=BD16),AND('Eval-Avec impact envisagé'!$A$769=AG18,'Eval-Avec impact envisagé'!$L$769&lt;120,'Eval-Avec impact envisagé'!$L$769&gt;=BD17),AND('Eval-Avec impact envisagé'!$A$770=AG18,'Eval-Avec impact envisagé'!$L$770&lt;120,'Eval-Avec impact envisagé'!$L$770&gt;=BD18),AND('Eval-Avec impact envisagé'!$A$771=AG18,'Eval-Avec impact envisagé'!$L$771&lt;120,'Eval-Avec impact envisagé'!$L$771&gt;=BD19),AND('Eval-Avec impact envisagé'!$A$772=AG18,'Eval-Avec impact envisagé'!$L$772&lt;120,'Eval-Avec impact envisagé'!$L$772&gt;=BD20),AND('Eval-Avec impact envisagé'!$A$773=AG18,'Eval-Avec impact envisagé'!$L$773&lt;120,'Eval-Avec impact envisagé'!$L$773&gt;=BD21),AND('Eval-Avec impact envisagé'!$A$774=AG18,'Eval-Avec impact envisagé'!$L$774&lt;120,'Eval-Avec impact envisagé'!$L$774&gt;=BD22),AND('Eval-Avec impact envisagé'!$A$775=AG18,'Eval-Avec impact envisagé'!$L$775&lt;120,'Eval-Avec impact envisagé'!$L$775&gt;=BD23),AND('Eval-Avec impact envisagé'!$A$776=AG18,'Eval-Avec impact envisagé'!$L$776&lt;120,'Eval-Avec impact envisagé'!$L$776&gt;=BD24),AND('Eval-Avec impact envisagé'!$A$777=AG18,'Eval-Avec impact envisagé'!$L$777&lt;120,'Eval-Avec impact envisagé'!$L$777&gt;=BD25),AND('Eval-Avec impact envisagé'!$A$778=AG18,'Eval-Avec impact envisagé'!$L$778&lt;120,'Eval-Avec impact envisagé'!$L$778&gt;=BD26),AND('Eval-Avec impact envisagé'!$A$779=AG18,'Eval-Avec impact envisagé'!$L$779&lt;120,'Eval-Avec impact envisagé'!$L$779&gt;=BD27),AND('Eval-Avec impact envisagé'!$A$780=AG18,'Eval-Avec impact envisagé'!$L$780&lt;120,'Eval-Avec impact envisagé'!$L$780&gt;=BD28)),"",SUM(IF('Eval-Avec impact envisagé'!$A$761=AG18,'Eval-Avec impact envisagé'!$L$761,0),IF('Eval-Avec impact envisagé'!$A$762=AG18,'Eval-Avec impact envisagé'!$L$762,0),IF('Eval-Avec impact envisagé'!$A$763=AG18,'Eval-Avec impact envisagé'!$L$763,0),IF('Eval-Avec impact envisagé'!$A$764=AG18,'Eval-Avec impact envisagé'!$L$764,0),IF('Eval-Avec impact envisagé'!$A$765=AG18,'Eval-Avec impact envisagé'!$L$765,0),IF('Eval-Avec impact envisagé'!$A$766=AG18,'Eval-Avec impact envisagé'!$L$766,0),IF('Eval-Avec impact envisagé'!$A$767=AG18,'Eval-Avec impact envisagé'!$L$767,0),IF('Eval-Avec impact envisagé'!$A$768=AG18,'Eval-Avec impact envisagé'!$L$768,0),IF('Eval-Avec impact envisagé'!$A$769=AG18,'Eval-Avec impact envisagé'!$L$769,0),IF('Eval-Avec impact envisagé'!$A$770=AG18,'Eval-Avec impact envisagé'!$L$770,0),IF('Eval-Avec impact envisagé'!$A$771=AG18,'Eval-Avec impact envisagé'!$L$771,0),IF('Eval-Avec impact envisagé'!$A$772=AG18,'Eval-Avec impact envisagé'!$L$772,0),IF('Eval-Avec impact envisagé'!$A$773=AG18,'Eval-Avec impact envisagé'!$L$773,0),IF('Eval-Avec impact envisagé'!$A$774=AG18,'Eval-Avec impact envisagé'!$L$774,0),IF('Eval-Avec impact envisagé'!$A$775=AG18,'Eval-Avec impact envisagé'!$L$775,0),IF('Eval-Avec impact envisagé'!$A$776=AG18,'Eval-Avec impact envisagé'!$L$776,0),IF('Eval-Avec impact envisagé'!$A$777=AG18,'Eval-Avec impact envisagé'!$L$777,0),IF('Eval-Avec impact envisagé'!$A$778=AG18,'Eval-Avec impact envisagé'!$L$778,0),IF('Eval-Avec impact envisagé'!$A$779=AG18,'Eval-Avec impact envisagé'!$L$779,0),IF('Eval-Avec impact envisagé'!$A$780=AG18,'Eval-Avec impact envisagé'!$L$780,0))/ COUNTIF('Eval-Avec impact envisagé'!$A$761:$A$780,AG18)),"")</f>
        <v/>
      </c>
      <c r="AP18" s="211" t="str">
        <f>IF(COUNTIF('Eval-Avec impact envisagé'!$A$761:$A$780,AG18)&gt;0,IF(OR(AND('Eval-Avec impact envisagé'!$A$761=AG18, BD9&lt;120),AND(BD10&lt;120),AND(BD11&lt;120),AND(BD12&lt;120),AND(BD13&lt;120),AND(BD14&lt;120),AND(BD15&lt;120),AND(BD16&lt;120),AND(BD17&lt;120),AND(BD18&lt;120),AND(BD19&lt;120),AND(BD20&lt;120),AND(BD21&lt;120),AND(BD22&lt;120),AND(BD23&lt;120),AND(BD24&lt;120),AND(BD25&lt;120),AND(BD26&lt;120),AND(BD27&lt;120),AND(BD28&lt;120)),"",SUM(IF('Eval-Avec impact envisagé'!$A$761=AG18,'Eval-Avec impact envisagé'!$M$761,0),IF('Eval-Avec impact envisagé'!$A$762=AG18,'Eval-Avec impact envisagé'!$M$762,0),IF('Eval-Avec impact envisagé'!$A$763=AG18,'Eval-Avec impact envisagé'!$M$763,0),IF('Eval-Avec impact envisagé'!$A$764=AG18,'Eval-Avec impact envisagé'!$M$764,0),IF('Eval-Avec impact envisagé'!$A$765=AG18,'Eval-Avec impact envisagé'!$M$765,0),IF('Eval-Avec impact envisagé'!$A$766=AG18,'Eval-Avec impact envisagé'!$M$766,0),IF('Eval-Avec impact envisagé'!$A$767=AG18,'Eval-Avec impact envisagé'!$M$767,0),IF('Eval-Avec impact envisagé'!$A$768=AG18,'Eval-Avec impact envisagé'!$M$768,0),IF('Eval-Avec impact envisagé'!$A$769=AG18,'Eval-Avec impact envisagé'!$M$769,0),IF('Eval-Avec impact envisagé'!$A$770=AG18,'Eval-Avec impact envisagé'!$M$770,0),IF('Eval-Avec impact envisagé'!$A$771=AG18,'Eval-Avec impact envisagé'!$M$771,0),IF('Eval-Avec impact envisagé'!$A$772=AG18,'Eval-Avec impact envisagé'!$M$772,0),IF('Eval-Avec impact envisagé'!$A$773=AG18,'Eval-Avec impact envisagé'!$M$773,0),IF('Eval-Avec impact envisagé'!$A$774=AG18,'Eval-Avec impact envisagé'!$M$774,0),IF('Eval-Avec impact envisagé'!$A$775=AG18,'Eval-Avec impact envisagé'!$M$775,0), IF('Eval-Avec impact envisagé'!$A$776=AG18,'Eval-Avec impact envisagé'!$M$776,0), IF('Eval-Avec impact envisagé'!$A$777=AG18,'Eval-Avec impact envisagé'!$M$777,0), IF('Eval-Avec impact envisagé'!$A$778=AG18,'Eval-Avec impact envisagé'!$M$778,0), IF('Eval-Avec impact envisagé'!$A$779=AG18,'Eval-Avec impact envisagé'!$M$779,0), IF('Eval-Avec impact envisagé'!$A$780=AG18,'Eval-Avec impact envisagé'!$M$780,0))/COUNTIF('Eval-Avec impact envisagé'!$A$761:$A$780,AG18)),"")</f>
        <v/>
      </c>
      <c r="AQ18" s="211" t="str">
        <f>IF(COUNTIF('Eval-Avec impact envisagé'!$A$761:$A$780,AG18)&gt;0,SUM(IF('Eval-Avec impact envisagé'!$A$761=AG18,LEN(SUBSTITUTE((SUBSTITUTE(BF9,"TM","")),"TS",""))*10/2,0),IF('Eval-Avec impact envisagé'!$A$762=AG18,LEN(SUBSTITUTE((SUBSTITUTE(BF10,"TM","")),"TS",""))*10/2,0),IF('Eval-Avec impact envisagé'!$A$763=AG18,LEN(SUBSTITUTE((SUBSTITUTE(BF11,"TM","")),"TS",""))*10/2,0),IF('Eval-Avec impact envisagé'!$A$764=AG18,LEN(SUBSTITUTE((SUBSTITUTE(BF12,"TM","")),"TS",""))*10/2,0),IF('Eval-Avec impact envisagé'!$A$765=AG18,LEN(SUBSTITUTE((SUBSTITUTE(BF13,"TM","")),"TS",""))*10/2,0),IF('Eval-Avec impact envisagé'!$A$766=AG18,LEN(SUBSTITUTE((SUBSTITUTE(BF14,"TM","")),"TS",""))*10/2,0),IF('Eval-Avec impact envisagé'!$A$767=AG18,LEN(SUBSTITUTE((SUBSTITUTE(BF15,"TM","")),"TS",""))*10/2,0),IF('Eval-Avec impact envisagé'!$A$768=AG18,LEN(SUBSTITUTE((SUBSTITUTE(BF16,"TM","")),"TS",""))*10/2,0),IF('Eval-Avec impact envisagé'!$A$769=AG18,LEN(SUBSTITUTE((SUBSTITUTE(BF17,"TM","")),"TS",""))*10/2,0),IF('Eval-Avec impact envisagé'!$A$770=AG18,LEN(SUBSTITUTE((SUBSTITUTE(BF18,"TM","")),"TS",""))*10/2,0),IF('Eval-Avec impact envisagé'!$A$771=AG18,LEN(SUBSTITUTE((SUBSTITUTE(BF19,"TM","")),"TS",""))*10/2,0),IF('Eval-Avec impact envisagé'!$A$772=AG18,LEN(SUBSTITUTE((SUBSTITUTE(BF20,"TM","")),"TS",""))*10/2,0),IF('Eval-Avec impact envisagé'!$A$773=AG18,LEN(SUBSTITUTE((SUBSTITUTE(BF21,"TM","")),"TS",""))*10/2,0),IF('Eval-Avec impact envisagé'!$A$774=AG18,LEN(SUBSTITUTE((SUBSTITUTE(BF22,"TM","")),"TS",""))*10/2,0),IF('Eval-Avec impact envisagé'!$A$775=AG18,LEN(SUBSTITUTE((SUBSTITUTE(BF23,"TM","")),"TS",""))*10/2,0),IF('Eval-Avec impact envisagé'!$A$776=AG18,LEN(SUBSTITUTE((SUBSTITUTE(BF24,"TM","")),"TS",""))*10/2,0),IF('Eval-Avec impact envisagé'!$A$777=AG18,LEN(SUBSTITUTE((SUBSTITUTE(BF25,"TM","")),"TS",""))*10/2,0),IF('Eval-Avec impact envisagé'!$A$778=AG18,LEN(SUBSTITUTE((SUBSTITUTE(BF26,"TM","")),"TS",""))*10/2,0),IF('Eval-Avec impact envisagé'!$A$779=AG18,LEN(SUBSTITUTE((SUBSTITUTE(BF27,"TM","")),"TS",""))*10/2,0),IF('Eval-Avec impact envisagé'!$A$780=AG18,LEN(SUBSTITUTE((SUBSTITUTE(BF28,"TM","")),"TS",""))*10/2,0))/COUNTIF('Eval-Avec impact envisagé'!$A$761:$A$780,AG18),"")</f>
        <v/>
      </c>
      <c r="AR18" s="211" t="str">
        <f>IF(COUNTIF('Eval-Avec impact envisagé'!$A$761:$A$780,AG18)&gt;0,SUM(IF('Eval-Avec impact envisagé'!$A$761=AG18,LEN(SUBSTITUTE((SUBSTITUTE(BF9,"TF","")),"TS",""))*10/2,0),IF('Eval-Avec impact envisagé'!$A$762=AG18,LEN(SUBSTITUTE((SUBSTITUTE(BF10,"TF","")),"TS",""))*10/2,0),IF('Eval-Avec impact envisagé'!$A$763=AG18,LEN(SUBSTITUTE((SUBSTITUTE(BF11,"TF","")),"TS",""))*10/2,0),IF('Eval-Avec impact envisagé'!$A$764=AG18,LEN(SUBSTITUTE((SUBSTITUTE(BF12,"TF","")),"TS",""))*10/2,0),IF('Eval-Avec impact envisagé'!$A$765=AG18,LEN(SUBSTITUTE((SUBSTITUTE(BF13,"TF","")),"TS",""))*10/2,0),IF('Eval-Avec impact envisagé'!$A$766=AG18,LEN(SUBSTITUTE((SUBSTITUTE(BF14,"TF","")),"TS",""))*10/2,0),IF('Eval-Avec impact envisagé'!$A$767=AG18,LEN(SUBSTITUTE((SUBSTITUTE(BF15,"TF","")),"TS",""))*10/2,0),IF('Eval-Avec impact envisagé'!$A$768=AG18,LEN(SUBSTITUTE((SUBSTITUTE(BF16,"TF","")),"TS",""))*10/2,0),IF('Eval-Avec impact envisagé'!$A$769=AG18,LEN(SUBSTITUTE((SUBSTITUTE(BF17,"TF","")),"TS",""))*10/2,0),IF('Eval-Avec impact envisagé'!$A$770=AG18,LEN(SUBSTITUTE((SUBSTITUTE(BF18,"TF","")),"TS",""))*10/2,0),IF('Eval-Avec impact envisagé'!$A$771=AG18,LEN(SUBSTITUTE((SUBSTITUTE(BF19,"TF","")),"TS",""))*10/2,0),IF('Eval-Avec impact envisagé'!$A$772=AG18,LEN(SUBSTITUTE((SUBSTITUTE(BF20,"TF","")),"TS",""))*10/2,0),IF('Eval-Avec impact envisagé'!$A$773=AG18,LEN(SUBSTITUTE((SUBSTITUTE(BF21,"TF","")),"TS",""))*10/2,0),IF('Eval-Avec impact envisagé'!$A$774=AG18,LEN(SUBSTITUTE((SUBSTITUTE(BF22,"TF","")),"TS",""))*10/2,0),IF('Eval-Avec impact envisagé'!$A$775=AG18,LEN(SUBSTITUTE((SUBSTITUTE(BF23,"TF","")),"TS",""))*10/2,0),IF('Eval-Avec impact envisagé'!$A$776=AG18,LEN(SUBSTITUTE((SUBSTITUTE(BF24,"TF","")),"TS",""))*10/2,0),IF('Eval-Avec impact envisagé'!$A$777=AG18,LEN(SUBSTITUTE((SUBSTITUTE(BF25,"TF","")),"TS",""))*10/2,0),IF('Eval-Avec impact envisagé'!$A$778=AG18,LEN(SUBSTITUTE((SUBSTITUTE(BF26,"TF","")),"TS",""))*10/2,0),IF('Eval-Avec impact envisagé'!$A$779=AG18,LEN(SUBSTITUTE((SUBSTITUTE(BF27,"TF","")),"TS",""))*10/2,0),IF('Eval-Avec impact envisagé'!$A$780=AG18,LEN(SUBSTITUTE((SUBSTITUTE(BF28,"TF","")),"TS",""))*10/2,0))/COUNTIF('Eval-Avec impact envisagé'!$A$761:$A$780,AG18),"")</f>
        <v/>
      </c>
      <c r="AS18" s="211" t="str">
        <f>IF(COUNTIF('Eval-Avec impact envisagé'!$A$761:$A$780,AG18)&gt;0,SUM(IF('Eval-Avec impact envisagé'!$A$761=AG18,LEN(SUBSTITUTE((SUBSTITUTE(BF9,"TF","")),"TM",""))*10/2,0),IF('Eval-Avec impact envisagé'!$A$762=AG18,LEN(SUBSTITUTE((SUBSTITUTE(BF10,"TF","")),"TM",""))*10/2,0),IF('Eval-Avec impact envisagé'!$A$763=AG18,LEN(SUBSTITUTE((SUBSTITUTE(BF11,"TF","")),"TM",""))*10/2,0),IF('Eval-Avec impact envisagé'!$A$764=AG18,LEN(SUBSTITUTE((SUBSTITUTE(BF12,"TF","")),"TM",""))*10/2,0),IF('Eval-Avec impact envisagé'!$A$765=AG18,LEN(SUBSTITUTE((SUBSTITUTE(BF13,"TF","")),"TM",""))*10/2,0),IF('Eval-Avec impact envisagé'!$A$766=AG18,LEN(SUBSTITUTE((SUBSTITUTE(BF14,"TF","")),"TM",""))*10/2,0),IF('Eval-Avec impact envisagé'!$A$767=AG18,LEN(SUBSTITUTE((SUBSTITUTE(BF15,"TF","")),"TM",""))*10/2,0),IF('Eval-Avec impact envisagé'!$A$768=AG18,LEN(SUBSTITUTE((SUBSTITUTE(BF16,"TF","")),"TM",""))*10/2,0),IF('Eval-Avec impact envisagé'!$A$769=AG18,LEN(SUBSTITUTE((SUBSTITUTE(BF17,"TF","")),"TM",""))*10/2,0),IF('Eval-Avec impact envisagé'!$A$770=AG18,LEN(SUBSTITUTE((SUBSTITUTE(BF18,"TF","")),"TM",""))*10/2,0),IF('Eval-Avec impact envisagé'!$A$771=AG18,LEN(SUBSTITUTE((SUBSTITUTE(BF19,"TF","")),"TM",""))*10/2,0),IF('Eval-Avec impact envisagé'!$A$772=AG18,LEN(SUBSTITUTE((SUBSTITUTE(BF20,"TF","")),"TM",""))*10/2,0),IF('Eval-Avec impact envisagé'!$A$773=AG18,LEN(SUBSTITUTE((SUBSTITUTE(BF21,"TF","")),"TM",""))*10/2,0),IF('Eval-Avec impact envisagé'!$A$774=AG18,LEN(SUBSTITUTE((SUBSTITUTE(BF22,"TF","")),"TM",""))*10/2,0),IF('Eval-Avec impact envisagé'!$A$775=AG18,LEN(SUBSTITUTE((SUBSTITUTE(BF23,"TF","")),"TM",""))*10/2,0),IF('Eval-Avec impact envisagé'!$A$776=AG18,LEN(SUBSTITUTE((SUBSTITUTE(BF24,"TF","")),"TM",""))*10/2,0),IF('Eval-Avec impact envisagé'!$A$777=AG18,LEN(SUBSTITUTE((SUBSTITUTE(BF25,"TF","")),"TM",""))*10/2,0),IF('Eval-Avec impact envisagé'!$A$778=AG18,LEN(SUBSTITUTE((SUBSTITUTE(BF26,"TF","")),"TM",""))*10/2,0),IF('Eval-Avec impact envisagé'!$A$779=AG18,LEN(SUBSTITUTE((SUBSTITUTE(BF27,"TF","")),"TM",""))*10/2,0),IF('Eval-Avec impact envisagé'!$A$780=AG18,LEN(SUBSTITUTE((SUBSTITUTE(BF28,"TF","")),"TM",""))*10/2,0))/COUNTIF('Eval-Avec impact envisagé'!$A$761:$A$780,AG18),"")</f>
        <v/>
      </c>
      <c r="AT18" s="211" t="str">
        <f>IF(COUNTIF('Eval-Avec impact envisagé'!$A$761:$A$780,AG18)&gt;0,SUM(IF('Eval-Avec impact envisagé'!$A$761=AG18,LEN(SUBSTITUTE((SUBSTITUTE(BG9,"TM","")),"TS",""))*10/2,0),IF('Eval-Avec impact envisagé'!$A$762=AG18,LEN(SUBSTITUTE((SUBSTITUTE(BG10,"TM","")),"TS",""))*10/2,0),IF('Eval-Avec impact envisagé'!$A$763=AG18,LEN(SUBSTITUTE((SUBSTITUTE(BG11,"TM","")),"TS",""))*10/2,0),IF('Eval-Avec impact envisagé'!$A$764=AG18,LEN(SUBSTITUTE((SUBSTITUTE(BG12,"TM","")),"TS",""))*10/2,0),IF('Eval-Avec impact envisagé'!$A$765=AG18,LEN(SUBSTITUTE((SUBSTITUTE(BG13,"TM","")),"TS",""))*10/2,0),IF('Eval-Avec impact envisagé'!$A$766=AG18,LEN(SUBSTITUTE((SUBSTITUTE(BG14,"TM","")),"TS",""))*10/2,0),IF('Eval-Avec impact envisagé'!$A$767=AG18,LEN(SUBSTITUTE((SUBSTITUTE(BG15,"TM","")),"TS",""))*10/2,0),IF('Eval-Avec impact envisagé'!$A$768=AG18,LEN(SUBSTITUTE((SUBSTITUTE(BG16,"TM","")),"TS",""))*10/2,0),IF('Eval-Avec impact envisagé'!$A$769=AG18,LEN(SUBSTITUTE((SUBSTITUTE(BG17,"TM","")),"TS",""))*10/2,0),IF('Eval-Avec impact envisagé'!$A$770=AG18,LEN(SUBSTITUTE((SUBSTITUTE(BG18,"TM","")),"TS",""))*10/2,0),IF('Eval-Avec impact envisagé'!$A$771=AG18,LEN(SUBSTITUTE((SUBSTITUTE(BG19,"TM","")),"TS",""))*10/2,0),IF('Eval-Avec impact envisagé'!$A$772=AG18,LEN(SUBSTITUTE((SUBSTITUTE(BG20,"TM","")),"TS",""))*10/2,0),IF('Eval-Avec impact envisagé'!$A$773=AG18,LEN(SUBSTITUTE((SUBSTITUTE(BG21,"TM","")),"TS",""))*10/2,0),IF('Eval-Avec impact envisagé'!$A$774=AG18,LEN(SUBSTITUTE((SUBSTITUTE(BG22,"TM","")),"TS",""))*10/2,0),IF('Eval-Avec impact envisagé'!$A$775=AG18,LEN(SUBSTITUTE((SUBSTITUTE(BG23,"TM","")),"TS",""))*10/2,0),IF('Eval-Avec impact envisagé'!$A$776=AG18,LEN(SUBSTITUTE((SUBSTITUTE(BG24,"TM","")),"TS",""))*10/2,0),IF('Eval-Avec impact envisagé'!$A$777=AG18,LEN(SUBSTITUTE((SUBSTITUTE(BG25,"TM","")),"TS",""))*10/2,0),IF('Eval-Avec impact envisagé'!$A$778=AG18,LEN(SUBSTITUTE((SUBSTITUTE(BG26,"TM","")),"TS",""))*10/2,0),IF('Eval-Avec impact envisagé'!$A$779=AG18,LEN(SUBSTITUTE((SUBSTITUTE(BG27,"TM","")),"TS",""))*10/2,0),IF('Eval-Avec impact envisagé'!$A$780=AG18,LEN(SUBSTITUTE((SUBSTITUTE(BG28,"TM","")),"TS",""))*10/2,0))/COUNTIF('Eval-Avec impact envisagé'!$A$761:$A$780,AG18),"")</f>
        <v/>
      </c>
      <c r="AU18" s="211" t="str">
        <f>IF(COUNTIF('Eval-Avec impact envisagé'!$A$761:$A$780,AG18)&gt;0,SUM(IF('Eval-Avec impact envisagé'!$A$761=AG18,LEN(SUBSTITUTE((SUBSTITUTE(BG9,"TF","")),"TS",""))*10/2,0),IF('Eval-Avec impact envisagé'!$A$762=AG18,LEN(SUBSTITUTE((SUBSTITUTE(BG10,"TF","")),"TS",""))*10/2,0),IF('Eval-Avec impact envisagé'!$A$763=AG18,LEN(SUBSTITUTE((SUBSTITUTE(BG11,"TF","")),"TS",""))*10/2,0),IF('Eval-Avec impact envisagé'!$A$764=AG18,LEN(SUBSTITUTE((SUBSTITUTE(BG12,"TF","")),"TS",""))*10/2,0),IF('Eval-Avec impact envisagé'!$A$765=AG18,LEN(SUBSTITUTE((SUBSTITUTE(BG13,"TF","")),"TS",""))*10/2,0),IF('Eval-Avec impact envisagé'!$A$766=AG18,LEN(SUBSTITUTE((SUBSTITUTE(BG14,"TF","")),"TS",""))*10/2,0),IF('Eval-Avec impact envisagé'!$A$767=AG18,LEN(SUBSTITUTE((SUBSTITUTE(BG15,"TF","")),"TS",""))*10/2,0),IF('Eval-Avec impact envisagé'!$A$768=AG18,LEN(SUBSTITUTE((SUBSTITUTE(BG16,"TF","")),"TS",""))*10/2,0),IF('Eval-Avec impact envisagé'!$A$769=AG18,LEN(SUBSTITUTE((SUBSTITUTE(BG17,"TF","")),"TS",""))*10/2,0),IF('Eval-Avec impact envisagé'!$A$770=AG18,LEN(SUBSTITUTE((SUBSTITUTE(BG18,"TF","")),"TS",""))*10/2,0),IF('Eval-Avec impact envisagé'!$A$771=AG18,LEN(SUBSTITUTE((SUBSTITUTE(BG19,"TF","")),"TS",""))*10/2,0),IF('Eval-Avec impact envisagé'!$A$772=AG18,LEN(SUBSTITUTE((SUBSTITUTE(BG20,"TF","")),"TS",""))*10/2,0),IF('Eval-Avec impact envisagé'!$A$773=AG18,LEN(SUBSTITUTE((SUBSTITUTE(BG21,"TF","")),"TS",""))*10/2,0),IF('Eval-Avec impact envisagé'!$A$774=AG18,LEN(SUBSTITUTE((SUBSTITUTE(BG22,"TF","")),"TS",""))*10/2,0),IF('Eval-Avec impact envisagé'!$A$775=AG18,LEN(SUBSTITUTE((SUBSTITUTE(BG23,"TF","")),"TS",""))*10/2,0),IF('Eval-Avec impact envisagé'!$A$776=AG18,LEN(SUBSTITUTE((SUBSTITUTE(BG24,"TF","")),"TS",""))*10/2,0),IF('Eval-Avec impact envisagé'!$A$777=AG18,LEN(SUBSTITUTE((SUBSTITUTE(BG25,"TF","")),"TS",""))*10/2,0),IF('Eval-Avec impact envisagé'!$A$778=AG18,LEN(SUBSTITUTE((SUBSTITUTE(BG26,"TF","")),"TS",""))*10/2,0),IF('Eval-Avec impact envisagé'!$A$779=AG18,LEN(SUBSTITUTE((SUBSTITUTE(BG27,"TF","")),"TS",""))*10/2,0),IF('Eval-Avec impact envisagé'!$A$780=AG18,LEN(SUBSTITUTE((SUBSTITUTE(BG28,"TF","")),"TS",""))*10/2,0))/COUNTIF('Eval-Avec impact envisagé'!$A$761:$A$780,AG18),"")</f>
        <v/>
      </c>
      <c r="AV18" s="211" t="str">
        <f>IF(COUNTIF('Eval-Avec impact envisagé'!$A$761:$A$780,AG18)&gt;0,SUM(IF('Eval-Avec impact envisagé'!$A$761=AG18,LEN(SUBSTITUTE((SUBSTITUTE(BG9,"TF","")),"TM",""))*10/2,0),IF('Eval-Avec impact envisagé'!$A$762=AG18,LEN(SUBSTITUTE((SUBSTITUTE(BG10,"TF","")),"TM",""))*10/2,0),IF('Eval-Avec impact envisagé'!$A$763=AG18,LEN(SUBSTITUTE((SUBSTITUTE(BG11,"TF","")),"TM",""))*10/2,0),IF('Eval-Avec impact envisagé'!$A$764=AG18,LEN(SUBSTITUTE((SUBSTITUTE(BG12,"TF","")),"TM",""))*10/2,0),IF('Eval-Avec impact envisagé'!$A$765=AG18,LEN(SUBSTITUTE((SUBSTITUTE(BG13,"TF","")),"TM",""))*10/2,0),IF('Eval-Avec impact envisagé'!$A$766=AG18,LEN(SUBSTITUTE((SUBSTITUTE(BG14,"TF","")),"TM",""))*10/2,0),IF('Eval-Avec impact envisagé'!$A$767=AG18,LEN(SUBSTITUTE((SUBSTITUTE(BG15,"TF","")),"TM",""))*10/2,0),IF('Eval-Avec impact envisagé'!$A$768=AG18,LEN(SUBSTITUTE((SUBSTITUTE(BG16,"TF","")),"TM",""))*10/2,0),IF('Eval-Avec impact envisagé'!$A$769=AG18,LEN(SUBSTITUTE((SUBSTITUTE(BG17,"TF","")),"TM",""))*10/2,0),IF('Eval-Avec impact envisagé'!$A$770=AG18,LEN(SUBSTITUTE((SUBSTITUTE(BG18,"TF","")),"TM",""))*10/2,0),IF('Eval-Avec impact envisagé'!$A$771=AG18,LEN(SUBSTITUTE((SUBSTITUTE(BG19,"TF","")),"TM",""))*10/2,0),IF('Eval-Avec impact envisagé'!$A$772=AG18,LEN(SUBSTITUTE((SUBSTITUTE(BG20,"TF","")),"TM",""))*10/2,0),IF('Eval-Avec impact envisagé'!$A$773=AG18,LEN(SUBSTITUTE((SUBSTITUTE(BG21,"TF","")),"TM",""))*10/2,0),IF('Eval-Avec impact envisagé'!$A$774=AG18,LEN(SUBSTITUTE((SUBSTITUTE(BG22,"TF","")),"TM",""))*10/2,0),IF('Eval-Avec impact envisagé'!$A$775=AG18,LEN(SUBSTITUTE((SUBSTITUTE(BG23,"TF","")),"TM",""))*10/2,0),IF('Eval-Avec impact envisagé'!$A$776=AG18,LEN(SUBSTITUTE((SUBSTITUTE(BG24,"TF","")),"TM",""))*10/2,0),IF('Eval-Avec impact envisagé'!$A$777=AG18,LEN(SUBSTITUTE((SUBSTITUTE(BG25,"TF","")),"TM",""))*10/2,0),IF('Eval-Avec impact envisagé'!$A$778=AG18,LEN(SUBSTITUTE((SUBSTITUTE(BG26,"TF","")),"TM",""))*10/2,0),IF('Eval-Avec impact envisagé'!$A$779=AG18,LEN(SUBSTITUTE((SUBSTITUTE(BG27,"TF","")),"TM",""))*10/2,0),IF('Eval-Avec impact envisagé'!$A$780=AG18,LEN(SUBSTITUTE((SUBSTITUTE(BG28,"TF","")),"TM",""))*10/2,0))/COUNTIF('Eval-Avec impact envisagé'!$A$761:$A$780,AG18),"")</f>
        <v/>
      </c>
      <c r="AW18" s="211" t="str">
        <f>IF(COUNTIF('Eval-Avec impact envisagé'!$A$761:$A$780,AG18)&gt;0,IF(OR(AND('Eval-Avec impact envisagé'!$A$761=AG18,BD9&lt;30),AND('Eval-Avec impact envisagé'!$A$762=AG18,BD10&lt;30),AND('Eval-Avec impact envisagé'!$A$763=AG18,BD11&lt;30),AND('Eval-Avec impact envisagé'!$A$764=AG18,BD12&lt;30),AND('Eval-Avec impact envisagé'!$A$765=AG18,BD13&lt;30),AND('Eval-Avec impact envisagé'!$A$766=AG18,BD14&lt;30),AND('Eval-Avec impact envisagé'!$A$767=AG18,BD15&lt;30),AND('Eval-Avec impact envisagé'!$A$768=AG18,BD16&lt;30),AND('Eval-Avec impact envisagé'!$A$769=AG18,BD17&lt;30),AND('Eval-Avec impact envisagé'!$A$770=AG18,BD18&lt;30),AND('Eval-Avec impact envisagé'!$A$771=AG18,BD19&lt;30),AND('Eval-Avec impact envisagé'!$A$772=AG18,BD20&lt;30),AND('Eval-Avec impact envisagé'!$A$773=AG18,BD21&lt;30),AND('Eval-Avec impact envisagé'!$A$774=AG18,BD22&lt;30),AND('Eval-Avec impact envisagé'!$A$775=AG18,BD23&lt;30),AND('Eval-Avec impact envisagé'!$A$776=AG18,BD24&lt;30),AND('Eval-Avec impact envisagé'!$A$777=AG18,BD25&lt;30),AND('Eval-Avec impact envisagé'!$A$778=AG18,BD26&lt;30),AND('Eval-Avec impact envisagé'!$A$779=AG18,BD27&lt;30),AND('Eval-Avec impact envisagé'!$A$780=AG18,BD28&lt;30)),"",SUM(0.1*(SUMPRODUCT(('Eval-Avec impact envisagé'!$A$761:$A$780=AG18)*('Eval-Avec impact envisagé'!$N$761:$P$780="A"))+ SUMPRODUCT(('Eval-Avec impact envisagé'!$A$761:$A$780=AG18)*('Eval-Avec impact envisagé'!$N$761:$P$780="AL"))),0.7*(SUMPRODUCT(('Eval-Avec impact envisagé'!$A$761:$A$780=AG18)*('Eval-Avec impact envisagé'!$N$761:$P$780="TF"))+SUMPRODUCT(('Eval-Avec impact envisagé'!$A$761:$A$780=AG18)*('Eval-Avec impact envisagé'!$N$761:$P$780="TM"))+SUMPRODUCT(('Eval-Avec impact envisagé'!$A$761:$A$780=AG18)*('Eval-Avec impact envisagé'!$N$761:$P$780="TS"))),0.4*(SUMPRODUCT(('Eval-Avec impact envisagé'!$A$761:$A$780=AG18)*('Eval-Avec impact envisagé'!$N$761:$P$780="LA"))+SUMPRODUCT(('Eval-Avec impact envisagé'!$A$761:$A$780=AG18)*('Eval-Avec impact envisagé'!$N$761:$P$780="L"))+SUMPRODUCT(('Eval-Avec impact envisagé'!$A$761:$A$780=AG18)*('Eval-Avec impact envisagé'!$N$761:$P$780="LS"))),1*(SUMPRODUCT(('Eval-Avec impact envisagé'!$A$761:$A$780=AG18)*('Eval-Avec impact envisagé'!$N$761:$P$780="SL"))+ SUMPRODUCT(('Eval-Avec impact envisagé'!$A$761:$A$780=AG18)*('Eval-Avec impact envisagé'!$N$761:$P$780="S"))))/(3*COUNTIF('Eval-Avec impact envisagé'!$A$761:$A$780,AG18))),"")</f>
        <v/>
      </c>
      <c r="AX18" s="211" t="str">
        <f>IF(COUNTIF('Eval-Avec impact envisagé'!$A$761:$A$780,AG18)&gt;0,IF(OR(AND('Eval-Avec impact envisagé'!$A$761=AG18,BD9&lt;120),AND('Eval-Avec impact envisagé'!$A$762=AG18,BD10&lt;120),AND('Eval-Avec impact envisagé'!$A$763=AG18,BD11&lt;120),AND('Eval-Avec impact envisagé'!$A$764=AG18,BD12&lt;120),AND('Eval-Avec impact envisagé'!$A$765=AG18,BD13&lt;120),AND('Eval-Avec impact envisagé'!$A$766=AG18,BD14&lt;120),AND('Eval-Avec impact envisagé'!$A$767=AG18,BD15&lt;120),AND('Eval-Avec impact envisagé'!$A$768=AG18,BD16&lt;120),AND('Eval-Avec impact envisagé'!$A$769=AG18,BD17&lt;120),AND('Eval-Avec impact envisagé'!$A$770=AG18,BD18&lt;120),AND('Eval-Avec impact envisagé'!$A$771=AG18,BD19&lt;120),AND('Eval-Avec impact envisagé'!$A$772=AG18,BD20&lt;120),AND('Eval-Avec impact envisagé'!$A$773=AG18,BD21&lt;120),AND('Eval-Avec impact envisagé'!$A$774=AG18,BD22&lt;120),AND('Eval-Avec impact envisagé'!$A$775=AG18,BD23&lt;120),AND('Eval-Avec impact envisagé'!$A$776=AG18,BD24&lt;120),AND('Eval-Avec impact envisagé'!$A$777=AG18,BD25&lt;120),AND('Eval-Avec impact envisagé'!$A$778=AG18,BD26&lt;120),AND('Eval-Avec impact envisagé'!$A$779=AG18,BD27&lt;120),AND('Eval-Avec impact envisagé'!$A$780=AG18,BD28&lt;120)),"",SUM(0.1*(SUMPRODUCT(('Eval-Avec impact envisagé'!$A$761:$A$780=AG18)*('Eval-Avec impact envisagé'!$Q$761:$Y$780="A"))+ SUMPRODUCT(('Eval-Avec impact envisagé'!$A$761:$A$780=AG18)*('Eval-Avec impact envisagé'!$Q$761:$Y$780="AL"))),0.7*(SUMPRODUCT(('Eval-Avec impact envisagé'!$A$761:$A$780=AG18)*('Eval-Avec impact envisagé'!$Q$761:$Y$780="TF"))+SUMPRODUCT(('Eval-Avec impact envisagé'!$A$761:$A$780=AG18)*('Eval-Avec impact envisagé'!$Q$761:$Y$780="TM"))+SUMPRODUCT(('Eval-Avec impact envisagé'!$A$761:$A$780=AG18)*('Eval-Avec impact envisagé'!$Q$761:$Y$780="TS"))),0.4*(SUMPRODUCT(('Eval-Avec impact envisagé'!$A$761:$A$780=AG18)*('Eval-Avec impact envisagé'!$Q$761:$Y$780="LA"))+SUMPRODUCT(('Eval-Avec impact envisagé'!$A$761:$A$780=AG18)*('Eval-Avec impact envisagé'!$Q$761:$Y$780="L"))+SUMPRODUCT(('Eval-Avec impact envisagé'!$A$761:$A$780=AG18)*('Eval-Avec impact envisagé'!$Q$761:$Y$780="LS"))),1*(SUMPRODUCT(('Eval-Avec impact envisagé'!$A$761:$A$780=AG18)*('Eval-Avec impact envisagé'!$Q$761:$Y$780="SL"))+ SUMPRODUCT(('Eval-Avec impact envisagé'!$A$761:$A$780=AG18)*('Eval-Avec impact envisagé'!$Q$761:$Y$780="S"))))/(9*COUNTIF('Eval-Avec impact envisagé'!$A$761:$A$780,AG18))),"")</f>
        <v/>
      </c>
      <c r="AY18" s="211" t="str">
        <f>IF(COUNTIF('Eval-Avec impact envisagé'!$A$761:$A$780,AG18)&gt;0,IF(OR(AND('Eval-Avec impact envisagé'!$A$761=AG18,OR(COUNTIF('Eval-Avec impact envisagé'!$N$761:$P$761,"*T*")&gt;0,BD9&lt;30)),AND('Eval-Avec impact envisagé'!$A$762=AG18,OR(COUNTIF('Eval-Avec impact envisagé'!$N$762:$P$762,"*T*")&gt;0,BD10&lt;30)),AND('Eval-Avec impact envisagé'!$A$763=AG18,OR(COUNTIF('Eval-Avec impact envisagé'!$N$763:$P$763,"*T*")&gt;0,BD11&lt;30)),AND('Eval-Avec impact envisagé'!$A$764=AG18,OR(COUNTIF('Eval-Avec impact envisagé'!$N$764:$P$764,"*T*")&gt;0,BD12&lt;30)),AND('Eval-Avec impact envisagé'!$A$765=AG18,OR(COUNTIF('Eval-Avec impact envisagé'!$N$765:$P$765,"*T*")&gt;0,BD13&lt;30)),AND('Eval-Avec impact envisagé'!$A$766=AG18,OR(COUNTIF('Eval-Avec impact envisagé'!$N$766:$P$766,"*T*")&gt;0,BD14&lt;30)),AND('Eval-Avec impact envisagé'!$A$767=AG18,OR(COUNTIF('Eval-Avec impact envisagé'!$N$767:$P$767,"*T*")&gt;0,BD15&lt;30)),AND('Eval-Avec impact envisagé'!$A$768=AG18,OR(COUNTIF('Eval-Avec impact envisagé'!$N$768:$P$768,"*T*")&gt;0,BD16&lt;30)),AND('Eval-Avec impact envisagé'!$A$769=AG18,OR(COUNTIF('Eval-Avec impact envisagé'!$N$769:$P$769,"*T*")&gt;0,BD17&lt;30)),AND('Eval-Avec impact envisagé'!$A$770=AG18,OR(COUNTIF('Eval-Avec impact envisagé'!$N$770:$P$770,"*T*")&gt;0,BD18&lt;30)),AND('Eval-Avec impact envisagé'!$A$771=AG18,OR(COUNTIF('Eval-Avec impact envisagé'!$N$771:$P$771,"*T*")&gt;0,BD19&lt;30)),AND('Eval-Avec impact envisagé'!$A$772=AG18,OR(COUNTIF('Eval-Avec impact envisagé'!$N$772:$P$772,"*T*")&gt;0,BD20&lt;30)),AND('Eval-Avec impact envisagé'!$A$773=AG18,OR(COUNTIF('Eval-Avec impact envisagé'!$N$773:$P$773,"*T*")&gt;0,BD21&lt;30)),AND('Eval-Avec impact envisagé'!$A$774=AG18,OR(COUNTIF('Eval-Avec impact envisagé'!$N$774:$P$774,"*T*")&gt;0,BD22&lt;30)),AND('Eval-Avec impact envisagé'!$A$775=AG18,OR(COUNTIF('Eval-Avec impact envisagé'!$N$775:$P$775,"*T*")&gt;0,BD23&lt;30)),AND('Eval-Avec impact envisagé'!$A$776=AG18,OR(COUNTIF('Eval-Avec impact envisagé'!$N$776:$P$776,"*T*")&gt;0,BD24&lt;30)),AND('Eval-Avec impact envisagé'!$A$777=AG18,OR(COUNTIF('Eval-Avec impact envisagé'!$N$777:$P$777,"*T*")&gt;0,BD25&lt;30)),AND('Eval-Avec impact envisagé'!$A$778=AG18,OR(COUNTIF('Eval-Avec impact envisagé'!$N$778:$P$778,"*T*")&gt;0,BD26&lt;30)),AND('Eval-Avec impact envisagé'!$A$779=AG18,OR(COUNTIF('Eval-Avec impact envisagé'!$N$779:$P$779,"*T*")&gt;0,BD27&lt;30)),AND('Eval-Avec impact envisagé'!$A$780=AG18,OR(COUNTIF('Eval-Avec impact envisagé'!$N$780:$P$780,"*T*")&gt;0,BD28&lt;30))),"",SUM(0.1*(SUMPRODUCT(('Eval-Avec impact envisagé'!$A$761:$A$780=AG18)*('Eval-Avec impact envisagé'!$N$761:$P$780="L"))),0.4*(SUMPRODUCT(('Eval-Avec impact envisagé'!$A$761:$A$780=AG18)*('Eval-Avec impact envisagé'!$N$761:$P$780="LA"))+SUMPRODUCT(('Eval-Avec impact envisagé'!$A$761:$A$780=AG18)*('Eval-Avec impact envisagé'!$N$761:$P$780="LS"))),0.7*(SUMPRODUCT(('Eval-Avec impact envisagé'!$A$761:$A$780=AG18)*('Eval-Avec impact envisagé'!$N$761:$P$780="AL"))+SUMPRODUCT(('Eval-Avec impact envisagé'!$A$761:$A$780=AG18)*('Eval-Avec impact envisagé'!$N$761:$P$780="SL"))),1*(SUMPRODUCT(('Eval-Avec impact envisagé'!$A$761:$A$780=AG18)*('Eval-Avec impact envisagé'!$N$761:$P$780="S"))+ SUMPRODUCT(('Eval-Avec impact envisagé'!$A$761:$A$780=AG18)*('Eval-Avec impact envisagé'!$N$761:$P$780="A"))))/(3*COUNTIF('Eval-Avec impact envisagé'!$A$761:$A$780,AG18))),"")</f>
        <v/>
      </c>
      <c r="AZ18" s="211" t="str">
        <f>IF(COUNTIF('Eval-Avec impact envisagé'!$A$761:$A$780,AG18)&gt;0,IF(OR(AND('Eval-Avec impact envisagé'!$A$761=AG18,OR(COUNTIF('Eval-Avec impact envisagé'!$N$761:$P$761,"*T*")&gt;0,BD9&lt;30)),AND('Eval-Avec impact envisagé'!$A$762=AG18,OR(COUNTIF('Eval-Avec impact envisagé'!$N$762:$P$762,"*T*")&gt;0,BD10&lt;30)),AND('Eval-Avec impact envisagé'!$A$763=AG18,OR(COUNTIF('Eval-Avec impact envisagé'!$N$763:$P$763,"*T*")&gt;0,BD11&lt;30)),AND('Eval-Avec impact envisagé'!$A$764=AG18,OR(COUNTIF('Eval-Avec impact envisagé'!$N$764:$P$764,"*T*")&gt;0,BD12&lt;30)),AND('Eval-Avec impact envisagé'!$A$765=AG18,OR(COUNTIF('Eval-Avec impact envisagé'!$N$765:$P$765,"*T*")&gt;0,BD13&lt;30)),AND('Eval-Avec impact envisagé'!$A$766=AG18,OR(COUNTIF('Eval-Avec impact envisagé'!$N$766:$P$766,"*T*")&gt;0,BD14&lt;30)),AND('Eval-Avec impact envisagé'!$A$767=AG18,OR(COUNTIF('Eval-Avec impact envisagé'!$N$767:$P$767,"*T*")&gt;0,BD15&lt;30)),AND('Eval-Avec impact envisagé'!$A$768=AG18,OR(COUNTIF('Eval-Avec impact envisagé'!$N$768:$P$768,"*T*")&gt;0,BD16&lt;30)),AND('Eval-Avec impact envisagé'!$A$769=AG18,OR(COUNTIF('Eval-Avec impact envisagé'!$N$769:$P$769,"*T*")&gt;0,BD17&lt;30)),AND('Eval-Avec impact envisagé'!$A$770=AG18,OR(COUNTIF('Eval-Avec impact envisagé'!$N$770:$P$770,"*T*")&gt;0,BD18&lt;30)),AND('Eval-Avec impact envisagé'!$A$771=AG18,OR(COUNTIF('Eval-Avec impact envisagé'!$N$771:$P$771,"*T*")&gt;0,BD19&lt;30)),AND('Eval-Avec impact envisagé'!$A$772=AG18,OR(COUNTIF('Eval-Avec impact envisagé'!$N$772:$P$772,"*T*")&gt;0,BD20&lt;30)),AND('Eval-Avec impact envisagé'!$A$773=AG18,OR(COUNTIF('Eval-Avec impact envisagé'!$N$773:$P$773,"*T*")&gt;0,BD21&lt;30)),AND('Eval-Avec impact envisagé'!$A$774=AG18,OR(COUNTIF('Eval-Avec impact envisagé'!$N$774:$P$774,"*T*")&gt;0,BD22&lt;30)),AND('Eval-Avec impact envisagé'!$A$775=AG18,OR(COUNTIF('Eval-Avec impact envisagé'!$N$775:$P$775,"*T*")&gt;0,BD23&lt;30)),AND('Eval-Avec impact envisagé'!$A$776=AG18,OR(COUNTIF('Eval-Avec impact envisagé'!$N$776:$P$776,"*T*")&gt;0,BD24&lt;30)),AND('Eval-Avec impact envisagé'!$A$777=AG18,OR(COUNTIF('Eval-Avec impact envisagé'!$N$777:$P$777,"*T*")&gt;0,BD25&lt;30)),AND('Eval-Avec impact envisagé'!$A$778=AG18,OR(COUNTIF('Eval-Avec impact envisagé'!$N$778:$P$778,"*T*")&gt;0,BD26&lt;30)),AND('Eval-Avec impact envisagé'!$A$779=AG18,OR(COUNTIF('Eval-Avec impact envisagé'!$N$779:$P$779,"*T*")&gt;0,BD27&lt;30)),AND('Eval-Avec impact envisagé'!$A$780=AG18,OR(COUNTIF('Eval-Avec impact envisagé'!$N$780:$P$780,"*T*")&gt;0,BD28&lt;30))),"",SUM(1*(SUMPRODUCT(('Eval-Avec impact envisagé'!$A$761:$A$780=AG18)*('Eval-Avec impact envisagé'!$N$761:$P$780="A"))),0.85*(SUMPRODUCT(('Eval-Avec impact envisagé'!$A$761:$A$780=AG18)*('Eval-Avec impact envisagé'!$N$761:$P$780="AL"))),0.7*(SUMPRODUCT(('Eval-Avec impact envisagé'!$A$761:$A$780=AG18)*('Eval-Avec impact envisagé'!$N$761:$P$780="LA"))),0.55*(SUMPRODUCT(('Eval-Avec impact envisagé'!$A$761:$A$780=AG18)*('Eval-Avec impact envisagé'!$N$761:$P$780="L"))),0.4*(SUMPRODUCT(('Eval-Avec impact envisagé'!$A$761:$A$780=AG18)*('Eval-Avec impact envisagé'!$N$761:$P$780="LS"))),0.25*(SUMPRODUCT(('Eval-Avec impact envisagé'!$A$761:$A$780=AG18)*('Eval-Avec impact envisagé'!$N$761:$P$780="SL"))),0.1*(SUMPRODUCT(('Eval-Avec impact envisagé'!$A$761:$A$780=AG18)*('Eval-Avec impact envisagé'!$N$761:$P$780="S"))))/(3*COUNTIF('Eval-Avec impact envisagé'!$A$761:$A$780,AG18))),"")</f>
        <v/>
      </c>
      <c r="BA18" s="214" t="str">
        <f>IF(COUNTIF('Eval-Avec impact envisagé'!$A$761:$A$780,AG18)&gt;0,IF(OR(AND('Eval-Avec impact envisagé'!$A$761=AG18,OR(COUNTIF('Eval-Avec impact envisagé'!$Q$761:$Y$761,"*T*")&gt;0,BD9&lt;120)),AND('Eval-Avec impact envisagé'!$A$762=AG18,OR(COUNTIF('Eval-Avec impact envisagé'!$Q$762:$Y$762,"*T*")&gt;0,BD10&lt;120)),AND('Eval-Avec impact envisagé'!$A$763=AG18,OR(COUNTIF('Eval-Avec impact envisagé'!$Q$763:$Y$763,"*T*")&gt;0,BD11&lt;120)),AND('Eval-Avec impact envisagé'!$A$764=AG18,OR(COUNTIF('Eval-Avec impact envisagé'!$Q$764:$Y$764,"*T*")&gt;0,BD12&lt;120)),AND('Eval-Avec impact envisagé'!$A$765=AG18,OR(COUNTIF('Eval-Avec impact envisagé'!$Q$765:$Y$765,"*T*")&gt;0,BD13&lt;120)),AND('Eval-Avec impact envisagé'!$A$766=AG18,OR(COUNTIF('Eval-Avec impact envisagé'!$Q$766:$Y$766,"*T*")&gt;0,BD14&lt;120)),AND('Eval-Avec impact envisagé'!$A$767=AG18,OR(COUNTIF('Eval-Avec impact envisagé'!$Q$767:$Y$767,"*T*")&gt;0,BD15&lt;120)),AND('Eval-Avec impact envisagé'!$A$768=AG18,OR(COUNTIF('Eval-Avec impact envisagé'!$Q$768:$Y$768,"*T*")&gt;0,BD16&lt;120)),AND('Eval-Avec impact envisagé'!$A$769=AG18,OR(COUNTIF('Eval-Avec impact envisagé'!$Q$769:$Y$769,"*T*")&gt;0,BD17&lt;120)),AND('Eval-Avec impact envisagé'!$A$770=AG18,OR(COUNTIF('Eval-Avec impact envisagé'!$Q$770:$Y$770,"*T*")&gt;0,BD18&lt;120)),AND('Eval-Avec impact envisagé'!$A$771=AG18,OR(COUNTIF('Eval-Avec impact envisagé'!$Q$771:$Y$771,"*T*")&gt;0,BD19&lt;120)),AND('Eval-Avec impact envisagé'!$A$772=AG18,OR(COUNTIF('Eval-Avec impact envisagé'!$Q$772:$Y$772,"*T*")&gt;0,BD20&lt;120)),AND('Eval-Avec impact envisagé'!$A$773=AG18,OR(COUNTIF('Eval-Avec impact envisagé'!$Q$773:$Y$773,"*T*")&gt;0,BD21&lt;120)),AND('Eval-Avec impact envisagé'!$A$774=AG18,OR(COUNTIF('Eval-Avec impact envisagé'!$Q$774:$Y$774,"*T*")&gt;0,BD22&lt;120)),AND('Eval-Avec impact envisagé'!$A$775=AG18,OR(COUNTIF('Eval-Avec impact envisagé'!$Q$775:$Y$775,"*T*")&gt;0,BD23&lt;120)),AND('Eval-Avec impact envisagé'!$A$776=AG18,OR(COUNTIF('Eval-Avec impact envisagé'!$Q$776:$Y$776,"*T*")&gt;0,BD24&lt;120)),AND('Eval-Avec impact envisagé'!$A$777=AG18,OR(COUNTIF('Eval-Avec impact envisagé'!$Q$777:$Y$777,"*T*")&gt;0,BD25&lt;120)),AND('Eval-Avec impact envisagé'!$A$778=AG18,OR(COUNTIF('Eval-Avec impact envisagé'!$Q$778:$Y$778,"*T*")&gt;0,BD26&lt;120)),AND('Eval-Avec impact envisagé'!$A$779=AG18,OR(COUNTIF('Eval-Avec impact envisagé'!$Q$779:$Y$779,"*T*")&gt;0,BD27&lt;120)),AND('Eval-Avec impact envisagé'!$A$780=AG18,OR(COUNTIF('Eval-Avec impact envisagé'!$Q$780:$Y$780,"*T*")&gt;0,BD28&lt;120))),"",SUM(1*(SUMPRODUCT(('Eval-Avec impact envisagé'!$A$761:$A$780=AG18)*('Eval-Avec impact envisagé'!$Q$761:$Y$780="A"))),0.85*(SUMPRODUCT(('Eval-Avec impact envisagé'!$A$761:$A$780=AG18)*('Eval-Avec impact envisagé'!$Q$761:$Y$780="AL"))),0.7*(SUMPRODUCT(('Eval-Avec impact envisagé'!$A$761:$A$780=AG18)*('Eval-Avec impact envisagé'!$Q$761:$Y$780="LA"))),0.55*(SUMPRODUCT(('Eval-Avec impact envisagé'!$A$761:$A$780=AG18)*('Eval-Avec impact envisagé'!$Q$761:$Y$780="L"))),0.4*(SUMPRODUCT(('Eval-Avec impact envisagé'!$A$761:$A$780=AG18)*('Eval-Avec impact envisagé'!$Q$761:$Y$780="LS"))),0.25*(SUMPRODUCT(('Eval-Avec impact envisagé'!$A$761:$A$780=AG18)*('Eval-Avec impact envisagé'!$Q$761:$Y$780="SL"))),0.1*(SUMPRODUCT(('Eval-Avec impact envisagé'!$A$761:$A$780=AG18)*('Eval-Avec impact envisagé'!$Q$761:$Y$780="S"))))/(9*COUNTIF('Eval-Avec impact envisagé'!$A$761:$A$780,AG18))),"")</f>
        <v/>
      </c>
      <c r="BB18" s="215"/>
      <c r="BC18" s="216">
        <f>'Eval-Avec impact envisagé'!$D$770</f>
        <v>10</v>
      </c>
      <c r="BD18" s="217" t="str">
        <f>IF(BE18="C",0,IF(IF(COUNTIF('Eval-Avec impact envisagé'!$N$770:$Y$770,"=C")&gt;0,(COUNTA('Eval-Avec impact envisagé'!$N$770:$Y$770)-1)*10,COUNTA('Eval-Avec impact envisagé'!$N$770:$Y$770)*10)=0,"",IF(COUNTIF('Eval-Avec impact envisagé'!$N$770:$Y$770,"=C")&gt;0,(COUNTA('Eval-Avec impact envisagé'!$N$770:$Y$770)-1)*10,COUNTA('Eval-Avec impact envisagé'!$N$770:$Y$770)*10)))</f>
        <v/>
      </c>
      <c r="BE18" s="217" t="str">
        <f>CONCATENATE('Eval-Avec impact envisagé'!$N$770,'Eval-Avec impact envisagé'!$O$770,'Eval-Avec impact envisagé'!$P$770,'Eval-Avec impact envisagé'!$Q$770,'Eval-Avec impact envisagé'!$R$770,'Eval-Avec impact envisagé'!$S$770,'Eval-Avec impact envisagé'!$T$770,'Eval-Avec impact envisagé'!$U$770,'Eval-Avec impact envisagé'!$V$770,'Eval-Avec impact envisagé'!$W$770,'Eval-Avec impact envisagé'!$X$770,'Eval-Avec impact envisagé'!$Y$770)</f>
        <v/>
      </c>
      <c r="BF18" s="217" t="str">
        <f t="shared" si="4"/>
        <v/>
      </c>
      <c r="BG18" s="217" t="str">
        <f t="shared" si="5"/>
        <v/>
      </c>
      <c r="BH18" s="217" t="str">
        <f>IF(COUNTIF('Eval-Avec impact envisagé'!$N$770:$Y$770,"=C")&gt;0,"X","")</f>
        <v/>
      </c>
      <c r="BI18" s="217" t="str">
        <f t="shared" si="6"/>
        <v/>
      </c>
      <c r="BJ18" s="218" t="str">
        <f t="shared" si="7"/>
        <v/>
      </c>
      <c r="BK18" s="197"/>
      <c r="BM18" s="210">
        <v>10</v>
      </c>
      <c r="BN18" s="211" t="str">
        <f>IF(COUNTIF('Eval-Après impact'!$A$761:$A$780,BM18)&gt;0,SUM(IF('Eval-Après impact'!$A$761=BM18,'Eval-Après impact'!$B$761,0),IF('Eval-Après impact'!$A$762=BM18, 'Eval-Après impact'!$B$762,0),IF('Eval-Après impact'!$A$763=BM18, 'Eval-Après impact'!$B$763,0),IF('Eval-Après impact'!$A$764=BM18, 'Eval-Après impact'!$B$764,0),IF('Eval-Après impact'!$A$765=BM18, 'Eval-Après impact'!$B$765,0),IF('Eval-Après impact'!$A$766=BM18, 'Eval-Après impact'!$B$766,0),IF('Eval-Après impact'!$A$767=BM18, 'Eval-Après impact'!$B$767,0),IF('Eval-Après impact'!$A$768=BM18, 'Eval-Après impact'!$B$768,0),IF('Eval-Après impact'!$A$769=BM18, 'Eval-Après impact'!$B$769,0),IF('Eval-Après impact'!$A$770=BM18, 'Eval-Après impact'!$B$770,0),IF('Eval-Après impact'!$A$771=BM18, 'Eval-Après impact'!$B$771,0),IF('Eval-Après impact'!$A$772=BM18, 'Eval-Après impact'!$B$772,0),IF('Eval-Après impact'!$A$773=BM18, 'Eval-Après impact'!$B$773,0),IF('Eval-Après impact'!$A$774=BM18, 'Eval-Après impact'!$B$774,0),IF('Eval-Après impact'!$A$775=BM18, 'Eval-Après impact'!$B$775,0),IF('Eval-Après impact'!$A$776=BM18, 'Eval-Après impact'!$B$776,0),IF('Eval-Après impact'!$A$777=BM18, 'Eval-Après impact'!$B$777,0),IF('Eval-Après impact'!$A$778=BM18, 'Eval-Après impact'!$B$778,0),IF('Eval-Après impact'!$A$779=BM18, 'Eval-Après impact'!$B$779,0),IF('Eval-Après impact'!$A$780=BM18, 'Eval-Après impact'!$B$780,0))/COUNTIF('Eval-Après impact'!$A$761:$A$780,BM18),"")</f>
        <v/>
      </c>
      <c r="BO18" s="212" t="str">
        <f>IF(COUNTIF('Eval-Après impact'!$A$761:$A$780,BM18)&gt;0,COUNTIF('Eval-Après impact'!$A$761:$A$780,BM18),"")</f>
        <v/>
      </c>
      <c r="BP18" s="211" t="str">
        <f>IF(COUNTIF('Eval-Après impact'!$A$761:$A$780,BM18)&gt;0,IF(OR(AND('Eval-Après impact'!$A$761=BM18, 'Eval-Après impact'!$G$761=""),AND('Eval-Après impact'!$A$762=BM18, 'Eval-Après impact'!$G$762=""),AND('Eval-Après impact'!$A$763=BM18, 'Eval-Après impact'!$G$763=""),AND('Eval-Après impact'!$A$764=BM18, 'Eval-Après impact'!$G$764=""),AND('Eval-Après impact'!$A$765=BM18, 'Eval-Après impact'!$G$765=""),AND('Eval-Après impact'!$A$766=BM18, 'Eval-Après impact'!$G$766=""),AND('Eval-Après impact'!$A$767=BM18, 'Eval-Après impact'!$G$767=""),AND('Eval-Après impact'!$A$768=BM18, 'Eval-Après impact'!$G$768=""),AND('Eval-Après impact'!$A$769=BM18, 'Eval-Après impact'!$G$769=""),AND('Eval-Après impact'!$A$770=BM18, 'Eval-Après impact'!$G$770=""),AND('Eval-Après impact'!$A$771=BM18, 'Eval-Après impact'!$G$771=""),AND('Eval-Après impact'!$A$772=BM18, 'Eval-Après impact'!$G$772=""),AND('Eval-Après impact'!$A$773=BM18, 'Eval-Après impact'!$G$773=""),AND('Eval-Après impact'!$A$774=BM18, 'Eval-Après impact'!$G$774=""),AND('Eval-Après impact'!$A$775=BM18, 'Eval-Après impact'!$G$775=""),AND('Eval-Après impact'!$A$776=BM18, 'Eval-Après impact'!$G$776=""),AND('Eval-Après impact'!$A$777=BM18, 'Eval-Après impact'!$G$777=""),AND('Eval-Après impact'!$A$778=BM18, 'Eval-Après impact'!$G$778=""),AND('Eval-Après impact'!$A$779=BM18, 'Eval-Après impact'!$G$779=""),AND('Eval-Après impact'!$A$780=BM18, 'Eval-Après impact'!$G$780="")),"",SUM(IF('Eval-Après impact'!$A$761=BM18,'Eval-Après impact'!$G$761,0),IF('Eval-Après impact'!$A$762=BM18,'Eval-Après impact'!$G$762,0),IF('Eval-Après impact'!$A$763=BM18,'Eval-Après impact'!$G$763,0),IF('Eval-Après impact'!$A$764=BM18,'Eval-Après impact'!$G$764,0),IF('Eval-Après impact'!$A$765=BM18,'Eval-Après impact'!$G$765,0),IF('Eval-Après impact'!$A$766=BM18,'Eval-Après impact'!$G$766,0),IF('Eval-Après impact'!$A$767=BM18,'Eval-Après impact'!$G$767,0),IF('Eval-Après impact'!$A$768=BM18,'Eval-Après impact'!$G$768,0),IF('Eval-Après impact'!$A$769=BM18,'Eval-Après impact'!$G$769,0),IF('Eval-Après impact'!$A$770=BM18,'Eval-Après impact'!$G$770,0),IF('Eval-Après impact'!$A$771=BM18,'Eval-Après impact'!$G$771,0),IF('Eval-Après impact'!$A$772=BM18,'Eval-Après impact'!$G$772,0),IF('Eval-Après impact'!$A$773=BM18,'Eval-Après impact'!$G$773,0),IF('Eval-Après impact'!$A$774=BM18,'Eval-Après impact'!$G$774,0),IF('Eval-Après impact'!$A$775=BM18,'Eval-Après impact'!$G$775,0), IF('Eval-Après impact'!$A$776=BM18,'Eval-Après impact'!$G$776,0), IF('Eval-Après impact'!$A$777=BM18,'Eval-Après impact'!$G$777,0), IF('Eval-Après impact'!$A$778=BM18,'Eval-Après impact'!$G$778,0), IF('Eval-Après impact'!$A$779=BM18,'Eval-Après impact'!$G$779,0), IF('Eval-Après impact'!$A$780=BM18,'Eval-Après impact'!$G$780,0))/ COUNTIF('Eval-Après impact'!$A$761:$A$780,BM18)),"")</f>
        <v/>
      </c>
      <c r="BQ18" s="212" t="str">
        <f>IF(COUNTIF('Eval-Après impact'!$A$761:$A$780,BM18)&gt;0,IF(SUM(IF('Eval-Après impact'!$A$761=BM18,COUNTA('Eval-Après impact'!$H$761),0),IF('Eval-Après impact'!$A$762=BM18,COUNTA('Eval-Après impact'!$H$762),0),IF('Eval-Après impact'!$A$763=BM18,COUNTA('Eval-Après impact'!$H$763),0),IF('Eval-Après impact'!$A$764=BM18,COUNTA('Eval-Après impact'!$H$764),0),IF('Eval-Après impact'!$A$765=BM18,COUNTA('Eval-Après impact'!$H$765),0),IF('Eval-Après impact'!$A$766=BM18,COUNTA('Eval-Après impact'!$H$766),0),IF('Eval-Après impact'!$A$767=BM18,COUNTA('Eval-Après impact'!$H$767),0),IF('Eval-Après impact'!$A$768=BM18,COUNTA('Eval-Après impact'!$H$768),0),IF('Eval-Après impact'!$A$769=BM18,COUNTA('Eval-Après impact'!$H$769),0),IF('Eval-Après impact'!$A$770=BM18,COUNTA('Eval-Après impact'!$H$770),0),IF('Eval-Après impact'!$A$771=BM18,COUNTA('Eval-Après impact'!$H$771),0),IF('Eval-Après impact'!$A$772=BM18,COUNTA('Eval-Après impact'!$H$772),0),IF('Eval-Après impact'!$A$773=BM18,COUNTA('Eval-Après impact'!$H$773),0),IF('Eval-Après impact'!$A$774=BM18,COUNTA('Eval-Après impact'!$H$774),0),IF('Eval-Après impact'!$A$775=BM18,COUNTA('Eval-Après impact'!$H$775),0),IF('Eval-Après impact'!$A$776=BM18,COUNTA('Eval-Après impact'!$H$776),0),IF('Eval-Après impact'!$A$777=BM18,COUNTA('Eval-Après impact'!$H$777),0),IF('Eval-Après impact'!$A$778=BM18,COUNTA('Eval-Après impact'!$H$778),0),IF('Eval-Après impact'!$A$779=BM18,COUNTA('Eval-Après impact'!$H$779),0),IF('Eval-Après impact'!$A$780=BM18,COUNTA('Eval-Après impact'!$H$780),0))&gt;0,"X",0),"")</f>
        <v/>
      </c>
      <c r="BR18" s="213" t="str">
        <f>IF(COUNTIF('Eval-Après impact'!$A$761:$A$780,BM18)&gt;0,IF(SUM(IF('Eval-Après impact'!$A$761=BM18,COUNTA('Eval-Après impact'!$I$761),0),IF('Eval-Après impact'!$A$762=BM18,COUNTA('Eval-Après impact'!$I$762),0),IF('Eval-Après impact'!$A$763=BM18,COUNTA('Eval-Après impact'!$I$763),0),IF('Eval-Après impact'!$A$764=BM18,COUNTA('Eval-Après impact'!$I$764),0),IF('Eval-Après impact'!$A$765=BM18,COUNTA('Eval-Après impact'!$I$765),0),IF('Eval-Après impact'!$A$766=BM18,COUNTA('Eval-Après impact'!$I$766),0),IF('Eval-Après impact'!$A$767=BM18,COUNTA('Eval-Après impact'!$I$767),0),IF('Eval-Après impact'!$A$768=BM18,COUNTA('Eval-Après impact'!$I$768),0),IF('Eval-Après impact'!$A$769=BM18,COUNTA('Eval-Après impact'!$I$769),0),IF('Eval-Après impact'!$A$770=BM18,COUNTA('Eval-Après impact'!$I$770),0),IF('Eval-Après impact'!$A$771=BM18,COUNTA('Eval-Après impact'!$I$771),0),IF('Eval-Après impact'!$A$772=BM18,COUNTA('Eval-Après impact'!$I$772),0),IF('Eval-Après impact'!$A$773=BM18,COUNTA('Eval-Après impact'!$I$773),0),IF('Eval-Après impact'!$A$774=BM18,COUNTA('Eval-Après impact'!$I$774),0),IF('Eval-Après impact'!$A$775=BM18,COUNTA('Eval-Après impact'!$I$775),0),IF('Eval-Après impact'!$A$776=BM18,COUNTA('Eval-Après impact'!$I$776),0),IF('Eval-Après impact'!$A$777=BM18,COUNTA('Eval-Après impact'!$I$777),0),IF('Eval-Après impact'!$A$778=BM18,COUNTA('Eval-Après impact'!$I$778),0),IF('Eval-Après impact'!$A$779=BM18,COUNTA('Eval-Après impact'!$I$779),0),IF('Eval-Après impact'!$A$780=BM18,COUNTA('Eval-Après impact'!$I$780),0))&gt;0,"X",0),"")</f>
        <v/>
      </c>
      <c r="BS18" s="213" t="str">
        <f>IF(COUNTIF('Eval-Après impact'!$A$761:$A$780,BM18)&gt;0,IF(SUM(IF('Eval-Après impact'!$A$761=BM18,COUNTA('Eval-Après impact'!$J$761),0),IF('Eval-Après impact'!$A$762=BM18,COUNTA('Eval-Après impact'!$J$762),0),IF('Eval-Après impact'!$A$763=BM18,COUNTA('Eval-Après impact'!$J$763),0),IF('Eval-Après impact'!$A$764=BM18,COUNTA('Eval-Après impact'!$J$764),0),IF('Eval-Après impact'!$A$765=BM18,COUNTA('Eval-Après impact'!$J$765),0),IF('Eval-Après impact'!$A$766=BM18,COUNTA('Eval-Après impact'!$J$766),0),IF('Eval-Après impact'!$A$767=BM18,COUNTA('Eval-Après impact'!$J$767),0),IF('Eval-Après impact'!$A$768=BM18,COUNTA('Eval-Après impact'!$J$768),0),IF('Eval-Après impact'!$A$769=BM18,COUNTA('Eval-Après impact'!$J$769),0),IF('Eval-Après impact'!$A$770=BM18,COUNTA('Eval-Après impact'!$J$770),0),IF('Eval-Après impact'!$A$771=BM18,COUNTA('Eval-Après impact'!$J$771),0),IF('Eval-Après impact'!$A$772=BM18,COUNTA('Eval-Après impact'!$J$772),0),IF('Eval-Après impact'!$A$773=BM18,COUNTA('Eval-Après impact'!$J$773),0),IF('Eval-Après impact'!$A$774=BM18,COUNTA('Eval-Après impact'!$J$774),0),IF('Eval-Après impact'!$A$775=BM18,COUNTA('Eval-Après impact'!$J$775),0),IF('Eval-Après impact'!$A$776=BM18,COUNTA('Eval-Après impact'!$J$776),0),IF('Eval-Après impact'!$A$777=BM18,COUNTA('Eval-Après impact'!$J$777),0),IF('Eval-Après impact'!$A$778=BM18,COUNTA('Eval-Après impact'!$J$778),0),IF('Eval-Après impact'!$A$779=BM18,COUNTA('Eval-Après impact'!$J$779),0),IF('Eval-Après impact'!$A$780=BM18,COUNTA('Eval-Après impact'!$J$780),0))&gt;0,"X",0),"")</f>
        <v/>
      </c>
      <c r="BT18" s="213" t="str">
        <f>IF(COUNTIF('Eval-Après impact'!$A$761:$A$780,BM18)&gt;0,IF(SUM(IF('Eval-Après impact'!$A$761=BM18,COUNTA('Eval-Après impact'!$K$761),0),IF('Eval-Après impact'!$A$762=BM18,COUNTA('Eval-Après impact'!$K$762),0),IF('Eval-Après impact'!$A$763=BM18,COUNTA('Eval-Après impact'!$K$763),0),IF('Eval-Après impact'!$A$764=BM18,COUNTA('Eval-Après impact'!$K$764),0),IF('Eval-Après impact'!$A$765=BM18,COUNTA('Eval-Après impact'!$K$765),0),IF('Eval-Après impact'!$A$766=BM18,COUNTA('Eval-Après impact'!$K$766),0),IF('Eval-Après impact'!$A$767=BM18,COUNTA('Eval-Après impact'!$K$767),0),IF('Eval-Après impact'!$A$768=BM18,COUNTA('Eval-Après impact'!$K$768),0),IF('Eval-Après impact'!$A$769=BM18,COUNTA('Eval-Après impact'!$K$769),0),IF('Eval-Après impact'!$A$770=BM18,COUNTA('Eval-Après impact'!$K$770),0),IF('Eval-Après impact'!$A$771=BM18,COUNTA('Eval-Après impact'!$K$771),0),IF('Eval-Après impact'!$A$772=BM18,COUNTA('Eval-Après impact'!$K$772),0),IF('Eval-Après impact'!$A$773=BM18,COUNTA('Eval-Après impact'!$K$773),0),IF('Eval-Après impact'!$A$774=BM18,COUNTA('Eval-Après impact'!$K$774),0),IF('Eval-Après impact'!$A$775=BM18,COUNTA('Eval-Après impact'!$K$775),0),IF('Eval-Après impact'!$A$776=BM18,COUNTA('Eval-Après impact'!$K$776),0),IF('Eval-Après impact'!$A$777=BM18,COUNTA('Eval-Après impact'!$K$777),0),IF('Eval-Après impact'!$A$778=BM18,COUNTA('Eval-Après impact'!$K$778),0),IF('Eval-Après impact'!$A$779=BM18,COUNTA('Eval-Après impact'!$K$779),0),IF('Eval-Après impact'!$A$780=BM18,COUNTA('Eval-Après impact'!$K$780),0))&gt;0,"X",0),"")</f>
        <v/>
      </c>
      <c r="BU18" s="211" t="str">
        <f>IF(COUNTIF('Eval-Après impact'!$A$761:$A$780,BM18)&gt;0,IF(OR(AND('Eval-Après impact'!$A$761=BM18,'Eval-Après impact'!$L$761&lt;120,'Eval-Après impact'!$L$761&gt;=CJ9),AND('Eval-Après impact'!$A$762=BM18,'Eval-Après impact'!$L$762&lt;120,'Eval-Après impact'!$L$762&gt;=CJ10),AND('Eval-Après impact'!$A$763=BM18,'Eval-Après impact'!$L$763&lt;120,'Eval-Après impact'!$L$763&gt;=CJ11),AND('Eval-Après impact'!$A$764=BM18,'Eval-Après impact'!$L$764&lt;120,'Eval-Après impact'!$L$764&gt;=CJ12),AND('Eval-Après impact'!$A$765=BM18,'Eval-Après impact'!$L$765&lt;120,'Eval-Après impact'!$L$765&gt;=CJ13),AND('Eval-Après impact'!$A$766=BM18,'Eval-Après impact'!$L$766&lt;120,'Eval-Après impact'!$L$766&gt;=CJ14),AND('Eval-Après impact'!$A$767=BM18,'Eval-Après impact'!$L$767&lt;120,'Eval-Après impact'!$L$767&gt;=CJ15),AND('Eval-Après impact'!$A$768=BM18,'Eval-Après impact'!$L$768&lt;120,'Eval-Après impact'!$L$768&gt;=CJ16),AND('Eval-Après impact'!$A$769=BM18,'Eval-Après impact'!$L$769&lt;120,'Eval-Après impact'!$L$769&gt;=CJ17),AND('Eval-Après impact'!$A$770=BM18,'Eval-Après impact'!$L$770&lt;120,'Eval-Après impact'!$L$770&gt;=CJ18),AND('Eval-Après impact'!$A$771=BM18,'Eval-Après impact'!$L$771&lt;120,'Eval-Après impact'!$L$771&gt;=CJ19),AND('Eval-Après impact'!$A$772=BM18,'Eval-Après impact'!$L$772&lt;120,'Eval-Après impact'!$L$772&gt;=CJ20),AND('Eval-Après impact'!$A$773=BM18,'Eval-Après impact'!$L$773&lt;120,'Eval-Après impact'!$L$773&gt;=CJ21),AND('Eval-Après impact'!$A$774=BM18,'Eval-Après impact'!$L$774&lt;120,'Eval-Après impact'!$L$774&gt;=CJ22),AND('Eval-Après impact'!$A$775=BM18,'Eval-Après impact'!$L$775&lt;120,'Eval-Après impact'!$L$775&gt;=CJ23),AND('Eval-Après impact'!$A$776=BM18,'Eval-Après impact'!$L$776&lt;120,'Eval-Après impact'!$L$776&gt;=CJ24),AND('Eval-Après impact'!$A$777=BM18,'Eval-Après impact'!$L$777&lt;120,'Eval-Après impact'!$L$777&gt;=CJ25),AND('Eval-Après impact'!$A$778=BM18,'Eval-Après impact'!$L$778&lt;120,'Eval-Après impact'!$L$778&gt;=CJ26),AND('Eval-Après impact'!$A$779=BM18,'Eval-Après impact'!$L$779&lt;120,'Eval-Après impact'!$L$779&gt;=CJ27),AND('Eval-Après impact'!$A$780=BM18,'Eval-Après impact'!$L$780&lt;120,'Eval-Après impact'!$L$780&gt;=CJ28)),"",SUM(IF('Eval-Après impact'!$A$761=BM18,'Eval-Après impact'!$L$761,0),IF('Eval-Après impact'!$A$762=BM18,'Eval-Après impact'!$L$762,0),IF('Eval-Après impact'!$A$763=BM18,'Eval-Après impact'!$L$763,0),IF('Eval-Après impact'!$A$764=BM18,'Eval-Après impact'!$L$764,0),IF('Eval-Après impact'!$A$765=BM18,'Eval-Après impact'!$L$765,0),IF('Eval-Après impact'!$A$766=BM18,'Eval-Après impact'!$L$766,0),IF('Eval-Après impact'!$A$767=BM18,'Eval-Après impact'!$L$767,0),IF('Eval-Après impact'!$A$768=BM18,'Eval-Après impact'!$L$768,0),IF('Eval-Après impact'!$A$769=BM18,'Eval-Après impact'!$L$769,0),IF('Eval-Après impact'!$A$770=BM18,'Eval-Après impact'!$L$770,0),IF('Eval-Après impact'!$A$771=BM18,'Eval-Après impact'!$L$771,0),IF('Eval-Après impact'!$A$772=BM18,'Eval-Après impact'!$L$772,0),IF('Eval-Après impact'!$A$773=BM18,'Eval-Après impact'!$L$773,0),IF('Eval-Après impact'!$A$774=BM18,'Eval-Après impact'!$L$774,0),IF('Eval-Après impact'!$A$775=BM18,'Eval-Après impact'!$L$775,0),IF('Eval-Après impact'!$A$776=BM18,'Eval-Après impact'!$L$776,0),IF('Eval-Après impact'!$A$777=BM18,'Eval-Après impact'!$L$777,0),IF('Eval-Après impact'!$A$778=BM18,'Eval-Après impact'!$L$778,0),IF('Eval-Après impact'!$A$779=BM18,'Eval-Après impact'!$L$779,0),IF('Eval-Après impact'!$A$780=BM18,'Eval-Après impact'!$L$780,0))/ COUNTIF('Eval-Après impact'!$A$761:$A$780,BM18)),"")</f>
        <v/>
      </c>
      <c r="BV18" s="211" t="str">
        <f>IF(COUNTIF('Eval-Après impact'!$A$761:$A$780,BM18)&gt;0,IF(OR(AND('Eval-Après impact'!$A$761=BM18, CJ9&lt;120),AND(CJ10&lt;120),AND(CJ11&lt;120),AND(CJ12&lt;120),AND(CJ13&lt;120),AND(CJ14&lt;120),AND(CJ15&lt;120),AND(CJ16&lt;120),AND(CJ17&lt;120),AND(CJ18&lt;120),AND(CJ19&lt;120),AND(CJ20&lt;120),AND(CJ21&lt;120),AND(CJ22&lt;120),AND(CJ23&lt;120),AND(CJ24&lt;120),AND(CJ25&lt;120),AND(CJ26&lt;120),AND(CJ27&lt;120),AND(CJ28&lt;120)),"",SUM(IF('Eval-Après impact'!$A$761=BM18,'Eval-Après impact'!$M$761,0),IF('Eval-Après impact'!$A$762=BM18,'Eval-Après impact'!$M$762,0),IF('Eval-Après impact'!$A$763=BM18,'Eval-Après impact'!$M$763,0),IF('Eval-Après impact'!$A$764=BM18,'Eval-Après impact'!$M$764,0),IF('Eval-Après impact'!$A$765=BM18,'Eval-Après impact'!$M$765,0),IF('Eval-Après impact'!$A$766=BM18,'Eval-Après impact'!$M$766,0),IF('Eval-Après impact'!$A$767=BM18,'Eval-Après impact'!$M$767,0),IF('Eval-Après impact'!$A$768=BM18,'Eval-Après impact'!$M$768,0),IF('Eval-Après impact'!$A$769=BM18,'Eval-Après impact'!$M$769,0),IF('Eval-Après impact'!$A$770=BM18,'Eval-Après impact'!$M$770,0),IF('Eval-Après impact'!$A$771=BM18,'Eval-Après impact'!$M$771,0),IF('Eval-Après impact'!$A$772=BM18,'Eval-Après impact'!$M$772,0),IF('Eval-Après impact'!$A$773=BM18,'Eval-Après impact'!$M$773,0),IF('Eval-Après impact'!$A$774=BM18,'Eval-Après impact'!$M$774,0),IF('Eval-Après impact'!$A$775=BM18,'Eval-Après impact'!$M$775,0), IF('Eval-Après impact'!$A$776=BM18,'Eval-Après impact'!$M$776,0), IF('Eval-Après impact'!$A$777=BM18,'Eval-Après impact'!$M$777,0), IF('Eval-Après impact'!$A$778=BM18,'Eval-Après impact'!$M$778,0), IF('Eval-Après impact'!$A$779=BM18,'Eval-Après impact'!$M$779,0), IF('Eval-Après impact'!$A$780=BM18,'Eval-Après impact'!$M$780,0))/COUNTIF('Eval-Après impact'!$A$761:$A$780,BM18)),"")</f>
        <v/>
      </c>
      <c r="BW18" s="211" t="str">
        <f>IF(COUNTIF('Eval-Après impact'!$A$761:$A$780,BM18)&gt;0,SUM(IF('Eval-Après impact'!$A$761=BM18,LEN(SUBSTITUTE((SUBSTITUTE(CL9,"TM","")),"TS",""))*10/2,0),IF('Eval-Après impact'!$A$762=BM18,LEN(SUBSTITUTE((SUBSTITUTE(CL10,"TM","")),"TS",""))*10/2,0),IF('Eval-Après impact'!$A$763=BM18,LEN(SUBSTITUTE((SUBSTITUTE(CL11,"TM","")),"TS",""))*10/2,0),IF('Eval-Après impact'!$A$764=BM18,LEN(SUBSTITUTE((SUBSTITUTE(CL12,"TM","")),"TS",""))*10/2,0),IF('Eval-Après impact'!$A$765=BM18,LEN(SUBSTITUTE((SUBSTITUTE(CL13,"TM","")),"TS",""))*10/2,0),IF('Eval-Après impact'!$A$766=BM18,LEN(SUBSTITUTE((SUBSTITUTE(CL14,"TM","")),"TS",""))*10/2,0),IF('Eval-Après impact'!$A$767=BM18,LEN(SUBSTITUTE((SUBSTITUTE(CL15,"TM","")),"TS",""))*10/2,0),IF('Eval-Après impact'!$A$768=BM18,LEN(SUBSTITUTE((SUBSTITUTE(CL16,"TM","")),"TS",""))*10/2,0),IF('Eval-Après impact'!$A$769=BM18,LEN(SUBSTITUTE((SUBSTITUTE(CL17,"TM","")),"TS",""))*10/2,0),IF('Eval-Après impact'!$A$770=BM18,LEN(SUBSTITUTE((SUBSTITUTE(CL18,"TM","")),"TS",""))*10/2,0),IF('Eval-Après impact'!$A$771=BM18,LEN(SUBSTITUTE((SUBSTITUTE(CL19,"TM","")),"TS",""))*10/2,0),IF('Eval-Après impact'!$A$772=BM18,LEN(SUBSTITUTE((SUBSTITUTE(CL20,"TM","")),"TS",""))*10/2,0),IF('Eval-Après impact'!$A$773=BM18,LEN(SUBSTITUTE((SUBSTITUTE(CL21,"TM","")),"TS",""))*10/2,0),IF('Eval-Après impact'!$A$774=BM18,LEN(SUBSTITUTE((SUBSTITUTE(CL22,"TM","")),"TS",""))*10/2,0),IF('Eval-Après impact'!$A$775=BM18,LEN(SUBSTITUTE((SUBSTITUTE(CL23,"TM","")),"TS",""))*10/2,0),IF('Eval-Après impact'!$A$776=BM18,LEN(SUBSTITUTE((SUBSTITUTE(CL24,"TM","")),"TS",""))*10/2,0),IF('Eval-Après impact'!$A$777=BM18,LEN(SUBSTITUTE((SUBSTITUTE(CL25,"TM","")),"TS",""))*10/2,0),IF('Eval-Après impact'!$A$778=BM18,LEN(SUBSTITUTE((SUBSTITUTE(CL26,"TM","")),"TS",""))*10/2,0),IF('Eval-Après impact'!$A$779=BM18,LEN(SUBSTITUTE((SUBSTITUTE(CL27,"TM","")),"TS",""))*10/2,0),IF('Eval-Après impact'!$A$780=BM18,LEN(SUBSTITUTE((SUBSTITUTE(CL28,"TM","")),"TS",""))*10/2,0))/COUNTIF('Eval-Après impact'!$A$761:$A$780,BM18),"")</f>
        <v/>
      </c>
      <c r="BX18" s="211" t="str">
        <f>IF(COUNTIF('Eval-Après impact'!$A$761:$A$780,BM18)&gt;0,SUM(IF('Eval-Après impact'!$A$761=BM18,LEN(SUBSTITUTE((SUBSTITUTE(CL9,"TF","")),"TS",""))*10/2,0),IF('Eval-Après impact'!$A$762=BM18,LEN(SUBSTITUTE((SUBSTITUTE(CL10,"TF","")),"TS",""))*10/2,0),IF('Eval-Après impact'!$A$763=BM18,LEN(SUBSTITUTE((SUBSTITUTE(CL11,"TF","")),"TS",""))*10/2,0),IF('Eval-Après impact'!$A$764=BM18,LEN(SUBSTITUTE((SUBSTITUTE(CL12,"TF","")),"TS",""))*10/2,0),IF('Eval-Après impact'!$A$765=BM18,LEN(SUBSTITUTE((SUBSTITUTE(CL13,"TF","")),"TS",""))*10/2,0),IF('Eval-Après impact'!$A$766=BM18,LEN(SUBSTITUTE((SUBSTITUTE(CL14,"TF","")),"TS",""))*10/2,0),IF('Eval-Après impact'!$A$767=BM18,LEN(SUBSTITUTE((SUBSTITUTE(CL15,"TF","")),"TS",""))*10/2,0),IF('Eval-Après impact'!$A$768=BM18,LEN(SUBSTITUTE((SUBSTITUTE(CL16,"TF","")),"TS",""))*10/2,0),IF('Eval-Après impact'!$A$769=BM18,LEN(SUBSTITUTE((SUBSTITUTE(CL17,"TF","")),"TS",""))*10/2,0),IF('Eval-Après impact'!$A$770=BM18,LEN(SUBSTITUTE((SUBSTITUTE(CL18,"TF","")),"TS",""))*10/2,0),IF('Eval-Après impact'!$A$771=BM18,LEN(SUBSTITUTE((SUBSTITUTE(CL19,"TF","")),"TS",""))*10/2,0),IF('Eval-Après impact'!$A$772=BM18,LEN(SUBSTITUTE((SUBSTITUTE(CL20,"TF","")),"TS",""))*10/2,0),IF('Eval-Après impact'!$A$773=BM18,LEN(SUBSTITUTE((SUBSTITUTE(CL21,"TF","")),"TS",""))*10/2,0),IF('Eval-Après impact'!$A$774=BM18,LEN(SUBSTITUTE((SUBSTITUTE(CL22,"TF","")),"TS",""))*10/2,0),IF('Eval-Après impact'!$A$775=BM18,LEN(SUBSTITUTE((SUBSTITUTE(CL23,"TF","")),"TS",""))*10/2,0),IF('Eval-Après impact'!$A$776=BM18,LEN(SUBSTITUTE((SUBSTITUTE(CL24,"TF","")),"TS",""))*10/2,0),IF('Eval-Après impact'!$A$777=BM18,LEN(SUBSTITUTE((SUBSTITUTE(CL25,"TF","")),"TS",""))*10/2,0),IF('Eval-Après impact'!$A$778=BM18,LEN(SUBSTITUTE((SUBSTITUTE(CL26,"TF","")),"TS",""))*10/2,0),IF('Eval-Après impact'!$A$779=BM18,LEN(SUBSTITUTE((SUBSTITUTE(CL27,"TF","")),"TS",""))*10/2,0),IF('Eval-Après impact'!$A$780=BM18,LEN(SUBSTITUTE((SUBSTITUTE(CL28,"TF","")),"TS",""))*10/2,0))/COUNTIF('Eval-Après impact'!$A$761:$A$780,BM18),"")</f>
        <v/>
      </c>
      <c r="BY18" s="211" t="str">
        <f>IF(COUNTIF('Eval-Après impact'!$A$761:$A$780,BM18)&gt;0,SUM(IF('Eval-Après impact'!$A$761=BM18,LEN(SUBSTITUTE((SUBSTITUTE(CL9,"TF","")),"TM",""))*10/2,0),IF('Eval-Après impact'!$A$762=BM18,LEN(SUBSTITUTE((SUBSTITUTE(CL10,"TF","")),"TM",""))*10/2,0),IF('Eval-Après impact'!$A$763=BM18,LEN(SUBSTITUTE((SUBSTITUTE(CL11,"TF","")),"TM",""))*10/2,0),IF('Eval-Après impact'!$A$764=BM18,LEN(SUBSTITUTE((SUBSTITUTE(CL12,"TF","")),"TM",""))*10/2,0),IF('Eval-Après impact'!$A$765=BM18,LEN(SUBSTITUTE((SUBSTITUTE(CL13,"TF","")),"TM",""))*10/2,0),IF('Eval-Après impact'!$A$766=BM18,LEN(SUBSTITUTE((SUBSTITUTE(CL14,"TF","")),"TM",""))*10/2,0),IF('Eval-Après impact'!$A$767=BM18,LEN(SUBSTITUTE((SUBSTITUTE(CL15,"TF","")),"TM",""))*10/2,0),IF('Eval-Après impact'!$A$768=BM18,LEN(SUBSTITUTE((SUBSTITUTE(CL16,"TF","")),"TM",""))*10/2,0),IF('Eval-Après impact'!$A$769=BM18,LEN(SUBSTITUTE((SUBSTITUTE(CL17,"TF","")),"TM",""))*10/2,0),IF('Eval-Après impact'!$A$770=BM18,LEN(SUBSTITUTE((SUBSTITUTE(CL18,"TF","")),"TM",""))*10/2,0),IF('Eval-Après impact'!$A$771=BM18,LEN(SUBSTITUTE((SUBSTITUTE(CL19,"TF","")),"TM",""))*10/2,0),IF('Eval-Après impact'!$A$772=BM18,LEN(SUBSTITUTE((SUBSTITUTE(CL20,"TF","")),"TM",""))*10/2,0),IF('Eval-Après impact'!$A$773=BM18,LEN(SUBSTITUTE((SUBSTITUTE(CL21,"TF","")),"TM",""))*10/2,0),IF('Eval-Après impact'!$A$774=BM18,LEN(SUBSTITUTE((SUBSTITUTE(CL22,"TF","")),"TM",""))*10/2,0),IF('Eval-Après impact'!$A$775=BM18,LEN(SUBSTITUTE((SUBSTITUTE(CL23,"TF","")),"TM",""))*10/2,0),IF('Eval-Après impact'!$A$776=BM18,LEN(SUBSTITUTE((SUBSTITUTE(CL24,"TF","")),"TM",""))*10/2,0),IF('Eval-Après impact'!$A$777=BM18,LEN(SUBSTITUTE((SUBSTITUTE(CL25,"TF","")),"TM",""))*10/2,0),IF('Eval-Après impact'!$A$778=BM18,LEN(SUBSTITUTE((SUBSTITUTE(CL26,"TF","")),"TM",""))*10/2,0),IF('Eval-Après impact'!$A$779=BM18,LEN(SUBSTITUTE((SUBSTITUTE(CL27,"TF","")),"TM",""))*10/2,0),IF('Eval-Après impact'!$A$780=BM18,LEN(SUBSTITUTE((SUBSTITUTE(CL28,"TF","")),"TM",""))*10/2,0))/COUNTIF('Eval-Après impact'!$A$761:$A$780,BM18),"")</f>
        <v/>
      </c>
      <c r="BZ18" s="211" t="str">
        <f>IF(COUNTIF('Eval-Après impact'!$A$761:$A$780,BM18)&gt;0,SUM(IF('Eval-Après impact'!$A$761=BM18,LEN(SUBSTITUTE((SUBSTITUTE(CM9,"TM","")),"TS",""))*10/2,0),IF('Eval-Après impact'!$A$762=BM18,LEN(SUBSTITUTE((SUBSTITUTE(CM10,"TM","")),"TS",""))*10/2,0),IF('Eval-Après impact'!$A$763=BM18,LEN(SUBSTITUTE((SUBSTITUTE(CM11,"TM","")),"TS",""))*10/2,0),IF('Eval-Après impact'!$A$764=BM18,LEN(SUBSTITUTE((SUBSTITUTE(CM12,"TM","")),"TS",""))*10/2,0),IF('Eval-Après impact'!$A$765=BM18,LEN(SUBSTITUTE((SUBSTITUTE(CM13,"TM","")),"TS",""))*10/2,0),IF('Eval-Après impact'!$A$766=BM18,LEN(SUBSTITUTE((SUBSTITUTE(CM14,"TM","")),"TS",""))*10/2,0),IF('Eval-Après impact'!$A$767=BM18,LEN(SUBSTITUTE((SUBSTITUTE(CM15,"TM","")),"TS",""))*10/2,0),IF('Eval-Après impact'!$A$768=BM18,LEN(SUBSTITUTE((SUBSTITUTE(CM16,"TM","")),"TS",""))*10/2,0),IF('Eval-Après impact'!$A$769=BM18,LEN(SUBSTITUTE((SUBSTITUTE(CM17,"TM","")),"TS",""))*10/2,0),IF('Eval-Après impact'!$A$770=BM18,LEN(SUBSTITUTE((SUBSTITUTE(CM18,"TM","")),"TS",""))*10/2,0),IF('Eval-Après impact'!$A$771=BM18,LEN(SUBSTITUTE((SUBSTITUTE(CM19,"TM","")),"TS",""))*10/2,0),IF('Eval-Après impact'!$A$772=BM18,LEN(SUBSTITUTE((SUBSTITUTE(CM20,"TM","")),"TS",""))*10/2,0),IF('Eval-Après impact'!$A$773=BM18,LEN(SUBSTITUTE((SUBSTITUTE(CM21,"TM","")),"TS",""))*10/2,0),IF('Eval-Après impact'!$A$774=BM18,LEN(SUBSTITUTE((SUBSTITUTE(CM22,"TM","")),"TS",""))*10/2,0),IF('Eval-Après impact'!$A$775=BM18,LEN(SUBSTITUTE((SUBSTITUTE(CM23,"TM","")),"TS",""))*10/2,0),IF('Eval-Après impact'!$A$776=BM18,LEN(SUBSTITUTE((SUBSTITUTE(CM24,"TM","")),"TS",""))*10/2,0),IF('Eval-Après impact'!$A$777=BM18,LEN(SUBSTITUTE((SUBSTITUTE(CM25,"TM","")),"TS",""))*10/2,0),IF('Eval-Après impact'!$A$778=BM18,LEN(SUBSTITUTE((SUBSTITUTE(CM26,"TM","")),"TS",""))*10/2,0),IF('Eval-Après impact'!$A$779=BM18,LEN(SUBSTITUTE((SUBSTITUTE(CM27,"TM","")),"TS",""))*10/2,0),IF('Eval-Après impact'!$A$780=BM18,LEN(SUBSTITUTE((SUBSTITUTE(CM28,"TM","")),"TS",""))*10/2,0))/COUNTIF('Eval-Après impact'!$A$761:$A$780,BM18),"")</f>
        <v/>
      </c>
      <c r="CA18" s="211" t="str">
        <f>IF(COUNTIF('Eval-Après impact'!$A$761:$A$780,BM18)&gt;0,SUM(IF('Eval-Après impact'!$A$761=BM18,LEN(SUBSTITUTE((SUBSTITUTE(CM9,"TF","")),"TS",""))*10/2,0),IF('Eval-Après impact'!$A$762=BM18,LEN(SUBSTITUTE((SUBSTITUTE(CM10,"TF","")),"TS",""))*10/2,0),IF('Eval-Après impact'!$A$763=BM18,LEN(SUBSTITUTE((SUBSTITUTE(CM11,"TF","")),"TS",""))*10/2,0),IF('Eval-Après impact'!$A$764=BM18,LEN(SUBSTITUTE((SUBSTITUTE(CM12,"TF","")),"TS",""))*10/2,0),IF('Eval-Après impact'!$A$765=BM18,LEN(SUBSTITUTE((SUBSTITUTE(CM13,"TF","")),"TS",""))*10/2,0),IF('Eval-Après impact'!$A$766=BM18,LEN(SUBSTITUTE((SUBSTITUTE(CM14,"TF","")),"TS",""))*10/2,0),IF('Eval-Après impact'!$A$767=BM18,LEN(SUBSTITUTE((SUBSTITUTE(CM15,"TF","")),"TS",""))*10/2,0),IF('Eval-Après impact'!$A$768=BM18,LEN(SUBSTITUTE((SUBSTITUTE(CM16,"TF","")),"TS",""))*10/2,0),IF('Eval-Après impact'!$A$769=BM18,LEN(SUBSTITUTE((SUBSTITUTE(CM17,"TF","")),"TS",""))*10/2,0),IF('Eval-Après impact'!$A$770=BM18,LEN(SUBSTITUTE((SUBSTITUTE(CM18,"TF","")),"TS",""))*10/2,0),IF('Eval-Après impact'!$A$771=BM18,LEN(SUBSTITUTE((SUBSTITUTE(CM19,"TF","")),"TS",""))*10/2,0),IF('Eval-Après impact'!$A$772=BM18,LEN(SUBSTITUTE((SUBSTITUTE(CM20,"TF","")),"TS",""))*10/2,0),IF('Eval-Après impact'!$A$773=BM18,LEN(SUBSTITUTE((SUBSTITUTE(CM21,"TF","")),"TS",""))*10/2,0),IF('Eval-Après impact'!$A$774=BM18,LEN(SUBSTITUTE((SUBSTITUTE(CM22,"TF","")),"TS",""))*10/2,0),IF('Eval-Après impact'!$A$775=BM18,LEN(SUBSTITUTE((SUBSTITUTE(CM23,"TF","")),"TS",""))*10/2,0),IF('Eval-Après impact'!$A$776=BM18,LEN(SUBSTITUTE((SUBSTITUTE(CM24,"TF","")),"TS",""))*10/2,0),IF('Eval-Après impact'!$A$777=BM18,LEN(SUBSTITUTE((SUBSTITUTE(CM25,"TF","")),"TS",""))*10/2,0),IF('Eval-Après impact'!$A$778=BM18,LEN(SUBSTITUTE((SUBSTITUTE(CM26,"TF","")),"TS",""))*10/2,0),IF('Eval-Après impact'!$A$779=BM18,LEN(SUBSTITUTE((SUBSTITUTE(CM27,"TF","")),"TS",""))*10/2,0),IF('Eval-Après impact'!$A$780=BM18,LEN(SUBSTITUTE((SUBSTITUTE(CM28,"TF","")),"TS",""))*10/2,0))/COUNTIF('Eval-Après impact'!$A$761:$A$780,BM18),"")</f>
        <v/>
      </c>
      <c r="CB18" s="211" t="str">
        <f>IF(COUNTIF('Eval-Après impact'!$A$761:$A$780,BM18)&gt;0,SUM(IF('Eval-Après impact'!$A$761=BM18,LEN(SUBSTITUTE((SUBSTITUTE(CM9,"TF","")),"TM",""))*10/2,0),IF('Eval-Après impact'!$A$762=BM18,LEN(SUBSTITUTE((SUBSTITUTE(CM10,"TF","")),"TM",""))*10/2,0),IF('Eval-Après impact'!$A$763=BM18,LEN(SUBSTITUTE((SUBSTITUTE(CM11,"TF","")),"TM",""))*10/2,0),IF('Eval-Après impact'!$A$764=BM18,LEN(SUBSTITUTE((SUBSTITUTE(CM12,"TF","")),"TM",""))*10/2,0),IF('Eval-Après impact'!$A$765=BM18,LEN(SUBSTITUTE((SUBSTITUTE(CM13,"TF","")),"TM",""))*10/2,0),IF('Eval-Après impact'!$A$766=BM18,LEN(SUBSTITUTE((SUBSTITUTE(CM14,"TF","")),"TM",""))*10/2,0),IF('Eval-Après impact'!$A$767=BM18,LEN(SUBSTITUTE((SUBSTITUTE(CM15,"TF","")),"TM",""))*10/2,0),IF('Eval-Après impact'!$A$768=BM18,LEN(SUBSTITUTE((SUBSTITUTE(CM16,"TF","")),"TM",""))*10/2,0),IF('Eval-Après impact'!$A$769=BM18,LEN(SUBSTITUTE((SUBSTITUTE(CM17,"TF","")),"TM",""))*10/2,0),IF('Eval-Après impact'!$A$770=BM18,LEN(SUBSTITUTE((SUBSTITUTE(CM18,"TF","")),"TM",""))*10/2,0),IF('Eval-Après impact'!$A$771=BM18,LEN(SUBSTITUTE((SUBSTITUTE(CM19,"TF","")),"TM",""))*10/2,0),IF('Eval-Après impact'!$A$772=BM18,LEN(SUBSTITUTE((SUBSTITUTE(CM20,"TF","")),"TM",""))*10/2,0),IF('Eval-Après impact'!$A$773=BM18,LEN(SUBSTITUTE((SUBSTITUTE(CM21,"TF","")),"TM",""))*10/2,0),IF('Eval-Après impact'!$A$774=BM18,LEN(SUBSTITUTE((SUBSTITUTE(CM22,"TF","")),"TM",""))*10/2,0),IF('Eval-Après impact'!$A$775=BM18,LEN(SUBSTITUTE((SUBSTITUTE(CM23,"TF","")),"TM",""))*10/2,0),IF('Eval-Après impact'!$A$776=BM18,LEN(SUBSTITUTE((SUBSTITUTE(CM24,"TF","")),"TM",""))*10/2,0),IF('Eval-Après impact'!$A$777=BM18,LEN(SUBSTITUTE((SUBSTITUTE(CM25,"TF","")),"TM",""))*10/2,0),IF('Eval-Après impact'!$A$778=BM18,LEN(SUBSTITUTE((SUBSTITUTE(CM26,"TF","")),"TM",""))*10/2,0),IF('Eval-Après impact'!$A$779=BM18,LEN(SUBSTITUTE((SUBSTITUTE(CM27,"TF","")),"TM",""))*10/2,0),IF('Eval-Après impact'!$A$780=BM18,LEN(SUBSTITUTE((SUBSTITUTE(CM28,"TF","")),"TM",""))*10/2,0))/COUNTIF('Eval-Après impact'!$A$761:$A$780,BM18),"")</f>
        <v/>
      </c>
      <c r="CC18" s="211" t="str">
        <f>IF(COUNTIF('Eval-Après impact'!$A$761:$A$780,BM18)&gt;0,IF(OR(AND('Eval-Après impact'!$A$761=BM18,CJ9&lt;30),AND('Eval-Après impact'!$A$762=BM18,CJ10&lt;30),AND('Eval-Après impact'!$A$763=BM18,CJ11&lt;30),AND('Eval-Après impact'!$A$764=BM18,CJ12&lt;30),AND('Eval-Après impact'!$A$765=BM18,CJ13&lt;30),AND('Eval-Après impact'!$A$766=BM18,CJ14&lt;30),AND('Eval-Après impact'!$A$767=BM18,CJ15&lt;30),AND('Eval-Après impact'!$A$768=BM18,CJ16&lt;30),AND('Eval-Après impact'!$A$769=BM18,CJ17&lt;30),AND('Eval-Après impact'!$A$770=BM18,CJ18&lt;30),AND('Eval-Après impact'!$A$771=BM18,CJ19&lt;30),AND('Eval-Après impact'!$A$772=BM18,CJ20&lt;30),AND('Eval-Après impact'!$A$773=BM18,CJ21&lt;30),AND('Eval-Après impact'!$A$774=BM18,CJ22&lt;30),AND('Eval-Après impact'!$A$775=BM18,CJ23&lt;30),AND('Eval-Après impact'!$A$776=BM18,CJ24&lt;30),AND('Eval-Après impact'!$A$777=BM18,CJ25&lt;30),AND('Eval-Après impact'!$A$778=BM18,CJ26&lt;30),AND('Eval-Après impact'!$A$779=BM18,CJ27&lt;30),AND('Eval-Après impact'!$A$780=BM18,CJ28&lt;30)),"",SUM(0.1*(SUMPRODUCT(('Eval-Après impact'!$A$761:$A$780=BM18)*('Eval-Après impact'!$N$761:$P$780="A"))+ SUMPRODUCT(('Eval-Après impact'!$A$761:$A$780=BM18)*('Eval-Après impact'!$N$761:$P$780="AL"))),0.7*(SUMPRODUCT(('Eval-Après impact'!$A$761:$A$780=BM18)*('Eval-Après impact'!$N$761:$P$780="TF"))+SUMPRODUCT(('Eval-Après impact'!$A$761:$A$780=BM18)*('Eval-Après impact'!$N$761:$P$780="TM"))+SUMPRODUCT(('Eval-Après impact'!$A$761:$A$780=BM18)*('Eval-Après impact'!$N$761:$P$780="TS"))),0.4*(SUMPRODUCT(('Eval-Après impact'!$A$761:$A$780=BM18)*('Eval-Après impact'!$N$761:$P$780="LA"))+SUMPRODUCT(('Eval-Après impact'!$A$761:$A$780=BM18)*('Eval-Après impact'!$N$761:$P$780="L"))+SUMPRODUCT(('Eval-Après impact'!$A$761:$A$780=BM18)*('Eval-Après impact'!$N$761:$P$780="LS"))),1*(SUMPRODUCT(('Eval-Après impact'!$A$761:$A$780=BM18)*('Eval-Après impact'!$N$761:$P$780="SL"))+ SUMPRODUCT(('Eval-Après impact'!$A$761:$A$780=BM18)*('Eval-Après impact'!$N$761:$P$780="S"))))/(3*COUNTIF('Eval-Après impact'!$A$761:$A$780,BM18))),"")</f>
        <v/>
      </c>
      <c r="CD18" s="211" t="str">
        <f>IF(COUNTIF('Eval-Après impact'!$A$761:$A$780,BM18)&gt;0,IF(OR(AND('Eval-Après impact'!$A$761=BM18,CJ9&lt;120),AND('Eval-Après impact'!$A$762=BM18,CJ10&lt;120),AND('Eval-Après impact'!$A$763=BM18,CJ11&lt;120),AND('Eval-Après impact'!$A$764=BM18,CJ12&lt;120),AND('Eval-Après impact'!$A$765=BM18,CJ13&lt;120),AND('Eval-Après impact'!$A$766=BM18,CJ14&lt;120),AND('Eval-Après impact'!$A$767=BM18,CJ15&lt;120),AND('Eval-Après impact'!$A$768=BM18,CJ16&lt;120),AND('Eval-Après impact'!$A$769=BM18,CJ17&lt;120),AND('Eval-Après impact'!$A$770=BM18,CJ18&lt;120),AND('Eval-Après impact'!$A$771=BM18,CJ19&lt;120),AND('Eval-Après impact'!$A$772=BM18,CJ20&lt;120),AND('Eval-Après impact'!$A$773=BM18,CJ21&lt;120),AND('Eval-Après impact'!$A$774=BM18,CJ22&lt;120),AND('Eval-Après impact'!$A$775=BM18,CJ23&lt;120),AND('Eval-Après impact'!$A$776=BM18,CJ24&lt;120),AND('Eval-Après impact'!$A$777=BM18,CJ25&lt;120),AND('Eval-Après impact'!$A$778=BM18,CJ26&lt;120),AND('Eval-Après impact'!$A$779=BM18,CJ27&lt;120),AND('Eval-Après impact'!$A$780=BM18,CJ28&lt;120)),"",SUM(0.1*(SUMPRODUCT(('Eval-Après impact'!$A$761:$A$780=BM18)*('Eval-Après impact'!$Q$761:$Y$780="A"))+ SUMPRODUCT(('Eval-Après impact'!$A$761:$A$780=BM18)*('Eval-Après impact'!$Q$761:$Y$780="AL"))),0.7*(SUMPRODUCT(('Eval-Après impact'!$A$761:$A$780=BM18)*('Eval-Après impact'!$Q$761:$Y$780="TF"))+SUMPRODUCT(('Eval-Après impact'!$A$761:$A$780=BM18)*('Eval-Après impact'!$Q$761:$Y$780="TM"))+SUMPRODUCT(('Eval-Après impact'!$A$761:$A$780=BM18)*('Eval-Après impact'!$Q$761:$Y$780="TS"))),0.4*(SUMPRODUCT(('Eval-Après impact'!$A$761:$A$780=BM18)*('Eval-Après impact'!$Q$761:$Y$780="LA"))+SUMPRODUCT(('Eval-Après impact'!$A$761:$A$780=BM18)*('Eval-Après impact'!$Q$761:$Y$780="L"))+SUMPRODUCT(('Eval-Après impact'!$A$761:$A$780=BM18)*('Eval-Après impact'!$Q$761:$Y$780="LS"))),1*(SUMPRODUCT(('Eval-Après impact'!$A$761:$A$780=BM18)*('Eval-Après impact'!$Q$761:$Y$780="SL"))+ SUMPRODUCT(('Eval-Après impact'!$A$761:$A$780=BM18)*('Eval-Après impact'!$Q$761:$Y$780="S"))))/(9*COUNTIF('Eval-Après impact'!$A$761:$A$780,BM18))),"")</f>
        <v/>
      </c>
      <c r="CE18" s="211" t="str">
        <f>IF(COUNTIF('Eval-Après impact'!$A$761:$A$780,BM18)&gt;0,IF(OR(AND('Eval-Après impact'!$A$761=BM18,OR(COUNTIF('Eval-Après impact'!$N$761:$P$761,"*T*")&gt;0,CJ9&lt;30)),AND('Eval-Après impact'!$A$762=BM18,OR(COUNTIF('Eval-Après impact'!$N$762:$P$762,"*T*")&gt;0,CJ10&lt;30)),AND('Eval-Après impact'!$A$763=BM18,OR(COUNTIF('Eval-Après impact'!$N$763:$P$763,"*T*")&gt;0,CJ11&lt;30)),AND('Eval-Après impact'!$A$764=BM18,OR(COUNTIF('Eval-Après impact'!$N$764:$P$764,"*T*")&gt;0,CJ12&lt;30)),AND('Eval-Après impact'!$A$765=BM18,OR(COUNTIF('Eval-Après impact'!$N$765:$P$765,"*T*")&gt;0,CJ13&lt;30)),AND('Eval-Après impact'!$A$766=BM18,OR(COUNTIF('Eval-Après impact'!$N$766:$P$766,"*T*")&gt;0,CJ14&lt;30)),AND('Eval-Après impact'!$A$767=BM18,OR(COUNTIF('Eval-Après impact'!$N$767:$P$767,"*T*")&gt;0,CJ15&lt;30)),AND('Eval-Après impact'!$A$768=BM18,OR(COUNTIF('Eval-Après impact'!$N$768:$P$768,"*T*")&gt;0,CJ16&lt;30)),AND('Eval-Après impact'!$A$769=BM18,OR(COUNTIF('Eval-Après impact'!$N$769:$P$769,"*T*")&gt;0,CJ17&lt;30)),AND('Eval-Après impact'!$A$770=BM18,OR(COUNTIF('Eval-Après impact'!$N$770:$P$770,"*T*")&gt;0,CJ18&lt;30)),AND('Eval-Après impact'!$A$771=BM18,OR(COUNTIF('Eval-Après impact'!$N$771:$P$771,"*T*")&gt;0,CJ19&lt;30)),AND('Eval-Après impact'!$A$772=BM18,OR(COUNTIF('Eval-Après impact'!$N$772:$P$772,"*T*")&gt;0,CJ20&lt;30)),AND('Eval-Après impact'!$A$773=BM18,OR(COUNTIF('Eval-Après impact'!$N$773:$P$773,"*T*")&gt;0,CJ21&lt;30)),AND('Eval-Après impact'!$A$774=BM18,OR(COUNTIF('Eval-Après impact'!$N$774:$P$774,"*T*")&gt;0,CJ22&lt;30)),AND('Eval-Après impact'!$A$775=BM18,OR(COUNTIF('Eval-Après impact'!$N$775:$P$775,"*T*")&gt;0,CJ23&lt;30)),AND('Eval-Après impact'!$A$776=BM18,OR(COUNTIF('Eval-Après impact'!$N$776:$P$776,"*T*")&gt;0,CJ24&lt;30)),AND('Eval-Après impact'!$A$777=BM18,OR(COUNTIF('Eval-Après impact'!$N$777:$P$777,"*T*")&gt;0,CJ25&lt;30)),AND('Eval-Après impact'!$A$778=BM18,OR(COUNTIF('Eval-Après impact'!$N$778:$P$778,"*T*")&gt;0,CJ26&lt;30)),AND('Eval-Après impact'!$A$779=BM18,OR(COUNTIF('Eval-Après impact'!$N$779:$P$779,"*T*")&gt;0,CJ27&lt;30)),AND('Eval-Après impact'!$A$780=BM18,OR(COUNTIF('Eval-Après impact'!$N$780:$P$780,"*T*")&gt;0,CJ28&lt;30))),"",SUM(0.1*(SUMPRODUCT(('Eval-Après impact'!$A$761:$A$780=BM18)*('Eval-Après impact'!$N$761:$P$780="L"))),0.4*(SUMPRODUCT(('Eval-Après impact'!$A$761:$A$780=BM18)*('Eval-Après impact'!$N$761:$P$780="LA"))+SUMPRODUCT(('Eval-Après impact'!$A$761:$A$780=BM18)*('Eval-Après impact'!$N$761:$P$780="LS"))),0.7*(SUMPRODUCT(('Eval-Après impact'!$A$761:$A$780=BM18)*('Eval-Après impact'!$N$761:$P$780="AL"))+SUMPRODUCT(('Eval-Après impact'!$A$761:$A$780=BM18)*('Eval-Après impact'!$N$761:$P$780="SL"))),1*(SUMPRODUCT(('Eval-Après impact'!$A$761:$A$780=BM18)*('Eval-Après impact'!$N$761:$P$780="S"))+ SUMPRODUCT(('Eval-Après impact'!$A$761:$A$780=BM18)*('Eval-Après impact'!$N$761:$P$780="A"))))/(3*COUNTIF('Eval-Après impact'!$A$761:$A$780,BM18))),"")</f>
        <v/>
      </c>
      <c r="CF18" s="211" t="str">
        <f>IF(COUNTIF('Eval-Après impact'!$A$761:$A$780,BM18)&gt;0,IF(OR(AND('Eval-Après impact'!$A$761=BM18,OR(COUNTIF('Eval-Après impact'!$N$761:$P$761,"*T*")&gt;0,CJ9&lt;30)),AND('Eval-Après impact'!$A$762=BM18,OR(COUNTIF('Eval-Après impact'!$N$762:$P$762,"*T*")&gt;0,CJ10&lt;30)),AND('Eval-Après impact'!$A$763=BM18,OR(COUNTIF('Eval-Après impact'!$N$763:$P$763,"*T*")&gt;0,CJ11&lt;30)),AND('Eval-Après impact'!$A$764=BM18,OR(COUNTIF('Eval-Après impact'!$N$764:$P$764,"*T*")&gt;0,CJ12&lt;30)),AND('Eval-Après impact'!$A$765=BM18,OR(COUNTIF('Eval-Après impact'!$N$765:$P$765,"*T*")&gt;0,CJ13&lt;30)),AND('Eval-Après impact'!$A$766=BM18,OR(COUNTIF('Eval-Après impact'!$N$766:$P$766,"*T*")&gt;0,CJ14&lt;30)),AND('Eval-Après impact'!$A$767=BM18,OR(COUNTIF('Eval-Après impact'!$N$767:$P$767,"*T*")&gt;0,CJ15&lt;30)),AND('Eval-Après impact'!$A$768=BM18,OR(COUNTIF('Eval-Après impact'!$N$768:$P$768,"*T*")&gt;0,CJ16&lt;30)),AND('Eval-Après impact'!$A$769=BM18,OR(COUNTIF('Eval-Après impact'!$N$769:$P$769,"*T*")&gt;0,CJ17&lt;30)),AND('Eval-Après impact'!$A$770=BM18,OR(COUNTIF('Eval-Après impact'!$N$770:$P$770,"*T*")&gt;0,CJ18&lt;30)),AND('Eval-Après impact'!$A$771=BM18,OR(COUNTIF('Eval-Après impact'!$N$771:$P$771,"*T*")&gt;0,CJ19&lt;30)),AND('Eval-Après impact'!$A$772=BM18,OR(COUNTIF('Eval-Après impact'!$N$772:$P$772,"*T*")&gt;0,CJ20&lt;30)),AND('Eval-Après impact'!$A$773=BM18,OR(COUNTIF('Eval-Après impact'!$N$773:$P$773,"*T*")&gt;0,CJ21&lt;30)),AND('Eval-Après impact'!$A$774=BM18,OR(COUNTIF('Eval-Après impact'!$N$774:$P$774,"*T*")&gt;0,CJ22&lt;30)),AND('Eval-Après impact'!$A$775=BM18,OR(COUNTIF('Eval-Après impact'!$N$775:$P$775,"*T*")&gt;0,CJ23&lt;30)),AND('Eval-Après impact'!$A$776=BM18,OR(COUNTIF('Eval-Après impact'!$N$776:$P$776,"*T*")&gt;0,CJ24&lt;30)),AND('Eval-Après impact'!$A$777=BM18,OR(COUNTIF('Eval-Après impact'!$N$777:$P$777,"*T*")&gt;0,CJ25&lt;30)),AND('Eval-Après impact'!$A$778=BM18,OR(COUNTIF('Eval-Après impact'!$N$778:$P$778,"*T*")&gt;0,CJ26&lt;30)),AND('Eval-Après impact'!$A$779=BM18,OR(COUNTIF('Eval-Après impact'!$N$779:$P$779,"*T*")&gt;0,CJ27&lt;30)),AND('Eval-Après impact'!$A$780=BM18,OR(COUNTIF('Eval-Après impact'!$N$780:$P$780,"*T*")&gt;0,CJ28&lt;30))),"",SUM(1*(SUMPRODUCT(('Eval-Après impact'!$A$761:$A$780=BM18)*('Eval-Après impact'!$N$761:$P$780="A"))),0.85*(SUMPRODUCT(('Eval-Après impact'!$A$761:$A$780=BM18)*('Eval-Après impact'!$N$761:$P$780="AL"))),0.7*(SUMPRODUCT(('Eval-Après impact'!$A$761:$A$780=BM18)*('Eval-Après impact'!$N$761:$P$780="LA"))),0.55*(SUMPRODUCT(('Eval-Après impact'!$A$761:$A$780=BM18)*('Eval-Après impact'!$N$761:$P$780="L"))),0.4*(SUMPRODUCT(('Eval-Après impact'!$A$761:$A$780=BM18)*('Eval-Après impact'!$N$761:$P$780="LS"))),0.25*(SUMPRODUCT(('Eval-Après impact'!$A$761:$A$780=BM18)*('Eval-Après impact'!$N$761:$P$780="SL"))),0.1*(SUMPRODUCT(('Eval-Après impact'!$A$761:$A$780=BM18)*('Eval-Après impact'!$N$761:$P$780="S"))))/(3*COUNTIF('Eval-Après impact'!$A$761:$A$780,BM18))),"")</f>
        <v/>
      </c>
      <c r="CG18" s="214" t="str">
        <f>IF(COUNTIF('Eval-Après impact'!$A$761:$A$780,BM18)&gt;0,IF(OR(AND('Eval-Après impact'!$A$761=BM18,OR(COUNTIF('Eval-Après impact'!$Q$761:$Y$761,"*T*")&gt;0,CJ9&lt;120)),AND('Eval-Après impact'!$A$762=BM18,OR(COUNTIF('Eval-Après impact'!$Q$762:$Y$762,"*T*")&gt;0,CJ10&lt;120)),AND('Eval-Après impact'!$A$763=BM18,OR(COUNTIF('Eval-Après impact'!$Q$763:$Y$763,"*T*")&gt;0,CJ11&lt;120)),AND('Eval-Après impact'!$A$764=BM18,OR(COUNTIF('Eval-Après impact'!$Q$764:$Y$764,"*T*")&gt;0,CJ12&lt;120)),AND('Eval-Après impact'!$A$765=BM18,OR(COUNTIF('Eval-Après impact'!$Q$765:$Y$765,"*T*")&gt;0,CJ13&lt;120)),AND('Eval-Après impact'!$A$766=BM18,OR(COUNTIF('Eval-Après impact'!$Q$766:$Y$766,"*T*")&gt;0,CJ14&lt;120)),AND('Eval-Après impact'!$A$767=BM18,OR(COUNTIF('Eval-Après impact'!$Q$767:$Y$767,"*T*")&gt;0,CJ15&lt;120)),AND('Eval-Après impact'!$A$768=BM18,OR(COUNTIF('Eval-Après impact'!$Q$768:$Y$768,"*T*")&gt;0,CJ16&lt;120)),AND('Eval-Après impact'!$A$769=BM18,OR(COUNTIF('Eval-Après impact'!$Q$769:$Y$769,"*T*")&gt;0,CJ17&lt;120)),AND('Eval-Après impact'!$A$770=BM18,OR(COUNTIF('Eval-Après impact'!$Q$770:$Y$770,"*T*")&gt;0,CJ18&lt;120)),AND('Eval-Après impact'!$A$771=BM18,OR(COUNTIF('Eval-Après impact'!$Q$771:$Y$771,"*T*")&gt;0,CJ19&lt;120)),AND('Eval-Après impact'!$A$772=BM18,OR(COUNTIF('Eval-Après impact'!$Q$772:$Y$772,"*T*")&gt;0,CJ20&lt;120)),AND('Eval-Après impact'!$A$773=BM18,OR(COUNTIF('Eval-Après impact'!$Q$773:$Y$773,"*T*")&gt;0,CJ21&lt;120)),AND('Eval-Après impact'!$A$774=BM18,OR(COUNTIF('Eval-Après impact'!$Q$774:$Y$774,"*T*")&gt;0,CJ22&lt;120)),AND('Eval-Après impact'!$A$775=BM18,OR(COUNTIF('Eval-Après impact'!$Q$775:$Y$775,"*T*")&gt;0,CJ23&lt;120)),AND('Eval-Après impact'!$A$776=BM18,OR(COUNTIF('Eval-Après impact'!$Q$776:$Y$776,"*T*")&gt;0,CJ24&lt;120)),AND('Eval-Après impact'!$A$777=BM18,OR(COUNTIF('Eval-Après impact'!$Q$777:$Y$777,"*T*")&gt;0,CJ25&lt;120)),AND('Eval-Après impact'!$A$778=BM18,OR(COUNTIF('Eval-Après impact'!$Q$778:$Y$778,"*T*")&gt;0,CJ26&lt;120)),AND('Eval-Après impact'!$A$779=BM18,OR(COUNTIF('Eval-Après impact'!$Q$779:$Y$779,"*T*")&gt;0,CJ27&lt;120)),AND('Eval-Après impact'!$A$780=BM18,OR(COUNTIF('Eval-Après impact'!$Q$780:$Y$780,"*T*")&gt;0,CJ28&lt;120))),"",SUM(1*(SUMPRODUCT(('Eval-Après impact'!$A$761:$A$780=BM18)*('Eval-Après impact'!$Q$761:$Y$780="A"))),0.85*(SUMPRODUCT(('Eval-Après impact'!$A$761:$A$780=BM18)*('Eval-Après impact'!$Q$761:$Y$780="AL"))),0.7*(SUMPRODUCT(('Eval-Après impact'!$A$761:$A$780=BM18)*('Eval-Après impact'!$Q$761:$Y$780="LA"))),0.55*(SUMPRODUCT(('Eval-Après impact'!$A$761:$A$780=BM18)*('Eval-Après impact'!$Q$761:$Y$780="L"))),0.4*(SUMPRODUCT(('Eval-Après impact'!$A$761:$A$780=BM18)*('Eval-Après impact'!$Q$761:$Y$780="LS"))),0.25*(SUMPRODUCT(('Eval-Après impact'!$A$761:$A$780=BM18)*('Eval-Après impact'!$Q$761:$Y$780="SL"))),0.1*(SUMPRODUCT(('Eval-Après impact'!$A$761:$A$780=BM18)*('Eval-Après impact'!$Q$761:$Y$780="S"))))/(9*COUNTIF('Eval-Après impact'!$A$761:$A$780,BM18))),"")</f>
        <v/>
      </c>
      <c r="CH18" s="215"/>
      <c r="CI18" s="216">
        <f>'Eval-Après impact'!$D$770</f>
        <v>10</v>
      </c>
      <c r="CJ18" s="217" t="str">
        <f>IF(CK18="C",0,IF(IF(COUNTIF('Eval-Après impact'!$N$770:$Y$770,"=C")&gt;0,(COUNTA('Eval-Après impact'!$N$770:$Y$770)-1)*10,COUNTA('Eval-Après impact'!$N$770:$Y$770)*10)=0,"",IF(COUNTIF('Eval-Après impact'!$N$770:$Y$770,"=C")&gt;0,(COUNTA('Eval-Après impact'!$N$770:$Y$770)-1)*10,COUNTA('Eval-Après impact'!$N$770:$Y$770)*10)))</f>
        <v/>
      </c>
      <c r="CK18" s="217" t="str">
        <f>CONCATENATE('Eval-Après impact'!$N$770,'Eval-Après impact'!$O$770,'Eval-Après impact'!$P$770,'Eval-Après impact'!$Q$770,'Eval-Après impact'!$R$770,'Eval-Après impact'!$S$770,'Eval-Après impact'!$T$770,'Eval-Après impact'!$U$770,'Eval-Après impact'!$V$770,'Eval-Après impact'!$W$770,'Eval-Après impact'!$X$770,'Eval-Après impact'!$Y$770)</f>
        <v/>
      </c>
      <c r="CL18" s="217" t="str">
        <f t="shared" si="8"/>
        <v/>
      </c>
      <c r="CM18" s="217" t="str">
        <f t="shared" si="9"/>
        <v/>
      </c>
      <c r="CN18" s="217" t="str">
        <f>IF(COUNTIF('Eval-Après impact'!$N$770:$Y$770,"=C")&gt;0,"X","")</f>
        <v/>
      </c>
      <c r="CO18" s="217" t="str">
        <f t="shared" si="10"/>
        <v/>
      </c>
      <c r="CP18" s="218" t="str">
        <f t="shared" si="11"/>
        <v/>
      </c>
      <c r="CQ18" s="197"/>
      <c r="CS18" s="210">
        <v>10</v>
      </c>
      <c r="CT18" s="211" t="str">
        <f>IF(COUNTIF('Eval-Avant action écologique'!$A$761:$A$780,CS18)&gt;0,SUM(IF('Eval-Avant action écologique'!$A$761=CS18,'Eval-Avant action écologique'!$B$761,0),IF('Eval-Avant action écologique'!$A$762=CS18, 'Eval-Avant action écologique'!$B$762,0),IF('Eval-Avant action écologique'!$A$763=CS18, 'Eval-Avant action écologique'!$B$763,0),IF('Eval-Avant action écologique'!$A$764=CS18, 'Eval-Avant action écologique'!$B$764,0),IF('Eval-Avant action écologique'!$A$765=CS18, 'Eval-Avant action écologique'!$B$765,0),IF('Eval-Avant action écologique'!$A$766=CS18, 'Eval-Avant action écologique'!$B$766,0),IF('Eval-Avant action écologique'!$A$767=CS18, 'Eval-Avant action écologique'!$B$767,0),IF('Eval-Avant action écologique'!$A$768=CS18, 'Eval-Avant action écologique'!$B$768,0),IF('Eval-Avant action écologique'!$A$769=CS18, 'Eval-Avant action écologique'!$B$769,0),IF('Eval-Avant action écologique'!$A$770=CS18, 'Eval-Avant action écologique'!$B$770,0),IF('Eval-Avant action écologique'!$A$771=CS18, 'Eval-Avant action écologique'!$B$771,0),IF('Eval-Avant action écologique'!$A$772=CS18, 'Eval-Avant action écologique'!$B$772,0),IF('Eval-Avant action écologique'!$A$773=CS18, 'Eval-Avant action écologique'!$B$773,0),IF('Eval-Avant action écologique'!$A$774=CS18, 'Eval-Avant action écologique'!$B$774,0),IF('Eval-Avant action écologique'!$A$775=CS18, 'Eval-Avant action écologique'!$B$775,0),IF('Eval-Avant action écologique'!$A$776=CS18, 'Eval-Avant action écologique'!$B$776,0),IF('Eval-Avant action écologique'!$A$777=CS18, 'Eval-Avant action écologique'!$B$777,0),IF('Eval-Avant action écologique'!$A$778=CS18, 'Eval-Avant action écologique'!$B$778,0),IF('Eval-Avant action écologique'!$A$779=CS18, 'Eval-Avant action écologique'!$B$779,0),IF('Eval-Avant action écologique'!$A$780=CS18, 'Eval-Avant action écologique'!$B$780,0))/COUNTIF('Eval-Avant action écologique'!$A$761:$A$780,CS18),"")</f>
        <v/>
      </c>
      <c r="CU18" s="212" t="str">
        <f>IF(COUNTIF('Eval-Avant action écologique'!$A$761:$A$780,CS18)&gt;0,COUNTIF('Eval-Avant action écologique'!$A$761:$A$780,CS18),"")</f>
        <v/>
      </c>
      <c r="CV18" s="211" t="str">
        <f>IF(COUNTIF('Eval-Avant action écologique'!$A$761:$A$780,CS18)&gt;0,IF(OR(AND('Eval-Avant action écologique'!$A$761=CS18, 'Eval-Avant action écologique'!$G$761=""),AND('Eval-Avant action écologique'!$A$762=CS18, 'Eval-Avant action écologique'!$G$762=""),AND('Eval-Avant action écologique'!$A$763=CS18, 'Eval-Avant action écologique'!$G$763=""),AND('Eval-Avant action écologique'!$A$764=CS18, 'Eval-Avant action écologique'!$G$764=""),AND('Eval-Avant action écologique'!$A$765=CS18, 'Eval-Avant action écologique'!$G$765=""),AND('Eval-Avant action écologique'!$A$766=CS18, 'Eval-Avant action écologique'!$G$766=""),AND('Eval-Avant action écologique'!$A$767=CS18, 'Eval-Avant action écologique'!$G$767=""),AND('Eval-Avant action écologique'!$A$768=CS18, 'Eval-Avant action écologique'!$G$768=""),AND('Eval-Avant action écologique'!$A$769=CS18, 'Eval-Avant action écologique'!$G$769=""),AND('Eval-Avant action écologique'!$A$770=CS18, 'Eval-Avant action écologique'!$G$770=""),AND('Eval-Avant action écologique'!$A$771=CS18, 'Eval-Avant action écologique'!$G$771=""),AND('Eval-Avant action écologique'!$A$772=CS18, 'Eval-Avant action écologique'!$G$772=""),AND('Eval-Avant action écologique'!$A$773=CS18, 'Eval-Avant action écologique'!$G$773=""),AND('Eval-Avant action écologique'!$A$774=CS18, 'Eval-Avant action écologique'!$G$774=""),AND('Eval-Avant action écologique'!$A$775=CS18, 'Eval-Avant action écologique'!$G$775=""),AND('Eval-Avant action écologique'!$A$776=CS18, 'Eval-Avant action écologique'!$G$776=""),AND('Eval-Avant action écologique'!$A$777=CS18, 'Eval-Avant action écologique'!$G$777=""),AND('Eval-Avant action écologique'!$A$778=CS18, 'Eval-Avant action écologique'!$G$778=""),AND('Eval-Avant action écologique'!$A$779=CS18, 'Eval-Avant action écologique'!$G$779=""),AND('Eval-Avant action écologique'!$A$780=CS18, 'Eval-Avant action écologique'!$G$780="")),"",SUM(IF('Eval-Avant action écologique'!$A$761=CS18,'Eval-Avant action écologique'!$G$761,0),IF('Eval-Avant action écologique'!$A$762=CS18,'Eval-Avant action écologique'!$G$762,0),IF('Eval-Avant action écologique'!$A$763=CS18,'Eval-Avant action écologique'!$G$763,0),IF('Eval-Avant action écologique'!$A$764=CS18,'Eval-Avant action écologique'!$G$764,0),IF('Eval-Avant action écologique'!$A$765=CS18,'Eval-Avant action écologique'!$G$765,0),IF('Eval-Avant action écologique'!$A$766=CS18,'Eval-Avant action écologique'!$G$766,0),IF('Eval-Avant action écologique'!$A$767=CS18,'Eval-Avant action écologique'!$G$767,0),IF('Eval-Avant action écologique'!$A$768=CS18,'Eval-Avant action écologique'!$G$768,0),IF('Eval-Avant action écologique'!$A$769=CS18,'Eval-Avant action écologique'!$G$769,0),IF('Eval-Avant action écologique'!$A$770=CS18,'Eval-Avant action écologique'!$G$770,0),IF('Eval-Avant action écologique'!$A$771=CS18,'Eval-Avant action écologique'!$G$771,0),IF('Eval-Avant action écologique'!$A$772=CS18,'Eval-Avant action écologique'!$G$772,0),IF('Eval-Avant action écologique'!$A$773=CS18,'Eval-Avant action écologique'!$G$773,0),IF('Eval-Avant action écologique'!$A$774=CS18,'Eval-Avant action écologique'!$G$774,0),IF('Eval-Avant action écologique'!$A$775=CS18,'Eval-Avant action écologique'!$G$775,0), IF('Eval-Avant action écologique'!$A$776=CS18,'Eval-Avant action écologique'!$G$776,0), IF('Eval-Avant action écologique'!$A$777=CS18,'Eval-Avant action écologique'!$G$777,0), IF('Eval-Avant action écologique'!$A$778=CS18,'Eval-Avant action écologique'!$G$778,0), IF('Eval-Avant action écologique'!$A$779=CS18,'Eval-Avant action écologique'!$G$779,0), IF('Eval-Avant action écologique'!$A$780=CS18,'Eval-Avant action écologique'!$G$780,0))/ COUNTIF('Eval-Avant action écologique'!$A$761:$A$780,CS18)),"")</f>
        <v/>
      </c>
      <c r="CW18" s="212" t="str">
        <f>IF(COUNTIF('Eval-Avant action écologique'!$A$761:$A$780,CS18)&gt;0,IF(SUM(IF('Eval-Avant action écologique'!$A$761=CS18,COUNTA('Eval-Avant action écologique'!$H$761),0),IF('Eval-Avant action écologique'!$A$762=CS18,COUNTA('Eval-Avant action écologique'!$H$762),0),IF('Eval-Avant action écologique'!$A$763=CS18,COUNTA('Eval-Avant action écologique'!$H$763),0),IF('Eval-Avant action écologique'!$A$764=CS18,COUNTA('Eval-Avant action écologique'!$H$764),0),IF('Eval-Avant action écologique'!$A$765=CS18,COUNTA('Eval-Avant action écologique'!$H$765),0),IF('Eval-Avant action écologique'!$A$766=CS18,COUNTA('Eval-Avant action écologique'!$H$766),0),IF('Eval-Avant action écologique'!$A$767=CS18,COUNTA('Eval-Avant action écologique'!$H$767),0),IF('Eval-Avant action écologique'!$A$768=CS18,COUNTA('Eval-Avant action écologique'!$H$768),0),IF('Eval-Avant action écologique'!$A$769=CS18,COUNTA('Eval-Avant action écologique'!$H$769),0),IF('Eval-Avant action écologique'!$A$770=CS18,COUNTA('Eval-Avant action écologique'!$H$770),0),IF('Eval-Avant action écologique'!$A$771=CS18,COUNTA('Eval-Avant action écologique'!$H$771),0),IF('Eval-Avant action écologique'!$A$772=CS18,COUNTA('Eval-Avant action écologique'!$H$772),0),IF('Eval-Avant action écologique'!$A$773=CS18,COUNTA('Eval-Avant action écologique'!$H$773),0),IF('Eval-Avant action écologique'!$A$774=CS18,COUNTA('Eval-Avant action écologique'!$H$774),0),IF('Eval-Avant action écologique'!$A$775=CS18,COUNTA('Eval-Avant action écologique'!$H$775),0),IF('Eval-Avant action écologique'!$A$776=CS18,COUNTA('Eval-Avant action écologique'!$H$776),0),IF('Eval-Avant action écologique'!$A$777=CS18,COUNTA('Eval-Avant action écologique'!$H$777),0),IF('Eval-Avant action écologique'!$A$778=CS18,COUNTA('Eval-Avant action écologique'!$H$778),0),IF('Eval-Avant action écologique'!$A$779=CS18,COUNTA('Eval-Avant action écologique'!$H$779),0),IF('Eval-Avant action écologique'!$A$780=CS18,COUNTA('Eval-Avant action écologique'!$H$780),0))&gt;0,"X",0),"")</f>
        <v/>
      </c>
      <c r="CX18" s="213" t="str">
        <f>IF(COUNTIF('Eval-Avant action écologique'!$A$761:$A$780,CS18)&gt;0,IF(SUM(IF('Eval-Avant action écologique'!$A$761=CS18,COUNTA('Eval-Avant action écologique'!$I$761),0),IF('Eval-Avant action écologique'!$A$762=CS18,COUNTA('Eval-Avant action écologique'!$I$762),0),IF('Eval-Avant action écologique'!$A$763=CS18,COUNTA('Eval-Avant action écologique'!$I$763),0),IF('Eval-Avant action écologique'!$A$764=CS18,COUNTA('Eval-Avant action écologique'!$I$764),0),IF('Eval-Avant action écologique'!$A$765=CS18,COUNTA('Eval-Avant action écologique'!$I$765),0),IF('Eval-Avant action écologique'!$A$766=CS18,COUNTA('Eval-Avant action écologique'!$I$766),0),IF('Eval-Avant action écologique'!$A$767=CS18,COUNTA('Eval-Avant action écologique'!$I$767),0),IF('Eval-Avant action écologique'!$A$768=CS18,COUNTA('Eval-Avant action écologique'!$I$768),0),IF('Eval-Avant action écologique'!$A$769=CS18,COUNTA('Eval-Avant action écologique'!$I$769),0),IF('Eval-Avant action écologique'!$A$770=CS18,COUNTA('Eval-Avant action écologique'!$I$770),0),IF('Eval-Avant action écologique'!$A$771=CS18,COUNTA('Eval-Avant action écologique'!$I$771),0),IF('Eval-Avant action écologique'!$A$772=CS18,COUNTA('Eval-Avant action écologique'!$I$772),0),IF('Eval-Avant action écologique'!$A$773=CS18,COUNTA('Eval-Avant action écologique'!$I$773),0),IF('Eval-Avant action écologique'!$A$774=CS18,COUNTA('Eval-Avant action écologique'!$I$774),0),IF('Eval-Avant action écologique'!$A$775=CS18,COUNTA('Eval-Avant action écologique'!$I$775),0),IF('Eval-Avant action écologique'!$A$776=CS18,COUNTA('Eval-Avant action écologique'!$I$776),0),IF('Eval-Avant action écologique'!$A$777=CS18,COUNTA('Eval-Avant action écologique'!$I$777),0),IF('Eval-Avant action écologique'!$A$778=CS18,COUNTA('Eval-Avant action écologique'!$I$778),0),IF('Eval-Avant action écologique'!$A$779=CS18,COUNTA('Eval-Avant action écologique'!$I$779),0),IF('Eval-Avant action écologique'!$A$780=CS18,COUNTA('Eval-Avant action écologique'!$I$780),0))&gt;0,"X",0),"")</f>
        <v/>
      </c>
      <c r="CY18" s="213" t="str">
        <f>IF(COUNTIF('Eval-Avant action écologique'!$A$761:$A$780,CS18)&gt;0,IF(SUM(IF('Eval-Avant action écologique'!$A$761=CS18,COUNTA('Eval-Avant action écologique'!$J$761),0),IF('Eval-Avant action écologique'!$A$762=CS18,COUNTA('Eval-Avant action écologique'!$J$762),0),IF('Eval-Avant action écologique'!$A$763=CS18,COUNTA('Eval-Avant action écologique'!$J$763),0),IF('Eval-Avant action écologique'!$A$764=CS18,COUNTA('Eval-Avant action écologique'!$J$764),0),IF('Eval-Avant action écologique'!$A$765=CS18,COUNTA('Eval-Avant action écologique'!$J$765),0),IF('Eval-Avant action écologique'!$A$766=CS18,COUNTA('Eval-Avant action écologique'!$J$766),0),IF('Eval-Avant action écologique'!$A$767=CS18,COUNTA('Eval-Avant action écologique'!$J$767),0),IF('Eval-Avant action écologique'!$A$768=CS18,COUNTA('Eval-Avant action écologique'!$J$768),0),IF('Eval-Avant action écologique'!$A$769=CS18,COUNTA('Eval-Avant action écologique'!$J$769),0),IF('Eval-Avant action écologique'!$A$770=CS18,COUNTA('Eval-Avant action écologique'!$J$770),0),IF('Eval-Avant action écologique'!$A$771=CS18,COUNTA('Eval-Avant action écologique'!$J$771),0),IF('Eval-Avant action écologique'!$A$772=CS18,COUNTA('Eval-Avant action écologique'!$J$772),0),IF('Eval-Avant action écologique'!$A$773=CS18,COUNTA('Eval-Avant action écologique'!$J$773),0),IF('Eval-Avant action écologique'!$A$774=CS18,COUNTA('Eval-Avant action écologique'!$J$774),0),IF('Eval-Avant action écologique'!$A$775=CS18,COUNTA('Eval-Avant action écologique'!$J$775),0),IF('Eval-Avant action écologique'!$A$776=CS18,COUNTA('Eval-Avant action écologique'!$J$776),0),IF('Eval-Avant action écologique'!$A$777=CS18,COUNTA('Eval-Avant action écologique'!$J$777),0),IF('Eval-Avant action écologique'!$A$778=CS18,COUNTA('Eval-Avant action écologique'!$J$778),0),IF('Eval-Avant action écologique'!$A$779=CS18,COUNTA('Eval-Avant action écologique'!$J$779),0),IF('Eval-Avant action écologique'!$A$780=CS18,COUNTA('Eval-Avant action écologique'!$J$780),0))&gt;0,"X",0),"")</f>
        <v/>
      </c>
      <c r="CZ18" s="213" t="str">
        <f>IF(COUNTIF('Eval-Avant action écologique'!$A$761:$A$780,CS18)&gt;0,IF(SUM(IF('Eval-Avant action écologique'!$A$761=CS18,COUNTA('Eval-Avant action écologique'!$K$761),0),IF('Eval-Avant action écologique'!$A$762=CS18,COUNTA('Eval-Avant action écologique'!$K$762),0),IF('Eval-Avant action écologique'!$A$763=CS18,COUNTA('Eval-Avant action écologique'!$K$763),0),IF('Eval-Avant action écologique'!$A$764=CS18,COUNTA('Eval-Avant action écologique'!$K$764),0),IF('Eval-Avant action écologique'!$A$765=CS18,COUNTA('Eval-Avant action écologique'!$K$765),0),IF('Eval-Avant action écologique'!$A$766=CS18,COUNTA('Eval-Avant action écologique'!$K$766),0),IF('Eval-Avant action écologique'!$A$767=CS18,COUNTA('Eval-Avant action écologique'!$K$767),0),IF('Eval-Avant action écologique'!$A$768=CS18,COUNTA('Eval-Avant action écologique'!$K$768),0),IF('Eval-Avant action écologique'!$A$769=CS18,COUNTA('Eval-Avant action écologique'!$K$769),0),IF('Eval-Avant action écologique'!$A$770=CS18,COUNTA('Eval-Avant action écologique'!$K$770),0),IF('Eval-Avant action écologique'!$A$771=CS18,COUNTA('Eval-Avant action écologique'!$K$771),0),IF('Eval-Avant action écologique'!$A$772=CS18,COUNTA('Eval-Avant action écologique'!$K$772),0),IF('Eval-Avant action écologique'!$A$773=CS18,COUNTA('Eval-Avant action écologique'!$K$773),0),IF('Eval-Avant action écologique'!$A$774=CS18,COUNTA('Eval-Avant action écologique'!$K$774),0),IF('Eval-Avant action écologique'!$A$775=CS18,COUNTA('Eval-Avant action écologique'!$K$775),0),IF('Eval-Avant action écologique'!$A$776=CS18,COUNTA('Eval-Avant action écologique'!$K$776),0),IF('Eval-Avant action écologique'!$A$777=CS18,COUNTA('Eval-Avant action écologique'!$K$777),0),IF('Eval-Avant action écologique'!$A$778=CS18,COUNTA('Eval-Avant action écologique'!$K$778),0),IF('Eval-Avant action écologique'!$A$779=CS18,COUNTA('Eval-Avant action écologique'!$K$779),0),IF('Eval-Avant action écologique'!$A$780=CS18,COUNTA('Eval-Avant action écologique'!$K$780),0))&gt;0,"X",0),"")</f>
        <v/>
      </c>
      <c r="DA18" s="211" t="str">
        <f>IF(COUNTIF('Eval-Avant action écologique'!$A$761:$A$780,CS18)&gt;0,IF(OR(AND('Eval-Avant action écologique'!$A$761=CS18,'Eval-Avant action écologique'!$L$761&lt;120,'Eval-Avant action écologique'!$L$761&gt;=DP9),AND('Eval-Avant action écologique'!$A$762=CS18,'Eval-Avant action écologique'!$L$762&lt;120,'Eval-Avant action écologique'!$L$762&gt;=DP10),AND('Eval-Avant action écologique'!$A$763=CS18,'Eval-Avant action écologique'!$L$763&lt;120,'Eval-Avant action écologique'!$L$763&gt;=DP11),AND('Eval-Avant action écologique'!$A$764=CS18,'Eval-Avant action écologique'!$L$764&lt;120,'Eval-Avant action écologique'!$L$764&gt;=DP12),AND('Eval-Avant action écologique'!$A$765=CS18,'Eval-Avant action écologique'!$L$765&lt;120,'Eval-Avant action écologique'!$L$765&gt;=DP13),AND('Eval-Avant action écologique'!$A$766=CS18,'Eval-Avant action écologique'!$L$766&lt;120,'Eval-Avant action écologique'!$L$766&gt;=DP14),AND('Eval-Avant action écologique'!$A$767=CS18,'Eval-Avant action écologique'!$L$767&lt;120,'Eval-Avant action écologique'!$L$767&gt;=DP15),AND('Eval-Avant action écologique'!$A$768=CS18,'Eval-Avant action écologique'!$L$768&lt;120,'Eval-Avant action écologique'!$L$768&gt;=DP16),AND('Eval-Avant action écologique'!$A$769=CS18,'Eval-Avant action écologique'!$L$769&lt;120,'Eval-Avant action écologique'!$L$769&gt;=DP17),AND('Eval-Avant action écologique'!$A$770=CS18,'Eval-Avant action écologique'!$L$770&lt;120,'Eval-Avant action écologique'!$L$770&gt;=DP18),AND('Eval-Avant action écologique'!$A$771=CS18,'Eval-Avant action écologique'!$L$771&lt;120,'Eval-Avant action écologique'!$L$771&gt;=DP19),AND('Eval-Avant action écologique'!$A$772=CS18,'Eval-Avant action écologique'!$L$772&lt;120,'Eval-Avant action écologique'!$L$772&gt;=DP20),AND('Eval-Avant action écologique'!$A$773=CS18,'Eval-Avant action écologique'!$L$773&lt;120,'Eval-Avant action écologique'!$L$773&gt;=DP21),AND('Eval-Avant action écologique'!$A$774=CS18,'Eval-Avant action écologique'!$L$774&lt;120,'Eval-Avant action écologique'!$L$774&gt;=DP22),AND('Eval-Avant action écologique'!$A$775=CS18,'Eval-Avant action écologique'!$L$775&lt;120,'Eval-Avant action écologique'!$L$775&gt;=DP23),AND('Eval-Avant action écologique'!$A$776=CS18,'Eval-Avant action écologique'!$L$776&lt;120,'Eval-Avant action écologique'!$L$776&gt;=DP24),AND('Eval-Avant action écologique'!$A$777=CS18,'Eval-Avant action écologique'!$L$777&lt;120,'Eval-Avant action écologique'!$L$777&gt;=DP25),AND('Eval-Avant action écologique'!$A$778=CS18,'Eval-Avant action écologique'!$L$778&lt;120,'Eval-Avant action écologique'!$L$778&gt;=DP26),AND('Eval-Avant action écologique'!$A$779=CS18,'Eval-Avant action écologique'!$L$779&lt;120,'Eval-Avant action écologique'!$L$779&gt;=DP27),AND('Eval-Avant action écologique'!$A$780=CS18,'Eval-Avant action écologique'!$L$780&lt;120,'Eval-Avant action écologique'!$L$780&gt;=DP28)),"",SUM(IF('Eval-Avant action écologique'!$A$761=CS18,'Eval-Avant action écologique'!$L$761,0),IF('Eval-Avant action écologique'!$A$762=CS18,'Eval-Avant action écologique'!$L$762,0),IF('Eval-Avant action écologique'!$A$763=CS18,'Eval-Avant action écologique'!$L$763,0),IF('Eval-Avant action écologique'!$A$764=CS18,'Eval-Avant action écologique'!$L$764,0),IF('Eval-Avant action écologique'!$A$765=CS18,'Eval-Avant action écologique'!$L$765,0),IF('Eval-Avant action écologique'!$A$766=CS18,'Eval-Avant action écologique'!$L$766,0),IF('Eval-Avant action écologique'!$A$767=CS18,'Eval-Avant action écologique'!$L$767,0),IF('Eval-Avant action écologique'!$A$768=CS18,'Eval-Avant action écologique'!$L$768,0),IF('Eval-Avant action écologique'!$A$769=CS18,'Eval-Avant action écologique'!$L$769,0),IF('Eval-Avant action écologique'!$A$770=CS18,'Eval-Avant action écologique'!$L$770,0),IF('Eval-Avant action écologique'!$A$771=CS18,'Eval-Avant action écologique'!$L$771,0),IF('Eval-Avant action écologique'!$A$772=CS18,'Eval-Avant action écologique'!$L$772,0),IF('Eval-Avant action écologique'!$A$773=CS18,'Eval-Avant action écologique'!$L$773,0),IF('Eval-Avant action écologique'!$A$774=CS18,'Eval-Avant action écologique'!$L$774,0),IF('Eval-Avant action écologique'!$A$775=CS18,'Eval-Avant action écologique'!$L$775,0),IF('Eval-Avant action écologique'!$A$776=CS18,'Eval-Avant action écologique'!$L$776,0),IF('Eval-Avant action écologique'!$A$777=CS18,'Eval-Avant action écologique'!$L$777,0),IF('Eval-Avant action écologique'!$A$778=CS18,'Eval-Avant action écologique'!$L$778,0),IF('Eval-Avant action écologique'!$A$779=CS18,'Eval-Avant action écologique'!$L$779,0),IF('Eval-Avant action écologique'!$A$780=CS18,'Eval-Avant action écologique'!$L$780,0))/ COUNTIF('Eval-Avant action écologique'!$A$761:$A$780,CS18)),"")</f>
        <v/>
      </c>
      <c r="DB18" s="211" t="str">
        <f>IF(COUNTIF('Eval-Avant action écologique'!$A$761:$A$780,CS18)&gt;0,IF(OR(AND('Eval-Avant action écologique'!$A$761=CS18, DP9&lt;120),AND(DP10&lt;120),AND(DP11&lt;120),AND(DP12&lt;120),AND(DP13&lt;120),AND(DP14&lt;120),AND(DP15&lt;120),AND(DP16&lt;120),AND(DP17&lt;120),AND(DP18&lt;120),AND(DP19&lt;120),AND(DP20&lt;120),AND(DP21&lt;120),AND(DP22&lt;120),AND(DP23&lt;120),AND(DP24&lt;120),AND(DP25&lt;120),AND(DP26&lt;120),AND(DP27&lt;120),AND(DP28&lt;120)),"",SUM(IF('Eval-Avant action écologique'!$A$761=CS18,'Eval-Avant action écologique'!$M$761,0),IF('Eval-Avant action écologique'!$A$762=CS18,'Eval-Avant action écologique'!$M$762,0),IF('Eval-Avant action écologique'!$A$763=CS18,'Eval-Avant action écologique'!$M$763,0),IF('Eval-Avant action écologique'!$A$764=CS18,'Eval-Avant action écologique'!$M$764,0),IF('Eval-Avant action écologique'!$A$765=CS18,'Eval-Avant action écologique'!$M$765,0),IF('Eval-Avant action écologique'!$A$766=CS18,'Eval-Avant action écologique'!$M$766,0),IF('Eval-Avant action écologique'!$A$767=CS18,'Eval-Avant action écologique'!$M$767,0),IF('Eval-Avant action écologique'!$A$768=CS18,'Eval-Avant action écologique'!$M$768,0),IF('Eval-Avant action écologique'!$A$769=CS18,'Eval-Avant action écologique'!$M$769,0),IF('Eval-Avant action écologique'!$A$770=CS18,'Eval-Avant action écologique'!$M$770,0),IF('Eval-Avant action écologique'!$A$771=CS18,'Eval-Avant action écologique'!$M$771,0),IF('Eval-Avant action écologique'!$A$772=CS18,'Eval-Avant action écologique'!$M$772,0),IF('Eval-Avant action écologique'!$A$773=CS18,'Eval-Avant action écologique'!$M$773,0),IF('Eval-Avant action écologique'!$A$774=CS18,'Eval-Avant action écologique'!$M$774,0),IF('Eval-Avant action écologique'!$A$775=CS18,'Eval-Avant action écologique'!$M$775,0), IF('Eval-Avant action écologique'!$A$776=CS18,'Eval-Avant action écologique'!$M$776,0), IF('Eval-Avant action écologique'!$A$777=CS18,'Eval-Avant action écologique'!$M$777,0), IF('Eval-Avant action écologique'!$A$778=CS18,'Eval-Avant action écologique'!$M$778,0), IF('Eval-Avant action écologique'!$A$779=CS18,'Eval-Avant action écologique'!$M$779,0), IF('Eval-Avant action écologique'!$A$780=CS18,'Eval-Avant action écologique'!$M$780,0))/COUNTIF('Eval-Avant action écologique'!$A$761:$A$780,CS18)),"")</f>
        <v/>
      </c>
      <c r="DC18" s="211" t="str">
        <f>IF(COUNTIF('Eval-Avant action écologique'!$A$761:$A$780,CS18)&gt;0,SUM(IF('Eval-Avant action écologique'!$A$761=CS18,LEN(SUBSTITUTE((SUBSTITUTE(DR9,"TM","")),"TS",""))*10/2,0),IF('Eval-Avant action écologique'!$A$762=CS18,LEN(SUBSTITUTE((SUBSTITUTE(DR10,"TM","")),"TS",""))*10/2,0),IF('Eval-Avant action écologique'!$A$763=CS18,LEN(SUBSTITUTE((SUBSTITUTE(DR11,"TM","")),"TS",""))*10/2,0),IF('Eval-Avant action écologique'!$A$764=CS18,LEN(SUBSTITUTE((SUBSTITUTE(DR12,"TM","")),"TS",""))*10/2,0),IF('Eval-Avant action écologique'!$A$765=CS18,LEN(SUBSTITUTE((SUBSTITUTE(DR13,"TM","")),"TS",""))*10/2,0),IF('Eval-Avant action écologique'!$A$766=CS18,LEN(SUBSTITUTE((SUBSTITUTE(DR14,"TM","")),"TS",""))*10/2,0),IF('Eval-Avant action écologique'!$A$767=CS18,LEN(SUBSTITUTE((SUBSTITUTE(DR15,"TM","")),"TS",""))*10/2,0),IF('Eval-Avant action écologique'!$A$768=CS18,LEN(SUBSTITUTE((SUBSTITUTE(DR16,"TM","")),"TS",""))*10/2,0),IF('Eval-Avant action écologique'!$A$769=CS18,LEN(SUBSTITUTE((SUBSTITUTE(DR17,"TM","")),"TS",""))*10/2,0),IF('Eval-Avant action écologique'!$A$770=CS18,LEN(SUBSTITUTE((SUBSTITUTE(DR18,"TM","")),"TS",""))*10/2,0),IF('Eval-Avant action écologique'!$A$771=CS18,LEN(SUBSTITUTE((SUBSTITUTE(DR19,"TM","")),"TS",""))*10/2,0),IF('Eval-Avant action écologique'!$A$772=CS18,LEN(SUBSTITUTE((SUBSTITUTE(DR20,"TM","")),"TS",""))*10/2,0),IF('Eval-Avant action écologique'!$A$773=CS18,LEN(SUBSTITUTE((SUBSTITUTE(DR21,"TM","")),"TS",""))*10/2,0),IF('Eval-Avant action écologique'!$A$774=CS18,LEN(SUBSTITUTE((SUBSTITUTE(DR22,"TM","")),"TS",""))*10/2,0),IF('Eval-Avant action écologique'!$A$775=CS18,LEN(SUBSTITUTE((SUBSTITUTE(DR23,"TM","")),"TS",""))*10/2,0),IF('Eval-Avant action écologique'!$A$776=CS18,LEN(SUBSTITUTE((SUBSTITUTE(DR24,"TM","")),"TS",""))*10/2,0),IF('Eval-Avant action écologique'!$A$777=CS18,LEN(SUBSTITUTE((SUBSTITUTE(DR25,"TM","")),"TS",""))*10/2,0),IF('Eval-Avant action écologique'!$A$778=CS18,LEN(SUBSTITUTE((SUBSTITUTE(DR26,"TM","")),"TS",""))*10/2,0),IF('Eval-Avant action écologique'!$A$779=CS18,LEN(SUBSTITUTE((SUBSTITUTE(DR27,"TM","")),"TS",""))*10/2,0),IF('Eval-Avant action écologique'!$A$780=CS18,LEN(SUBSTITUTE((SUBSTITUTE(DR28,"TM","")),"TS",""))*10/2,0))/COUNTIF('Eval-Avant action écologique'!$A$761:$A$780,CS18),"")</f>
        <v/>
      </c>
      <c r="DD18" s="211" t="str">
        <f>IF(COUNTIF('Eval-Avant action écologique'!$A$761:$A$780,CS18)&gt;0,SUM(IF('Eval-Avant action écologique'!$A$761=CS18,LEN(SUBSTITUTE((SUBSTITUTE(DR9,"TF","")),"TS",""))*10/2,0),IF('Eval-Avant action écologique'!$A$762=CS18,LEN(SUBSTITUTE((SUBSTITUTE(DR10,"TF","")),"TS",""))*10/2,0),IF('Eval-Avant action écologique'!$A$763=CS18,LEN(SUBSTITUTE((SUBSTITUTE(DR11,"TF","")),"TS",""))*10/2,0),IF('Eval-Avant action écologique'!$A$764=CS18,LEN(SUBSTITUTE((SUBSTITUTE(DR12,"TF","")),"TS",""))*10/2,0),IF('Eval-Avant action écologique'!$A$765=CS18,LEN(SUBSTITUTE((SUBSTITUTE(DR13,"TF","")),"TS",""))*10/2,0),IF('Eval-Avant action écologique'!$A$766=CS18,LEN(SUBSTITUTE((SUBSTITUTE(DR14,"TF","")),"TS",""))*10/2,0),IF('Eval-Avant action écologique'!$A$767=CS18,LEN(SUBSTITUTE((SUBSTITUTE(DR15,"TF","")),"TS",""))*10/2,0),IF('Eval-Avant action écologique'!$A$768=CS18,LEN(SUBSTITUTE((SUBSTITUTE(DR16,"TF","")),"TS",""))*10/2,0),IF('Eval-Avant action écologique'!$A$769=CS18,LEN(SUBSTITUTE((SUBSTITUTE(DR17,"TF","")),"TS",""))*10/2,0),IF('Eval-Avant action écologique'!$A$770=CS18,LEN(SUBSTITUTE((SUBSTITUTE(DR18,"TF","")),"TS",""))*10/2,0),IF('Eval-Avant action écologique'!$A$771=CS18,LEN(SUBSTITUTE((SUBSTITUTE(DR19,"TF","")),"TS",""))*10/2,0),IF('Eval-Avant action écologique'!$A$772=CS18,LEN(SUBSTITUTE((SUBSTITUTE(DR20,"TF","")),"TS",""))*10/2,0),IF('Eval-Avant action écologique'!$A$773=CS18,LEN(SUBSTITUTE((SUBSTITUTE(DR21,"TF","")),"TS",""))*10/2,0),IF('Eval-Avant action écologique'!$A$774=CS18,LEN(SUBSTITUTE((SUBSTITUTE(DR22,"TF","")),"TS",""))*10/2,0),IF('Eval-Avant action écologique'!$A$775=CS18,LEN(SUBSTITUTE((SUBSTITUTE(DR23,"TF","")),"TS",""))*10/2,0),IF('Eval-Avant action écologique'!$A$776=CS18,LEN(SUBSTITUTE((SUBSTITUTE(DR24,"TF","")),"TS",""))*10/2,0),IF('Eval-Avant action écologique'!$A$777=CS18,LEN(SUBSTITUTE((SUBSTITUTE(DR25,"TF","")),"TS",""))*10/2,0),IF('Eval-Avant action écologique'!$A$778=CS18,LEN(SUBSTITUTE((SUBSTITUTE(DR26,"TF","")),"TS",""))*10/2,0),IF('Eval-Avant action écologique'!$A$779=CS18,LEN(SUBSTITUTE((SUBSTITUTE(DR27,"TF","")),"TS",""))*10/2,0),IF('Eval-Avant action écologique'!$A$780=CS18,LEN(SUBSTITUTE((SUBSTITUTE(DR28,"TF","")),"TS",""))*10/2,0))/COUNTIF('Eval-Avant action écologique'!$A$761:$A$780,CS18),"")</f>
        <v/>
      </c>
      <c r="DE18" s="211" t="str">
        <f>IF(COUNTIF('Eval-Avant action écologique'!$A$761:$A$780,CS18)&gt;0,SUM(IF('Eval-Avant action écologique'!$A$761=CS18,LEN(SUBSTITUTE((SUBSTITUTE(DR9,"TF","")),"TM",""))*10/2,0),IF('Eval-Avant action écologique'!$A$762=CS18,LEN(SUBSTITUTE((SUBSTITUTE(DR10,"TF","")),"TM",""))*10/2,0),IF('Eval-Avant action écologique'!$A$763=CS18,LEN(SUBSTITUTE((SUBSTITUTE(DR11,"TF","")),"TM",""))*10/2,0),IF('Eval-Avant action écologique'!$A$764=CS18,LEN(SUBSTITUTE((SUBSTITUTE(DR12,"TF","")),"TM",""))*10/2,0),IF('Eval-Avant action écologique'!$A$765=CS18,LEN(SUBSTITUTE((SUBSTITUTE(DR13,"TF","")),"TM",""))*10/2,0),IF('Eval-Avant action écologique'!$A$766=CS18,LEN(SUBSTITUTE((SUBSTITUTE(DR14,"TF","")),"TM",""))*10/2,0),IF('Eval-Avant action écologique'!$A$767=CS18,LEN(SUBSTITUTE((SUBSTITUTE(DR15,"TF","")),"TM",""))*10/2,0),IF('Eval-Avant action écologique'!$A$768=CS18,LEN(SUBSTITUTE((SUBSTITUTE(DR16,"TF","")),"TM",""))*10/2,0),IF('Eval-Avant action écologique'!$A$769=CS18,LEN(SUBSTITUTE((SUBSTITUTE(DR17,"TF","")),"TM",""))*10/2,0),IF('Eval-Avant action écologique'!$A$770=CS18,LEN(SUBSTITUTE((SUBSTITUTE(DR18,"TF","")),"TM",""))*10/2,0),IF('Eval-Avant action écologique'!$A$771=CS18,LEN(SUBSTITUTE((SUBSTITUTE(DR19,"TF","")),"TM",""))*10/2,0),IF('Eval-Avant action écologique'!$A$772=CS18,LEN(SUBSTITUTE((SUBSTITUTE(DR20,"TF","")),"TM",""))*10/2,0),IF('Eval-Avant action écologique'!$A$773=CS18,LEN(SUBSTITUTE((SUBSTITUTE(DR21,"TF","")),"TM",""))*10/2,0),IF('Eval-Avant action écologique'!$A$774=CS18,LEN(SUBSTITUTE((SUBSTITUTE(DR22,"TF","")),"TM",""))*10/2,0),IF('Eval-Avant action écologique'!$A$775=CS18,LEN(SUBSTITUTE((SUBSTITUTE(DR23,"TF","")),"TM",""))*10/2,0),IF('Eval-Avant action écologique'!$A$776=CS18,LEN(SUBSTITUTE((SUBSTITUTE(DR24,"TF","")),"TM",""))*10/2,0),IF('Eval-Avant action écologique'!$A$777=CS18,LEN(SUBSTITUTE((SUBSTITUTE(DR25,"TF","")),"TM",""))*10/2,0),IF('Eval-Avant action écologique'!$A$778=CS18,LEN(SUBSTITUTE((SUBSTITUTE(DR26,"TF","")),"TM",""))*10/2,0),IF('Eval-Avant action écologique'!$A$779=CS18,LEN(SUBSTITUTE((SUBSTITUTE(DR27,"TF","")),"TM",""))*10/2,0),IF('Eval-Avant action écologique'!$A$780=CS18,LEN(SUBSTITUTE((SUBSTITUTE(DR28,"TF","")),"TM",""))*10/2,0))/COUNTIF('Eval-Avant action écologique'!$A$761:$A$780,CS18),"")</f>
        <v/>
      </c>
      <c r="DF18" s="211" t="str">
        <f>IF(COUNTIF('Eval-Avant action écologique'!$A$761:$A$780,CS18)&gt;0,SUM(IF('Eval-Avant action écologique'!$A$761=CS18,LEN(SUBSTITUTE((SUBSTITUTE(DS9,"TM","")),"TS",""))*10/2,0),IF('Eval-Avant action écologique'!$A$762=CS18,LEN(SUBSTITUTE((SUBSTITUTE(DS10,"TM","")),"TS",""))*10/2,0),IF('Eval-Avant action écologique'!$A$763=CS18,LEN(SUBSTITUTE((SUBSTITUTE(DS11,"TM","")),"TS",""))*10/2,0),IF('Eval-Avant action écologique'!$A$764=CS18,LEN(SUBSTITUTE((SUBSTITUTE(DS12,"TM","")),"TS",""))*10/2,0),IF('Eval-Avant action écologique'!$A$765=CS18,LEN(SUBSTITUTE((SUBSTITUTE(DS13,"TM","")),"TS",""))*10/2,0),IF('Eval-Avant action écologique'!$A$766=CS18,LEN(SUBSTITUTE((SUBSTITUTE(DS14,"TM","")),"TS",""))*10/2,0),IF('Eval-Avant action écologique'!$A$767=CS18,LEN(SUBSTITUTE((SUBSTITUTE(DS15,"TM","")),"TS",""))*10/2,0),IF('Eval-Avant action écologique'!$A$768=CS18,LEN(SUBSTITUTE((SUBSTITUTE(DS16,"TM","")),"TS",""))*10/2,0),IF('Eval-Avant action écologique'!$A$769=CS18,LEN(SUBSTITUTE((SUBSTITUTE(DS17,"TM","")),"TS",""))*10/2,0),IF('Eval-Avant action écologique'!$A$770=CS18,LEN(SUBSTITUTE((SUBSTITUTE(DS18,"TM","")),"TS",""))*10/2,0),IF('Eval-Avant action écologique'!$A$771=CS18,LEN(SUBSTITUTE((SUBSTITUTE(DS19,"TM","")),"TS",""))*10/2,0),IF('Eval-Avant action écologique'!$A$772=CS18,LEN(SUBSTITUTE((SUBSTITUTE(DS20,"TM","")),"TS",""))*10/2,0),IF('Eval-Avant action écologique'!$A$773=CS18,LEN(SUBSTITUTE((SUBSTITUTE(DS21,"TM","")),"TS",""))*10/2,0),IF('Eval-Avant action écologique'!$A$774=CS18,LEN(SUBSTITUTE((SUBSTITUTE(DS22,"TM","")),"TS",""))*10/2,0),IF('Eval-Avant action écologique'!$A$775=CS18,LEN(SUBSTITUTE((SUBSTITUTE(DS23,"TM","")),"TS",""))*10/2,0),IF('Eval-Avant action écologique'!$A$776=CS18,LEN(SUBSTITUTE((SUBSTITUTE(DS24,"TM","")),"TS",""))*10/2,0),IF('Eval-Avant action écologique'!$A$777=CS18,LEN(SUBSTITUTE((SUBSTITUTE(DS25,"TM","")),"TS",""))*10/2,0),IF('Eval-Avant action écologique'!$A$778=CS18,LEN(SUBSTITUTE((SUBSTITUTE(DS26,"TM","")),"TS",""))*10/2,0),IF('Eval-Avant action écologique'!$A$779=CS18,LEN(SUBSTITUTE((SUBSTITUTE(DS27,"TM","")),"TS",""))*10/2,0),IF('Eval-Avant action écologique'!$A$780=CS18,LEN(SUBSTITUTE((SUBSTITUTE(DS28,"TM","")),"TS",""))*10/2,0))/COUNTIF('Eval-Avant action écologique'!$A$761:$A$780,CS18),"")</f>
        <v/>
      </c>
      <c r="DG18" s="211" t="str">
        <f>IF(COUNTIF('Eval-Avant action écologique'!$A$761:$A$780,CS18)&gt;0,SUM(IF('Eval-Avant action écologique'!$A$761=CS18,LEN(SUBSTITUTE((SUBSTITUTE(DS9,"TF","")),"TS",""))*10/2,0),IF('Eval-Avant action écologique'!$A$762=CS18,LEN(SUBSTITUTE((SUBSTITUTE(DS10,"TF","")),"TS",""))*10/2,0),IF('Eval-Avant action écologique'!$A$763=CS18,LEN(SUBSTITUTE((SUBSTITUTE(DS11,"TF","")),"TS",""))*10/2,0),IF('Eval-Avant action écologique'!$A$764=CS18,LEN(SUBSTITUTE((SUBSTITUTE(DS12,"TF","")),"TS",""))*10/2,0),IF('Eval-Avant action écologique'!$A$765=CS18,LEN(SUBSTITUTE((SUBSTITUTE(DS13,"TF","")),"TS",""))*10/2,0),IF('Eval-Avant action écologique'!$A$766=CS18,LEN(SUBSTITUTE((SUBSTITUTE(DS14,"TF","")),"TS",""))*10/2,0),IF('Eval-Avant action écologique'!$A$767=CS18,LEN(SUBSTITUTE((SUBSTITUTE(DS15,"TF","")),"TS",""))*10/2,0),IF('Eval-Avant action écologique'!$A$768=CS18,LEN(SUBSTITUTE((SUBSTITUTE(DS16,"TF","")),"TS",""))*10/2,0),IF('Eval-Avant action écologique'!$A$769=CS18,LEN(SUBSTITUTE((SUBSTITUTE(DS17,"TF","")),"TS",""))*10/2,0),IF('Eval-Avant action écologique'!$A$770=CS18,LEN(SUBSTITUTE((SUBSTITUTE(DS18,"TF","")),"TS",""))*10/2,0),IF('Eval-Avant action écologique'!$A$771=CS18,LEN(SUBSTITUTE((SUBSTITUTE(DS19,"TF","")),"TS",""))*10/2,0),IF('Eval-Avant action écologique'!$A$772=CS18,LEN(SUBSTITUTE((SUBSTITUTE(DS20,"TF","")),"TS",""))*10/2,0),IF('Eval-Avant action écologique'!$A$773=CS18,LEN(SUBSTITUTE((SUBSTITUTE(DS21,"TF","")),"TS",""))*10/2,0),IF('Eval-Avant action écologique'!$A$774=CS18,LEN(SUBSTITUTE((SUBSTITUTE(DS22,"TF","")),"TS",""))*10/2,0),IF('Eval-Avant action écologique'!$A$775=CS18,LEN(SUBSTITUTE((SUBSTITUTE(DS23,"TF","")),"TS",""))*10/2,0),IF('Eval-Avant action écologique'!$A$776=CS18,LEN(SUBSTITUTE((SUBSTITUTE(DS24,"TF","")),"TS",""))*10/2,0),IF('Eval-Avant action écologique'!$A$777=CS18,LEN(SUBSTITUTE((SUBSTITUTE(DS25,"TF","")),"TS",""))*10/2,0),IF('Eval-Avant action écologique'!$A$778=CS18,LEN(SUBSTITUTE((SUBSTITUTE(DS26,"TF","")),"TS",""))*10/2,0),IF('Eval-Avant action écologique'!$A$779=CS18,LEN(SUBSTITUTE((SUBSTITUTE(DS27,"TF","")),"TS",""))*10/2,0),IF('Eval-Avant action écologique'!$A$780=CS18,LEN(SUBSTITUTE((SUBSTITUTE(DS28,"TF","")),"TS",""))*10/2,0))/COUNTIF('Eval-Avant action écologique'!$A$761:$A$780,CS18),"")</f>
        <v/>
      </c>
      <c r="DH18" s="211" t="str">
        <f>IF(COUNTIF('Eval-Avant action écologique'!$A$761:$A$780,CS18)&gt;0,SUM(IF('Eval-Avant action écologique'!$A$761=CS18,LEN(SUBSTITUTE((SUBSTITUTE(DS9,"TF","")),"TM",""))*10/2,0),IF('Eval-Avant action écologique'!$A$762=CS18,LEN(SUBSTITUTE((SUBSTITUTE(DS10,"TF","")),"TM",""))*10/2,0),IF('Eval-Avant action écologique'!$A$763=CS18,LEN(SUBSTITUTE((SUBSTITUTE(DS11,"TF","")),"TM",""))*10/2,0),IF('Eval-Avant action écologique'!$A$764=CS18,LEN(SUBSTITUTE((SUBSTITUTE(DS12,"TF","")),"TM",""))*10/2,0),IF('Eval-Avant action écologique'!$A$765=CS18,LEN(SUBSTITUTE((SUBSTITUTE(DS13,"TF","")),"TM",""))*10/2,0),IF('Eval-Avant action écologique'!$A$766=CS18,LEN(SUBSTITUTE((SUBSTITUTE(DS14,"TF","")),"TM",""))*10/2,0),IF('Eval-Avant action écologique'!$A$767=CS18,LEN(SUBSTITUTE((SUBSTITUTE(DS15,"TF","")),"TM",""))*10/2,0),IF('Eval-Avant action écologique'!$A$768=CS18,LEN(SUBSTITUTE((SUBSTITUTE(DS16,"TF","")),"TM",""))*10/2,0),IF('Eval-Avant action écologique'!$A$769=CS18,LEN(SUBSTITUTE((SUBSTITUTE(DS17,"TF","")),"TM",""))*10/2,0),IF('Eval-Avant action écologique'!$A$770=CS18,LEN(SUBSTITUTE((SUBSTITUTE(DS18,"TF","")),"TM",""))*10/2,0),IF('Eval-Avant action écologique'!$A$771=CS18,LEN(SUBSTITUTE((SUBSTITUTE(DS19,"TF","")),"TM",""))*10/2,0),IF('Eval-Avant action écologique'!$A$772=CS18,LEN(SUBSTITUTE((SUBSTITUTE(DS20,"TF","")),"TM",""))*10/2,0),IF('Eval-Avant action écologique'!$A$773=CS18,LEN(SUBSTITUTE((SUBSTITUTE(DS21,"TF","")),"TM",""))*10/2,0),IF('Eval-Avant action écologique'!$A$774=CS18,LEN(SUBSTITUTE((SUBSTITUTE(DS22,"TF","")),"TM",""))*10/2,0),IF('Eval-Avant action écologique'!$A$775=CS18,LEN(SUBSTITUTE((SUBSTITUTE(DS23,"TF","")),"TM",""))*10/2,0),IF('Eval-Avant action écologique'!$A$776=CS18,LEN(SUBSTITUTE((SUBSTITUTE(DS24,"TF","")),"TM",""))*10/2,0),IF('Eval-Avant action écologique'!$A$777=CS18,LEN(SUBSTITUTE((SUBSTITUTE(DS25,"TF","")),"TM",""))*10/2,0),IF('Eval-Avant action écologique'!$A$778=CS18,LEN(SUBSTITUTE((SUBSTITUTE(DS26,"TF","")),"TM",""))*10/2,0),IF('Eval-Avant action écologique'!$A$779=CS18,LEN(SUBSTITUTE((SUBSTITUTE(DS27,"TF","")),"TM",""))*10/2,0),IF('Eval-Avant action écologique'!$A$780=CS18,LEN(SUBSTITUTE((SUBSTITUTE(DS28,"TF","")),"TM",""))*10/2,0))/COUNTIF('Eval-Avant action écologique'!$A$761:$A$780,CS18),"")</f>
        <v/>
      </c>
      <c r="DI18" s="211" t="str">
        <f>IF(COUNTIF('Eval-Avant action écologique'!$A$761:$A$780,CS18)&gt;0,IF(OR(AND('Eval-Avant action écologique'!$A$761=CS18,DP9&lt;30),AND('Eval-Avant action écologique'!$A$762=CS18,DP10&lt;30),AND('Eval-Avant action écologique'!$A$763=CS18,DP11&lt;30),AND('Eval-Avant action écologique'!$A$764=CS18,DP12&lt;30),AND('Eval-Avant action écologique'!$A$765=CS18,DP13&lt;30),AND('Eval-Avant action écologique'!$A$766=CS18,DP14&lt;30),AND('Eval-Avant action écologique'!$A$767=CS18,DP15&lt;30),AND('Eval-Avant action écologique'!$A$768=CS18,DP16&lt;30),AND('Eval-Avant action écologique'!$A$769=CS18,DP17&lt;30),AND('Eval-Avant action écologique'!$A$770=CS18,DP18&lt;30),AND('Eval-Avant action écologique'!$A$771=CS18,DP19&lt;30),AND('Eval-Avant action écologique'!$A$772=CS18,DP20&lt;30),AND('Eval-Avant action écologique'!$A$773=CS18,DP21&lt;30),AND('Eval-Avant action écologique'!$A$774=CS18,DP22&lt;30),AND('Eval-Avant action écologique'!$A$775=CS18,DP23&lt;30),AND('Eval-Avant action écologique'!$A$776=CS18,DP24&lt;30),AND('Eval-Avant action écologique'!$A$777=CS18,DP25&lt;30),AND('Eval-Avant action écologique'!$A$778=CS18,DP26&lt;30),AND('Eval-Avant action écologique'!$A$779=CS18,DP27&lt;30),AND('Eval-Avant action écologique'!$A$780=CS18,DP28&lt;30)),"",SUM(0.1*(SUMPRODUCT(('Eval-Avant action écologique'!$A$761:$A$780=CS18)*('Eval-Avant action écologique'!$N$761:$P$780="A"))+ SUMPRODUCT(('Eval-Avant action écologique'!$A$761:$A$780=CS18)*('Eval-Avant action écologique'!$N$761:$P$780="AL"))),0.7*(SUMPRODUCT(('Eval-Avant action écologique'!$A$761:$A$780=CS18)*('Eval-Avant action écologique'!$N$761:$P$780="TF"))+SUMPRODUCT(('Eval-Avant action écologique'!$A$761:$A$780=CS18)*('Eval-Avant action écologique'!$N$761:$P$780="TM"))+SUMPRODUCT(('Eval-Avant action écologique'!$A$761:$A$780=CS18)*('Eval-Avant action écologique'!$N$761:$P$780="TS"))),0.4*(SUMPRODUCT(('Eval-Avant action écologique'!$A$761:$A$780=CS18)*('Eval-Avant action écologique'!$N$761:$P$780="LA"))+SUMPRODUCT(('Eval-Avant action écologique'!$A$761:$A$780=CS18)*('Eval-Avant action écologique'!$N$761:$P$780="L"))+SUMPRODUCT(('Eval-Avant action écologique'!$A$761:$A$780=CS18)*('Eval-Avant action écologique'!$N$761:$P$780="LS"))),1*(SUMPRODUCT(('Eval-Avant action écologique'!$A$761:$A$780=CS18)*('Eval-Avant action écologique'!$N$761:$P$780="SL"))+ SUMPRODUCT(('Eval-Avant action écologique'!$A$761:$A$780=CS18)*('Eval-Avant action écologique'!$N$761:$P$780="S"))))/(3*COUNTIF('Eval-Avant action écologique'!$A$761:$A$780,CS18))),"")</f>
        <v/>
      </c>
      <c r="DJ18" s="211" t="str">
        <f>IF(COUNTIF('Eval-Avant action écologique'!$A$761:$A$780,CS18)&gt;0,IF(OR(AND('Eval-Avant action écologique'!$A$761=CS18,DP9&lt;120),AND('Eval-Avant action écologique'!$A$762=CS18,DP10&lt;120),AND('Eval-Avant action écologique'!$A$763=CS18,DP11&lt;120),AND('Eval-Avant action écologique'!$A$764=CS18,DP12&lt;120),AND('Eval-Avant action écologique'!$A$765=CS18,DP13&lt;120),AND('Eval-Avant action écologique'!$A$766=CS18,DP14&lt;120),AND('Eval-Avant action écologique'!$A$767=CS18,DP15&lt;120),AND('Eval-Avant action écologique'!$A$768=CS18,DP16&lt;120),AND('Eval-Avant action écologique'!$A$769=CS18,DP17&lt;120),AND('Eval-Avant action écologique'!$A$770=CS18,DP18&lt;120),AND('Eval-Avant action écologique'!$A$771=CS18,DP19&lt;120),AND('Eval-Avant action écologique'!$A$772=CS18,DP20&lt;120),AND('Eval-Avant action écologique'!$A$773=CS18,DP21&lt;120),AND('Eval-Avant action écologique'!$A$774=CS18,DP22&lt;120),AND('Eval-Avant action écologique'!$A$775=CS18,DP23&lt;120),AND('Eval-Avant action écologique'!$A$776=CS18,DP24&lt;120),AND('Eval-Avant action écologique'!$A$777=CS18,DP25&lt;120),AND('Eval-Avant action écologique'!$A$778=CS18,DP26&lt;120),AND('Eval-Avant action écologique'!$A$779=CS18,DP27&lt;120),AND('Eval-Avant action écologique'!$A$780=CS18,DP28&lt;120)),"",SUM(0.1*(SUMPRODUCT(('Eval-Avant action écologique'!$A$761:$A$780=CS18)*('Eval-Avant action écologique'!$Q$761:$Y$780="A"))+ SUMPRODUCT(('Eval-Avant action écologique'!$A$761:$A$780=CS18)*('Eval-Avant action écologique'!$Q$761:$Y$780="AL"))),0.7*(SUMPRODUCT(('Eval-Avant action écologique'!$A$761:$A$780=CS18)*('Eval-Avant action écologique'!$Q$761:$Y$780="TF"))+SUMPRODUCT(('Eval-Avant action écologique'!$A$761:$A$780=CS18)*('Eval-Avant action écologique'!$Q$761:$Y$780="TM"))+SUMPRODUCT(('Eval-Avant action écologique'!$A$761:$A$780=CS18)*('Eval-Avant action écologique'!$Q$761:$Y$780="TS"))),0.4*(SUMPRODUCT(('Eval-Avant action écologique'!$A$761:$A$780=CS18)*('Eval-Avant action écologique'!$Q$761:$Y$780="LA"))+SUMPRODUCT(('Eval-Avant action écologique'!$A$761:$A$780=CS18)*('Eval-Avant action écologique'!$Q$761:$Y$780="L"))+SUMPRODUCT(('Eval-Avant action écologique'!$A$761:$A$780=CS18)*('Eval-Avant action écologique'!$Q$761:$Y$780="LS"))),1*(SUMPRODUCT(('Eval-Avant action écologique'!$A$761:$A$780=CS18)*('Eval-Avant action écologique'!$Q$761:$Y$780="SL"))+ SUMPRODUCT(('Eval-Avant action écologique'!$A$761:$A$780=CS18)*('Eval-Avant action écologique'!$Q$761:$Y$780="S"))))/(9*COUNTIF('Eval-Avant action écologique'!$A$761:$A$780,CS18))),"")</f>
        <v/>
      </c>
      <c r="DK18" s="211" t="str">
        <f>IF(COUNTIF('Eval-Avant action écologique'!$A$761:$A$780,CS18)&gt;0,IF(OR(AND('Eval-Avant action écologique'!$A$761=CS18,OR(COUNTIF('Eval-Avant action écologique'!$N$761:$P$761,"*T*")&gt;0,DP9&lt;30)),AND('Eval-Avant action écologique'!$A$762=CS18,OR(COUNTIF('Eval-Avant action écologique'!$N$762:$P$762,"*T*")&gt;0,DP10&lt;30)),AND('Eval-Avant action écologique'!$A$763=CS18,OR(COUNTIF('Eval-Avant action écologique'!$N$763:$P$763,"*T*")&gt;0,DP11&lt;30)),AND('Eval-Avant action écologique'!$A$764=CS18,OR(COUNTIF('Eval-Avant action écologique'!$N$764:$P$764,"*T*")&gt;0,DP12&lt;30)),AND('Eval-Avant action écologique'!$A$765=CS18,OR(COUNTIF('Eval-Avant action écologique'!$N$765:$P$765,"*T*")&gt;0,DP13&lt;30)),AND('Eval-Avant action écologique'!$A$766=CS18,OR(COUNTIF('Eval-Avant action écologique'!$N$766:$P$766,"*T*")&gt;0,DP14&lt;30)),AND('Eval-Avant action écologique'!$A$767=CS18,OR(COUNTIF('Eval-Avant action écologique'!$N$767:$P$767,"*T*")&gt;0,DP15&lt;30)),AND('Eval-Avant action écologique'!$A$768=CS18,OR(COUNTIF('Eval-Avant action écologique'!$N$768:$P$768,"*T*")&gt;0,DP16&lt;30)),AND('Eval-Avant action écologique'!$A$769=CS18,OR(COUNTIF('Eval-Avant action écologique'!$N$769:$P$769,"*T*")&gt;0,DP17&lt;30)),AND('Eval-Avant action écologique'!$A$770=CS18,OR(COUNTIF('Eval-Avant action écologique'!$N$770:$P$770,"*T*")&gt;0,DP18&lt;30)),AND('Eval-Avant action écologique'!$A$771=CS18,OR(COUNTIF('Eval-Avant action écologique'!$N$771:$P$771,"*T*")&gt;0,DP19&lt;30)),AND('Eval-Avant action écologique'!$A$772=CS18,OR(COUNTIF('Eval-Avant action écologique'!$N$772:$P$772,"*T*")&gt;0,DP20&lt;30)),AND('Eval-Avant action écologique'!$A$773=CS18,OR(COUNTIF('Eval-Avant action écologique'!$N$773:$P$773,"*T*")&gt;0,DP21&lt;30)),AND('Eval-Avant action écologique'!$A$774=CS18,OR(COUNTIF('Eval-Avant action écologique'!$N$774:$P$774,"*T*")&gt;0,DP22&lt;30)),AND('Eval-Avant action écologique'!$A$775=CS18,OR(COUNTIF('Eval-Avant action écologique'!$N$775:$P$775,"*T*")&gt;0,DP23&lt;30)),AND('Eval-Avant action écologique'!$A$776=CS18,OR(COUNTIF('Eval-Avant action écologique'!$N$776:$P$776,"*T*")&gt;0,DP24&lt;30)),AND('Eval-Avant action écologique'!$A$777=CS18,OR(COUNTIF('Eval-Avant action écologique'!$N$777:$P$777,"*T*")&gt;0,DP25&lt;30)),AND('Eval-Avant action écologique'!$A$778=CS18,OR(COUNTIF('Eval-Avant action écologique'!$N$778:$P$778,"*T*")&gt;0,DP26&lt;30)),AND('Eval-Avant action écologique'!$A$779=CS18,OR(COUNTIF('Eval-Avant action écologique'!$N$779:$P$779,"*T*")&gt;0,DP27&lt;30)),AND('Eval-Avant action écologique'!$A$780=CS18,OR(COUNTIF('Eval-Avant action écologique'!$N$780:$P$780,"*T*")&gt;0,DP28&lt;30))),"",SUM(0.1*(SUMPRODUCT(('Eval-Avant action écologique'!$A$761:$A$780=CS18)*('Eval-Avant action écologique'!$N$761:$P$780="L"))),0.4*(SUMPRODUCT(('Eval-Avant action écologique'!$A$761:$A$780=CS18)*('Eval-Avant action écologique'!$N$761:$P$780="LA"))+SUMPRODUCT(('Eval-Avant action écologique'!$A$761:$A$780=CS18)*('Eval-Avant action écologique'!$N$761:$P$780="LS"))),0.7*(SUMPRODUCT(('Eval-Avant action écologique'!$A$761:$A$780=CS18)*('Eval-Avant action écologique'!$N$761:$P$780="AL"))+SUMPRODUCT(('Eval-Avant action écologique'!$A$761:$A$780=CS18)*('Eval-Avant action écologique'!$N$761:$P$780="SL"))),1*(SUMPRODUCT(('Eval-Avant action écologique'!$A$761:$A$780=CS18)*('Eval-Avant action écologique'!$N$761:$P$780="S"))+ SUMPRODUCT(('Eval-Avant action écologique'!$A$761:$A$780=CS18)*('Eval-Avant action écologique'!$N$761:$P$780="A"))))/(3*COUNTIF('Eval-Avant action écologique'!$A$761:$A$780,CS18))),"")</f>
        <v/>
      </c>
      <c r="DL18" s="211" t="str">
        <f>IF(COUNTIF('Eval-Avant action écologique'!$A$761:$A$780,CS18)&gt;0,IF(OR(AND('Eval-Avant action écologique'!$A$761=CS18,OR(COUNTIF('Eval-Avant action écologique'!$N$761:$P$761,"*T*")&gt;0,DP9&lt;30)),AND('Eval-Avant action écologique'!$A$762=CS18,OR(COUNTIF('Eval-Avant action écologique'!$N$762:$P$762,"*T*")&gt;0,DP10&lt;30)),AND('Eval-Avant action écologique'!$A$763=CS18,OR(COUNTIF('Eval-Avant action écologique'!$N$763:$P$763,"*T*")&gt;0,DP11&lt;30)),AND('Eval-Avant action écologique'!$A$764=CS18,OR(COUNTIF('Eval-Avant action écologique'!$N$764:$P$764,"*T*")&gt;0,DP12&lt;30)),AND('Eval-Avant action écologique'!$A$765=CS18,OR(COUNTIF('Eval-Avant action écologique'!$N$765:$P$765,"*T*")&gt;0,DP13&lt;30)),AND('Eval-Avant action écologique'!$A$766=CS18,OR(COUNTIF('Eval-Avant action écologique'!$N$766:$P$766,"*T*")&gt;0,DP14&lt;30)),AND('Eval-Avant action écologique'!$A$767=CS18,OR(COUNTIF('Eval-Avant action écologique'!$N$767:$P$767,"*T*")&gt;0,DP15&lt;30)),AND('Eval-Avant action écologique'!$A$768=CS18,OR(COUNTIF('Eval-Avant action écologique'!$N$768:$P$768,"*T*")&gt;0,DP16&lt;30)),AND('Eval-Avant action écologique'!$A$769=CS18,OR(COUNTIF('Eval-Avant action écologique'!$N$769:$P$769,"*T*")&gt;0,DP17&lt;30)),AND('Eval-Avant action écologique'!$A$770=CS18,OR(COUNTIF('Eval-Avant action écologique'!$N$770:$P$770,"*T*")&gt;0,DP18&lt;30)),AND('Eval-Avant action écologique'!$A$771=CS18,OR(COUNTIF('Eval-Avant action écologique'!$N$771:$P$771,"*T*")&gt;0,DP19&lt;30)),AND('Eval-Avant action écologique'!$A$772=CS18,OR(COUNTIF('Eval-Avant action écologique'!$N$772:$P$772,"*T*")&gt;0,DP20&lt;30)),AND('Eval-Avant action écologique'!$A$773=CS18,OR(COUNTIF('Eval-Avant action écologique'!$N$773:$P$773,"*T*")&gt;0,DP21&lt;30)),AND('Eval-Avant action écologique'!$A$774=CS18,OR(COUNTIF('Eval-Avant action écologique'!$N$774:$P$774,"*T*")&gt;0,DP22&lt;30)),AND('Eval-Avant action écologique'!$A$775=CS18,OR(COUNTIF('Eval-Avant action écologique'!$N$775:$P$775,"*T*")&gt;0,DP23&lt;30)),AND('Eval-Avant action écologique'!$A$776=CS18,OR(COUNTIF('Eval-Avant action écologique'!$N$776:$P$776,"*T*")&gt;0,DP24&lt;30)),AND('Eval-Avant action écologique'!$A$777=CS18,OR(COUNTIF('Eval-Avant action écologique'!$N$777:$P$777,"*T*")&gt;0,DP25&lt;30)),AND('Eval-Avant action écologique'!$A$778=CS18,OR(COUNTIF('Eval-Avant action écologique'!$N$778:$P$778,"*T*")&gt;0,DP26&lt;30)),AND('Eval-Avant action écologique'!$A$779=CS18,OR(COUNTIF('Eval-Avant action écologique'!$N$779:$P$779,"*T*")&gt;0,DP27&lt;30)),AND('Eval-Avant action écologique'!$A$780=CS18,OR(COUNTIF('Eval-Avant action écologique'!$N$780:$P$780,"*T*")&gt;0,DP28&lt;30))),"",SUM(1*(SUMPRODUCT(('Eval-Avant action écologique'!$A$761:$A$780=CS18)*('Eval-Avant action écologique'!$N$761:$P$780="A"))),0.85*(SUMPRODUCT(('Eval-Avant action écologique'!$A$761:$A$780=CS18)*('Eval-Avant action écologique'!$N$761:$P$780="AL"))),0.7*(SUMPRODUCT(('Eval-Avant action écologique'!$A$761:$A$780=CS18)*('Eval-Avant action écologique'!$N$761:$P$780="LA"))),0.55*(SUMPRODUCT(('Eval-Avant action écologique'!$A$761:$A$780=CS18)*('Eval-Avant action écologique'!$N$761:$P$780="L"))),0.4*(SUMPRODUCT(('Eval-Avant action écologique'!$A$761:$A$780=CS18)*('Eval-Avant action écologique'!$N$761:$P$780="LS"))),0.25*(SUMPRODUCT(('Eval-Avant action écologique'!$A$761:$A$780=CS18)*('Eval-Avant action écologique'!$N$761:$P$780="SL"))),0.1*(SUMPRODUCT(('Eval-Avant action écologique'!$A$761:$A$780=CS18)*('Eval-Avant action écologique'!$N$761:$P$780="S"))))/(3*COUNTIF('Eval-Avant action écologique'!$A$761:$A$780,CS18))),"")</f>
        <v/>
      </c>
      <c r="DM18" s="214" t="str">
        <f>IF(COUNTIF('Eval-Avant action écologique'!$A$761:$A$780,CS18)&gt;0,IF(OR(AND('Eval-Avant action écologique'!$A$761=CS18,OR(COUNTIF('Eval-Avant action écologique'!$Q$761:$Y$761,"*T*")&gt;0,DP9&lt;120)),AND('Eval-Avant action écologique'!$A$762=CS18,OR(COUNTIF('Eval-Avant action écologique'!$Q$762:$Y$762,"*T*")&gt;0,DP10&lt;120)),AND('Eval-Avant action écologique'!$A$763=CS18,OR(COUNTIF('Eval-Avant action écologique'!$Q$763:$Y$763,"*T*")&gt;0,DP11&lt;120)),AND('Eval-Avant action écologique'!$A$764=CS18,OR(COUNTIF('Eval-Avant action écologique'!$Q$764:$Y$764,"*T*")&gt;0,DP12&lt;120)),AND('Eval-Avant action écologique'!$A$765=CS18,OR(COUNTIF('Eval-Avant action écologique'!$Q$765:$Y$765,"*T*")&gt;0,DP13&lt;120)),AND('Eval-Avant action écologique'!$A$766=CS18,OR(COUNTIF('Eval-Avant action écologique'!$Q$766:$Y$766,"*T*")&gt;0,DP14&lt;120)),AND('Eval-Avant action écologique'!$A$767=CS18,OR(COUNTIF('Eval-Avant action écologique'!$Q$767:$Y$767,"*T*")&gt;0,DP15&lt;120)),AND('Eval-Avant action écologique'!$A$768=CS18,OR(COUNTIF('Eval-Avant action écologique'!$Q$768:$Y$768,"*T*")&gt;0,DP16&lt;120)),AND('Eval-Avant action écologique'!$A$769=CS18,OR(COUNTIF('Eval-Avant action écologique'!$Q$769:$Y$769,"*T*")&gt;0,DP17&lt;120)),AND('Eval-Avant action écologique'!$A$770=CS18,OR(COUNTIF('Eval-Avant action écologique'!$Q$770:$Y$770,"*T*")&gt;0,DP18&lt;120)),AND('Eval-Avant action écologique'!$A$771=CS18,OR(COUNTIF('Eval-Avant action écologique'!$Q$771:$Y$771,"*T*")&gt;0,DP19&lt;120)),AND('Eval-Avant action écologique'!$A$772=CS18,OR(COUNTIF('Eval-Avant action écologique'!$Q$772:$Y$772,"*T*")&gt;0,DP20&lt;120)),AND('Eval-Avant action écologique'!$A$773=CS18,OR(COUNTIF('Eval-Avant action écologique'!$Q$773:$Y$773,"*T*")&gt;0,DP21&lt;120)),AND('Eval-Avant action écologique'!$A$774=CS18,OR(COUNTIF('Eval-Avant action écologique'!$Q$774:$Y$774,"*T*")&gt;0,DP22&lt;120)),AND('Eval-Avant action écologique'!$A$775=CS18,OR(COUNTIF('Eval-Avant action écologique'!$Q$775:$Y$775,"*T*")&gt;0,DP23&lt;120)),AND('Eval-Avant action écologique'!$A$776=CS18,OR(COUNTIF('Eval-Avant action écologique'!$Q$776:$Y$776,"*T*")&gt;0,DP24&lt;120)),AND('Eval-Avant action écologique'!$A$777=CS18,OR(COUNTIF('Eval-Avant action écologique'!$Q$777:$Y$777,"*T*")&gt;0,DP25&lt;120)),AND('Eval-Avant action écologique'!$A$778=CS18,OR(COUNTIF('Eval-Avant action écologique'!$Q$778:$Y$778,"*T*")&gt;0,DP26&lt;120)),AND('Eval-Avant action écologique'!$A$779=CS18,OR(COUNTIF('Eval-Avant action écologique'!$Q$779:$Y$779,"*T*")&gt;0,DP27&lt;120)),AND('Eval-Avant action écologique'!$A$780=CS18,OR(COUNTIF('Eval-Avant action écologique'!$Q$780:$Y$780,"*T*")&gt;0,DP28&lt;120))),"",SUM(1*(SUMPRODUCT(('Eval-Avant action écologique'!$A$761:$A$780=CS18)*('Eval-Avant action écologique'!$Q$761:$Y$780="A"))),0.85*(SUMPRODUCT(('Eval-Avant action écologique'!$A$761:$A$780=CS18)*('Eval-Avant action écologique'!$Q$761:$Y$780="AL"))),0.7*(SUMPRODUCT(('Eval-Avant action écologique'!$A$761:$A$780=CS18)*('Eval-Avant action écologique'!$Q$761:$Y$780="LA"))),0.55*(SUMPRODUCT(('Eval-Avant action écologique'!$A$761:$A$780=CS18)*('Eval-Avant action écologique'!$Q$761:$Y$780="L"))),0.4*(SUMPRODUCT(('Eval-Avant action écologique'!$A$761:$A$780=CS18)*('Eval-Avant action écologique'!$Q$761:$Y$780="LS"))),0.25*(SUMPRODUCT(('Eval-Avant action écologique'!$A$761:$A$780=CS18)*('Eval-Avant action écologique'!$Q$761:$Y$780="SL"))),0.1*(SUMPRODUCT(('Eval-Avant action écologique'!$A$761:$A$780=CS18)*('Eval-Avant action écologique'!$Q$761:$Y$780="S"))))/(9*COUNTIF('Eval-Avant action écologique'!$A$761:$A$780,CS18))),"")</f>
        <v/>
      </c>
      <c r="DN18" s="215"/>
      <c r="DO18" s="216">
        <f>'Eval-Avant action écologique'!$D$770</f>
        <v>10</v>
      </c>
      <c r="DP18" s="217" t="str">
        <f>IF(DQ18="C",0,IF(IF(COUNTIF('Eval-Avant action écologique'!$N$770:$Y$770,"=C")&gt;0,(COUNTA('Eval-Avant action écologique'!$N$770:$Y$770)-1)*10,COUNTA('Eval-Avant action écologique'!$N$770:$Y$770)*10)=0,"",IF(COUNTIF('Eval-Avant action écologique'!$N$770:$Y$770,"=C")&gt;0,(COUNTA('Eval-Avant action écologique'!$N$770:$Y$770)-1)*10,COUNTA('Eval-Avant action écologique'!$N$770:$Y$770)*10)))</f>
        <v/>
      </c>
      <c r="DQ18" s="217" t="str">
        <f>CONCATENATE('Eval-Avant action écologique'!$N$770,'Eval-Avant action écologique'!$O$770,'Eval-Avant action écologique'!$P$770,'Eval-Avant action écologique'!$Q$770,'Eval-Avant action écologique'!$R$770,'Eval-Avant action écologique'!$S$770,'Eval-Avant action écologique'!$T$770,'Eval-Avant action écologique'!$U$770,'Eval-Avant action écologique'!$V$770,'Eval-Avant action écologique'!$W$770,'Eval-Avant action écologique'!$X$770,'Eval-Avant action écologique'!$Y$770)</f>
        <v/>
      </c>
      <c r="DR18" s="217" t="str">
        <f t="shared" si="12"/>
        <v/>
      </c>
      <c r="DS18" s="217" t="str">
        <f t="shared" si="13"/>
        <v/>
      </c>
      <c r="DT18" s="217" t="str">
        <f>IF(COUNTIF('Eval-Avant action écologique'!$N$770:$Y$770,"=C")&gt;0,"X","")</f>
        <v/>
      </c>
      <c r="DU18" s="217" t="str">
        <f t="shared" si="14"/>
        <v/>
      </c>
      <c r="DV18" s="218" t="str">
        <f t="shared" si="15"/>
        <v/>
      </c>
      <c r="DW18" s="197"/>
      <c r="DY18" s="210">
        <v>10</v>
      </c>
      <c r="DZ18" s="211" t="str">
        <f>IF(COUNTIF('Eval-Avec act. écol. envisagée'!$A$761:$A$780,DY18)&gt;0,SUM(IF('Eval-Avec act. écol. envisagée'!$A$761=DY18,'Eval-Avec act. écol. envisagée'!$B$761,0),IF('Eval-Avec act. écol. envisagée'!$A$762=DY18, 'Eval-Avec act. écol. envisagée'!$B$762,0),IF('Eval-Avec act. écol. envisagée'!$A$763=DY18, 'Eval-Avec act. écol. envisagée'!$B$763,0),IF('Eval-Avec act. écol. envisagée'!$A$764=DY18, 'Eval-Avec act. écol. envisagée'!$B$764,0),IF('Eval-Avec act. écol. envisagée'!$A$765=DY18, 'Eval-Avec act. écol. envisagée'!$B$765,0),IF('Eval-Avec act. écol. envisagée'!$A$766=DY18, 'Eval-Avec act. écol. envisagée'!$B$766,0),IF('Eval-Avec act. écol. envisagée'!$A$767=DY18, 'Eval-Avec act. écol. envisagée'!$B$767,0),IF('Eval-Avec act. écol. envisagée'!$A$768=DY18, 'Eval-Avec act. écol. envisagée'!$B$768,0),IF('Eval-Avec act. écol. envisagée'!$A$769=DY18, 'Eval-Avec act. écol. envisagée'!$B$769,0),IF('Eval-Avec act. écol. envisagée'!$A$770=DY18, 'Eval-Avec act. écol. envisagée'!$B$770,0),IF('Eval-Avec act. écol. envisagée'!$A$771=DY18, 'Eval-Avec act. écol. envisagée'!$B$771,0),IF('Eval-Avec act. écol. envisagée'!$A$772=DY18, 'Eval-Avec act. écol. envisagée'!$B$772,0),IF('Eval-Avec act. écol. envisagée'!$A$773=DY18, 'Eval-Avec act. écol. envisagée'!$B$773,0),IF('Eval-Avec act. écol. envisagée'!$A$774=DY18, 'Eval-Avec act. écol. envisagée'!$B$774,0),IF('Eval-Avec act. écol. envisagée'!$A$775=DY18, 'Eval-Avec act. écol. envisagée'!$B$775,0),IF('Eval-Avec act. écol. envisagée'!$A$776=DY18, 'Eval-Avec act. écol. envisagée'!$B$776,0),IF('Eval-Avec act. écol. envisagée'!$A$777=DY18, 'Eval-Avec act. écol. envisagée'!$B$777,0),IF('Eval-Avec act. écol. envisagée'!$A$778=DY18, 'Eval-Avec act. écol. envisagée'!$B$778,0),IF('Eval-Avec act. écol. envisagée'!$A$779=DY18, 'Eval-Avec act. écol. envisagée'!$B$779,0),IF('Eval-Avec act. écol. envisagée'!$A$780=DY18, 'Eval-Avec act. écol. envisagée'!$B$780,0))/COUNTIF('Eval-Avec act. écol. envisagée'!$A$761:$A$780,DY18),"")</f>
        <v/>
      </c>
      <c r="EA18" s="212" t="str">
        <f>IF(COUNTIF('Eval-Avec act. écol. envisagée'!$A$761:$A$780,DY18)&gt;0,COUNTIF('Eval-Avec act. écol. envisagée'!$A$761:$A$780,DY18),"")</f>
        <v/>
      </c>
      <c r="EB18" s="211" t="str">
        <f>IF(COUNTIF('Eval-Avec act. écol. envisagée'!$A$761:$A$780,DY18)&gt;0,IF(OR(AND('Eval-Avec act. écol. envisagée'!$A$761=DY18, 'Eval-Avec act. écol. envisagée'!$G$761=""),AND('Eval-Avec act. écol. envisagée'!$A$762=DY18, 'Eval-Avec act. écol. envisagée'!$G$762=""),AND('Eval-Avec act. écol. envisagée'!$A$763=DY18, 'Eval-Avec act. écol. envisagée'!$G$763=""),AND('Eval-Avec act. écol. envisagée'!$A$764=DY18, 'Eval-Avec act. écol. envisagée'!$G$764=""),AND('Eval-Avec act. écol. envisagée'!$A$765=DY18, 'Eval-Avec act. écol. envisagée'!$G$765=""),AND('Eval-Avec act. écol. envisagée'!$A$766=DY18, 'Eval-Avec act. écol. envisagée'!$G$766=""),AND('Eval-Avec act. écol. envisagée'!$A$767=DY18, 'Eval-Avec act. écol. envisagée'!$G$767=""),AND('Eval-Avec act. écol. envisagée'!$A$768=DY18, 'Eval-Avec act. écol. envisagée'!$G$768=""),AND('Eval-Avec act. écol. envisagée'!$A$769=DY18, 'Eval-Avec act. écol. envisagée'!$G$769=""),AND('Eval-Avec act. écol. envisagée'!$A$770=DY18, 'Eval-Avec act. écol. envisagée'!$G$770=""),AND('Eval-Avec act. écol. envisagée'!$A$771=DY18, 'Eval-Avec act. écol. envisagée'!$G$771=""),AND('Eval-Avec act. écol. envisagée'!$A$772=DY18, 'Eval-Avec act. écol. envisagée'!$G$772=""),AND('Eval-Avec act. écol. envisagée'!$A$773=DY18, 'Eval-Avec act. écol. envisagée'!$G$773=""),AND('Eval-Avec act. écol. envisagée'!$A$774=DY18, 'Eval-Avec act. écol. envisagée'!$G$774=""),AND('Eval-Avec act. écol. envisagée'!$A$775=DY18, 'Eval-Avec act. écol. envisagée'!$G$775=""),AND('Eval-Avec act. écol. envisagée'!$A$776=DY18, 'Eval-Avec act. écol. envisagée'!$G$776=""),AND('Eval-Avec act. écol. envisagée'!$A$777=DY18, 'Eval-Avec act. écol. envisagée'!$G$777=""),AND('Eval-Avec act. écol. envisagée'!$A$778=DY18, 'Eval-Avec act. écol. envisagée'!$G$778=""),AND('Eval-Avec act. écol. envisagée'!$A$779=DY18, 'Eval-Avec act. écol. envisagée'!$G$779=""),AND('Eval-Avec act. écol. envisagée'!$A$780=DY18, 'Eval-Avec act. écol. envisagée'!$G$780="")),"",SUM(IF('Eval-Avec act. écol. envisagée'!$A$761=DY18,'Eval-Avec act. écol. envisagée'!$G$761,0),IF('Eval-Avec act. écol. envisagée'!$A$762=DY18,'Eval-Avec act. écol. envisagée'!$G$762,0),IF('Eval-Avec act. écol. envisagée'!$A$763=DY18,'Eval-Avec act. écol. envisagée'!$G$763,0),IF('Eval-Avec act. écol. envisagée'!$A$764=DY18,'Eval-Avec act. écol. envisagée'!$G$764,0),IF('Eval-Avec act. écol. envisagée'!$A$765=DY18,'Eval-Avec act. écol. envisagée'!$G$765,0),IF('Eval-Avec act. écol. envisagée'!$A$766=DY18,'Eval-Avec act. écol. envisagée'!$G$766,0),IF('Eval-Avec act. écol. envisagée'!$A$767=DY18,'Eval-Avec act. écol. envisagée'!$G$767,0),IF('Eval-Avec act. écol. envisagée'!$A$768=DY18,'Eval-Avec act. écol. envisagée'!$G$768,0),IF('Eval-Avec act. écol. envisagée'!$A$769=DY18,'Eval-Avec act. écol. envisagée'!$G$769,0),IF('Eval-Avec act. écol. envisagée'!$A$770=DY18,'Eval-Avec act. écol. envisagée'!$G$770,0),IF('Eval-Avec act. écol. envisagée'!$A$771=DY18,'Eval-Avec act. écol. envisagée'!$G$771,0),IF('Eval-Avec act. écol. envisagée'!$A$772=DY18,'Eval-Avec act. écol. envisagée'!$G$772,0),IF('Eval-Avec act. écol. envisagée'!$A$773=DY18,'Eval-Avec act. écol. envisagée'!$G$773,0),IF('Eval-Avec act. écol. envisagée'!$A$774=DY18,'Eval-Avec act. écol. envisagée'!$G$774,0),IF('Eval-Avec act. écol. envisagée'!$A$775=DY18,'Eval-Avec act. écol. envisagée'!$G$775,0), IF('Eval-Avec act. écol. envisagée'!$A$776=DY18,'Eval-Avec act. écol. envisagée'!$G$776,0), IF('Eval-Avec act. écol. envisagée'!$A$777=DY18,'Eval-Avec act. écol. envisagée'!$G$777,0), IF('Eval-Avec act. écol. envisagée'!$A$778=DY18,'Eval-Avec act. écol. envisagée'!$G$778,0), IF('Eval-Avec act. écol. envisagée'!$A$779=DY18,'Eval-Avec act. écol. envisagée'!$G$779,0), IF('Eval-Avec act. écol. envisagée'!$A$780=DY18,'Eval-Avec act. écol. envisagée'!$G$780,0))/ COUNTIF('Eval-Avec act. écol. envisagée'!$A$761:$A$780,DY18)),"")</f>
        <v/>
      </c>
      <c r="EC18" s="212" t="str">
        <f>IF(COUNTIF('Eval-Avec act. écol. envisagée'!$A$761:$A$780,DY18)&gt;0,IF(SUM(IF('Eval-Avec act. écol. envisagée'!$A$761=DY18,COUNTA('Eval-Avec act. écol. envisagée'!$H$761),0),IF('Eval-Avec act. écol. envisagée'!$A$762=DY18,COUNTA('Eval-Avec act. écol. envisagée'!$H$762),0),IF('Eval-Avec act. écol. envisagée'!$A$763=DY18,COUNTA('Eval-Avec act. écol. envisagée'!$H$763),0),IF('Eval-Avec act. écol. envisagée'!$A$764=DY18,COUNTA('Eval-Avec act. écol. envisagée'!$H$764),0),IF('Eval-Avec act. écol. envisagée'!$A$765=DY18,COUNTA('Eval-Avec act. écol. envisagée'!$H$765),0),IF('Eval-Avec act. écol. envisagée'!$A$766=DY18,COUNTA('Eval-Avec act. écol. envisagée'!$H$766),0),IF('Eval-Avec act. écol. envisagée'!$A$767=DY18,COUNTA('Eval-Avec act. écol. envisagée'!$H$767),0),IF('Eval-Avec act. écol. envisagée'!$A$768=DY18,COUNTA('Eval-Avec act. écol. envisagée'!$H$768),0),IF('Eval-Avec act. écol. envisagée'!$A$769=DY18,COUNTA('Eval-Avec act. écol. envisagée'!$H$769),0),IF('Eval-Avec act. écol. envisagée'!$A$770=DY18,COUNTA('Eval-Avec act. écol. envisagée'!$H$770),0),IF('Eval-Avec act. écol. envisagée'!$A$771=DY18,COUNTA('Eval-Avec act. écol. envisagée'!$H$771),0),IF('Eval-Avec act. écol. envisagée'!$A$772=DY18,COUNTA('Eval-Avec act. écol. envisagée'!$H$772),0),IF('Eval-Avec act. écol. envisagée'!$A$773=DY18,COUNTA('Eval-Avec act. écol. envisagée'!$H$773),0),IF('Eval-Avec act. écol. envisagée'!$A$774=DY18,COUNTA('Eval-Avec act. écol. envisagée'!$H$774),0),IF('Eval-Avec act. écol. envisagée'!$A$775=DY18,COUNTA('Eval-Avec act. écol. envisagée'!$H$775),0),IF('Eval-Avec act. écol. envisagée'!$A$776=DY18,COUNTA('Eval-Avec act. écol. envisagée'!$H$776),0),IF('Eval-Avec act. écol. envisagée'!$A$777=DY18,COUNTA('Eval-Avec act. écol. envisagée'!$H$777),0),IF('Eval-Avec act. écol. envisagée'!$A$778=DY18,COUNTA('Eval-Avec act. écol. envisagée'!$H$778),0),IF('Eval-Avec act. écol. envisagée'!$A$779=DY18,COUNTA('Eval-Avec act. écol. envisagée'!$H$779),0),IF('Eval-Avec act. écol. envisagée'!$A$780=DY18,COUNTA('Eval-Avec act. écol. envisagée'!$H$780),0))&gt;0,"X",0),"")</f>
        <v/>
      </c>
      <c r="ED18" s="213" t="str">
        <f>IF(COUNTIF('Eval-Avec act. écol. envisagée'!$A$761:$A$780,DY18)&gt;0,IF(SUM(IF('Eval-Avec act. écol. envisagée'!$A$761=DY18,COUNTA('Eval-Avec act. écol. envisagée'!$I$761),0),IF('Eval-Avec act. écol. envisagée'!$A$762=DY18,COUNTA('Eval-Avec act. écol. envisagée'!$I$762),0),IF('Eval-Avec act. écol. envisagée'!$A$763=DY18,COUNTA('Eval-Avec act. écol. envisagée'!$I$763),0),IF('Eval-Avec act. écol. envisagée'!$A$764=DY18,COUNTA('Eval-Avec act. écol. envisagée'!$I$764),0),IF('Eval-Avec act. écol. envisagée'!$A$765=DY18,COUNTA('Eval-Avec act. écol. envisagée'!$I$765),0),IF('Eval-Avec act. écol. envisagée'!$A$766=DY18,COUNTA('Eval-Avec act. écol. envisagée'!$I$766),0),IF('Eval-Avec act. écol. envisagée'!$A$767=DY18,COUNTA('Eval-Avec act. écol. envisagée'!$I$767),0),IF('Eval-Avec act. écol. envisagée'!$A$768=DY18,COUNTA('Eval-Avec act. écol. envisagée'!$I$768),0),IF('Eval-Avec act. écol. envisagée'!$A$769=DY18,COUNTA('Eval-Avec act. écol. envisagée'!$I$769),0),IF('Eval-Avec act. écol. envisagée'!$A$770=DY18,COUNTA('Eval-Avec act. écol. envisagée'!$I$770),0),IF('Eval-Avec act. écol. envisagée'!$A$771=DY18,COUNTA('Eval-Avec act. écol. envisagée'!$I$771),0),IF('Eval-Avec act. écol. envisagée'!$A$772=DY18,COUNTA('Eval-Avec act. écol. envisagée'!$I$772),0),IF('Eval-Avec act. écol. envisagée'!$A$773=DY18,COUNTA('Eval-Avec act. écol. envisagée'!$I$773),0),IF('Eval-Avec act. écol. envisagée'!$A$774=DY18,COUNTA('Eval-Avec act. écol. envisagée'!$I$774),0),IF('Eval-Avec act. écol. envisagée'!$A$775=DY18,COUNTA('Eval-Avec act. écol. envisagée'!$I$775),0),IF('Eval-Avec act. écol. envisagée'!$A$776=DY18,COUNTA('Eval-Avec act. écol. envisagée'!$I$776),0),IF('Eval-Avec act. écol. envisagée'!$A$777=DY18,COUNTA('Eval-Avec act. écol. envisagée'!$I$777),0),IF('Eval-Avec act. écol. envisagée'!$A$778=DY18,COUNTA('Eval-Avec act. écol. envisagée'!$I$778),0),IF('Eval-Avec act. écol. envisagée'!$A$779=DY18,COUNTA('Eval-Avec act. écol. envisagée'!$I$779),0),IF('Eval-Avec act. écol. envisagée'!$A$780=DY18,COUNTA('Eval-Avec act. écol. envisagée'!$I$780),0))&gt;0,"X",0),"")</f>
        <v/>
      </c>
      <c r="EE18" s="213" t="str">
        <f>IF(COUNTIF('Eval-Avec act. écol. envisagée'!$A$761:$A$780,DY18)&gt;0,IF(SUM(IF('Eval-Avec act. écol. envisagée'!$A$761=DY18,COUNTA('Eval-Avec act. écol. envisagée'!$J$761),0),IF('Eval-Avec act. écol. envisagée'!$A$762=DY18,COUNTA('Eval-Avec act. écol. envisagée'!$J$762),0),IF('Eval-Avec act. écol. envisagée'!$A$763=DY18,COUNTA('Eval-Avec act. écol. envisagée'!$J$763),0),IF('Eval-Avec act. écol. envisagée'!$A$764=DY18,COUNTA('Eval-Avec act. écol. envisagée'!$J$764),0),IF('Eval-Avec act. écol. envisagée'!$A$765=DY18,COUNTA('Eval-Avec act. écol. envisagée'!$J$765),0),IF('Eval-Avec act. écol. envisagée'!$A$766=DY18,COUNTA('Eval-Avec act. écol. envisagée'!$J$766),0),IF('Eval-Avec act. écol. envisagée'!$A$767=DY18,COUNTA('Eval-Avec act. écol. envisagée'!$J$767),0),IF('Eval-Avec act. écol. envisagée'!$A$768=DY18,COUNTA('Eval-Avec act. écol. envisagée'!$J$768),0),IF('Eval-Avec act. écol. envisagée'!$A$769=DY18,COUNTA('Eval-Avec act. écol. envisagée'!$J$769),0),IF('Eval-Avec act. écol. envisagée'!$A$770=DY18,COUNTA('Eval-Avec act. écol. envisagée'!$J$770),0),IF('Eval-Avec act. écol. envisagée'!$A$771=DY18,COUNTA('Eval-Avec act. écol. envisagée'!$J$771),0),IF('Eval-Avec act. écol. envisagée'!$A$772=DY18,COUNTA('Eval-Avec act. écol. envisagée'!$J$772),0),IF('Eval-Avec act. écol. envisagée'!$A$773=DY18,COUNTA('Eval-Avec act. écol. envisagée'!$J$773),0),IF('Eval-Avec act. écol. envisagée'!$A$774=DY18,COUNTA('Eval-Avec act. écol. envisagée'!$J$774),0),IF('Eval-Avec act. écol. envisagée'!$A$775=DY18,COUNTA('Eval-Avec act. écol. envisagée'!$J$775),0),IF('Eval-Avec act. écol. envisagée'!$A$776=DY18,COUNTA('Eval-Avec act. écol. envisagée'!$J$776),0),IF('Eval-Avec act. écol. envisagée'!$A$777=DY18,COUNTA('Eval-Avec act. écol. envisagée'!$J$777),0),IF('Eval-Avec act. écol. envisagée'!$A$778=DY18,COUNTA('Eval-Avec act. écol. envisagée'!$J$778),0),IF('Eval-Avec act. écol. envisagée'!$A$779=DY18,COUNTA('Eval-Avec act. écol. envisagée'!$J$779),0),IF('Eval-Avec act. écol. envisagée'!$A$780=DY18,COUNTA('Eval-Avec act. écol. envisagée'!$J$780),0))&gt;0,"X",0),"")</f>
        <v/>
      </c>
      <c r="EF18" s="213" t="str">
        <f>IF(COUNTIF('Eval-Avec act. écol. envisagée'!$A$761:$A$780,DY18)&gt;0,IF(SUM(IF('Eval-Avec act. écol. envisagée'!$A$761=DY18,COUNTA('Eval-Avec act. écol. envisagée'!$K$761),0),IF('Eval-Avec act. écol. envisagée'!$A$762=DY18,COUNTA('Eval-Avec act. écol. envisagée'!$K$762),0),IF('Eval-Avec act. écol. envisagée'!$A$763=DY18,COUNTA('Eval-Avec act. écol. envisagée'!$K$763),0),IF('Eval-Avec act. écol. envisagée'!$A$764=DY18,COUNTA('Eval-Avec act. écol. envisagée'!$K$764),0),IF('Eval-Avec act. écol. envisagée'!$A$765=DY18,COUNTA('Eval-Avec act. écol. envisagée'!$K$765),0),IF('Eval-Avec act. écol. envisagée'!$A$766=DY18,COUNTA('Eval-Avec act. écol. envisagée'!$K$766),0),IF('Eval-Avec act. écol. envisagée'!$A$767=DY18,COUNTA('Eval-Avec act. écol. envisagée'!$K$767),0),IF('Eval-Avec act. écol. envisagée'!$A$768=DY18,COUNTA('Eval-Avec act. écol. envisagée'!$K$768),0),IF('Eval-Avec act. écol. envisagée'!$A$769=DY18,COUNTA('Eval-Avec act. écol. envisagée'!$K$769),0),IF('Eval-Avec act. écol. envisagée'!$A$770=DY18,COUNTA('Eval-Avec act. écol. envisagée'!$K$770),0),IF('Eval-Avec act. écol. envisagée'!$A$771=DY18,COUNTA('Eval-Avec act. écol. envisagée'!$K$771),0),IF('Eval-Avec act. écol. envisagée'!$A$772=DY18,COUNTA('Eval-Avec act. écol. envisagée'!$K$772),0),IF('Eval-Avec act. écol. envisagée'!$A$773=DY18,COUNTA('Eval-Avec act. écol. envisagée'!$K$773),0),IF('Eval-Avec act. écol. envisagée'!$A$774=DY18,COUNTA('Eval-Avec act. écol. envisagée'!$K$774),0),IF('Eval-Avec act. écol. envisagée'!$A$775=DY18,COUNTA('Eval-Avec act. écol. envisagée'!$K$775),0),IF('Eval-Avec act. écol. envisagée'!$A$776=DY18,COUNTA('Eval-Avec act. écol. envisagée'!$K$776),0),IF('Eval-Avec act. écol. envisagée'!$A$777=DY18,COUNTA('Eval-Avec act. écol. envisagée'!$K$777),0),IF('Eval-Avec act. écol. envisagée'!$A$778=DY18,COUNTA('Eval-Avec act. écol. envisagée'!$K$778),0),IF('Eval-Avec act. écol. envisagée'!$A$779=DY18,COUNTA('Eval-Avec act. écol. envisagée'!$K$779),0),IF('Eval-Avec act. écol. envisagée'!$A$780=DY18,COUNTA('Eval-Avec act. écol. envisagée'!$K$780),0))&gt;0,"X",0),"")</f>
        <v/>
      </c>
      <c r="EG18" s="211" t="str">
        <f>IF(COUNTIF('Eval-Avec act. écol. envisagée'!$A$761:$A$780,DY18)&gt;0,IF(OR(AND('Eval-Avec act. écol. envisagée'!$A$761=DY18,'Eval-Avec act. écol. envisagée'!$L$761&lt;120,'Eval-Avec act. écol. envisagée'!$L$761&gt;=EV9),AND('Eval-Avec act. écol. envisagée'!$A$762=DY18,'Eval-Avec act. écol. envisagée'!$L$762&lt;120,'Eval-Avec act. écol. envisagée'!$L$762&gt;=EV10),AND('Eval-Avec act. écol. envisagée'!$A$763=DY18,'Eval-Avec act. écol. envisagée'!$L$763&lt;120,'Eval-Avec act. écol. envisagée'!$L$763&gt;=EV11),AND('Eval-Avec act. écol. envisagée'!$A$764=DY18,'Eval-Avec act. écol. envisagée'!$L$764&lt;120,'Eval-Avec act. écol. envisagée'!$L$764&gt;=EV12),AND('Eval-Avec act. écol. envisagée'!$A$765=DY18,'Eval-Avec act. écol. envisagée'!$L$765&lt;120,'Eval-Avec act. écol. envisagée'!$L$765&gt;=EV13),AND('Eval-Avec act. écol. envisagée'!$A$766=DY18,'Eval-Avec act. écol. envisagée'!$L$766&lt;120,'Eval-Avec act. écol. envisagée'!$L$766&gt;=EV14),AND('Eval-Avec act. écol. envisagée'!$A$767=DY18,'Eval-Avec act. écol. envisagée'!$L$767&lt;120,'Eval-Avec act. écol. envisagée'!$L$767&gt;=EV15),AND('Eval-Avec act. écol. envisagée'!$A$768=DY18,'Eval-Avec act. écol. envisagée'!$L$768&lt;120,'Eval-Avec act. écol. envisagée'!$L$768&gt;=EV16),AND('Eval-Avec act. écol. envisagée'!$A$769=DY18,'Eval-Avec act. écol. envisagée'!$L$769&lt;120,'Eval-Avec act. écol. envisagée'!$L$769&gt;=EV17),AND('Eval-Avec act. écol. envisagée'!$A$770=DY18,'Eval-Avec act. écol. envisagée'!$L$770&lt;120,'Eval-Avec act. écol. envisagée'!$L$770&gt;=EV18),AND('Eval-Avec act. écol. envisagée'!$A$771=DY18,'Eval-Avec act. écol. envisagée'!$L$771&lt;120,'Eval-Avec act. écol. envisagée'!$L$771&gt;=EV19),AND('Eval-Avec act. écol. envisagée'!$A$772=DY18,'Eval-Avec act. écol. envisagée'!$L$772&lt;120,'Eval-Avec act. écol. envisagée'!$L$772&gt;=EV20),AND('Eval-Avec act. écol. envisagée'!$A$773=DY18,'Eval-Avec act. écol. envisagée'!$L$773&lt;120,'Eval-Avec act. écol. envisagée'!$L$773&gt;=EV21),AND('Eval-Avec act. écol. envisagée'!$A$774=DY18,'Eval-Avec act. écol. envisagée'!$L$774&lt;120,'Eval-Avec act. écol. envisagée'!$L$774&gt;=EV22),AND('Eval-Avec act. écol. envisagée'!$A$775=DY18,'Eval-Avec act. écol. envisagée'!$L$775&lt;120,'Eval-Avec act. écol. envisagée'!$L$775&gt;=EV23),AND('Eval-Avec act. écol. envisagée'!$A$776=DY18,'Eval-Avec act. écol. envisagée'!$L$776&lt;120,'Eval-Avec act. écol. envisagée'!$L$776&gt;=EV24),AND('Eval-Avec act. écol. envisagée'!$A$777=DY18,'Eval-Avec act. écol. envisagée'!$L$777&lt;120,'Eval-Avec act. écol. envisagée'!$L$777&gt;=EV25),AND('Eval-Avec act. écol. envisagée'!$A$778=DY18,'Eval-Avec act. écol. envisagée'!$L$778&lt;120,'Eval-Avec act. écol. envisagée'!$L$778&gt;=EV26),AND('Eval-Avec act. écol. envisagée'!$A$779=DY18,'Eval-Avec act. écol. envisagée'!$L$779&lt;120,'Eval-Avec act. écol. envisagée'!$L$779&gt;=EV27),AND('Eval-Avec act. écol. envisagée'!$A$780=DY18,'Eval-Avec act. écol. envisagée'!$L$780&lt;120,'Eval-Avec act. écol. envisagée'!$L$780&gt;=EV28)),"",SUM(IF('Eval-Avec act. écol. envisagée'!$A$761=DY18,'Eval-Avec act. écol. envisagée'!$L$761,0),IF('Eval-Avec act. écol. envisagée'!$A$762=DY18,'Eval-Avec act. écol. envisagée'!$L$762,0),IF('Eval-Avec act. écol. envisagée'!$A$763=DY18,'Eval-Avec act. écol. envisagée'!$L$763,0),IF('Eval-Avec act. écol. envisagée'!$A$764=DY18,'Eval-Avec act. écol. envisagée'!$L$764,0),IF('Eval-Avec act. écol. envisagée'!$A$765=DY18,'Eval-Avec act. écol. envisagée'!$L$765,0),IF('Eval-Avec act. écol. envisagée'!$A$766=DY18,'Eval-Avec act. écol. envisagée'!$L$766,0),IF('Eval-Avec act. écol. envisagée'!$A$767=DY18,'Eval-Avec act. écol. envisagée'!$L$767,0),IF('Eval-Avec act. écol. envisagée'!$A$768=DY18,'Eval-Avec act. écol. envisagée'!$L$768,0),IF('Eval-Avec act. écol. envisagée'!$A$769=DY18,'Eval-Avec act. écol. envisagée'!$L$769,0),IF('Eval-Avec act. écol. envisagée'!$A$770=DY18,'Eval-Avec act. écol. envisagée'!$L$770,0),IF('Eval-Avec act. écol. envisagée'!$A$771=DY18,'Eval-Avec act. écol. envisagée'!$L$771,0),IF('Eval-Avec act. écol. envisagée'!$A$772=DY18,'Eval-Avec act. écol. envisagée'!$L$772,0),IF('Eval-Avec act. écol. envisagée'!$A$773=DY18,'Eval-Avec act. écol. envisagée'!$L$773,0),IF('Eval-Avec act. écol. envisagée'!$A$774=DY18,'Eval-Avec act. écol. envisagée'!$L$774,0),IF('Eval-Avec act. écol. envisagée'!$A$775=DY18,'Eval-Avec act. écol. envisagée'!$L$775,0),IF('Eval-Avec act. écol. envisagée'!$A$776=DY18,'Eval-Avec act. écol. envisagée'!$L$776,0),IF('Eval-Avec act. écol. envisagée'!$A$777=DY18,'Eval-Avec act. écol. envisagée'!$L$777,0),IF('Eval-Avec act. écol. envisagée'!$A$778=DY18,'Eval-Avec act. écol. envisagée'!$L$778,0),IF('Eval-Avec act. écol. envisagée'!$A$779=DY18,'Eval-Avec act. écol. envisagée'!$L$779,0),IF('Eval-Avec act. écol. envisagée'!$A$780=DY18,'Eval-Avec act. écol. envisagée'!$L$780,0))/ COUNTIF('Eval-Avec act. écol. envisagée'!$A$761:$A$780,DY18)),"")</f>
        <v/>
      </c>
      <c r="EH18" s="211" t="str">
        <f>IF(COUNTIF('Eval-Avec act. écol. envisagée'!$A$761:$A$780,DY18)&gt;0,IF(OR(AND('Eval-Avec act. écol. envisagée'!$A$761=DY18, EV9&lt;120),AND(EV10&lt;120),AND(EV11&lt;120),AND(EV12&lt;120),AND(EV13&lt;120),AND(EV14&lt;120),AND(EV15&lt;120),AND(EV16&lt;120),AND(EV17&lt;120),AND(EV18&lt;120),AND(EV19&lt;120),AND(EV20&lt;120),AND(EV21&lt;120),AND(EV22&lt;120),AND(EV23&lt;120),AND(EV24&lt;120),AND(EV25&lt;120),AND(EV26&lt;120),AND(EV27&lt;120),AND(EV28&lt;120)),"",SUM(IF('Eval-Avec act. écol. envisagée'!$A$761=DY18,'Eval-Avec act. écol. envisagée'!$M$761,0),IF('Eval-Avec act. écol. envisagée'!$A$762=DY18,'Eval-Avec act. écol. envisagée'!$M$762,0),IF('Eval-Avec act. écol. envisagée'!$A$763=DY18,'Eval-Avec act. écol. envisagée'!$M$763,0),IF('Eval-Avec act. écol. envisagée'!$A$764=DY18,'Eval-Avec act. écol. envisagée'!$M$764,0),IF('Eval-Avec act. écol. envisagée'!$A$765=DY18,'Eval-Avec act. écol. envisagée'!$M$765,0),IF('Eval-Avec act. écol. envisagée'!$A$766=DY18,'Eval-Avec act. écol. envisagée'!$M$766,0),IF('Eval-Avec act. écol. envisagée'!$A$767=DY18,'Eval-Avec act. écol. envisagée'!$M$767,0),IF('Eval-Avec act. écol. envisagée'!$A$768=DY18,'Eval-Avec act. écol. envisagée'!$M$768,0),IF('Eval-Avec act. écol. envisagée'!$A$769=DY18,'Eval-Avec act. écol. envisagée'!$M$769,0),IF('Eval-Avec act. écol. envisagée'!$A$770=DY18,'Eval-Avec act. écol. envisagée'!$M$770,0),IF('Eval-Avec act. écol. envisagée'!$A$771=DY18,'Eval-Avec act. écol. envisagée'!$M$771,0),IF('Eval-Avec act. écol. envisagée'!$A$772=DY18,'Eval-Avec act. écol. envisagée'!$M$772,0),IF('Eval-Avec act. écol. envisagée'!$A$773=DY18,'Eval-Avec act. écol. envisagée'!$M$773,0),IF('Eval-Avec act. écol. envisagée'!$A$774=DY18,'Eval-Avec act. écol. envisagée'!$M$774,0),IF('Eval-Avec act. écol. envisagée'!$A$775=DY18,'Eval-Avec act. écol. envisagée'!$M$775,0), IF('Eval-Avec act. écol. envisagée'!$A$776=DY18,'Eval-Avec act. écol. envisagée'!$M$776,0), IF('Eval-Avec act. écol. envisagée'!$A$777=DY18,'Eval-Avec act. écol. envisagée'!$M$777,0), IF('Eval-Avec act. écol. envisagée'!$A$778=DY18,'Eval-Avec act. écol. envisagée'!$M$778,0), IF('Eval-Avec act. écol. envisagée'!$A$779=DY18,'Eval-Avec act. écol. envisagée'!$M$779,0), IF('Eval-Avec act. écol. envisagée'!$A$780=DY18,'Eval-Avec act. écol. envisagée'!$M$780,0))/COUNTIF('Eval-Avec act. écol. envisagée'!$A$761:$A$780,DY18)),"")</f>
        <v/>
      </c>
      <c r="EI18" s="211" t="str">
        <f>IF(COUNTIF('Eval-Avec act. écol. envisagée'!$A$761:$A$780,DY18)&gt;0,SUM(IF('Eval-Avec act. écol. envisagée'!$A$761=DY18,LEN(SUBSTITUTE((SUBSTITUTE(EX9,"TM","")),"TS",""))*10/2,0),IF('Eval-Avec act. écol. envisagée'!$A$762=DY18,LEN(SUBSTITUTE((SUBSTITUTE(EX10,"TM","")),"TS",""))*10/2,0),IF('Eval-Avec act. écol. envisagée'!$A$763=DY18,LEN(SUBSTITUTE((SUBSTITUTE(EX11,"TM","")),"TS",""))*10/2,0),IF('Eval-Avec act. écol. envisagée'!$A$764=DY18,LEN(SUBSTITUTE((SUBSTITUTE(EX12,"TM","")),"TS",""))*10/2,0),IF('Eval-Avec act. écol. envisagée'!$A$765=DY18,LEN(SUBSTITUTE((SUBSTITUTE(EX13,"TM","")),"TS",""))*10/2,0),IF('Eval-Avec act. écol. envisagée'!$A$766=DY18,LEN(SUBSTITUTE((SUBSTITUTE(EX14,"TM","")),"TS",""))*10/2,0),IF('Eval-Avec act. écol. envisagée'!$A$767=DY18,LEN(SUBSTITUTE((SUBSTITUTE(EX15,"TM","")),"TS",""))*10/2,0),IF('Eval-Avec act. écol. envisagée'!$A$768=DY18,LEN(SUBSTITUTE((SUBSTITUTE(EX16,"TM","")),"TS",""))*10/2,0),IF('Eval-Avec act. écol. envisagée'!$A$769=DY18,LEN(SUBSTITUTE((SUBSTITUTE(EX17,"TM","")),"TS",""))*10/2,0),IF('Eval-Avec act. écol. envisagée'!$A$770=DY18,LEN(SUBSTITUTE((SUBSTITUTE(EX18,"TM","")),"TS",""))*10/2,0),IF('Eval-Avec act. écol. envisagée'!$A$771=DY18,LEN(SUBSTITUTE((SUBSTITUTE(EX19,"TM","")),"TS",""))*10/2,0),IF('Eval-Avec act. écol. envisagée'!$A$772=DY18,LEN(SUBSTITUTE((SUBSTITUTE(EX20,"TM","")),"TS",""))*10/2,0),IF('Eval-Avec act. écol. envisagée'!$A$773=DY18,LEN(SUBSTITUTE((SUBSTITUTE(EX21,"TM","")),"TS",""))*10/2,0),IF('Eval-Avec act. écol. envisagée'!$A$774=DY18,LEN(SUBSTITUTE((SUBSTITUTE(EX22,"TM","")),"TS",""))*10/2,0),IF('Eval-Avec act. écol. envisagée'!$A$775=DY18,LEN(SUBSTITUTE((SUBSTITUTE(EX23,"TM","")),"TS",""))*10/2,0),IF('Eval-Avec act. écol. envisagée'!$A$776=DY18,LEN(SUBSTITUTE((SUBSTITUTE(EX24,"TM","")),"TS",""))*10/2,0),IF('Eval-Avec act. écol. envisagée'!$A$777=DY18,LEN(SUBSTITUTE((SUBSTITUTE(EX25,"TM","")),"TS",""))*10/2,0),IF('Eval-Avec act. écol. envisagée'!$A$778=DY18,LEN(SUBSTITUTE((SUBSTITUTE(EX26,"TM","")),"TS",""))*10/2,0),IF('Eval-Avec act. écol. envisagée'!$A$779=DY18,LEN(SUBSTITUTE((SUBSTITUTE(EX27,"TM","")),"TS",""))*10/2,0),IF('Eval-Avec act. écol. envisagée'!$A$780=DY18,LEN(SUBSTITUTE((SUBSTITUTE(EX28,"TM","")),"TS",""))*10/2,0))/COUNTIF('Eval-Avec act. écol. envisagée'!$A$761:$A$780,DY18),"")</f>
        <v/>
      </c>
      <c r="EJ18" s="211" t="str">
        <f>IF(COUNTIF('Eval-Avec act. écol. envisagée'!$A$761:$A$780,DY18)&gt;0,SUM(IF('Eval-Avec act. écol. envisagée'!$A$761=DY18,LEN(SUBSTITUTE((SUBSTITUTE(EX9,"TF","")),"TS",""))*10/2,0),IF('Eval-Avec act. écol. envisagée'!$A$762=DY18,LEN(SUBSTITUTE((SUBSTITUTE(EX10,"TF","")),"TS",""))*10/2,0),IF('Eval-Avec act. écol. envisagée'!$A$763=DY18,LEN(SUBSTITUTE((SUBSTITUTE(EX11,"TF","")),"TS",""))*10/2,0),IF('Eval-Avec act. écol. envisagée'!$A$764=DY18,LEN(SUBSTITUTE((SUBSTITUTE(EX12,"TF","")),"TS",""))*10/2,0),IF('Eval-Avec act. écol. envisagée'!$A$765=DY18,LEN(SUBSTITUTE((SUBSTITUTE(EX13,"TF","")),"TS",""))*10/2,0),IF('Eval-Avec act. écol. envisagée'!$A$766=DY18,LEN(SUBSTITUTE((SUBSTITUTE(EX14,"TF","")),"TS",""))*10/2,0),IF('Eval-Avec act. écol. envisagée'!$A$767=DY18,LEN(SUBSTITUTE((SUBSTITUTE(EX15,"TF","")),"TS",""))*10/2,0),IF('Eval-Avec act. écol. envisagée'!$A$768=DY18,LEN(SUBSTITUTE((SUBSTITUTE(EX16,"TF","")),"TS",""))*10/2,0),IF('Eval-Avec act. écol. envisagée'!$A$769=DY18,LEN(SUBSTITUTE((SUBSTITUTE(EX17,"TF","")),"TS",""))*10/2,0),IF('Eval-Avec act. écol. envisagée'!$A$770=DY18,LEN(SUBSTITUTE((SUBSTITUTE(EX18,"TF","")),"TS",""))*10/2,0),IF('Eval-Avec act. écol. envisagée'!$A$771=DY18,LEN(SUBSTITUTE((SUBSTITUTE(EX19,"TF","")),"TS",""))*10/2,0),IF('Eval-Avec act. écol. envisagée'!$A$772=DY18,LEN(SUBSTITUTE((SUBSTITUTE(EX20,"TF","")),"TS",""))*10/2,0),IF('Eval-Avec act. écol. envisagée'!$A$773=DY18,LEN(SUBSTITUTE((SUBSTITUTE(EX21,"TF","")),"TS",""))*10/2,0),IF('Eval-Avec act. écol. envisagée'!$A$774=DY18,LEN(SUBSTITUTE((SUBSTITUTE(EX22,"TF","")),"TS",""))*10/2,0),IF('Eval-Avec act. écol. envisagée'!$A$775=DY18,LEN(SUBSTITUTE((SUBSTITUTE(EX23,"TF","")),"TS",""))*10/2,0),IF('Eval-Avec act. écol. envisagée'!$A$776=DY18,LEN(SUBSTITUTE((SUBSTITUTE(EX24,"TF","")),"TS",""))*10/2,0),IF('Eval-Avec act. écol. envisagée'!$A$777=DY18,LEN(SUBSTITUTE((SUBSTITUTE(EX25,"TF","")),"TS",""))*10/2,0),IF('Eval-Avec act. écol. envisagée'!$A$778=DY18,LEN(SUBSTITUTE((SUBSTITUTE(EX26,"TF","")),"TS",""))*10/2,0),IF('Eval-Avec act. écol. envisagée'!$A$779=DY18,LEN(SUBSTITUTE((SUBSTITUTE(EX27,"TF","")),"TS",""))*10/2,0),IF('Eval-Avec act. écol. envisagée'!$A$780=DY18,LEN(SUBSTITUTE((SUBSTITUTE(EX28,"TF","")),"TS",""))*10/2,0))/COUNTIF('Eval-Avec act. écol. envisagée'!$A$761:$A$780,DY18),"")</f>
        <v/>
      </c>
      <c r="EK18" s="211" t="str">
        <f>IF(COUNTIF('Eval-Avec act. écol. envisagée'!$A$761:$A$780,DY18)&gt;0,SUM(IF('Eval-Avec act. écol. envisagée'!$A$761=DY18,LEN(SUBSTITUTE((SUBSTITUTE(EX9,"TF","")),"TM",""))*10/2,0),IF('Eval-Avec act. écol. envisagée'!$A$762=DY18,LEN(SUBSTITUTE((SUBSTITUTE(EX10,"TF","")),"TM",""))*10/2,0),IF('Eval-Avec act. écol. envisagée'!$A$763=DY18,LEN(SUBSTITUTE((SUBSTITUTE(EX11,"TF","")),"TM",""))*10/2,0),IF('Eval-Avec act. écol. envisagée'!$A$764=DY18,LEN(SUBSTITUTE((SUBSTITUTE(EX12,"TF","")),"TM",""))*10/2,0),IF('Eval-Avec act. écol. envisagée'!$A$765=DY18,LEN(SUBSTITUTE((SUBSTITUTE(EX13,"TF","")),"TM",""))*10/2,0),IF('Eval-Avec act. écol. envisagée'!$A$766=DY18,LEN(SUBSTITUTE((SUBSTITUTE(EX14,"TF","")),"TM",""))*10/2,0),IF('Eval-Avec act. écol. envisagée'!$A$767=DY18,LEN(SUBSTITUTE((SUBSTITUTE(EX15,"TF","")),"TM",""))*10/2,0),IF('Eval-Avec act. écol. envisagée'!$A$768=DY18,LEN(SUBSTITUTE((SUBSTITUTE(EX16,"TF","")),"TM",""))*10/2,0),IF('Eval-Avec act. écol. envisagée'!$A$769=DY18,LEN(SUBSTITUTE((SUBSTITUTE(EX17,"TF","")),"TM",""))*10/2,0),IF('Eval-Avec act. écol. envisagée'!$A$770=DY18,LEN(SUBSTITUTE((SUBSTITUTE(EX18,"TF","")),"TM",""))*10/2,0),IF('Eval-Avec act. écol. envisagée'!$A$771=DY18,LEN(SUBSTITUTE((SUBSTITUTE(EX19,"TF","")),"TM",""))*10/2,0),IF('Eval-Avec act. écol. envisagée'!$A$772=DY18,LEN(SUBSTITUTE((SUBSTITUTE(EX20,"TF","")),"TM",""))*10/2,0),IF('Eval-Avec act. écol. envisagée'!$A$773=DY18,LEN(SUBSTITUTE((SUBSTITUTE(EX21,"TF","")),"TM",""))*10/2,0),IF('Eval-Avec act. écol. envisagée'!$A$774=DY18,LEN(SUBSTITUTE((SUBSTITUTE(EX22,"TF","")),"TM",""))*10/2,0),IF('Eval-Avec act. écol. envisagée'!$A$775=DY18,LEN(SUBSTITUTE((SUBSTITUTE(EX23,"TF","")),"TM",""))*10/2,0),IF('Eval-Avec act. écol. envisagée'!$A$776=DY18,LEN(SUBSTITUTE((SUBSTITUTE(EX24,"TF","")),"TM",""))*10/2,0),IF('Eval-Avec act. écol. envisagée'!$A$777=DY18,LEN(SUBSTITUTE((SUBSTITUTE(EX25,"TF","")),"TM",""))*10/2,0),IF('Eval-Avec act. écol. envisagée'!$A$778=DY18,LEN(SUBSTITUTE((SUBSTITUTE(EX26,"TF","")),"TM",""))*10/2,0),IF('Eval-Avec act. écol. envisagée'!$A$779=DY18,LEN(SUBSTITUTE((SUBSTITUTE(EX27,"TF","")),"TM",""))*10/2,0),IF('Eval-Avec act. écol. envisagée'!$A$780=DY18,LEN(SUBSTITUTE((SUBSTITUTE(EX28,"TF","")),"TM",""))*10/2,0))/COUNTIF('Eval-Avec act. écol. envisagée'!$A$761:$A$780,DY18),"")</f>
        <v/>
      </c>
      <c r="EL18" s="211" t="str">
        <f>IF(COUNTIF('Eval-Avec act. écol. envisagée'!$A$761:$A$780,DY18)&gt;0,SUM(IF('Eval-Avec act. écol. envisagée'!$A$761=DY18,LEN(SUBSTITUTE((SUBSTITUTE(EY9,"TM","")),"TS",""))*10/2,0),IF('Eval-Avec act. écol. envisagée'!$A$762=DY18,LEN(SUBSTITUTE((SUBSTITUTE(EY10,"TM","")),"TS",""))*10/2,0),IF('Eval-Avec act. écol. envisagée'!$A$763=DY18,LEN(SUBSTITUTE((SUBSTITUTE(EY11,"TM","")),"TS",""))*10/2,0),IF('Eval-Avec act. écol. envisagée'!$A$764=DY18,LEN(SUBSTITUTE((SUBSTITUTE(EY12,"TM","")),"TS",""))*10/2,0),IF('Eval-Avec act. écol. envisagée'!$A$765=DY18,LEN(SUBSTITUTE((SUBSTITUTE(EY13,"TM","")),"TS",""))*10/2,0),IF('Eval-Avec act. écol. envisagée'!$A$766=DY18,LEN(SUBSTITUTE((SUBSTITUTE(EY14,"TM","")),"TS",""))*10/2,0),IF('Eval-Avec act. écol. envisagée'!$A$767=DY18,LEN(SUBSTITUTE((SUBSTITUTE(EY15,"TM","")),"TS",""))*10/2,0),IF('Eval-Avec act. écol. envisagée'!$A$768=DY18,LEN(SUBSTITUTE((SUBSTITUTE(EY16,"TM","")),"TS",""))*10/2,0),IF('Eval-Avec act. écol. envisagée'!$A$769=DY18,LEN(SUBSTITUTE((SUBSTITUTE(EY17,"TM","")),"TS",""))*10/2,0),IF('Eval-Avec act. écol. envisagée'!$A$770=DY18,LEN(SUBSTITUTE((SUBSTITUTE(EY18,"TM","")),"TS",""))*10/2,0),IF('Eval-Avec act. écol. envisagée'!$A$771=DY18,LEN(SUBSTITUTE((SUBSTITUTE(EY19,"TM","")),"TS",""))*10/2,0),IF('Eval-Avec act. écol. envisagée'!$A$772=DY18,LEN(SUBSTITUTE((SUBSTITUTE(EY20,"TM","")),"TS",""))*10/2,0),IF('Eval-Avec act. écol. envisagée'!$A$773=DY18,LEN(SUBSTITUTE((SUBSTITUTE(EY21,"TM","")),"TS",""))*10/2,0),IF('Eval-Avec act. écol. envisagée'!$A$774=DY18,LEN(SUBSTITUTE((SUBSTITUTE(EY22,"TM","")),"TS",""))*10/2,0),IF('Eval-Avec act. écol. envisagée'!$A$775=DY18,LEN(SUBSTITUTE((SUBSTITUTE(EY23,"TM","")),"TS",""))*10/2,0),IF('Eval-Avec act. écol. envisagée'!$A$776=DY18,LEN(SUBSTITUTE((SUBSTITUTE(EY24,"TM","")),"TS",""))*10/2,0),IF('Eval-Avec act. écol. envisagée'!$A$777=DY18,LEN(SUBSTITUTE((SUBSTITUTE(EY25,"TM","")),"TS",""))*10/2,0),IF('Eval-Avec act. écol. envisagée'!$A$778=DY18,LEN(SUBSTITUTE((SUBSTITUTE(EY26,"TM","")),"TS",""))*10/2,0),IF('Eval-Avec act. écol. envisagée'!$A$779=DY18,LEN(SUBSTITUTE((SUBSTITUTE(EY27,"TM","")),"TS",""))*10/2,0),IF('Eval-Avec act. écol. envisagée'!$A$780=DY18,LEN(SUBSTITUTE((SUBSTITUTE(EY28,"TM","")),"TS",""))*10/2,0))/COUNTIF('Eval-Avec act. écol. envisagée'!$A$761:$A$780,DY18),"")</f>
        <v/>
      </c>
      <c r="EM18" s="211" t="str">
        <f>IF(COUNTIF('Eval-Avec act. écol. envisagée'!$A$761:$A$780,DY18)&gt;0,SUM(IF('Eval-Avec act. écol. envisagée'!$A$761=DY18,LEN(SUBSTITUTE((SUBSTITUTE(EY9,"TF","")),"TS",""))*10/2,0),IF('Eval-Avec act. écol. envisagée'!$A$762=DY18,LEN(SUBSTITUTE((SUBSTITUTE(EY10,"TF","")),"TS",""))*10/2,0),IF('Eval-Avec act. écol. envisagée'!$A$763=DY18,LEN(SUBSTITUTE((SUBSTITUTE(EY11,"TF","")),"TS",""))*10/2,0),IF('Eval-Avec act. écol. envisagée'!$A$764=DY18,LEN(SUBSTITUTE((SUBSTITUTE(EY12,"TF","")),"TS",""))*10/2,0),IF('Eval-Avec act. écol. envisagée'!$A$765=DY18,LEN(SUBSTITUTE((SUBSTITUTE(EY13,"TF","")),"TS",""))*10/2,0),IF('Eval-Avec act. écol. envisagée'!$A$766=DY18,LEN(SUBSTITUTE((SUBSTITUTE(EY14,"TF","")),"TS",""))*10/2,0),IF('Eval-Avec act. écol. envisagée'!$A$767=DY18,LEN(SUBSTITUTE((SUBSTITUTE(EY15,"TF","")),"TS",""))*10/2,0),IF('Eval-Avec act. écol. envisagée'!$A$768=DY18,LEN(SUBSTITUTE((SUBSTITUTE(EY16,"TF","")),"TS",""))*10/2,0),IF('Eval-Avec act. écol. envisagée'!$A$769=DY18,LEN(SUBSTITUTE((SUBSTITUTE(EY17,"TF","")),"TS",""))*10/2,0),IF('Eval-Avec act. écol. envisagée'!$A$770=DY18,LEN(SUBSTITUTE((SUBSTITUTE(EY18,"TF","")),"TS",""))*10/2,0),IF('Eval-Avec act. écol. envisagée'!$A$771=DY18,LEN(SUBSTITUTE((SUBSTITUTE(EY19,"TF","")),"TS",""))*10/2,0),IF('Eval-Avec act. écol. envisagée'!$A$772=DY18,LEN(SUBSTITUTE((SUBSTITUTE(EY20,"TF","")),"TS",""))*10/2,0),IF('Eval-Avec act. écol. envisagée'!$A$773=DY18,LEN(SUBSTITUTE((SUBSTITUTE(EY21,"TF","")),"TS",""))*10/2,0),IF('Eval-Avec act. écol. envisagée'!$A$774=DY18,LEN(SUBSTITUTE((SUBSTITUTE(EY22,"TF","")),"TS",""))*10/2,0),IF('Eval-Avec act. écol. envisagée'!$A$775=DY18,LEN(SUBSTITUTE((SUBSTITUTE(EY23,"TF","")),"TS",""))*10/2,0),IF('Eval-Avec act. écol. envisagée'!$A$776=DY18,LEN(SUBSTITUTE((SUBSTITUTE(EY24,"TF","")),"TS",""))*10/2,0),IF('Eval-Avec act. écol. envisagée'!$A$777=DY18,LEN(SUBSTITUTE((SUBSTITUTE(EY25,"TF","")),"TS",""))*10/2,0),IF('Eval-Avec act. écol. envisagée'!$A$778=DY18,LEN(SUBSTITUTE((SUBSTITUTE(EY26,"TF","")),"TS",""))*10/2,0),IF('Eval-Avec act. écol. envisagée'!$A$779=DY18,LEN(SUBSTITUTE((SUBSTITUTE(EY27,"TF","")),"TS",""))*10/2,0),IF('Eval-Avec act. écol. envisagée'!$A$780=DY18,LEN(SUBSTITUTE((SUBSTITUTE(EY28,"TF","")),"TS",""))*10/2,0))/COUNTIF('Eval-Avec act. écol. envisagée'!$A$761:$A$780,DY18),"")</f>
        <v/>
      </c>
      <c r="EN18" s="211" t="str">
        <f>IF(COUNTIF('Eval-Avec act. écol. envisagée'!$A$761:$A$780,DY18)&gt;0,SUM(IF('Eval-Avec act. écol. envisagée'!$A$761=DY18,LEN(SUBSTITUTE((SUBSTITUTE(EY9,"TF","")),"TM",""))*10/2,0),IF('Eval-Avec act. écol. envisagée'!$A$762=DY18,LEN(SUBSTITUTE((SUBSTITUTE(EY10,"TF","")),"TM",""))*10/2,0),IF('Eval-Avec act. écol. envisagée'!$A$763=DY18,LEN(SUBSTITUTE((SUBSTITUTE(EY11,"TF","")),"TM",""))*10/2,0),IF('Eval-Avec act. écol. envisagée'!$A$764=DY18,LEN(SUBSTITUTE((SUBSTITUTE(EY12,"TF","")),"TM",""))*10/2,0),IF('Eval-Avec act. écol. envisagée'!$A$765=DY18,LEN(SUBSTITUTE((SUBSTITUTE(EY13,"TF","")),"TM",""))*10/2,0),IF('Eval-Avec act. écol. envisagée'!$A$766=DY18,LEN(SUBSTITUTE((SUBSTITUTE(EY14,"TF","")),"TM",""))*10/2,0),IF('Eval-Avec act. écol. envisagée'!$A$767=DY18,LEN(SUBSTITUTE((SUBSTITUTE(EY15,"TF","")),"TM",""))*10/2,0),IF('Eval-Avec act. écol. envisagée'!$A$768=DY18,LEN(SUBSTITUTE((SUBSTITUTE(EY16,"TF","")),"TM",""))*10/2,0),IF('Eval-Avec act. écol. envisagée'!$A$769=DY18,LEN(SUBSTITUTE((SUBSTITUTE(EY17,"TF","")),"TM",""))*10/2,0),IF('Eval-Avec act. écol. envisagée'!$A$770=DY18,LEN(SUBSTITUTE((SUBSTITUTE(EY18,"TF","")),"TM",""))*10/2,0),IF('Eval-Avec act. écol. envisagée'!$A$771=DY18,LEN(SUBSTITUTE((SUBSTITUTE(EY19,"TF","")),"TM",""))*10/2,0),IF('Eval-Avec act. écol. envisagée'!$A$772=DY18,LEN(SUBSTITUTE((SUBSTITUTE(EY20,"TF","")),"TM",""))*10/2,0),IF('Eval-Avec act. écol. envisagée'!$A$773=DY18,LEN(SUBSTITUTE((SUBSTITUTE(EY21,"TF","")),"TM",""))*10/2,0),IF('Eval-Avec act. écol. envisagée'!$A$774=DY18,LEN(SUBSTITUTE((SUBSTITUTE(EY22,"TF","")),"TM",""))*10/2,0),IF('Eval-Avec act. écol. envisagée'!$A$775=DY18,LEN(SUBSTITUTE((SUBSTITUTE(EY23,"TF","")),"TM",""))*10/2,0),IF('Eval-Avec act. écol. envisagée'!$A$776=DY18,LEN(SUBSTITUTE((SUBSTITUTE(EY24,"TF","")),"TM",""))*10/2,0),IF('Eval-Avec act. écol. envisagée'!$A$777=DY18,LEN(SUBSTITUTE((SUBSTITUTE(EY25,"TF","")),"TM",""))*10/2,0),IF('Eval-Avec act. écol. envisagée'!$A$778=DY18,LEN(SUBSTITUTE((SUBSTITUTE(EY26,"TF","")),"TM",""))*10/2,0),IF('Eval-Avec act. écol. envisagée'!$A$779=DY18,LEN(SUBSTITUTE((SUBSTITUTE(EY27,"TF","")),"TM",""))*10/2,0),IF('Eval-Avec act. écol. envisagée'!$A$780=DY18,LEN(SUBSTITUTE((SUBSTITUTE(EY28,"TF","")),"TM",""))*10/2,0))/COUNTIF('Eval-Avec act. écol. envisagée'!$A$761:$A$780,DY18),"")</f>
        <v/>
      </c>
      <c r="EO18" s="211" t="str">
        <f>IF(COUNTIF('Eval-Avec act. écol. envisagée'!$A$761:$A$780,DY18)&gt;0,IF(OR(AND('Eval-Avec act. écol. envisagée'!$A$761=DY18,EV9&lt;30),AND('Eval-Avec act. écol. envisagée'!$A$762=DY18,EV10&lt;30),AND('Eval-Avec act. écol. envisagée'!$A$763=DY18,EV11&lt;30),AND('Eval-Avec act. écol. envisagée'!$A$764=DY18,EV12&lt;30),AND('Eval-Avec act. écol. envisagée'!$A$765=DY18,EV13&lt;30),AND('Eval-Avec act. écol. envisagée'!$A$766=DY18,EV14&lt;30),AND('Eval-Avec act. écol. envisagée'!$A$767=DY18,EV15&lt;30),AND('Eval-Avec act. écol. envisagée'!$A$768=DY18,EV16&lt;30),AND('Eval-Avec act. écol. envisagée'!$A$769=DY18,EV17&lt;30),AND('Eval-Avec act. écol. envisagée'!$A$770=DY18,EV18&lt;30),AND('Eval-Avec act. écol. envisagée'!$A$771=DY18,EV19&lt;30),AND('Eval-Avec act. écol. envisagée'!$A$772=DY18,EV20&lt;30),AND('Eval-Avec act. écol. envisagée'!$A$773=DY18,EV21&lt;30),AND('Eval-Avec act. écol. envisagée'!$A$774=DY18,EV22&lt;30),AND('Eval-Avec act. écol. envisagée'!$A$775=DY18,EV23&lt;30),AND('Eval-Avec act. écol. envisagée'!$A$776=DY18,EV24&lt;30),AND('Eval-Avec act. écol. envisagée'!$A$777=DY18,EV25&lt;30),AND('Eval-Avec act. écol. envisagée'!$A$778=DY18,EV26&lt;30),AND('Eval-Avec act. écol. envisagée'!$A$779=DY18,EV27&lt;30),AND('Eval-Avec act. écol. envisagée'!$A$780=DY18,EV28&lt;30)),"",SUM(0.1*(SUMPRODUCT(('Eval-Avec act. écol. envisagée'!$A$761:$A$780=DY18)*('Eval-Avec act. écol. envisagée'!$N$761:$P$780="A"))+ SUMPRODUCT(('Eval-Avec act. écol. envisagée'!$A$761:$A$780=DY18)*('Eval-Avec act. écol. envisagée'!$N$761:$P$780="AL"))),0.7*(SUMPRODUCT(('Eval-Avec act. écol. envisagée'!$A$761:$A$780=DY18)*('Eval-Avec act. écol. envisagée'!$N$761:$P$780="TF"))+SUMPRODUCT(('Eval-Avec act. écol. envisagée'!$A$761:$A$780=DY18)*('Eval-Avec act. écol. envisagée'!$N$761:$P$780="TM"))+SUMPRODUCT(('Eval-Avec act. écol. envisagée'!$A$761:$A$780=DY18)*('Eval-Avec act. écol. envisagée'!$N$761:$P$780="TS"))),0.4*(SUMPRODUCT(('Eval-Avec act. écol. envisagée'!$A$761:$A$780=DY18)*('Eval-Avec act. écol. envisagée'!$N$761:$P$780="LA"))+SUMPRODUCT(('Eval-Avec act. écol. envisagée'!$A$761:$A$780=DY18)*('Eval-Avec act. écol. envisagée'!$N$761:$P$780="L"))+SUMPRODUCT(('Eval-Avec act. écol. envisagée'!$A$761:$A$780=DY18)*('Eval-Avec act. écol. envisagée'!$N$761:$P$780="LS"))),1*(SUMPRODUCT(('Eval-Avec act. écol. envisagée'!$A$761:$A$780=DY18)*('Eval-Avec act. écol. envisagée'!$N$761:$P$780="SL"))+ SUMPRODUCT(('Eval-Avec act. écol. envisagée'!$A$761:$A$780=DY18)*('Eval-Avec act. écol. envisagée'!$N$761:$P$780="S"))))/(3*COUNTIF('Eval-Avec act. écol. envisagée'!$A$761:$A$780,DY18))),"")</f>
        <v/>
      </c>
      <c r="EP18" s="211" t="str">
        <f>IF(COUNTIF('Eval-Avec act. écol. envisagée'!$A$761:$A$780,DY18)&gt;0,IF(OR(AND('Eval-Avec act. écol. envisagée'!$A$761=DY18,EV9&lt;120),AND('Eval-Avec act. écol. envisagée'!$A$762=DY18,EV10&lt;120),AND('Eval-Avec act. écol. envisagée'!$A$763=DY18,EV11&lt;120),AND('Eval-Avec act. écol. envisagée'!$A$764=DY18,EV12&lt;120),AND('Eval-Avec act. écol. envisagée'!$A$765=DY18,EV13&lt;120),AND('Eval-Avec act. écol. envisagée'!$A$766=DY18,EV14&lt;120),AND('Eval-Avec act. écol. envisagée'!$A$767=DY18,EV15&lt;120),AND('Eval-Avec act. écol. envisagée'!$A$768=DY18,EV16&lt;120),AND('Eval-Avec act. écol. envisagée'!$A$769=DY18,EV17&lt;120),AND('Eval-Avec act. écol. envisagée'!$A$770=DY18,EV18&lt;120),AND('Eval-Avec act. écol. envisagée'!$A$771=DY18,EV19&lt;120),AND('Eval-Avec act. écol. envisagée'!$A$772=DY18,EV20&lt;120),AND('Eval-Avec act. écol. envisagée'!$A$773=DY18,EV21&lt;120),AND('Eval-Avec act. écol. envisagée'!$A$774=DY18,EV22&lt;120),AND('Eval-Avec act. écol. envisagée'!$A$775=DY18,EV23&lt;120),AND('Eval-Avec act. écol. envisagée'!$A$776=DY18,EV24&lt;120),AND('Eval-Avec act. écol. envisagée'!$A$777=DY18,EV25&lt;120),AND('Eval-Avec act. écol. envisagée'!$A$778=DY18,EV26&lt;120),AND('Eval-Avec act. écol. envisagée'!$A$779=DY18,EV27&lt;120),AND('Eval-Avec act. écol. envisagée'!$A$780=DY18,EV28&lt;120)),"",SUM(0.1*(SUMPRODUCT(('Eval-Avec act. écol. envisagée'!$A$761:$A$780=DY18)*('Eval-Avec act. écol. envisagée'!$Q$761:$Y$780="A"))+ SUMPRODUCT(('Eval-Avec act. écol. envisagée'!$A$761:$A$780=DY18)*('Eval-Avec act. écol. envisagée'!$Q$761:$Y$780="AL"))),0.7*(SUMPRODUCT(('Eval-Avec act. écol. envisagée'!$A$761:$A$780=DY18)*('Eval-Avec act. écol. envisagée'!$Q$761:$Y$780="TF"))+SUMPRODUCT(('Eval-Avec act. écol. envisagée'!$A$761:$A$780=DY18)*('Eval-Avec act. écol. envisagée'!$Q$761:$Y$780="TM"))+SUMPRODUCT(('Eval-Avec act. écol. envisagée'!$A$761:$A$780=DY18)*('Eval-Avec act. écol. envisagée'!$Q$761:$Y$780="TS"))),0.4*(SUMPRODUCT(('Eval-Avec act. écol. envisagée'!$A$761:$A$780=DY18)*('Eval-Avec act. écol. envisagée'!$Q$761:$Y$780="LA"))+SUMPRODUCT(('Eval-Avec act. écol. envisagée'!$A$761:$A$780=DY18)*('Eval-Avec act. écol. envisagée'!$Q$761:$Y$780="L"))+SUMPRODUCT(('Eval-Avec act. écol. envisagée'!$A$761:$A$780=DY18)*('Eval-Avec act. écol. envisagée'!$Q$761:$Y$780="LS"))),1*(SUMPRODUCT(('Eval-Avec act. écol. envisagée'!$A$761:$A$780=DY18)*('Eval-Avec act. écol. envisagée'!$Q$761:$Y$780="SL"))+ SUMPRODUCT(('Eval-Avec act. écol. envisagée'!$A$761:$A$780=DY18)*('Eval-Avec act. écol. envisagée'!$Q$761:$Y$780="S"))))/(9*COUNTIF('Eval-Avec act. écol. envisagée'!$A$761:$A$780,DY18))),"")</f>
        <v/>
      </c>
      <c r="EQ18" s="211" t="str">
        <f>IF(COUNTIF('Eval-Avec act. écol. envisagée'!$A$761:$A$780,DY18)&gt;0,IF(OR(AND('Eval-Avec act. écol. envisagée'!$A$761=DY18,OR(COUNTIF('Eval-Avec act. écol. envisagée'!$N$761:$P$761,"*T*")&gt;0,EV9&lt;30)),AND('Eval-Avec act. écol. envisagée'!$A$762=DY18,OR(COUNTIF('Eval-Avec act. écol. envisagée'!$N$762:$P$762,"*T*")&gt;0,EV10&lt;30)),AND('Eval-Avec act. écol. envisagée'!$A$763=DY18,OR(COUNTIF('Eval-Avec act. écol. envisagée'!$N$763:$P$763,"*T*")&gt;0,EV11&lt;30)),AND('Eval-Avec act. écol. envisagée'!$A$764=DY18,OR(COUNTIF('Eval-Avec act. écol. envisagée'!$N$764:$P$764,"*T*")&gt;0,EV12&lt;30)),AND('Eval-Avec act. écol. envisagée'!$A$765=DY18,OR(COUNTIF('Eval-Avec act. écol. envisagée'!$N$765:$P$765,"*T*")&gt;0,EV13&lt;30)),AND('Eval-Avec act. écol. envisagée'!$A$766=DY18,OR(COUNTIF('Eval-Avec act. écol. envisagée'!$N$766:$P$766,"*T*")&gt;0,EV14&lt;30)),AND('Eval-Avec act. écol. envisagée'!$A$767=DY18,OR(COUNTIF('Eval-Avec act. écol. envisagée'!$N$767:$P$767,"*T*")&gt;0,EV15&lt;30)),AND('Eval-Avec act. écol. envisagée'!$A$768=DY18,OR(COUNTIF('Eval-Avec act. écol. envisagée'!$N$768:$P$768,"*T*")&gt;0,EV16&lt;30)),AND('Eval-Avec act. écol. envisagée'!$A$769=DY18,OR(COUNTIF('Eval-Avec act. écol. envisagée'!$N$769:$P$769,"*T*")&gt;0,EV17&lt;30)),AND('Eval-Avec act. écol. envisagée'!$A$770=DY18,OR(COUNTIF('Eval-Avec act. écol. envisagée'!$N$770:$P$770,"*T*")&gt;0,EV18&lt;30)),AND('Eval-Avec act. écol. envisagée'!$A$771=DY18,OR(COUNTIF('Eval-Avec act. écol. envisagée'!$N$771:$P$771,"*T*")&gt;0,EV19&lt;30)),AND('Eval-Avec act. écol. envisagée'!$A$772=DY18,OR(COUNTIF('Eval-Avec act. écol. envisagée'!$N$772:$P$772,"*T*")&gt;0,EV20&lt;30)),AND('Eval-Avec act. écol. envisagée'!$A$773=DY18,OR(COUNTIF('Eval-Avec act. écol. envisagée'!$N$773:$P$773,"*T*")&gt;0,EV21&lt;30)),AND('Eval-Avec act. écol. envisagée'!$A$774=DY18,OR(COUNTIF('Eval-Avec act. écol. envisagée'!$N$774:$P$774,"*T*")&gt;0,EV22&lt;30)),AND('Eval-Avec act. écol. envisagée'!$A$775=DY18,OR(COUNTIF('Eval-Avec act. écol. envisagée'!$N$775:$P$775,"*T*")&gt;0,EV23&lt;30)),AND('Eval-Avec act. écol. envisagée'!$A$776=DY18,OR(COUNTIF('Eval-Avec act. écol. envisagée'!$N$776:$P$776,"*T*")&gt;0,EV24&lt;30)),AND('Eval-Avec act. écol. envisagée'!$A$777=DY18,OR(COUNTIF('Eval-Avec act. écol. envisagée'!$N$777:$P$777,"*T*")&gt;0,EV25&lt;30)),AND('Eval-Avec act. écol. envisagée'!$A$778=DY18,OR(COUNTIF('Eval-Avec act. écol. envisagée'!$N$778:$P$778,"*T*")&gt;0,EV26&lt;30)),AND('Eval-Avec act. écol. envisagée'!$A$779=DY18,OR(COUNTIF('Eval-Avec act. écol. envisagée'!$N$779:$P$779,"*T*")&gt;0,EV27&lt;30)),AND('Eval-Avec act. écol. envisagée'!$A$780=DY18,OR(COUNTIF('Eval-Avec act. écol. envisagée'!$N$780:$P$780,"*T*")&gt;0,EV28&lt;30))),"",SUM(0.1*(SUMPRODUCT(('Eval-Avec act. écol. envisagée'!$A$761:$A$780=DY18)*('Eval-Avec act. écol. envisagée'!$N$761:$P$780="L"))),0.4*(SUMPRODUCT(('Eval-Avec act. écol. envisagée'!$A$761:$A$780=DY18)*('Eval-Avec act. écol. envisagée'!$N$761:$P$780="LA"))+SUMPRODUCT(('Eval-Avec act. écol. envisagée'!$A$761:$A$780=DY18)*('Eval-Avec act. écol. envisagée'!$N$761:$P$780="LS"))),0.7*(SUMPRODUCT(('Eval-Avec act. écol. envisagée'!$A$761:$A$780=DY18)*('Eval-Avec act. écol. envisagée'!$N$761:$P$780="AL"))+SUMPRODUCT(('Eval-Avec act. écol. envisagée'!$A$761:$A$780=DY18)*('Eval-Avec act. écol. envisagée'!$N$761:$P$780="SL"))),1*(SUMPRODUCT(('Eval-Avec act. écol. envisagée'!$A$761:$A$780=DY18)*('Eval-Avec act. écol. envisagée'!$N$761:$P$780="S"))+ SUMPRODUCT(('Eval-Avec act. écol. envisagée'!$A$761:$A$780=DY18)*('Eval-Avec act. écol. envisagée'!$N$761:$P$780="A"))))/(3*COUNTIF('Eval-Avec act. écol. envisagée'!$A$761:$A$780,DY18))),"")</f>
        <v/>
      </c>
      <c r="ER18" s="211" t="str">
        <f>IF(COUNTIF('Eval-Avec act. écol. envisagée'!$A$761:$A$780,DY18)&gt;0,IF(OR(AND('Eval-Avec act. écol. envisagée'!$A$761=DY18,OR(COUNTIF('Eval-Avec act. écol. envisagée'!$N$761:$P$761,"*T*")&gt;0,EV9&lt;30)),AND('Eval-Avec act. écol. envisagée'!$A$762=DY18,OR(COUNTIF('Eval-Avec act. écol. envisagée'!$N$762:$P$762,"*T*")&gt;0,EV10&lt;30)),AND('Eval-Avec act. écol. envisagée'!$A$763=DY18,OR(COUNTIF('Eval-Avec act. écol. envisagée'!$N$763:$P$763,"*T*")&gt;0,EV11&lt;30)),AND('Eval-Avec act. écol. envisagée'!$A$764=DY18,OR(COUNTIF('Eval-Avec act. écol. envisagée'!$N$764:$P$764,"*T*")&gt;0,EV12&lt;30)),AND('Eval-Avec act. écol. envisagée'!$A$765=DY18,OR(COUNTIF('Eval-Avec act. écol. envisagée'!$N$765:$P$765,"*T*")&gt;0,EV13&lt;30)),AND('Eval-Avec act. écol. envisagée'!$A$766=DY18,OR(COUNTIF('Eval-Avec act. écol. envisagée'!$N$766:$P$766,"*T*")&gt;0,EV14&lt;30)),AND('Eval-Avec act. écol. envisagée'!$A$767=DY18,OR(COUNTIF('Eval-Avec act. écol. envisagée'!$N$767:$P$767,"*T*")&gt;0,EV15&lt;30)),AND('Eval-Avec act. écol. envisagée'!$A$768=DY18,OR(COUNTIF('Eval-Avec act. écol. envisagée'!$N$768:$P$768,"*T*")&gt;0,EV16&lt;30)),AND('Eval-Avec act. écol. envisagée'!$A$769=DY18,OR(COUNTIF('Eval-Avec act. écol. envisagée'!$N$769:$P$769,"*T*")&gt;0,EV17&lt;30)),AND('Eval-Avec act. écol. envisagée'!$A$770=DY18,OR(COUNTIF('Eval-Avec act. écol. envisagée'!$N$770:$P$770,"*T*")&gt;0,EV18&lt;30)),AND('Eval-Avec act. écol. envisagée'!$A$771=DY18,OR(COUNTIF('Eval-Avec act. écol. envisagée'!$N$771:$P$771,"*T*")&gt;0,EV19&lt;30)),AND('Eval-Avec act. écol. envisagée'!$A$772=DY18,OR(COUNTIF('Eval-Avec act. écol. envisagée'!$N$772:$P$772,"*T*")&gt;0,EV20&lt;30)),AND('Eval-Avec act. écol. envisagée'!$A$773=DY18,OR(COUNTIF('Eval-Avec act. écol. envisagée'!$N$773:$P$773,"*T*")&gt;0,EV21&lt;30)),AND('Eval-Avec act. écol. envisagée'!$A$774=DY18,OR(COUNTIF('Eval-Avec act. écol. envisagée'!$N$774:$P$774,"*T*")&gt;0,EV22&lt;30)),AND('Eval-Avec act. écol. envisagée'!$A$775=DY18,OR(COUNTIF('Eval-Avec act. écol. envisagée'!$N$775:$P$775,"*T*")&gt;0,EV23&lt;30)),AND('Eval-Avec act. écol. envisagée'!$A$776=DY18,OR(COUNTIF('Eval-Avec act. écol. envisagée'!$N$776:$P$776,"*T*")&gt;0,EV24&lt;30)),AND('Eval-Avec act. écol. envisagée'!$A$777=DY18,OR(COUNTIF('Eval-Avec act. écol. envisagée'!$N$777:$P$777,"*T*")&gt;0,EV25&lt;30)),AND('Eval-Avec act. écol. envisagée'!$A$778=DY18,OR(COUNTIF('Eval-Avec act. écol. envisagée'!$N$778:$P$778,"*T*")&gt;0,EV26&lt;30)),AND('Eval-Avec act. écol. envisagée'!$A$779=DY18,OR(COUNTIF('Eval-Avec act. écol. envisagée'!$N$779:$P$779,"*T*")&gt;0,EV27&lt;30)),AND('Eval-Avec act. écol. envisagée'!$A$780=DY18,OR(COUNTIF('Eval-Avec act. écol. envisagée'!$N$780:$P$780,"*T*")&gt;0,EV28&lt;30))),"",SUM(1*(SUMPRODUCT(('Eval-Avec act. écol. envisagée'!$A$761:$A$780=DY18)*('Eval-Avec act. écol. envisagée'!$N$761:$P$780="A"))),0.85*(SUMPRODUCT(('Eval-Avec act. écol. envisagée'!$A$761:$A$780=DY18)*('Eval-Avec act. écol. envisagée'!$N$761:$P$780="AL"))),0.7*(SUMPRODUCT(('Eval-Avec act. écol. envisagée'!$A$761:$A$780=DY18)*('Eval-Avec act. écol. envisagée'!$N$761:$P$780="LA"))),0.55*(SUMPRODUCT(('Eval-Avec act. écol. envisagée'!$A$761:$A$780=DY18)*('Eval-Avec act. écol. envisagée'!$N$761:$P$780="L"))),0.4*(SUMPRODUCT(('Eval-Avec act. écol. envisagée'!$A$761:$A$780=DY18)*('Eval-Avec act. écol. envisagée'!$N$761:$P$780="LS"))),0.25*(SUMPRODUCT(('Eval-Avec act. écol. envisagée'!$A$761:$A$780=DY18)*('Eval-Avec act. écol. envisagée'!$N$761:$P$780="SL"))),0.1*(SUMPRODUCT(('Eval-Avec act. écol. envisagée'!$A$761:$A$780=DY18)*('Eval-Avec act. écol. envisagée'!$N$761:$P$780="S"))))/(3*COUNTIF('Eval-Avec act. écol. envisagée'!$A$761:$A$780,DY18))),"")</f>
        <v/>
      </c>
      <c r="ES18" s="214" t="str">
        <f>IF(COUNTIF('Eval-Avec act. écol. envisagée'!$A$761:$A$780,DY18)&gt;0,IF(OR(AND('Eval-Avec act. écol. envisagée'!$A$761=DY18,OR(COUNTIF('Eval-Avec act. écol. envisagée'!$Q$761:$Y$761,"*T*")&gt;0,EV9&lt;120)),AND('Eval-Avec act. écol. envisagée'!$A$762=DY18,OR(COUNTIF('Eval-Avec act. écol. envisagée'!$Q$762:$Y$762,"*T*")&gt;0,EV10&lt;120)),AND('Eval-Avec act. écol. envisagée'!$A$763=DY18,OR(COUNTIF('Eval-Avec act. écol. envisagée'!$Q$763:$Y$763,"*T*")&gt;0,EV11&lt;120)),AND('Eval-Avec act. écol. envisagée'!$A$764=DY18,OR(COUNTIF('Eval-Avec act. écol. envisagée'!$Q$764:$Y$764,"*T*")&gt;0,EV12&lt;120)),AND('Eval-Avec act. écol. envisagée'!$A$765=DY18,OR(COUNTIF('Eval-Avec act. écol. envisagée'!$Q$765:$Y$765,"*T*")&gt;0,EV13&lt;120)),AND('Eval-Avec act. écol. envisagée'!$A$766=DY18,OR(COUNTIF('Eval-Avec act. écol. envisagée'!$Q$766:$Y$766,"*T*")&gt;0,EV14&lt;120)),AND('Eval-Avec act. écol. envisagée'!$A$767=DY18,OR(COUNTIF('Eval-Avec act. écol. envisagée'!$Q$767:$Y$767,"*T*")&gt;0,EV15&lt;120)),AND('Eval-Avec act. écol. envisagée'!$A$768=DY18,OR(COUNTIF('Eval-Avec act. écol. envisagée'!$Q$768:$Y$768,"*T*")&gt;0,EV16&lt;120)),AND('Eval-Avec act. écol. envisagée'!$A$769=DY18,OR(COUNTIF('Eval-Avec act. écol. envisagée'!$Q$769:$Y$769,"*T*")&gt;0,EV17&lt;120)),AND('Eval-Avec act. écol. envisagée'!$A$770=DY18,OR(COUNTIF('Eval-Avec act. écol. envisagée'!$Q$770:$Y$770,"*T*")&gt;0,EV18&lt;120)),AND('Eval-Avec act. écol. envisagée'!$A$771=DY18,OR(COUNTIF('Eval-Avec act. écol. envisagée'!$Q$771:$Y$771,"*T*")&gt;0,EV19&lt;120)),AND('Eval-Avec act. écol. envisagée'!$A$772=DY18,OR(COUNTIF('Eval-Avec act. écol. envisagée'!$Q$772:$Y$772,"*T*")&gt;0,EV20&lt;120)),AND('Eval-Avec act. écol. envisagée'!$A$773=DY18,OR(COUNTIF('Eval-Avec act. écol. envisagée'!$Q$773:$Y$773,"*T*")&gt;0,EV21&lt;120)),AND('Eval-Avec act. écol. envisagée'!$A$774=DY18,OR(COUNTIF('Eval-Avec act. écol. envisagée'!$Q$774:$Y$774,"*T*")&gt;0,EV22&lt;120)),AND('Eval-Avec act. écol. envisagée'!$A$775=DY18,OR(COUNTIF('Eval-Avec act. écol. envisagée'!$Q$775:$Y$775,"*T*")&gt;0,EV23&lt;120)),AND('Eval-Avec act. écol. envisagée'!$A$776=DY18,OR(COUNTIF('Eval-Avec act. écol. envisagée'!$Q$776:$Y$776,"*T*")&gt;0,EV24&lt;120)),AND('Eval-Avec act. écol. envisagée'!$A$777=DY18,OR(COUNTIF('Eval-Avec act. écol. envisagée'!$Q$777:$Y$777,"*T*")&gt;0,EV25&lt;120)),AND('Eval-Avec act. écol. envisagée'!$A$778=DY18,OR(COUNTIF('Eval-Avec act. écol. envisagée'!$Q$778:$Y$778,"*T*")&gt;0,EV26&lt;120)),AND('Eval-Avec act. écol. envisagée'!$A$779=DY18,OR(COUNTIF('Eval-Avec act. écol. envisagée'!$Q$779:$Y$779,"*T*")&gt;0,EV27&lt;120)),AND('Eval-Avec act. écol. envisagée'!$A$780=DY18,OR(COUNTIF('Eval-Avec act. écol. envisagée'!$Q$780:$Y$780,"*T*")&gt;0,EV28&lt;120))),"",SUM(1*(SUMPRODUCT(('Eval-Avec act. écol. envisagée'!$A$761:$A$780=DY18)*('Eval-Avec act. écol. envisagée'!$Q$761:$Y$780="A"))),0.85*(SUMPRODUCT(('Eval-Avec act. écol. envisagée'!$A$761:$A$780=DY18)*('Eval-Avec act. écol. envisagée'!$Q$761:$Y$780="AL"))),0.7*(SUMPRODUCT(('Eval-Avec act. écol. envisagée'!$A$761:$A$780=DY18)*('Eval-Avec act. écol. envisagée'!$Q$761:$Y$780="LA"))),0.55*(SUMPRODUCT(('Eval-Avec act. écol. envisagée'!$A$761:$A$780=DY18)*('Eval-Avec act. écol. envisagée'!$Q$761:$Y$780="L"))),0.4*(SUMPRODUCT(('Eval-Avec act. écol. envisagée'!$A$761:$A$780=DY18)*('Eval-Avec act. écol. envisagée'!$Q$761:$Y$780="LS"))),0.25*(SUMPRODUCT(('Eval-Avec act. écol. envisagée'!$A$761:$A$780=DY18)*('Eval-Avec act. écol. envisagée'!$Q$761:$Y$780="SL"))),0.1*(SUMPRODUCT(('Eval-Avec act. écol. envisagée'!$A$761:$A$780=DY18)*('Eval-Avec act. écol. envisagée'!$Q$761:$Y$780="S"))))/(9*COUNTIF('Eval-Avec act. écol. envisagée'!$A$761:$A$780,DY18))),"")</f>
        <v/>
      </c>
      <c r="ET18" s="215"/>
      <c r="EU18" s="216">
        <f>'Eval-Avec act. écol. envisagée'!$D$770</f>
        <v>10</v>
      </c>
      <c r="EV18" s="217" t="str">
        <f>IF(EW18="C",0,IF(IF(COUNTIF('Eval-Avec act. écol. envisagée'!$N$770:$Y$770,"=C")&gt;0,(COUNTA('Eval-Avec act. écol. envisagée'!$N$770:$Y$770)-1)*10,COUNTA('Eval-Avec act. écol. envisagée'!$N$770:$Y$770)*10)=0,"",IF(COUNTIF('Eval-Avec act. écol. envisagée'!$N$770:$Y$770,"=C")&gt;0,(COUNTA('Eval-Avec act. écol. envisagée'!$N$770:$Y$770)-1)*10,COUNTA('Eval-Avec act. écol. envisagée'!$N$770:$Y$770)*10)))</f>
        <v/>
      </c>
      <c r="EW18" s="217" t="str">
        <f>CONCATENATE('Eval-Avec act. écol. envisagée'!$N$770,'Eval-Avec act. écol. envisagée'!$O$770,'Eval-Avec act. écol. envisagée'!$P$770,'Eval-Avec act. écol. envisagée'!$Q$770,'Eval-Avec act. écol. envisagée'!$R$770,'Eval-Avec act. écol. envisagée'!$S$770,'Eval-Avec act. écol. envisagée'!$T$770,'Eval-Avec act. écol. envisagée'!$U$770,'Eval-Avec act. écol. envisagée'!$V$770,'Eval-Avec act. écol. envisagée'!$W$770,'Eval-Avec act. écol. envisagée'!$X$770,'Eval-Avec act. écol. envisagée'!$Y$770)</f>
        <v/>
      </c>
      <c r="EX18" s="217" t="str">
        <f t="shared" si="16"/>
        <v/>
      </c>
      <c r="EY18" s="217" t="str">
        <f t="shared" si="17"/>
        <v/>
      </c>
      <c r="EZ18" s="217" t="str">
        <f>IF(COUNTIF('Eval-Avec act. écol. envisagée'!$N$770:$Y$770,"=C")&gt;0,"X","")</f>
        <v/>
      </c>
      <c r="FA18" s="217" t="str">
        <f t="shared" si="18"/>
        <v/>
      </c>
      <c r="FB18" s="218" t="str">
        <f t="shared" si="19"/>
        <v/>
      </c>
      <c r="FC18" s="197"/>
      <c r="FE18" s="210">
        <v>10</v>
      </c>
      <c r="FF18" s="211" t="str">
        <f>IF(COUNTIF('Eval-Après action écologique'!$A$761:$A$780,FE18)&gt;0,SUM(IF('Eval-Après action écologique'!$A$761=FE18,'Eval-Après action écologique'!$B$761,0),IF('Eval-Après action écologique'!$A$762=FE18, 'Eval-Après action écologique'!$B$762,0),IF('Eval-Après action écologique'!$A$763=FE18, 'Eval-Après action écologique'!$B$763,0),IF('Eval-Après action écologique'!$A$764=FE18, 'Eval-Après action écologique'!$B$764,0),IF('Eval-Après action écologique'!$A$765=FE18, 'Eval-Après action écologique'!$B$765,0),IF('Eval-Après action écologique'!$A$766=FE18, 'Eval-Après action écologique'!$B$766,0),IF('Eval-Après action écologique'!$A$767=FE18, 'Eval-Après action écologique'!$B$767,0),IF('Eval-Après action écologique'!$A$768=FE18, 'Eval-Après action écologique'!$B$768,0),IF('Eval-Après action écologique'!$A$769=FE18, 'Eval-Après action écologique'!$B$769,0),IF('Eval-Après action écologique'!$A$770=FE18, 'Eval-Après action écologique'!$B$770,0),IF('Eval-Après action écologique'!$A$771=FE18, 'Eval-Après action écologique'!$B$771,0),IF('Eval-Après action écologique'!$A$772=FE18, 'Eval-Après action écologique'!$B$772,0),IF('Eval-Après action écologique'!$A$773=FE18, 'Eval-Après action écologique'!$B$773,0),IF('Eval-Après action écologique'!$A$774=FE18, 'Eval-Après action écologique'!$B$774,0),IF('Eval-Après action écologique'!$A$775=FE18, 'Eval-Après action écologique'!$B$775,0),IF('Eval-Après action écologique'!$A$776=FE18, 'Eval-Après action écologique'!$B$776,0),IF('Eval-Après action écologique'!$A$777=FE18, 'Eval-Après action écologique'!$B$777,0),IF('Eval-Après action écologique'!$A$778=FE18, 'Eval-Après action écologique'!$B$778,0),IF('Eval-Après action écologique'!$A$779=FE18, 'Eval-Après action écologique'!$B$779,0),IF('Eval-Après action écologique'!$A$780=FE18, 'Eval-Après action écologique'!$B$780,0))/COUNTIF('Eval-Après action écologique'!$A$761:$A$780,FE18),"")</f>
        <v/>
      </c>
      <c r="FG18" s="212" t="str">
        <f>IF(COUNTIF('Eval-Après action écologique'!$A$761:$A$780,FE18)&gt;0,COUNTIF('Eval-Après action écologique'!$A$761:$A$780,FE18),"")</f>
        <v/>
      </c>
      <c r="FH18" s="211" t="str">
        <f>IF(COUNTIF('Eval-Après action écologique'!$A$761:$A$780,FE18)&gt;0,IF(OR(AND('Eval-Après action écologique'!$A$761=FE18, 'Eval-Après action écologique'!$G$761=""),AND('Eval-Après action écologique'!$A$762=FE18, 'Eval-Après action écologique'!$G$762=""),AND('Eval-Après action écologique'!$A$763=FE18, 'Eval-Après action écologique'!$G$763=""),AND('Eval-Après action écologique'!$A$764=FE18, 'Eval-Après action écologique'!$G$764=""),AND('Eval-Après action écologique'!$A$765=FE18, 'Eval-Après action écologique'!$G$765=""),AND('Eval-Après action écologique'!$A$766=FE18, 'Eval-Après action écologique'!$G$766=""),AND('Eval-Après action écologique'!$A$767=FE18, 'Eval-Après action écologique'!$G$767=""),AND('Eval-Après action écologique'!$A$768=FE18, 'Eval-Après action écologique'!$G$768=""),AND('Eval-Après action écologique'!$A$769=FE18, 'Eval-Après action écologique'!$G$769=""),AND('Eval-Après action écologique'!$A$770=FE18, 'Eval-Après action écologique'!$G$770=""),AND('Eval-Après action écologique'!$A$771=FE18, 'Eval-Après action écologique'!$G$771=""),AND('Eval-Après action écologique'!$A$772=FE18, 'Eval-Après action écologique'!$G$772=""),AND('Eval-Après action écologique'!$A$773=FE18, 'Eval-Après action écologique'!$G$773=""),AND('Eval-Après action écologique'!$A$774=FE18, 'Eval-Après action écologique'!$G$774=""),AND('Eval-Après action écologique'!$A$775=FE18, 'Eval-Après action écologique'!$G$775=""),AND('Eval-Après action écologique'!$A$776=FE18, 'Eval-Après action écologique'!$G$776=""),AND('Eval-Après action écologique'!$A$777=FE18, 'Eval-Après action écologique'!$G$777=""),AND('Eval-Après action écologique'!$A$778=FE18, 'Eval-Après action écologique'!$G$778=""),AND('Eval-Après action écologique'!$A$779=FE18, 'Eval-Après action écologique'!$G$779=""),AND('Eval-Après action écologique'!$A$780=FE18, 'Eval-Après action écologique'!$G$780="")),"",SUM(IF('Eval-Après action écologique'!$A$761=FE18,'Eval-Après action écologique'!$G$761,0),IF('Eval-Après action écologique'!$A$762=FE18,'Eval-Après action écologique'!$G$762,0),IF('Eval-Après action écologique'!$A$763=FE18,'Eval-Après action écologique'!$G$763,0),IF('Eval-Après action écologique'!$A$764=FE18,'Eval-Après action écologique'!$G$764,0),IF('Eval-Après action écologique'!$A$765=FE18,'Eval-Après action écologique'!$G$765,0),IF('Eval-Après action écologique'!$A$766=FE18,'Eval-Après action écologique'!$G$766,0),IF('Eval-Après action écologique'!$A$767=FE18,'Eval-Après action écologique'!$G$767,0),IF('Eval-Après action écologique'!$A$768=FE18,'Eval-Après action écologique'!$G$768,0),IF('Eval-Après action écologique'!$A$769=FE18,'Eval-Après action écologique'!$G$769,0),IF('Eval-Après action écologique'!$A$770=FE18,'Eval-Après action écologique'!$G$770,0),IF('Eval-Après action écologique'!$A$771=FE18,'Eval-Après action écologique'!$G$771,0),IF('Eval-Après action écologique'!$A$772=FE18,'Eval-Après action écologique'!$G$772,0),IF('Eval-Après action écologique'!$A$773=FE18,'Eval-Après action écologique'!$G$773,0),IF('Eval-Après action écologique'!$A$774=FE18,'Eval-Après action écologique'!$G$774,0),IF('Eval-Après action écologique'!$A$775=FE18,'Eval-Après action écologique'!$G$775,0), IF('Eval-Après action écologique'!$A$776=FE18,'Eval-Après action écologique'!$G$776,0), IF('Eval-Après action écologique'!$A$777=FE18,'Eval-Après action écologique'!$G$777,0), IF('Eval-Après action écologique'!$A$778=FE18,'Eval-Après action écologique'!$G$778,0), IF('Eval-Après action écologique'!$A$779=FE18,'Eval-Après action écologique'!$G$779,0), IF('Eval-Après action écologique'!$A$780=FE18,'Eval-Après action écologique'!$G$780,0))/ COUNTIF('Eval-Après action écologique'!$A$761:$A$780,FE18)),"")</f>
        <v/>
      </c>
      <c r="FI18" s="212" t="str">
        <f>IF(COUNTIF('Eval-Après action écologique'!$A$761:$A$780,FE18)&gt;0,IF(SUM(IF('Eval-Après action écologique'!$A$761=FE18,COUNTA('Eval-Après action écologique'!$H$761),0),IF('Eval-Après action écologique'!$A$762=FE18,COUNTA('Eval-Après action écologique'!$H$762),0),IF('Eval-Après action écologique'!$A$763=FE18,COUNTA('Eval-Après action écologique'!$H$763),0),IF('Eval-Après action écologique'!$A$764=FE18,COUNTA('Eval-Après action écologique'!$H$764),0),IF('Eval-Après action écologique'!$A$765=FE18,COUNTA('Eval-Après action écologique'!$H$765),0),IF('Eval-Après action écologique'!$A$766=FE18,COUNTA('Eval-Après action écologique'!$H$766),0),IF('Eval-Après action écologique'!$A$767=FE18,COUNTA('Eval-Après action écologique'!$H$767),0),IF('Eval-Après action écologique'!$A$768=FE18,COUNTA('Eval-Après action écologique'!$H$768),0),IF('Eval-Après action écologique'!$A$769=FE18,COUNTA('Eval-Après action écologique'!$H$769),0),IF('Eval-Après action écologique'!$A$770=FE18,COUNTA('Eval-Après action écologique'!$H$770),0),IF('Eval-Après action écologique'!$A$771=FE18,COUNTA('Eval-Après action écologique'!$H$771),0),IF('Eval-Après action écologique'!$A$772=FE18,COUNTA('Eval-Après action écologique'!$H$772),0),IF('Eval-Après action écologique'!$A$773=FE18,COUNTA('Eval-Après action écologique'!$H$773),0),IF('Eval-Après action écologique'!$A$774=FE18,COUNTA('Eval-Après action écologique'!$H$774),0),IF('Eval-Après action écologique'!$A$775=FE18,COUNTA('Eval-Après action écologique'!$H$775),0),IF('Eval-Après action écologique'!$A$776=FE18,COUNTA('Eval-Après action écologique'!$H$776),0),IF('Eval-Après action écologique'!$A$777=FE18,COUNTA('Eval-Après action écologique'!$H$777),0),IF('Eval-Après action écologique'!$A$778=FE18,COUNTA('Eval-Après action écologique'!$H$778),0),IF('Eval-Après action écologique'!$A$779=FE18,COUNTA('Eval-Après action écologique'!$H$779),0),IF('Eval-Après action écologique'!$A$780=FE18,COUNTA('Eval-Après action écologique'!$H$780),0))&gt;0,"X",0),"")</f>
        <v/>
      </c>
      <c r="FJ18" s="213" t="str">
        <f>IF(COUNTIF('Eval-Après action écologique'!$A$761:$A$780,FE18)&gt;0,IF(SUM(IF('Eval-Après action écologique'!$A$761=FE18,COUNTA('Eval-Après action écologique'!$I$761),0),IF('Eval-Après action écologique'!$A$762=FE18,COUNTA('Eval-Après action écologique'!$I$762),0),IF('Eval-Après action écologique'!$A$763=FE18,COUNTA('Eval-Après action écologique'!$I$763),0),IF('Eval-Après action écologique'!$A$764=FE18,COUNTA('Eval-Après action écologique'!$I$764),0),IF('Eval-Après action écologique'!$A$765=FE18,COUNTA('Eval-Après action écologique'!$I$765),0),IF('Eval-Après action écologique'!$A$766=FE18,COUNTA('Eval-Après action écologique'!$I$766),0),IF('Eval-Après action écologique'!$A$767=FE18,COUNTA('Eval-Après action écologique'!$I$767),0),IF('Eval-Après action écologique'!$A$768=FE18,COUNTA('Eval-Après action écologique'!$I$768),0),IF('Eval-Après action écologique'!$A$769=FE18,COUNTA('Eval-Après action écologique'!$I$769),0),IF('Eval-Après action écologique'!$A$770=FE18,COUNTA('Eval-Après action écologique'!$I$770),0),IF('Eval-Après action écologique'!$A$771=FE18,COUNTA('Eval-Après action écologique'!$I$771),0),IF('Eval-Après action écologique'!$A$772=FE18,COUNTA('Eval-Après action écologique'!$I$772),0),IF('Eval-Après action écologique'!$A$773=FE18,COUNTA('Eval-Après action écologique'!$I$773),0),IF('Eval-Après action écologique'!$A$774=FE18,COUNTA('Eval-Après action écologique'!$I$774),0),IF('Eval-Après action écologique'!$A$775=FE18,COUNTA('Eval-Après action écologique'!$I$775),0),IF('Eval-Après action écologique'!$A$776=FE18,COUNTA('Eval-Après action écologique'!$I$776),0),IF('Eval-Après action écologique'!$A$777=FE18,COUNTA('Eval-Après action écologique'!$I$777),0),IF('Eval-Après action écologique'!$A$778=FE18,COUNTA('Eval-Après action écologique'!$I$778),0),IF('Eval-Après action écologique'!$A$779=FE18,COUNTA('Eval-Après action écologique'!$I$779),0),IF('Eval-Après action écologique'!$A$780=FE18,COUNTA('Eval-Après action écologique'!$I$780),0))&gt;0,"X",0),"")</f>
        <v/>
      </c>
      <c r="FK18" s="213" t="str">
        <f>IF(COUNTIF('Eval-Après action écologique'!$A$761:$A$780,FE18)&gt;0,IF(SUM(IF('Eval-Après action écologique'!$A$761=FE18,COUNTA('Eval-Après action écologique'!$J$761),0),IF('Eval-Après action écologique'!$A$762=FE18,COUNTA('Eval-Après action écologique'!$J$762),0),IF('Eval-Après action écologique'!$A$763=FE18,COUNTA('Eval-Après action écologique'!$J$763),0),IF('Eval-Après action écologique'!$A$764=FE18,COUNTA('Eval-Après action écologique'!$J$764),0),IF('Eval-Après action écologique'!$A$765=FE18,COUNTA('Eval-Après action écologique'!$J$765),0),IF('Eval-Après action écologique'!$A$766=FE18,COUNTA('Eval-Après action écologique'!$J$766),0),IF('Eval-Après action écologique'!$A$767=FE18,COUNTA('Eval-Après action écologique'!$J$767),0),IF('Eval-Après action écologique'!$A$768=FE18,COUNTA('Eval-Après action écologique'!$J$768),0),IF('Eval-Après action écologique'!$A$769=FE18,COUNTA('Eval-Après action écologique'!$J$769),0),IF('Eval-Après action écologique'!$A$770=FE18,COUNTA('Eval-Après action écologique'!$J$770),0),IF('Eval-Après action écologique'!$A$771=FE18,COUNTA('Eval-Après action écologique'!$J$771),0),IF('Eval-Après action écologique'!$A$772=FE18,COUNTA('Eval-Après action écologique'!$J$772),0),IF('Eval-Après action écologique'!$A$773=FE18,COUNTA('Eval-Après action écologique'!$J$773),0),IF('Eval-Après action écologique'!$A$774=FE18,COUNTA('Eval-Après action écologique'!$J$774),0),IF('Eval-Après action écologique'!$A$775=FE18,COUNTA('Eval-Après action écologique'!$J$775),0),IF('Eval-Après action écologique'!$A$776=FE18,COUNTA('Eval-Après action écologique'!$J$776),0),IF('Eval-Après action écologique'!$A$777=FE18,COUNTA('Eval-Après action écologique'!$J$777),0),IF('Eval-Après action écologique'!$A$778=FE18,COUNTA('Eval-Après action écologique'!$J$778),0),IF('Eval-Après action écologique'!$A$779=FE18,COUNTA('Eval-Après action écologique'!$J$779),0),IF('Eval-Après action écologique'!$A$780=FE18,COUNTA('Eval-Après action écologique'!$J$780),0))&gt;0,"X",0),"")</f>
        <v/>
      </c>
      <c r="FL18" s="213" t="str">
        <f>IF(COUNTIF('Eval-Après action écologique'!$A$761:$A$780,FE18)&gt;0,IF(SUM(IF('Eval-Après action écologique'!$A$761=FE18,COUNTA('Eval-Après action écologique'!$K$761),0),IF('Eval-Après action écologique'!$A$762=FE18,COUNTA('Eval-Après action écologique'!$K$762),0),IF('Eval-Après action écologique'!$A$763=FE18,COUNTA('Eval-Après action écologique'!$K$763),0),IF('Eval-Après action écologique'!$A$764=FE18,COUNTA('Eval-Après action écologique'!$K$764),0),IF('Eval-Après action écologique'!$A$765=FE18,COUNTA('Eval-Après action écologique'!$K$765),0),IF('Eval-Après action écologique'!$A$766=FE18,COUNTA('Eval-Après action écologique'!$K$766),0),IF('Eval-Après action écologique'!$A$767=FE18,COUNTA('Eval-Après action écologique'!$K$767),0),IF('Eval-Après action écologique'!$A$768=FE18,COUNTA('Eval-Après action écologique'!$K$768),0),IF('Eval-Après action écologique'!$A$769=FE18,COUNTA('Eval-Après action écologique'!$K$769),0),IF('Eval-Après action écologique'!$A$770=FE18,COUNTA('Eval-Après action écologique'!$K$770),0),IF('Eval-Après action écologique'!$A$771=FE18,COUNTA('Eval-Après action écologique'!$K$771),0),IF('Eval-Après action écologique'!$A$772=FE18,COUNTA('Eval-Après action écologique'!$K$772),0),IF('Eval-Après action écologique'!$A$773=FE18,COUNTA('Eval-Après action écologique'!$K$773),0),IF('Eval-Après action écologique'!$A$774=FE18,COUNTA('Eval-Après action écologique'!$K$774),0),IF('Eval-Après action écologique'!$A$775=FE18,COUNTA('Eval-Après action écologique'!$K$775),0),IF('Eval-Après action écologique'!$A$776=FE18,COUNTA('Eval-Après action écologique'!$K$776),0),IF('Eval-Après action écologique'!$A$777=FE18,COUNTA('Eval-Après action écologique'!$K$777),0),IF('Eval-Après action écologique'!$A$778=FE18,COUNTA('Eval-Après action écologique'!$K$778),0),IF('Eval-Après action écologique'!$A$779=FE18,COUNTA('Eval-Après action écologique'!$K$779),0),IF('Eval-Après action écologique'!$A$780=FE18,COUNTA('Eval-Après action écologique'!$K$780),0))&gt;0,"X",0),"")</f>
        <v/>
      </c>
      <c r="FM18" s="211" t="str">
        <f>IF(COUNTIF('Eval-Après action écologique'!$A$761:$A$780,FE18)&gt;0,IF(OR(AND('Eval-Après action écologique'!$A$761=FE18,'Eval-Après action écologique'!$L$761&lt;120,'Eval-Après action écologique'!$L$761&gt;=GB9),AND('Eval-Après action écologique'!$A$762=FE18,'Eval-Après action écologique'!$L$762&lt;120,'Eval-Après action écologique'!$L$762&gt;=GB10),AND('Eval-Après action écologique'!$A$763=FE18,'Eval-Après action écologique'!$L$763&lt;120,'Eval-Après action écologique'!$L$763&gt;=GB11),AND('Eval-Après action écologique'!$A$764=FE18,'Eval-Après action écologique'!$L$764&lt;120,'Eval-Après action écologique'!$L$764&gt;=GB12),AND('Eval-Après action écologique'!$A$765=FE18,'Eval-Après action écologique'!$L$765&lt;120,'Eval-Après action écologique'!$L$765&gt;=GB13),AND('Eval-Après action écologique'!$A$766=FE18,'Eval-Après action écologique'!$L$766&lt;120,'Eval-Après action écologique'!$L$766&gt;=GB14),AND('Eval-Après action écologique'!$A$767=FE18,'Eval-Après action écologique'!$L$767&lt;120,'Eval-Après action écologique'!$L$767&gt;=GB15),AND('Eval-Après action écologique'!$A$768=FE18,'Eval-Après action écologique'!$L$768&lt;120,'Eval-Après action écologique'!$L$768&gt;=GB16),AND('Eval-Après action écologique'!$A$769=FE18,'Eval-Après action écologique'!$L$769&lt;120,'Eval-Après action écologique'!$L$769&gt;=GB17),AND('Eval-Après action écologique'!$A$770=FE18,'Eval-Après action écologique'!$L$770&lt;120,'Eval-Après action écologique'!$L$770&gt;=GB18),AND('Eval-Après action écologique'!$A$771=FE18,'Eval-Après action écologique'!$L$771&lt;120,'Eval-Après action écologique'!$L$771&gt;=GB19),AND('Eval-Après action écologique'!$A$772=FE18,'Eval-Après action écologique'!$L$772&lt;120,'Eval-Après action écologique'!$L$772&gt;=GB20),AND('Eval-Après action écologique'!$A$773=FE18,'Eval-Après action écologique'!$L$773&lt;120,'Eval-Après action écologique'!$L$773&gt;=GB21),AND('Eval-Après action écologique'!$A$774=FE18,'Eval-Après action écologique'!$L$774&lt;120,'Eval-Après action écologique'!$L$774&gt;=GB22),AND('Eval-Après action écologique'!$A$775=FE18,'Eval-Après action écologique'!$L$775&lt;120,'Eval-Après action écologique'!$L$775&gt;=GB23),AND('Eval-Après action écologique'!$A$776=FE18,'Eval-Après action écologique'!$L$776&lt;120,'Eval-Après action écologique'!$L$776&gt;=GB24),AND('Eval-Après action écologique'!$A$777=FE18,'Eval-Après action écologique'!$L$777&lt;120,'Eval-Après action écologique'!$L$777&gt;=GB25),AND('Eval-Après action écologique'!$A$778=FE18,'Eval-Après action écologique'!$L$778&lt;120,'Eval-Après action écologique'!$L$778&gt;=GB26),AND('Eval-Après action écologique'!$A$779=FE18,'Eval-Après action écologique'!$L$779&lt;120,'Eval-Après action écologique'!$L$779&gt;=GB27),AND('Eval-Après action écologique'!$A$780=FE18,'Eval-Après action écologique'!$L$780&lt;120,'Eval-Après action écologique'!$L$780&gt;=GB28)),"",SUM(IF('Eval-Après action écologique'!$A$761=FE18,'Eval-Après action écologique'!$L$761,0),IF('Eval-Après action écologique'!$A$762=FE18,'Eval-Après action écologique'!$L$762,0),IF('Eval-Après action écologique'!$A$763=FE18,'Eval-Après action écologique'!$L$763,0),IF('Eval-Après action écologique'!$A$764=FE18,'Eval-Après action écologique'!$L$764,0),IF('Eval-Après action écologique'!$A$765=FE18,'Eval-Après action écologique'!$L$765,0),IF('Eval-Après action écologique'!$A$766=FE18,'Eval-Après action écologique'!$L$766,0),IF('Eval-Après action écologique'!$A$767=FE18,'Eval-Après action écologique'!$L$767,0),IF('Eval-Après action écologique'!$A$768=FE18,'Eval-Après action écologique'!$L$768,0),IF('Eval-Après action écologique'!$A$769=FE18,'Eval-Après action écologique'!$L$769,0),IF('Eval-Après action écologique'!$A$770=FE18,'Eval-Après action écologique'!$L$770,0),IF('Eval-Après action écologique'!$A$771=FE18,'Eval-Après action écologique'!$L$771,0),IF('Eval-Après action écologique'!$A$772=FE18,'Eval-Après action écologique'!$L$772,0),IF('Eval-Après action écologique'!$A$773=FE18,'Eval-Après action écologique'!$L$773,0),IF('Eval-Après action écologique'!$A$774=FE18,'Eval-Après action écologique'!$L$774,0),IF('Eval-Après action écologique'!$A$775=FE18,'Eval-Après action écologique'!$L$775,0),IF('Eval-Après action écologique'!$A$776=FE18,'Eval-Après action écologique'!$L$776,0),IF('Eval-Après action écologique'!$A$777=FE18,'Eval-Après action écologique'!$L$777,0),IF('Eval-Après action écologique'!$A$778=FE18,'Eval-Après action écologique'!$L$778,0),IF('Eval-Après action écologique'!$A$779=FE18,'Eval-Après action écologique'!$L$779,0),IF('Eval-Après action écologique'!$A$780=FE18,'Eval-Après action écologique'!$L$780,0))/ COUNTIF('Eval-Après action écologique'!$A$761:$A$780,FE18)),"")</f>
        <v/>
      </c>
      <c r="FN18" s="211" t="str">
        <f>IF(COUNTIF('Eval-Après action écologique'!$A$761:$A$780,FE18)&gt;0,IF(OR(AND('Eval-Après action écologique'!$A$761=FE18, GB9&lt;120),AND(GB10&lt;120),AND(GB11&lt;120),AND(GB12&lt;120),AND(GB13&lt;120),AND(GB14&lt;120),AND(GB15&lt;120),AND(GB16&lt;120),AND(GB17&lt;120),AND(GB18&lt;120),AND(GB19&lt;120),AND(GB20&lt;120),AND(GB21&lt;120),AND(GB22&lt;120),AND(GB23&lt;120),AND(GB24&lt;120),AND(GB25&lt;120),AND(GB26&lt;120),AND(GB27&lt;120),AND(GB28&lt;120)),"",SUM(IF('Eval-Après action écologique'!$A$761=FE18,'Eval-Après action écologique'!$M$761,0),IF('Eval-Après action écologique'!$A$762=FE18,'Eval-Après action écologique'!$M$762,0),IF('Eval-Après action écologique'!$A$763=FE18,'Eval-Après action écologique'!$M$763,0),IF('Eval-Après action écologique'!$A$764=FE18,'Eval-Après action écologique'!$M$764,0),IF('Eval-Après action écologique'!$A$765=FE18,'Eval-Après action écologique'!$M$765,0),IF('Eval-Après action écologique'!$A$766=FE18,'Eval-Après action écologique'!$M$766,0),IF('Eval-Après action écologique'!$A$767=FE18,'Eval-Après action écologique'!$M$767,0),IF('Eval-Après action écologique'!$A$768=FE18,'Eval-Après action écologique'!$M$768,0),IF('Eval-Après action écologique'!$A$769=FE18,'Eval-Après action écologique'!$M$769,0),IF('Eval-Après action écologique'!$A$770=FE18,'Eval-Après action écologique'!$M$770,0),IF('Eval-Après action écologique'!$A$771=FE18,'Eval-Après action écologique'!$M$771,0),IF('Eval-Après action écologique'!$A$772=FE18,'Eval-Après action écologique'!$M$772,0),IF('Eval-Après action écologique'!$A$773=FE18,'Eval-Après action écologique'!$M$773,0),IF('Eval-Après action écologique'!$A$774=FE18,'Eval-Après action écologique'!$M$774,0),IF('Eval-Après action écologique'!$A$775=FE18,'Eval-Après action écologique'!$M$775,0), IF('Eval-Après action écologique'!$A$776=FE18,'Eval-Après action écologique'!$M$776,0), IF('Eval-Après action écologique'!$A$777=FE18,'Eval-Après action écologique'!$M$777,0), IF('Eval-Après action écologique'!$A$778=FE18,'Eval-Après action écologique'!$M$778,0), IF('Eval-Après action écologique'!$A$779=FE18,'Eval-Après action écologique'!$M$779,0), IF('Eval-Après action écologique'!$A$780=FE18,'Eval-Après action écologique'!$M$780,0))/COUNTIF('Eval-Après action écologique'!$A$761:$A$780,FE18)),"")</f>
        <v/>
      </c>
      <c r="FO18" s="211" t="str">
        <f>IF(COUNTIF('Eval-Après action écologique'!$A$761:$A$780,FE18)&gt;0,SUM(IF('Eval-Après action écologique'!$A$761=FE18,LEN(SUBSTITUTE((SUBSTITUTE(GD9,"TM","")),"TS",""))*10/2,0),IF('Eval-Après action écologique'!$A$762=FE18,LEN(SUBSTITUTE((SUBSTITUTE(GD10,"TM","")),"TS",""))*10/2,0),IF('Eval-Après action écologique'!$A$763=FE18,LEN(SUBSTITUTE((SUBSTITUTE(GD11,"TM","")),"TS",""))*10/2,0),IF('Eval-Après action écologique'!$A$764=FE18,LEN(SUBSTITUTE((SUBSTITUTE(GD12,"TM","")),"TS",""))*10/2,0),IF('Eval-Après action écologique'!$A$765=FE18,LEN(SUBSTITUTE((SUBSTITUTE(GD13,"TM","")),"TS",""))*10/2,0),IF('Eval-Après action écologique'!$A$766=FE18,LEN(SUBSTITUTE((SUBSTITUTE(GD14,"TM","")),"TS",""))*10/2,0),IF('Eval-Après action écologique'!$A$767=FE18,LEN(SUBSTITUTE((SUBSTITUTE(GD15,"TM","")),"TS",""))*10/2,0),IF('Eval-Après action écologique'!$A$768=FE18,LEN(SUBSTITUTE((SUBSTITUTE(GD16,"TM","")),"TS",""))*10/2,0),IF('Eval-Après action écologique'!$A$769=FE18,LEN(SUBSTITUTE((SUBSTITUTE(GD17,"TM","")),"TS",""))*10/2,0),IF('Eval-Après action écologique'!$A$770=FE18,LEN(SUBSTITUTE((SUBSTITUTE(GD18,"TM","")),"TS",""))*10/2,0),IF('Eval-Après action écologique'!$A$771=FE18,LEN(SUBSTITUTE((SUBSTITUTE(GD19,"TM","")),"TS",""))*10/2,0),IF('Eval-Après action écologique'!$A$772=FE18,LEN(SUBSTITUTE((SUBSTITUTE(GD20,"TM","")),"TS",""))*10/2,0),IF('Eval-Après action écologique'!$A$773=FE18,LEN(SUBSTITUTE((SUBSTITUTE(GD21,"TM","")),"TS",""))*10/2,0),IF('Eval-Après action écologique'!$A$774=FE18,LEN(SUBSTITUTE((SUBSTITUTE(GD22,"TM","")),"TS",""))*10/2,0),IF('Eval-Après action écologique'!$A$775=FE18,LEN(SUBSTITUTE((SUBSTITUTE(GD23,"TM","")),"TS",""))*10/2,0),IF('Eval-Après action écologique'!$A$776=FE18,LEN(SUBSTITUTE((SUBSTITUTE(GD24,"TM","")),"TS",""))*10/2,0),IF('Eval-Après action écologique'!$A$777=FE18,LEN(SUBSTITUTE((SUBSTITUTE(GD25,"TM","")),"TS",""))*10/2,0),IF('Eval-Après action écologique'!$A$778=FE18,LEN(SUBSTITUTE((SUBSTITUTE(GD26,"TM","")),"TS",""))*10/2,0),IF('Eval-Après action écologique'!$A$779=FE18,LEN(SUBSTITUTE((SUBSTITUTE(GD27,"TM","")),"TS",""))*10/2,0),IF('Eval-Après action écologique'!$A$780=FE18,LEN(SUBSTITUTE((SUBSTITUTE(GD28,"TM","")),"TS",""))*10/2,0))/COUNTIF('Eval-Après action écologique'!$A$761:$A$780,FE18),"")</f>
        <v/>
      </c>
      <c r="FP18" s="211" t="str">
        <f>IF(COUNTIF('Eval-Après action écologique'!$A$761:$A$780,FE18)&gt;0,SUM(IF('Eval-Après action écologique'!$A$761=FE18,LEN(SUBSTITUTE((SUBSTITUTE(GD9,"TF","")),"TS",""))*10/2,0),IF('Eval-Après action écologique'!$A$762=FE18,LEN(SUBSTITUTE((SUBSTITUTE(GD10,"TF","")),"TS",""))*10/2,0),IF('Eval-Après action écologique'!$A$763=FE18,LEN(SUBSTITUTE((SUBSTITUTE(GD11,"TF","")),"TS",""))*10/2,0),IF('Eval-Après action écologique'!$A$764=FE18,LEN(SUBSTITUTE((SUBSTITUTE(GD12,"TF","")),"TS",""))*10/2,0),IF('Eval-Après action écologique'!$A$765=FE18,LEN(SUBSTITUTE((SUBSTITUTE(GD13,"TF","")),"TS",""))*10/2,0),IF('Eval-Après action écologique'!$A$766=FE18,LEN(SUBSTITUTE((SUBSTITUTE(GD14,"TF","")),"TS",""))*10/2,0),IF('Eval-Après action écologique'!$A$767=FE18,LEN(SUBSTITUTE((SUBSTITUTE(GD15,"TF","")),"TS",""))*10/2,0),IF('Eval-Après action écologique'!$A$768=FE18,LEN(SUBSTITUTE((SUBSTITUTE(GD16,"TF","")),"TS",""))*10/2,0),IF('Eval-Après action écologique'!$A$769=FE18,LEN(SUBSTITUTE((SUBSTITUTE(GD17,"TF","")),"TS",""))*10/2,0),IF('Eval-Après action écologique'!$A$770=FE18,LEN(SUBSTITUTE((SUBSTITUTE(GD18,"TF","")),"TS",""))*10/2,0),IF('Eval-Après action écologique'!$A$771=FE18,LEN(SUBSTITUTE((SUBSTITUTE(GD19,"TF","")),"TS",""))*10/2,0),IF('Eval-Après action écologique'!$A$772=FE18,LEN(SUBSTITUTE((SUBSTITUTE(GD20,"TF","")),"TS",""))*10/2,0),IF('Eval-Après action écologique'!$A$773=FE18,LEN(SUBSTITUTE((SUBSTITUTE(GD21,"TF","")),"TS",""))*10/2,0),IF('Eval-Après action écologique'!$A$774=FE18,LEN(SUBSTITUTE((SUBSTITUTE(GD22,"TF","")),"TS",""))*10/2,0),IF('Eval-Après action écologique'!$A$775=FE18,LEN(SUBSTITUTE((SUBSTITUTE(GD23,"TF","")),"TS",""))*10/2,0),IF('Eval-Après action écologique'!$A$776=FE18,LEN(SUBSTITUTE((SUBSTITUTE(GD24,"TF","")),"TS",""))*10/2,0),IF('Eval-Après action écologique'!$A$777=FE18,LEN(SUBSTITUTE((SUBSTITUTE(GD25,"TF","")),"TS",""))*10/2,0),IF('Eval-Après action écologique'!$A$778=FE18,LEN(SUBSTITUTE((SUBSTITUTE(GD26,"TF","")),"TS",""))*10/2,0),IF('Eval-Après action écologique'!$A$779=FE18,LEN(SUBSTITUTE((SUBSTITUTE(GD27,"TF","")),"TS",""))*10/2,0),IF('Eval-Après action écologique'!$A$780=FE18,LEN(SUBSTITUTE((SUBSTITUTE(GD28,"TF","")),"TS",""))*10/2,0))/COUNTIF('Eval-Après action écologique'!$A$761:$A$780,FE18),"")</f>
        <v/>
      </c>
      <c r="FQ18" s="211" t="str">
        <f>IF(COUNTIF('Eval-Après action écologique'!$A$761:$A$780,FE18)&gt;0,SUM(IF('Eval-Après action écologique'!$A$761=FE18,LEN(SUBSTITUTE((SUBSTITUTE(GD9,"TF","")),"TM",""))*10/2,0),IF('Eval-Après action écologique'!$A$762=FE18,LEN(SUBSTITUTE((SUBSTITUTE(GD10,"TF","")),"TM",""))*10/2,0),IF('Eval-Après action écologique'!$A$763=FE18,LEN(SUBSTITUTE((SUBSTITUTE(GD11,"TF","")),"TM",""))*10/2,0),IF('Eval-Après action écologique'!$A$764=FE18,LEN(SUBSTITUTE((SUBSTITUTE(GD12,"TF","")),"TM",""))*10/2,0),IF('Eval-Après action écologique'!$A$765=FE18,LEN(SUBSTITUTE((SUBSTITUTE(GD13,"TF","")),"TM",""))*10/2,0),IF('Eval-Après action écologique'!$A$766=FE18,LEN(SUBSTITUTE((SUBSTITUTE(GD14,"TF","")),"TM",""))*10/2,0),IF('Eval-Après action écologique'!$A$767=FE18,LEN(SUBSTITUTE((SUBSTITUTE(GD15,"TF","")),"TM",""))*10/2,0),IF('Eval-Après action écologique'!$A$768=FE18,LEN(SUBSTITUTE((SUBSTITUTE(GD16,"TF","")),"TM",""))*10/2,0),IF('Eval-Après action écologique'!$A$769=FE18,LEN(SUBSTITUTE((SUBSTITUTE(GD17,"TF","")),"TM",""))*10/2,0),IF('Eval-Après action écologique'!$A$770=FE18,LEN(SUBSTITUTE((SUBSTITUTE(GD18,"TF","")),"TM",""))*10/2,0),IF('Eval-Après action écologique'!$A$771=FE18,LEN(SUBSTITUTE((SUBSTITUTE(GD19,"TF","")),"TM",""))*10/2,0),IF('Eval-Après action écologique'!$A$772=FE18,LEN(SUBSTITUTE((SUBSTITUTE(GD20,"TF","")),"TM",""))*10/2,0),IF('Eval-Après action écologique'!$A$773=FE18,LEN(SUBSTITUTE((SUBSTITUTE(GD21,"TF","")),"TM",""))*10/2,0),IF('Eval-Après action écologique'!$A$774=FE18,LEN(SUBSTITUTE((SUBSTITUTE(GD22,"TF","")),"TM",""))*10/2,0),IF('Eval-Après action écologique'!$A$775=FE18,LEN(SUBSTITUTE((SUBSTITUTE(GD23,"TF","")),"TM",""))*10/2,0),IF('Eval-Après action écologique'!$A$776=FE18,LEN(SUBSTITUTE((SUBSTITUTE(GD24,"TF","")),"TM",""))*10/2,0),IF('Eval-Après action écologique'!$A$777=FE18,LEN(SUBSTITUTE((SUBSTITUTE(GD25,"TF","")),"TM",""))*10/2,0),IF('Eval-Après action écologique'!$A$778=FE18,LEN(SUBSTITUTE((SUBSTITUTE(GD26,"TF","")),"TM",""))*10/2,0),IF('Eval-Après action écologique'!$A$779=FE18,LEN(SUBSTITUTE((SUBSTITUTE(GD27,"TF","")),"TM",""))*10/2,0),IF('Eval-Après action écologique'!$A$780=FE18,LEN(SUBSTITUTE((SUBSTITUTE(GD28,"TF","")),"TM",""))*10/2,0))/COUNTIF('Eval-Après action écologique'!$A$761:$A$780,FE18),"")</f>
        <v/>
      </c>
      <c r="FR18" s="211" t="str">
        <f>IF(COUNTIF('Eval-Après action écologique'!$A$761:$A$780,FE18)&gt;0,SUM(IF('Eval-Après action écologique'!$A$761=FE18,LEN(SUBSTITUTE((SUBSTITUTE(GE9,"TM","")),"TS",""))*10/2,0),IF('Eval-Après action écologique'!$A$762=FE18,LEN(SUBSTITUTE((SUBSTITUTE(GE10,"TM","")),"TS",""))*10/2,0),IF('Eval-Après action écologique'!$A$763=FE18,LEN(SUBSTITUTE((SUBSTITUTE(GE11,"TM","")),"TS",""))*10/2,0),IF('Eval-Après action écologique'!$A$764=FE18,LEN(SUBSTITUTE((SUBSTITUTE(GE12,"TM","")),"TS",""))*10/2,0),IF('Eval-Après action écologique'!$A$765=FE18,LEN(SUBSTITUTE((SUBSTITUTE(GE13,"TM","")),"TS",""))*10/2,0),IF('Eval-Après action écologique'!$A$766=FE18,LEN(SUBSTITUTE((SUBSTITUTE(GE14,"TM","")),"TS",""))*10/2,0),IF('Eval-Après action écologique'!$A$767=FE18,LEN(SUBSTITUTE((SUBSTITUTE(GE15,"TM","")),"TS",""))*10/2,0),IF('Eval-Après action écologique'!$A$768=FE18,LEN(SUBSTITUTE((SUBSTITUTE(GE16,"TM","")),"TS",""))*10/2,0),IF('Eval-Après action écologique'!$A$769=FE18,LEN(SUBSTITUTE((SUBSTITUTE(GE17,"TM","")),"TS",""))*10/2,0),IF('Eval-Après action écologique'!$A$770=FE18,LEN(SUBSTITUTE((SUBSTITUTE(GE18,"TM","")),"TS",""))*10/2,0),IF('Eval-Après action écologique'!$A$771=FE18,LEN(SUBSTITUTE((SUBSTITUTE(GE19,"TM","")),"TS",""))*10/2,0),IF('Eval-Après action écologique'!$A$772=FE18,LEN(SUBSTITUTE((SUBSTITUTE(GE20,"TM","")),"TS",""))*10/2,0),IF('Eval-Après action écologique'!$A$773=FE18,LEN(SUBSTITUTE((SUBSTITUTE(GE21,"TM","")),"TS",""))*10/2,0),IF('Eval-Après action écologique'!$A$774=FE18,LEN(SUBSTITUTE((SUBSTITUTE(GE22,"TM","")),"TS",""))*10/2,0),IF('Eval-Après action écologique'!$A$775=FE18,LEN(SUBSTITUTE((SUBSTITUTE(GE23,"TM","")),"TS",""))*10/2,0),IF('Eval-Après action écologique'!$A$776=FE18,LEN(SUBSTITUTE((SUBSTITUTE(GE24,"TM","")),"TS",""))*10/2,0),IF('Eval-Après action écologique'!$A$777=FE18,LEN(SUBSTITUTE((SUBSTITUTE(GE25,"TM","")),"TS",""))*10/2,0),IF('Eval-Après action écologique'!$A$778=FE18,LEN(SUBSTITUTE((SUBSTITUTE(GE26,"TM","")),"TS",""))*10/2,0),IF('Eval-Après action écologique'!$A$779=FE18,LEN(SUBSTITUTE((SUBSTITUTE(GE27,"TM","")),"TS",""))*10/2,0),IF('Eval-Après action écologique'!$A$780=FE18,LEN(SUBSTITUTE((SUBSTITUTE(GE28,"TM","")),"TS",""))*10/2,0))/COUNTIF('Eval-Après action écologique'!$A$761:$A$780,FE18),"")</f>
        <v/>
      </c>
      <c r="FS18" s="211" t="str">
        <f>IF(COUNTIF('Eval-Après action écologique'!$A$761:$A$780,FE18)&gt;0,SUM(IF('Eval-Après action écologique'!$A$761=FE18,LEN(SUBSTITUTE((SUBSTITUTE(GE9,"TF","")),"TS",""))*10/2,0),IF('Eval-Après action écologique'!$A$762=FE18,LEN(SUBSTITUTE((SUBSTITUTE(GE10,"TF","")),"TS",""))*10/2,0),IF('Eval-Après action écologique'!$A$763=FE18,LEN(SUBSTITUTE((SUBSTITUTE(GE11,"TF","")),"TS",""))*10/2,0),IF('Eval-Après action écologique'!$A$764=FE18,LEN(SUBSTITUTE((SUBSTITUTE(GE12,"TF","")),"TS",""))*10/2,0),IF('Eval-Après action écologique'!$A$765=FE18,LEN(SUBSTITUTE((SUBSTITUTE(GE13,"TF","")),"TS",""))*10/2,0),IF('Eval-Après action écologique'!$A$766=FE18,LEN(SUBSTITUTE((SUBSTITUTE(GE14,"TF","")),"TS",""))*10/2,0),IF('Eval-Après action écologique'!$A$767=FE18,LEN(SUBSTITUTE((SUBSTITUTE(GE15,"TF","")),"TS",""))*10/2,0),IF('Eval-Après action écologique'!$A$768=FE18,LEN(SUBSTITUTE((SUBSTITUTE(GE16,"TF","")),"TS",""))*10/2,0),IF('Eval-Après action écologique'!$A$769=FE18,LEN(SUBSTITUTE((SUBSTITUTE(GE17,"TF","")),"TS",""))*10/2,0),IF('Eval-Après action écologique'!$A$770=FE18,LEN(SUBSTITUTE((SUBSTITUTE(GE18,"TF","")),"TS",""))*10/2,0),IF('Eval-Après action écologique'!$A$771=FE18,LEN(SUBSTITUTE((SUBSTITUTE(GE19,"TF","")),"TS",""))*10/2,0),IF('Eval-Après action écologique'!$A$772=FE18,LEN(SUBSTITUTE((SUBSTITUTE(GE20,"TF","")),"TS",""))*10/2,0),IF('Eval-Après action écologique'!$A$773=FE18,LEN(SUBSTITUTE((SUBSTITUTE(GE21,"TF","")),"TS",""))*10/2,0),IF('Eval-Après action écologique'!$A$774=FE18,LEN(SUBSTITUTE((SUBSTITUTE(GE22,"TF","")),"TS",""))*10/2,0),IF('Eval-Après action écologique'!$A$775=FE18,LEN(SUBSTITUTE((SUBSTITUTE(GE23,"TF","")),"TS",""))*10/2,0),IF('Eval-Après action écologique'!$A$776=FE18,LEN(SUBSTITUTE((SUBSTITUTE(GE24,"TF","")),"TS",""))*10/2,0),IF('Eval-Après action écologique'!$A$777=FE18,LEN(SUBSTITUTE((SUBSTITUTE(GE25,"TF","")),"TS",""))*10/2,0),IF('Eval-Après action écologique'!$A$778=FE18,LEN(SUBSTITUTE((SUBSTITUTE(GE26,"TF","")),"TS",""))*10/2,0),IF('Eval-Après action écologique'!$A$779=FE18,LEN(SUBSTITUTE((SUBSTITUTE(GE27,"TF","")),"TS",""))*10/2,0),IF('Eval-Après action écologique'!$A$780=FE18,LEN(SUBSTITUTE((SUBSTITUTE(GE28,"TF","")),"TS",""))*10/2,0))/COUNTIF('Eval-Après action écologique'!$A$761:$A$780,FE18),"")</f>
        <v/>
      </c>
      <c r="FT18" s="211" t="str">
        <f>IF(COUNTIF('Eval-Après action écologique'!$A$761:$A$780,FE18)&gt;0,SUM(IF('Eval-Après action écologique'!$A$761=FE18,LEN(SUBSTITUTE((SUBSTITUTE(GE9,"TF","")),"TM",""))*10/2,0),IF('Eval-Après action écologique'!$A$762=FE18,LEN(SUBSTITUTE((SUBSTITUTE(GE10,"TF","")),"TM",""))*10/2,0),IF('Eval-Après action écologique'!$A$763=FE18,LEN(SUBSTITUTE((SUBSTITUTE(GE11,"TF","")),"TM",""))*10/2,0),IF('Eval-Après action écologique'!$A$764=FE18,LEN(SUBSTITUTE((SUBSTITUTE(GE12,"TF","")),"TM",""))*10/2,0),IF('Eval-Après action écologique'!$A$765=FE18,LEN(SUBSTITUTE((SUBSTITUTE(GE13,"TF","")),"TM",""))*10/2,0),IF('Eval-Après action écologique'!$A$766=FE18,LEN(SUBSTITUTE((SUBSTITUTE(GE14,"TF","")),"TM",""))*10/2,0),IF('Eval-Après action écologique'!$A$767=FE18,LEN(SUBSTITUTE((SUBSTITUTE(GE15,"TF","")),"TM",""))*10/2,0),IF('Eval-Après action écologique'!$A$768=FE18,LEN(SUBSTITUTE((SUBSTITUTE(GE16,"TF","")),"TM",""))*10/2,0),IF('Eval-Après action écologique'!$A$769=FE18,LEN(SUBSTITUTE((SUBSTITUTE(GE17,"TF","")),"TM",""))*10/2,0),IF('Eval-Après action écologique'!$A$770=FE18,LEN(SUBSTITUTE((SUBSTITUTE(GE18,"TF","")),"TM",""))*10/2,0),IF('Eval-Après action écologique'!$A$771=FE18,LEN(SUBSTITUTE((SUBSTITUTE(GE19,"TF","")),"TM",""))*10/2,0),IF('Eval-Après action écologique'!$A$772=FE18,LEN(SUBSTITUTE((SUBSTITUTE(GE20,"TF","")),"TM",""))*10/2,0),IF('Eval-Après action écologique'!$A$773=FE18,LEN(SUBSTITUTE((SUBSTITUTE(GE21,"TF","")),"TM",""))*10/2,0),IF('Eval-Après action écologique'!$A$774=FE18,LEN(SUBSTITUTE((SUBSTITUTE(GE22,"TF","")),"TM",""))*10/2,0),IF('Eval-Après action écologique'!$A$775=FE18,LEN(SUBSTITUTE((SUBSTITUTE(GE23,"TF","")),"TM",""))*10/2,0),IF('Eval-Après action écologique'!$A$776=FE18,LEN(SUBSTITUTE((SUBSTITUTE(GE24,"TF","")),"TM",""))*10/2,0),IF('Eval-Après action écologique'!$A$777=FE18,LEN(SUBSTITUTE((SUBSTITUTE(GE25,"TF","")),"TM",""))*10/2,0),IF('Eval-Après action écologique'!$A$778=FE18,LEN(SUBSTITUTE((SUBSTITUTE(GE26,"TF","")),"TM",""))*10/2,0),IF('Eval-Après action écologique'!$A$779=FE18,LEN(SUBSTITUTE((SUBSTITUTE(GE27,"TF","")),"TM",""))*10/2,0),IF('Eval-Après action écologique'!$A$780=FE18,LEN(SUBSTITUTE((SUBSTITUTE(GE28,"TF","")),"TM",""))*10/2,0))/COUNTIF('Eval-Après action écologique'!$A$761:$A$780,FE18),"")</f>
        <v/>
      </c>
      <c r="FU18" s="211" t="str">
        <f>IF(COUNTIF('Eval-Après action écologique'!$A$761:$A$780,FE18)&gt;0,IF(OR(AND('Eval-Après action écologique'!$A$761=FE18,GB9&lt;30),AND('Eval-Après action écologique'!$A$762=FE18,GB10&lt;30),AND('Eval-Après action écologique'!$A$763=FE18,GB11&lt;30),AND('Eval-Après action écologique'!$A$764=FE18,GB12&lt;30),AND('Eval-Après action écologique'!$A$765=FE18,GB13&lt;30),AND('Eval-Après action écologique'!$A$766=FE18,GB14&lt;30),AND('Eval-Après action écologique'!$A$767=FE18,GB15&lt;30),AND('Eval-Après action écologique'!$A$768=FE18,GB16&lt;30),AND('Eval-Après action écologique'!$A$769=FE18,GB17&lt;30),AND('Eval-Après action écologique'!$A$770=FE18,GB18&lt;30),AND('Eval-Après action écologique'!$A$771=FE18,GB19&lt;30),AND('Eval-Après action écologique'!$A$772=FE18,GB20&lt;30),AND('Eval-Après action écologique'!$A$773=FE18,GB21&lt;30),AND('Eval-Après action écologique'!$A$774=FE18,GB22&lt;30),AND('Eval-Après action écologique'!$A$775=FE18,GB23&lt;30),AND('Eval-Après action écologique'!$A$776=FE18,GB24&lt;30),AND('Eval-Après action écologique'!$A$777=FE18,GB25&lt;30),AND('Eval-Après action écologique'!$A$778=FE18,GB26&lt;30),AND('Eval-Après action écologique'!$A$779=FE18,GB27&lt;30),AND('Eval-Après action écologique'!$A$780=FE18,GB28&lt;30)),"",SUM(0.1*(SUMPRODUCT(('Eval-Après action écologique'!$A$761:$A$780=FE18)*('Eval-Après action écologique'!$N$761:$P$780="A"))+ SUMPRODUCT(('Eval-Après action écologique'!$A$761:$A$780=FE18)*('Eval-Après action écologique'!$N$761:$P$780="AL"))),0.7*(SUMPRODUCT(('Eval-Après action écologique'!$A$761:$A$780=FE18)*('Eval-Après action écologique'!$N$761:$P$780="TF"))+SUMPRODUCT(('Eval-Après action écologique'!$A$761:$A$780=FE18)*('Eval-Après action écologique'!$N$761:$P$780="TM"))+SUMPRODUCT(('Eval-Après action écologique'!$A$761:$A$780=FE18)*('Eval-Après action écologique'!$N$761:$P$780="TS"))),0.4*(SUMPRODUCT(('Eval-Après action écologique'!$A$761:$A$780=FE18)*('Eval-Après action écologique'!$N$761:$P$780="LA"))+SUMPRODUCT(('Eval-Après action écologique'!$A$761:$A$780=FE18)*('Eval-Après action écologique'!$N$761:$P$780="L"))+SUMPRODUCT(('Eval-Après action écologique'!$A$761:$A$780=FE18)*('Eval-Après action écologique'!$N$761:$P$780="LS"))),1*(SUMPRODUCT(('Eval-Après action écologique'!$A$761:$A$780=FE18)*('Eval-Après action écologique'!$N$761:$P$780="SL"))+ SUMPRODUCT(('Eval-Après action écologique'!$A$761:$A$780=FE18)*('Eval-Après action écologique'!$N$761:$P$780="S"))))/(3*COUNTIF('Eval-Après action écologique'!$A$761:$A$780,FE18))),"")</f>
        <v/>
      </c>
      <c r="FV18" s="211" t="str">
        <f>IF(COUNTIF('Eval-Après action écologique'!$A$761:$A$780,FE18)&gt;0,IF(OR(AND('Eval-Après action écologique'!$A$761=FE18,GB9&lt;120),AND('Eval-Après action écologique'!$A$762=FE18,GB10&lt;120),AND('Eval-Après action écologique'!$A$763=FE18,GB11&lt;120),AND('Eval-Après action écologique'!$A$764=FE18,GB12&lt;120),AND('Eval-Après action écologique'!$A$765=FE18,GB13&lt;120),AND('Eval-Après action écologique'!$A$766=FE18,GB14&lt;120),AND('Eval-Après action écologique'!$A$767=FE18,GB15&lt;120),AND('Eval-Après action écologique'!$A$768=FE18,GB16&lt;120),AND('Eval-Après action écologique'!$A$769=FE18,GB17&lt;120),AND('Eval-Après action écologique'!$A$770=FE18,GB18&lt;120),AND('Eval-Après action écologique'!$A$771=FE18,GB19&lt;120),AND('Eval-Après action écologique'!$A$772=FE18,GB20&lt;120),AND('Eval-Après action écologique'!$A$773=FE18,GB21&lt;120),AND('Eval-Après action écologique'!$A$774=FE18,GB22&lt;120),AND('Eval-Après action écologique'!$A$775=FE18,GB23&lt;120),AND('Eval-Après action écologique'!$A$776=FE18,GB24&lt;120),AND('Eval-Après action écologique'!$A$777=FE18,GB25&lt;120),AND('Eval-Après action écologique'!$A$778=FE18,GB26&lt;120),AND('Eval-Après action écologique'!$A$779=FE18,GB27&lt;120),AND('Eval-Après action écologique'!$A$780=FE18,GB28&lt;120)),"",SUM(0.1*(SUMPRODUCT(('Eval-Après action écologique'!$A$761:$A$780=FE18)*('Eval-Après action écologique'!$Q$761:$Y$780="A"))+ SUMPRODUCT(('Eval-Après action écologique'!$A$761:$A$780=FE18)*('Eval-Après action écologique'!$Q$761:$Y$780="AL"))),0.7*(SUMPRODUCT(('Eval-Après action écologique'!$A$761:$A$780=FE18)*('Eval-Après action écologique'!$Q$761:$Y$780="TF"))+SUMPRODUCT(('Eval-Après action écologique'!$A$761:$A$780=FE18)*('Eval-Après action écologique'!$Q$761:$Y$780="TM"))+SUMPRODUCT(('Eval-Après action écologique'!$A$761:$A$780=FE18)*('Eval-Après action écologique'!$Q$761:$Y$780="TS"))),0.4*(SUMPRODUCT(('Eval-Après action écologique'!$A$761:$A$780=FE18)*('Eval-Après action écologique'!$Q$761:$Y$780="LA"))+SUMPRODUCT(('Eval-Après action écologique'!$A$761:$A$780=FE18)*('Eval-Après action écologique'!$Q$761:$Y$780="L"))+SUMPRODUCT(('Eval-Après action écologique'!$A$761:$A$780=FE18)*('Eval-Après action écologique'!$Q$761:$Y$780="LS"))),1*(SUMPRODUCT(('Eval-Après action écologique'!$A$761:$A$780=FE18)*('Eval-Après action écologique'!$Q$761:$Y$780="SL"))+ SUMPRODUCT(('Eval-Après action écologique'!$A$761:$A$780=FE18)*('Eval-Après action écologique'!$Q$761:$Y$780="S"))))/(9*COUNTIF('Eval-Après action écologique'!$A$761:$A$780,FE18))),"")</f>
        <v/>
      </c>
      <c r="FW18" s="211" t="str">
        <f>IF(COUNTIF('Eval-Après action écologique'!$A$761:$A$780,FE18)&gt;0,IF(OR(AND('Eval-Après action écologique'!$A$761=FE18,OR(COUNTIF('Eval-Après action écologique'!$N$761:$P$761,"*T*")&gt;0,GB9&lt;30)),AND('Eval-Après action écologique'!$A$762=FE18,OR(COUNTIF('Eval-Après action écologique'!$N$762:$P$762,"*T*")&gt;0,GB10&lt;30)),AND('Eval-Après action écologique'!$A$763=FE18,OR(COUNTIF('Eval-Après action écologique'!$N$763:$P$763,"*T*")&gt;0,GB11&lt;30)),AND('Eval-Après action écologique'!$A$764=FE18,OR(COUNTIF('Eval-Après action écologique'!$N$764:$P$764,"*T*")&gt;0,GB12&lt;30)),AND('Eval-Après action écologique'!$A$765=FE18,OR(COUNTIF('Eval-Après action écologique'!$N$765:$P$765,"*T*")&gt;0,GB13&lt;30)),AND('Eval-Après action écologique'!$A$766=FE18,OR(COUNTIF('Eval-Après action écologique'!$N$766:$P$766,"*T*")&gt;0,GB14&lt;30)),AND('Eval-Après action écologique'!$A$767=FE18,OR(COUNTIF('Eval-Après action écologique'!$N$767:$P$767,"*T*")&gt;0,GB15&lt;30)),AND('Eval-Après action écologique'!$A$768=FE18,OR(COUNTIF('Eval-Après action écologique'!$N$768:$P$768,"*T*")&gt;0,GB16&lt;30)),AND('Eval-Après action écologique'!$A$769=FE18,OR(COUNTIF('Eval-Après action écologique'!$N$769:$P$769,"*T*")&gt;0,GB17&lt;30)),AND('Eval-Après action écologique'!$A$770=FE18,OR(COUNTIF('Eval-Après action écologique'!$N$770:$P$770,"*T*")&gt;0,GB18&lt;30)),AND('Eval-Après action écologique'!$A$771=FE18,OR(COUNTIF('Eval-Après action écologique'!$N$771:$P$771,"*T*")&gt;0,GB19&lt;30)),AND('Eval-Après action écologique'!$A$772=FE18,OR(COUNTIF('Eval-Après action écologique'!$N$772:$P$772,"*T*")&gt;0,GB20&lt;30)),AND('Eval-Après action écologique'!$A$773=FE18,OR(COUNTIF('Eval-Après action écologique'!$N$773:$P$773,"*T*")&gt;0,GB21&lt;30)),AND('Eval-Après action écologique'!$A$774=FE18,OR(COUNTIF('Eval-Après action écologique'!$N$774:$P$774,"*T*")&gt;0,GB22&lt;30)),AND('Eval-Après action écologique'!$A$775=FE18,OR(COUNTIF('Eval-Après action écologique'!$N$775:$P$775,"*T*")&gt;0,GB23&lt;30)),AND('Eval-Après action écologique'!$A$776=FE18,OR(COUNTIF('Eval-Après action écologique'!$N$776:$P$776,"*T*")&gt;0,GB24&lt;30)),AND('Eval-Après action écologique'!$A$777=FE18,OR(COUNTIF('Eval-Après action écologique'!$N$777:$P$777,"*T*")&gt;0,GB25&lt;30)),AND('Eval-Après action écologique'!$A$778=FE18,OR(COUNTIF('Eval-Après action écologique'!$N$778:$P$778,"*T*")&gt;0,GB26&lt;30)),AND('Eval-Après action écologique'!$A$779=FE18,OR(COUNTIF('Eval-Après action écologique'!$N$779:$P$779,"*T*")&gt;0,GB27&lt;30)),AND('Eval-Après action écologique'!$A$780=FE18,OR(COUNTIF('Eval-Après action écologique'!$N$780:$P$780,"*T*")&gt;0,GB28&lt;30))),"",SUM(0.1*(SUMPRODUCT(('Eval-Après action écologique'!$A$761:$A$780=FE18)*('Eval-Après action écologique'!$N$761:$P$780="L"))),0.4*(SUMPRODUCT(('Eval-Après action écologique'!$A$761:$A$780=FE18)*('Eval-Après action écologique'!$N$761:$P$780="LA"))+SUMPRODUCT(('Eval-Après action écologique'!$A$761:$A$780=FE18)*('Eval-Après action écologique'!$N$761:$P$780="LS"))),0.7*(SUMPRODUCT(('Eval-Après action écologique'!$A$761:$A$780=FE18)*('Eval-Après action écologique'!$N$761:$P$780="AL"))+SUMPRODUCT(('Eval-Après action écologique'!$A$761:$A$780=FE18)*('Eval-Après action écologique'!$N$761:$P$780="SL"))),1*(SUMPRODUCT(('Eval-Après action écologique'!$A$761:$A$780=FE18)*('Eval-Après action écologique'!$N$761:$P$780="S"))+ SUMPRODUCT(('Eval-Après action écologique'!$A$761:$A$780=FE18)*('Eval-Après action écologique'!$N$761:$P$780="A"))))/(3*COUNTIF('Eval-Après action écologique'!$A$761:$A$780,FE18))),"")</f>
        <v/>
      </c>
      <c r="FX18" s="211" t="str">
        <f>IF(COUNTIF('Eval-Après action écologique'!$A$761:$A$780,FE18)&gt;0,IF(OR(AND('Eval-Après action écologique'!$A$761=FE18,OR(COUNTIF('Eval-Après action écologique'!$N$761:$P$761,"*T*")&gt;0,GB9&lt;30)),AND('Eval-Après action écologique'!$A$762=FE18,OR(COUNTIF('Eval-Après action écologique'!$N$762:$P$762,"*T*")&gt;0,GB10&lt;30)),AND('Eval-Après action écologique'!$A$763=FE18,OR(COUNTIF('Eval-Après action écologique'!$N$763:$P$763,"*T*")&gt;0,GB11&lt;30)),AND('Eval-Après action écologique'!$A$764=FE18,OR(COUNTIF('Eval-Après action écologique'!$N$764:$P$764,"*T*")&gt;0,GB12&lt;30)),AND('Eval-Après action écologique'!$A$765=FE18,OR(COUNTIF('Eval-Après action écologique'!$N$765:$P$765,"*T*")&gt;0,GB13&lt;30)),AND('Eval-Après action écologique'!$A$766=FE18,OR(COUNTIF('Eval-Après action écologique'!$N$766:$P$766,"*T*")&gt;0,GB14&lt;30)),AND('Eval-Après action écologique'!$A$767=FE18,OR(COUNTIF('Eval-Après action écologique'!$N$767:$P$767,"*T*")&gt;0,GB15&lt;30)),AND('Eval-Après action écologique'!$A$768=FE18,OR(COUNTIF('Eval-Après action écologique'!$N$768:$P$768,"*T*")&gt;0,GB16&lt;30)),AND('Eval-Après action écologique'!$A$769=FE18,OR(COUNTIF('Eval-Après action écologique'!$N$769:$P$769,"*T*")&gt;0,GB17&lt;30)),AND('Eval-Après action écologique'!$A$770=FE18,OR(COUNTIF('Eval-Après action écologique'!$N$770:$P$770,"*T*")&gt;0,GB18&lt;30)),AND('Eval-Après action écologique'!$A$771=FE18,OR(COUNTIF('Eval-Après action écologique'!$N$771:$P$771,"*T*")&gt;0,GB19&lt;30)),AND('Eval-Après action écologique'!$A$772=FE18,OR(COUNTIF('Eval-Après action écologique'!$N$772:$P$772,"*T*")&gt;0,GB20&lt;30)),AND('Eval-Après action écologique'!$A$773=FE18,OR(COUNTIF('Eval-Après action écologique'!$N$773:$P$773,"*T*")&gt;0,GB21&lt;30)),AND('Eval-Après action écologique'!$A$774=FE18,OR(COUNTIF('Eval-Après action écologique'!$N$774:$P$774,"*T*")&gt;0,GB22&lt;30)),AND('Eval-Après action écologique'!$A$775=FE18,OR(COUNTIF('Eval-Après action écologique'!$N$775:$P$775,"*T*")&gt;0,GB23&lt;30)),AND('Eval-Après action écologique'!$A$776=FE18,OR(COUNTIF('Eval-Après action écologique'!$N$776:$P$776,"*T*")&gt;0,GB24&lt;30)),AND('Eval-Après action écologique'!$A$777=FE18,OR(COUNTIF('Eval-Après action écologique'!$N$777:$P$777,"*T*")&gt;0,GB25&lt;30)),AND('Eval-Après action écologique'!$A$778=FE18,OR(COUNTIF('Eval-Après action écologique'!$N$778:$P$778,"*T*")&gt;0,GB26&lt;30)),AND('Eval-Après action écologique'!$A$779=FE18,OR(COUNTIF('Eval-Après action écologique'!$N$779:$P$779,"*T*")&gt;0,GB27&lt;30)),AND('Eval-Après action écologique'!$A$780=FE18,OR(COUNTIF('Eval-Après action écologique'!$N$780:$P$780,"*T*")&gt;0,GB28&lt;30))),"",SUM(1*(SUMPRODUCT(('Eval-Après action écologique'!$A$761:$A$780=FE18)*('Eval-Après action écologique'!$N$761:$P$780="A"))),0.85*(SUMPRODUCT(('Eval-Après action écologique'!$A$761:$A$780=FE18)*('Eval-Après action écologique'!$N$761:$P$780="AL"))),0.7*(SUMPRODUCT(('Eval-Après action écologique'!$A$761:$A$780=FE18)*('Eval-Après action écologique'!$N$761:$P$780="LA"))),0.55*(SUMPRODUCT(('Eval-Après action écologique'!$A$761:$A$780=FE18)*('Eval-Après action écologique'!$N$761:$P$780="L"))),0.4*(SUMPRODUCT(('Eval-Après action écologique'!$A$761:$A$780=FE18)*('Eval-Après action écologique'!$N$761:$P$780="LS"))),0.25*(SUMPRODUCT(('Eval-Après action écologique'!$A$761:$A$780=FE18)*('Eval-Après action écologique'!$N$761:$P$780="SL"))),0.1*(SUMPRODUCT(('Eval-Après action écologique'!$A$761:$A$780=FE18)*('Eval-Après action écologique'!$N$761:$P$780="S"))))/(3*COUNTIF('Eval-Après action écologique'!$A$761:$A$780,FE18))),"")</f>
        <v/>
      </c>
      <c r="FY18" s="214" t="str">
        <f>IF(COUNTIF('Eval-Après action écologique'!$A$761:$A$780,FE18)&gt;0,IF(OR(AND('Eval-Après action écologique'!$A$761=FE18,OR(COUNTIF('Eval-Après action écologique'!$Q$761:$Y$761,"*T*")&gt;0,GB9&lt;120)),AND('Eval-Après action écologique'!$A$762=FE18,OR(COUNTIF('Eval-Après action écologique'!$Q$762:$Y$762,"*T*")&gt;0,GB10&lt;120)),AND('Eval-Après action écologique'!$A$763=FE18,OR(COUNTIF('Eval-Après action écologique'!$Q$763:$Y$763,"*T*")&gt;0,GB11&lt;120)),AND('Eval-Après action écologique'!$A$764=FE18,OR(COUNTIF('Eval-Après action écologique'!$Q$764:$Y$764,"*T*")&gt;0,GB12&lt;120)),AND('Eval-Après action écologique'!$A$765=FE18,OR(COUNTIF('Eval-Après action écologique'!$Q$765:$Y$765,"*T*")&gt;0,GB13&lt;120)),AND('Eval-Après action écologique'!$A$766=FE18,OR(COUNTIF('Eval-Après action écologique'!$Q$766:$Y$766,"*T*")&gt;0,GB14&lt;120)),AND('Eval-Après action écologique'!$A$767=FE18,OR(COUNTIF('Eval-Après action écologique'!$Q$767:$Y$767,"*T*")&gt;0,GB15&lt;120)),AND('Eval-Après action écologique'!$A$768=FE18,OR(COUNTIF('Eval-Après action écologique'!$Q$768:$Y$768,"*T*")&gt;0,GB16&lt;120)),AND('Eval-Après action écologique'!$A$769=FE18,OR(COUNTIF('Eval-Après action écologique'!$Q$769:$Y$769,"*T*")&gt;0,GB17&lt;120)),AND('Eval-Après action écologique'!$A$770=FE18,OR(COUNTIF('Eval-Après action écologique'!$Q$770:$Y$770,"*T*")&gt;0,GB18&lt;120)),AND('Eval-Après action écologique'!$A$771=FE18,OR(COUNTIF('Eval-Après action écologique'!$Q$771:$Y$771,"*T*")&gt;0,GB19&lt;120)),AND('Eval-Après action écologique'!$A$772=FE18,OR(COUNTIF('Eval-Après action écologique'!$Q$772:$Y$772,"*T*")&gt;0,GB20&lt;120)),AND('Eval-Après action écologique'!$A$773=FE18,OR(COUNTIF('Eval-Après action écologique'!$Q$773:$Y$773,"*T*")&gt;0,GB21&lt;120)),AND('Eval-Après action écologique'!$A$774=FE18,OR(COUNTIF('Eval-Après action écologique'!$Q$774:$Y$774,"*T*")&gt;0,GB22&lt;120)),AND('Eval-Après action écologique'!$A$775=FE18,OR(COUNTIF('Eval-Après action écologique'!$Q$775:$Y$775,"*T*")&gt;0,GB23&lt;120)),AND('Eval-Après action écologique'!$A$776=FE18,OR(COUNTIF('Eval-Après action écologique'!$Q$776:$Y$776,"*T*")&gt;0,GB24&lt;120)),AND('Eval-Après action écologique'!$A$777=FE18,OR(COUNTIF('Eval-Après action écologique'!$Q$777:$Y$777,"*T*")&gt;0,GB25&lt;120)),AND('Eval-Après action écologique'!$A$778=FE18,OR(COUNTIF('Eval-Après action écologique'!$Q$778:$Y$778,"*T*")&gt;0,GB26&lt;120)),AND('Eval-Après action écologique'!$A$779=FE18,OR(COUNTIF('Eval-Après action écologique'!$Q$779:$Y$779,"*T*")&gt;0,GB27&lt;120)),AND('Eval-Après action écologique'!$A$780=FE18,OR(COUNTIF('Eval-Après action écologique'!$Q$780:$Y$780,"*T*")&gt;0,GB28&lt;120))),"",SUM(1*(SUMPRODUCT(('Eval-Après action écologique'!$A$761:$A$780=FE18)*('Eval-Après action écologique'!$Q$761:$Y$780="A"))),0.85*(SUMPRODUCT(('Eval-Après action écologique'!$A$761:$A$780=FE18)*('Eval-Après action écologique'!$Q$761:$Y$780="AL"))),0.7*(SUMPRODUCT(('Eval-Après action écologique'!$A$761:$A$780=FE18)*('Eval-Après action écologique'!$Q$761:$Y$780="LA"))),0.55*(SUMPRODUCT(('Eval-Après action écologique'!$A$761:$A$780=FE18)*('Eval-Après action écologique'!$Q$761:$Y$780="L"))),0.4*(SUMPRODUCT(('Eval-Après action écologique'!$A$761:$A$780=FE18)*('Eval-Après action écologique'!$Q$761:$Y$780="LS"))),0.25*(SUMPRODUCT(('Eval-Après action écologique'!$A$761:$A$780=FE18)*('Eval-Après action écologique'!$Q$761:$Y$780="SL"))),0.1*(SUMPRODUCT(('Eval-Après action écologique'!$A$761:$A$780=FE18)*('Eval-Après action écologique'!$Q$761:$Y$780="S"))))/(9*COUNTIF('Eval-Après action écologique'!$A$761:$A$780,FE18))),"")</f>
        <v/>
      </c>
      <c r="FZ18" s="215"/>
      <c r="GA18" s="216">
        <f>'Eval-Après action écologique'!$D$770</f>
        <v>10</v>
      </c>
      <c r="GB18" s="217" t="str">
        <f>IF(GC18="C",0,IF(IF(COUNTIF('Eval-Après action écologique'!$N$770:$Y$770,"=C")&gt;0,(COUNTA('Eval-Après action écologique'!$N$770:$Y$770)-1)*10,COUNTA('Eval-Après action écologique'!$N$770:$Y$770)*10)=0,"",IF(COUNTIF('Eval-Après action écologique'!$N$770:$Y$770,"=C")&gt;0,(COUNTA('Eval-Après action écologique'!$N$770:$Y$770)-1)*10,COUNTA('Eval-Après action écologique'!$N$770:$Y$770)*10)))</f>
        <v/>
      </c>
      <c r="GC18" s="217" t="str">
        <f>CONCATENATE('Eval-Après action écologique'!$N$770,'Eval-Après action écologique'!$O$770,'Eval-Après action écologique'!$P$770,'Eval-Après action écologique'!$Q$770,'Eval-Après action écologique'!$R$770,'Eval-Après action écologique'!$S$770,'Eval-Après action écologique'!$T$770,'Eval-Après action écologique'!$U$770,'Eval-Après action écologique'!$V$770,'Eval-Après action écologique'!$W$770,'Eval-Après action écologique'!$X$770,'Eval-Après action écologique'!$Y$770)</f>
        <v/>
      </c>
      <c r="GD18" s="217" t="str">
        <f t="shared" si="20"/>
        <v/>
      </c>
      <c r="GE18" s="217" t="str">
        <f t="shared" si="21"/>
        <v/>
      </c>
      <c r="GF18" s="217" t="str">
        <f>IF(COUNTIF('Eval-Après action écologique'!$N$770:$Y$770,"=C")&gt;0,"X","")</f>
        <v/>
      </c>
      <c r="GG18" s="217" t="str">
        <f t="shared" si="22"/>
        <v/>
      </c>
      <c r="GH18" s="218" t="str">
        <f t="shared" si="23"/>
        <v/>
      </c>
      <c r="GI18" s="197"/>
    </row>
    <row r="19" spans="1:191" ht="18" customHeight="1" x14ac:dyDescent="0.2">
      <c r="A19" s="210">
        <v>11</v>
      </c>
      <c r="B19" s="211" t="str">
        <f>IF(COUNTIF('Eval-Avant impact'!$A$761:$A$780,A19)&gt;0,SUM(IF('Eval-Avant impact'!$A$761=A19,'Eval-Avant impact'!$B$761,0),IF('Eval-Avant impact'!$A$762=A19, 'Eval-Avant impact'!$B$762,0),IF('Eval-Avant impact'!$A$763=A19, 'Eval-Avant impact'!$B$763,0),IF('Eval-Avant impact'!$A$764=A19, 'Eval-Avant impact'!$B$764,0),IF('Eval-Avant impact'!$A$765=A19, 'Eval-Avant impact'!$B$765,0),IF('Eval-Avant impact'!$A$766=A19, 'Eval-Avant impact'!$B$766,0),IF('Eval-Avant impact'!$A$767=A19, 'Eval-Avant impact'!$B$767,0),IF('Eval-Avant impact'!$A$768=A19, 'Eval-Avant impact'!$B$768,0),IF('Eval-Avant impact'!$A$769=A19, 'Eval-Avant impact'!$B$769,0),IF('Eval-Avant impact'!$A$770=A19, 'Eval-Avant impact'!$B$770,0),IF('Eval-Avant impact'!$A$771=A19, 'Eval-Avant impact'!$B$771,0),IF('Eval-Avant impact'!$A$772=A19, 'Eval-Avant impact'!$B$772,0),IF('Eval-Avant impact'!$A$773=A19, 'Eval-Avant impact'!$B$773,0),IF('Eval-Avant impact'!$A$774=A19, 'Eval-Avant impact'!$B$774,0),IF('Eval-Avant impact'!$A$775=A19, 'Eval-Avant impact'!$B$775,0),IF('Eval-Avant impact'!$A$776=A19, 'Eval-Avant impact'!$B$776,0),IF('Eval-Avant impact'!$A$777=A19, 'Eval-Avant impact'!$B$777,0),IF('Eval-Avant impact'!$A$778=A19, 'Eval-Avant impact'!$B$778,0),IF('Eval-Avant impact'!$A$779=A19, 'Eval-Avant impact'!$B$779,0),IF('Eval-Avant impact'!$A$780=A19, 'Eval-Avant impact'!$B$780,0))/COUNTIF('Eval-Avant impact'!$A$761:$A$780,A19),"")</f>
        <v/>
      </c>
      <c r="C19" s="212" t="str">
        <f>IF(COUNTIF('Eval-Avant impact'!$A$761:$A$780,A19)&gt;0,COUNTIF('Eval-Avant impact'!$A$761:$A$780,A19),"")</f>
        <v/>
      </c>
      <c r="D19" s="211" t="str">
        <f>IF(COUNTIF('Eval-Avant impact'!$A$761:$A$780,A19)&gt;0,IF(OR(AND('Eval-Avant impact'!$A$761=A19, 'Eval-Avant impact'!$G$761=""),AND('Eval-Avant impact'!$A$762=A19, 'Eval-Avant impact'!$G$762=""),AND('Eval-Avant impact'!$A$763=A19, 'Eval-Avant impact'!$G$763=""),AND('Eval-Avant impact'!$A$764=A19, 'Eval-Avant impact'!$G$764=""),AND('Eval-Avant impact'!$A$765=A19, 'Eval-Avant impact'!$G$765=""),AND('Eval-Avant impact'!$A$766=A19, 'Eval-Avant impact'!$G$766=""),AND('Eval-Avant impact'!$A$767=A19, 'Eval-Avant impact'!$G$767=""),AND('Eval-Avant impact'!$A$768=A19, 'Eval-Avant impact'!$G$768=""),AND('Eval-Avant impact'!$A$769=A19, 'Eval-Avant impact'!$G$769=""),AND('Eval-Avant impact'!$A$770=A19, 'Eval-Avant impact'!$G$770=""),AND('Eval-Avant impact'!$A$771=A19, 'Eval-Avant impact'!$G$771=""),AND('Eval-Avant impact'!$A$772=A19, 'Eval-Avant impact'!$G$772=""),AND('Eval-Avant impact'!$A$773=A19, 'Eval-Avant impact'!$G$773=""),AND('Eval-Avant impact'!$A$774=A19, 'Eval-Avant impact'!$G$774=""),AND('Eval-Avant impact'!$A$775=A19, 'Eval-Avant impact'!$G$775=""),AND('Eval-Avant impact'!$A$776=A19, 'Eval-Avant impact'!$G$776=""),AND('Eval-Avant impact'!$A$777=A19, 'Eval-Avant impact'!$G$777=""),AND('Eval-Avant impact'!$A$778=A19, 'Eval-Avant impact'!$G$778=""),AND('Eval-Avant impact'!$A$779=A19, 'Eval-Avant impact'!$G$779=""),AND('Eval-Avant impact'!$A$780=A19, 'Eval-Avant impact'!$G$780="")),"",SUM(IF('Eval-Avant impact'!$A$761=A19,'Eval-Avant impact'!$G$761,0),IF('Eval-Avant impact'!$A$762=A19,'Eval-Avant impact'!$G$762,0),IF('Eval-Avant impact'!$A$763=A19,'Eval-Avant impact'!$G$763,0),IF('Eval-Avant impact'!$A$764=A19,'Eval-Avant impact'!$G$764,0),IF('Eval-Avant impact'!$A$765=A19,'Eval-Avant impact'!$G$765,0),IF('Eval-Avant impact'!$A$766=A19,'Eval-Avant impact'!$G$766,0),IF('Eval-Avant impact'!$A$767=A19,'Eval-Avant impact'!$G$767,0),IF('Eval-Avant impact'!$A$768=A19,'Eval-Avant impact'!$G$768,0),IF('Eval-Avant impact'!$A$769=A19,'Eval-Avant impact'!$G$769,0),IF('Eval-Avant impact'!$A$770=A19,'Eval-Avant impact'!$G$770,0),IF('Eval-Avant impact'!$A$771=A19,'Eval-Avant impact'!$G$771,0),IF('Eval-Avant impact'!$A$772=A19,'Eval-Avant impact'!$G$772,0),IF('Eval-Avant impact'!$A$773=A19,'Eval-Avant impact'!$G$773,0),IF('Eval-Avant impact'!$A$774=A19,'Eval-Avant impact'!$G$774,0),IF('Eval-Avant impact'!$A$775=A19,'Eval-Avant impact'!$G$775,0), IF('Eval-Avant impact'!$A$776=A19,'Eval-Avant impact'!$G$776,0), IF('Eval-Avant impact'!$A$777=A19,'Eval-Avant impact'!$G$777,0), IF('Eval-Avant impact'!$A$778=A19,'Eval-Avant impact'!$G$778,0), IF('Eval-Avant impact'!$A$779=A19,'Eval-Avant impact'!$G$779,0), IF('Eval-Avant impact'!$A$780=A19,'Eval-Avant impact'!$G$780,0))/ COUNTIF('Eval-Avant impact'!$A$761:$A$780,A19)),"")</f>
        <v/>
      </c>
      <c r="E19" s="212" t="str">
        <f>IF(COUNTIF('Eval-Avant impact'!$A$761:$A$780,A19)&gt;0,IF(SUM(IF('Eval-Avant impact'!$A$761=A19,COUNTA('Eval-Avant impact'!$H$761),0),IF('Eval-Avant impact'!$A$762=A19,COUNTA('Eval-Avant impact'!$H$762),0),IF('Eval-Avant impact'!$A$763=A19,COUNTA('Eval-Avant impact'!$H$763),0),IF('Eval-Avant impact'!$A$764=A19,COUNTA('Eval-Avant impact'!$H$764),0),IF('Eval-Avant impact'!$A$765=A19,COUNTA('Eval-Avant impact'!$H$765),0),IF('Eval-Avant impact'!$A$766=A19,COUNTA('Eval-Avant impact'!$H$766),0),IF('Eval-Avant impact'!$A$767=A19,COUNTA('Eval-Avant impact'!$H$767),0),IF('Eval-Avant impact'!$A$768=A19,COUNTA('Eval-Avant impact'!$H$768),0),IF('Eval-Avant impact'!$A$769=A19,COUNTA('Eval-Avant impact'!$H$769),0),IF('Eval-Avant impact'!$A$770=A19,COUNTA('Eval-Avant impact'!$H$770),0),IF('Eval-Avant impact'!$A$771=A19,COUNTA('Eval-Avant impact'!$H$771),0),IF('Eval-Avant impact'!$A$772=A19,COUNTA('Eval-Avant impact'!$H$772),0),IF('Eval-Avant impact'!$A$773=A19,COUNTA('Eval-Avant impact'!$H$773),0),IF('Eval-Avant impact'!$A$774=A19,COUNTA('Eval-Avant impact'!$H$774),0),IF('Eval-Avant impact'!$A$775=A19,COUNTA('Eval-Avant impact'!$H$775),0),IF('Eval-Avant impact'!$A$776=A19,COUNTA('Eval-Avant impact'!$H$776),0),IF('Eval-Avant impact'!$A$777=A19,COUNTA('Eval-Avant impact'!$H$777),0),IF('Eval-Avant impact'!$A$778=A19,COUNTA('Eval-Avant impact'!$H$778),0),IF('Eval-Avant impact'!$A$779=A19,COUNTA('Eval-Avant impact'!$H$779),0),IF('Eval-Avant impact'!$A$780=A19,COUNTA('Eval-Avant impact'!$H$780),0))&gt;0,"X",0),"")</f>
        <v/>
      </c>
      <c r="F19" s="213" t="str">
        <f>IF(COUNTIF('Eval-Avant impact'!$A$761:$A$780,A19)&gt;0,IF(SUM(IF('Eval-Avant impact'!$A$761=A19,COUNTA('Eval-Avant impact'!$I$761),0),IF('Eval-Avant impact'!$A$762=A19,COUNTA('Eval-Avant impact'!$I$762),0),IF('Eval-Avant impact'!$A$763=A19,COUNTA('Eval-Avant impact'!$I$763),0),IF('Eval-Avant impact'!$A$764=A19,COUNTA('Eval-Avant impact'!$I$764),0),IF('Eval-Avant impact'!$A$765=A19,COUNTA('Eval-Avant impact'!$I$765),0),IF('Eval-Avant impact'!$A$766=A19,COUNTA('Eval-Avant impact'!$I$766),0),IF('Eval-Avant impact'!$A$767=A19,COUNTA('Eval-Avant impact'!$I$767),0),IF('Eval-Avant impact'!$A$768=A19,COUNTA('Eval-Avant impact'!$I$768),0),IF('Eval-Avant impact'!$A$769=A19,COUNTA('Eval-Avant impact'!$I$769),0),IF('Eval-Avant impact'!$A$770=A19,COUNTA('Eval-Avant impact'!$I$770),0),IF('Eval-Avant impact'!$A$771=A19,COUNTA('Eval-Avant impact'!$I$771),0),IF('Eval-Avant impact'!$A$772=A19,COUNTA('Eval-Avant impact'!$I$772),0),IF('Eval-Avant impact'!$A$773=A19,COUNTA('Eval-Avant impact'!$I$773),0),IF('Eval-Avant impact'!$A$774=A19,COUNTA('Eval-Avant impact'!$I$774),0),IF('Eval-Avant impact'!$A$775=A19,COUNTA('Eval-Avant impact'!$I$775),0),IF('Eval-Avant impact'!$A$776=A19,COUNTA('Eval-Avant impact'!$I$776),0),IF('Eval-Avant impact'!$A$777=A19,COUNTA('Eval-Avant impact'!$I$777),0),IF('Eval-Avant impact'!$A$778=A19,COUNTA('Eval-Avant impact'!$I$778),0),IF('Eval-Avant impact'!$A$779=A19,COUNTA('Eval-Avant impact'!$I$779),0),IF('Eval-Avant impact'!$A$780=A19,COUNTA('Eval-Avant impact'!$I$780),0))&gt;0,"X",0),"")</f>
        <v/>
      </c>
      <c r="G19" s="213" t="str">
        <f>IF(COUNTIF('Eval-Avant impact'!$A$761:$A$780,A19)&gt;0,IF(SUM(IF('Eval-Avant impact'!$A$761=A19,COUNTA('Eval-Avant impact'!$J$761),0),IF('Eval-Avant impact'!$A$762=A19,COUNTA('Eval-Avant impact'!$J$762),0),IF('Eval-Avant impact'!$A$763=A19,COUNTA('Eval-Avant impact'!$J$763),0),IF('Eval-Avant impact'!$A$764=A19,COUNTA('Eval-Avant impact'!$J$764),0),IF('Eval-Avant impact'!$A$765=A19,COUNTA('Eval-Avant impact'!$J$765),0),IF('Eval-Avant impact'!$A$766=A19,COUNTA('Eval-Avant impact'!$J$766),0),IF('Eval-Avant impact'!$A$767=A19,COUNTA('Eval-Avant impact'!$J$767),0),IF('Eval-Avant impact'!$A$768=A19,COUNTA('Eval-Avant impact'!$J$768),0),IF('Eval-Avant impact'!$A$769=A19,COUNTA('Eval-Avant impact'!$J$769),0),IF('Eval-Avant impact'!$A$770=A19,COUNTA('Eval-Avant impact'!$J$770),0),IF('Eval-Avant impact'!$A$771=A19,COUNTA('Eval-Avant impact'!$J$771),0),IF('Eval-Avant impact'!$A$772=A19,COUNTA('Eval-Avant impact'!$J$772),0),IF('Eval-Avant impact'!$A$773=A19,COUNTA('Eval-Avant impact'!$J$773),0),IF('Eval-Avant impact'!$A$774=A19,COUNTA('Eval-Avant impact'!$J$774),0),IF('Eval-Avant impact'!$A$775=A19,COUNTA('Eval-Avant impact'!$J$775),0),IF('Eval-Avant impact'!$A$776=A19,COUNTA('Eval-Avant impact'!$J$776),0),IF('Eval-Avant impact'!$A$777=A19,COUNTA('Eval-Avant impact'!$J$777),0),IF('Eval-Avant impact'!$A$778=A19,COUNTA('Eval-Avant impact'!$J$778),0),IF('Eval-Avant impact'!$A$779=A19,COUNTA('Eval-Avant impact'!$J$779),0),IF('Eval-Avant impact'!$A$780=A19,COUNTA('Eval-Avant impact'!$J$780),0))&gt;0,"X",0),"")</f>
        <v/>
      </c>
      <c r="H19" s="213" t="str">
        <f>IF(COUNTIF('Eval-Avant impact'!$A$761:$A$780,A19)&gt;0,IF(SUM(IF('Eval-Avant impact'!$A$761=A19,COUNTA('Eval-Avant impact'!$K$761),0),IF('Eval-Avant impact'!$A$762=A19,COUNTA('Eval-Avant impact'!$K$762),0),IF('Eval-Avant impact'!$A$763=A19,COUNTA('Eval-Avant impact'!$K$763),0),IF('Eval-Avant impact'!$A$764=A19,COUNTA('Eval-Avant impact'!$K$764),0),IF('Eval-Avant impact'!$A$765=A19,COUNTA('Eval-Avant impact'!$K$765),0),IF('Eval-Avant impact'!$A$766=A19,COUNTA('Eval-Avant impact'!$K$766),0),IF('Eval-Avant impact'!$A$767=A19,COUNTA('Eval-Avant impact'!$K$767),0),IF('Eval-Avant impact'!$A$768=A19,COUNTA('Eval-Avant impact'!$K$768),0),IF('Eval-Avant impact'!$A$769=A19,COUNTA('Eval-Avant impact'!$K$769),0),IF('Eval-Avant impact'!$A$770=A19,COUNTA('Eval-Avant impact'!$K$770),0),IF('Eval-Avant impact'!$A$771=A19,COUNTA('Eval-Avant impact'!$K$771),0),IF('Eval-Avant impact'!$A$772=A19,COUNTA('Eval-Avant impact'!$K$772),0),IF('Eval-Avant impact'!$A$773=A19,COUNTA('Eval-Avant impact'!$K$773),0),IF('Eval-Avant impact'!$A$774=A19,COUNTA('Eval-Avant impact'!$K$774),0),IF('Eval-Avant impact'!$A$775=A19,COUNTA('Eval-Avant impact'!$K$775),0),IF('Eval-Avant impact'!$A$776=A19,COUNTA('Eval-Avant impact'!$K$776),0),IF('Eval-Avant impact'!$A$777=A19,COUNTA('Eval-Avant impact'!$K$777),0),IF('Eval-Avant impact'!$A$778=A19,COUNTA('Eval-Avant impact'!$K$778),0),IF('Eval-Avant impact'!$A$779=A19,COUNTA('Eval-Avant impact'!$K$779),0),IF('Eval-Avant impact'!$A$780=A19,COUNTA('Eval-Avant impact'!$K$780),0))&gt;0,"X",0),"")</f>
        <v/>
      </c>
      <c r="I19" s="211" t="str">
        <f>IF(COUNTIF('Eval-Avant impact'!$A$761:$A$780,A19)&gt;0,IF(OR(AND('Eval-Avant impact'!$A$761=A19,'Eval-Avant impact'!$L$761&lt;120,'Eval-Avant impact'!$L$761&gt;=X9),AND('Eval-Avant impact'!$A$762=A19,'Eval-Avant impact'!$L$762&lt;120,'Eval-Avant impact'!$L$762&gt;=X10),AND('Eval-Avant impact'!$A$763=A19,'Eval-Avant impact'!$L$763&lt;120,'Eval-Avant impact'!$L$763&gt;=X11),AND('Eval-Avant impact'!$A$764=A19,'Eval-Avant impact'!$L$764&lt;120,'Eval-Avant impact'!$L$764&gt;=X12),AND('Eval-Avant impact'!$A$765=A19,'Eval-Avant impact'!$L$765&lt;120,'Eval-Avant impact'!$L$765&gt;=X13),AND('Eval-Avant impact'!$A$766=A19,'Eval-Avant impact'!$L$766&lt;120,'Eval-Avant impact'!$L$766&gt;=X14),AND('Eval-Avant impact'!$A$767=A19,'Eval-Avant impact'!$L$767&lt;120,'Eval-Avant impact'!$L$767&gt;=X15),AND('Eval-Avant impact'!$A$768=A19,'Eval-Avant impact'!$L$768&lt;120,'Eval-Avant impact'!$L$768&gt;=X16),AND('Eval-Avant impact'!$A$769=A19,'Eval-Avant impact'!$L$769&lt;120,'Eval-Avant impact'!$L$769&gt;=X17),AND('Eval-Avant impact'!$A$770=A19,'Eval-Avant impact'!$L$770&lt;120,'Eval-Avant impact'!$L$770&gt;=X18),AND('Eval-Avant impact'!$A$771=A19,'Eval-Avant impact'!$L$771&lt;120,'Eval-Avant impact'!$L$771&gt;=X19),AND('Eval-Avant impact'!$A$772=A19,'Eval-Avant impact'!$L$772&lt;120,'Eval-Avant impact'!$L$772&gt;=X20),AND('Eval-Avant impact'!$A$773=A19,'Eval-Avant impact'!$L$773&lt;120,'Eval-Avant impact'!$L$773&gt;=X21),AND('Eval-Avant impact'!$A$774=A19,'Eval-Avant impact'!$L$774&lt;120,'Eval-Avant impact'!$L$774&gt;=X22),AND('Eval-Avant impact'!$A$775=A19,'Eval-Avant impact'!$L$775&lt;120,'Eval-Avant impact'!$L$775&gt;=X23),AND('Eval-Avant impact'!$A$776=A19,'Eval-Avant impact'!$L$776&lt;120,'Eval-Avant impact'!$L$776&gt;=X24),AND('Eval-Avant impact'!$A$777=A19,'Eval-Avant impact'!$L$777&lt;120,'Eval-Avant impact'!$L$777&gt;=X25),AND('Eval-Avant impact'!$A$778=A19,'Eval-Avant impact'!$L$778&lt;120,'Eval-Avant impact'!$L$778&gt;=X26),AND('Eval-Avant impact'!$A$779=A19,'Eval-Avant impact'!$L$779&lt;120,'Eval-Avant impact'!$L$779&gt;=X27),AND('Eval-Avant impact'!$A$780=A19,'Eval-Avant impact'!$L$780&lt;120,'Eval-Avant impact'!$L$780&gt;=X28)),"",SUM(IF('Eval-Avant impact'!$A$761=A19,'Eval-Avant impact'!$L$761,0),IF('Eval-Avant impact'!$A$762=A19,'Eval-Avant impact'!$L$762,0),IF('Eval-Avant impact'!$A$763=A19,'Eval-Avant impact'!$L$763,0),IF('Eval-Avant impact'!$A$764=A19,'Eval-Avant impact'!$L$764,0),IF('Eval-Avant impact'!$A$765=A19,'Eval-Avant impact'!$L$765,0),IF('Eval-Avant impact'!$A$766=A19,'Eval-Avant impact'!$L$766,0),IF('Eval-Avant impact'!$A$767=A19,'Eval-Avant impact'!$L$767,0),IF('Eval-Avant impact'!$A$768=A19,'Eval-Avant impact'!$L$768,0),IF('Eval-Avant impact'!$A$769=A19,'Eval-Avant impact'!$L$769,0),IF('Eval-Avant impact'!$A$770=A19,'Eval-Avant impact'!$L$770,0),IF('Eval-Avant impact'!$A$771=A19,'Eval-Avant impact'!$L$771,0),IF('Eval-Avant impact'!$A$772=A19,'Eval-Avant impact'!$L$772,0),IF('Eval-Avant impact'!$A$773=A19,'Eval-Avant impact'!$L$773,0),IF('Eval-Avant impact'!$A$774=A19,'Eval-Avant impact'!$L$774,0),IF('Eval-Avant impact'!$A$775=A19,'Eval-Avant impact'!$L$775,0),IF('Eval-Avant impact'!$A$776=A19,'Eval-Avant impact'!$L$776,0),IF('Eval-Avant impact'!$A$777=A19,'Eval-Avant impact'!$L$777,0),IF('Eval-Avant impact'!$A$778=A19,'Eval-Avant impact'!$L$778,0),IF('Eval-Avant impact'!$A$779=A19,'Eval-Avant impact'!$L$779,0),IF('Eval-Avant impact'!$A$780=A19,'Eval-Avant impact'!$L$780,0))/ COUNTIF('Eval-Avant impact'!$A$761:$A$780,A19)),"")</f>
        <v/>
      </c>
      <c r="J19" s="211" t="str">
        <f>IF(COUNTIF('Eval-Avant impact'!$A$761:$A$780,A19)&gt;0,IF(OR(AND('Eval-Avant impact'!$A$761=A19, X9&lt;120),AND(X10&lt;120),AND(X11&lt;120),AND(X12&lt;120),AND(X13&lt;120),AND(X14&lt;120),AND(X15&lt;120),AND(X16&lt;120),AND(X17&lt;120),AND(X18&lt;120),AND(X19&lt;120),AND(X20&lt;120),AND(X21&lt;120),AND(X22&lt;120),AND(X23&lt;120),AND(X24&lt;120),AND(X25&lt;120),AND(X26&lt;120),AND(X27&lt;120),AND(X28&lt;120)),"",SUM(IF('Eval-Avant impact'!$A$761=A19,'Eval-Avant impact'!$M$761,0),IF('Eval-Avant impact'!$A$762=A19,'Eval-Avant impact'!$M$762,0),IF('Eval-Avant impact'!$A$763=A19,'Eval-Avant impact'!$M$763,0),IF('Eval-Avant impact'!$A$764=A19,'Eval-Avant impact'!$M$764,0),IF('Eval-Avant impact'!$A$765=A19,'Eval-Avant impact'!$M$765,0),IF('Eval-Avant impact'!$A$766=A19,'Eval-Avant impact'!$M$766,0),IF('Eval-Avant impact'!$A$767=A19,'Eval-Avant impact'!$M$767,0),IF('Eval-Avant impact'!$A$768=A19,'Eval-Avant impact'!$M$768,0),IF('Eval-Avant impact'!$A$769=A19,'Eval-Avant impact'!$M$769,0),IF('Eval-Avant impact'!$A$770=A19,'Eval-Avant impact'!$M$770,0),IF('Eval-Avant impact'!$A$771=A19,'Eval-Avant impact'!$M$771,0),IF('Eval-Avant impact'!$A$772=A19,'Eval-Avant impact'!$M$772,0),IF('Eval-Avant impact'!$A$773=A19,'Eval-Avant impact'!$M$773,0),IF('Eval-Avant impact'!$A$774=A19,'Eval-Avant impact'!$M$774,0),IF('Eval-Avant impact'!$A$775=A19,'Eval-Avant impact'!$M$775,0), IF('Eval-Avant impact'!$A$776=A19,'Eval-Avant impact'!$M$776,0), IF('Eval-Avant impact'!$A$777=A19,'Eval-Avant impact'!$M$777,0), IF('Eval-Avant impact'!$A$778=A19,'Eval-Avant impact'!$M$778,0), IF('Eval-Avant impact'!$A$779=A19,'Eval-Avant impact'!$M$779,0), IF('Eval-Avant impact'!$A$780=A19,'Eval-Avant impact'!$M$780,0))/COUNTIF('Eval-Avant impact'!$A$761:$A$780,A19)),"")</f>
        <v/>
      </c>
      <c r="K19" s="211" t="str">
        <f>IF(COUNTIF('Eval-Avant impact'!$A$761:$A$780,A19)&gt;0,SUM(IF('Eval-Avant impact'!$A$761=A19,LEN(SUBSTITUTE((SUBSTITUTE(Z9,"TM","")),"TS",""))*10/2,0),IF('Eval-Avant impact'!$A$762=A19,LEN(SUBSTITUTE((SUBSTITUTE(Z10,"TM","")),"TS",""))*10/2,0),IF('Eval-Avant impact'!$A$763=A19,LEN(SUBSTITUTE((SUBSTITUTE(Z11,"TM","")),"TS",""))*10/2,0),IF('Eval-Avant impact'!$A$764=A19,LEN(SUBSTITUTE((SUBSTITUTE(Z12,"TM","")),"TS",""))*10/2,0),IF('Eval-Avant impact'!$A$765=A19,LEN(SUBSTITUTE((SUBSTITUTE(Z13,"TM","")),"TS",""))*10/2,0),IF('Eval-Avant impact'!$A$766=A19,LEN(SUBSTITUTE((SUBSTITUTE(Z14,"TM","")),"TS",""))*10/2,0),IF('Eval-Avant impact'!$A$767=A19,LEN(SUBSTITUTE((SUBSTITUTE(Z15,"TM","")),"TS",""))*10/2,0),IF('Eval-Avant impact'!$A$768=A19,LEN(SUBSTITUTE((SUBSTITUTE(Z16,"TM","")),"TS",""))*10/2,0),IF('Eval-Avant impact'!$A$769=A19,LEN(SUBSTITUTE((SUBSTITUTE(Z17,"TM","")),"TS",""))*10/2,0),IF('Eval-Avant impact'!$A$770=A19,LEN(SUBSTITUTE((SUBSTITUTE(Z18,"TM","")),"TS",""))*10/2,0),IF('Eval-Avant impact'!$A$771=A19,LEN(SUBSTITUTE((SUBSTITUTE(Z19,"TM","")),"TS",""))*10/2,0),IF('Eval-Avant impact'!$A$772=A19,LEN(SUBSTITUTE((SUBSTITUTE(Z20,"TM","")),"TS",""))*10/2,0),IF('Eval-Avant impact'!$A$773=A19,LEN(SUBSTITUTE((SUBSTITUTE(Z21,"TM","")),"TS",""))*10/2,0),IF('Eval-Avant impact'!$A$774=A19,LEN(SUBSTITUTE((SUBSTITUTE(Z22,"TM","")),"TS",""))*10/2,0),IF('Eval-Avant impact'!$A$775=A19,LEN(SUBSTITUTE((SUBSTITUTE(Z23,"TM","")),"TS",""))*10/2,0),IF('Eval-Avant impact'!$A$776=A19,LEN(SUBSTITUTE((SUBSTITUTE(Z24,"TM","")),"TS",""))*10/2,0),IF('Eval-Avant impact'!$A$777=A19,LEN(SUBSTITUTE((SUBSTITUTE(Z25,"TM","")),"TS",""))*10/2,0),IF('Eval-Avant impact'!$A$778=A19,LEN(SUBSTITUTE((SUBSTITUTE(Z26,"TM","")),"TS",""))*10/2,0),IF('Eval-Avant impact'!$A$779=A19,LEN(SUBSTITUTE((SUBSTITUTE(Z27,"TM","")),"TS",""))*10/2,0),IF('Eval-Avant impact'!$A$780=A19,LEN(SUBSTITUTE((SUBSTITUTE(Z28,"TM","")),"TS",""))*10/2,0))/COUNTIF('Eval-Avant impact'!$A$761:$A$780,A19),"")</f>
        <v/>
      </c>
      <c r="L19" s="211" t="str">
        <f>IF(COUNTIF('Eval-Avant impact'!$A$761:$A$780,A19)&gt;0,SUM(IF('Eval-Avant impact'!$A$761=A19,LEN(SUBSTITUTE((SUBSTITUTE(Z9,"TF","")),"TS",""))*10/2,0),IF('Eval-Avant impact'!$A$762=A19,LEN(SUBSTITUTE((SUBSTITUTE(Z10,"TF","")),"TS",""))*10/2,0),IF('Eval-Avant impact'!$A$763=A19,LEN(SUBSTITUTE((SUBSTITUTE(Z11,"TF","")),"TS",""))*10/2,0),IF('Eval-Avant impact'!$A$764=A19,LEN(SUBSTITUTE((SUBSTITUTE(Z12,"TF","")),"TS",""))*10/2,0),IF('Eval-Avant impact'!$A$765=A19,LEN(SUBSTITUTE((SUBSTITUTE(Z13,"TF","")),"TS",""))*10/2,0),IF('Eval-Avant impact'!$A$766=A19,LEN(SUBSTITUTE((SUBSTITUTE(Z14,"TF","")),"TS",""))*10/2,0),IF('Eval-Avant impact'!$A$767=A19,LEN(SUBSTITUTE((SUBSTITUTE(Z15,"TF","")),"TS",""))*10/2,0),IF('Eval-Avant impact'!$A$768=A19,LEN(SUBSTITUTE((SUBSTITUTE(Z16,"TF","")),"TS",""))*10/2,0),IF('Eval-Avant impact'!$A$769=A19,LEN(SUBSTITUTE((SUBSTITUTE(Z17,"TF","")),"TS",""))*10/2,0),IF('Eval-Avant impact'!$A$770=A19,LEN(SUBSTITUTE((SUBSTITUTE(Z18,"TF","")),"TS",""))*10/2,0),IF('Eval-Avant impact'!$A$771=A19,LEN(SUBSTITUTE((SUBSTITUTE(Z19,"TF","")),"TS",""))*10/2,0),IF('Eval-Avant impact'!$A$772=A19,LEN(SUBSTITUTE((SUBSTITUTE(Z20,"TF","")),"TS",""))*10/2,0),IF('Eval-Avant impact'!$A$773=A19,LEN(SUBSTITUTE((SUBSTITUTE(Z21,"TF","")),"TS",""))*10/2,0),IF('Eval-Avant impact'!$A$774=A19,LEN(SUBSTITUTE((SUBSTITUTE(Z22,"TF","")),"TS",""))*10/2,0),IF('Eval-Avant impact'!$A$775=A19,LEN(SUBSTITUTE((SUBSTITUTE(Z23,"TF","")),"TS",""))*10/2,0),IF('Eval-Avant impact'!$A$776=A19,LEN(SUBSTITUTE((SUBSTITUTE(Z24,"TF","")),"TS",""))*10/2,0),IF('Eval-Avant impact'!$A$777=A19,LEN(SUBSTITUTE((SUBSTITUTE(Z25,"TF","")),"TS",""))*10/2,0),IF('Eval-Avant impact'!$A$778=A19,LEN(SUBSTITUTE((SUBSTITUTE(Z26,"TF","")),"TS",""))*10/2,0),IF('Eval-Avant impact'!$A$779=A19,LEN(SUBSTITUTE((SUBSTITUTE(Z27,"TF","")),"TS",""))*10/2,0),IF('Eval-Avant impact'!$A$780=A19,LEN(SUBSTITUTE((SUBSTITUTE(Z28,"TF","")),"TS",""))*10/2,0))/COUNTIF('Eval-Avant impact'!$A$761:$A$780,A19),"")</f>
        <v/>
      </c>
      <c r="M19" s="211" t="str">
        <f>IF(COUNTIF('Eval-Avant impact'!$A$761:$A$780,A19)&gt;0,SUM(IF('Eval-Avant impact'!$A$761=A19,LEN(SUBSTITUTE((SUBSTITUTE(Z9,"TF","")),"TM",""))*10/2,0),IF('Eval-Avant impact'!$A$762=A19,LEN(SUBSTITUTE((SUBSTITUTE(Z10,"TF","")),"TM",""))*10/2,0),IF('Eval-Avant impact'!$A$763=A19,LEN(SUBSTITUTE((SUBSTITUTE(Z11,"TF","")),"TM",""))*10/2,0),IF('Eval-Avant impact'!$A$764=A19,LEN(SUBSTITUTE((SUBSTITUTE(Z12,"TF","")),"TM",""))*10/2,0),IF('Eval-Avant impact'!$A$765=A19,LEN(SUBSTITUTE((SUBSTITUTE(Z13,"TF","")),"TM",""))*10/2,0),IF('Eval-Avant impact'!$A$766=A19,LEN(SUBSTITUTE((SUBSTITUTE(Z14,"TF","")),"TM",""))*10/2,0),IF('Eval-Avant impact'!$A$767=A19,LEN(SUBSTITUTE((SUBSTITUTE(Z15,"TF","")),"TM",""))*10/2,0),IF('Eval-Avant impact'!$A$768=A19,LEN(SUBSTITUTE((SUBSTITUTE(Z16,"TF","")),"TM",""))*10/2,0),IF('Eval-Avant impact'!$A$769=A19,LEN(SUBSTITUTE((SUBSTITUTE(Z17,"TF","")),"TM",""))*10/2,0),IF('Eval-Avant impact'!$A$770=A19,LEN(SUBSTITUTE((SUBSTITUTE(Z18,"TF","")),"TM",""))*10/2,0),IF('Eval-Avant impact'!$A$771=A19,LEN(SUBSTITUTE((SUBSTITUTE(Z19,"TF","")),"TM",""))*10/2,0),IF('Eval-Avant impact'!$A$772=A19,LEN(SUBSTITUTE((SUBSTITUTE(Z20,"TF","")),"TM",""))*10/2,0),IF('Eval-Avant impact'!$A$773=A19,LEN(SUBSTITUTE((SUBSTITUTE(Z21,"TF","")),"TM",""))*10/2,0),IF('Eval-Avant impact'!$A$774=A19,LEN(SUBSTITUTE((SUBSTITUTE(Z22,"TF","")),"TM",""))*10/2,0),IF('Eval-Avant impact'!$A$775=A19,LEN(SUBSTITUTE((SUBSTITUTE(Z23,"TF","")),"TM",""))*10/2,0),IF('Eval-Avant impact'!$A$776=A19,LEN(SUBSTITUTE((SUBSTITUTE(Z24,"TF","")),"TM",""))*10/2,0),IF('Eval-Avant impact'!$A$777=A19,LEN(SUBSTITUTE((SUBSTITUTE(Z25,"TF","")),"TM",""))*10/2,0),IF('Eval-Avant impact'!$A$778=A19,LEN(SUBSTITUTE((SUBSTITUTE(Z26,"TF","")),"TM",""))*10/2,0),IF('Eval-Avant impact'!$A$779=A19,LEN(SUBSTITUTE((SUBSTITUTE(Z27,"TF","")),"TM",""))*10/2,0),IF('Eval-Avant impact'!$A$780=A19,LEN(SUBSTITUTE((SUBSTITUTE(Z28,"TF","")),"TM",""))*10/2,0))/COUNTIF('Eval-Avant impact'!$A$761:$A$780,A19),"")</f>
        <v/>
      </c>
      <c r="N19" s="211" t="str">
        <f>IF(COUNTIF('Eval-Avant impact'!$A$761:$A$780,A19)&gt;0,SUM(IF('Eval-Avant impact'!$A$761=A19,LEN(SUBSTITUTE((SUBSTITUTE(AA9,"TM","")),"TS",""))*10/2,0),IF('Eval-Avant impact'!$A$762=A19,LEN(SUBSTITUTE((SUBSTITUTE(AA10,"TM","")),"TS",""))*10/2,0),IF('Eval-Avant impact'!$A$763=A19,LEN(SUBSTITUTE((SUBSTITUTE(AA11,"TM","")),"TS",""))*10/2,0),IF('Eval-Avant impact'!$A$764=A19,LEN(SUBSTITUTE((SUBSTITUTE(AA12,"TM","")),"TS",""))*10/2,0),IF('Eval-Avant impact'!$A$765=A19,LEN(SUBSTITUTE((SUBSTITUTE(AA13,"TM","")),"TS",""))*10/2,0),IF('Eval-Avant impact'!$A$766=A19,LEN(SUBSTITUTE((SUBSTITUTE(AA14,"TM","")),"TS",""))*10/2,0),IF('Eval-Avant impact'!$A$767=A19,LEN(SUBSTITUTE((SUBSTITUTE(AA15,"TM","")),"TS",""))*10/2,0),IF('Eval-Avant impact'!$A$768=A19,LEN(SUBSTITUTE((SUBSTITUTE(AA16,"TM","")),"TS",""))*10/2,0),IF('Eval-Avant impact'!$A$769=A19,LEN(SUBSTITUTE((SUBSTITUTE(AA17,"TM","")),"TS",""))*10/2,0),IF('Eval-Avant impact'!$A$770=A19,LEN(SUBSTITUTE((SUBSTITUTE(AA18,"TM","")),"TS",""))*10/2,0),IF('Eval-Avant impact'!$A$771=A19,LEN(SUBSTITUTE((SUBSTITUTE(AA19,"TM","")),"TS",""))*10/2,0),IF('Eval-Avant impact'!$A$772=A19,LEN(SUBSTITUTE((SUBSTITUTE(AA20,"TM","")),"TS",""))*10/2,0),IF('Eval-Avant impact'!$A$773=A19,LEN(SUBSTITUTE((SUBSTITUTE(AA21,"TM","")),"TS",""))*10/2,0),IF('Eval-Avant impact'!$A$774=A19,LEN(SUBSTITUTE((SUBSTITUTE(AA22,"TM","")),"TS",""))*10/2,0),IF('Eval-Avant impact'!$A$775=A19,LEN(SUBSTITUTE((SUBSTITUTE(AA23,"TM","")),"TS",""))*10/2,0),IF('Eval-Avant impact'!$A$776=A19,LEN(SUBSTITUTE((SUBSTITUTE(AA24,"TM","")),"TS",""))*10/2,0),IF('Eval-Avant impact'!$A$777=A19,LEN(SUBSTITUTE((SUBSTITUTE(AA25,"TM","")),"TS",""))*10/2,0),IF('Eval-Avant impact'!$A$778=A19,LEN(SUBSTITUTE((SUBSTITUTE(AA26,"TM","")),"TS",""))*10/2,0),IF('Eval-Avant impact'!$A$779=A19,LEN(SUBSTITUTE((SUBSTITUTE(AA27,"TM","")),"TS",""))*10/2,0),IF('Eval-Avant impact'!$A$780=A19,LEN(SUBSTITUTE((SUBSTITUTE(AA28,"TM","")),"TS",""))*10/2,0))/COUNTIF('Eval-Avant impact'!$A$761:$A$780,A19),"")</f>
        <v/>
      </c>
      <c r="O19" s="211" t="str">
        <f>IF(COUNTIF('Eval-Avant impact'!$A$761:$A$780,A19)&gt;0,SUM(IF('Eval-Avant impact'!$A$761=A19,LEN(SUBSTITUTE((SUBSTITUTE(AA9,"TF","")),"TS",""))*10/2,0),IF('Eval-Avant impact'!$A$762=A19,LEN(SUBSTITUTE((SUBSTITUTE(AA10,"TF","")),"TS",""))*10/2,0),IF('Eval-Avant impact'!$A$763=A19,LEN(SUBSTITUTE((SUBSTITUTE(AA11,"TF","")),"TS",""))*10/2,0),IF('Eval-Avant impact'!$A$764=A19,LEN(SUBSTITUTE((SUBSTITUTE(AA12,"TF","")),"TS",""))*10/2,0),IF('Eval-Avant impact'!$A$765=A19,LEN(SUBSTITUTE((SUBSTITUTE(AA13,"TF","")),"TS",""))*10/2,0),IF('Eval-Avant impact'!$A$766=A19,LEN(SUBSTITUTE((SUBSTITUTE(AA14,"TF","")),"TS",""))*10/2,0),IF('Eval-Avant impact'!$A$767=A19,LEN(SUBSTITUTE((SUBSTITUTE(AA15,"TF","")),"TS",""))*10/2,0),IF('Eval-Avant impact'!$A$768=A19,LEN(SUBSTITUTE((SUBSTITUTE(AA16,"TF","")),"TS",""))*10/2,0),IF('Eval-Avant impact'!$A$769=A19,LEN(SUBSTITUTE((SUBSTITUTE(AA17,"TF","")),"TS",""))*10/2,0),IF('Eval-Avant impact'!$A$770=A19,LEN(SUBSTITUTE((SUBSTITUTE(AA18,"TF","")),"TS",""))*10/2,0),IF('Eval-Avant impact'!$A$771=A19,LEN(SUBSTITUTE((SUBSTITUTE(AA19,"TF","")),"TS",""))*10/2,0),IF('Eval-Avant impact'!$A$772=A19,LEN(SUBSTITUTE((SUBSTITUTE(AA20,"TF","")),"TS",""))*10/2,0),IF('Eval-Avant impact'!$A$773=A19,LEN(SUBSTITUTE((SUBSTITUTE(AA21,"TF","")),"TS",""))*10/2,0),IF('Eval-Avant impact'!$A$774=A19,LEN(SUBSTITUTE((SUBSTITUTE(AA22,"TF","")),"TS",""))*10/2,0),IF('Eval-Avant impact'!$A$775=A19,LEN(SUBSTITUTE((SUBSTITUTE(AA23,"TF","")),"TS",""))*10/2,0),IF('Eval-Avant impact'!$A$776=A19,LEN(SUBSTITUTE((SUBSTITUTE(AA24,"TF","")),"TS",""))*10/2,0),IF('Eval-Avant impact'!$A$777=A19,LEN(SUBSTITUTE((SUBSTITUTE(AA25,"TF","")),"TS",""))*10/2,0),IF('Eval-Avant impact'!$A$778=A19,LEN(SUBSTITUTE((SUBSTITUTE(AA26,"TF","")),"TS",""))*10/2,0),IF('Eval-Avant impact'!$A$779=A19,LEN(SUBSTITUTE((SUBSTITUTE(AA27,"TF","")),"TS",""))*10/2,0),IF('Eval-Avant impact'!$A$780=A19,LEN(SUBSTITUTE((SUBSTITUTE(AA28,"TF","")),"TS",""))*10/2,0))/COUNTIF('Eval-Avant impact'!$A$761:$A$780,A19),"")</f>
        <v/>
      </c>
      <c r="P19" s="211" t="str">
        <f>IF(COUNTIF('Eval-Avant impact'!$A$761:$A$780,A19)&gt;0,SUM(IF('Eval-Avant impact'!$A$761=A19,LEN(SUBSTITUTE((SUBSTITUTE(AA9,"TF","")),"TM",""))*10/2,0),IF('Eval-Avant impact'!$A$762=A19,LEN(SUBSTITUTE((SUBSTITUTE(AA10,"TF","")),"TM",""))*10/2,0),IF('Eval-Avant impact'!$A$763=A19,LEN(SUBSTITUTE((SUBSTITUTE(AA11,"TF","")),"TM",""))*10/2,0),IF('Eval-Avant impact'!$A$764=A19,LEN(SUBSTITUTE((SUBSTITUTE(AA12,"TF","")),"TM",""))*10/2,0),IF('Eval-Avant impact'!$A$765=A19,LEN(SUBSTITUTE((SUBSTITUTE(AA13,"TF","")),"TM",""))*10/2,0),IF('Eval-Avant impact'!$A$766=A19,LEN(SUBSTITUTE((SUBSTITUTE(AA14,"TF","")),"TM",""))*10/2,0),IF('Eval-Avant impact'!$A$767=A19,LEN(SUBSTITUTE((SUBSTITUTE(AA15,"TF","")),"TM",""))*10/2,0),IF('Eval-Avant impact'!$A$768=A19,LEN(SUBSTITUTE((SUBSTITUTE(AA16,"TF","")),"TM",""))*10/2,0),IF('Eval-Avant impact'!$A$769=A19,LEN(SUBSTITUTE((SUBSTITUTE(AA17,"TF","")),"TM",""))*10/2,0),IF('Eval-Avant impact'!$A$770=A19,LEN(SUBSTITUTE((SUBSTITUTE(AA18,"TF","")),"TM",""))*10/2,0),IF('Eval-Avant impact'!$A$771=A19,LEN(SUBSTITUTE((SUBSTITUTE(AA19,"TF","")),"TM",""))*10/2,0),IF('Eval-Avant impact'!$A$772=A19,LEN(SUBSTITUTE((SUBSTITUTE(AA20,"TF","")),"TM",""))*10/2,0),IF('Eval-Avant impact'!$A$773=A19,LEN(SUBSTITUTE((SUBSTITUTE(AA21,"TF","")),"TM",""))*10/2,0),IF('Eval-Avant impact'!$A$774=A19,LEN(SUBSTITUTE((SUBSTITUTE(AA22,"TF","")),"TM",""))*10/2,0),IF('Eval-Avant impact'!$A$775=A19,LEN(SUBSTITUTE((SUBSTITUTE(AA23,"TF","")),"TM",""))*10/2,0),IF('Eval-Avant impact'!$A$776=A19,LEN(SUBSTITUTE((SUBSTITUTE(AA24,"TF","")),"TM",""))*10/2,0),IF('Eval-Avant impact'!$A$777=A19,LEN(SUBSTITUTE((SUBSTITUTE(AA25,"TF","")),"TM",""))*10/2,0),IF('Eval-Avant impact'!$A$778=A19,LEN(SUBSTITUTE((SUBSTITUTE(AA26,"TF","")),"TM",""))*10/2,0),IF('Eval-Avant impact'!$A$779=A19,LEN(SUBSTITUTE((SUBSTITUTE(AA27,"TF","")),"TM",""))*10/2,0),IF('Eval-Avant impact'!$A$780=A19,LEN(SUBSTITUTE((SUBSTITUTE(AA28,"TF","")),"TM",""))*10/2,0))/COUNTIF('Eval-Avant impact'!$A$761:$A$780,A19),"")</f>
        <v/>
      </c>
      <c r="Q19" s="211" t="str">
        <f>IF(COUNTIF('Eval-Avant impact'!$A$761:$A$780,A19)&gt;0,IF(OR(AND('Eval-Avant impact'!$A$761=A19,X9&lt;30),AND('Eval-Avant impact'!$A$762=A19,X10&lt;30),AND('Eval-Avant impact'!$A$763=A19,X11&lt;30),AND('Eval-Avant impact'!$A$764=A19,X12&lt;30),AND('Eval-Avant impact'!$A$765=A19,X13&lt;30),AND('Eval-Avant impact'!$A$766=A19,X14&lt;30),AND('Eval-Avant impact'!$A$767=A19,X15&lt;30),AND('Eval-Avant impact'!$A$768=A19,X16&lt;30),AND('Eval-Avant impact'!$A$769=A19,X17&lt;30),AND('Eval-Avant impact'!$A$770=A19,X18&lt;30),AND('Eval-Avant impact'!$A$771=A19,X19&lt;30),AND('Eval-Avant impact'!$A$772=A19,X20&lt;30),AND('Eval-Avant impact'!$A$773=A19,X21&lt;30),AND('Eval-Avant impact'!$A$774=A19,X22&lt;30),AND('Eval-Avant impact'!$A$775=A19,X23&lt;30),AND('Eval-Avant impact'!$A$776=A19,X24&lt;30),AND('Eval-Avant impact'!$A$777=A19,X25&lt;30),AND('Eval-Avant impact'!$A$778=A19,X26&lt;30),AND('Eval-Avant impact'!$A$779=A19,X27&lt;30),AND('Eval-Avant impact'!$A$780=A19,X28&lt;30)),"",SUM(0.1*(SUMPRODUCT(('Eval-Avant impact'!$A$761:$A$780=A19)*('Eval-Avant impact'!$N$761:$P$780="A"))+ SUMPRODUCT(('Eval-Avant impact'!$A$761:$A$780=A19)*('Eval-Avant impact'!$N$761:$P$780="AL"))),0.7*(SUMPRODUCT(('Eval-Avant impact'!$A$761:$A$780=A19)*('Eval-Avant impact'!$N$761:$P$780="TF"))+SUMPRODUCT(('Eval-Avant impact'!$A$761:$A$780=A19)*('Eval-Avant impact'!$N$761:$P$780="TM"))+SUMPRODUCT(('Eval-Avant impact'!$A$761:$A$780=A19)*('Eval-Avant impact'!$N$761:$P$780="TS"))),0.4*(SUMPRODUCT(('Eval-Avant impact'!$A$761:$A$780=A19)*('Eval-Avant impact'!$N$761:$P$780="LA"))+SUMPRODUCT(('Eval-Avant impact'!$A$761:$A$780=A19)*('Eval-Avant impact'!$N$761:$P$780="L"))+SUMPRODUCT(('Eval-Avant impact'!$A$761:$A$780=A19)*('Eval-Avant impact'!$N$761:$P$780="LS"))),1*(SUMPRODUCT(('Eval-Avant impact'!$A$761:$A$780=A19)*('Eval-Avant impact'!$N$761:$P$780="SL"))+ SUMPRODUCT(('Eval-Avant impact'!$A$761:$A$780=A19)*('Eval-Avant impact'!$N$761:$P$780="S"))))/(3*COUNTIF('Eval-Avant impact'!$A$761:$A$780,A19))),"")</f>
        <v/>
      </c>
      <c r="R19" s="211" t="str">
        <f>IF(COUNTIF('Eval-Avant impact'!$A$761:$A$780,A19)&gt;0,IF(OR(AND('Eval-Avant impact'!$A$761=A19,X9&lt;120),AND('Eval-Avant impact'!$A$762=A19,X10&lt;120),AND('Eval-Avant impact'!$A$763=A19,X11&lt;120),AND('Eval-Avant impact'!$A$764=A19,X12&lt;120),AND('Eval-Avant impact'!$A$765=A19,X13&lt;120),AND('Eval-Avant impact'!$A$766=A19,X14&lt;120),AND('Eval-Avant impact'!$A$767=A19,X15&lt;120),AND('Eval-Avant impact'!$A$768=A19,X16&lt;120),AND('Eval-Avant impact'!$A$769=A19,X17&lt;120),AND('Eval-Avant impact'!$A$770=A19,X18&lt;120),AND('Eval-Avant impact'!$A$771=A19,X19&lt;120),AND('Eval-Avant impact'!$A$772=A19,X20&lt;120),AND('Eval-Avant impact'!$A$773=A19,X21&lt;120),AND('Eval-Avant impact'!$A$774=A19,X22&lt;120),AND('Eval-Avant impact'!$A$775=A19,X23&lt;120),AND('Eval-Avant impact'!$A$776=A19,X24&lt;120),AND('Eval-Avant impact'!$A$777=A19,X25&lt;120),AND('Eval-Avant impact'!$A$778=A19,X26&lt;120),AND('Eval-Avant impact'!$A$779=A19,X27&lt;120),AND('Eval-Avant impact'!$A$780=A19,X28&lt;120)),"",SUM(0.1*(SUMPRODUCT(('Eval-Avant impact'!$A$761:$A$780=A19)*('Eval-Avant impact'!$Q$761:$Y$780="A"))+ SUMPRODUCT(('Eval-Avant impact'!$A$761:$A$780=A19)*('Eval-Avant impact'!$Q$761:$Y$780="AL"))),0.7*(SUMPRODUCT(('Eval-Avant impact'!$A$761:$A$780=A19)*('Eval-Avant impact'!$Q$761:$Y$780="TF"))+SUMPRODUCT(('Eval-Avant impact'!$A$761:$A$780=A19)*('Eval-Avant impact'!$Q$761:$Y$780="TM"))+SUMPRODUCT(('Eval-Avant impact'!$A$761:$A$780=A19)*('Eval-Avant impact'!$Q$761:$Y$780="TS"))),0.4*(SUMPRODUCT(('Eval-Avant impact'!$A$761:$A$780=A19)*('Eval-Avant impact'!$Q$761:$Y$780="LA"))+SUMPRODUCT(('Eval-Avant impact'!$A$761:$A$780=A19)*('Eval-Avant impact'!$Q$761:$Y$780="L"))+SUMPRODUCT(('Eval-Avant impact'!$A$761:$A$780=A19)*('Eval-Avant impact'!$Q$761:$Y$780="LS"))),1*(SUMPRODUCT(('Eval-Avant impact'!$A$761:$A$780=A19)*('Eval-Avant impact'!$Q$761:$Y$780="SL"))+ SUMPRODUCT(('Eval-Avant impact'!$A$761:$A$780=A19)*('Eval-Avant impact'!$Q$761:$Y$780="S"))))/(9*COUNTIF('Eval-Avant impact'!$A$761:$A$780,A19))),"")</f>
        <v/>
      </c>
      <c r="S19" s="211" t="str">
        <f>IF(COUNTIF('Eval-Avant impact'!$A$761:$A$780,A19)&gt;0,IF(OR(AND('Eval-Avant impact'!$A$761=A19,OR(COUNTIF('Eval-Avant impact'!$N$761:$P$761,"*T*")&gt;0,X9&lt;30)),AND('Eval-Avant impact'!$A$762=A19,OR(COUNTIF('Eval-Avant impact'!$N$762:$P$762,"*T*")&gt;0,X10&lt;30)),AND('Eval-Avant impact'!$A$763=A19,OR(COUNTIF('Eval-Avant impact'!$N$763:$P$763,"*T*")&gt;0,X11&lt;30)),AND('Eval-Avant impact'!$A$764=A19,OR(COUNTIF('Eval-Avant impact'!$N$764:$P$764,"*T*")&gt;0,X12&lt;30)),AND('Eval-Avant impact'!$A$765=A19,OR(COUNTIF('Eval-Avant impact'!$N$765:$P$765,"*T*")&gt;0,X13&lt;30)),AND('Eval-Avant impact'!$A$766=A19,OR(COUNTIF('Eval-Avant impact'!$N$766:$P$766,"*T*")&gt;0,X14&lt;30)),AND('Eval-Avant impact'!$A$767=A19,OR(COUNTIF('Eval-Avant impact'!$N$767:$P$767,"*T*")&gt;0,X15&lt;30)),AND('Eval-Avant impact'!$A$768=A19,OR(COUNTIF('Eval-Avant impact'!$N$768:$P$768,"*T*")&gt;0,X16&lt;30)),AND('Eval-Avant impact'!$A$769=A19,OR(COUNTIF('Eval-Avant impact'!$N$769:$P$769,"*T*")&gt;0,X17&lt;30)),AND('Eval-Avant impact'!$A$770=A19,OR(COUNTIF('Eval-Avant impact'!$N$770:$P$770,"*T*")&gt;0,X18&lt;30)),AND('Eval-Avant impact'!$A$771=A19,OR(COUNTIF('Eval-Avant impact'!$N$771:$P$771,"*T*")&gt;0,X19&lt;30)),AND('Eval-Avant impact'!$A$772=A19,OR(COUNTIF('Eval-Avant impact'!$N$772:$P$772,"*T*")&gt;0,X20&lt;30)),AND('Eval-Avant impact'!$A$773=A19,OR(COUNTIF('Eval-Avant impact'!$N$773:$P$773,"*T*")&gt;0,X21&lt;30)),AND('Eval-Avant impact'!$A$774=A19,OR(COUNTIF('Eval-Avant impact'!$N$774:$P$774,"*T*")&gt;0,X22&lt;30)),AND('Eval-Avant impact'!$A$775=A19,OR(COUNTIF('Eval-Avant impact'!$N$775:$P$775,"*T*")&gt;0,X23&lt;30)),AND('Eval-Avant impact'!$A$776=A19,OR(COUNTIF('Eval-Avant impact'!$N$776:$P$776,"*T*")&gt;0,X24&lt;30)),AND('Eval-Avant impact'!$A$777=A19,OR(COUNTIF('Eval-Avant impact'!$N$777:$P$777,"*T*")&gt;0,X25&lt;30)),AND('Eval-Avant impact'!$A$778=A19,OR(COUNTIF('Eval-Avant impact'!$N$778:$P$778,"*T*")&gt;0,X26&lt;30)),AND('Eval-Avant impact'!$A$779=A19,OR(COUNTIF('Eval-Avant impact'!$N$779:$P$779,"*T*")&gt;0,X27&lt;30)),AND('Eval-Avant impact'!$A$780=A19,OR(COUNTIF('Eval-Avant impact'!$N$780:$P$780,"*T*")&gt;0,X28&lt;30))),"",SUM(0.1*(SUMPRODUCT(('Eval-Avant impact'!$A$761:$A$780=A19)*('Eval-Avant impact'!$N$761:$P$780="L"))),0.4*(SUMPRODUCT(('Eval-Avant impact'!$A$761:$A$780=A19)*('Eval-Avant impact'!$N$761:$P$780="LA"))+SUMPRODUCT(('Eval-Avant impact'!$A$761:$A$780=A19)*('Eval-Avant impact'!$N$761:$P$780="LS"))),0.7*(SUMPRODUCT(('Eval-Avant impact'!$A$761:$A$780=A19)*('Eval-Avant impact'!$N$761:$P$780="AL"))+SUMPRODUCT(('Eval-Avant impact'!$A$761:$A$780=A19)*('Eval-Avant impact'!$N$761:$P$780="SL"))),1*(SUMPRODUCT(('Eval-Avant impact'!$A$761:$A$780=A19)*('Eval-Avant impact'!$N$761:$P$780="S"))+ SUMPRODUCT(('Eval-Avant impact'!$A$761:$A$780=A19)*('Eval-Avant impact'!$N$761:$P$780="A"))))/(3*COUNTIF('Eval-Avant impact'!$A$761:$A$780,A19))),"")</f>
        <v/>
      </c>
      <c r="T19" s="211" t="str">
        <f>IF(COUNTIF('Eval-Avant impact'!$A$761:$A$780,A19)&gt;0,IF(OR(AND('Eval-Avant impact'!$A$761=A19,OR(COUNTIF('Eval-Avant impact'!$N$761:$P$761,"*T*")&gt;0,X9&lt;30)),AND('Eval-Avant impact'!$A$762=A19,OR(COUNTIF('Eval-Avant impact'!$N$762:$P$762,"*T*")&gt;0,X10&lt;30)),AND('Eval-Avant impact'!$A$763=A19,OR(COUNTIF('Eval-Avant impact'!$N$763:$P$763,"*T*")&gt;0,X11&lt;30)),AND('Eval-Avant impact'!$A$764=A19,OR(COUNTIF('Eval-Avant impact'!$N$764:$P$764,"*T*")&gt;0,X12&lt;30)),AND('Eval-Avant impact'!$A$765=A19,OR(COUNTIF('Eval-Avant impact'!$N$765:$P$765,"*T*")&gt;0,X13&lt;30)),AND('Eval-Avant impact'!$A$766=A19,OR(COUNTIF('Eval-Avant impact'!$N$766:$P$766,"*T*")&gt;0,X14&lt;30)),AND('Eval-Avant impact'!$A$767=A19,OR(COUNTIF('Eval-Avant impact'!$N$767:$P$767,"*T*")&gt;0,X15&lt;30)),AND('Eval-Avant impact'!$A$768=A19,OR(COUNTIF('Eval-Avant impact'!$N$768:$P$768,"*T*")&gt;0,X16&lt;30)),AND('Eval-Avant impact'!$A$769=A19,OR(COUNTIF('Eval-Avant impact'!$N$769:$P$769,"*T*")&gt;0,X17&lt;30)),AND('Eval-Avant impact'!$A$770=A19,OR(COUNTIF('Eval-Avant impact'!$N$770:$P$770,"*T*")&gt;0,X18&lt;30)),AND('Eval-Avant impact'!$A$771=A19,OR(COUNTIF('Eval-Avant impact'!$N$771:$P$771,"*T*")&gt;0,X19&lt;30)),AND('Eval-Avant impact'!$A$772=A19,OR(COUNTIF('Eval-Avant impact'!$N$772:$P$772,"*T*")&gt;0,X20&lt;30)),AND('Eval-Avant impact'!$A$773=A19,OR(COUNTIF('Eval-Avant impact'!$N$773:$P$773,"*T*")&gt;0,X21&lt;30)),AND('Eval-Avant impact'!$A$774=A19,OR(COUNTIF('Eval-Avant impact'!$N$774:$P$774,"*T*")&gt;0,X22&lt;30)),AND('Eval-Avant impact'!$A$775=A19,OR(COUNTIF('Eval-Avant impact'!$N$775:$P$775,"*T*")&gt;0,X23&lt;30)),AND('Eval-Avant impact'!$A$776=A19,OR(COUNTIF('Eval-Avant impact'!$N$776:$P$776,"*T*")&gt;0,X24&lt;30)),AND('Eval-Avant impact'!$A$777=A19,OR(COUNTIF('Eval-Avant impact'!$N$777:$P$777,"*T*")&gt;0,X25&lt;30)),AND('Eval-Avant impact'!$A$778=A19,OR(COUNTIF('Eval-Avant impact'!$N$778:$P$778,"*T*")&gt;0,X26&lt;30)),AND('Eval-Avant impact'!$A$779=A19,OR(COUNTIF('Eval-Avant impact'!$N$779:$P$779,"*T*")&gt;0,X27&lt;30)),AND('Eval-Avant impact'!$A$780=A19,OR(COUNTIF('Eval-Avant impact'!$N$780:$P$780,"*T*")&gt;0,X28&lt;30))),"",SUM(1*(SUMPRODUCT(('Eval-Avant impact'!$A$761:$A$780=A19)*('Eval-Avant impact'!$N$761:$P$780="A"))),0.85*(SUMPRODUCT(('Eval-Avant impact'!$A$761:$A$780=A19)*('Eval-Avant impact'!$N$761:$P$780="AL"))),0.7*(SUMPRODUCT(('Eval-Avant impact'!$A$761:$A$780=A19)*('Eval-Avant impact'!$N$761:$P$780="LA"))),0.55*(SUMPRODUCT(('Eval-Avant impact'!$A$761:$A$780=A19)*('Eval-Avant impact'!$N$761:$P$780="L"))),0.4*(SUMPRODUCT(('Eval-Avant impact'!$A$761:$A$780=A19)*('Eval-Avant impact'!$N$761:$P$780="LS"))),0.25*(SUMPRODUCT(('Eval-Avant impact'!$A$761:$A$780=A19)*('Eval-Avant impact'!$N$761:$P$780="SL"))),0.1*(SUMPRODUCT(('Eval-Avant impact'!$A$761:$A$780=A19)*('Eval-Avant impact'!$N$761:$P$780="S"))))/(3*COUNTIF('Eval-Avant impact'!$A$761:$A$780,A19))),"")</f>
        <v/>
      </c>
      <c r="U19" s="214" t="str">
        <f>IF(COUNTIF('Eval-Avant impact'!$A$761:$A$780,A19)&gt;0,IF(OR(AND('Eval-Avant impact'!$A$761=A19,OR(COUNTIF('Eval-Avant impact'!$Q$761:$Y$761,"*T*")&gt;0,X9&lt;120)),AND('Eval-Avant impact'!$A$762=A19,OR(COUNTIF('Eval-Avant impact'!$Q$762:$Y$762,"*T*")&gt;0,X10&lt;120)),AND('Eval-Avant impact'!$A$763=A19,OR(COUNTIF('Eval-Avant impact'!$Q$763:$Y$763,"*T*")&gt;0,X11&lt;120)),AND('Eval-Avant impact'!$A$764=A19,OR(COUNTIF('Eval-Avant impact'!$Q$764:$Y$764,"*T*")&gt;0,X12&lt;120)),AND('Eval-Avant impact'!$A$765=A19,OR(COUNTIF('Eval-Avant impact'!$Q$765:$Y$765,"*T*")&gt;0,X13&lt;120)),AND('Eval-Avant impact'!$A$766=A19,OR(COUNTIF('Eval-Avant impact'!$Q$766:$Y$766,"*T*")&gt;0,X14&lt;120)),AND('Eval-Avant impact'!$A$767=A19,OR(COUNTIF('Eval-Avant impact'!$Q$767:$Y$767,"*T*")&gt;0,X15&lt;120)),AND('Eval-Avant impact'!$A$768=A19,OR(COUNTIF('Eval-Avant impact'!$Q$768:$Y$768,"*T*")&gt;0,X16&lt;120)),AND('Eval-Avant impact'!$A$769=A19,OR(COUNTIF('Eval-Avant impact'!$Q$769:$Y$769,"*T*")&gt;0,X17&lt;120)),AND('Eval-Avant impact'!$A$770=A19,OR(COUNTIF('Eval-Avant impact'!$Q$770:$Y$770,"*T*")&gt;0,X18&lt;120)),AND('Eval-Avant impact'!$A$771=A19,OR(COUNTIF('Eval-Avant impact'!$Q$771:$Y$771,"*T*")&gt;0,X19&lt;120)),AND('Eval-Avant impact'!$A$772=A19,OR(COUNTIF('Eval-Avant impact'!$Q$772:$Y$772,"*T*")&gt;0,X20&lt;120)),AND('Eval-Avant impact'!$A$773=A19,OR(COUNTIF('Eval-Avant impact'!$Q$773:$Y$773,"*T*")&gt;0,X21&lt;120)),AND('Eval-Avant impact'!$A$774=A19,OR(COUNTIF('Eval-Avant impact'!$Q$774:$Y$774,"*T*")&gt;0,X22&lt;120)),AND('Eval-Avant impact'!$A$775=A19,OR(COUNTIF('Eval-Avant impact'!$Q$775:$Y$775,"*T*")&gt;0,X23&lt;120)),AND('Eval-Avant impact'!$A$776=A19,OR(COUNTIF('Eval-Avant impact'!$Q$776:$Y$776,"*T*")&gt;0,X24&lt;120)),AND('Eval-Avant impact'!$A$777=A19,OR(COUNTIF('Eval-Avant impact'!$Q$777:$Y$777,"*T*")&gt;0,X25&lt;120)),AND('Eval-Avant impact'!$A$778=A19,OR(COUNTIF('Eval-Avant impact'!$Q$778:$Y$778,"*T*")&gt;0,X26&lt;120)),AND('Eval-Avant impact'!$A$779=A19,OR(COUNTIF('Eval-Avant impact'!$Q$779:$Y$779,"*T*")&gt;0,X27&lt;120)),AND('Eval-Avant impact'!$A$780=A19,OR(COUNTIF('Eval-Avant impact'!$Q$780:$Y$780,"*T*")&gt;0,X28&lt;120))),"",SUM(1*(SUMPRODUCT(('Eval-Avant impact'!$A$761:$A$780=A19)*('Eval-Avant impact'!$Q$761:$Y$780="A"))),0.85*(SUMPRODUCT(('Eval-Avant impact'!$A$761:$A$780=A19)*('Eval-Avant impact'!$Q$761:$Y$780="AL"))),0.7*(SUMPRODUCT(('Eval-Avant impact'!$A$761:$A$780=A19)*('Eval-Avant impact'!$Q$761:$Y$780="LA"))),0.55*(SUMPRODUCT(('Eval-Avant impact'!$A$761:$A$780=A19)*('Eval-Avant impact'!$Q$761:$Y$780="L"))),0.4*(SUMPRODUCT(('Eval-Avant impact'!$A$761:$A$780=A19)*('Eval-Avant impact'!$Q$761:$Y$780="LS"))),0.25*(SUMPRODUCT(('Eval-Avant impact'!$A$761:$A$780=A19)*('Eval-Avant impact'!$Q$761:$Y$780="SL"))),0.1*(SUMPRODUCT(('Eval-Avant impact'!$A$761:$A$780=A19)*('Eval-Avant impact'!$Q$761:$Y$780="S"))))/(9*COUNTIF('Eval-Avant impact'!$A$761:$A$780,A19))),"")</f>
        <v/>
      </c>
      <c r="V19" s="215"/>
      <c r="W19" s="216">
        <f>'Eval-Avant impact'!$D$771</f>
        <v>11</v>
      </c>
      <c r="X19" s="217" t="str">
        <f>IF(Y19="C",0,IF(IF(COUNTIF('Eval-Avant impact'!$N$771:$Y$771,"=C")&gt;0,(COUNTA('Eval-Avant impact'!$N$771:$Y$771)-1)*10,COUNTA('Eval-Avant impact'!$N$771:$Y$771)*10)=0,"",IF(COUNTIF('Eval-Avant impact'!$N$771:$Y$771,"=C")&gt;0,(COUNTA('Eval-Avant impact'!$N$771:$Y$771)-1)*10,COUNTA('Eval-Avant impact'!$N$771:$Y$771)*10)))</f>
        <v/>
      </c>
      <c r="Y19" s="217" t="str">
        <f>CONCATENATE('Eval-Avant impact'!$N$771,'Eval-Avant impact'!$O$771,'Eval-Avant impact'!$P$771,'Eval-Avant impact'!$Q$771,'Eval-Avant impact'!$R$771,'Eval-Avant impact'!$S$771,'Eval-Avant impact'!$T$771,'Eval-Avant impact'!$U$771,'Eval-Avant impact'!$V$771,'Eval-Avant impact'!$W$771,'Eval-Avant impact'!$X$771,'Eval-Avant impact'!$Y$771)</f>
        <v/>
      </c>
      <c r="Z19" s="217" t="str">
        <f t="shared" si="0"/>
        <v/>
      </c>
      <c r="AA19" s="217" t="str">
        <f t="shared" si="1"/>
        <v/>
      </c>
      <c r="AB19" s="217" t="str">
        <f>IF(COUNTIF('Eval-Avant impact'!$N$771:$Y$771,"=C")&gt;0,"X","")</f>
        <v/>
      </c>
      <c r="AC19" s="217" t="str">
        <f t="shared" si="2"/>
        <v/>
      </c>
      <c r="AD19" s="218" t="str">
        <f t="shared" si="3"/>
        <v/>
      </c>
      <c r="AE19" s="197"/>
      <c r="AG19" s="210">
        <v>11</v>
      </c>
      <c r="AH19" s="211" t="str">
        <f>IF(COUNTIF('Eval-Avec impact envisagé'!$A$761:$A$780,AG19)&gt;0,SUM(IF('Eval-Avec impact envisagé'!$A$761=AG19,'Eval-Avec impact envisagé'!$B$761,0),IF('Eval-Avec impact envisagé'!$A$762=AG19, 'Eval-Avec impact envisagé'!$B$762,0),IF('Eval-Avec impact envisagé'!$A$763=AG19, 'Eval-Avec impact envisagé'!$B$763,0),IF('Eval-Avec impact envisagé'!$A$764=AG19, 'Eval-Avec impact envisagé'!$B$764,0),IF('Eval-Avec impact envisagé'!$A$765=AG19, 'Eval-Avec impact envisagé'!$B$765,0),IF('Eval-Avec impact envisagé'!$A$766=AG19, 'Eval-Avec impact envisagé'!$B$766,0),IF('Eval-Avec impact envisagé'!$A$767=AG19, 'Eval-Avec impact envisagé'!$B$767,0),IF('Eval-Avec impact envisagé'!$A$768=AG19, 'Eval-Avec impact envisagé'!$B$768,0),IF('Eval-Avec impact envisagé'!$A$769=AG19, 'Eval-Avec impact envisagé'!$B$769,0),IF('Eval-Avec impact envisagé'!$A$770=AG19, 'Eval-Avec impact envisagé'!$B$770,0),IF('Eval-Avec impact envisagé'!$A$771=AG19, 'Eval-Avec impact envisagé'!$B$771,0),IF('Eval-Avec impact envisagé'!$A$772=AG19, 'Eval-Avec impact envisagé'!$B$772,0),IF('Eval-Avec impact envisagé'!$A$773=AG19, 'Eval-Avec impact envisagé'!$B$773,0),IF('Eval-Avec impact envisagé'!$A$774=AG19, 'Eval-Avec impact envisagé'!$B$774,0),IF('Eval-Avec impact envisagé'!$A$775=AG19, 'Eval-Avec impact envisagé'!$B$775,0),IF('Eval-Avec impact envisagé'!$A$776=AG19, 'Eval-Avec impact envisagé'!$B$776,0),IF('Eval-Avec impact envisagé'!$A$777=AG19, 'Eval-Avec impact envisagé'!$B$777,0),IF('Eval-Avec impact envisagé'!$A$778=AG19, 'Eval-Avec impact envisagé'!$B$778,0),IF('Eval-Avec impact envisagé'!$A$779=AG19, 'Eval-Avec impact envisagé'!$B$779,0),IF('Eval-Avec impact envisagé'!$A$780=AG19, 'Eval-Avec impact envisagé'!$B$780,0))/COUNTIF('Eval-Avec impact envisagé'!$A$761:$A$780,AG19),"")</f>
        <v/>
      </c>
      <c r="AI19" s="212" t="str">
        <f>IF(COUNTIF('Eval-Avec impact envisagé'!$A$761:$A$780,AG19)&gt;0,COUNTIF('Eval-Avec impact envisagé'!$A$761:$A$780,AG19),"")</f>
        <v/>
      </c>
      <c r="AJ19" s="211" t="str">
        <f>IF(COUNTIF('Eval-Avec impact envisagé'!$A$761:$A$780,AG19)&gt;0,IF(OR(AND('Eval-Avec impact envisagé'!$A$761=AG19, 'Eval-Avec impact envisagé'!$G$761=""),AND('Eval-Avec impact envisagé'!$A$762=AG19, 'Eval-Avec impact envisagé'!$G$762=""),AND('Eval-Avec impact envisagé'!$A$763=AG19, 'Eval-Avec impact envisagé'!$G$763=""),AND('Eval-Avec impact envisagé'!$A$764=AG19, 'Eval-Avec impact envisagé'!$G$764=""),AND('Eval-Avec impact envisagé'!$A$765=AG19, 'Eval-Avec impact envisagé'!$G$765=""),AND('Eval-Avec impact envisagé'!$A$766=AG19, 'Eval-Avec impact envisagé'!$G$766=""),AND('Eval-Avec impact envisagé'!$A$767=AG19, 'Eval-Avec impact envisagé'!$G$767=""),AND('Eval-Avec impact envisagé'!$A$768=AG19, 'Eval-Avec impact envisagé'!$G$768=""),AND('Eval-Avec impact envisagé'!$A$769=AG19, 'Eval-Avec impact envisagé'!$G$769=""),AND('Eval-Avec impact envisagé'!$A$770=AG19, 'Eval-Avec impact envisagé'!$G$770=""),AND('Eval-Avec impact envisagé'!$A$771=AG19, 'Eval-Avec impact envisagé'!$G$771=""),AND('Eval-Avec impact envisagé'!$A$772=AG19, 'Eval-Avec impact envisagé'!$G$772=""),AND('Eval-Avec impact envisagé'!$A$773=AG19, 'Eval-Avec impact envisagé'!$G$773=""),AND('Eval-Avec impact envisagé'!$A$774=AG19, 'Eval-Avec impact envisagé'!$G$774=""),AND('Eval-Avec impact envisagé'!$A$775=AG19, 'Eval-Avec impact envisagé'!$G$775=""),AND('Eval-Avec impact envisagé'!$A$776=AG19, 'Eval-Avec impact envisagé'!$G$776=""),AND('Eval-Avec impact envisagé'!$A$777=AG19, 'Eval-Avec impact envisagé'!$G$777=""),AND('Eval-Avec impact envisagé'!$A$778=AG19, 'Eval-Avec impact envisagé'!$G$778=""),AND('Eval-Avec impact envisagé'!$A$779=AG19, 'Eval-Avec impact envisagé'!$G$779=""),AND('Eval-Avec impact envisagé'!$A$780=AG19, 'Eval-Avec impact envisagé'!$G$780="")),"",SUM(IF('Eval-Avec impact envisagé'!$A$761=AG19,'Eval-Avec impact envisagé'!$G$761,0),IF('Eval-Avec impact envisagé'!$A$762=AG19,'Eval-Avec impact envisagé'!$G$762,0),IF('Eval-Avec impact envisagé'!$A$763=AG19,'Eval-Avec impact envisagé'!$G$763,0),IF('Eval-Avec impact envisagé'!$A$764=AG19,'Eval-Avec impact envisagé'!$G$764,0),IF('Eval-Avec impact envisagé'!$A$765=AG19,'Eval-Avec impact envisagé'!$G$765,0),IF('Eval-Avec impact envisagé'!$A$766=AG19,'Eval-Avec impact envisagé'!$G$766,0),IF('Eval-Avec impact envisagé'!$A$767=AG19,'Eval-Avec impact envisagé'!$G$767,0),IF('Eval-Avec impact envisagé'!$A$768=AG19,'Eval-Avec impact envisagé'!$G$768,0),IF('Eval-Avec impact envisagé'!$A$769=AG19,'Eval-Avec impact envisagé'!$G$769,0),IF('Eval-Avec impact envisagé'!$A$770=AG19,'Eval-Avec impact envisagé'!$G$770,0),IF('Eval-Avec impact envisagé'!$A$771=AG19,'Eval-Avec impact envisagé'!$G$771,0),IF('Eval-Avec impact envisagé'!$A$772=AG19,'Eval-Avec impact envisagé'!$G$772,0),IF('Eval-Avec impact envisagé'!$A$773=AG19,'Eval-Avec impact envisagé'!$G$773,0),IF('Eval-Avec impact envisagé'!$A$774=AG19,'Eval-Avec impact envisagé'!$G$774,0),IF('Eval-Avec impact envisagé'!$A$775=AG19,'Eval-Avec impact envisagé'!$G$775,0), IF('Eval-Avec impact envisagé'!$A$776=AG19,'Eval-Avec impact envisagé'!$G$776,0), IF('Eval-Avec impact envisagé'!$A$777=AG19,'Eval-Avec impact envisagé'!$G$777,0), IF('Eval-Avec impact envisagé'!$A$778=AG19,'Eval-Avec impact envisagé'!$G$778,0), IF('Eval-Avec impact envisagé'!$A$779=AG19,'Eval-Avec impact envisagé'!$G$779,0), IF('Eval-Avec impact envisagé'!$A$780=AG19,'Eval-Avec impact envisagé'!$G$780,0))/ COUNTIF('Eval-Avec impact envisagé'!$A$761:$A$780,AG19)),"")</f>
        <v/>
      </c>
      <c r="AK19" s="212" t="str">
        <f>IF(COUNTIF('Eval-Avec impact envisagé'!$A$761:$A$780,AG19)&gt;0,IF(SUM(IF('Eval-Avec impact envisagé'!$A$761=AG19,COUNTA('Eval-Avec impact envisagé'!$H$761),0),IF('Eval-Avec impact envisagé'!$A$762=AG19,COUNTA('Eval-Avec impact envisagé'!$H$762),0),IF('Eval-Avec impact envisagé'!$A$763=AG19,COUNTA('Eval-Avec impact envisagé'!$H$763),0),IF('Eval-Avec impact envisagé'!$A$764=AG19,COUNTA('Eval-Avec impact envisagé'!$H$764),0),IF('Eval-Avec impact envisagé'!$A$765=AG19,COUNTA('Eval-Avec impact envisagé'!$H$765),0),IF('Eval-Avec impact envisagé'!$A$766=AG19,COUNTA('Eval-Avec impact envisagé'!$H$766),0),IF('Eval-Avec impact envisagé'!$A$767=AG19,COUNTA('Eval-Avec impact envisagé'!$H$767),0),IF('Eval-Avec impact envisagé'!$A$768=AG19,COUNTA('Eval-Avec impact envisagé'!$H$768),0),IF('Eval-Avec impact envisagé'!$A$769=AG19,COUNTA('Eval-Avec impact envisagé'!$H$769),0),IF('Eval-Avec impact envisagé'!$A$770=AG19,COUNTA('Eval-Avec impact envisagé'!$H$770),0),IF('Eval-Avec impact envisagé'!$A$771=AG19,COUNTA('Eval-Avec impact envisagé'!$H$771),0),IF('Eval-Avec impact envisagé'!$A$772=AG19,COUNTA('Eval-Avec impact envisagé'!$H$772),0),IF('Eval-Avec impact envisagé'!$A$773=AG19,COUNTA('Eval-Avec impact envisagé'!$H$773),0),IF('Eval-Avec impact envisagé'!$A$774=AG19,COUNTA('Eval-Avec impact envisagé'!$H$774),0),IF('Eval-Avec impact envisagé'!$A$775=AG19,COUNTA('Eval-Avec impact envisagé'!$H$775),0),IF('Eval-Avec impact envisagé'!$A$776=AG19,COUNTA('Eval-Avec impact envisagé'!$H$776),0),IF('Eval-Avec impact envisagé'!$A$777=AG19,COUNTA('Eval-Avec impact envisagé'!$H$777),0),IF('Eval-Avec impact envisagé'!$A$778=AG19,COUNTA('Eval-Avec impact envisagé'!$H$778),0),IF('Eval-Avec impact envisagé'!$A$779=AG19,COUNTA('Eval-Avec impact envisagé'!$H$779),0),IF('Eval-Avec impact envisagé'!$A$780=AG19,COUNTA('Eval-Avec impact envisagé'!$H$780),0))&gt;0,"X",0),"")</f>
        <v/>
      </c>
      <c r="AL19" s="213" t="str">
        <f>IF(COUNTIF('Eval-Avec impact envisagé'!$A$761:$A$780,AG19)&gt;0,IF(SUM(IF('Eval-Avec impact envisagé'!$A$761=AG19,COUNTA('Eval-Avec impact envisagé'!$I$761),0),IF('Eval-Avec impact envisagé'!$A$762=AG19,COUNTA('Eval-Avec impact envisagé'!$I$762),0),IF('Eval-Avec impact envisagé'!$A$763=AG19,COUNTA('Eval-Avec impact envisagé'!$I$763),0),IF('Eval-Avec impact envisagé'!$A$764=AG19,COUNTA('Eval-Avec impact envisagé'!$I$764),0),IF('Eval-Avec impact envisagé'!$A$765=AG19,COUNTA('Eval-Avec impact envisagé'!$I$765),0),IF('Eval-Avec impact envisagé'!$A$766=AG19,COUNTA('Eval-Avec impact envisagé'!$I$766),0),IF('Eval-Avec impact envisagé'!$A$767=AG19,COUNTA('Eval-Avec impact envisagé'!$I$767),0),IF('Eval-Avec impact envisagé'!$A$768=AG19,COUNTA('Eval-Avec impact envisagé'!$I$768),0),IF('Eval-Avec impact envisagé'!$A$769=AG19,COUNTA('Eval-Avec impact envisagé'!$I$769),0),IF('Eval-Avec impact envisagé'!$A$770=AG19,COUNTA('Eval-Avec impact envisagé'!$I$770),0),IF('Eval-Avec impact envisagé'!$A$771=AG19,COUNTA('Eval-Avec impact envisagé'!$I$771),0),IF('Eval-Avec impact envisagé'!$A$772=AG19,COUNTA('Eval-Avec impact envisagé'!$I$772),0),IF('Eval-Avec impact envisagé'!$A$773=AG19,COUNTA('Eval-Avec impact envisagé'!$I$773),0),IF('Eval-Avec impact envisagé'!$A$774=AG19,COUNTA('Eval-Avec impact envisagé'!$I$774),0),IF('Eval-Avec impact envisagé'!$A$775=AG19,COUNTA('Eval-Avec impact envisagé'!$I$775),0),IF('Eval-Avec impact envisagé'!$A$776=AG19,COUNTA('Eval-Avec impact envisagé'!$I$776),0),IF('Eval-Avec impact envisagé'!$A$777=AG19,COUNTA('Eval-Avec impact envisagé'!$I$777),0),IF('Eval-Avec impact envisagé'!$A$778=AG19,COUNTA('Eval-Avec impact envisagé'!$I$778),0),IF('Eval-Avec impact envisagé'!$A$779=AG19,COUNTA('Eval-Avec impact envisagé'!$I$779),0),IF('Eval-Avec impact envisagé'!$A$780=AG19,COUNTA('Eval-Avec impact envisagé'!$I$780),0))&gt;0,"X",0),"")</f>
        <v/>
      </c>
      <c r="AM19" s="213" t="str">
        <f>IF(COUNTIF('Eval-Avec impact envisagé'!$A$761:$A$780,AG19)&gt;0,IF(SUM(IF('Eval-Avec impact envisagé'!$A$761=AG19,COUNTA('Eval-Avec impact envisagé'!$J$761),0),IF('Eval-Avec impact envisagé'!$A$762=AG19,COUNTA('Eval-Avec impact envisagé'!$J$762),0),IF('Eval-Avec impact envisagé'!$A$763=AG19,COUNTA('Eval-Avec impact envisagé'!$J$763),0),IF('Eval-Avec impact envisagé'!$A$764=AG19,COUNTA('Eval-Avec impact envisagé'!$J$764),0),IF('Eval-Avec impact envisagé'!$A$765=AG19,COUNTA('Eval-Avec impact envisagé'!$J$765),0),IF('Eval-Avec impact envisagé'!$A$766=AG19,COUNTA('Eval-Avec impact envisagé'!$J$766),0),IF('Eval-Avec impact envisagé'!$A$767=AG19,COUNTA('Eval-Avec impact envisagé'!$J$767),0),IF('Eval-Avec impact envisagé'!$A$768=AG19,COUNTA('Eval-Avec impact envisagé'!$J$768),0),IF('Eval-Avec impact envisagé'!$A$769=AG19,COUNTA('Eval-Avec impact envisagé'!$J$769),0),IF('Eval-Avec impact envisagé'!$A$770=AG19,COUNTA('Eval-Avec impact envisagé'!$J$770),0),IF('Eval-Avec impact envisagé'!$A$771=AG19,COUNTA('Eval-Avec impact envisagé'!$J$771),0),IF('Eval-Avec impact envisagé'!$A$772=AG19,COUNTA('Eval-Avec impact envisagé'!$J$772),0),IF('Eval-Avec impact envisagé'!$A$773=AG19,COUNTA('Eval-Avec impact envisagé'!$J$773),0),IF('Eval-Avec impact envisagé'!$A$774=AG19,COUNTA('Eval-Avec impact envisagé'!$J$774),0),IF('Eval-Avec impact envisagé'!$A$775=AG19,COUNTA('Eval-Avec impact envisagé'!$J$775),0),IF('Eval-Avec impact envisagé'!$A$776=AG19,COUNTA('Eval-Avec impact envisagé'!$J$776),0),IF('Eval-Avec impact envisagé'!$A$777=AG19,COUNTA('Eval-Avec impact envisagé'!$J$777),0),IF('Eval-Avec impact envisagé'!$A$778=AG19,COUNTA('Eval-Avec impact envisagé'!$J$778),0),IF('Eval-Avec impact envisagé'!$A$779=AG19,COUNTA('Eval-Avec impact envisagé'!$J$779),0),IF('Eval-Avec impact envisagé'!$A$780=AG19,COUNTA('Eval-Avec impact envisagé'!$J$780),0))&gt;0,"X",0),"")</f>
        <v/>
      </c>
      <c r="AN19" s="213" t="str">
        <f>IF(COUNTIF('Eval-Avec impact envisagé'!$A$761:$A$780,AG19)&gt;0,IF(SUM(IF('Eval-Avec impact envisagé'!$A$761=AG19,COUNTA('Eval-Avec impact envisagé'!$K$761),0),IF('Eval-Avec impact envisagé'!$A$762=AG19,COUNTA('Eval-Avec impact envisagé'!$K$762),0),IF('Eval-Avec impact envisagé'!$A$763=AG19,COUNTA('Eval-Avec impact envisagé'!$K$763),0),IF('Eval-Avec impact envisagé'!$A$764=AG19,COUNTA('Eval-Avec impact envisagé'!$K$764),0),IF('Eval-Avec impact envisagé'!$A$765=AG19,COUNTA('Eval-Avec impact envisagé'!$K$765),0),IF('Eval-Avec impact envisagé'!$A$766=AG19,COUNTA('Eval-Avec impact envisagé'!$K$766),0),IF('Eval-Avec impact envisagé'!$A$767=AG19,COUNTA('Eval-Avec impact envisagé'!$K$767),0),IF('Eval-Avec impact envisagé'!$A$768=AG19,COUNTA('Eval-Avec impact envisagé'!$K$768),0),IF('Eval-Avec impact envisagé'!$A$769=AG19,COUNTA('Eval-Avec impact envisagé'!$K$769),0),IF('Eval-Avec impact envisagé'!$A$770=AG19,COUNTA('Eval-Avec impact envisagé'!$K$770),0),IF('Eval-Avec impact envisagé'!$A$771=AG19,COUNTA('Eval-Avec impact envisagé'!$K$771),0),IF('Eval-Avec impact envisagé'!$A$772=AG19,COUNTA('Eval-Avec impact envisagé'!$K$772),0),IF('Eval-Avec impact envisagé'!$A$773=AG19,COUNTA('Eval-Avec impact envisagé'!$K$773),0),IF('Eval-Avec impact envisagé'!$A$774=AG19,COUNTA('Eval-Avec impact envisagé'!$K$774),0),IF('Eval-Avec impact envisagé'!$A$775=AG19,COUNTA('Eval-Avec impact envisagé'!$K$775),0),IF('Eval-Avec impact envisagé'!$A$776=AG19,COUNTA('Eval-Avec impact envisagé'!$K$776),0),IF('Eval-Avec impact envisagé'!$A$777=AG19,COUNTA('Eval-Avec impact envisagé'!$K$777),0),IF('Eval-Avec impact envisagé'!$A$778=AG19,COUNTA('Eval-Avec impact envisagé'!$K$778),0),IF('Eval-Avec impact envisagé'!$A$779=AG19,COUNTA('Eval-Avec impact envisagé'!$K$779),0),IF('Eval-Avec impact envisagé'!$A$780=AG19,COUNTA('Eval-Avec impact envisagé'!$K$780),0))&gt;0,"X",0),"")</f>
        <v/>
      </c>
      <c r="AO19" s="211" t="str">
        <f>IF(COUNTIF('Eval-Avec impact envisagé'!$A$761:$A$780,AG19)&gt;0,IF(OR(AND('Eval-Avec impact envisagé'!$A$761=AG19,'Eval-Avec impact envisagé'!$L$761&lt;120,'Eval-Avec impact envisagé'!$L$761&gt;=BD9),AND('Eval-Avec impact envisagé'!$A$762=AG19,'Eval-Avec impact envisagé'!$L$762&lt;120,'Eval-Avec impact envisagé'!$L$762&gt;=BD10),AND('Eval-Avec impact envisagé'!$A$763=AG19,'Eval-Avec impact envisagé'!$L$763&lt;120,'Eval-Avec impact envisagé'!$L$763&gt;=BD11),AND('Eval-Avec impact envisagé'!$A$764=AG19,'Eval-Avec impact envisagé'!$L$764&lt;120,'Eval-Avec impact envisagé'!$L$764&gt;=BD12),AND('Eval-Avec impact envisagé'!$A$765=AG19,'Eval-Avec impact envisagé'!$L$765&lt;120,'Eval-Avec impact envisagé'!$L$765&gt;=BD13),AND('Eval-Avec impact envisagé'!$A$766=AG19,'Eval-Avec impact envisagé'!$L$766&lt;120,'Eval-Avec impact envisagé'!$L$766&gt;=BD14),AND('Eval-Avec impact envisagé'!$A$767=AG19,'Eval-Avec impact envisagé'!$L$767&lt;120,'Eval-Avec impact envisagé'!$L$767&gt;=BD15),AND('Eval-Avec impact envisagé'!$A$768=AG19,'Eval-Avec impact envisagé'!$L$768&lt;120,'Eval-Avec impact envisagé'!$L$768&gt;=BD16),AND('Eval-Avec impact envisagé'!$A$769=AG19,'Eval-Avec impact envisagé'!$L$769&lt;120,'Eval-Avec impact envisagé'!$L$769&gt;=BD17),AND('Eval-Avec impact envisagé'!$A$770=AG19,'Eval-Avec impact envisagé'!$L$770&lt;120,'Eval-Avec impact envisagé'!$L$770&gt;=BD18),AND('Eval-Avec impact envisagé'!$A$771=AG19,'Eval-Avec impact envisagé'!$L$771&lt;120,'Eval-Avec impact envisagé'!$L$771&gt;=BD19),AND('Eval-Avec impact envisagé'!$A$772=AG19,'Eval-Avec impact envisagé'!$L$772&lt;120,'Eval-Avec impact envisagé'!$L$772&gt;=BD20),AND('Eval-Avec impact envisagé'!$A$773=AG19,'Eval-Avec impact envisagé'!$L$773&lt;120,'Eval-Avec impact envisagé'!$L$773&gt;=BD21),AND('Eval-Avec impact envisagé'!$A$774=AG19,'Eval-Avec impact envisagé'!$L$774&lt;120,'Eval-Avec impact envisagé'!$L$774&gt;=BD22),AND('Eval-Avec impact envisagé'!$A$775=AG19,'Eval-Avec impact envisagé'!$L$775&lt;120,'Eval-Avec impact envisagé'!$L$775&gt;=BD23),AND('Eval-Avec impact envisagé'!$A$776=AG19,'Eval-Avec impact envisagé'!$L$776&lt;120,'Eval-Avec impact envisagé'!$L$776&gt;=BD24),AND('Eval-Avec impact envisagé'!$A$777=AG19,'Eval-Avec impact envisagé'!$L$777&lt;120,'Eval-Avec impact envisagé'!$L$777&gt;=BD25),AND('Eval-Avec impact envisagé'!$A$778=AG19,'Eval-Avec impact envisagé'!$L$778&lt;120,'Eval-Avec impact envisagé'!$L$778&gt;=BD26),AND('Eval-Avec impact envisagé'!$A$779=AG19,'Eval-Avec impact envisagé'!$L$779&lt;120,'Eval-Avec impact envisagé'!$L$779&gt;=BD27),AND('Eval-Avec impact envisagé'!$A$780=AG19,'Eval-Avec impact envisagé'!$L$780&lt;120,'Eval-Avec impact envisagé'!$L$780&gt;=BD28)),"",SUM(IF('Eval-Avec impact envisagé'!$A$761=AG19,'Eval-Avec impact envisagé'!$L$761,0),IF('Eval-Avec impact envisagé'!$A$762=AG19,'Eval-Avec impact envisagé'!$L$762,0),IF('Eval-Avec impact envisagé'!$A$763=AG19,'Eval-Avec impact envisagé'!$L$763,0),IF('Eval-Avec impact envisagé'!$A$764=AG19,'Eval-Avec impact envisagé'!$L$764,0),IF('Eval-Avec impact envisagé'!$A$765=AG19,'Eval-Avec impact envisagé'!$L$765,0),IF('Eval-Avec impact envisagé'!$A$766=AG19,'Eval-Avec impact envisagé'!$L$766,0),IF('Eval-Avec impact envisagé'!$A$767=AG19,'Eval-Avec impact envisagé'!$L$767,0),IF('Eval-Avec impact envisagé'!$A$768=AG19,'Eval-Avec impact envisagé'!$L$768,0),IF('Eval-Avec impact envisagé'!$A$769=AG19,'Eval-Avec impact envisagé'!$L$769,0),IF('Eval-Avec impact envisagé'!$A$770=AG19,'Eval-Avec impact envisagé'!$L$770,0),IF('Eval-Avec impact envisagé'!$A$771=AG19,'Eval-Avec impact envisagé'!$L$771,0),IF('Eval-Avec impact envisagé'!$A$772=AG19,'Eval-Avec impact envisagé'!$L$772,0),IF('Eval-Avec impact envisagé'!$A$773=AG19,'Eval-Avec impact envisagé'!$L$773,0),IF('Eval-Avec impact envisagé'!$A$774=AG19,'Eval-Avec impact envisagé'!$L$774,0),IF('Eval-Avec impact envisagé'!$A$775=AG19,'Eval-Avec impact envisagé'!$L$775,0),IF('Eval-Avec impact envisagé'!$A$776=AG19,'Eval-Avec impact envisagé'!$L$776,0),IF('Eval-Avec impact envisagé'!$A$777=AG19,'Eval-Avec impact envisagé'!$L$777,0),IF('Eval-Avec impact envisagé'!$A$778=AG19,'Eval-Avec impact envisagé'!$L$778,0),IF('Eval-Avec impact envisagé'!$A$779=AG19,'Eval-Avec impact envisagé'!$L$779,0),IF('Eval-Avec impact envisagé'!$A$780=AG19,'Eval-Avec impact envisagé'!$L$780,0))/ COUNTIF('Eval-Avec impact envisagé'!$A$761:$A$780,AG19)),"")</f>
        <v/>
      </c>
      <c r="AP19" s="211" t="str">
        <f>IF(COUNTIF('Eval-Avec impact envisagé'!$A$761:$A$780,AG19)&gt;0,IF(OR(AND('Eval-Avec impact envisagé'!$A$761=AG19, BD9&lt;120),AND(BD10&lt;120),AND(BD11&lt;120),AND(BD12&lt;120),AND(BD13&lt;120),AND(BD14&lt;120),AND(BD15&lt;120),AND(BD16&lt;120),AND(BD17&lt;120),AND(BD18&lt;120),AND(BD19&lt;120),AND(BD20&lt;120),AND(BD21&lt;120),AND(BD22&lt;120),AND(BD23&lt;120),AND(BD24&lt;120),AND(BD25&lt;120),AND(BD26&lt;120),AND(BD27&lt;120),AND(BD28&lt;120)),"",SUM(IF('Eval-Avec impact envisagé'!$A$761=AG19,'Eval-Avec impact envisagé'!$M$761,0),IF('Eval-Avec impact envisagé'!$A$762=AG19,'Eval-Avec impact envisagé'!$M$762,0),IF('Eval-Avec impact envisagé'!$A$763=AG19,'Eval-Avec impact envisagé'!$M$763,0),IF('Eval-Avec impact envisagé'!$A$764=AG19,'Eval-Avec impact envisagé'!$M$764,0),IF('Eval-Avec impact envisagé'!$A$765=AG19,'Eval-Avec impact envisagé'!$M$765,0),IF('Eval-Avec impact envisagé'!$A$766=AG19,'Eval-Avec impact envisagé'!$M$766,0),IF('Eval-Avec impact envisagé'!$A$767=AG19,'Eval-Avec impact envisagé'!$M$767,0),IF('Eval-Avec impact envisagé'!$A$768=AG19,'Eval-Avec impact envisagé'!$M$768,0),IF('Eval-Avec impact envisagé'!$A$769=AG19,'Eval-Avec impact envisagé'!$M$769,0),IF('Eval-Avec impact envisagé'!$A$770=AG19,'Eval-Avec impact envisagé'!$M$770,0),IF('Eval-Avec impact envisagé'!$A$771=AG19,'Eval-Avec impact envisagé'!$M$771,0),IF('Eval-Avec impact envisagé'!$A$772=AG19,'Eval-Avec impact envisagé'!$M$772,0),IF('Eval-Avec impact envisagé'!$A$773=AG19,'Eval-Avec impact envisagé'!$M$773,0),IF('Eval-Avec impact envisagé'!$A$774=AG19,'Eval-Avec impact envisagé'!$M$774,0),IF('Eval-Avec impact envisagé'!$A$775=AG19,'Eval-Avec impact envisagé'!$M$775,0), IF('Eval-Avec impact envisagé'!$A$776=AG19,'Eval-Avec impact envisagé'!$M$776,0), IF('Eval-Avec impact envisagé'!$A$777=AG19,'Eval-Avec impact envisagé'!$M$777,0), IF('Eval-Avec impact envisagé'!$A$778=AG19,'Eval-Avec impact envisagé'!$M$778,0), IF('Eval-Avec impact envisagé'!$A$779=AG19,'Eval-Avec impact envisagé'!$M$779,0), IF('Eval-Avec impact envisagé'!$A$780=AG19,'Eval-Avec impact envisagé'!$M$780,0))/COUNTIF('Eval-Avec impact envisagé'!$A$761:$A$780,AG19)),"")</f>
        <v/>
      </c>
      <c r="AQ19" s="211" t="str">
        <f>IF(COUNTIF('Eval-Avec impact envisagé'!$A$761:$A$780,AG19)&gt;0,SUM(IF('Eval-Avec impact envisagé'!$A$761=AG19,LEN(SUBSTITUTE((SUBSTITUTE(BF9,"TM","")),"TS",""))*10/2,0),IF('Eval-Avec impact envisagé'!$A$762=AG19,LEN(SUBSTITUTE((SUBSTITUTE(BF10,"TM","")),"TS",""))*10/2,0),IF('Eval-Avec impact envisagé'!$A$763=AG19,LEN(SUBSTITUTE((SUBSTITUTE(BF11,"TM","")),"TS",""))*10/2,0),IF('Eval-Avec impact envisagé'!$A$764=AG19,LEN(SUBSTITUTE((SUBSTITUTE(BF12,"TM","")),"TS",""))*10/2,0),IF('Eval-Avec impact envisagé'!$A$765=AG19,LEN(SUBSTITUTE((SUBSTITUTE(BF13,"TM","")),"TS",""))*10/2,0),IF('Eval-Avec impact envisagé'!$A$766=AG19,LEN(SUBSTITUTE((SUBSTITUTE(BF14,"TM","")),"TS",""))*10/2,0),IF('Eval-Avec impact envisagé'!$A$767=AG19,LEN(SUBSTITUTE((SUBSTITUTE(BF15,"TM","")),"TS",""))*10/2,0),IF('Eval-Avec impact envisagé'!$A$768=AG19,LEN(SUBSTITUTE((SUBSTITUTE(BF16,"TM","")),"TS",""))*10/2,0),IF('Eval-Avec impact envisagé'!$A$769=AG19,LEN(SUBSTITUTE((SUBSTITUTE(BF17,"TM","")),"TS",""))*10/2,0),IF('Eval-Avec impact envisagé'!$A$770=AG19,LEN(SUBSTITUTE((SUBSTITUTE(BF18,"TM","")),"TS",""))*10/2,0),IF('Eval-Avec impact envisagé'!$A$771=AG19,LEN(SUBSTITUTE((SUBSTITUTE(BF19,"TM","")),"TS",""))*10/2,0),IF('Eval-Avec impact envisagé'!$A$772=AG19,LEN(SUBSTITUTE((SUBSTITUTE(BF20,"TM","")),"TS",""))*10/2,0),IF('Eval-Avec impact envisagé'!$A$773=AG19,LEN(SUBSTITUTE((SUBSTITUTE(BF21,"TM","")),"TS",""))*10/2,0),IF('Eval-Avec impact envisagé'!$A$774=AG19,LEN(SUBSTITUTE((SUBSTITUTE(BF22,"TM","")),"TS",""))*10/2,0),IF('Eval-Avec impact envisagé'!$A$775=AG19,LEN(SUBSTITUTE((SUBSTITUTE(BF23,"TM","")),"TS",""))*10/2,0),IF('Eval-Avec impact envisagé'!$A$776=AG19,LEN(SUBSTITUTE((SUBSTITUTE(BF24,"TM","")),"TS",""))*10/2,0),IF('Eval-Avec impact envisagé'!$A$777=AG19,LEN(SUBSTITUTE((SUBSTITUTE(BF25,"TM","")),"TS",""))*10/2,0),IF('Eval-Avec impact envisagé'!$A$778=AG19,LEN(SUBSTITUTE((SUBSTITUTE(BF26,"TM","")),"TS",""))*10/2,0),IF('Eval-Avec impact envisagé'!$A$779=AG19,LEN(SUBSTITUTE((SUBSTITUTE(BF27,"TM","")),"TS",""))*10/2,0),IF('Eval-Avec impact envisagé'!$A$780=AG19,LEN(SUBSTITUTE((SUBSTITUTE(BF28,"TM","")),"TS",""))*10/2,0))/COUNTIF('Eval-Avec impact envisagé'!$A$761:$A$780,AG19),"")</f>
        <v/>
      </c>
      <c r="AR19" s="211" t="str">
        <f>IF(COUNTIF('Eval-Avec impact envisagé'!$A$761:$A$780,AG19)&gt;0,SUM(IF('Eval-Avec impact envisagé'!$A$761=AG19,LEN(SUBSTITUTE((SUBSTITUTE(BF9,"TF","")),"TS",""))*10/2,0),IF('Eval-Avec impact envisagé'!$A$762=AG19,LEN(SUBSTITUTE((SUBSTITUTE(BF10,"TF","")),"TS",""))*10/2,0),IF('Eval-Avec impact envisagé'!$A$763=AG19,LEN(SUBSTITUTE((SUBSTITUTE(BF11,"TF","")),"TS",""))*10/2,0),IF('Eval-Avec impact envisagé'!$A$764=AG19,LEN(SUBSTITUTE((SUBSTITUTE(BF12,"TF","")),"TS",""))*10/2,0),IF('Eval-Avec impact envisagé'!$A$765=AG19,LEN(SUBSTITUTE((SUBSTITUTE(BF13,"TF","")),"TS",""))*10/2,0),IF('Eval-Avec impact envisagé'!$A$766=AG19,LEN(SUBSTITUTE((SUBSTITUTE(BF14,"TF","")),"TS",""))*10/2,0),IF('Eval-Avec impact envisagé'!$A$767=AG19,LEN(SUBSTITUTE((SUBSTITUTE(BF15,"TF","")),"TS",""))*10/2,0),IF('Eval-Avec impact envisagé'!$A$768=AG19,LEN(SUBSTITUTE((SUBSTITUTE(BF16,"TF","")),"TS",""))*10/2,0),IF('Eval-Avec impact envisagé'!$A$769=AG19,LEN(SUBSTITUTE((SUBSTITUTE(BF17,"TF","")),"TS",""))*10/2,0),IF('Eval-Avec impact envisagé'!$A$770=AG19,LEN(SUBSTITUTE((SUBSTITUTE(BF18,"TF","")),"TS",""))*10/2,0),IF('Eval-Avec impact envisagé'!$A$771=AG19,LEN(SUBSTITUTE((SUBSTITUTE(BF19,"TF","")),"TS",""))*10/2,0),IF('Eval-Avec impact envisagé'!$A$772=AG19,LEN(SUBSTITUTE((SUBSTITUTE(BF20,"TF","")),"TS",""))*10/2,0),IF('Eval-Avec impact envisagé'!$A$773=AG19,LEN(SUBSTITUTE((SUBSTITUTE(BF21,"TF","")),"TS",""))*10/2,0),IF('Eval-Avec impact envisagé'!$A$774=AG19,LEN(SUBSTITUTE((SUBSTITUTE(BF22,"TF","")),"TS",""))*10/2,0),IF('Eval-Avec impact envisagé'!$A$775=AG19,LEN(SUBSTITUTE((SUBSTITUTE(BF23,"TF","")),"TS",""))*10/2,0),IF('Eval-Avec impact envisagé'!$A$776=AG19,LEN(SUBSTITUTE((SUBSTITUTE(BF24,"TF","")),"TS",""))*10/2,0),IF('Eval-Avec impact envisagé'!$A$777=AG19,LEN(SUBSTITUTE((SUBSTITUTE(BF25,"TF","")),"TS",""))*10/2,0),IF('Eval-Avec impact envisagé'!$A$778=AG19,LEN(SUBSTITUTE((SUBSTITUTE(BF26,"TF","")),"TS",""))*10/2,0),IF('Eval-Avec impact envisagé'!$A$779=AG19,LEN(SUBSTITUTE((SUBSTITUTE(BF27,"TF","")),"TS",""))*10/2,0),IF('Eval-Avec impact envisagé'!$A$780=AG19,LEN(SUBSTITUTE((SUBSTITUTE(BF28,"TF","")),"TS",""))*10/2,0))/COUNTIF('Eval-Avec impact envisagé'!$A$761:$A$780,AG19),"")</f>
        <v/>
      </c>
      <c r="AS19" s="211" t="str">
        <f>IF(COUNTIF('Eval-Avec impact envisagé'!$A$761:$A$780,AG19)&gt;0,SUM(IF('Eval-Avec impact envisagé'!$A$761=AG19,LEN(SUBSTITUTE((SUBSTITUTE(BF9,"TF","")),"TM",""))*10/2,0),IF('Eval-Avec impact envisagé'!$A$762=AG19,LEN(SUBSTITUTE((SUBSTITUTE(BF10,"TF","")),"TM",""))*10/2,0),IF('Eval-Avec impact envisagé'!$A$763=AG19,LEN(SUBSTITUTE((SUBSTITUTE(BF11,"TF","")),"TM",""))*10/2,0),IF('Eval-Avec impact envisagé'!$A$764=AG19,LEN(SUBSTITUTE((SUBSTITUTE(BF12,"TF","")),"TM",""))*10/2,0),IF('Eval-Avec impact envisagé'!$A$765=AG19,LEN(SUBSTITUTE((SUBSTITUTE(BF13,"TF","")),"TM",""))*10/2,0),IF('Eval-Avec impact envisagé'!$A$766=AG19,LEN(SUBSTITUTE((SUBSTITUTE(BF14,"TF","")),"TM",""))*10/2,0),IF('Eval-Avec impact envisagé'!$A$767=AG19,LEN(SUBSTITUTE((SUBSTITUTE(BF15,"TF","")),"TM",""))*10/2,0),IF('Eval-Avec impact envisagé'!$A$768=AG19,LEN(SUBSTITUTE((SUBSTITUTE(BF16,"TF","")),"TM",""))*10/2,0),IF('Eval-Avec impact envisagé'!$A$769=AG19,LEN(SUBSTITUTE((SUBSTITUTE(BF17,"TF","")),"TM",""))*10/2,0),IF('Eval-Avec impact envisagé'!$A$770=AG19,LEN(SUBSTITUTE((SUBSTITUTE(BF18,"TF","")),"TM",""))*10/2,0),IF('Eval-Avec impact envisagé'!$A$771=AG19,LEN(SUBSTITUTE((SUBSTITUTE(BF19,"TF","")),"TM",""))*10/2,0),IF('Eval-Avec impact envisagé'!$A$772=AG19,LEN(SUBSTITUTE((SUBSTITUTE(BF20,"TF","")),"TM",""))*10/2,0),IF('Eval-Avec impact envisagé'!$A$773=AG19,LEN(SUBSTITUTE((SUBSTITUTE(BF21,"TF","")),"TM",""))*10/2,0),IF('Eval-Avec impact envisagé'!$A$774=AG19,LEN(SUBSTITUTE((SUBSTITUTE(BF22,"TF","")),"TM",""))*10/2,0),IF('Eval-Avec impact envisagé'!$A$775=AG19,LEN(SUBSTITUTE((SUBSTITUTE(BF23,"TF","")),"TM",""))*10/2,0),IF('Eval-Avec impact envisagé'!$A$776=AG19,LEN(SUBSTITUTE((SUBSTITUTE(BF24,"TF","")),"TM",""))*10/2,0),IF('Eval-Avec impact envisagé'!$A$777=AG19,LEN(SUBSTITUTE((SUBSTITUTE(BF25,"TF","")),"TM",""))*10/2,0),IF('Eval-Avec impact envisagé'!$A$778=AG19,LEN(SUBSTITUTE((SUBSTITUTE(BF26,"TF","")),"TM",""))*10/2,0),IF('Eval-Avec impact envisagé'!$A$779=AG19,LEN(SUBSTITUTE((SUBSTITUTE(BF27,"TF","")),"TM",""))*10/2,0),IF('Eval-Avec impact envisagé'!$A$780=AG19,LEN(SUBSTITUTE((SUBSTITUTE(BF28,"TF","")),"TM",""))*10/2,0))/COUNTIF('Eval-Avec impact envisagé'!$A$761:$A$780,AG19),"")</f>
        <v/>
      </c>
      <c r="AT19" s="211" t="str">
        <f>IF(COUNTIF('Eval-Avec impact envisagé'!$A$761:$A$780,AG19)&gt;0,SUM(IF('Eval-Avec impact envisagé'!$A$761=AG19,LEN(SUBSTITUTE((SUBSTITUTE(BG9,"TM","")),"TS",""))*10/2,0),IF('Eval-Avec impact envisagé'!$A$762=AG19,LEN(SUBSTITUTE((SUBSTITUTE(BG10,"TM","")),"TS",""))*10/2,0),IF('Eval-Avec impact envisagé'!$A$763=AG19,LEN(SUBSTITUTE((SUBSTITUTE(BG11,"TM","")),"TS",""))*10/2,0),IF('Eval-Avec impact envisagé'!$A$764=AG19,LEN(SUBSTITUTE((SUBSTITUTE(BG12,"TM","")),"TS",""))*10/2,0),IF('Eval-Avec impact envisagé'!$A$765=AG19,LEN(SUBSTITUTE((SUBSTITUTE(BG13,"TM","")),"TS",""))*10/2,0),IF('Eval-Avec impact envisagé'!$A$766=AG19,LEN(SUBSTITUTE((SUBSTITUTE(BG14,"TM","")),"TS",""))*10/2,0),IF('Eval-Avec impact envisagé'!$A$767=AG19,LEN(SUBSTITUTE((SUBSTITUTE(BG15,"TM","")),"TS",""))*10/2,0),IF('Eval-Avec impact envisagé'!$A$768=AG19,LEN(SUBSTITUTE((SUBSTITUTE(BG16,"TM","")),"TS",""))*10/2,0),IF('Eval-Avec impact envisagé'!$A$769=AG19,LEN(SUBSTITUTE((SUBSTITUTE(BG17,"TM","")),"TS",""))*10/2,0),IF('Eval-Avec impact envisagé'!$A$770=AG19,LEN(SUBSTITUTE((SUBSTITUTE(BG18,"TM","")),"TS",""))*10/2,0),IF('Eval-Avec impact envisagé'!$A$771=AG19,LEN(SUBSTITUTE((SUBSTITUTE(BG19,"TM","")),"TS",""))*10/2,0),IF('Eval-Avec impact envisagé'!$A$772=AG19,LEN(SUBSTITUTE((SUBSTITUTE(BG20,"TM","")),"TS",""))*10/2,0),IF('Eval-Avec impact envisagé'!$A$773=AG19,LEN(SUBSTITUTE((SUBSTITUTE(BG21,"TM","")),"TS",""))*10/2,0),IF('Eval-Avec impact envisagé'!$A$774=AG19,LEN(SUBSTITUTE((SUBSTITUTE(BG22,"TM","")),"TS",""))*10/2,0),IF('Eval-Avec impact envisagé'!$A$775=AG19,LEN(SUBSTITUTE((SUBSTITUTE(BG23,"TM","")),"TS",""))*10/2,0),IF('Eval-Avec impact envisagé'!$A$776=AG19,LEN(SUBSTITUTE((SUBSTITUTE(BG24,"TM","")),"TS",""))*10/2,0),IF('Eval-Avec impact envisagé'!$A$777=AG19,LEN(SUBSTITUTE((SUBSTITUTE(BG25,"TM","")),"TS",""))*10/2,0),IF('Eval-Avec impact envisagé'!$A$778=AG19,LEN(SUBSTITUTE((SUBSTITUTE(BG26,"TM","")),"TS",""))*10/2,0),IF('Eval-Avec impact envisagé'!$A$779=AG19,LEN(SUBSTITUTE((SUBSTITUTE(BG27,"TM","")),"TS",""))*10/2,0),IF('Eval-Avec impact envisagé'!$A$780=AG19,LEN(SUBSTITUTE((SUBSTITUTE(BG28,"TM","")),"TS",""))*10/2,0))/COUNTIF('Eval-Avec impact envisagé'!$A$761:$A$780,AG19),"")</f>
        <v/>
      </c>
      <c r="AU19" s="211" t="str">
        <f>IF(COUNTIF('Eval-Avec impact envisagé'!$A$761:$A$780,AG19)&gt;0,SUM(IF('Eval-Avec impact envisagé'!$A$761=AG19,LEN(SUBSTITUTE((SUBSTITUTE(BG9,"TF","")),"TS",""))*10/2,0),IF('Eval-Avec impact envisagé'!$A$762=AG19,LEN(SUBSTITUTE((SUBSTITUTE(BG10,"TF","")),"TS",""))*10/2,0),IF('Eval-Avec impact envisagé'!$A$763=AG19,LEN(SUBSTITUTE((SUBSTITUTE(BG11,"TF","")),"TS",""))*10/2,0),IF('Eval-Avec impact envisagé'!$A$764=AG19,LEN(SUBSTITUTE((SUBSTITUTE(BG12,"TF","")),"TS",""))*10/2,0),IF('Eval-Avec impact envisagé'!$A$765=AG19,LEN(SUBSTITUTE((SUBSTITUTE(BG13,"TF","")),"TS",""))*10/2,0),IF('Eval-Avec impact envisagé'!$A$766=AG19,LEN(SUBSTITUTE((SUBSTITUTE(BG14,"TF","")),"TS",""))*10/2,0),IF('Eval-Avec impact envisagé'!$A$767=AG19,LEN(SUBSTITUTE((SUBSTITUTE(BG15,"TF","")),"TS",""))*10/2,0),IF('Eval-Avec impact envisagé'!$A$768=AG19,LEN(SUBSTITUTE((SUBSTITUTE(BG16,"TF","")),"TS",""))*10/2,0),IF('Eval-Avec impact envisagé'!$A$769=AG19,LEN(SUBSTITUTE((SUBSTITUTE(BG17,"TF","")),"TS",""))*10/2,0),IF('Eval-Avec impact envisagé'!$A$770=AG19,LEN(SUBSTITUTE((SUBSTITUTE(BG18,"TF","")),"TS",""))*10/2,0),IF('Eval-Avec impact envisagé'!$A$771=AG19,LEN(SUBSTITUTE((SUBSTITUTE(BG19,"TF","")),"TS",""))*10/2,0),IF('Eval-Avec impact envisagé'!$A$772=AG19,LEN(SUBSTITUTE((SUBSTITUTE(BG20,"TF","")),"TS",""))*10/2,0),IF('Eval-Avec impact envisagé'!$A$773=AG19,LEN(SUBSTITUTE((SUBSTITUTE(BG21,"TF","")),"TS",""))*10/2,0),IF('Eval-Avec impact envisagé'!$A$774=AG19,LEN(SUBSTITUTE((SUBSTITUTE(BG22,"TF","")),"TS",""))*10/2,0),IF('Eval-Avec impact envisagé'!$A$775=AG19,LEN(SUBSTITUTE((SUBSTITUTE(BG23,"TF","")),"TS",""))*10/2,0),IF('Eval-Avec impact envisagé'!$A$776=AG19,LEN(SUBSTITUTE((SUBSTITUTE(BG24,"TF","")),"TS",""))*10/2,0),IF('Eval-Avec impact envisagé'!$A$777=AG19,LEN(SUBSTITUTE((SUBSTITUTE(BG25,"TF","")),"TS",""))*10/2,0),IF('Eval-Avec impact envisagé'!$A$778=AG19,LEN(SUBSTITUTE((SUBSTITUTE(BG26,"TF","")),"TS",""))*10/2,0),IF('Eval-Avec impact envisagé'!$A$779=AG19,LEN(SUBSTITUTE((SUBSTITUTE(BG27,"TF","")),"TS",""))*10/2,0),IF('Eval-Avec impact envisagé'!$A$780=AG19,LEN(SUBSTITUTE((SUBSTITUTE(BG28,"TF","")),"TS",""))*10/2,0))/COUNTIF('Eval-Avec impact envisagé'!$A$761:$A$780,AG19),"")</f>
        <v/>
      </c>
      <c r="AV19" s="211" t="str">
        <f>IF(COUNTIF('Eval-Avec impact envisagé'!$A$761:$A$780,AG19)&gt;0,SUM(IF('Eval-Avec impact envisagé'!$A$761=AG19,LEN(SUBSTITUTE((SUBSTITUTE(BG9,"TF","")),"TM",""))*10/2,0),IF('Eval-Avec impact envisagé'!$A$762=AG19,LEN(SUBSTITUTE((SUBSTITUTE(BG10,"TF","")),"TM",""))*10/2,0),IF('Eval-Avec impact envisagé'!$A$763=AG19,LEN(SUBSTITUTE((SUBSTITUTE(BG11,"TF","")),"TM",""))*10/2,0),IF('Eval-Avec impact envisagé'!$A$764=AG19,LEN(SUBSTITUTE((SUBSTITUTE(BG12,"TF","")),"TM",""))*10/2,0),IF('Eval-Avec impact envisagé'!$A$765=AG19,LEN(SUBSTITUTE((SUBSTITUTE(BG13,"TF","")),"TM",""))*10/2,0),IF('Eval-Avec impact envisagé'!$A$766=AG19,LEN(SUBSTITUTE((SUBSTITUTE(BG14,"TF","")),"TM",""))*10/2,0),IF('Eval-Avec impact envisagé'!$A$767=AG19,LEN(SUBSTITUTE((SUBSTITUTE(BG15,"TF","")),"TM",""))*10/2,0),IF('Eval-Avec impact envisagé'!$A$768=AG19,LEN(SUBSTITUTE((SUBSTITUTE(BG16,"TF","")),"TM",""))*10/2,0),IF('Eval-Avec impact envisagé'!$A$769=AG19,LEN(SUBSTITUTE((SUBSTITUTE(BG17,"TF","")),"TM",""))*10/2,0),IF('Eval-Avec impact envisagé'!$A$770=AG19,LEN(SUBSTITUTE((SUBSTITUTE(BG18,"TF","")),"TM",""))*10/2,0),IF('Eval-Avec impact envisagé'!$A$771=AG19,LEN(SUBSTITUTE((SUBSTITUTE(BG19,"TF","")),"TM",""))*10/2,0),IF('Eval-Avec impact envisagé'!$A$772=AG19,LEN(SUBSTITUTE((SUBSTITUTE(BG20,"TF","")),"TM",""))*10/2,0),IF('Eval-Avec impact envisagé'!$A$773=AG19,LEN(SUBSTITUTE((SUBSTITUTE(BG21,"TF","")),"TM",""))*10/2,0),IF('Eval-Avec impact envisagé'!$A$774=AG19,LEN(SUBSTITUTE((SUBSTITUTE(BG22,"TF","")),"TM",""))*10/2,0),IF('Eval-Avec impact envisagé'!$A$775=AG19,LEN(SUBSTITUTE((SUBSTITUTE(BG23,"TF","")),"TM",""))*10/2,0),IF('Eval-Avec impact envisagé'!$A$776=AG19,LEN(SUBSTITUTE((SUBSTITUTE(BG24,"TF","")),"TM",""))*10/2,0),IF('Eval-Avec impact envisagé'!$A$777=AG19,LEN(SUBSTITUTE((SUBSTITUTE(BG25,"TF","")),"TM",""))*10/2,0),IF('Eval-Avec impact envisagé'!$A$778=AG19,LEN(SUBSTITUTE((SUBSTITUTE(BG26,"TF","")),"TM",""))*10/2,0),IF('Eval-Avec impact envisagé'!$A$779=AG19,LEN(SUBSTITUTE((SUBSTITUTE(BG27,"TF","")),"TM",""))*10/2,0),IF('Eval-Avec impact envisagé'!$A$780=AG19,LEN(SUBSTITUTE((SUBSTITUTE(BG28,"TF","")),"TM",""))*10/2,0))/COUNTIF('Eval-Avec impact envisagé'!$A$761:$A$780,AG19),"")</f>
        <v/>
      </c>
      <c r="AW19" s="211" t="str">
        <f>IF(COUNTIF('Eval-Avec impact envisagé'!$A$761:$A$780,AG19)&gt;0,IF(OR(AND('Eval-Avec impact envisagé'!$A$761=AG19,BD9&lt;30),AND('Eval-Avec impact envisagé'!$A$762=AG19,BD10&lt;30),AND('Eval-Avec impact envisagé'!$A$763=AG19,BD11&lt;30),AND('Eval-Avec impact envisagé'!$A$764=AG19,BD12&lt;30),AND('Eval-Avec impact envisagé'!$A$765=AG19,BD13&lt;30),AND('Eval-Avec impact envisagé'!$A$766=AG19,BD14&lt;30),AND('Eval-Avec impact envisagé'!$A$767=AG19,BD15&lt;30),AND('Eval-Avec impact envisagé'!$A$768=AG19,BD16&lt;30),AND('Eval-Avec impact envisagé'!$A$769=AG19,BD17&lt;30),AND('Eval-Avec impact envisagé'!$A$770=AG19,BD18&lt;30),AND('Eval-Avec impact envisagé'!$A$771=AG19,BD19&lt;30),AND('Eval-Avec impact envisagé'!$A$772=AG19,BD20&lt;30),AND('Eval-Avec impact envisagé'!$A$773=AG19,BD21&lt;30),AND('Eval-Avec impact envisagé'!$A$774=AG19,BD22&lt;30),AND('Eval-Avec impact envisagé'!$A$775=AG19,BD23&lt;30),AND('Eval-Avec impact envisagé'!$A$776=AG19,BD24&lt;30),AND('Eval-Avec impact envisagé'!$A$777=AG19,BD25&lt;30),AND('Eval-Avec impact envisagé'!$A$778=AG19,BD26&lt;30),AND('Eval-Avec impact envisagé'!$A$779=AG19,BD27&lt;30),AND('Eval-Avec impact envisagé'!$A$780=AG19,BD28&lt;30)),"",SUM(0.1*(SUMPRODUCT(('Eval-Avec impact envisagé'!$A$761:$A$780=AG19)*('Eval-Avec impact envisagé'!$N$761:$P$780="A"))+ SUMPRODUCT(('Eval-Avec impact envisagé'!$A$761:$A$780=AG19)*('Eval-Avec impact envisagé'!$N$761:$P$780="AL"))),0.7*(SUMPRODUCT(('Eval-Avec impact envisagé'!$A$761:$A$780=AG19)*('Eval-Avec impact envisagé'!$N$761:$P$780="TF"))+SUMPRODUCT(('Eval-Avec impact envisagé'!$A$761:$A$780=AG19)*('Eval-Avec impact envisagé'!$N$761:$P$780="TM"))+SUMPRODUCT(('Eval-Avec impact envisagé'!$A$761:$A$780=AG19)*('Eval-Avec impact envisagé'!$N$761:$P$780="TS"))),0.4*(SUMPRODUCT(('Eval-Avec impact envisagé'!$A$761:$A$780=AG19)*('Eval-Avec impact envisagé'!$N$761:$P$780="LA"))+SUMPRODUCT(('Eval-Avec impact envisagé'!$A$761:$A$780=AG19)*('Eval-Avec impact envisagé'!$N$761:$P$780="L"))+SUMPRODUCT(('Eval-Avec impact envisagé'!$A$761:$A$780=AG19)*('Eval-Avec impact envisagé'!$N$761:$P$780="LS"))),1*(SUMPRODUCT(('Eval-Avec impact envisagé'!$A$761:$A$780=AG19)*('Eval-Avec impact envisagé'!$N$761:$P$780="SL"))+ SUMPRODUCT(('Eval-Avec impact envisagé'!$A$761:$A$780=AG19)*('Eval-Avec impact envisagé'!$N$761:$P$780="S"))))/(3*COUNTIF('Eval-Avec impact envisagé'!$A$761:$A$780,AG19))),"")</f>
        <v/>
      </c>
      <c r="AX19" s="211" t="str">
        <f>IF(COUNTIF('Eval-Avec impact envisagé'!$A$761:$A$780,AG19)&gt;0,IF(OR(AND('Eval-Avec impact envisagé'!$A$761=AG19,BD9&lt;120),AND('Eval-Avec impact envisagé'!$A$762=AG19,BD10&lt;120),AND('Eval-Avec impact envisagé'!$A$763=AG19,BD11&lt;120),AND('Eval-Avec impact envisagé'!$A$764=AG19,BD12&lt;120),AND('Eval-Avec impact envisagé'!$A$765=AG19,BD13&lt;120),AND('Eval-Avec impact envisagé'!$A$766=AG19,BD14&lt;120),AND('Eval-Avec impact envisagé'!$A$767=AG19,BD15&lt;120),AND('Eval-Avec impact envisagé'!$A$768=AG19,BD16&lt;120),AND('Eval-Avec impact envisagé'!$A$769=AG19,BD17&lt;120),AND('Eval-Avec impact envisagé'!$A$770=AG19,BD18&lt;120),AND('Eval-Avec impact envisagé'!$A$771=AG19,BD19&lt;120),AND('Eval-Avec impact envisagé'!$A$772=AG19,BD20&lt;120),AND('Eval-Avec impact envisagé'!$A$773=AG19,BD21&lt;120),AND('Eval-Avec impact envisagé'!$A$774=AG19,BD22&lt;120),AND('Eval-Avec impact envisagé'!$A$775=AG19,BD23&lt;120),AND('Eval-Avec impact envisagé'!$A$776=AG19,BD24&lt;120),AND('Eval-Avec impact envisagé'!$A$777=AG19,BD25&lt;120),AND('Eval-Avec impact envisagé'!$A$778=AG19,BD26&lt;120),AND('Eval-Avec impact envisagé'!$A$779=AG19,BD27&lt;120),AND('Eval-Avec impact envisagé'!$A$780=AG19,BD28&lt;120)),"",SUM(0.1*(SUMPRODUCT(('Eval-Avec impact envisagé'!$A$761:$A$780=AG19)*('Eval-Avec impact envisagé'!$Q$761:$Y$780="A"))+ SUMPRODUCT(('Eval-Avec impact envisagé'!$A$761:$A$780=AG19)*('Eval-Avec impact envisagé'!$Q$761:$Y$780="AL"))),0.7*(SUMPRODUCT(('Eval-Avec impact envisagé'!$A$761:$A$780=AG19)*('Eval-Avec impact envisagé'!$Q$761:$Y$780="TF"))+SUMPRODUCT(('Eval-Avec impact envisagé'!$A$761:$A$780=AG19)*('Eval-Avec impact envisagé'!$Q$761:$Y$780="TM"))+SUMPRODUCT(('Eval-Avec impact envisagé'!$A$761:$A$780=AG19)*('Eval-Avec impact envisagé'!$Q$761:$Y$780="TS"))),0.4*(SUMPRODUCT(('Eval-Avec impact envisagé'!$A$761:$A$780=AG19)*('Eval-Avec impact envisagé'!$Q$761:$Y$780="LA"))+SUMPRODUCT(('Eval-Avec impact envisagé'!$A$761:$A$780=AG19)*('Eval-Avec impact envisagé'!$Q$761:$Y$780="L"))+SUMPRODUCT(('Eval-Avec impact envisagé'!$A$761:$A$780=AG19)*('Eval-Avec impact envisagé'!$Q$761:$Y$780="LS"))),1*(SUMPRODUCT(('Eval-Avec impact envisagé'!$A$761:$A$780=AG19)*('Eval-Avec impact envisagé'!$Q$761:$Y$780="SL"))+ SUMPRODUCT(('Eval-Avec impact envisagé'!$A$761:$A$780=AG19)*('Eval-Avec impact envisagé'!$Q$761:$Y$780="S"))))/(9*COUNTIF('Eval-Avec impact envisagé'!$A$761:$A$780,AG19))),"")</f>
        <v/>
      </c>
      <c r="AY19" s="211" t="str">
        <f>IF(COUNTIF('Eval-Avec impact envisagé'!$A$761:$A$780,AG19)&gt;0,IF(OR(AND('Eval-Avec impact envisagé'!$A$761=AG19,OR(COUNTIF('Eval-Avec impact envisagé'!$N$761:$P$761,"*T*")&gt;0,BD9&lt;30)),AND('Eval-Avec impact envisagé'!$A$762=AG19,OR(COUNTIF('Eval-Avec impact envisagé'!$N$762:$P$762,"*T*")&gt;0,BD10&lt;30)),AND('Eval-Avec impact envisagé'!$A$763=AG19,OR(COUNTIF('Eval-Avec impact envisagé'!$N$763:$P$763,"*T*")&gt;0,BD11&lt;30)),AND('Eval-Avec impact envisagé'!$A$764=AG19,OR(COUNTIF('Eval-Avec impact envisagé'!$N$764:$P$764,"*T*")&gt;0,BD12&lt;30)),AND('Eval-Avec impact envisagé'!$A$765=AG19,OR(COUNTIF('Eval-Avec impact envisagé'!$N$765:$P$765,"*T*")&gt;0,BD13&lt;30)),AND('Eval-Avec impact envisagé'!$A$766=AG19,OR(COUNTIF('Eval-Avec impact envisagé'!$N$766:$P$766,"*T*")&gt;0,BD14&lt;30)),AND('Eval-Avec impact envisagé'!$A$767=AG19,OR(COUNTIF('Eval-Avec impact envisagé'!$N$767:$P$767,"*T*")&gt;0,BD15&lt;30)),AND('Eval-Avec impact envisagé'!$A$768=AG19,OR(COUNTIF('Eval-Avec impact envisagé'!$N$768:$P$768,"*T*")&gt;0,BD16&lt;30)),AND('Eval-Avec impact envisagé'!$A$769=AG19,OR(COUNTIF('Eval-Avec impact envisagé'!$N$769:$P$769,"*T*")&gt;0,BD17&lt;30)),AND('Eval-Avec impact envisagé'!$A$770=AG19,OR(COUNTIF('Eval-Avec impact envisagé'!$N$770:$P$770,"*T*")&gt;0,BD18&lt;30)),AND('Eval-Avec impact envisagé'!$A$771=AG19,OR(COUNTIF('Eval-Avec impact envisagé'!$N$771:$P$771,"*T*")&gt;0,BD19&lt;30)),AND('Eval-Avec impact envisagé'!$A$772=AG19,OR(COUNTIF('Eval-Avec impact envisagé'!$N$772:$P$772,"*T*")&gt;0,BD20&lt;30)),AND('Eval-Avec impact envisagé'!$A$773=AG19,OR(COUNTIF('Eval-Avec impact envisagé'!$N$773:$P$773,"*T*")&gt;0,BD21&lt;30)),AND('Eval-Avec impact envisagé'!$A$774=AG19,OR(COUNTIF('Eval-Avec impact envisagé'!$N$774:$P$774,"*T*")&gt;0,BD22&lt;30)),AND('Eval-Avec impact envisagé'!$A$775=AG19,OR(COUNTIF('Eval-Avec impact envisagé'!$N$775:$P$775,"*T*")&gt;0,BD23&lt;30)),AND('Eval-Avec impact envisagé'!$A$776=AG19,OR(COUNTIF('Eval-Avec impact envisagé'!$N$776:$P$776,"*T*")&gt;0,BD24&lt;30)),AND('Eval-Avec impact envisagé'!$A$777=AG19,OR(COUNTIF('Eval-Avec impact envisagé'!$N$777:$P$777,"*T*")&gt;0,BD25&lt;30)),AND('Eval-Avec impact envisagé'!$A$778=AG19,OR(COUNTIF('Eval-Avec impact envisagé'!$N$778:$P$778,"*T*")&gt;0,BD26&lt;30)),AND('Eval-Avec impact envisagé'!$A$779=AG19,OR(COUNTIF('Eval-Avec impact envisagé'!$N$779:$P$779,"*T*")&gt;0,BD27&lt;30)),AND('Eval-Avec impact envisagé'!$A$780=AG19,OR(COUNTIF('Eval-Avec impact envisagé'!$N$780:$P$780,"*T*")&gt;0,BD28&lt;30))),"",SUM(0.1*(SUMPRODUCT(('Eval-Avec impact envisagé'!$A$761:$A$780=AG19)*('Eval-Avec impact envisagé'!$N$761:$P$780="L"))),0.4*(SUMPRODUCT(('Eval-Avec impact envisagé'!$A$761:$A$780=AG19)*('Eval-Avec impact envisagé'!$N$761:$P$780="LA"))+SUMPRODUCT(('Eval-Avec impact envisagé'!$A$761:$A$780=AG19)*('Eval-Avec impact envisagé'!$N$761:$P$780="LS"))),0.7*(SUMPRODUCT(('Eval-Avec impact envisagé'!$A$761:$A$780=AG19)*('Eval-Avec impact envisagé'!$N$761:$P$780="AL"))+SUMPRODUCT(('Eval-Avec impact envisagé'!$A$761:$A$780=AG19)*('Eval-Avec impact envisagé'!$N$761:$P$780="SL"))),1*(SUMPRODUCT(('Eval-Avec impact envisagé'!$A$761:$A$780=AG19)*('Eval-Avec impact envisagé'!$N$761:$P$780="S"))+ SUMPRODUCT(('Eval-Avec impact envisagé'!$A$761:$A$780=AG19)*('Eval-Avec impact envisagé'!$N$761:$P$780="A"))))/(3*COUNTIF('Eval-Avec impact envisagé'!$A$761:$A$780,AG19))),"")</f>
        <v/>
      </c>
      <c r="AZ19" s="211" t="str">
        <f>IF(COUNTIF('Eval-Avec impact envisagé'!$A$761:$A$780,AG19)&gt;0,IF(OR(AND('Eval-Avec impact envisagé'!$A$761=AG19,OR(COUNTIF('Eval-Avec impact envisagé'!$N$761:$P$761,"*T*")&gt;0,BD9&lt;30)),AND('Eval-Avec impact envisagé'!$A$762=AG19,OR(COUNTIF('Eval-Avec impact envisagé'!$N$762:$P$762,"*T*")&gt;0,BD10&lt;30)),AND('Eval-Avec impact envisagé'!$A$763=AG19,OR(COUNTIF('Eval-Avec impact envisagé'!$N$763:$P$763,"*T*")&gt;0,BD11&lt;30)),AND('Eval-Avec impact envisagé'!$A$764=AG19,OR(COUNTIF('Eval-Avec impact envisagé'!$N$764:$P$764,"*T*")&gt;0,BD12&lt;30)),AND('Eval-Avec impact envisagé'!$A$765=AG19,OR(COUNTIF('Eval-Avec impact envisagé'!$N$765:$P$765,"*T*")&gt;0,BD13&lt;30)),AND('Eval-Avec impact envisagé'!$A$766=AG19,OR(COUNTIF('Eval-Avec impact envisagé'!$N$766:$P$766,"*T*")&gt;0,BD14&lt;30)),AND('Eval-Avec impact envisagé'!$A$767=AG19,OR(COUNTIF('Eval-Avec impact envisagé'!$N$767:$P$767,"*T*")&gt;0,BD15&lt;30)),AND('Eval-Avec impact envisagé'!$A$768=AG19,OR(COUNTIF('Eval-Avec impact envisagé'!$N$768:$P$768,"*T*")&gt;0,BD16&lt;30)),AND('Eval-Avec impact envisagé'!$A$769=AG19,OR(COUNTIF('Eval-Avec impact envisagé'!$N$769:$P$769,"*T*")&gt;0,BD17&lt;30)),AND('Eval-Avec impact envisagé'!$A$770=AG19,OR(COUNTIF('Eval-Avec impact envisagé'!$N$770:$P$770,"*T*")&gt;0,BD18&lt;30)),AND('Eval-Avec impact envisagé'!$A$771=AG19,OR(COUNTIF('Eval-Avec impact envisagé'!$N$771:$P$771,"*T*")&gt;0,BD19&lt;30)),AND('Eval-Avec impact envisagé'!$A$772=AG19,OR(COUNTIF('Eval-Avec impact envisagé'!$N$772:$P$772,"*T*")&gt;0,BD20&lt;30)),AND('Eval-Avec impact envisagé'!$A$773=AG19,OR(COUNTIF('Eval-Avec impact envisagé'!$N$773:$P$773,"*T*")&gt;0,BD21&lt;30)),AND('Eval-Avec impact envisagé'!$A$774=AG19,OR(COUNTIF('Eval-Avec impact envisagé'!$N$774:$P$774,"*T*")&gt;0,BD22&lt;30)),AND('Eval-Avec impact envisagé'!$A$775=AG19,OR(COUNTIF('Eval-Avec impact envisagé'!$N$775:$P$775,"*T*")&gt;0,BD23&lt;30)),AND('Eval-Avec impact envisagé'!$A$776=AG19,OR(COUNTIF('Eval-Avec impact envisagé'!$N$776:$P$776,"*T*")&gt;0,BD24&lt;30)),AND('Eval-Avec impact envisagé'!$A$777=AG19,OR(COUNTIF('Eval-Avec impact envisagé'!$N$777:$P$777,"*T*")&gt;0,BD25&lt;30)),AND('Eval-Avec impact envisagé'!$A$778=AG19,OR(COUNTIF('Eval-Avec impact envisagé'!$N$778:$P$778,"*T*")&gt;0,BD26&lt;30)),AND('Eval-Avec impact envisagé'!$A$779=AG19,OR(COUNTIF('Eval-Avec impact envisagé'!$N$779:$P$779,"*T*")&gt;0,BD27&lt;30)),AND('Eval-Avec impact envisagé'!$A$780=AG19,OR(COUNTIF('Eval-Avec impact envisagé'!$N$780:$P$780,"*T*")&gt;0,BD28&lt;30))),"",SUM(1*(SUMPRODUCT(('Eval-Avec impact envisagé'!$A$761:$A$780=AG19)*('Eval-Avec impact envisagé'!$N$761:$P$780="A"))),0.85*(SUMPRODUCT(('Eval-Avec impact envisagé'!$A$761:$A$780=AG19)*('Eval-Avec impact envisagé'!$N$761:$P$780="AL"))),0.7*(SUMPRODUCT(('Eval-Avec impact envisagé'!$A$761:$A$780=AG19)*('Eval-Avec impact envisagé'!$N$761:$P$780="LA"))),0.55*(SUMPRODUCT(('Eval-Avec impact envisagé'!$A$761:$A$780=AG19)*('Eval-Avec impact envisagé'!$N$761:$P$780="L"))),0.4*(SUMPRODUCT(('Eval-Avec impact envisagé'!$A$761:$A$780=AG19)*('Eval-Avec impact envisagé'!$N$761:$P$780="LS"))),0.25*(SUMPRODUCT(('Eval-Avec impact envisagé'!$A$761:$A$780=AG19)*('Eval-Avec impact envisagé'!$N$761:$P$780="SL"))),0.1*(SUMPRODUCT(('Eval-Avec impact envisagé'!$A$761:$A$780=AG19)*('Eval-Avec impact envisagé'!$N$761:$P$780="S"))))/(3*COUNTIF('Eval-Avec impact envisagé'!$A$761:$A$780,AG19))),"")</f>
        <v/>
      </c>
      <c r="BA19" s="214" t="str">
        <f>IF(COUNTIF('Eval-Avec impact envisagé'!$A$761:$A$780,AG19)&gt;0,IF(OR(AND('Eval-Avec impact envisagé'!$A$761=AG19,OR(COUNTIF('Eval-Avec impact envisagé'!$Q$761:$Y$761,"*T*")&gt;0,BD9&lt;120)),AND('Eval-Avec impact envisagé'!$A$762=AG19,OR(COUNTIF('Eval-Avec impact envisagé'!$Q$762:$Y$762,"*T*")&gt;0,BD10&lt;120)),AND('Eval-Avec impact envisagé'!$A$763=AG19,OR(COUNTIF('Eval-Avec impact envisagé'!$Q$763:$Y$763,"*T*")&gt;0,BD11&lt;120)),AND('Eval-Avec impact envisagé'!$A$764=AG19,OR(COUNTIF('Eval-Avec impact envisagé'!$Q$764:$Y$764,"*T*")&gt;0,BD12&lt;120)),AND('Eval-Avec impact envisagé'!$A$765=AG19,OR(COUNTIF('Eval-Avec impact envisagé'!$Q$765:$Y$765,"*T*")&gt;0,BD13&lt;120)),AND('Eval-Avec impact envisagé'!$A$766=AG19,OR(COUNTIF('Eval-Avec impact envisagé'!$Q$766:$Y$766,"*T*")&gt;0,BD14&lt;120)),AND('Eval-Avec impact envisagé'!$A$767=AG19,OR(COUNTIF('Eval-Avec impact envisagé'!$Q$767:$Y$767,"*T*")&gt;0,BD15&lt;120)),AND('Eval-Avec impact envisagé'!$A$768=AG19,OR(COUNTIF('Eval-Avec impact envisagé'!$Q$768:$Y$768,"*T*")&gt;0,BD16&lt;120)),AND('Eval-Avec impact envisagé'!$A$769=AG19,OR(COUNTIF('Eval-Avec impact envisagé'!$Q$769:$Y$769,"*T*")&gt;0,BD17&lt;120)),AND('Eval-Avec impact envisagé'!$A$770=AG19,OR(COUNTIF('Eval-Avec impact envisagé'!$Q$770:$Y$770,"*T*")&gt;0,BD18&lt;120)),AND('Eval-Avec impact envisagé'!$A$771=AG19,OR(COUNTIF('Eval-Avec impact envisagé'!$Q$771:$Y$771,"*T*")&gt;0,BD19&lt;120)),AND('Eval-Avec impact envisagé'!$A$772=AG19,OR(COUNTIF('Eval-Avec impact envisagé'!$Q$772:$Y$772,"*T*")&gt;0,BD20&lt;120)),AND('Eval-Avec impact envisagé'!$A$773=AG19,OR(COUNTIF('Eval-Avec impact envisagé'!$Q$773:$Y$773,"*T*")&gt;0,BD21&lt;120)),AND('Eval-Avec impact envisagé'!$A$774=AG19,OR(COUNTIF('Eval-Avec impact envisagé'!$Q$774:$Y$774,"*T*")&gt;0,BD22&lt;120)),AND('Eval-Avec impact envisagé'!$A$775=AG19,OR(COUNTIF('Eval-Avec impact envisagé'!$Q$775:$Y$775,"*T*")&gt;0,BD23&lt;120)),AND('Eval-Avec impact envisagé'!$A$776=AG19,OR(COUNTIF('Eval-Avec impact envisagé'!$Q$776:$Y$776,"*T*")&gt;0,BD24&lt;120)),AND('Eval-Avec impact envisagé'!$A$777=AG19,OR(COUNTIF('Eval-Avec impact envisagé'!$Q$777:$Y$777,"*T*")&gt;0,BD25&lt;120)),AND('Eval-Avec impact envisagé'!$A$778=AG19,OR(COUNTIF('Eval-Avec impact envisagé'!$Q$778:$Y$778,"*T*")&gt;0,BD26&lt;120)),AND('Eval-Avec impact envisagé'!$A$779=AG19,OR(COUNTIF('Eval-Avec impact envisagé'!$Q$779:$Y$779,"*T*")&gt;0,BD27&lt;120)),AND('Eval-Avec impact envisagé'!$A$780=AG19,OR(COUNTIF('Eval-Avec impact envisagé'!$Q$780:$Y$780,"*T*")&gt;0,BD28&lt;120))),"",SUM(1*(SUMPRODUCT(('Eval-Avec impact envisagé'!$A$761:$A$780=AG19)*('Eval-Avec impact envisagé'!$Q$761:$Y$780="A"))),0.85*(SUMPRODUCT(('Eval-Avec impact envisagé'!$A$761:$A$780=AG19)*('Eval-Avec impact envisagé'!$Q$761:$Y$780="AL"))),0.7*(SUMPRODUCT(('Eval-Avec impact envisagé'!$A$761:$A$780=AG19)*('Eval-Avec impact envisagé'!$Q$761:$Y$780="LA"))),0.55*(SUMPRODUCT(('Eval-Avec impact envisagé'!$A$761:$A$780=AG19)*('Eval-Avec impact envisagé'!$Q$761:$Y$780="L"))),0.4*(SUMPRODUCT(('Eval-Avec impact envisagé'!$A$761:$A$780=AG19)*('Eval-Avec impact envisagé'!$Q$761:$Y$780="LS"))),0.25*(SUMPRODUCT(('Eval-Avec impact envisagé'!$A$761:$A$780=AG19)*('Eval-Avec impact envisagé'!$Q$761:$Y$780="SL"))),0.1*(SUMPRODUCT(('Eval-Avec impact envisagé'!$A$761:$A$780=AG19)*('Eval-Avec impact envisagé'!$Q$761:$Y$780="S"))))/(9*COUNTIF('Eval-Avec impact envisagé'!$A$761:$A$780,AG19))),"")</f>
        <v/>
      </c>
      <c r="BB19" s="215"/>
      <c r="BC19" s="216">
        <f>'Eval-Avec impact envisagé'!$D$771</f>
        <v>11</v>
      </c>
      <c r="BD19" s="217" t="str">
        <f>IF(BE19="C",0,IF(IF(COUNTIF('Eval-Avec impact envisagé'!$N$771:$Y$771,"=C")&gt;0,(COUNTA('Eval-Avec impact envisagé'!$N$771:$Y$771)-1)*10,COUNTA('Eval-Avec impact envisagé'!$N$771:$Y$771)*10)=0,"",IF(COUNTIF('Eval-Avec impact envisagé'!$N$771:$Y$771,"=C")&gt;0,(COUNTA('Eval-Avec impact envisagé'!$N$771:$Y$771)-1)*10,COUNTA('Eval-Avec impact envisagé'!$N$771:$Y$771)*10)))</f>
        <v/>
      </c>
      <c r="BE19" s="217" t="str">
        <f>CONCATENATE('Eval-Avec impact envisagé'!$N$771,'Eval-Avec impact envisagé'!$O$771,'Eval-Avec impact envisagé'!$P$771,'Eval-Avec impact envisagé'!$Q$771,'Eval-Avec impact envisagé'!$R$771,'Eval-Avec impact envisagé'!$S$771,'Eval-Avec impact envisagé'!$T$771,'Eval-Avec impact envisagé'!$U$771,'Eval-Avec impact envisagé'!$V$771,'Eval-Avec impact envisagé'!$W$771,'Eval-Avec impact envisagé'!$X$771,'Eval-Avec impact envisagé'!$Y$771)</f>
        <v/>
      </c>
      <c r="BF19" s="217" t="str">
        <f t="shared" si="4"/>
        <v/>
      </c>
      <c r="BG19" s="217" t="str">
        <f t="shared" si="5"/>
        <v/>
      </c>
      <c r="BH19" s="217" t="str">
        <f>IF(COUNTIF('Eval-Avec impact envisagé'!$N$771:$Y$771,"=C")&gt;0,"X","")</f>
        <v/>
      </c>
      <c r="BI19" s="217" t="str">
        <f t="shared" si="6"/>
        <v/>
      </c>
      <c r="BJ19" s="218" t="str">
        <f t="shared" si="7"/>
        <v/>
      </c>
      <c r="BK19" s="197"/>
      <c r="BM19" s="210">
        <v>11</v>
      </c>
      <c r="BN19" s="211" t="str">
        <f>IF(COUNTIF('Eval-Après impact'!$A$761:$A$780,BM19)&gt;0,SUM(IF('Eval-Après impact'!$A$761=BM19,'Eval-Après impact'!$B$761,0),IF('Eval-Après impact'!$A$762=BM19, 'Eval-Après impact'!$B$762,0),IF('Eval-Après impact'!$A$763=BM19, 'Eval-Après impact'!$B$763,0),IF('Eval-Après impact'!$A$764=BM19, 'Eval-Après impact'!$B$764,0),IF('Eval-Après impact'!$A$765=BM19, 'Eval-Après impact'!$B$765,0),IF('Eval-Après impact'!$A$766=BM19, 'Eval-Après impact'!$B$766,0),IF('Eval-Après impact'!$A$767=BM19, 'Eval-Après impact'!$B$767,0),IF('Eval-Après impact'!$A$768=BM19, 'Eval-Après impact'!$B$768,0),IF('Eval-Après impact'!$A$769=BM19, 'Eval-Après impact'!$B$769,0),IF('Eval-Après impact'!$A$770=BM19, 'Eval-Après impact'!$B$770,0),IF('Eval-Après impact'!$A$771=BM19, 'Eval-Après impact'!$B$771,0),IF('Eval-Après impact'!$A$772=BM19, 'Eval-Après impact'!$B$772,0),IF('Eval-Après impact'!$A$773=BM19, 'Eval-Après impact'!$B$773,0),IF('Eval-Après impact'!$A$774=BM19, 'Eval-Après impact'!$B$774,0),IF('Eval-Après impact'!$A$775=BM19, 'Eval-Après impact'!$B$775,0),IF('Eval-Après impact'!$A$776=BM19, 'Eval-Après impact'!$B$776,0),IF('Eval-Après impact'!$A$777=BM19, 'Eval-Après impact'!$B$777,0),IF('Eval-Après impact'!$A$778=BM19, 'Eval-Après impact'!$B$778,0),IF('Eval-Après impact'!$A$779=BM19, 'Eval-Après impact'!$B$779,0),IF('Eval-Après impact'!$A$780=BM19, 'Eval-Après impact'!$B$780,0))/COUNTIF('Eval-Après impact'!$A$761:$A$780,BM19),"")</f>
        <v/>
      </c>
      <c r="BO19" s="212" t="str">
        <f>IF(COUNTIF('Eval-Après impact'!$A$761:$A$780,BM19)&gt;0,COUNTIF('Eval-Après impact'!$A$761:$A$780,BM19),"")</f>
        <v/>
      </c>
      <c r="BP19" s="211" t="str">
        <f>IF(COUNTIF('Eval-Après impact'!$A$761:$A$780,BM19)&gt;0,IF(OR(AND('Eval-Après impact'!$A$761=BM19, 'Eval-Après impact'!$G$761=""),AND('Eval-Après impact'!$A$762=BM19, 'Eval-Après impact'!$G$762=""),AND('Eval-Après impact'!$A$763=BM19, 'Eval-Après impact'!$G$763=""),AND('Eval-Après impact'!$A$764=BM19, 'Eval-Après impact'!$G$764=""),AND('Eval-Après impact'!$A$765=BM19, 'Eval-Après impact'!$G$765=""),AND('Eval-Après impact'!$A$766=BM19, 'Eval-Après impact'!$G$766=""),AND('Eval-Après impact'!$A$767=BM19, 'Eval-Après impact'!$G$767=""),AND('Eval-Après impact'!$A$768=BM19, 'Eval-Après impact'!$G$768=""),AND('Eval-Après impact'!$A$769=BM19, 'Eval-Après impact'!$G$769=""),AND('Eval-Après impact'!$A$770=BM19, 'Eval-Après impact'!$G$770=""),AND('Eval-Après impact'!$A$771=BM19, 'Eval-Après impact'!$G$771=""),AND('Eval-Après impact'!$A$772=BM19, 'Eval-Après impact'!$G$772=""),AND('Eval-Après impact'!$A$773=BM19, 'Eval-Après impact'!$G$773=""),AND('Eval-Après impact'!$A$774=BM19, 'Eval-Après impact'!$G$774=""),AND('Eval-Après impact'!$A$775=BM19, 'Eval-Après impact'!$G$775=""),AND('Eval-Après impact'!$A$776=BM19, 'Eval-Après impact'!$G$776=""),AND('Eval-Après impact'!$A$777=BM19, 'Eval-Après impact'!$G$777=""),AND('Eval-Après impact'!$A$778=BM19, 'Eval-Après impact'!$G$778=""),AND('Eval-Après impact'!$A$779=BM19, 'Eval-Après impact'!$G$779=""),AND('Eval-Après impact'!$A$780=BM19, 'Eval-Après impact'!$G$780="")),"",SUM(IF('Eval-Après impact'!$A$761=BM19,'Eval-Après impact'!$G$761,0),IF('Eval-Après impact'!$A$762=BM19,'Eval-Après impact'!$G$762,0),IF('Eval-Après impact'!$A$763=BM19,'Eval-Après impact'!$G$763,0),IF('Eval-Après impact'!$A$764=BM19,'Eval-Après impact'!$G$764,0),IF('Eval-Après impact'!$A$765=BM19,'Eval-Après impact'!$G$765,0),IF('Eval-Après impact'!$A$766=BM19,'Eval-Après impact'!$G$766,0),IF('Eval-Après impact'!$A$767=BM19,'Eval-Après impact'!$G$767,0),IF('Eval-Après impact'!$A$768=BM19,'Eval-Après impact'!$G$768,0),IF('Eval-Après impact'!$A$769=BM19,'Eval-Après impact'!$G$769,0),IF('Eval-Après impact'!$A$770=BM19,'Eval-Après impact'!$G$770,0),IF('Eval-Après impact'!$A$771=BM19,'Eval-Après impact'!$G$771,0),IF('Eval-Après impact'!$A$772=BM19,'Eval-Après impact'!$G$772,0),IF('Eval-Après impact'!$A$773=BM19,'Eval-Après impact'!$G$773,0),IF('Eval-Après impact'!$A$774=BM19,'Eval-Après impact'!$G$774,0),IF('Eval-Après impact'!$A$775=BM19,'Eval-Après impact'!$G$775,0), IF('Eval-Après impact'!$A$776=BM19,'Eval-Après impact'!$G$776,0), IF('Eval-Après impact'!$A$777=BM19,'Eval-Après impact'!$G$777,0), IF('Eval-Après impact'!$A$778=BM19,'Eval-Après impact'!$G$778,0), IF('Eval-Après impact'!$A$779=BM19,'Eval-Après impact'!$G$779,0), IF('Eval-Après impact'!$A$780=BM19,'Eval-Après impact'!$G$780,0))/ COUNTIF('Eval-Après impact'!$A$761:$A$780,BM19)),"")</f>
        <v/>
      </c>
      <c r="BQ19" s="212" t="str">
        <f>IF(COUNTIF('Eval-Après impact'!$A$761:$A$780,BM19)&gt;0,IF(SUM(IF('Eval-Après impact'!$A$761=BM19,COUNTA('Eval-Après impact'!$H$761),0),IF('Eval-Après impact'!$A$762=BM19,COUNTA('Eval-Après impact'!$H$762),0),IF('Eval-Après impact'!$A$763=BM19,COUNTA('Eval-Après impact'!$H$763),0),IF('Eval-Après impact'!$A$764=BM19,COUNTA('Eval-Après impact'!$H$764),0),IF('Eval-Après impact'!$A$765=BM19,COUNTA('Eval-Après impact'!$H$765),0),IF('Eval-Après impact'!$A$766=BM19,COUNTA('Eval-Après impact'!$H$766),0),IF('Eval-Après impact'!$A$767=BM19,COUNTA('Eval-Après impact'!$H$767),0),IF('Eval-Après impact'!$A$768=BM19,COUNTA('Eval-Après impact'!$H$768),0),IF('Eval-Après impact'!$A$769=BM19,COUNTA('Eval-Après impact'!$H$769),0),IF('Eval-Après impact'!$A$770=BM19,COUNTA('Eval-Après impact'!$H$770),0),IF('Eval-Après impact'!$A$771=BM19,COUNTA('Eval-Après impact'!$H$771),0),IF('Eval-Après impact'!$A$772=BM19,COUNTA('Eval-Après impact'!$H$772),0),IF('Eval-Après impact'!$A$773=BM19,COUNTA('Eval-Après impact'!$H$773),0),IF('Eval-Après impact'!$A$774=BM19,COUNTA('Eval-Après impact'!$H$774),0),IF('Eval-Après impact'!$A$775=BM19,COUNTA('Eval-Après impact'!$H$775),0),IF('Eval-Après impact'!$A$776=BM19,COUNTA('Eval-Après impact'!$H$776),0),IF('Eval-Après impact'!$A$777=BM19,COUNTA('Eval-Après impact'!$H$777),0),IF('Eval-Après impact'!$A$778=BM19,COUNTA('Eval-Après impact'!$H$778),0),IF('Eval-Après impact'!$A$779=BM19,COUNTA('Eval-Après impact'!$H$779),0),IF('Eval-Après impact'!$A$780=BM19,COUNTA('Eval-Après impact'!$H$780),0))&gt;0,"X",0),"")</f>
        <v/>
      </c>
      <c r="BR19" s="213" t="str">
        <f>IF(COUNTIF('Eval-Après impact'!$A$761:$A$780,BM19)&gt;0,IF(SUM(IF('Eval-Après impact'!$A$761=BM19,COUNTA('Eval-Après impact'!$I$761),0),IF('Eval-Après impact'!$A$762=BM19,COUNTA('Eval-Après impact'!$I$762),0),IF('Eval-Après impact'!$A$763=BM19,COUNTA('Eval-Après impact'!$I$763),0),IF('Eval-Après impact'!$A$764=BM19,COUNTA('Eval-Après impact'!$I$764),0),IF('Eval-Après impact'!$A$765=BM19,COUNTA('Eval-Après impact'!$I$765),0),IF('Eval-Après impact'!$A$766=BM19,COUNTA('Eval-Après impact'!$I$766),0),IF('Eval-Après impact'!$A$767=BM19,COUNTA('Eval-Après impact'!$I$767),0),IF('Eval-Après impact'!$A$768=BM19,COUNTA('Eval-Après impact'!$I$768),0),IF('Eval-Après impact'!$A$769=BM19,COUNTA('Eval-Après impact'!$I$769),0),IF('Eval-Après impact'!$A$770=BM19,COUNTA('Eval-Après impact'!$I$770),0),IF('Eval-Après impact'!$A$771=BM19,COUNTA('Eval-Après impact'!$I$771),0),IF('Eval-Après impact'!$A$772=BM19,COUNTA('Eval-Après impact'!$I$772),0),IF('Eval-Après impact'!$A$773=BM19,COUNTA('Eval-Après impact'!$I$773),0),IF('Eval-Après impact'!$A$774=BM19,COUNTA('Eval-Après impact'!$I$774),0),IF('Eval-Après impact'!$A$775=BM19,COUNTA('Eval-Après impact'!$I$775),0),IF('Eval-Après impact'!$A$776=BM19,COUNTA('Eval-Après impact'!$I$776),0),IF('Eval-Après impact'!$A$777=BM19,COUNTA('Eval-Après impact'!$I$777),0),IF('Eval-Après impact'!$A$778=BM19,COUNTA('Eval-Après impact'!$I$778),0),IF('Eval-Après impact'!$A$779=BM19,COUNTA('Eval-Après impact'!$I$779),0),IF('Eval-Après impact'!$A$780=BM19,COUNTA('Eval-Après impact'!$I$780),0))&gt;0,"X",0),"")</f>
        <v/>
      </c>
      <c r="BS19" s="213" t="str">
        <f>IF(COUNTIF('Eval-Après impact'!$A$761:$A$780,BM19)&gt;0,IF(SUM(IF('Eval-Après impact'!$A$761=BM19,COUNTA('Eval-Après impact'!$J$761),0),IF('Eval-Après impact'!$A$762=BM19,COUNTA('Eval-Après impact'!$J$762),0),IF('Eval-Après impact'!$A$763=BM19,COUNTA('Eval-Après impact'!$J$763),0),IF('Eval-Après impact'!$A$764=BM19,COUNTA('Eval-Après impact'!$J$764),0),IF('Eval-Après impact'!$A$765=BM19,COUNTA('Eval-Après impact'!$J$765),0),IF('Eval-Après impact'!$A$766=BM19,COUNTA('Eval-Après impact'!$J$766),0),IF('Eval-Après impact'!$A$767=BM19,COUNTA('Eval-Après impact'!$J$767),0),IF('Eval-Après impact'!$A$768=BM19,COUNTA('Eval-Après impact'!$J$768),0),IF('Eval-Après impact'!$A$769=BM19,COUNTA('Eval-Après impact'!$J$769),0),IF('Eval-Après impact'!$A$770=BM19,COUNTA('Eval-Après impact'!$J$770),0),IF('Eval-Après impact'!$A$771=BM19,COUNTA('Eval-Après impact'!$J$771),0),IF('Eval-Après impact'!$A$772=BM19,COUNTA('Eval-Après impact'!$J$772),0),IF('Eval-Après impact'!$A$773=BM19,COUNTA('Eval-Après impact'!$J$773),0),IF('Eval-Après impact'!$A$774=BM19,COUNTA('Eval-Après impact'!$J$774),0),IF('Eval-Après impact'!$A$775=BM19,COUNTA('Eval-Après impact'!$J$775),0),IF('Eval-Après impact'!$A$776=BM19,COUNTA('Eval-Après impact'!$J$776),0),IF('Eval-Après impact'!$A$777=BM19,COUNTA('Eval-Après impact'!$J$777),0),IF('Eval-Après impact'!$A$778=BM19,COUNTA('Eval-Après impact'!$J$778),0),IF('Eval-Après impact'!$A$779=BM19,COUNTA('Eval-Après impact'!$J$779),0),IF('Eval-Après impact'!$A$780=BM19,COUNTA('Eval-Après impact'!$J$780),0))&gt;0,"X",0),"")</f>
        <v/>
      </c>
      <c r="BT19" s="213" t="str">
        <f>IF(COUNTIF('Eval-Après impact'!$A$761:$A$780,BM19)&gt;0,IF(SUM(IF('Eval-Après impact'!$A$761=BM19,COUNTA('Eval-Après impact'!$K$761),0),IF('Eval-Après impact'!$A$762=BM19,COUNTA('Eval-Après impact'!$K$762),0),IF('Eval-Après impact'!$A$763=BM19,COUNTA('Eval-Après impact'!$K$763),0),IF('Eval-Après impact'!$A$764=BM19,COUNTA('Eval-Après impact'!$K$764),0),IF('Eval-Après impact'!$A$765=BM19,COUNTA('Eval-Après impact'!$K$765),0),IF('Eval-Après impact'!$A$766=BM19,COUNTA('Eval-Après impact'!$K$766),0),IF('Eval-Après impact'!$A$767=BM19,COUNTA('Eval-Après impact'!$K$767),0),IF('Eval-Après impact'!$A$768=BM19,COUNTA('Eval-Après impact'!$K$768),0),IF('Eval-Après impact'!$A$769=BM19,COUNTA('Eval-Après impact'!$K$769),0),IF('Eval-Après impact'!$A$770=BM19,COUNTA('Eval-Après impact'!$K$770),0),IF('Eval-Après impact'!$A$771=BM19,COUNTA('Eval-Après impact'!$K$771),0),IF('Eval-Après impact'!$A$772=BM19,COUNTA('Eval-Après impact'!$K$772),0),IF('Eval-Après impact'!$A$773=BM19,COUNTA('Eval-Après impact'!$K$773),0),IF('Eval-Après impact'!$A$774=BM19,COUNTA('Eval-Après impact'!$K$774),0),IF('Eval-Après impact'!$A$775=BM19,COUNTA('Eval-Après impact'!$K$775),0),IF('Eval-Après impact'!$A$776=BM19,COUNTA('Eval-Après impact'!$K$776),0),IF('Eval-Après impact'!$A$777=BM19,COUNTA('Eval-Après impact'!$K$777),0),IF('Eval-Après impact'!$A$778=BM19,COUNTA('Eval-Après impact'!$K$778),0),IF('Eval-Après impact'!$A$779=BM19,COUNTA('Eval-Après impact'!$K$779),0),IF('Eval-Après impact'!$A$780=BM19,COUNTA('Eval-Après impact'!$K$780),0))&gt;0,"X",0),"")</f>
        <v/>
      </c>
      <c r="BU19" s="211" t="str">
        <f>IF(COUNTIF('Eval-Après impact'!$A$761:$A$780,BM19)&gt;0,IF(OR(AND('Eval-Après impact'!$A$761=BM19,'Eval-Après impact'!$L$761&lt;120,'Eval-Après impact'!$L$761&gt;=CJ9),AND('Eval-Après impact'!$A$762=BM19,'Eval-Après impact'!$L$762&lt;120,'Eval-Après impact'!$L$762&gt;=CJ10),AND('Eval-Après impact'!$A$763=BM19,'Eval-Après impact'!$L$763&lt;120,'Eval-Après impact'!$L$763&gt;=CJ11),AND('Eval-Après impact'!$A$764=BM19,'Eval-Après impact'!$L$764&lt;120,'Eval-Après impact'!$L$764&gt;=CJ12),AND('Eval-Après impact'!$A$765=BM19,'Eval-Après impact'!$L$765&lt;120,'Eval-Après impact'!$L$765&gt;=CJ13),AND('Eval-Après impact'!$A$766=BM19,'Eval-Après impact'!$L$766&lt;120,'Eval-Après impact'!$L$766&gt;=CJ14),AND('Eval-Après impact'!$A$767=BM19,'Eval-Après impact'!$L$767&lt;120,'Eval-Après impact'!$L$767&gt;=CJ15),AND('Eval-Après impact'!$A$768=BM19,'Eval-Après impact'!$L$768&lt;120,'Eval-Après impact'!$L$768&gt;=CJ16),AND('Eval-Après impact'!$A$769=BM19,'Eval-Après impact'!$L$769&lt;120,'Eval-Après impact'!$L$769&gt;=CJ17),AND('Eval-Après impact'!$A$770=BM19,'Eval-Après impact'!$L$770&lt;120,'Eval-Après impact'!$L$770&gt;=CJ18),AND('Eval-Après impact'!$A$771=BM19,'Eval-Après impact'!$L$771&lt;120,'Eval-Après impact'!$L$771&gt;=CJ19),AND('Eval-Après impact'!$A$772=BM19,'Eval-Après impact'!$L$772&lt;120,'Eval-Après impact'!$L$772&gt;=CJ20),AND('Eval-Après impact'!$A$773=BM19,'Eval-Après impact'!$L$773&lt;120,'Eval-Après impact'!$L$773&gt;=CJ21),AND('Eval-Après impact'!$A$774=BM19,'Eval-Après impact'!$L$774&lt;120,'Eval-Après impact'!$L$774&gt;=CJ22),AND('Eval-Après impact'!$A$775=BM19,'Eval-Après impact'!$L$775&lt;120,'Eval-Après impact'!$L$775&gt;=CJ23),AND('Eval-Après impact'!$A$776=BM19,'Eval-Après impact'!$L$776&lt;120,'Eval-Après impact'!$L$776&gt;=CJ24),AND('Eval-Après impact'!$A$777=BM19,'Eval-Après impact'!$L$777&lt;120,'Eval-Après impact'!$L$777&gt;=CJ25),AND('Eval-Après impact'!$A$778=BM19,'Eval-Après impact'!$L$778&lt;120,'Eval-Après impact'!$L$778&gt;=CJ26),AND('Eval-Après impact'!$A$779=BM19,'Eval-Après impact'!$L$779&lt;120,'Eval-Après impact'!$L$779&gt;=CJ27),AND('Eval-Après impact'!$A$780=BM19,'Eval-Après impact'!$L$780&lt;120,'Eval-Après impact'!$L$780&gt;=CJ28)),"",SUM(IF('Eval-Après impact'!$A$761=BM19,'Eval-Après impact'!$L$761,0),IF('Eval-Après impact'!$A$762=BM19,'Eval-Après impact'!$L$762,0),IF('Eval-Après impact'!$A$763=BM19,'Eval-Après impact'!$L$763,0),IF('Eval-Après impact'!$A$764=BM19,'Eval-Après impact'!$L$764,0),IF('Eval-Après impact'!$A$765=BM19,'Eval-Après impact'!$L$765,0),IF('Eval-Après impact'!$A$766=BM19,'Eval-Après impact'!$L$766,0),IF('Eval-Après impact'!$A$767=BM19,'Eval-Après impact'!$L$767,0),IF('Eval-Après impact'!$A$768=BM19,'Eval-Après impact'!$L$768,0),IF('Eval-Après impact'!$A$769=BM19,'Eval-Après impact'!$L$769,0),IF('Eval-Après impact'!$A$770=BM19,'Eval-Après impact'!$L$770,0),IF('Eval-Après impact'!$A$771=BM19,'Eval-Après impact'!$L$771,0),IF('Eval-Après impact'!$A$772=BM19,'Eval-Après impact'!$L$772,0),IF('Eval-Après impact'!$A$773=BM19,'Eval-Après impact'!$L$773,0),IF('Eval-Après impact'!$A$774=BM19,'Eval-Après impact'!$L$774,0),IF('Eval-Après impact'!$A$775=BM19,'Eval-Après impact'!$L$775,0),IF('Eval-Après impact'!$A$776=BM19,'Eval-Après impact'!$L$776,0),IF('Eval-Après impact'!$A$777=BM19,'Eval-Après impact'!$L$777,0),IF('Eval-Après impact'!$A$778=BM19,'Eval-Après impact'!$L$778,0),IF('Eval-Après impact'!$A$779=BM19,'Eval-Après impact'!$L$779,0),IF('Eval-Après impact'!$A$780=BM19,'Eval-Après impact'!$L$780,0))/ COUNTIF('Eval-Après impact'!$A$761:$A$780,BM19)),"")</f>
        <v/>
      </c>
      <c r="BV19" s="211" t="str">
        <f>IF(COUNTIF('Eval-Après impact'!$A$761:$A$780,BM19)&gt;0,IF(OR(AND('Eval-Après impact'!$A$761=BM19, CJ9&lt;120),AND(CJ10&lt;120),AND(CJ11&lt;120),AND(CJ12&lt;120),AND(CJ13&lt;120),AND(CJ14&lt;120),AND(CJ15&lt;120),AND(CJ16&lt;120),AND(CJ17&lt;120),AND(CJ18&lt;120),AND(CJ19&lt;120),AND(CJ20&lt;120),AND(CJ21&lt;120),AND(CJ22&lt;120),AND(CJ23&lt;120),AND(CJ24&lt;120),AND(CJ25&lt;120),AND(CJ26&lt;120),AND(CJ27&lt;120),AND(CJ28&lt;120)),"",SUM(IF('Eval-Après impact'!$A$761=BM19,'Eval-Après impact'!$M$761,0),IF('Eval-Après impact'!$A$762=BM19,'Eval-Après impact'!$M$762,0),IF('Eval-Après impact'!$A$763=BM19,'Eval-Après impact'!$M$763,0),IF('Eval-Après impact'!$A$764=BM19,'Eval-Après impact'!$M$764,0),IF('Eval-Après impact'!$A$765=BM19,'Eval-Après impact'!$M$765,0),IF('Eval-Après impact'!$A$766=BM19,'Eval-Après impact'!$M$766,0),IF('Eval-Après impact'!$A$767=BM19,'Eval-Après impact'!$M$767,0),IF('Eval-Après impact'!$A$768=BM19,'Eval-Après impact'!$M$768,0),IF('Eval-Après impact'!$A$769=BM19,'Eval-Après impact'!$M$769,0),IF('Eval-Après impact'!$A$770=BM19,'Eval-Après impact'!$M$770,0),IF('Eval-Après impact'!$A$771=BM19,'Eval-Après impact'!$M$771,0),IF('Eval-Après impact'!$A$772=BM19,'Eval-Après impact'!$M$772,0),IF('Eval-Après impact'!$A$773=BM19,'Eval-Après impact'!$M$773,0),IF('Eval-Après impact'!$A$774=BM19,'Eval-Après impact'!$M$774,0),IF('Eval-Après impact'!$A$775=BM19,'Eval-Après impact'!$M$775,0), IF('Eval-Après impact'!$A$776=BM19,'Eval-Après impact'!$M$776,0), IF('Eval-Après impact'!$A$777=BM19,'Eval-Après impact'!$M$777,0), IF('Eval-Après impact'!$A$778=BM19,'Eval-Après impact'!$M$778,0), IF('Eval-Après impact'!$A$779=BM19,'Eval-Après impact'!$M$779,0), IF('Eval-Après impact'!$A$780=BM19,'Eval-Après impact'!$M$780,0))/COUNTIF('Eval-Après impact'!$A$761:$A$780,BM19)),"")</f>
        <v/>
      </c>
      <c r="BW19" s="211" t="str">
        <f>IF(COUNTIF('Eval-Après impact'!$A$761:$A$780,BM19)&gt;0,SUM(IF('Eval-Après impact'!$A$761=BM19,LEN(SUBSTITUTE((SUBSTITUTE(CL9,"TM","")),"TS",""))*10/2,0),IF('Eval-Après impact'!$A$762=BM19,LEN(SUBSTITUTE((SUBSTITUTE(CL10,"TM","")),"TS",""))*10/2,0),IF('Eval-Après impact'!$A$763=BM19,LEN(SUBSTITUTE((SUBSTITUTE(CL11,"TM","")),"TS",""))*10/2,0),IF('Eval-Après impact'!$A$764=BM19,LEN(SUBSTITUTE((SUBSTITUTE(CL12,"TM","")),"TS",""))*10/2,0),IF('Eval-Après impact'!$A$765=BM19,LEN(SUBSTITUTE((SUBSTITUTE(CL13,"TM","")),"TS",""))*10/2,0),IF('Eval-Après impact'!$A$766=BM19,LEN(SUBSTITUTE((SUBSTITUTE(CL14,"TM","")),"TS",""))*10/2,0),IF('Eval-Après impact'!$A$767=BM19,LEN(SUBSTITUTE((SUBSTITUTE(CL15,"TM","")),"TS",""))*10/2,0),IF('Eval-Après impact'!$A$768=BM19,LEN(SUBSTITUTE((SUBSTITUTE(CL16,"TM","")),"TS",""))*10/2,0),IF('Eval-Après impact'!$A$769=BM19,LEN(SUBSTITUTE((SUBSTITUTE(CL17,"TM","")),"TS",""))*10/2,0),IF('Eval-Après impact'!$A$770=BM19,LEN(SUBSTITUTE((SUBSTITUTE(CL18,"TM","")),"TS",""))*10/2,0),IF('Eval-Après impact'!$A$771=BM19,LEN(SUBSTITUTE((SUBSTITUTE(CL19,"TM","")),"TS",""))*10/2,0),IF('Eval-Après impact'!$A$772=BM19,LEN(SUBSTITUTE((SUBSTITUTE(CL20,"TM","")),"TS",""))*10/2,0),IF('Eval-Après impact'!$A$773=BM19,LEN(SUBSTITUTE((SUBSTITUTE(CL21,"TM","")),"TS",""))*10/2,0),IF('Eval-Après impact'!$A$774=BM19,LEN(SUBSTITUTE((SUBSTITUTE(CL22,"TM","")),"TS",""))*10/2,0),IF('Eval-Après impact'!$A$775=BM19,LEN(SUBSTITUTE((SUBSTITUTE(CL23,"TM","")),"TS",""))*10/2,0),IF('Eval-Après impact'!$A$776=BM19,LEN(SUBSTITUTE((SUBSTITUTE(CL24,"TM","")),"TS",""))*10/2,0),IF('Eval-Après impact'!$A$777=BM19,LEN(SUBSTITUTE((SUBSTITUTE(CL25,"TM","")),"TS",""))*10/2,0),IF('Eval-Après impact'!$A$778=BM19,LEN(SUBSTITUTE((SUBSTITUTE(CL26,"TM","")),"TS",""))*10/2,0),IF('Eval-Après impact'!$A$779=BM19,LEN(SUBSTITUTE((SUBSTITUTE(CL27,"TM","")),"TS",""))*10/2,0),IF('Eval-Après impact'!$A$780=BM19,LEN(SUBSTITUTE((SUBSTITUTE(CL28,"TM","")),"TS",""))*10/2,0))/COUNTIF('Eval-Après impact'!$A$761:$A$780,BM19),"")</f>
        <v/>
      </c>
      <c r="BX19" s="211" t="str">
        <f>IF(COUNTIF('Eval-Après impact'!$A$761:$A$780,BM19)&gt;0,SUM(IF('Eval-Après impact'!$A$761=BM19,LEN(SUBSTITUTE((SUBSTITUTE(CL9,"TF","")),"TS",""))*10/2,0),IF('Eval-Après impact'!$A$762=BM19,LEN(SUBSTITUTE((SUBSTITUTE(CL10,"TF","")),"TS",""))*10/2,0),IF('Eval-Après impact'!$A$763=BM19,LEN(SUBSTITUTE((SUBSTITUTE(CL11,"TF","")),"TS",""))*10/2,0),IF('Eval-Après impact'!$A$764=BM19,LEN(SUBSTITUTE((SUBSTITUTE(CL12,"TF","")),"TS",""))*10/2,0),IF('Eval-Après impact'!$A$765=BM19,LEN(SUBSTITUTE((SUBSTITUTE(CL13,"TF","")),"TS",""))*10/2,0),IF('Eval-Après impact'!$A$766=BM19,LEN(SUBSTITUTE((SUBSTITUTE(CL14,"TF","")),"TS",""))*10/2,0),IF('Eval-Après impact'!$A$767=BM19,LEN(SUBSTITUTE((SUBSTITUTE(CL15,"TF","")),"TS",""))*10/2,0),IF('Eval-Après impact'!$A$768=BM19,LEN(SUBSTITUTE((SUBSTITUTE(CL16,"TF","")),"TS",""))*10/2,0),IF('Eval-Après impact'!$A$769=BM19,LEN(SUBSTITUTE((SUBSTITUTE(CL17,"TF","")),"TS",""))*10/2,0),IF('Eval-Après impact'!$A$770=BM19,LEN(SUBSTITUTE((SUBSTITUTE(CL18,"TF","")),"TS",""))*10/2,0),IF('Eval-Après impact'!$A$771=BM19,LEN(SUBSTITUTE((SUBSTITUTE(CL19,"TF","")),"TS",""))*10/2,0),IF('Eval-Après impact'!$A$772=BM19,LEN(SUBSTITUTE((SUBSTITUTE(CL20,"TF","")),"TS",""))*10/2,0),IF('Eval-Après impact'!$A$773=BM19,LEN(SUBSTITUTE((SUBSTITUTE(CL21,"TF","")),"TS",""))*10/2,0),IF('Eval-Après impact'!$A$774=BM19,LEN(SUBSTITUTE((SUBSTITUTE(CL22,"TF","")),"TS",""))*10/2,0),IF('Eval-Après impact'!$A$775=BM19,LEN(SUBSTITUTE((SUBSTITUTE(CL23,"TF","")),"TS",""))*10/2,0),IF('Eval-Après impact'!$A$776=BM19,LEN(SUBSTITUTE((SUBSTITUTE(CL24,"TF","")),"TS",""))*10/2,0),IF('Eval-Après impact'!$A$777=BM19,LEN(SUBSTITUTE((SUBSTITUTE(CL25,"TF","")),"TS",""))*10/2,0),IF('Eval-Après impact'!$A$778=BM19,LEN(SUBSTITUTE((SUBSTITUTE(CL26,"TF","")),"TS",""))*10/2,0),IF('Eval-Après impact'!$A$779=BM19,LEN(SUBSTITUTE((SUBSTITUTE(CL27,"TF","")),"TS",""))*10/2,0),IF('Eval-Après impact'!$A$780=BM19,LEN(SUBSTITUTE((SUBSTITUTE(CL28,"TF","")),"TS",""))*10/2,0))/COUNTIF('Eval-Après impact'!$A$761:$A$780,BM19),"")</f>
        <v/>
      </c>
      <c r="BY19" s="211" t="str">
        <f>IF(COUNTIF('Eval-Après impact'!$A$761:$A$780,BM19)&gt;0,SUM(IF('Eval-Après impact'!$A$761=BM19,LEN(SUBSTITUTE((SUBSTITUTE(CL9,"TF","")),"TM",""))*10/2,0),IF('Eval-Après impact'!$A$762=BM19,LEN(SUBSTITUTE((SUBSTITUTE(CL10,"TF","")),"TM",""))*10/2,0),IF('Eval-Après impact'!$A$763=BM19,LEN(SUBSTITUTE((SUBSTITUTE(CL11,"TF","")),"TM",""))*10/2,0),IF('Eval-Après impact'!$A$764=BM19,LEN(SUBSTITUTE((SUBSTITUTE(CL12,"TF","")),"TM",""))*10/2,0),IF('Eval-Après impact'!$A$765=BM19,LEN(SUBSTITUTE((SUBSTITUTE(CL13,"TF","")),"TM",""))*10/2,0),IF('Eval-Après impact'!$A$766=BM19,LEN(SUBSTITUTE((SUBSTITUTE(CL14,"TF","")),"TM",""))*10/2,0),IF('Eval-Après impact'!$A$767=BM19,LEN(SUBSTITUTE((SUBSTITUTE(CL15,"TF","")),"TM",""))*10/2,0),IF('Eval-Après impact'!$A$768=BM19,LEN(SUBSTITUTE((SUBSTITUTE(CL16,"TF","")),"TM",""))*10/2,0),IF('Eval-Après impact'!$A$769=BM19,LEN(SUBSTITUTE((SUBSTITUTE(CL17,"TF","")),"TM",""))*10/2,0),IF('Eval-Après impact'!$A$770=BM19,LEN(SUBSTITUTE((SUBSTITUTE(CL18,"TF","")),"TM",""))*10/2,0),IF('Eval-Après impact'!$A$771=BM19,LEN(SUBSTITUTE((SUBSTITUTE(CL19,"TF","")),"TM",""))*10/2,0),IF('Eval-Après impact'!$A$772=BM19,LEN(SUBSTITUTE((SUBSTITUTE(CL20,"TF","")),"TM",""))*10/2,0),IF('Eval-Après impact'!$A$773=BM19,LEN(SUBSTITUTE((SUBSTITUTE(CL21,"TF","")),"TM",""))*10/2,0),IF('Eval-Après impact'!$A$774=BM19,LEN(SUBSTITUTE((SUBSTITUTE(CL22,"TF","")),"TM",""))*10/2,0),IF('Eval-Après impact'!$A$775=BM19,LEN(SUBSTITUTE((SUBSTITUTE(CL23,"TF","")),"TM",""))*10/2,0),IF('Eval-Après impact'!$A$776=BM19,LEN(SUBSTITUTE((SUBSTITUTE(CL24,"TF","")),"TM",""))*10/2,0),IF('Eval-Après impact'!$A$777=BM19,LEN(SUBSTITUTE((SUBSTITUTE(CL25,"TF","")),"TM",""))*10/2,0),IF('Eval-Après impact'!$A$778=BM19,LEN(SUBSTITUTE((SUBSTITUTE(CL26,"TF","")),"TM",""))*10/2,0),IF('Eval-Après impact'!$A$779=BM19,LEN(SUBSTITUTE((SUBSTITUTE(CL27,"TF","")),"TM",""))*10/2,0),IF('Eval-Après impact'!$A$780=BM19,LEN(SUBSTITUTE((SUBSTITUTE(CL28,"TF","")),"TM",""))*10/2,0))/COUNTIF('Eval-Après impact'!$A$761:$A$780,BM19),"")</f>
        <v/>
      </c>
      <c r="BZ19" s="211" t="str">
        <f>IF(COUNTIF('Eval-Après impact'!$A$761:$A$780,BM19)&gt;0,SUM(IF('Eval-Après impact'!$A$761=BM19,LEN(SUBSTITUTE((SUBSTITUTE(CM9,"TM","")),"TS",""))*10/2,0),IF('Eval-Après impact'!$A$762=BM19,LEN(SUBSTITUTE((SUBSTITUTE(CM10,"TM","")),"TS",""))*10/2,0),IF('Eval-Après impact'!$A$763=BM19,LEN(SUBSTITUTE((SUBSTITUTE(CM11,"TM","")),"TS",""))*10/2,0),IF('Eval-Après impact'!$A$764=BM19,LEN(SUBSTITUTE((SUBSTITUTE(CM12,"TM","")),"TS",""))*10/2,0),IF('Eval-Après impact'!$A$765=BM19,LEN(SUBSTITUTE((SUBSTITUTE(CM13,"TM","")),"TS",""))*10/2,0),IF('Eval-Après impact'!$A$766=BM19,LEN(SUBSTITUTE((SUBSTITUTE(CM14,"TM","")),"TS",""))*10/2,0),IF('Eval-Après impact'!$A$767=BM19,LEN(SUBSTITUTE((SUBSTITUTE(CM15,"TM","")),"TS",""))*10/2,0),IF('Eval-Après impact'!$A$768=BM19,LEN(SUBSTITUTE((SUBSTITUTE(CM16,"TM","")),"TS",""))*10/2,0),IF('Eval-Après impact'!$A$769=BM19,LEN(SUBSTITUTE((SUBSTITUTE(CM17,"TM","")),"TS",""))*10/2,0),IF('Eval-Après impact'!$A$770=BM19,LEN(SUBSTITUTE((SUBSTITUTE(CM18,"TM","")),"TS",""))*10/2,0),IF('Eval-Après impact'!$A$771=BM19,LEN(SUBSTITUTE((SUBSTITUTE(CM19,"TM","")),"TS",""))*10/2,0),IF('Eval-Après impact'!$A$772=BM19,LEN(SUBSTITUTE((SUBSTITUTE(CM20,"TM","")),"TS",""))*10/2,0),IF('Eval-Après impact'!$A$773=BM19,LEN(SUBSTITUTE((SUBSTITUTE(CM21,"TM","")),"TS",""))*10/2,0),IF('Eval-Après impact'!$A$774=BM19,LEN(SUBSTITUTE((SUBSTITUTE(CM22,"TM","")),"TS",""))*10/2,0),IF('Eval-Après impact'!$A$775=BM19,LEN(SUBSTITUTE((SUBSTITUTE(CM23,"TM","")),"TS",""))*10/2,0),IF('Eval-Après impact'!$A$776=BM19,LEN(SUBSTITUTE((SUBSTITUTE(CM24,"TM","")),"TS",""))*10/2,0),IF('Eval-Après impact'!$A$777=BM19,LEN(SUBSTITUTE((SUBSTITUTE(CM25,"TM","")),"TS",""))*10/2,0),IF('Eval-Après impact'!$A$778=BM19,LEN(SUBSTITUTE((SUBSTITUTE(CM26,"TM","")),"TS",""))*10/2,0),IF('Eval-Après impact'!$A$779=BM19,LEN(SUBSTITUTE((SUBSTITUTE(CM27,"TM","")),"TS",""))*10/2,0),IF('Eval-Après impact'!$A$780=BM19,LEN(SUBSTITUTE((SUBSTITUTE(CM28,"TM","")),"TS",""))*10/2,0))/COUNTIF('Eval-Après impact'!$A$761:$A$780,BM19),"")</f>
        <v/>
      </c>
      <c r="CA19" s="211" t="str">
        <f>IF(COUNTIF('Eval-Après impact'!$A$761:$A$780,BM19)&gt;0,SUM(IF('Eval-Après impact'!$A$761=BM19,LEN(SUBSTITUTE((SUBSTITUTE(CM9,"TF","")),"TS",""))*10/2,0),IF('Eval-Après impact'!$A$762=BM19,LEN(SUBSTITUTE((SUBSTITUTE(CM10,"TF","")),"TS",""))*10/2,0),IF('Eval-Après impact'!$A$763=BM19,LEN(SUBSTITUTE((SUBSTITUTE(CM11,"TF","")),"TS",""))*10/2,0),IF('Eval-Après impact'!$A$764=BM19,LEN(SUBSTITUTE((SUBSTITUTE(CM12,"TF","")),"TS",""))*10/2,0),IF('Eval-Après impact'!$A$765=BM19,LEN(SUBSTITUTE((SUBSTITUTE(CM13,"TF","")),"TS",""))*10/2,0),IF('Eval-Après impact'!$A$766=BM19,LEN(SUBSTITUTE((SUBSTITUTE(CM14,"TF","")),"TS",""))*10/2,0),IF('Eval-Après impact'!$A$767=BM19,LEN(SUBSTITUTE((SUBSTITUTE(CM15,"TF","")),"TS",""))*10/2,0),IF('Eval-Après impact'!$A$768=BM19,LEN(SUBSTITUTE((SUBSTITUTE(CM16,"TF","")),"TS",""))*10/2,0),IF('Eval-Après impact'!$A$769=BM19,LEN(SUBSTITUTE((SUBSTITUTE(CM17,"TF","")),"TS",""))*10/2,0),IF('Eval-Après impact'!$A$770=BM19,LEN(SUBSTITUTE((SUBSTITUTE(CM18,"TF","")),"TS",""))*10/2,0),IF('Eval-Après impact'!$A$771=BM19,LEN(SUBSTITUTE((SUBSTITUTE(CM19,"TF","")),"TS",""))*10/2,0),IF('Eval-Après impact'!$A$772=BM19,LEN(SUBSTITUTE((SUBSTITUTE(CM20,"TF","")),"TS",""))*10/2,0),IF('Eval-Après impact'!$A$773=BM19,LEN(SUBSTITUTE((SUBSTITUTE(CM21,"TF","")),"TS",""))*10/2,0),IF('Eval-Après impact'!$A$774=BM19,LEN(SUBSTITUTE((SUBSTITUTE(CM22,"TF","")),"TS",""))*10/2,0),IF('Eval-Après impact'!$A$775=BM19,LEN(SUBSTITUTE((SUBSTITUTE(CM23,"TF","")),"TS",""))*10/2,0),IF('Eval-Après impact'!$A$776=BM19,LEN(SUBSTITUTE((SUBSTITUTE(CM24,"TF","")),"TS",""))*10/2,0),IF('Eval-Après impact'!$A$777=BM19,LEN(SUBSTITUTE((SUBSTITUTE(CM25,"TF","")),"TS",""))*10/2,0),IF('Eval-Après impact'!$A$778=BM19,LEN(SUBSTITUTE((SUBSTITUTE(CM26,"TF","")),"TS",""))*10/2,0),IF('Eval-Après impact'!$A$779=BM19,LEN(SUBSTITUTE((SUBSTITUTE(CM27,"TF","")),"TS",""))*10/2,0),IF('Eval-Après impact'!$A$780=BM19,LEN(SUBSTITUTE((SUBSTITUTE(CM28,"TF","")),"TS",""))*10/2,0))/COUNTIF('Eval-Après impact'!$A$761:$A$780,BM19),"")</f>
        <v/>
      </c>
      <c r="CB19" s="211" t="str">
        <f>IF(COUNTIF('Eval-Après impact'!$A$761:$A$780,BM19)&gt;0,SUM(IF('Eval-Après impact'!$A$761=BM19,LEN(SUBSTITUTE((SUBSTITUTE(CM9,"TF","")),"TM",""))*10/2,0),IF('Eval-Après impact'!$A$762=BM19,LEN(SUBSTITUTE((SUBSTITUTE(CM10,"TF","")),"TM",""))*10/2,0),IF('Eval-Après impact'!$A$763=BM19,LEN(SUBSTITUTE((SUBSTITUTE(CM11,"TF","")),"TM",""))*10/2,0),IF('Eval-Après impact'!$A$764=BM19,LEN(SUBSTITUTE((SUBSTITUTE(CM12,"TF","")),"TM",""))*10/2,0),IF('Eval-Après impact'!$A$765=BM19,LEN(SUBSTITUTE((SUBSTITUTE(CM13,"TF","")),"TM",""))*10/2,0),IF('Eval-Après impact'!$A$766=BM19,LEN(SUBSTITUTE((SUBSTITUTE(CM14,"TF","")),"TM",""))*10/2,0),IF('Eval-Après impact'!$A$767=BM19,LEN(SUBSTITUTE((SUBSTITUTE(CM15,"TF","")),"TM",""))*10/2,0),IF('Eval-Après impact'!$A$768=BM19,LEN(SUBSTITUTE((SUBSTITUTE(CM16,"TF","")),"TM",""))*10/2,0),IF('Eval-Après impact'!$A$769=BM19,LEN(SUBSTITUTE((SUBSTITUTE(CM17,"TF","")),"TM",""))*10/2,0),IF('Eval-Après impact'!$A$770=BM19,LEN(SUBSTITUTE((SUBSTITUTE(CM18,"TF","")),"TM",""))*10/2,0),IF('Eval-Après impact'!$A$771=BM19,LEN(SUBSTITUTE((SUBSTITUTE(CM19,"TF","")),"TM",""))*10/2,0),IF('Eval-Après impact'!$A$772=BM19,LEN(SUBSTITUTE((SUBSTITUTE(CM20,"TF","")),"TM",""))*10/2,0),IF('Eval-Après impact'!$A$773=BM19,LEN(SUBSTITUTE((SUBSTITUTE(CM21,"TF","")),"TM",""))*10/2,0),IF('Eval-Après impact'!$A$774=BM19,LEN(SUBSTITUTE((SUBSTITUTE(CM22,"TF","")),"TM",""))*10/2,0),IF('Eval-Après impact'!$A$775=BM19,LEN(SUBSTITUTE((SUBSTITUTE(CM23,"TF","")),"TM",""))*10/2,0),IF('Eval-Après impact'!$A$776=BM19,LEN(SUBSTITUTE((SUBSTITUTE(CM24,"TF","")),"TM",""))*10/2,0),IF('Eval-Après impact'!$A$777=BM19,LEN(SUBSTITUTE((SUBSTITUTE(CM25,"TF","")),"TM",""))*10/2,0),IF('Eval-Après impact'!$A$778=BM19,LEN(SUBSTITUTE((SUBSTITUTE(CM26,"TF","")),"TM",""))*10/2,0),IF('Eval-Après impact'!$A$779=BM19,LEN(SUBSTITUTE((SUBSTITUTE(CM27,"TF","")),"TM",""))*10/2,0),IF('Eval-Après impact'!$A$780=BM19,LEN(SUBSTITUTE((SUBSTITUTE(CM28,"TF","")),"TM",""))*10/2,0))/COUNTIF('Eval-Après impact'!$A$761:$A$780,BM19),"")</f>
        <v/>
      </c>
      <c r="CC19" s="211" t="str">
        <f>IF(COUNTIF('Eval-Après impact'!$A$761:$A$780,BM19)&gt;0,IF(OR(AND('Eval-Après impact'!$A$761=BM19,CJ9&lt;30),AND('Eval-Après impact'!$A$762=BM19,CJ10&lt;30),AND('Eval-Après impact'!$A$763=BM19,CJ11&lt;30),AND('Eval-Après impact'!$A$764=BM19,CJ12&lt;30),AND('Eval-Après impact'!$A$765=BM19,CJ13&lt;30),AND('Eval-Après impact'!$A$766=BM19,CJ14&lt;30),AND('Eval-Après impact'!$A$767=BM19,CJ15&lt;30),AND('Eval-Après impact'!$A$768=BM19,CJ16&lt;30),AND('Eval-Après impact'!$A$769=BM19,CJ17&lt;30),AND('Eval-Après impact'!$A$770=BM19,CJ18&lt;30),AND('Eval-Après impact'!$A$771=BM19,CJ19&lt;30),AND('Eval-Après impact'!$A$772=BM19,CJ20&lt;30),AND('Eval-Après impact'!$A$773=BM19,CJ21&lt;30),AND('Eval-Après impact'!$A$774=BM19,CJ22&lt;30),AND('Eval-Après impact'!$A$775=BM19,CJ23&lt;30),AND('Eval-Après impact'!$A$776=BM19,CJ24&lt;30),AND('Eval-Après impact'!$A$777=BM19,CJ25&lt;30),AND('Eval-Après impact'!$A$778=BM19,CJ26&lt;30),AND('Eval-Après impact'!$A$779=BM19,CJ27&lt;30),AND('Eval-Après impact'!$A$780=BM19,CJ28&lt;30)),"",SUM(0.1*(SUMPRODUCT(('Eval-Après impact'!$A$761:$A$780=BM19)*('Eval-Après impact'!$N$761:$P$780="A"))+ SUMPRODUCT(('Eval-Après impact'!$A$761:$A$780=BM19)*('Eval-Après impact'!$N$761:$P$780="AL"))),0.7*(SUMPRODUCT(('Eval-Après impact'!$A$761:$A$780=BM19)*('Eval-Après impact'!$N$761:$P$780="TF"))+SUMPRODUCT(('Eval-Après impact'!$A$761:$A$780=BM19)*('Eval-Après impact'!$N$761:$P$780="TM"))+SUMPRODUCT(('Eval-Après impact'!$A$761:$A$780=BM19)*('Eval-Après impact'!$N$761:$P$780="TS"))),0.4*(SUMPRODUCT(('Eval-Après impact'!$A$761:$A$780=BM19)*('Eval-Après impact'!$N$761:$P$780="LA"))+SUMPRODUCT(('Eval-Après impact'!$A$761:$A$780=BM19)*('Eval-Après impact'!$N$761:$P$780="L"))+SUMPRODUCT(('Eval-Après impact'!$A$761:$A$780=BM19)*('Eval-Après impact'!$N$761:$P$780="LS"))),1*(SUMPRODUCT(('Eval-Après impact'!$A$761:$A$780=BM19)*('Eval-Après impact'!$N$761:$P$780="SL"))+ SUMPRODUCT(('Eval-Après impact'!$A$761:$A$780=BM19)*('Eval-Après impact'!$N$761:$P$780="S"))))/(3*COUNTIF('Eval-Après impact'!$A$761:$A$780,BM19))),"")</f>
        <v/>
      </c>
      <c r="CD19" s="211" t="str">
        <f>IF(COUNTIF('Eval-Après impact'!$A$761:$A$780,BM19)&gt;0,IF(OR(AND('Eval-Après impact'!$A$761=BM19,CJ9&lt;120),AND('Eval-Après impact'!$A$762=BM19,CJ10&lt;120),AND('Eval-Après impact'!$A$763=BM19,CJ11&lt;120),AND('Eval-Après impact'!$A$764=BM19,CJ12&lt;120),AND('Eval-Après impact'!$A$765=BM19,CJ13&lt;120),AND('Eval-Après impact'!$A$766=BM19,CJ14&lt;120),AND('Eval-Après impact'!$A$767=BM19,CJ15&lt;120),AND('Eval-Après impact'!$A$768=BM19,CJ16&lt;120),AND('Eval-Après impact'!$A$769=BM19,CJ17&lt;120),AND('Eval-Après impact'!$A$770=BM19,CJ18&lt;120),AND('Eval-Après impact'!$A$771=BM19,CJ19&lt;120),AND('Eval-Après impact'!$A$772=BM19,CJ20&lt;120),AND('Eval-Après impact'!$A$773=BM19,CJ21&lt;120),AND('Eval-Après impact'!$A$774=BM19,CJ22&lt;120),AND('Eval-Après impact'!$A$775=BM19,CJ23&lt;120),AND('Eval-Après impact'!$A$776=BM19,CJ24&lt;120),AND('Eval-Après impact'!$A$777=BM19,CJ25&lt;120),AND('Eval-Après impact'!$A$778=BM19,CJ26&lt;120),AND('Eval-Après impact'!$A$779=BM19,CJ27&lt;120),AND('Eval-Après impact'!$A$780=BM19,CJ28&lt;120)),"",SUM(0.1*(SUMPRODUCT(('Eval-Après impact'!$A$761:$A$780=BM19)*('Eval-Après impact'!$Q$761:$Y$780="A"))+ SUMPRODUCT(('Eval-Après impact'!$A$761:$A$780=BM19)*('Eval-Après impact'!$Q$761:$Y$780="AL"))),0.7*(SUMPRODUCT(('Eval-Après impact'!$A$761:$A$780=BM19)*('Eval-Après impact'!$Q$761:$Y$780="TF"))+SUMPRODUCT(('Eval-Après impact'!$A$761:$A$780=BM19)*('Eval-Après impact'!$Q$761:$Y$780="TM"))+SUMPRODUCT(('Eval-Après impact'!$A$761:$A$780=BM19)*('Eval-Après impact'!$Q$761:$Y$780="TS"))),0.4*(SUMPRODUCT(('Eval-Après impact'!$A$761:$A$780=BM19)*('Eval-Après impact'!$Q$761:$Y$780="LA"))+SUMPRODUCT(('Eval-Après impact'!$A$761:$A$780=BM19)*('Eval-Après impact'!$Q$761:$Y$780="L"))+SUMPRODUCT(('Eval-Après impact'!$A$761:$A$780=BM19)*('Eval-Après impact'!$Q$761:$Y$780="LS"))),1*(SUMPRODUCT(('Eval-Après impact'!$A$761:$A$780=BM19)*('Eval-Après impact'!$Q$761:$Y$780="SL"))+ SUMPRODUCT(('Eval-Après impact'!$A$761:$A$780=BM19)*('Eval-Après impact'!$Q$761:$Y$780="S"))))/(9*COUNTIF('Eval-Après impact'!$A$761:$A$780,BM19))),"")</f>
        <v/>
      </c>
      <c r="CE19" s="211" t="str">
        <f>IF(COUNTIF('Eval-Après impact'!$A$761:$A$780,BM19)&gt;0,IF(OR(AND('Eval-Après impact'!$A$761=BM19,OR(COUNTIF('Eval-Après impact'!$N$761:$P$761,"*T*")&gt;0,CJ9&lt;30)),AND('Eval-Après impact'!$A$762=BM19,OR(COUNTIF('Eval-Après impact'!$N$762:$P$762,"*T*")&gt;0,CJ10&lt;30)),AND('Eval-Après impact'!$A$763=BM19,OR(COUNTIF('Eval-Après impact'!$N$763:$P$763,"*T*")&gt;0,CJ11&lt;30)),AND('Eval-Après impact'!$A$764=BM19,OR(COUNTIF('Eval-Après impact'!$N$764:$P$764,"*T*")&gt;0,CJ12&lt;30)),AND('Eval-Après impact'!$A$765=BM19,OR(COUNTIF('Eval-Après impact'!$N$765:$P$765,"*T*")&gt;0,CJ13&lt;30)),AND('Eval-Après impact'!$A$766=BM19,OR(COUNTIF('Eval-Après impact'!$N$766:$P$766,"*T*")&gt;0,CJ14&lt;30)),AND('Eval-Après impact'!$A$767=BM19,OR(COUNTIF('Eval-Après impact'!$N$767:$P$767,"*T*")&gt;0,CJ15&lt;30)),AND('Eval-Après impact'!$A$768=BM19,OR(COUNTIF('Eval-Après impact'!$N$768:$P$768,"*T*")&gt;0,CJ16&lt;30)),AND('Eval-Après impact'!$A$769=BM19,OR(COUNTIF('Eval-Après impact'!$N$769:$P$769,"*T*")&gt;0,CJ17&lt;30)),AND('Eval-Après impact'!$A$770=BM19,OR(COUNTIF('Eval-Après impact'!$N$770:$P$770,"*T*")&gt;0,CJ18&lt;30)),AND('Eval-Après impact'!$A$771=BM19,OR(COUNTIF('Eval-Après impact'!$N$771:$P$771,"*T*")&gt;0,CJ19&lt;30)),AND('Eval-Après impact'!$A$772=BM19,OR(COUNTIF('Eval-Après impact'!$N$772:$P$772,"*T*")&gt;0,CJ20&lt;30)),AND('Eval-Après impact'!$A$773=BM19,OR(COUNTIF('Eval-Après impact'!$N$773:$P$773,"*T*")&gt;0,CJ21&lt;30)),AND('Eval-Après impact'!$A$774=BM19,OR(COUNTIF('Eval-Après impact'!$N$774:$P$774,"*T*")&gt;0,CJ22&lt;30)),AND('Eval-Après impact'!$A$775=BM19,OR(COUNTIF('Eval-Après impact'!$N$775:$P$775,"*T*")&gt;0,CJ23&lt;30)),AND('Eval-Après impact'!$A$776=BM19,OR(COUNTIF('Eval-Après impact'!$N$776:$P$776,"*T*")&gt;0,CJ24&lt;30)),AND('Eval-Après impact'!$A$777=BM19,OR(COUNTIF('Eval-Après impact'!$N$777:$P$777,"*T*")&gt;0,CJ25&lt;30)),AND('Eval-Après impact'!$A$778=BM19,OR(COUNTIF('Eval-Après impact'!$N$778:$P$778,"*T*")&gt;0,CJ26&lt;30)),AND('Eval-Après impact'!$A$779=BM19,OR(COUNTIF('Eval-Après impact'!$N$779:$P$779,"*T*")&gt;0,CJ27&lt;30)),AND('Eval-Après impact'!$A$780=BM19,OR(COUNTIF('Eval-Après impact'!$N$780:$P$780,"*T*")&gt;0,CJ28&lt;30))),"",SUM(0.1*(SUMPRODUCT(('Eval-Après impact'!$A$761:$A$780=BM19)*('Eval-Après impact'!$N$761:$P$780="L"))),0.4*(SUMPRODUCT(('Eval-Après impact'!$A$761:$A$780=BM19)*('Eval-Après impact'!$N$761:$P$780="LA"))+SUMPRODUCT(('Eval-Après impact'!$A$761:$A$780=BM19)*('Eval-Après impact'!$N$761:$P$780="LS"))),0.7*(SUMPRODUCT(('Eval-Après impact'!$A$761:$A$780=BM19)*('Eval-Après impact'!$N$761:$P$780="AL"))+SUMPRODUCT(('Eval-Après impact'!$A$761:$A$780=BM19)*('Eval-Après impact'!$N$761:$P$780="SL"))),1*(SUMPRODUCT(('Eval-Après impact'!$A$761:$A$780=BM19)*('Eval-Après impact'!$N$761:$P$780="S"))+ SUMPRODUCT(('Eval-Après impact'!$A$761:$A$780=BM19)*('Eval-Après impact'!$N$761:$P$780="A"))))/(3*COUNTIF('Eval-Après impact'!$A$761:$A$780,BM19))),"")</f>
        <v/>
      </c>
      <c r="CF19" s="211" t="str">
        <f>IF(COUNTIF('Eval-Après impact'!$A$761:$A$780,BM19)&gt;0,IF(OR(AND('Eval-Après impact'!$A$761=BM19,OR(COUNTIF('Eval-Après impact'!$N$761:$P$761,"*T*")&gt;0,CJ9&lt;30)),AND('Eval-Après impact'!$A$762=BM19,OR(COUNTIF('Eval-Après impact'!$N$762:$P$762,"*T*")&gt;0,CJ10&lt;30)),AND('Eval-Après impact'!$A$763=BM19,OR(COUNTIF('Eval-Après impact'!$N$763:$P$763,"*T*")&gt;0,CJ11&lt;30)),AND('Eval-Après impact'!$A$764=BM19,OR(COUNTIF('Eval-Après impact'!$N$764:$P$764,"*T*")&gt;0,CJ12&lt;30)),AND('Eval-Après impact'!$A$765=BM19,OR(COUNTIF('Eval-Après impact'!$N$765:$P$765,"*T*")&gt;0,CJ13&lt;30)),AND('Eval-Après impact'!$A$766=BM19,OR(COUNTIF('Eval-Après impact'!$N$766:$P$766,"*T*")&gt;0,CJ14&lt;30)),AND('Eval-Après impact'!$A$767=BM19,OR(COUNTIF('Eval-Après impact'!$N$767:$P$767,"*T*")&gt;0,CJ15&lt;30)),AND('Eval-Après impact'!$A$768=BM19,OR(COUNTIF('Eval-Après impact'!$N$768:$P$768,"*T*")&gt;0,CJ16&lt;30)),AND('Eval-Après impact'!$A$769=BM19,OR(COUNTIF('Eval-Après impact'!$N$769:$P$769,"*T*")&gt;0,CJ17&lt;30)),AND('Eval-Après impact'!$A$770=BM19,OR(COUNTIF('Eval-Après impact'!$N$770:$P$770,"*T*")&gt;0,CJ18&lt;30)),AND('Eval-Après impact'!$A$771=BM19,OR(COUNTIF('Eval-Après impact'!$N$771:$P$771,"*T*")&gt;0,CJ19&lt;30)),AND('Eval-Après impact'!$A$772=BM19,OR(COUNTIF('Eval-Après impact'!$N$772:$P$772,"*T*")&gt;0,CJ20&lt;30)),AND('Eval-Après impact'!$A$773=BM19,OR(COUNTIF('Eval-Après impact'!$N$773:$P$773,"*T*")&gt;0,CJ21&lt;30)),AND('Eval-Après impact'!$A$774=BM19,OR(COUNTIF('Eval-Après impact'!$N$774:$P$774,"*T*")&gt;0,CJ22&lt;30)),AND('Eval-Après impact'!$A$775=BM19,OR(COUNTIF('Eval-Après impact'!$N$775:$P$775,"*T*")&gt;0,CJ23&lt;30)),AND('Eval-Après impact'!$A$776=BM19,OR(COUNTIF('Eval-Après impact'!$N$776:$P$776,"*T*")&gt;0,CJ24&lt;30)),AND('Eval-Après impact'!$A$777=BM19,OR(COUNTIF('Eval-Après impact'!$N$777:$P$777,"*T*")&gt;0,CJ25&lt;30)),AND('Eval-Après impact'!$A$778=BM19,OR(COUNTIF('Eval-Après impact'!$N$778:$P$778,"*T*")&gt;0,CJ26&lt;30)),AND('Eval-Après impact'!$A$779=BM19,OR(COUNTIF('Eval-Après impact'!$N$779:$P$779,"*T*")&gt;0,CJ27&lt;30)),AND('Eval-Après impact'!$A$780=BM19,OR(COUNTIF('Eval-Après impact'!$N$780:$P$780,"*T*")&gt;0,CJ28&lt;30))),"",SUM(1*(SUMPRODUCT(('Eval-Après impact'!$A$761:$A$780=BM19)*('Eval-Après impact'!$N$761:$P$780="A"))),0.85*(SUMPRODUCT(('Eval-Après impact'!$A$761:$A$780=BM19)*('Eval-Après impact'!$N$761:$P$780="AL"))),0.7*(SUMPRODUCT(('Eval-Après impact'!$A$761:$A$780=BM19)*('Eval-Après impact'!$N$761:$P$780="LA"))),0.55*(SUMPRODUCT(('Eval-Après impact'!$A$761:$A$780=BM19)*('Eval-Après impact'!$N$761:$P$780="L"))),0.4*(SUMPRODUCT(('Eval-Après impact'!$A$761:$A$780=BM19)*('Eval-Après impact'!$N$761:$P$780="LS"))),0.25*(SUMPRODUCT(('Eval-Après impact'!$A$761:$A$780=BM19)*('Eval-Après impact'!$N$761:$P$780="SL"))),0.1*(SUMPRODUCT(('Eval-Après impact'!$A$761:$A$780=BM19)*('Eval-Après impact'!$N$761:$P$780="S"))))/(3*COUNTIF('Eval-Après impact'!$A$761:$A$780,BM19))),"")</f>
        <v/>
      </c>
      <c r="CG19" s="214" t="str">
        <f>IF(COUNTIF('Eval-Après impact'!$A$761:$A$780,BM19)&gt;0,IF(OR(AND('Eval-Après impact'!$A$761=BM19,OR(COUNTIF('Eval-Après impact'!$Q$761:$Y$761,"*T*")&gt;0,CJ9&lt;120)),AND('Eval-Après impact'!$A$762=BM19,OR(COUNTIF('Eval-Après impact'!$Q$762:$Y$762,"*T*")&gt;0,CJ10&lt;120)),AND('Eval-Après impact'!$A$763=BM19,OR(COUNTIF('Eval-Après impact'!$Q$763:$Y$763,"*T*")&gt;0,CJ11&lt;120)),AND('Eval-Après impact'!$A$764=BM19,OR(COUNTIF('Eval-Après impact'!$Q$764:$Y$764,"*T*")&gt;0,CJ12&lt;120)),AND('Eval-Après impact'!$A$765=BM19,OR(COUNTIF('Eval-Après impact'!$Q$765:$Y$765,"*T*")&gt;0,CJ13&lt;120)),AND('Eval-Après impact'!$A$766=BM19,OR(COUNTIF('Eval-Après impact'!$Q$766:$Y$766,"*T*")&gt;0,CJ14&lt;120)),AND('Eval-Après impact'!$A$767=BM19,OR(COUNTIF('Eval-Après impact'!$Q$767:$Y$767,"*T*")&gt;0,CJ15&lt;120)),AND('Eval-Après impact'!$A$768=BM19,OR(COUNTIF('Eval-Après impact'!$Q$768:$Y$768,"*T*")&gt;0,CJ16&lt;120)),AND('Eval-Après impact'!$A$769=BM19,OR(COUNTIF('Eval-Après impact'!$Q$769:$Y$769,"*T*")&gt;0,CJ17&lt;120)),AND('Eval-Après impact'!$A$770=BM19,OR(COUNTIF('Eval-Après impact'!$Q$770:$Y$770,"*T*")&gt;0,CJ18&lt;120)),AND('Eval-Après impact'!$A$771=BM19,OR(COUNTIF('Eval-Après impact'!$Q$771:$Y$771,"*T*")&gt;0,CJ19&lt;120)),AND('Eval-Après impact'!$A$772=BM19,OR(COUNTIF('Eval-Après impact'!$Q$772:$Y$772,"*T*")&gt;0,CJ20&lt;120)),AND('Eval-Après impact'!$A$773=BM19,OR(COUNTIF('Eval-Après impact'!$Q$773:$Y$773,"*T*")&gt;0,CJ21&lt;120)),AND('Eval-Après impact'!$A$774=BM19,OR(COUNTIF('Eval-Après impact'!$Q$774:$Y$774,"*T*")&gt;0,CJ22&lt;120)),AND('Eval-Après impact'!$A$775=BM19,OR(COUNTIF('Eval-Après impact'!$Q$775:$Y$775,"*T*")&gt;0,CJ23&lt;120)),AND('Eval-Après impact'!$A$776=BM19,OR(COUNTIF('Eval-Après impact'!$Q$776:$Y$776,"*T*")&gt;0,CJ24&lt;120)),AND('Eval-Après impact'!$A$777=BM19,OR(COUNTIF('Eval-Après impact'!$Q$777:$Y$777,"*T*")&gt;0,CJ25&lt;120)),AND('Eval-Après impact'!$A$778=BM19,OR(COUNTIF('Eval-Après impact'!$Q$778:$Y$778,"*T*")&gt;0,CJ26&lt;120)),AND('Eval-Après impact'!$A$779=BM19,OR(COUNTIF('Eval-Après impact'!$Q$779:$Y$779,"*T*")&gt;0,CJ27&lt;120)),AND('Eval-Après impact'!$A$780=BM19,OR(COUNTIF('Eval-Après impact'!$Q$780:$Y$780,"*T*")&gt;0,CJ28&lt;120))),"",SUM(1*(SUMPRODUCT(('Eval-Après impact'!$A$761:$A$780=BM19)*('Eval-Après impact'!$Q$761:$Y$780="A"))),0.85*(SUMPRODUCT(('Eval-Après impact'!$A$761:$A$780=BM19)*('Eval-Après impact'!$Q$761:$Y$780="AL"))),0.7*(SUMPRODUCT(('Eval-Après impact'!$A$761:$A$780=BM19)*('Eval-Après impact'!$Q$761:$Y$780="LA"))),0.55*(SUMPRODUCT(('Eval-Après impact'!$A$761:$A$780=BM19)*('Eval-Après impact'!$Q$761:$Y$780="L"))),0.4*(SUMPRODUCT(('Eval-Après impact'!$A$761:$A$780=BM19)*('Eval-Après impact'!$Q$761:$Y$780="LS"))),0.25*(SUMPRODUCT(('Eval-Après impact'!$A$761:$A$780=BM19)*('Eval-Après impact'!$Q$761:$Y$780="SL"))),0.1*(SUMPRODUCT(('Eval-Après impact'!$A$761:$A$780=BM19)*('Eval-Après impact'!$Q$761:$Y$780="S"))))/(9*COUNTIF('Eval-Après impact'!$A$761:$A$780,BM19))),"")</f>
        <v/>
      </c>
      <c r="CH19" s="215"/>
      <c r="CI19" s="216">
        <f>'Eval-Après impact'!$D$771</f>
        <v>11</v>
      </c>
      <c r="CJ19" s="217" t="str">
        <f>IF(CK19="C",0,IF(IF(COUNTIF('Eval-Après impact'!$N$771:$Y$771,"=C")&gt;0,(COUNTA('Eval-Après impact'!$N$771:$Y$771)-1)*10,COUNTA('Eval-Après impact'!$N$771:$Y$771)*10)=0,"",IF(COUNTIF('Eval-Après impact'!$N$771:$Y$771,"=C")&gt;0,(COUNTA('Eval-Après impact'!$N$771:$Y$771)-1)*10,COUNTA('Eval-Après impact'!$N$771:$Y$771)*10)))</f>
        <v/>
      </c>
      <c r="CK19" s="217" t="str">
        <f>CONCATENATE('Eval-Après impact'!$N$771,'Eval-Après impact'!$O$771,'Eval-Après impact'!$P$771,'Eval-Après impact'!$Q$771,'Eval-Après impact'!$R$771,'Eval-Après impact'!$S$771,'Eval-Après impact'!$T$771,'Eval-Après impact'!$U$771,'Eval-Après impact'!$V$771,'Eval-Après impact'!$W$771,'Eval-Après impact'!$X$771,'Eval-Après impact'!$Y$771)</f>
        <v/>
      </c>
      <c r="CL19" s="217" t="str">
        <f t="shared" si="8"/>
        <v/>
      </c>
      <c r="CM19" s="217" t="str">
        <f t="shared" si="9"/>
        <v/>
      </c>
      <c r="CN19" s="217" t="str">
        <f>IF(COUNTIF('Eval-Après impact'!$N$771:$Y$771,"=C")&gt;0,"X","")</f>
        <v/>
      </c>
      <c r="CO19" s="217" t="str">
        <f t="shared" si="10"/>
        <v/>
      </c>
      <c r="CP19" s="218" t="str">
        <f t="shared" si="11"/>
        <v/>
      </c>
      <c r="CQ19" s="197"/>
      <c r="CS19" s="210">
        <v>11</v>
      </c>
      <c r="CT19" s="211" t="str">
        <f>IF(COUNTIF('Eval-Avant action écologique'!$A$761:$A$780,CS19)&gt;0,SUM(IF('Eval-Avant action écologique'!$A$761=CS19,'Eval-Avant action écologique'!$B$761,0),IF('Eval-Avant action écologique'!$A$762=CS19, 'Eval-Avant action écologique'!$B$762,0),IF('Eval-Avant action écologique'!$A$763=CS19, 'Eval-Avant action écologique'!$B$763,0),IF('Eval-Avant action écologique'!$A$764=CS19, 'Eval-Avant action écologique'!$B$764,0),IF('Eval-Avant action écologique'!$A$765=CS19, 'Eval-Avant action écologique'!$B$765,0),IF('Eval-Avant action écologique'!$A$766=CS19, 'Eval-Avant action écologique'!$B$766,0),IF('Eval-Avant action écologique'!$A$767=CS19, 'Eval-Avant action écologique'!$B$767,0),IF('Eval-Avant action écologique'!$A$768=CS19, 'Eval-Avant action écologique'!$B$768,0),IF('Eval-Avant action écologique'!$A$769=CS19, 'Eval-Avant action écologique'!$B$769,0),IF('Eval-Avant action écologique'!$A$770=CS19, 'Eval-Avant action écologique'!$B$770,0),IF('Eval-Avant action écologique'!$A$771=CS19, 'Eval-Avant action écologique'!$B$771,0),IF('Eval-Avant action écologique'!$A$772=CS19, 'Eval-Avant action écologique'!$B$772,0),IF('Eval-Avant action écologique'!$A$773=CS19, 'Eval-Avant action écologique'!$B$773,0),IF('Eval-Avant action écologique'!$A$774=CS19, 'Eval-Avant action écologique'!$B$774,0),IF('Eval-Avant action écologique'!$A$775=CS19, 'Eval-Avant action écologique'!$B$775,0),IF('Eval-Avant action écologique'!$A$776=CS19, 'Eval-Avant action écologique'!$B$776,0),IF('Eval-Avant action écologique'!$A$777=CS19, 'Eval-Avant action écologique'!$B$777,0),IF('Eval-Avant action écologique'!$A$778=CS19, 'Eval-Avant action écologique'!$B$778,0),IF('Eval-Avant action écologique'!$A$779=CS19, 'Eval-Avant action écologique'!$B$779,0),IF('Eval-Avant action écologique'!$A$780=CS19, 'Eval-Avant action écologique'!$B$780,0))/COUNTIF('Eval-Avant action écologique'!$A$761:$A$780,CS19),"")</f>
        <v/>
      </c>
      <c r="CU19" s="212" t="str">
        <f>IF(COUNTIF('Eval-Avant action écologique'!$A$761:$A$780,CS19)&gt;0,COUNTIF('Eval-Avant action écologique'!$A$761:$A$780,CS19),"")</f>
        <v/>
      </c>
      <c r="CV19" s="211" t="str">
        <f>IF(COUNTIF('Eval-Avant action écologique'!$A$761:$A$780,CS19)&gt;0,IF(OR(AND('Eval-Avant action écologique'!$A$761=CS19, 'Eval-Avant action écologique'!$G$761=""),AND('Eval-Avant action écologique'!$A$762=CS19, 'Eval-Avant action écologique'!$G$762=""),AND('Eval-Avant action écologique'!$A$763=CS19, 'Eval-Avant action écologique'!$G$763=""),AND('Eval-Avant action écologique'!$A$764=CS19, 'Eval-Avant action écologique'!$G$764=""),AND('Eval-Avant action écologique'!$A$765=CS19, 'Eval-Avant action écologique'!$G$765=""),AND('Eval-Avant action écologique'!$A$766=CS19, 'Eval-Avant action écologique'!$G$766=""),AND('Eval-Avant action écologique'!$A$767=CS19, 'Eval-Avant action écologique'!$G$767=""),AND('Eval-Avant action écologique'!$A$768=CS19, 'Eval-Avant action écologique'!$G$768=""),AND('Eval-Avant action écologique'!$A$769=CS19, 'Eval-Avant action écologique'!$G$769=""),AND('Eval-Avant action écologique'!$A$770=CS19, 'Eval-Avant action écologique'!$G$770=""),AND('Eval-Avant action écologique'!$A$771=CS19, 'Eval-Avant action écologique'!$G$771=""),AND('Eval-Avant action écologique'!$A$772=CS19, 'Eval-Avant action écologique'!$G$772=""),AND('Eval-Avant action écologique'!$A$773=CS19, 'Eval-Avant action écologique'!$G$773=""),AND('Eval-Avant action écologique'!$A$774=CS19, 'Eval-Avant action écologique'!$G$774=""),AND('Eval-Avant action écologique'!$A$775=CS19, 'Eval-Avant action écologique'!$G$775=""),AND('Eval-Avant action écologique'!$A$776=CS19, 'Eval-Avant action écologique'!$G$776=""),AND('Eval-Avant action écologique'!$A$777=CS19, 'Eval-Avant action écologique'!$G$777=""),AND('Eval-Avant action écologique'!$A$778=CS19, 'Eval-Avant action écologique'!$G$778=""),AND('Eval-Avant action écologique'!$A$779=CS19, 'Eval-Avant action écologique'!$G$779=""),AND('Eval-Avant action écologique'!$A$780=CS19, 'Eval-Avant action écologique'!$G$780="")),"",SUM(IF('Eval-Avant action écologique'!$A$761=CS19,'Eval-Avant action écologique'!$G$761,0),IF('Eval-Avant action écologique'!$A$762=CS19,'Eval-Avant action écologique'!$G$762,0),IF('Eval-Avant action écologique'!$A$763=CS19,'Eval-Avant action écologique'!$G$763,0),IF('Eval-Avant action écologique'!$A$764=CS19,'Eval-Avant action écologique'!$G$764,0),IF('Eval-Avant action écologique'!$A$765=CS19,'Eval-Avant action écologique'!$G$765,0),IF('Eval-Avant action écologique'!$A$766=CS19,'Eval-Avant action écologique'!$G$766,0),IF('Eval-Avant action écologique'!$A$767=CS19,'Eval-Avant action écologique'!$G$767,0),IF('Eval-Avant action écologique'!$A$768=CS19,'Eval-Avant action écologique'!$G$768,0),IF('Eval-Avant action écologique'!$A$769=CS19,'Eval-Avant action écologique'!$G$769,0),IF('Eval-Avant action écologique'!$A$770=CS19,'Eval-Avant action écologique'!$G$770,0),IF('Eval-Avant action écologique'!$A$771=CS19,'Eval-Avant action écologique'!$G$771,0),IF('Eval-Avant action écologique'!$A$772=CS19,'Eval-Avant action écologique'!$G$772,0),IF('Eval-Avant action écologique'!$A$773=CS19,'Eval-Avant action écologique'!$G$773,0),IF('Eval-Avant action écologique'!$A$774=CS19,'Eval-Avant action écologique'!$G$774,0),IF('Eval-Avant action écologique'!$A$775=CS19,'Eval-Avant action écologique'!$G$775,0), IF('Eval-Avant action écologique'!$A$776=CS19,'Eval-Avant action écologique'!$G$776,0), IF('Eval-Avant action écologique'!$A$777=CS19,'Eval-Avant action écologique'!$G$777,0), IF('Eval-Avant action écologique'!$A$778=CS19,'Eval-Avant action écologique'!$G$778,0), IF('Eval-Avant action écologique'!$A$779=CS19,'Eval-Avant action écologique'!$G$779,0), IF('Eval-Avant action écologique'!$A$780=CS19,'Eval-Avant action écologique'!$G$780,0))/ COUNTIF('Eval-Avant action écologique'!$A$761:$A$780,CS19)),"")</f>
        <v/>
      </c>
      <c r="CW19" s="212" t="str">
        <f>IF(COUNTIF('Eval-Avant action écologique'!$A$761:$A$780,CS19)&gt;0,IF(SUM(IF('Eval-Avant action écologique'!$A$761=CS19,COUNTA('Eval-Avant action écologique'!$H$761),0),IF('Eval-Avant action écologique'!$A$762=CS19,COUNTA('Eval-Avant action écologique'!$H$762),0),IF('Eval-Avant action écologique'!$A$763=CS19,COUNTA('Eval-Avant action écologique'!$H$763),0),IF('Eval-Avant action écologique'!$A$764=CS19,COUNTA('Eval-Avant action écologique'!$H$764),0),IF('Eval-Avant action écologique'!$A$765=CS19,COUNTA('Eval-Avant action écologique'!$H$765),0),IF('Eval-Avant action écologique'!$A$766=CS19,COUNTA('Eval-Avant action écologique'!$H$766),0),IF('Eval-Avant action écologique'!$A$767=CS19,COUNTA('Eval-Avant action écologique'!$H$767),0),IF('Eval-Avant action écologique'!$A$768=CS19,COUNTA('Eval-Avant action écologique'!$H$768),0),IF('Eval-Avant action écologique'!$A$769=CS19,COUNTA('Eval-Avant action écologique'!$H$769),0),IF('Eval-Avant action écologique'!$A$770=CS19,COUNTA('Eval-Avant action écologique'!$H$770),0),IF('Eval-Avant action écologique'!$A$771=CS19,COUNTA('Eval-Avant action écologique'!$H$771),0),IF('Eval-Avant action écologique'!$A$772=CS19,COUNTA('Eval-Avant action écologique'!$H$772),0),IF('Eval-Avant action écologique'!$A$773=CS19,COUNTA('Eval-Avant action écologique'!$H$773),0),IF('Eval-Avant action écologique'!$A$774=CS19,COUNTA('Eval-Avant action écologique'!$H$774),0),IF('Eval-Avant action écologique'!$A$775=CS19,COUNTA('Eval-Avant action écologique'!$H$775),0),IF('Eval-Avant action écologique'!$A$776=CS19,COUNTA('Eval-Avant action écologique'!$H$776),0),IF('Eval-Avant action écologique'!$A$777=CS19,COUNTA('Eval-Avant action écologique'!$H$777),0),IF('Eval-Avant action écologique'!$A$778=CS19,COUNTA('Eval-Avant action écologique'!$H$778),0),IF('Eval-Avant action écologique'!$A$779=CS19,COUNTA('Eval-Avant action écologique'!$H$779),0),IF('Eval-Avant action écologique'!$A$780=CS19,COUNTA('Eval-Avant action écologique'!$H$780),0))&gt;0,"X",0),"")</f>
        <v/>
      </c>
      <c r="CX19" s="213" t="str">
        <f>IF(COUNTIF('Eval-Avant action écologique'!$A$761:$A$780,CS19)&gt;0,IF(SUM(IF('Eval-Avant action écologique'!$A$761=CS19,COUNTA('Eval-Avant action écologique'!$I$761),0),IF('Eval-Avant action écologique'!$A$762=CS19,COUNTA('Eval-Avant action écologique'!$I$762),0),IF('Eval-Avant action écologique'!$A$763=CS19,COUNTA('Eval-Avant action écologique'!$I$763),0),IF('Eval-Avant action écologique'!$A$764=CS19,COUNTA('Eval-Avant action écologique'!$I$764),0),IF('Eval-Avant action écologique'!$A$765=CS19,COUNTA('Eval-Avant action écologique'!$I$765),0),IF('Eval-Avant action écologique'!$A$766=CS19,COUNTA('Eval-Avant action écologique'!$I$766),0),IF('Eval-Avant action écologique'!$A$767=CS19,COUNTA('Eval-Avant action écologique'!$I$767),0),IF('Eval-Avant action écologique'!$A$768=CS19,COUNTA('Eval-Avant action écologique'!$I$768),0),IF('Eval-Avant action écologique'!$A$769=CS19,COUNTA('Eval-Avant action écologique'!$I$769),0),IF('Eval-Avant action écologique'!$A$770=CS19,COUNTA('Eval-Avant action écologique'!$I$770),0),IF('Eval-Avant action écologique'!$A$771=CS19,COUNTA('Eval-Avant action écologique'!$I$771),0),IF('Eval-Avant action écologique'!$A$772=CS19,COUNTA('Eval-Avant action écologique'!$I$772),0),IF('Eval-Avant action écologique'!$A$773=CS19,COUNTA('Eval-Avant action écologique'!$I$773),0),IF('Eval-Avant action écologique'!$A$774=CS19,COUNTA('Eval-Avant action écologique'!$I$774),0),IF('Eval-Avant action écologique'!$A$775=CS19,COUNTA('Eval-Avant action écologique'!$I$775),0),IF('Eval-Avant action écologique'!$A$776=CS19,COUNTA('Eval-Avant action écologique'!$I$776),0),IF('Eval-Avant action écologique'!$A$777=CS19,COUNTA('Eval-Avant action écologique'!$I$777),0),IF('Eval-Avant action écologique'!$A$778=CS19,COUNTA('Eval-Avant action écologique'!$I$778),0),IF('Eval-Avant action écologique'!$A$779=CS19,COUNTA('Eval-Avant action écologique'!$I$779),0),IF('Eval-Avant action écologique'!$A$780=CS19,COUNTA('Eval-Avant action écologique'!$I$780),0))&gt;0,"X",0),"")</f>
        <v/>
      </c>
      <c r="CY19" s="213" t="str">
        <f>IF(COUNTIF('Eval-Avant action écologique'!$A$761:$A$780,CS19)&gt;0,IF(SUM(IF('Eval-Avant action écologique'!$A$761=CS19,COUNTA('Eval-Avant action écologique'!$J$761),0),IF('Eval-Avant action écologique'!$A$762=CS19,COUNTA('Eval-Avant action écologique'!$J$762),0),IF('Eval-Avant action écologique'!$A$763=CS19,COUNTA('Eval-Avant action écologique'!$J$763),0),IF('Eval-Avant action écologique'!$A$764=CS19,COUNTA('Eval-Avant action écologique'!$J$764),0),IF('Eval-Avant action écologique'!$A$765=CS19,COUNTA('Eval-Avant action écologique'!$J$765),0),IF('Eval-Avant action écologique'!$A$766=CS19,COUNTA('Eval-Avant action écologique'!$J$766),0),IF('Eval-Avant action écologique'!$A$767=CS19,COUNTA('Eval-Avant action écologique'!$J$767),0),IF('Eval-Avant action écologique'!$A$768=CS19,COUNTA('Eval-Avant action écologique'!$J$768),0),IF('Eval-Avant action écologique'!$A$769=CS19,COUNTA('Eval-Avant action écologique'!$J$769),0),IF('Eval-Avant action écologique'!$A$770=CS19,COUNTA('Eval-Avant action écologique'!$J$770),0),IF('Eval-Avant action écologique'!$A$771=CS19,COUNTA('Eval-Avant action écologique'!$J$771),0),IF('Eval-Avant action écologique'!$A$772=CS19,COUNTA('Eval-Avant action écologique'!$J$772),0),IF('Eval-Avant action écologique'!$A$773=CS19,COUNTA('Eval-Avant action écologique'!$J$773),0),IF('Eval-Avant action écologique'!$A$774=CS19,COUNTA('Eval-Avant action écologique'!$J$774),0),IF('Eval-Avant action écologique'!$A$775=CS19,COUNTA('Eval-Avant action écologique'!$J$775),0),IF('Eval-Avant action écologique'!$A$776=CS19,COUNTA('Eval-Avant action écologique'!$J$776),0),IF('Eval-Avant action écologique'!$A$777=CS19,COUNTA('Eval-Avant action écologique'!$J$777),0),IF('Eval-Avant action écologique'!$A$778=CS19,COUNTA('Eval-Avant action écologique'!$J$778),0),IF('Eval-Avant action écologique'!$A$779=CS19,COUNTA('Eval-Avant action écologique'!$J$779),0),IF('Eval-Avant action écologique'!$A$780=CS19,COUNTA('Eval-Avant action écologique'!$J$780),0))&gt;0,"X",0),"")</f>
        <v/>
      </c>
      <c r="CZ19" s="213" t="str">
        <f>IF(COUNTIF('Eval-Avant action écologique'!$A$761:$A$780,CS19)&gt;0,IF(SUM(IF('Eval-Avant action écologique'!$A$761=CS19,COUNTA('Eval-Avant action écologique'!$K$761),0),IF('Eval-Avant action écologique'!$A$762=CS19,COUNTA('Eval-Avant action écologique'!$K$762),0),IF('Eval-Avant action écologique'!$A$763=CS19,COUNTA('Eval-Avant action écologique'!$K$763),0),IF('Eval-Avant action écologique'!$A$764=CS19,COUNTA('Eval-Avant action écologique'!$K$764),0),IF('Eval-Avant action écologique'!$A$765=CS19,COUNTA('Eval-Avant action écologique'!$K$765),0),IF('Eval-Avant action écologique'!$A$766=CS19,COUNTA('Eval-Avant action écologique'!$K$766),0),IF('Eval-Avant action écologique'!$A$767=CS19,COUNTA('Eval-Avant action écologique'!$K$767),0),IF('Eval-Avant action écologique'!$A$768=CS19,COUNTA('Eval-Avant action écologique'!$K$768),0),IF('Eval-Avant action écologique'!$A$769=CS19,COUNTA('Eval-Avant action écologique'!$K$769),0),IF('Eval-Avant action écologique'!$A$770=CS19,COUNTA('Eval-Avant action écologique'!$K$770),0),IF('Eval-Avant action écologique'!$A$771=CS19,COUNTA('Eval-Avant action écologique'!$K$771),0),IF('Eval-Avant action écologique'!$A$772=CS19,COUNTA('Eval-Avant action écologique'!$K$772),0),IF('Eval-Avant action écologique'!$A$773=CS19,COUNTA('Eval-Avant action écologique'!$K$773),0),IF('Eval-Avant action écologique'!$A$774=CS19,COUNTA('Eval-Avant action écologique'!$K$774),0),IF('Eval-Avant action écologique'!$A$775=CS19,COUNTA('Eval-Avant action écologique'!$K$775),0),IF('Eval-Avant action écologique'!$A$776=CS19,COUNTA('Eval-Avant action écologique'!$K$776),0),IF('Eval-Avant action écologique'!$A$777=CS19,COUNTA('Eval-Avant action écologique'!$K$777),0),IF('Eval-Avant action écologique'!$A$778=CS19,COUNTA('Eval-Avant action écologique'!$K$778),0),IF('Eval-Avant action écologique'!$A$779=CS19,COUNTA('Eval-Avant action écologique'!$K$779),0),IF('Eval-Avant action écologique'!$A$780=CS19,COUNTA('Eval-Avant action écologique'!$K$780),0))&gt;0,"X",0),"")</f>
        <v/>
      </c>
      <c r="DA19" s="211" t="str">
        <f>IF(COUNTIF('Eval-Avant action écologique'!$A$761:$A$780,CS19)&gt;0,IF(OR(AND('Eval-Avant action écologique'!$A$761=CS19,'Eval-Avant action écologique'!$L$761&lt;120,'Eval-Avant action écologique'!$L$761&gt;=DP9),AND('Eval-Avant action écologique'!$A$762=CS19,'Eval-Avant action écologique'!$L$762&lt;120,'Eval-Avant action écologique'!$L$762&gt;=DP10),AND('Eval-Avant action écologique'!$A$763=CS19,'Eval-Avant action écologique'!$L$763&lt;120,'Eval-Avant action écologique'!$L$763&gt;=DP11),AND('Eval-Avant action écologique'!$A$764=CS19,'Eval-Avant action écologique'!$L$764&lt;120,'Eval-Avant action écologique'!$L$764&gt;=DP12),AND('Eval-Avant action écologique'!$A$765=CS19,'Eval-Avant action écologique'!$L$765&lt;120,'Eval-Avant action écologique'!$L$765&gt;=DP13),AND('Eval-Avant action écologique'!$A$766=CS19,'Eval-Avant action écologique'!$L$766&lt;120,'Eval-Avant action écologique'!$L$766&gt;=DP14),AND('Eval-Avant action écologique'!$A$767=CS19,'Eval-Avant action écologique'!$L$767&lt;120,'Eval-Avant action écologique'!$L$767&gt;=DP15),AND('Eval-Avant action écologique'!$A$768=CS19,'Eval-Avant action écologique'!$L$768&lt;120,'Eval-Avant action écologique'!$L$768&gt;=DP16),AND('Eval-Avant action écologique'!$A$769=CS19,'Eval-Avant action écologique'!$L$769&lt;120,'Eval-Avant action écologique'!$L$769&gt;=DP17),AND('Eval-Avant action écologique'!$A$770=CS19,'Eval-Avant action écologique'!$L$770&lt;120,'Eval-Avant action écologique'!$L$770&gt;=DP18),AND('Eval-Avant action écologique'!$A$771=CS19,'Eval-Avant action écologique'!$L$771&lt;120,'Eval-Avant action écologique'!$L$771&gt;=DP19),AND('Eval-Avant action écologique'!$A$772=CS19,'Eval-Avant action écologique'!$L$772&lt;120,'Eval-Avant action écologique'!$L$772&gt;=DP20),AND('Eval-Avant action écologique'!$A$773=CS19,'Eval-Avant action écologique'!$L$773&lt;120,'Eval-Avant action écologique'!$L$773&gt;=DP21),AND('Eval-Avant action écologique'!$A$774=CS19,'Eval-Avant action écologique'!$L$774&lt;120,'Eval-Avant action écologique'!$L$774&gt;=DP22),AND('Eval-Avant action écologique'!$A$775=CS19,'Eval-Avant action écologique'!$L$775&lt;120,'Eval-Avant action écologique'!$L$775&gt;=DP23),AND('Eval-Avant action écologique'!$A$776=CS19,'Eval-Avant action écologique'!$L$776&lt;120,'Eval-Avant action écologique'!$L$776&gt;=DP24),AND('Eval-Avant action écologique'!$A$777=CS19,'Eval-Avant action écologique'!$L$777&lt;120,'Eval-Avant action écologique'!$L$777&gt;=DP25),AND('Eval-Avant action écologique'!$A$778=CS19,'Eval-Avant action écologique'!$L$778&lt;120,'Eval-Avant action écologique'!$L$778&gt;=DP26),AND('Eval-Avant action écologique'!$A$779=CS19,'Eval-Avant action écologique'!$L$779&lt;120,'Eval-Avant action écologique'!$L$779&gt;=DP27),AND('Eval-Avant action écologique'!$A$780=CS19,'Eval-Avant action écologique'!$L$780&lt;120,'Eval-Avant action écologique'!$L$780&gt;=DP28)),"",SUM(IF('Eval-Avant action écologique'!$A$761=CS19,'Eval-Avant action écologique'!$L$761,0),IF('Eval-Avant action écologique'!$A$762=CS19,'Eval-Avant action écologique'!$L$762,0),IF('Eval-Avant action écologique'!$A$763=CS19,'Eval-Avant action écologique'!$L$763,0),IF('Eval-Avant action écologique'!$A$764=CS19,'Eval-Avant action écologique'!$L$764,0),IF('Eval-Avant action écologique'!$A$765=CS19,'Eval-Avant action écologique'!$L$765,0),IF('Eval-Avant action écologique'!$A$766=CS19,'Eval-Avant action écologique'!$L$766,0),IF('Eval-Avant action écologique'!$A$767=CS19,'Eval-Avant action écologique'!$L$767,0),IF('Eval-Avant action écologique'!$A$768=CS19,'Eval-Avant action écologique'!$L$768,0),IF('Eval-Avant action écologique'!$A$769=CS19,'Eval-Avant action écologique'!$L$769,0),IF('Eval-Avant action écologique'!$A$770=CS19,'Eval-Avant action écologique'!$L$770,0),IF('Eval-Avant action écologique'!$A$771=CS19,'Eval-Avant action écologique'!$L$771,0),IF('Eval-Avant action écologique'!$A$772=CS19,'Eval-Avant action écologique'!$L$772,0),IF('Eval-Avant action écologique'!$A$773=CS19,'Eval-Avant action écologique'!$L$773,0),IF('Eval-Avant action écologique'!$A$774=CS19,'Eval-Avant action écologique'!$L$774,0),IF('Eval-Avant action écologique'!$A$775=CS19,'Eval-Avant action écologique'!$L$775,0),IF('Eval-Avant action écologique'!$A$776=CS19,'Eval-Avant action écologique'!$L$776,0),IF('Eval-Avant action écologique'!$A$777=CS19,'Eval-Avant action écologique'!$L$777,0),IF('Eval-Avant action écologique'!$A$778=CS19,'Eval-Avant action écologique'!$L$778,0),IF('Eval-Avant action écologique'!$A$779=CS19,'Eval-Avant action écologique'!$L$779,0),IF('Eval-Avant action écologique'!$A$780=CS19,'Eval-Avant action écologique'!$L$780,0))/ COUNTIF('Eval-Avant action écologique'!$A$761:$A$780,CS19)),"")</f>
        <v/>
      </c>
      <c r="DB19" s="211" t="str">
        <f>IF(COUNTIF('Eval-Avant action écologique'!$A$761:$A$780,CS19)&gt;0,IF(OR(AND('Eval-Avant action écologique'!$A$761=CS19, DP9&lt;120),AND(DP10&lt;120),AND(DP11&lt;120),AND(DP12&lt;120),AND(DP13&lt;120),AND(DP14&lt;120),AND(DP15&lt;120),AND(DP16&lt;120),AND(DP17&lt;120),AND(DP18&lt;120),AND(DP19&lt;120),AND(DP20&lt;120),AND(DP21&lt;120),AND(DP22&lt;120),AND(DP23&lt;120),AND(DP24&lt;120),AND(DP25&lt;120),AND(DP26&lt;120),AND(DP27&lt;120),AND(DP28&lt;120)),"",SUM(IF('Eval-Avant action écologique'!$A$761=CS19,'Eval-Avant action écologique'!$M$761,0),IF('Eval-Avant action écologique'!$A$762=CS19,'Eval-Avant action écologique'!$M$762,0),IF('Eval-Avant action écologique'!$A$763=CS19,'Eval-Avant action écologique'!$M$763,0),IF('Eval-Avant action écologique'!$A$764=CS19,'Eval-Avant action écologique'!$M$764,0),IF('Eval-Avant action écologique'!$A$765=CS19,'Eval-Avant action écologique'!$M$765,0),IF('Eval-Avant action écologique'!$A$766=CS19,'Eval-Avant action écologique'!$M$766,0),IF('Eval-Avant action écologique'!$A$767=CS19,'Eval-Avant action écologique'!$M$767,0),IF('Eval-Avant action écologique'!$A$768=CS19,'Eval-Avant action écologique'!$M$768,0),IF('Eval-Avant action écologique'!$A$769=CS19,'Eval-Avant action écologique'!$M$769,0),IF('Eval-Avant action écologique'!$A$770=CS19,'Eval-Avant action écologique'!$M$770,0),IF('Eval-Avant action écologique'!$A$771=CS19,'Eval-Avant action écologique'!$M$771,0),IF('Eval-Avant action écologique'!$A$772=CS19,'Eval-Avant action écologique'!$M$772,0),IF('Eval-Avant action écologique'!$A$773=CS19,'Eval-Avant action écologique'!$M$773,0),IF('Eval-Avant action écologique'!$A$774=CS19,'Eval-Avant action écologique'!$M$774,0),IF('Eval-Avant action écologique'!$A$775=CS19,'Eval-Avant action écologique'!$M$775,0), IF('Eval-Avant action écologique'!$A$776=CS19,'Eval-Avant action écologique'!$M$776,0), IF('Eval-Avant action écologique'!$A$777=CS19,'Eval-Avant action écologique'!$M$777,0), IF('Eval-Avant action écologique'!$A$778=CS19,'Eval-Avant action écologique'!$M$778,0), IF('Eval-Avant action écologique'!$A$779=CS19,'Eval-Avant action écologique'!$M$779,0), IF('Eval-Avant action écologique'!$A$780=CS19,'Eval-Avant action écologique'!$M$780,0))/COUNTIF('Eval-Avant action écologique'!$A$761:$A$780,CS19)),"")</f>
        <v/>
      </c>
      <c r="DC19" s="211" t="str">
        <f>IF(COUNTIF('Eval-Avant action écologique'!$A$761:$A$780,CS19)&gt;0,SUM(IF('Eval-Avant action écologique'!$A$761=CS19,LEN(SUBSTITUTE((SUBSTITUTE(DR9,"TM","")),"TS",""))*10/2,0),IF('Eval-Avant action écologique'!$A$762=CS19,LEN(SUBSTITUTE((SUBSTITUTE(DR10,"TM","")),"TS",""))*10/2,0),IF('Eval-Avant action écologique'!$A$763=CS19,LEN(SUBSTITUTE((SUBSTITUTE(DR11,"TM","")),"TS",""))*10/2,0),IF('Eval-Avant action écologique'!$A$764=CS19,LEN(SUBSTITUTE((SUBSTITUTE(DR12,"TM","")),"TS",""))*10/2,0),IF('Eval-Avant action écologique'!$A$765=CS19,LEN(SUBSTITUTE((SUBSTITUTE(DR13,"TM","")),"TS",""))*10/2,0),IF('Eval-Avant action écologique'!$A$766=CS19,LEN(SUBSTITUTE((SUBSTITUTE(DR14,"TM","")),"TS",""))*10/2,0),IF('Eval-Avant action écologique'!$A$767=CS19,LEN(SUBSTITUTE((SUBSTITUTE(DR15,"TM","")),"TS",""))*10/2,0),IF('Eval-Avant action écologique'!$A$768=CS19,LEN(SUBSTITUTE((SUBSTITUTE(DR16,"TM","")),"TS",""))*10/2,0),IF('Eval-Avant action écologique'!$A$769=CS19,LEN(SUBSTITUTE((SUBSTITUTE(DR17,"TM","")),"TS",""))*10/2,0),IF('Eval-Avant action écologique'!$A$770=CS19,LEN(SUBSTITUTE((SUBSTITUTE(DR18,"TM","")),"TS",""))*10/2,0),IF('Eval-Avant action écologique'!$A$771=CS19,LEN(SUBSTITUTE((SUBSTITUTE(DR19,"TM","")),"TS",""))*10/2,0),IF('Eval-Avant action écologique'!$A$772=CS19,LEN(SUBSTITUTE((SUBSTITUTE(DR20,"TM","")),"TS",""))*10/2,0),IF('Eval-Avant action écologique'!$A$773=CS19,LEN(SUBSTITUTE((SUBSTITUTE(DR21,"TM","")),"TS",""))*10/2,0),IF('Eval-Avant action écologique'!$A$774=CS19,LEN(SUBSTITUTE((SUBSTITUTE(DR22,"TM","")),"TS",""))*10/2,0),IF('Eval-Avant action écologique'!$A$775=CS19,LEN(SUBSTITUTE((SUBSTITUTE(DR23,"TM","")),"TS",""))*10/2,0),IF('Eval-Avant action écologique'!$A$776=CS19,LEN(SUBSTITUTE((SUBSTITUTE(DR24,"TM","")),"TS",""))*10/2,0),IF('Eval-Avant action écologique'!$A$777=CS19,LEN(SUBSTITUTE((SUBSTITUTE(DR25,"TM","")),"TS",""))*10/2,0),IF('Eval-Avant action écologique'!$A$778=CS19,LEN(SUBSTITUTE((SUBSTITUTE(DR26,"TM","")),"TS",""))*10/2,0),IF('Eval-Avant action écologique'!$A$779=CS19,LEN(SUBSTITUTE((SUBSTITUTE(DR27,"TM","")),"TS",""))*10/2,0),IF('Eval-Avant action écologique'!$A$780=CS19,LEN(SUBSTITUTE((SUBSTITUTE(DR28,"TM","")),"TS",""))*10/2,0))/COUNTIF('Eval-Avant action écologique'!$A$761:$A$780,CS19),"")</f>
        <v/>
      </c>
      <c r="DD19" s="211" t="str">
        <f>IF(COUNTIF('Eval-Avant action écologique'!$A$761:$A$780,CS19)&gt;0,SUM(IF('Eval-Avant action écologique'!$A$761=CS19,LEN(SUBSTITUTE((SUBSTITUTE(DR9,"TF","")),"TS",""))*10/2,0),IF('Eval-Avant action écologique'!$A$762=CS19,LEN(SUBSTITUTE((SUBSTITUTE(DR10,"TF","")),"TS",""))*10/2,0),IF('Eval-Avant action écologique'!$A$763=CS19,LEN(SUBSTITUTE((SUBSTITUTE(DR11,"TF","")),"TS",""))*10/2,0),IF('Eval-Avant action écologique'!$A$764=CS19,LEN(SUBSTITUTE((SUBSTITUTE(DR12,"TF","")),"TS",""))*10/2,0),IF('Eval-Avant action écologique'!$A$765=CS19,LEN(SUBSTITUTE((SUBSTITUTE(DR13,"TF","")),"TS",""))*10/2,0),IF('Eval-Avant action écologique'!$A$766=CS19,LEN(SUBSTITUTE((SUBSTITUTE(DR14,"TF","")),"TS",""))*10/2,0),IF('Eval-Avant action écologique'!$A$767=CS19,LEN(SUBSTITUTE((SUBSTITUTE(DR15,"TF","")),"TS",""))*10/2,0),IF('Eval-Avant action écologique'!$A$768=CS19,LEN(SUBSTITUTE((SUBSTITUTE(DR16,"TF","")),"TS",""))*10/2,0),IF('Eval-Avant action écologique'!$A$769=CS19,LEN(SUBSTITUTE((SUBSTITUTE(DR17,"TF","")),"TS",""))*10/2,0),IF('Eval-Avant action écologique'!$A$770=CS19,LEN(SUBSTITUTE((SUBSTITUTE(DR18,"TF","")),"TS",""))*10/2,0),IF('Eval-Avant action écologique'!$A$771=CS19,LEN(SUBSTITUTE((SUBSTITUTE(DR19,"TF","")),"TS",""))*10/2,0),IF('Eval-Avant action écologique'!$A$772=CS19,LEN(SUBSTITUTE((SUBSTITUTE(DR20,"TF","")),"TS",""))*10/2,0),IF('Eval-Avant action écologique'!$A$773=CS19,LEN(SUBSTITUTE((SUBSTITUTE(DR21,"TF","")),"TS",""))*10/2,0),IF('Eval-Avant action écologique'!$A$774=CS19,LEN(SUBSTITUTE((SUBSTITUTE(DR22,"TF","")),"TS",""))*10/2,0),IF('Eval-Avant action écologique'!$A$775=CS19,LEN(SUBSTITUTE((SUBSTITUTE(DR23,"TF","")),"TS",""))*10/2,0),IF('Eval-Avant action écologique'!$A$776=CS19,LEN(SUBSTITUTE((SUBSTITUTE(DR24,"TF","")),"TS",""))*10/2,0),IF('Eval-Avant action écologique'!$A$777=CS19,LEN(SUBSTITUTE((SUBSTITUTE(DR25,"TF","")),"TS",""))*10/2,0),IF('Eval-Avant action écologique'!$A$778=CS19,LEN(SUBSTITUTE((SUBSTITUTE(DR26,"TF","")),"TS",""))*10/2,0),IF('Eval-Avant action écologique'!$A$779=CS19,LEN(SUBSTITUTE((SUBSTITUTE(DR27,"TF","")),"TS",""))*10/2,0),IF('Eval-Avant action écologique'!$A$780=CS19,LEN(SUBSTITUTE((SUBSTITUTE(DR28,"TF","")),"TS",""))*10/2,0))/COUNTIF('Eval-Avant action écologique'!$A$761:$A$780,CS19),"")</f>
        <v/>
      </c>
      <c r="DE19" s="211" t="str">
        <f>IF(COUNTIF('Eval-Avant action écologique'!$A$761:$A$780,CS19)&gt;0,SUM(IF('Eval-Avant action écologique'!$A$761=CS19,LEN(SUBSTITUTE((SUBSTITUTE(DR9,"TF","")),"TM",""))*10/2,0),IF('Eval-Avant action écologique'!$A$762=CS19,LEN(SUBSTITUTE((SUBSTITUTE(DR10,"TF","")),"TM",""))*10/2,0),IF('Eval-Avant action écologique'!$A$763=CS19,LEN(SUBSTITUTE((SUBSTITUTE(DR11,"TF","")),"TM",""))*10/2,0),IF('Eval-Avant action écologique'!$A$764=CS19,LEN(SUBSTITUTE((SUBSTITUTE(DR12,"TF","")),"TM",""))*10/2,0),IF('Eval-Avant action écologique'!$A$765=CS19,LEN(SUBSTITUTE((SUBSTITUTE(DR13,"TF","")),"TM",""))*10/2,0),IF('Eval-Avant action écologique'!$A$766=CS19,LEN(SUBSTITUTE((SUBSTITUTE(DR14,"TF","")),"TM",""))*10/2,0),IF('Eval-Avant action écologique'!$A$767=CS19,LEN(SUBSTITUTE((SUBSTITUTE(DR15,"TF","")),"TM",""))*10/2,0),IF('Eval-Avant action écologique'!$A$768=CS19,LEN(SUBSTITUTE((SUBSTITUTE(DR16,"TF","")),"TM",""))*10/2,0),IF('Eval-Avant action écologique'!$A$769=CS19,LEN(SUBSTITUTE((SUBSTITUTE(DR17,"TF","")),"TM",""))*10/2,0),IF('Eval-Avant action écologique'!$A$770=CS19,LEN(SUBSTITUTE((SUBSTITUTE(DR18,"TF","")),"TM",""))*10/2,0),IF('Eval-Avant action écologique'!$A$771=CS19,LEN(SUBSTITUTE((SUBSTITUTE(DR19,"TF","")),"TM",""))*10/2,0),IF('Eval-Avant action écologique'!$A$772=CS19,LEN(SUBSTITUTE((SUBSTITUTE(DR20,"TF","")),"TM",""))*10/2,0),IF('Eval-Avant action écologique'!$A$773=CS19,LEN(SUBSTITUTE((SUBSTITUTE(DR21,"TF","")),"TM",""))*10/2,0),IF('Eval-Avant action écologique'!$A$774=CS19,LEN(SUBSTITUTE((SUBSTITUTE(DR22,"TF","")),"TM",""))*10/2,0),IF('Eval-Avant action écologique'!$A$775=CS19,LEN(SUBSTITUTE((SUBSTITUTE(DR23,"TF","")),"TM",""))*10/2,0),IF('Eval-Avant action écologique'!$A$776=CS19,LEN(SUBSTITUTE((SUBSTITUTE(DR24,"TF","")),"TM",""))*10/2,0),IF('Eval-Avant action écologique'!$A$777=CS19,LEN(SUBSTITUTE((SUBSTITUTE(DR25,"TF","")),"TM",""))*10/2,0),IF('Eval-Avant action écologique'!$A$778=CS19,LEN(SUBSTITUTE((SUBSTITUTE(DR26,"TF","")),"TM",""))*10/2,0),IF('Eval-Avant action écologique'!$A$779=CS19,LEN(SUBSTITUTE((SUBSTITUTE(DR27,"TF","")),"TM",""))*10/2,0),IF('Eval-Avant action écologique'!$A$780=CS19,LEN(SUBSTITUTE((SUBSTITUTE(DR28,"TF","")),"TM",""))*10/2,0))/COUNTIF('Eval-Avant action écologique'!$A$761:$A$780,CS19),"")</f>
        <v/>
      </c>
      <c r="DF19" s="211" t="str">
        <f>IF(COUNTIF('Eval-Avant action écologique'!$A$761:$A$780,CS19)&gt;0,SUM(IF('Eval-Avant action écologique'!$A$761=CS19,LEN(SUBSTITUTE((SUBSTITUTE(DS9,"TM","")),"TS",""))*10/2,0),IF('Eval-Avant action écologique'!$A$762=CS19,LEN(SUBSTITUTE((SUBSTITUTE(DS10,"TM","")),"TS",""))*10/2,0),IF('Eval-Avant action écologique'!$A$763=CS19,LEN(SUBSTITUTE((SUBSTITUTE(DS11,"TM","")),"TS",""))*10/2,0),IF('Eval-Avant action écologique'!$A$764=CS19,LEN(SUBSTITUTE((SUBSTITUTE(DS12,"TM","")),"TS",""))*10/2,0),IF('Eval-Avant action écologique'!$A$765=CS19,LEN(SUBSTITUTE((SUBSTITUTE(DS13,"TM","")),"TS",""))*10/2,0),IF('Eval-Avant action écologique'!$A$766=CS19,LEN(SUBSTITUTE((SUBSTITUTE(DS14,"TM","")),"TS",""))*10/2,0),IF('Eval-Avant action écologique'!$A$767=CS19,LEN(SUBSTITUTE((SUBSTITUTE(DS15,"TM","")),"TS",""))*10/2,0),IF('Eval-Avant action écologique'!$A$768=CS19,LEN(SUBSTITUTE((SUBSTITUTE(DS16,"TM","")),"TS",""))*10/2,0),IF('Eval-Avant action écologique'!$A$769=CS19,LEN(SUBSTITUTE((SUBSTITUTE(DS17,"TM","")),"TS",""))*10/2,0),IF('Eval-Avant action écologique'!$A$770=CS19,LEN(SUBSTITUTE((SUBSTITUTE(DS18,"TM","")),"TS",""))*10/2,0),IF('Eval-Avant action écologique'!$A$771=CS19,LEN(SUBSTITUTE((SUBSTITUTE(DS19,"TM","")),"TS",""))*10/2,0),IF('Eval-Avant action écologique'!$A$772=CS19,LEN(SUBSTITUTE((SUBSTITUTE(DS20,"TM","")),"TS",""))*10/2,0),IF('Eval-Avant action écologique'!$A$773=CS19,LEN(SUBSTITUTE((SUBSTITUTE(DS21,"TM","")),"TS",""))*10/2,0),IF('Eval-Avant action écologique'!$A$774=CS19,LEN(SUBSTITUTE((SUBSTITUTE(DS22,"TM","")),"TS",""))*10/2,0),IF('Eval-Avant action écologique'!$A$775=CS19,LEN(SUBSTITUTE((SUBSTITUTE(DS23,"TM","")),"TS",""))*10/2,0),IF('Eval-Avant action écologique'!$A$776=CS19,LEN(SUBSTITUTE((SUBSTITUTE(DS24,"TM","")),"TS",""))*10/2,0),IF('Eval-Avant action écologique'!$A$777=CS19,LEN(SUBSTITUTE((SUBSTITUTE(DS25,"TM","")),"TS",""))*10/2,0),IF('Eval-Avant action écologique'!$A$778=CS19,LEN(SUBSTITUTE((SUBSTITUTE(DS26,"TM","")),"TS",""))*10/2,0),IF('Eval-Avant action écologique'!$A$779=CS19,LEN(SUBSTITUTE((SUBSTITUTE(DS27,"TM","")),"TS",""))*10/2,0),IF('Eval-Avant action écologique'!$A$780=CS19,LEN(SUBSTITUTE((SUBSTITUTE(DS28,"TM","")),"TS",""))*10/2,0))/COUNTIF('Eval-Avant action écologique'!$A$761:$A$780,CS19),"")</f>
        <v/>
      </c>
      <c r="DG19" s="211" t="str">
        <f>IF(COUNTIF('Eval-Avant action écologique'!$A$761:$A$780,CS19)&gt;0,SUM(IF('Eval-Avant action écologique'!$A$761=CS19,LEN(SUBSTITUTE((SUBSTITUTE(DS9,"TF","")),"TS",""))*10/2,0),IF('Eval-Avant action écologique'!$A$762=CS19,LEN(SUBSTITUTE((SUBSTITUTE(DS10,"TF","")),"TS",""))*10/2,0),IF('Eval-Avant action écologique'!$A$763=CS19,LEN(SUBSTITUTE((SUBSTITUTE(DS11,"TF","")),"TS",""))*10/2,0),IF('Eval-Avant action écologique'!$A$764=CS19,LEN(SUBSTITUTE((SUBSTITUTE(DS12,"TF","")),"TS",""))*10/2,0),IF('Eval-Avant action écologique'!$A$765=CS19,LEN(SUBSTITUTE((SUBSTITUTE(DS13,"TF","")),"TS",""))*10/2,0),IF('Eval-Avant action écologique'!$A$766=CS19,LEN(SUBSTITUTE((SUBSTITUTE(DS14,"TF","")),"TS",""))*10/2,0),IF('Eval-Avant action écologique'!$A$767=CS19,LEN(SUBSTITUTE((SUBSTITUTE(DS15,"TF","")),"TS",""))*10/2,0),IF('Eval-Avant action écologique'!$A$768=CS19,LEN(SUBSTITUTE((SUBSTITUTE(DS16,"TF","")),"TS",""))*10/2,0),IF('Eval-Avant action écologique'!$A$769=CS19,LEN(SUBSTITUTE((SUBSTITUTE(DS17,"TF","")),"TS",""))*10/2,0),IF('Eval-Avant action écologique'!$A$770=CS19,LEN(SUBSTITUTE((SUBSTITUTE(DS18,"TF","")),"TS",""))*10/2,0),IF('Eval-Avant action écologique'!$A$771=CS19,LEN(SUBSTITUTE((SUBSTITUTE(DS19,"TF","")),"TS",""))*10/2,0),IF('Eval-Avant action écologique'!$A$772=CS19,LEN(SUBSTITUTE((SUBSTITUTE(DS20,"TF","")),"TS",""))*10/2,0),IF('Eval-Avant action écologique'!$A$773=CS19,LEN(SUBSTITUTE((SUBSTITUTE(DS21,"TF","")),"TS",""))*10/2,0),IF('Eval-Avant action écologique'!$A$774=CS19,LEN(SUBSTITUTE((SUBSTITUTE(DS22,"TF","")),"TS",""))*10/2,0),IF('Eval-Avant action écologique'!$A$775=CS19,LEN(SUBSTITUTE((SUBSTITUTE(DS23,"TF","")),"TS",""))*10/2,0),IF('Eval-Avant action écologique'!$A$776=CS19,LEN(SUBSTITUTE((SUBSTITUTE(DS24,"TF","")),"TS",""))*10/2,0),IF('Eval-Avant action écologique'!$A$777=CS19,LEN(SUBSTITUTE((SUBSTITUTE(DS25,"TF","")),"TS",""))*10/2,0),IF('Eval-Avant action écologique'!$A$778=CS19,LEN(SUBSTITUTE((SUBSTITUTE(DS26,"TF","")),"TS",""))*10/2,0),IF('Eval-Avant action écologique'!$A$779=CS19,LEN(SUBSTITUTE((SUBSTITUTE(DS27,"TF","")),"TS",""))*10/2,0),IF('Eval-Avant action écologique'!$A$780=CS19,LEN(SUBSTITUTE((SUBSTITUTE(DS28,"TF","")),"TS",""))*10/2,0))/COUNTIF('Eval-Avant action écologique'!$A$761:$A$780,CS19),"")</f>
        <v/>
      </c>
      <c r="DH19" s="211" t="str">
        <f>IF(COUNTIF('Eval-Avant action écologique'!$A$761:$A$780,CS19)&gt;0,SUM(IF('Eval-Avant action écologique'!$A$761=CS19,LEN(SUBSTITUTE((SUBSTITUTE(DS9,"TF","")),"TM",""))*10/2,0),IF('Eval-Avant action écologique'!$A$762=CS19,LEN(SUBSTITUTE((SUBSTITUTE(DS10,"TF","")),"TM",""))*10/2,0),IF('Eval-Avant action écologique'!$A$763=CS19,LEN(SUBSTITUTE((SUBSTITUTE(DS11,"TF","")),"TM",""))*10/2,0),IF('Eval-Avant action écologique'!$A$764=CS19,LEN(SUBSTITUTE((SUBSTITUTE(DS12,"TF","")),"TM",""))*10/2,0),IF('Eval-Avant action écologique'!$A$765=CS19,LEN(SUBSTITUTE((SUBSTITUTE(DS13,"TF","")),"TM",""))*10/2,0),IF('Eval-Avant action écologique'!$A$766=CS19,LEN(SUBSTITUTE((SUBSTITUTE(DS14,"TF","")),"TM",""))*10/2,0),IF('Eval-Avant action écologique'!$A$767=CS19,LEN(SUBSTITUTE((SUBSTITUTE(DS15,"TF","")),"TM",""))*10/2,0),IF('Eval-Avant action écologique'!$A$768=CS19,LEN(SUBSTITUTE((SUBSTITUTE(DS16,"TF","")),"TM",""))*10/2,0),IF('Eval-Avant action écologique'!$A$769=CS19,LEN(SUBSTITUTE((SUBSTITUTE(DS17,"TF","")),"TM",""))*10/2,0),IF('Eval-Avant action écologique'!$A$770=CS19,LEN(SUBSTITUTE((SUBSTITUTE(DS18,"TF","")),"TM",""))*10/2,0),IF('Eval-Avant action écologique'!$A$771=CS19,LEN(SUBSTITUTE((SUBSTITUTE(DS19,"TF","")),"TM",""))*10/2,0),IF('Eval-Avant action écologique'!$A$772=CS19,LEN(SUBSTITUTE((SUBSTITUTE(DS20,"TF","")),"TM",""))*10/2,0),IF('Eval-Avant action écologique'!$A$773=CS19,LEN(SUBSTITUTE((SUBSTITUTE(DS21,"TF","")),"TM",""))*10/2,0),IF('Eval-Avant action écologique'!$A$774=CS19,LEN(SUBSTITUTE((SUBSTITUTE(DS22,"TF","")),"TM",""))*10/2,0),IF('Eval-Avant action écologique'!$A$775=CS19,LEN(SUBSTITUTE((SUBSTITUTE(DS23,"TF","")),"TM",""))*10/2,0),IF('Eval-Avant action écologique'!$A$776=CS19,LEN(SUBSTITUTE((SUBSTITUTE(DS24,"TF","")),"TM",""))*10/2,0),IF('Eval-Avant action écologique'!$A$777=CS19,LEN(SUBSTITUTE((SUBSTITUTE(DS25,"TF","")),"TM",""))*10/2,0),IF('Eval-Avant action écologique'!$A$778=CS19,LEN(SUBSTITUTE((SUBSTITUTE(DS26,"TF","")),"TM",""))*10/2,0),IF('Eval-Avant action écologique'!$A$779=CS19,LEN(SUBSTITUTE((SUBSTITUTE(DS27,"TF","")),"TM",""))*10/2,0),IF('Eval-Avant action écologique'!$A$780=CS19,LEN(SUBSTITUTE((SUBSTITUTE(DS28,"TF","")),"TM",""))*10/2,0))/COUNTIF('Eval-Avant action écologique'!$A$761:$A$780,CS19),"")</f>
        <v/>
      </c>
      <c r="DI19" s="211" t="str">
        <f>IF(COUNTIF('Eval-Avant action écologique'!$A$761:$A$780,CS19)&gt;0,IF(OR(AND('Eval-Avant action écologique'!$A$761=CS19,DP9&lt;30),AND('Eval-Avant action écologique'!$A$762=CS19,DP10&lt;30),AND('Eval-Avant action écologique'!$A$763=CS19,DP11&lt;30),AND('Eval-Avant action écologique'!$A$764=CS19,DP12&lt;30),AND('Eval-Avant action écologique'!$A$765=CS19,DP13&lt;30),AND('Eval-Avant action écologique'!$A$766=CS19,DP14&lt;30),AND('Eval-Avant action écologique'!$A$767=CS19,DP15&lt;30),AND('Eval-Avant action écologique'!$A$768=CS19,DP16&lt;30),AND('Eval-Avant action écologique'!$A$769=CS19,DP17&lt;30),AND('Eval-Avant action écologique'!$A$770=CS19,DP18&lt;30),AND('Eval-Avant action écologique'!$A$771=CS19,DP19&lt;30),AND('Eval-Avant action écologique'!$A$772=CS19,DP20&lt;30),AND('Eval-Avant action écologique'!$A$773=CS19,DP21&lt;30),AND('Eval-Avant action écologique'!$A$774=CS19,DP22&lt;30),AND('Eval-Avant action écologique'!$A$775=CS19,DP23&lt;30),AND('Eval-Avant action écologique'!$A$776=CS19,DP24&lt;30),AND('Eval-Avant action écologique'!$A$777=CS19,DP25&lt;30),AND('Eval-Avant action écologique'!$A$778=CS19,DP26&lt;30),AND('Eval-Avant action écologique'!$A$779=CS19,DP27&lt;30),AND('Eval-Avant action écologique'!$A$780=CS19,DP28&lt;30)),"",SUM(0.1*(SUMPRODUCT(('Eval-Avant action écologique'!$A$761:$A$780=CS19)*('Eval-Avant action écologique'!$N$761:$P$780="A"))+ SUMPRODUCT(('Eval-Avant action écologique'!$A$761:$A$780=CS19)*('Eval-Avant action écologique'!$N$761:$P$780="AL"))),0.7*(SUMPRODUCT(('Eval-Avant action écologique'!$A$761:$A$780=CS19)*('Eval-Avant action écologique'!$N$761:$P$780="TF"))+SUMPRODUCT(('Eval-Avant action écologique'!$A$761:$A$780=CS19)*('Eval-Avant action écologique'!$N$761:$P$780="TM"))+SUMPRODUCT(('Eval-Avant action écologique'!$A$761:$A$780=CS19)*('Eval-Avant action écologique'!$N$761:$P$780="TS"))),0.4*(SUMPRODUCT(('Eval-Avant action écologique'!$A$761:$A$780=CS19)*('Eval-Avant action écologique'!$N$761:$P$780="LA"))+SUMPRODUCT(('Eval-Avant action écologique'!$A$761:$A$780=CS19)*('Eval-Avant action écologique'!$N$761:$P$780="L"))+SUMPRODUCT(('Eval-Avant action écologique'!$A$761:$A$780=CS19)*('Eval-Avant action écologique'!$N$761:$P$780="LS"))),1*(SUMPRODUCT(('Eval-Avant action écologique'!$A$761:$A$780=CS19)*('Eval-Avant action écologique'!$N$761:$P$780="SL"))+ SUMPRODUCT(('Eval-Avant action écologique'!$A$761:$A$780=CS19)*('Eval-Avant action écologique'!$N$761:$P$780="S"))))/(3*COUNTIF('Eval-Avant action écologique'!$A$761:$A$780,CS19))),"")</f>
        <v/>
      </c>
      <c r="DJ19" s="211" t="str">
        <f>IF(COUNTIF('Eval-Avant action écologique'!$A$761:$A$780,CS19)&gt;0,IF(OR(AND('Eval-Avant action écologique'!$A$761=CS19,DP9&lt;120),AND('Eval-Avant action écologique'!$A$762=CS19,DP10&lt;120),AND('Eval-Avant action écologique'!$A$763=CS19,DP11&lt;120),AND('Eval-Avant action écologique'!$A$764=CS19,DP12&lt;120),AND('Eval-Avant action écologique'!$A$765=CS19,DP13&lt;120),AND('Eval-Avant action écologique'!$A$766=CS19,DP14&lt;120),AND('Eval-Avant action écologique'!$A$767=CS19,DP15&lt;120),AND('Eval-Avant action écologique'!$A$768=CS19,DP16&lt;120),AND('Eval-Avant action écologique'!$A$769=CS19,DP17&lt;120),AND('Eval-Avant action écologique'!$A$770=CS19,DP18&lt;120),AND('Eval-Avant action écologique'!$A$771=CS19,DP19&lt;120),AND('Eval-Avant action écologique'!$A$772=CS19,DP20&lt;120),AND('Eval-Avant action écologique'!$A$773=CS19,DP21&lt;120),AND('Eval-Avant action écologique'!$A$774=CS19,DP22&lt;120),AND('Eval-Avant action écologique'!$A$775=CS19,DP23&lt;120),AND('Eval-Avant action écologique'!$A$776=CS19,DP24&lt;120),AND('Eval-Avant action écologique'!$A$777=CS19,DP25&lt;120),AND('Eval-Avant action écologique'!$A$778=CS19,DP26&lt;120),AND('Eval-Avant action écologique'!$A$779=CS19,DP27&lt;120),AND('Eval-Avant action écologique'!$A$780=CS19,DP28&lt;120)),"",SUM(0.1*(SUMPRODUCT(('Eval-Avant action écologique'!$A$761:$A$780=CS19)*('Eval-Avant action écologique'!$Q$761:$Y$780="A"))+ SUMPRODUCT(('Eval-Avant action écologique'!$A$761:$A$780=CS19)*('Eval-Avant action écologique'!$Q$761:$Y$780="AL"))),0.7*(SUMPRODUCT(('Eval-Avant action écologique'!$A$761:$A$780=CS19)*('Eval-Avant action écologique'!$Q$761:$Y$780="TF"))+SUMPRODUCT(('Eval-Avant action écologique'!$A$761:$A$780=CS19)*('Eval-Avant action écologique'!$Q$761:$Y$780="TM"))+SUMPRODUCT(('Eval-Avant action écologique'!$A$761:$A$780=CS19)*('Eval-Avant action écologique'!$Q$761:$Y$780="TS"))),0.4*(SUMPRODUCT(('Eval-Avant action écologique'!$A$761:$A$780=CS19)*('Eval-Avant action écologique'!$Q$761:$Y$780="LA"))+SUMPRODUCT(('Eval-Avant action écologique'!$A$761:$A$780=CS19)*('Eval-Avant action écologique'!$Q$761:$Y$780="L"))+SUMPRODUCT(('Eval-Avant action écologique'!$A$761:$A$780=CS19)*('Eval-Avant action écologique'!$Q$761:$Y$780="LS"))),1*(SUMPRODUCT(('Eval-Avant action écologique'!$A$761:$A$780=CS19)*('Eval-Avant action écologique'!$Q$761:$Y$780="SL"))+ SUMPRODUCT(('Eval-Avant action écologique'!$A$761:$A$780=CS19)*('Eval-Avant action écologique'!$Q$761:$Y$780="S"))))/(9*COUNTIF('Eval-Avant action écologique'!$A$761:$A$780,CS19))),"")</f>
        <v/>
      </c>
      <c r="DK19" s="211" t="str">
        <f>IF(COUNTIF('Eval-Avant action écologique'!$A$761:$A$780,CS19)&gt;0,IF(OR(AND('Eval-Avant action écologique'!$A$761=CS19,OR(COUNTIF('Eval-Avant action écologique'!$N$761:$P$761,"*T*")&gt;0,DP9&lt;30)),AND('Eval-Avant action écologique'!$A$762=CS19,OR(COUNTIF('Eval-Avant action écologique'!$N$762:$P$762,"*T*")&gt;0,DP10&lt;30)),AND('Eval-Avant action écologique'!$A$763=CS19,OR(COUNTIF('Eval-Avant action écologique'!$N$763:$P$763,"*T*")&gt;0,DP11&lt;30)),AND('Eval-Avant action écologique'!$A$764=CS19,OR(COUNTIF('Eval-Avant action écologique'!$N$764:$P$764,"*T*")&gt;0,DP12&lt;30)),AND('Eval-Avant action écologique'!$A$765=CS19,OR(COUNTIF('Eval-Avant action écologique'!$N$765:$P$765,"*T*")&gt;0,DP13&lt;30)),AND('Eval-Avant action écologique'!$A$766=CS19,OR(COUNTIF('Eval-Avant action écologique'!$N$766:$P$766,"*T*")&gt;0,DP14&lt;30)),AND('Eval-Avant action écologique'!$A$767=CS19,OR(COUNTIF('Eval-Avant action écologique'!$N$767:$P$767,"*T*")&gt;0,DP15&lt;30)),AND('Eval-Avant action écologique'!$A$768=CS19,OR(COUNTIF('Eval-Avant action écologique'!$N$768:$P$768,"*T*")&gt;0,DP16&lt;30)),AND('Eval-Avant action écologique'!$A$769=CS19,OR(COUNTIF('Eval-Avant action écologique'!$N$769:$P$769,"*T*")&gt;0,DP17&lt;30)),AND('Eval-Avant action écologique'!$A$770=CS19,OR(COUNTIF('Eval-Avant action écologique'!$N$770:$P$770,"*T*")&gt;0,DP18&lt;30)),AND('Eval-Avant action écologique'!$A$771=CS19,OR(COUNTIF('Eval-Avant action écologique'!$N$771:$P$771,"*T*")&gt;0,DP19&lt;30)),AND('Eval-Avant action écologique'!$A$772=CS19,OR(COUNTIF('Eval-Avant action écologique'!$N$772:$P$772,"*T*")&gt;0,DP20&lt;30)),AND('Eval-Avant action écologique'!$A$773=CS19,OR(COUNTIF('Eval-Avant action écologique'!$N$773:$P$773,"*T*")&gt;0,DP21&lt;30)),AND('Eval-Avant action écologique'!$A$774=CS19,OR(COUNTIF('Eval-Avant action écologique'!$N$774:$P$774,"*T*")&gt;0,DP22&lt;30)),AND('Eval-Avant action écologique'!$A$775=CS19,OR(COUNTIF('Eval-Avant action écologique'!$N$775:$P$775,"*T*")&gt;0,DP23&lt;30)),AND('Eval-Avant action écologique'!$A$776=CS19,OR(COUNTIF('Eval-Avant action écologique'!$N$776:$P$776,"*T*")&gt;0,DP24&lt;30)),AND('Eval-Avant action écologique'!$A$777=CS19,OR(COUNTIF('Eval-Avant action écologique'!$N$777:$P$777,"*T*")&gt;0,DP25&lt;30)),AND('Eval-Avant action écologique'!$A$778=CS19,OR(COUNTIF('Eval-Avant action écologique'!$N$778:$P$778,"*T*")&gt;0,DP26&lt;30)),AND('Eval-Avant action écologique'!$A$779=CS19,OR(COUNTIF('Eval-Avant action écologique'!$N$779:$P$779,"*T*")&gt;0,DP27&lt;30)),AND('Eval-Avant action écologique'!$A$780=CS19,OR(COUNTIF('Eval-Avant action écologique'!$N$780:$P$780,"*T*")&gt;0,DP28&lt;30))),"",SUM(0.1*(SUMPRODUCT(('Eval-Avant action écologique'!$A$761:$A$780=CS19)*('Eval-Avant action écologique'!$N$761:$P$780="L"))),0.4*(SUMPRODUCT(('Eval-Avant action écologique'!$A$761:$A$780=CS19)*('Eval-Avant action écologique'!$N$761:$P$780="LA"))+SUMPRODUCT(('Eval-Avant action écologique'!$A$761:$A$780=CS19)*('Eval-Avant action écologique'!$N$761:$P$780="LS"))),0.7*(SUMPRODUCT(('Eval-Avant action écologique'!$A$761:$A$780=CS19)*('Eval-Avant action écologique'!$N$761:$P$780="AL"))+SUMPRODUCT(('Eval-Avant action écologique'!$A$761:$A$780=CS19)*('Eval-Avant action écologique'!$N$761:$P$780="SL"))),1*(SUMPRODUCT(('Eval-Avant action écologique'!$A$761:$A$780=CS19)*('Eval-Avant action écologique'!$N$761:$P$780="S"))+ SUMPRODUCT(('Eval-Avant action écologique'!$A$761:$A$780=CS19)*('Eval-Avant action écologique'!$N$761:$P$780="A"))))/(3*COUNTIF('Eval-Avant action écologique'!$A$761:$A$780,CS19))),"")</f>
        <v/>
      </c>
      <c r="DL19" s="211" t="str">
        <f>IF(COUNTIF('Eval-Avant action écologique'!$A$761:$A$780,CS19)&gt;0,IF(OR(AND('Eval-Avant action écologique'!$A$761=CS19,OR(COUNTIF('Eval-Avant action écologique'!$N$761:$P$761,"*T*")&gt;0,DP9&lt;30)),AND('Eval-Avant action écologique'!$A$762=CS19,OR(COUNTIF('Eval-Avant action écologique'!$N$762:$P$762,"*T*")&gt;0,DP10&lt;30)),AND('Eval-Avant action écologique'!$A$763=CS19,OR(COUNTIF('Eval-Avant action écologique'!$N$763:$P$763,"*T*")&gt;0,DP11&lt;30)),AND('Eval-Avant action écologique'!$A$764=CS19,OR(COUNTIF('Eval-Avant action écologique'!$N$764:$P$764,"*T*")&gt;0,DP12&lt;30)),AND('Eval-Avant action écologique'!$A$765=CS19,OR(COUNTIF('Eval-Avant action écologique'!$N$765:$P$765,"*T*")&gt;0,DP13&lt;30)),AND('Eval-Avant action écologique'!$A$766=CS19,OR(COUNTIF('Eval-Avant action écologique'!$N$766:$P$766,"*T*")&gt;0,DP14&lt;30)),AND('Eval-Avant action écologique'!$A$767=CS19,OR(COUNTIF('Eval-Avant action écologique'!$N$767:$P$767,"*T*")&gt;0,DP15&lt;30)),AND('Eval-Avant action écologique'!$A$768=CS19,OR(COUNTIF('Eval-Avant action écologique'!$N$768:$P$768,"*T*")&gt;0,DP16&lt;30)),AND('Eval-Avant action écologique'!$A$769=CS19,OR(COUNTIF('Eval-Avant action écologique'!$N$769:$P$769,"*T*")&gt;0,DP17&lt;30)),AND('Eval-Avant action écologique'!$A$770=CS19,OR(COUNTIF('Eval-Avant action écologique'!$N$770:$P$770,"*T*")&gt;0,DP18&lt;30)),AND('Eval-Avant action écologique'!$A$771=CS19,OR(COUNTIF('Eval-Avant action écologique'!$N$771:$P$771,"*T*")&gt;0,DP19&lt;30)),AND('Eval-Avant action écologique'!$A$772=CS19,OR(COUNTIF('Eval-Avant action écologique'!$N$772:$P$772,"*T*")&gt;0,DP20&lt;30)),AND('Eval-Avant action écologique'!$A$773=CS19,OR(COUNTIF('Eval-Avant action écologique'!$N$773:$P$773,"*T*")&gt;0,DP21&lt;30)),AND('Eval-Avant action écologique'!$A$774=CS19,OR(COUNTIF('Eval-Avant action écologique'!$N$774:$P$774,"*T*")&gt;0,DP22&lt;30)),AND('Eval-Avant action écologique'!$A$775=CS19,OR(COUNTIF('Eval-Avant action écologique'!$N$775:$P$775,"*T*")&gt;0,DP23&lt;30)),AND('Eval-Avant action écologique'!$A$776=CS19,OR(COUNTIF('Eval-Avant action écologique'!$N$776:$P$776,"*T*")&gt;0,DP24&lt;30)),AND('Eval-Avant action écologique'!$A$777=CS19,OR(COUNTIF('Eval-Avant action écologique'!$N$777:$P$777,"*T*")&gt;0,DP25&lt;30)),AND('Eval-Avant action écologique'!$A$778=CS19,OR(COUNTIF('Eval-Avant action écologique'!$N$778:$P$778,"*T*")&gt;0,DP26&lt;30)),AND('Eval-Avant action écologique'!$A$779=CS19,OR(COUNTIF('Eval-Avant action écologique'!$N$779:$P$779,"*T*")&gt;0,DP27&lt;30)),AND('Eval-Avant action écologique'!$A$780=CS19,OR(COUNTIF('Eval-Avant action écologique'!$N$780:$P$780,"*T*")&gt;0,DP28&lt;30))),"",SUM(1*(SUMPRODUCT(('Eval-Avant action écologique'!$A$761:$A$780=CS19)*('Eval-Avant action écologique'!$N$761:$P$780="A"))),0.85*(SUMPRODUCT(('Eval-Avant action écologique'!$A$761:$A$780=CS19)*('Eval-Avant action écologique'!$N$761:$P$780="AL"))),0.7*(SUMPRODUCT(('Eval-Avant action écologique'!$A$761:$A$780=CS19)*('Eval-Avant action écologique'!$N$761:$P$780="LA"))),0.55*(SUMPRODUCT(('Eval-Avant action écologique'!$A$761:$A$780=CS19)*('Eval-Avant action écologique'!$N$761:$P$780="L"))),0.4*(SUMPRODUCT(('Eval-Avant action écologique'!$A$761:$A$780=CS19)*('Eval-Avant action écologique'!$N$761:$P$780="LS"))),0.25*(SUMPRODUCT(('Eval-Avant action écologique'!$A$761:$A$780=CS19)*('Eval-Avant action écologique'!$N$761:$P$780="SL"))),0.1*(SUMPRODUCT(('Eval-Avant action écologique'!$A$761:$A$780=CS19)*('Eval-Avant action écologique'!$N$761:$P$780="S"))))/(3*COUNTIF('Eval-Avant action écologique'!$A$761:$A$780,CS19))),"")</f>
        <v/>
      </c>
      <c r="DM19" s="214" t="str">
        <f>IF(COUNTIF('Eval-Avant action écologique'!$A$761:$A$780,CS19)&gt;0,IF(OR(AND('Eval-Avant action écologique'!$A$761=CS19,OR(COUNTIF('Eval-Avant action écologique'!$Q$761:$Y$761,"*T*")&gt;0,DP9&lt;120)),AND('Eval-Avant action écologique'!$A$762=CS19,OR(COUNTIF('Eval-Avant action écologique'!$Q$762:$Y$762,"*T*")&gt;0,DP10&lt;120)),AND('Eval-Avant action écologique'!$A$763=CS19,OR(COUNTIF('Eval-Avant action écologique'!$Q$763:$Y$763,"*T*")&gt;0,DP11&lt;120)),AND('Eval-Avant action écologique'!$A$764=CS19,OR(COUNTIF('Eval-Avant action écologique'!$Q$764:$Y$764,"*T*")&gt;0,DP12&lt;120)),AND('Eval-Avant action écologique'!$A$765=CS19,OR(COUNTIF('Eval-Avant action écologique'!$Q$765:$Y$765,"*T*")&gt;0,DP13&lt;120)),AND('Eval-Avant action écologique'!$A$766=CS19,OR(COUNTIF('Eval-Avant action écologique'!$Q$766:$Y$766,"*T*")&gt;0,DP14&lt;120)),AND('Eval-Avant action écologique'!$A$767=CS19,OR(COUNTIF('Eval-Avant action écologique'!$Q$767:$Y$767,"*T*")&gt;0,DP15&lt;120)),AND('Eval-Avant action écologique'!$A$768=CS19,OR(COUNTIF('Eval-Avant action écologique'!$Q$768:$Y$768,"*T*")&gt;0,DP16&lt;120)),AND('Eval-Avant action écologique'!$A$769=CS19,OR(COUNTIF('Eval-Avant action écologique'!$Q$769:$Y$769,"*T*")&gt;0,DP17&lt;120)),AND('Eval-Avant action écologique'!$A$770=CS19,OR(COUNTIF('Eval-Avant action écologique'!$Q$770:$Y$770,"*T*")&gt;0,DP18&lt;120)),AND('Eval-Avant action écologique'!$A$771=CS19,OR(COUNTIF('Eval-Avant action écologique'!$Q$771:$Y$771,"*T*")&gt;0,DP19&lt;120)),AND('Eval-Avant action écologique'!$A$772=CS19,OR(COUNTIF('Eval-Avant action écologique'!$Q$772:$Y$772,"*T*")&gt;0,DP20&lt;120)),AND('Eval-Avant action écologique'!$A$773=CS19,OR(COUNTIF('Eval-Avant action écologique'!$Q$773:$Y$773,"*T*")&gt;0,DP21&lt;120)),AND('Eval-Avant action écologique'!$A$774=CS19,OR(COUNTIF('Eval-Avant action écologique'!$Q$774:$Y$774,"*T*")&gt;0,DP22&lt;120)),AND('Eval-Avant action écologique'!$A$775=CS19,OR(COUNTIF('Eval-Avant action écologique'!$Q$775:$Y$775,"*T*")&gt;0,DP23&lt;120)),AND('Eval-Avant action écologique'!$A$776=CS19,OR(COUNTIF('Eval-Avant action écologique'!$Q$776:$Y$776,"*T*")&gt;0,DP24&lt;120)),AND('Eval-Avant action écologique'!$A$777=CS19,OR(COUNTIF('Eval-Avant action écologique'!$Q$777:$Y$777,"*T*")&gt;0,DP25&lt;120)),AND('Eval-Avant action écologique'!$A$778=CS19,OR(COUNTIF('Eval-Avant action écologique'!$Q$778:$Y$778,"*T*")&gt;0,DP26&lt;120)),AND('Eval-Avant action écologique'!$A$779=CS19,OR(COUNTIF('Eval-Avant action écologique'!$Q$779:$Y$779,"*T*")&gt;0,DP27&lt;120)),AND('Eval-Avant action écologique'!$A$780=CS19,OR(COUNTIF('Eval-Avant action écologique'!$Q$780:$Y$780,"*T*")&gt;0,DP28&lt;120))),"",SUM(1*(SUMPRODUCT(('Eval-Avant action écologique'!$A$761:$A$780=CS19)*('Eval-Avant action écologique'!$Q$761:$Y$780="A"))),0.85*(SUMPRODUCT(('Eval-Avant action écologique'!$A$761:$A$780=CS19)*('Eval-Avant action écologique'!$Q$761:$Y$780="AL"))),0.7*(SUMPRODUCT(('Eval-Avant action écologique'!$A$761:$A$780=CS19)*('Eval-Avant action écologique'!$Q$761:$Y$780="LA"))),0.55*(SUMPRODUCT(('Eval-Avant action écologique'!$A$761:$A$780=CS19)*('Eval-Avant action écologique'!$Q$761:$Y$780="L"))),0.4*(SUMPRODUCT(('Eval-Avant action écologique'!$A$761:$A$780=CS19)*('Eval-Avant action écologique'!$Q$761:$Y$780="LS"))),0.25*(SUMPRODUCT(('Eval-Avant action écologique'!$A$761:$A$780=CS19)*('Eval-Avant action écologique'!$Q$761:$Y$780="SL"))),0.1*(SUMPRODUCT(('Eval-Avant action écologique'!$A$761:$A$780=CS19)*('Eval-Avant action écologique'!$Q$761:$Y$780="S"))))/(9*COUNTIF('Eval-Avant action écologique'!$A$761:$A$780,CS19))),"")</f>
        <v/>
      </c>
      <c r="DN19" s="215"/>
      <c r="DO19" s="216">
        <f>'Eval-Avant action écologique'!$D$771</f>
        <v>11</v>
      </c>
      <c r="DP19" s="217" t="str">
        <f>IF(DQ19="C",0,IF(IF(COUNTIF('Eval-Avant action écologique'!$N$771:$Y$771,"=C")&gt;0,(COUNTA('Eval-Avant action écologique'!$N$771:$Y$771)-1)*10,COUNTA('Eval-Avant action écologique'!$N$771:$Y$771)*10)=0,"",IF(COUNTIF('Eval-Avant action écologique'!$N$771:$Y$771,"=C")&gt;0,(COUNTA('Eval-Avant action écologique'!$N$771:$Y$771)-1)*10,COUNTA('Eval-Avant action écologique'!$N$771:$Y$771)*10)))</f>
        <v/>
      </c>
      <c r="DQ19" s="217" t="str">
        <f>CONCATENATE('Eval-Avant action écologique'!$N$771,'Eval-Avant action écologique'!$O$771,'Eval-Avant action écologique'!$P$771,'Eval-Avant action écologique'!$Q$771,'Eval-Avant action écologique'!$R$771,'Eval-Avant action écologique'!$S$771,'Eval-Avant action écologique'!$T$771,'Eval-Avant action écologique'!$U$771,'Eval-Avant action écologique'!$V$771,'Eval-Avant action écologique'!$W$771,'Eval-Avant action écologique'!$X$771,'Eval-Avant action écologique'!$Y$771)</f>
        <v/>
      </c>
      <c r="DR19" s="217" t="str">
        <f t="shared" si="12"/>
        <v/>
      </c>
      <c r="DS19" s="217" t="str">
        <f t="shared" si="13"/>
        <v/>
      </c>
      <c r="DT19" s="217" t="str">
        <f>IF(COUNTIF('Eval-Avant action écologique'!$N$771:$Y$771,"=C")&gt;0,"X","")</f>
        <v/>
      </c>
      <c r="DU19" s="217" t="str">
        <f t="shared" si="14"/>
        <v/>
      </c>
      <c r="DV19" s="218" t="str">
        <f t="shared" si="15"/>
        <v/>
      </c>
      <c r="DW19" s="197"/>
      <c r="DY19" s="210">
        <v>11</v>
      </c>
      <c r="DZ19" s="211" t="str">
        <f>IF(COUNTIF('Eval-Avec act. écol. envisagée'!$A$761:$A$780,DY19)&gt;0,SUM(IF('Eval-Avec act. écol. envisagée'!$A$761=DY19,'Eval-Avec act. écol. envisagée'!$B$761,0),IF('Eval-Avec act. écol. envisagée'!$A$762=DY19, 'Eval-Avec act. écol. envisagée'!$B$762,0),IF('Eval-Avec act. écol. envisagée'!$A$763=DY19, 'Eval-Avec act. écol. envisagée'!$B$763,0),IF('Eval-Avec act. écol. envisagée'!$A$764=DY19, 'Eval-Avec act. écol. envisagée'!$B$764,0),IF('Eval-Avec act. écol. envisagée'!$A$765=DY19, 'Eval-Avec act. écol. envisagée'!$B$765,0),IF('Eval-Avec act. écol. envisagée'!$A$766=DY19, 'Eval-Avec act. écol. envisagée'!$B$766,0),IF('Eval-Avec act. écol. envisagée'!$A$767=DY19, 'Eval-Avec act. écol. envisagée'!$B$767,0),IF('Eval-Avec act. écol. envisagée'!$A$768=DY19, 'Eval-Avec act. écol. envisagée'!$B$768,0),IF('Eval-Avec act. écol. envisagée'!$A$769=DY19, 'Eval-Avec act. écol. envisagée'!$B$769,0),IF('Eval-Avec act. écol. envisagée'!$A$770=DY19, 'Eval-Avec act. écol. envisagée'!$B$770,0),IF('Eval-Avec act. écol. envisagée'!$A$771=DY19, 'Eval-Avec act. écol. envisagée'!$B$771,0),IF('Eval-Avec act. écol. envisagée'!$A$772=DY19, 'Eval-Avec act. écol. envisagée'!$B$772,0),IF('Eval-Avec act. écol. envisagée'!$A$773=DY19, 'Eval-Avec act. écol. envisagée'!$B$773,0),IF('Eval-Avec act. écol. envisagée'!$A$774=DY19, 'Eval-Avec act. écol. envisagée'!$B$774,0),IF('Eval-Avec act. écol. envisagée'!$A$775=DY19, 'Eval-Avec act. écol. envisagée'!$B$775,0),IF('Eval-Avec act. écol. envisagée'!$A$776=DY19, 'Eval-Avec act. écol. envisagée'!$B$776,0),IF('Eval-Avec act. écol. envisagée'!$A$777=DY19, 'Eval-Avec act. écol. envisagée'!$B$777,0),IF('Eval-Avec act. écol. envisagée'!$A$778=DY19, 'Eval-Avec act. écol. envisagée'!$B$778,0),IF('Eval-Avec act. écol. envisagée'!$A$779=DY19, 'Eval-Avec act. écol. envisagée'!$B$779,0),IF('Eval-Avec act. écol. envisagée'!$A$780=DY19, 'Eval-Avec act. écol. envisagée'!$B$780,0))/COUNTIF('Eval-Avec act. écol. envisagée'!$A$761:$A$780,DY19),"")</f>
        <v/>
      </c>
      <c r="EA19" s="212" t="str">
        <f>IF(COUNTIF('Eval-Avec act. écol. envisagée'!$A$761:$A$780,DY19)&gt;0,COUNTIF('Eval-Avec act. écol. envisagée'!$A$761:$A$780,DY19),"")</f>
        <v/>
      </c>
      <c r="EB19" s="211" t="str">
        <f>IF(COUNTIF('Eval-Avec act. écol. envisagée'!$A$761:$A$780,DY19)&gt;0,IF(OR(AND('Eval-Avec act. écol. envisagée'!$A$761=DY19, 'Eval-Avec act. écol. envisagée'!$G$761=""),AND('Eval-Avec act. écol. envisagée'!$A$762=DY19, 'Eval-Avec act. écol. envisagée'!$G$762=""),AND('Eval-Avec act. écol. envisagée'!$A$763=DY19, 'Eval-Avec act. écol. envisagée'!$G$763=""),AND('Eval-Avec act. écol. envisagée'!$A$764=DY19, 'Eval-Avec act. écol. envisagée'!$G$764=""),AND('Eval-Avec act. écol. envisagée'!$A$765=DY19, 'Eval-Avec act. écol. envisagée'!$G$765=""),AND('Eval-Avec act. écol. envisagée'!$A$766=DY19, 'Eval-Avec act. écol. envisagée'!$G$766=""),AND('Eval-Avec act. écol. envisagée'!$A$767=DY19, 'Eval-Avec act. écol. envisagée'!$G$767=""),AND('Eval-Avec act. écol. envisagée'!$A$768=DY19, 'Eval-Avec act. écol. envisagée'!$G$768=""),AND('Eval-Avec act. écol. envisagée'!$A$769=DY19, 'Eval-Avec act. écol. envisagée'!$G$769=""),AND('Eval-Avec act. écol. envisagée'!$A$770=DY19, 'Eval-Avec act. écol. envisagée'!$G$770=""),AND('Eval-Avec act. écol. envisagée'!$A$771=DY19, 'Eval-Avec act. écol. envisagée'!$G$771=""),AND('Eval-Avec act. écol. envisagée'!$A$772=DY19, 'Eval-Avec act. écol. envisagée'!$G$772=""),AND('Eval-Avec act. écol. envisagée'!$A$773=DY19, 'Eval-Avec act. écol. envisagée'!$G$773=""),AND('Eval-Avec act. écol. envisagée'!$A$774=DY19, 'Eval-Avec act. écol. envisagée'!$G$774=""),AND('Eval-Avec act. écol. envisagée'!$A$775=DY19, 'Eval-Avec act. écol. envisagée'!$G$775=""),AND('Eval-Avec act. écol. envisagée'!$A$776=DY19, 'Eval-Avec act. écol. envisagée'!$G$776=""),AND('Eval-Avec act. écol. envisagée'!$A$777=DY19, 'Eval-Avec act. écol. envisagée'!$G$777=""),AND('Eval-Avec act. écol. envisagée'!$A$778=DY19, 'Eval-Avec act. écol. envisagée'!$G$778=""),AND('Eval-Avec act. écol. envisagée'!$A$779=DY19, 'Eval-Avec act. écol. envisagée'!$G$779=""),AND('Eval-Avec act. écol. envisagée'!$A$780=DY19, 'Eval-Avec act. écol. envisagée'!$G$780="")),"",SUM(IF('Eval-Avec act. écol. envisagée'!$A$761=DY19,'Eval-Avec act. écol. envisagée'!$G$761,0),IF('Eval-Avec act. écol. envisagée'!$A$762=DY19,'Eval-Avec act. écol. envisagée'!$G$762,0),IF('Eval-Avec act. écol. envisagée'!$A$763=DY19,'Eval-Avec act. écol. envisagée'!$G$763,0),IF('Eval-Avec act. écol. envisagée'!$A$764=DY19,'Eval-Avec act. écol. envisagée'!$G$764,0),IF('Eval-Avec act. écol. envisagée'!$A$765=DY19,'Eval-Avec act. écol. envisagée'!$G$765,0),IF('Eval-Avec act. écol. envisagée'!$A$766=DY19,'Eval-Avec act. écol. envisagée'!$G$766,0),IF('Eval-Avec act. écol. envisagée'!$A$767=DY19,'Eval-Avec act. écol. envisagée'!$G$767,0),IF('Eval-Avec act. écol. envisagée'!$A$768=DY19,'Eval-Avec act. écol. envisagée'!$G$768,0),IF('Eval-Avec act. écol. envisagée'!$A$769=DY19,'Eval-Avec act. écol. envisagée'!$G$769,0),IF('Eval-Avec act. écol. envisagée'!$A$770=DY19,'Eval-Avec act. écol. envisagée'!$G$770,0),IF('Eval-Avec act. écol. envisagée'!$A$771=DY19,'Eval-Avec act. écol. envisagée'!$G$771,0),IF('Eval-Avec act. écol. envisagée'!$A$772=DY19,'Eval-Avec act. écol. envisagée'!$G$772,0),IF('Eval-Avec act. écol. envisagée'!$A$773=DY19,'Eval-Avec act. écol. envisagée'!$G$773,0),IF('Eval-Avec act. écol. envisagée'!$A$774=DY19,'Eval-Avec act. écol. envisagée'!$G$774,0),IF('Eval-Avec act. écol. envisagée'!$A$775=DY19,'Eval-Avec act. écol. envisagée'!$G$775,0), IF('Eval-Avec act. écol. envisagée'!$A$776=DY19,'Eval-Avec act. écol. envisagée'!$G$776,0), IF('Eval-Avec act. écol. envisagée'!$A$777=DY19,'Eval-Avec act. écol. envisagée'!$G$777,0), IF('Eval-Avec act. écol. envisagée'!$A$778=DY19,'Eval-Avec act. écol. envisagée'!$G$778,0), IF('Eval-Avec act. écol. envisagée'!$A$779=DY19,'Eval-Avec act. écol. envisagée'!$G$779,0), IF('Eval-Avec act. écol. envisagée'!$A$780=DY19,'Eval-Avec act. écol. envisagée'!$G$780,0))/ COUNTIF('Eval-Avec act. écol. envisagée'!$A$761:$A$780,DY19)),"")</f>
        <v/>
      </c>
      <c r="EC19" s="212" t="str">
        <f>IF(COUNTIF('Eval-Avec act. écol. envisagée'!$A$761:$A$780,DY19)&gt;0,IF(SUM(IF('Eval-Avec act. écol. envisagée'!$A$761=DY19,COUNTA('Eval-Avec act. écol. envisagée'!$H$761),0),IF('Eval-Avec act. écol. envisagée'!$A$762=DY19,COUNTA('Eval-Avec act. écol. envisagée'!$H$762),0),IF('Eval-Avec act. écol. envisagée'!$A$763=DY19,COUNTA('Eval-Avec act. écol. envisagée'!$H$763),0),IF('Eval-Avec act. écol. envisagée'!$A$764=DY19,COUNTA('Eval-Avec act. écol. envisagée'!$H$764),0),IF('Eval-Avec act. écol. envisagée'!$A$765=DY19,COUNTA('Eval-Avec act. écol. envisagée'!$H$765),0),IF('Eval-Avec act. écol. envisagée'!$A$766=DY19,COUNTA('Eval-Avec act. écol. envisagée'!$H$766),0),IF('Eval-Avec act. écol. envisagée'!$A$767=DY19,COUNTA('Eval-Avec act. écol. envisagée'!$H$767),0),IF('Eval-Avec act. écol. envisagée'!$A$768=DY19,COUNTA('Eval-Avec act. écol. envisagée'!$H$768),0),IF('Eval-Avec act. écol. envisagée'!$A$769=DY19,COUNTA('Eval-Avec act. écol. envisagée'!$H$769),0),IF('Eval-Avec act. écol. envisagée'!$A$770=DY19,COUNTA('Eval-Avec act. écol. envisagée'!$H$770),0),IF('Eval-Avec act. écol. envisagée'!$A$771=DY19,COUNTA('Eval-Avec act. écol. envisagée'!$H$771),0),IF('Eval-Avec act. écol. envisagée'!$A$772=DY19,COUNTA('Eval-Avec act. écol. envisagée'!$H$772),0),IF('Eval-Avec act. écol. envisagée'!$A$773=DY19,COUNTA('Eval-Avec act. écol. envisagée'!$H$773),0),IF('Eval-Avec act. écol. envisagée'!$A$774=DY19,COUNTA('Eval-Avec act. écol. envisagée'!$H$774),0),IF('Eval-Avec act. écol. envisagée'!$A$775=DY19,COUNTA('Eval-Avec act. écol. envisagée'!$H$775),0),IF('Eval-Avec act. écol. envisagée'!$A$776=DY19,COUNTA('Eval-Avec act. écol. envisagée'!$H$776),0),IF('Eval-Avec act. écol. envisagée'!$A$777=DY19,COUNTA('Eval-Avec act. écol. envisagée'!$H$777),0),IF('Eval-Avec act. écol. envisagée'!$A$778=DY19,COUNTA('Eval-Avec act. écol. envisagée'!$H$778),0),IF('Eval-Avec act. écol. envisagée'!$A$779=DY19,COUNTA('Eval-Avec act. écol. envisagée'!$H$779),0),IF('Eval-Avec act. écol. envisagée'!$A$780=DY19,COUNTA('Eval-Avec act. écol. envisagée'!$H$780),0))&gt;0,"X",0),"")</f>
        <v/>
      </c>
      <c r="ED19" s="213" t="str">
        <f>IF(COUNTIF('Eval-Avec act. écol. envisagée'!$A$761:$A$780,DY19)&gt;0,IF(SUM(IF('Eval-Avec act. écol. envisagée'!$A$761=DY19,COUNTA('Eval-Avec act. écol. envisagée'!$I$761),0),IF('Eval-Avec act. écol. envisagée'!$A$762=DY19,COUNTA('Eval-Avec act. écol. envisagée'!$I$762),0),IF('Eval-Avec act. écol. envisagée'!$A$763=DY19,COUNTA('Eval-Avec act. écol. envisagée'!$I$763),0),IF('Eval-Avec act. écol. envisagée'!$A$764=DY19,COUNTA('Eval-Avec act. écol. envisagée'!$I$764),0),IF('Eval-Avec act. écol. envisagée'!$A$765=DY19,COUNTA('Eval-Avec act. écol. envisagée'!$I$765),0),IF('Eval-Avec act. écol. envisagée'!$A$766=DY19,COUNTA('Eval-Avec act. écol. envisagée'!$I$766),0),IF('Eval-Avec act. écol. envisagée'!$A$767=DY19,COUNTA('Eval-Avec act. écol. envisagée'!$I$767),0),IF('Eval-Avec act. écol. envisagée'!$A$768=DY19,COUNTA('Eval-Avec act. écol. envisagée'!$I$768),0),IF('Eval-Avec act. écol. envisagée'!$A$769=DY19,COUNTA('Eval-Avec act. écol. envisagée'!$I$769),0),IF('Eval-Avec act. écol. envisagée'!$A$770=DY19,COUNTA('Eval-Avec act. écol. envisagée'!$I$770),0),IF('Eval-Avec act. écol. envisagée'!$A$771=DY19,COUNTA('Eval-Avec act. écol. envisagée'!$I$771),0),IF('Eval-Avec act. écol. envisagée'!$A$772=DY19,COUNTA('Eval-Avec act. écol. envisagée'!$I$772),0),IF('Eval-Avec act. écol. envisagée'!$A$773=DY19,COUNTA('Eval-Avec act. écol. envisagée'!$I$773),0),IF('Eval-Avec act. écol. envisagée'!$A$774=DY19,COUNTA('Eval-Avec act. écol. envisagée'!$I$774),0),IF('Eval-Avec act. écol. envisagée'!$A$775=DY19,COUNTA('Eval-Avec act. écol. envisagée'!$I$775),0),IF('Eval-Avec act. écol. envisagée'!$A$776=DY19,COUNTA('Eval-Avec act. écol. envisagée'!$I$776),0),IF('Eval-Avec act. écol. envisagée'!$A$777=DY19,COUNTA('Eval-Avec act. écol. envisagée'!$I$777),0),IF('Eval-Avec act. écol. envisagée'!$A$778=DY19,COUNTA('Eval-Avec act. écol. envisagée'!$I$778),0),IF('Eval-Avec act. écol. envisagée'!$A$779=DY19,COUNTA('Eval-Avec act. écol. envisagée'!$I$779),0),IF('Eval-Avec act. écol. envisagée'!$A$780=DY19,COUNTA('Eval-Avec act. écol. envisagée'!$I$780),0))&gt;0,"X",0),"")</f>
        <v/>
      </c>
      <c r="EE19" s="213" t="str">
        <f>IF(COUNTIF('Eval-Avec act. écol. envisagée'!$A$761:$A$780,DY19)&gt;0,IF(SUM(IF('Eval-Avec act. écol. envisagée'!$A$761=DY19,COUNTA('Eval-Avec act. écol. envisagée'!$J$761),0),IF('Eval-Avec act. écol. envisagée'!$A$762=DY19,COUNTA('Eval-Avec act. écol. envisagée'!$J$762),0),IF('Eval-Avec act. écol. envisagée'!$A$763=DY19,COUNTA('Eval-Avec act. écol. envisagée'!$J$763),0),IF('Eval-Avec act. écol. envisagée'!$A$764=DY19,COUNTA('Eval-Avec act. écol. envisagée'!$J$764),0),IF('Eval-Avec act. écol. envisagée'!$A$765=DY19,COUNTA('Eval-Avec act. écol. envisagée'!$J$765),0),IF('Eval-Avec act. écol. envisagée'!$A$766=DY19,COUNTA('Eval-Avec act. écol. envisagée'!$J$766),0),IF('Eval-Avec act. écol. envisagée'!$A$767=DY19,COUNTA('Eval-Avec act. écol. envisagée'!$J$767),0),IF('Eval-Avec act. écol. envisagée'!$A$768=DY19,COUNTA('Eval-Avec act. écol. envisagée'!$J$768),0),IF('Eval-Avec act. écol. envisagée'!$A$769=DY19,COUNTA('Eval-Avec act. écol. envisagée'!$J$769),0),IF('Eval-Avec act. écol. envisagée'!$A$770=DY19,COUNTA('Eval-Avec act. écol. envisagée'!$J$770),0),IF('Eval-Avec act. écol. envisagée'!$A$771=DY19,COUNTA('Eval-Avec act. écol. envisagée'!$J$771),0),IF('Eval-Avec act. écol. envisagée'!$A$772=DY19,COUNTA('Eval-Avec act. écol. envisagée'!$J$772),0),IF('Eval-Avec act. écol. envisagée'!$A$773=DY19,COUNTA('Eval-Avec act. écol. envisagée'!$J$773),0),IF('Eval-Avec act. écol. envisagée'!$A$774=DY19,COUNTA('Eval-Avec act. écol. envisagée'!$J$774),0),IF('Eval-Avec act. écol. envisagée'!$A$775=DY19,COUNTA('Eval-Avec act. écol. envisagée'!$J$775),0),IF('Eval-Avec act. écol. envisagée'!$A$776=DY19,COUNTA('Eval-Avec act. écol. envisagée'!$J$776),0),IF('Eval-Avec act. écol. envisagée'!$A$777=DY19,COUNTA('Eval-Avec act. écol. envisagée'!$J$777),0),IF('Eval-Avec act. écol. envisagée'!$A$778=DY19,COUNTA('Eval-Avec act. écol. envisagée'!$J$778),0),IF('Eval-Avec act. écol. envisagée'!$A$779=DY19,COUNTA('Eval-Avec act. écol. envisagée'!$J$779),0),IF('Eval-Avec act. écol. envisagée'!$A$780=DY19,COUNTA('Eval-Avec act. écol. envisagée'!$J$780),0))&gt;0,"X",0),"")</f>
        <v/>
      </c>
      <c r="EF19" s="213" t="str">
        <f>IF(COUNTIF('Eval-Avec act. écol. envisagée'!$A$761:$A$780,DY19)&gt;0,IF(SUM(IF('Eval-Avec act. écol. envisagée'!$A$761=DY19,COUNTA('Eval-Avec act. écol. envisagée'!$K$761),0),IF('Eval-Avec act. écol. envisagée'!$A$762=DY19,COUNTA('Eval-Avec act. écol. envisagée'!$K$762),0),IF('Eval-Avec act. écol. envisagée'!$A$763=DY19,COUNTA('Eval-Avec act. écol. envisagée'!$K$763),0),IF('Eval-Avec act. écol. envisagée'!$A$764=DY19,COUNTA('Eval-Avec act. écol. envisagée'!$K$764),0),IF('Eval-Avec act. écol. envisagée'!$A$765=DY19,COUNTA('Eval-Avec act. écol. envisagée'!$K$765),0),IF('Eval-Avec act. écol. envisagée'!$A$766=DY19,COUNTA('Eval-Avec act. écol. envisagée'!$K$766),0),IF('Eval-Avec act. écol. envisagée'!$A$767=DY19,COUNTA('Eval-Avec act. écol. envisagée'!$K$767),0),IF('Eval-Avec act. écol. envisagée'!$A$768=DY19,COUNTA('Eval-Avec act. écol. envisagée'!$K$768),0),IF('Eval-Avec act. écol. envisagée'!$A$769=DY19,COUNTA('Eval-Avec act. écol. envisagée'!$K$769),0),IF('Eval-Avec act. écol. envisagée'!$A$770=DY19,COUNTA('Eval-Avec act. écol. envisagée'!$K$770),0),IF('Eval-Avec act. écol. envisagée'!$A$771=DY19,COUNTA('Eval-Avec act. écol. envisagée'!$K$771),0),IF('Eval-Avec act. écol. envisagée'!$A$772=DY19,COUNTA('Eval-Avec act. écol. envisagée'!$K$772),0),IF('Eval-Avec act. écol. envisagée'!$A$773=DY19,COUNTA('Eval-Avec act. écol. envisagée'!$K$773),0),IF('Eval-Avec act. écol. envisagée'!$A$774=DY19,COUNTA('Eval-Avec act. écol. envisagée'!$K$774),0),IF('Eval-Avec act. écol. envisagée'!$A$775=DY19,COUNTA('Eval-Avec act. écol. envisagée'!$K$775),0),IF('Eval-Avec act. écol. envisagée'!$A$776=DY19,COUNTA('Eval-Avec act. écol. envisagée'!$K$776),0),IF('Eval-Avec act. écol. envisagée'!$A$777=DY19,COUNTA('Eval-Avec act. écol. envisagée'!$K$777),0),IF('Eval-Avec act. écol. envisagée'!$A$778=DY19,COUNTA('Eval-Avec act. écol. envisagée'!$K$778),0),IF('Eval-Avec act. écol. envisagée'!$A$779=DY19,COUNTA('Eval-Avec act. écol. envisagée'!$K$779),0),IF('Eval-Avec act. écol. envisagée'!$A$780=DY19,COUNTA('Eval-Avec act. écol. envisagée'!$K$780),0))&gt;0,"X",0),"")</f>
        <v/>
      </c>
      <c r="EG19" s="211" t="str">
        <f>IF(COUNTIF('Eval-Avec act. écol. envisagée'!$A$761:$A$780,DY19)&gt;0,IF(OR(AND('Eval-Avec act. écol. envisagée'!$A$761=DY19,'Eval-Avec act. écol. envisagée'!$L$761&lt;120,'Eval-Avec act. écol. envisagée'!$L$761&gt;=EV9),AND('Eval-Avec act. écol. envisagée'!$A$762=DY19,'Eval-Avec act. écol. envisagée'!$L$762&lt;120,'Eval-Avec act. écol. envisagée'!$L$762&gt;=EV10),AND('Eval-Avec act. écol. envisagée'!$A$763=DY19,'Eval-Avec act. écol. envisagée'!$L$763&lt;120,'Eval-Avec act. écol. envisagée'!$L$763&gt;=EV11),AND('Eval-Avec act. écol. envisagée'!$A$764=DY19,'Eval-Avec act. écol. envisagée'!$L$764&lt;120,'Eval-Avec act. écol. envisagée'!$L$764&gt;=EV12),AND('Eval-Avec act. écol. envisagée'!$A$765=DY19,'Eval-Avec act. écol. envisagée'!$L$765&lt;120,'Eval-Avec act. écol. envisagée'!$L$765&gt;=EV13),AND('Eval-Avec act. écol. envisagée'!$A$766=DY19,'Eval-Avec act. écol. envisagée'!$L$766&lt;120,'Eval-Avec act. écol. envisagée'!$L$766&gt;=EV14),AND('Eval-Avec act. écol. envisagée'!$A$767=DY19,'Eval-Avec act. écol. envisagée'!$L$767&lt;120,'Eval-Avec act. écol. envisagée'!$L$767&gt;=EV15),AND('Eval-Avec act. écol. envisagée'!$A$768=DY19,'Eval-Avec act. écol. envisagée'!$L$768&lt;120,'Eval-Avec act. écol. envisagée'!$L$768&gt;=EV16),AND('Eval-Avec act. écol. envisagée'!$A$769=DY19,'Eval-Avec act. écol. envisagée'!$L$769&lt;120,'Eval-Avec act. écol. envisagée'!$L$769&gt;=EV17),AND('Eval-Avec act. écol. envisagée'!$A$770=DY19,'Eval-Avec act. écol. envisagée'!$L$770&lt;120,'Eval-Avec act. écol. envisagée'!$L$770&gt;=EV18),AND('Eval-Avec act. écol. envisagée'!$A$771=DY19,'Eval-Avec act. écol. envisagée'!$L$771&lt;120,'Eval-Avec act. écol. envisagée'!$L$771&gt;=EV19),AND('Eval-Avec act. écol. envisagée'!$A$772=DY19,'Eval-Avec act. écol. envisagée'!$L$772&lt;120,'Eval-Avec act. écol. envisagée'!$L$772&gt;=EV20),AND('Eval-Avec act. écol. envisagée'!$A$773=DY19,'Eval-Avec act. écol. envisagée'!$L$773&lt;120,'Eval-Avec act. écol. envisagée'!$L$773&gt;=EV21),AND('Eval-Avec act. écol. envisagée'!$A$774=DY19,'Eval-Avec act. écol. envisagée'!$L$774&lt;120,'Eval-Avec act. écol. envisagée'!$L$774&gt;=EV22),AND('Eval-Avec act. écol. envisagée'!$A$775=DY19,'Eval-Avec act. écol. envisagée'!$L$775&lt;120,'Eval-Avec act. écol. envisagée'!$L$775&gt;=EV23),AND('Eval-Avec act. écol. envisagée'!$A$776=DY19,'Eval-Avec act. écol. envisagée'!$L$776&lt;120,'Eval-Avec act. écol. envisagée'!$L$776&gt;=EV24),AND('Eval-Avec act. écol. envisagée'!$A$777=DY19,'Eval-Avec act. écol. envisagée'!$L$777&lt;120,'Eval-Avec act. écol. envisagée'!$L$777&gt;=EV25),AND('Eval-Avec act. écol. envisagée'!$A$778=DY19,'Eval-Avec act. écol. envisagée'!$L$778&lt;120,'Eval-Avec act. écol. envisagée'!$L$778&gt;=EV26),AND('Eval-Avec act. écol. envisagée'!$A$779=DY19,'Eval-Avec act. écol. envisagée'!$L$779&lt;120,'Eval-Avec act. écol. envisagée'!$L$779&gt;=EV27),AND('Eval-Avec act. écol. envisagée'!$A$780=DY19,'Eval-Avec act. écol. envisagée'!$L$780&lt;120,'Eval-Avec act. écol. envisagée'!$L$780&gt;=EV28)),"",SUM(IF('Eval-Avec act. écol. envisagée'!$A$761=DY19,'Eval-Avec act. écol. envisagée'!$L$761,0),IF('Eval-Avec act. écol. envisagée'!$A$762=DY19,'Eval-Avec act. écol. envisagée'!$L$762,0),IF('Eval-Avec act. écol. envisagée'!$A$763=DY19,'Eval-Avec act. écol. envisagée'!$L$763,0),IF('Eval-Avec act. écol. envisagée'!$A$764=DY19,'Eval-Avec act. écol. envisagée'!$L$764,0),IF('Eval-Avec act. écol. envisagée'!$A$765=DY19,'Eval-Avec act. écol. envisagée'!$L$765,0),IF('Eval-Avec act. écol. envisagée'!$A$766=DY19,'Eval-Avec act. écol. envisagée'!$L$766,0),IF('Eval-Avec act. écol. envisagée'!$A$767=DY19,'Eval-Avec act. écol. envisagée'!$L$767,0),IF('Eval-Avec act. écol. envisagée'!$A$768=DY19,'Eval-Avec act. écol. envisagée'!$L$768,0),IF('Eval-Avec act. écol. envisagée'!$A$769=DY19,'Eval-Avec act. écol. envisagée'!$L$769,0),IF('Eval-Avec act. écol. envisagée'!$A$770=DY19,'Eval-Avec act. écol. envisagée'!$L$770,0),IF('Eval-Avec act. écol. envisagée'!$A$771=DY19,'Eval-Avec act. écol. envisagée'!$L$771,0),IF('Eval-Avec act. écol. envisagée'!$A$772=DY19,'Eval-Avec act. écol. envisagée'!$L$772,0),IF('Eval-Avec act. écol. envisagée'!$A$773=DY19,'Eval-Avec act. écol. envisagée'!$L$773,0),IF('Eval-Avec act. écol. envisagée'!$A$774=DY19,'Eval-Avec act. écol. envisagée'!$L$774,0),IF('Eval-Avec act. écol. envisagée'!$A$775=DY19,'Eval-Avec act. écol. envisagée'!$L$775,0),IF('Eval-Avec act. écol. envisagée'!$A$776=DY19,'Eval-Avec act. écol. envisagée'!$L$776,0),IF('Eval-Avec act. écol. envisagée'!$A$777=DY19,'Eval-Avec act. écol. envisagée'!$L$777,0),IF('Eval-Avec act. écol. envisagée'!$A$778=DY19,'Eval-Avec act. écol. envisagée'!$L$778,0),IF('Eval-Avec act. écol. envisagée'!$A$779=DY19,'Eval-Avec act. écol. envisagée'!$L$779,0),IF('Eval-Avec act. écol. envisagée'!$A$780=DY19,'Eval-Avec act. écol. envisagée'!$L$780,0))/ COUNTIF('Eval-Avec act. écol. envisagée'!$A$761:$A$780,DY19)),"")</f>
        <v/>
      </c>
      <c r="EH19" s="211" t="str">
        <f>IF(COUNTIF('Eval-Avec act. écol. envisagée'!$A$761:$A$780,DY19)&gt;0,IF(OR(AND('Eval-Avec act. écol. envisagée'!$A$761=DY19, EV9&lt;120),AND(EV10&lt;120),AND(EV11&lt;120),AND(EV12&lt;120),AND(EV13&lt;120),AND(EV14&lt;120),AND(EV15&lt;120),AND(EV16&lt;120),AND(EV17&lt;120),AND(EV18&lt;120),AND(EV19&lt;120),AND(EV20&lt;120),AND(EV21&lt;120),AND(EV22&lt;120),AND(EV23&lt;120),AND(EV24&lt;120),AND(EV25&lt;120),AND(EV26&lt;120),AND(EV27&lt;120),AND(EV28&lt;120)),"",SUM(IF('Eval-Avec act. écol. envisagée'!$A$761=DY19,'Eval-Avec act. écol. envisagée'!$M$761,0),IF('Eval-Avec act. écol. envisagée'!$A$762=DY19,'Eval-Avec act. écol. envisagée'!$M$762,0),IF('Eval-Avec act. écol. envisagée'!$A$763=DY19,'Eval-Avec act. écol. envisagée'!$M$763,0),IF('Eval-Avec act. écol. envisagée'!$A$764=DY19,'Eval-Avec act. écol. envisagée'!$M$764,0),IF('Eval-Avec act. écol. envisagée'!$A$765=DY19,'Eval-Avec act. écol. envisagée'!$M$765,0),IF('Eval-Avec act. écol. envisagée'!$A$766=DY19,'Eval-Avec act. écol. envisagée'!$M$766,0),IF('Eval-Avec act. écol. envisagée'!$A$767=DY19,'Eval-Avec act. écol. envisagée'!$M$767,0),IF('Eval-Avec act. écol. envisagée'!$A$768=DY19,'Eval-Avec act. écol. envisagée'!$M$768,0),IF('Eval-Avec act. écol. envisagée'!$A$769=DY19,'Eval-Avec act. écol. envisagée'!$M$769,0),IF('Eval-Avec act. écol. envisagée'!$A$770=DY19,'Eval-Avec act. écol. envisagée'!$M$770,0),IF('Eval-Avec act. écol. envisagée'!$A$771=DY19,'Eval-Avec act. écol. envisagée'!$M$771,0),IF('Eval-Avec act. écol. envisagée'!$A$772=DY19,'Eval-Avec act. écol. envisagée'!$M$772,0),IF('Eval-Avec act. écol. envisagée'!$A$773=DY19,'Eval-Avec act. écol. envisagée'!$M$773,0),IF('Eval-Avec act. écol. envisagée'!$A$774=DY19,'Eval-Avec act. écol. envisagée'!$M$774,0),IF('Eval-Avec act. écol. envisagée'!$A$775=DY19,'Eval-Avec act. écol. envisagée'!$M$775,0), IF('Eval-Avec act. écol. envisagée'!$A$776=DY19,'Eval-Avec act. écol. envisagée'!$M$776,0), IF('Eval-Avec act. écol. envisagée'!$A$777=DY19,'Eval-Avec act. écol. envisagée'!$M$777,0), IF('Eval-Avec act. écol. envisagée'!$A$778=DY19,'Eval-Avec act. écol. envisagée'!$M$778,0), IF('Eval-Avec act. écol. envisagée'!$A$779=DY19,'Eval-Avec act. écol. envisagée'!$M$779,0), IF('Eval-Avec act. écol. envisagée'!$A$780=DY19,'Eval-Avec act. écol. envisagée'!$M$780,0))/COUNTIF('Eval-Avec act. écol. envisagée'!$A$761:$A$780,DY19)),"")</f>
        <v/>
      </c>
      <c r="EI19" s="211" t="str">
        <f>IF(COUNTIF('Eval-Avec act. écol. envisagée'!$A$761:$A$780,DY19)&gt;0,SUM(IF('Eval-Avec act. écol. envisagée'!$A$761=DY19,LEN(SUBSTITUTE((SUBSTITUTE(EX9,"TM","")),"TS",""))*10/2,0),IF('Eval-Avec act. écol. envisagée'!$A$762=DY19,LEN(SUBSTITUTE((SUBSTITUTE(EX10,"TM","")),"TS",""))*10/2,0),IF('Eval-Avec act. écol. envisagée'!$A$763=DY19,LEN(SUBSTITUTE((SUBSTITUTE(EX11,"TM","")),"TS",""))*10/2,0),IF('Eval-Avec act. écol. envisagée'!$A$764=DY19,LEN(SUBSTITUTE((SUBSTITUTE(EX12,"TM","")),"TS",""))*10/2,0),IF('Eval-Avec act. écol. envisagée'!$A$765=DY19,LEN(SUBSTITUTE((SUBSTITUTE(EX13,"TM","")),"TS",""))*10/2,0),IF('Eval-Avec act. écol. envisagée'!$A$766=DY19,LEN(SUBSTITUTE((SUBSTITUTE(EX14,"TM","")),"TS",""))*10/2,0),IF('Eval-Avec act. écol. envisagée'!$A$767=DY19,LEN(SUBSTITUTE((SUBSTITUTE(EX15,"TM","")),"TS",""))*10/2,0),IF('Eval-Avec act. écol. envisagée'!$A$768=DY19,LEN(SUBSTITUTE((SUBSTITUTE(EX16,"TM","")),"TS",""))*10/2,0),IF('Eval-Avec act. écol. envisagée'!$A$769=DY19,LEN(SUBSTITUTE((SUBSTITUTE(EX17,"TM","")),"TS",""))*10/2,0),IF('Eval-Avec act. écol. envisagée'!$A$770=DY19,LEN(SUBSTITUTE((SUBSTITUTE(EX18,"TM","")),"TS",""))*10/2,0),IF('Eval-Avec act. écol. envisagée'!$A$771=DY19,LEN(SUBSTITUTE((SUBSTITUTE(EX19,"TM","")),"TS",""))*10/2,0),IF('Eval-Avec act. écol. envisagée'!$A$772=DY19,LEN(SUBSTITUTE((SUBSTITUTE(EX20,"TM","")),"TS",""))*10/2,0),IF('Eval-Avec act. écol. envisagée'!$A$773=DY19,LEN(SUBSTITUTE((SUBSTITUTE(EX21,"TM","")),"TS",""))*10/2,0),IF('Eval-Avec act. écol. envisagée'!$A$774=DY19,LEN(SUBSTITUTE((SUBSTITUTE(EX22,"TM","")),"TS",""))*10/2,0),IF('Eval-Avec act. écol. envisagée'!$A$775=DY19,LEN(SUBSTITUTE((SUBSTITUTE(EX23,"TM","")),"TS",""))*10/2,0),IF('Eval-Avec act. écol. envisagée'!$A$776=DY19,LEN(SUBSTITUTE((SUBSTITUTE(EX24,"TM","")),"TS",""))*10/2,0),IF('Eval-Avec act. écol. envisagée'!$A$777=DY19,LEN(SUBSTITUTE((SUBSTITUTE(EX25,"TM","")),"TS",""))*10/2,0),IF('Eval-Avec act. écol. envisagée'!$A$778=DY19,LEN(SUBSTITUTE((SUBSTITUTE(EX26,"TM","")),"TS",""))*10/2,0),IF('Eval-Avec act. écol. envisagée'!$A$779=DY19,LEN(SUBSTITUTE((SUBSTITUTE(EX27,"TM","")),"TS",""))*10/2,0),IF('Eval-Avec act. écol. envisagée'!$A$780=DY19,LEN(SUBSTITUTE((SUBSTITUTE(EX28,"TM","")),"TS",""))*10/2,0))/COUNTIF('Eval-Avec act. écol. envisagée'!$A$761:$A$780,DY19),"")</f>
        <v/>
      </c>
      <c r="EJ19" s="211" t="str">
        <f>IF(COUNTIF('Eval-Avec act. écol. envisagée'!$A$761:$A$780,DY19)&gt;0,SUM(IF('Eval-Avec act. écol. envisagée'!$A$761=DY19,LEN(SUBSTITUTE((SUBSTITUTE(EX9,"TF","")),"TS",""))*10/2,0),IF('Eval-Avec act. écol. envisagée'!$A$762=DY19,LEN(SUBSTITUTE((SUBSTITUTE(EX10,"TF","")),"TS",""))*10/2,0),IF('Eval-Avec act. écol. envisagée'!$A$763=DY19,LEN(SUBSTITUTE((SUBSTITUTE(EX11,"TF","")),"TS",""))*10/2,0),IF('Eval-Avec act. écol. envisagée'!$A$764=DY19,LEN(SUBSTITUTE((SUBSTITUTE(EX12,"TF","")),"TS",""))*10/2,0),IF('Eval-Avec act. écol. envisagée'!$A$765=DY19,LEN(SUBSTITUTE((SUBSTITUTE(EX13,"TF","")),"TS",""))*10/2,0),IF('Eval-Avec act. écol. envisagée'!$A$766=DY19,LEN(SUBSTITUTE((SUBSTITUTE(EX14,"TF","")),"TS",""))*10/2,0),IF('Eval-Avec act. écol. envisagée'!$A$767=DY19,LEN(SUBSTITUTE((SUBSTITUTE(EX15,"TF","")),"TS",""))*10/2,0),IF('Eval-Avec act. écol. envisagée'!$A$768=DY19,LEN(SUBSTITUTE((SUBSTITUTE(EX16,"TF","")),"TS",""))*10/2,0),IF('Eval-Avec act. écol. envisagée'!$A$769=DY19,LEN(SUBSTITUTE((SUBSTITUTE(EX17,"TF","")),"TS",""))*10/2,0),IF('Eval-Avec act. écol. envisagée'!$A$770=DY19,LEN(SUBSTITUTE((SUBSTITUTE(EX18,"TF","")),"TS",""))*10/2,0),IF('Eval-Avec act. écol. envisagée'!$A$771=DY19,LEN(SUBSTITUTE((SUBSTITUTE(EX19,"TF","")),"TS",""))*10/2,0),IF('Eval-Avec act. écol. envisagée'!$A$772=DY19,LEN(SUBSTITUTE((SUBSTITUTE(EX20,"TF","")),"TS",""))*10/2,0),IF('Eval-Avec act. écol. envisagée'!$A$773=DY19,LEN(SUBSTITUTE((SUBSTITUTE(EX21,"TF","")),"TS",""))*10/2,0),IF('Eval-Avec act. écol. envisagée'!$A$774=DY19,LEN(SUBSTITUTE((SUBSTITUTE(EX22,"TF","")),"TS",""))*10/2,0),IF('Eval-Avec act. écol. envisagée'!$A$775=DY19,LEN(SUBSTITUTE((SUBSTITUTE(EX23,"TF","")),"TS",""))*10/2,0),IF('Eval-Avec act. écol. envisagée'!$A$776=DY19,LEN(SUBSTITUTE((SUBSTITUTE(EX24,"TF","")),"TS",""))*10/2,0),IF('Eval-Avec act. écol. envisagée'!$A$777=DY19,LEN(SUBSTITUTE((SUBSTITUTE(EX25,"TF","")),"TS",""))*10/2,0),IF('Eval-Avec act. écol. envisagée'!$A$778=DY19,LEN(SUBSTITUTE((SUBSTITUTE(EX26,"TF","")),"TS",""))*10/2,0),IF('Eval-Avec act. écol. envisagée'!$A$779=DY19,LEN(SUBSTITUTE((SUBSTITUTE(EX27,"TF","")),"TS",""))*10/2,0),IF('Eval-Avec act. écol. envisagée'!$A$780=DY19,LEN(SUBSTITUTE((SUBSTITUTE(EX28,"TF","")),"TS",""))*10/2,0))/COUNTIF('Eval-Avec act. écol. envisagée'!$A$761:$A$780,DY19),"")</f>
        <v/>
      </c>
      <c r="EK19" s="211" t="str">
        <f>IF(COUNTIF('Eval-Avec act. écol. envisagée'!$A$761:$A$780,DY19)&gt;0,SUM(IF('Eval-Avec act. écol. envisagée'!$A$761=DY19,LEN(SUBSTITUTE((SUBSTITUTE(EX9,"TF","")),"TM",""))*10/2,0),IF('Eval-Avec act. écol. envisagée'!$A$762=DY19,LEN(SUBSTITUTE((SUBSTITUTE(EX10,"TF","")),"TM",""))*10/2,0),IF('Eval-Avec act. écol. envisagée'!$A$763=DY19,LEN(SUBSTITUTE((SUBSTITUTE(EX11,"TF","")),"TM",""))*10/2,0),IF('Eval-Avec act. écol. envisagée'!$A$764=DY19,LEN(SUBSTITUTE((SUBSTITUTE(EX12,"TF","")),"TM",""))*10/2,0),IF('Eval-Avec act. écol. envisagée'!$A$765=DY19,LEN(SUBSTITUTE((SUBSTITUTE(EX13,"TF","")),"TM",""))*10/2,0),IF('Eval-Avec act. écol. envisagée'!$A$766=DY19,LEN(SUBSTITUTE((SUBSTITUTE(EX14,"TF","")),"TM",""))*10/2,0),IF('Eval-Avec act. écol. envisagée'!$A$767=DY19,LEN(SUBSTITUTE((SUBSTITUTE(EX15,"TF","")),"TM",""))*10/2,0),IF('Eval-Avec act. écol. envisagée'!$A$768=DY19,LEN(SUBSTITUTE((SUBSTITUTE(EX16,"TF","")),"TM",""))*10/2,0),IF('Eval-Avec act. écol. envisagée'!$A$769=DY19,LEN(SUBSTITUTE((SUBSTITUTE(EX17,"TF","")),"TM",""))*10/2,0),IF('Eval-Avec act. écol. envisagée'!$A$770=DY19,LEN(SUBSTITUTE((SUBSTITUTE(EX18,"TF","")),"TM",""))*10/2,0),IF('Eval-Avec act. écol. envisagée'!$A$771=DY19,LEN(SUBSTITUTE((SUBSTITUTE(EX19,"TF","")),"TM",""))*10/2,0),IF('Eval-Avec act. écol. envisagée'!$A$772=DY19,LEN(SUBSTITUTE((SUBSTITUTE(EX20,"TF","")),"TM",""))*10/2,0),IF('Eval-Avec act. écol. envisagée'!$A$773=DY19,LEN(SUBSTITUTE((SUBSTITUTE(EX21,"TF","")),"TM",""))*10/2,0),IF('Eval-Avec act. écol. envisagée'!$A$774=DY19,LEN(SUBSTITUTE((SUBSTITUTE(EX22,"TF","")),"TM",""))*10/2,0),IF('Eval-Avec act. écol. envisagée'!$A$775=DY19,LEN(SUBSTITUTE((SUBSTITUTE(EX23,"TF","")),"TM",""))*10/2,0),IF('Eval-Avec act. écol. envisagée'!$A$776=DY19,LEN(SUBSTITUTE((SUBSTITUTE(EX24,"TF","")),"TM",""))*10/2,0),IF('Eval-Avec act. écol. envisagée'!$A$777=DY19,LEN(SUBSTITUTE((SUBSTITUTE(EX25,"TF","")),"TM",""))*10/2,0),IF('Eval-Avec act. écol. envisagée'!$A$778=DY19,LEN(SUBSTITUTE((SUBSTITUTE(EX26,"TF","")),"TM",""))*10/2,0),IF('Eval-Avec act. écol. envisagée'!$A$779=DY19,LEN(SUBSTITUTE((SUBSTITUTE(EX27,"TF","")),"TM",""))*10/2,0),IF('Eval-Avec act. écol. envisagée'!$A$780=DY19,LEN(SUBSTITUTE((SUBSTITUTE(EX28,"TF","")),"TM",""))*10/2,0))/COUNTIF('Eval-Avec act. écol. envisagée'!$A$761:$A$780,DY19),"")</f>
        <v/>
      </c>
      <c r="EL19" s="211" t="str">
        <f>IF(COUNTIF('Eval-Avec act. écol. envisagée'!$A$761:$A$780,DY19)&gt;0,SUM(IF('Eval-Avec act. écol. envisagée'!$A$761=DY19,LEN(SUBSTITUTE((SUBSTITUTE(EY9,"TM","")),"TS",""))*10/2,0),IF('Eval-Avec act. écol. envisagée'!$A$762=DY19,LEN(SUBSTITUTE((SUBSTITUTE(EY10,"TM","")),"TS",""))*10/2,0),IF('Eval-Avec act. écol. envisagée'!$A$763=DY19,LEN(SUBSTITUTE((SUBSTITUTE(EY11,"TM","")),"TS",""))*10/2,0),IF('Eval-Avec act. écol. envisagée'!$A$764=DY19,LEN(SUBSTITUTE((SUBSTITUTE(EY12,"TM","")),"TS",""))*10/2,0),IF('Eval-Avec act. écol. envisagée'!$A$765=DY19,LEN(SUBSTITUTE((SUBSTITUTE(EY13,"TM","")),"TS",""))*10/2,0),IF('Eval-Avec act. écol. envisagée'!$A$766=DY19,LEN(SUBSTITUTE((SUBSTITUTE(EY14,"TM","")),"TS",""))*10/2,0),IF('Eval-Avec act. écol. envisagée'!$A$767=DY19,LEN(SUBSTITUTE((SUBSTITUTE(EY15,"TM","")),"TS",""))*10/2,0),IF('Eval-Avec act. écol. envisagée'!$A$768=DY19,LEN(SUBSTITUTE((SUBSTITUTE(EY16,"TM","")),"TS",""))*10/2,0),IF('Eval-Avec act. écol. envisagée'!$A$769=DY19,LEN(SUBSTITUTE((SUBSTITUTE(EY17,"TM","")),"TS",""))*10/2,0),IF('Eval-Avec act. écol. envisagée'!$A$770=DY19,LEN(SUBSTITUTE((SUBSTITUTE(EY18,"TM","")),"TS",""))*10/2,0),IF('Eval-Avec act. écol. envisagée'!$A$771=DY19,LEN(SUBSTITUTE((SUBSTITUTE(EY19,"TM","")),"TS",""))*10/2,0),IF('Eval-Avec act. écol. envisagée'!$A$772=DY19,LEN(SUBSTITUTE((SUBSTITUTE(EY20,"TM","")),"TS",""))*10/2,0),IF('Eval-Avec act. écol. envisagée'!$A$773=DY19,LEN(SUBSTITUTE((SUBSTITUTE(EY21,"TM","")),"TS",""))*10/2,0),IF('Eval-Avec act. écol. envisagée'!$A$774=DY19,LEN(SUBSTITUTE((SUBSTITUTE(EY22,"TM","")),"TS",""))*10/2,0),IF('Eval-Avec act. écol. envisagée'!$A$775=DY19,LEN(SUBSTITUTE((SUBSTITUTE(EY23,"TM","")),"TS",""))*10/2,0),IF('Eval-Avec act. écol. envisagée'!$A$776=DY19,LEN(SUBSTITUTE((SUBSTITUTE(EY24,"TM","")),"TS",""))*10/2,0),IF('Eval-Avec act. écol. envisagée'!$A$777=DY19,LEN(SUBSTITUTE((SUBSTITUTE(EY25,"TM","")),"TS",""))*10/2,0),IF('Eval-Avec act. écol. envisagée'!$A$778=DY19,LEN(SUBSTITUTE((SUBSTITUTE(EY26,"TM","")),"TS",""))*10/2,0),IF('Eval-Avec act. écol. envisagée'!$A$779=DY19,LEN(SUBSTITUTE((SUBSTITUTE(EY27,"TM","")),"TS",""))*10/2,0),IF('Eval-Avec act. écol. envisagée'!$A$780=DY19,LEN(SUBSTITUTE((SUBSTITUTE(EY28,"TM","")),"TS",""))*10/2,0))/COUNTIF('Eval-Avec act. écol. envisagée'!$A$761:$A$780,DY19),"")</f>
        <v/>
      </c>
      <c r="EM19" s="211" t="str">
        <f>IF(COUNTIF('Eval-Avec act. écol. envisagée'!$A$761:$A$780,DY19)&gt;0,SUM(IF('Eval-Avec act. écol. envisagée'!$A$761=DY19,LEN(SUBSTITUTE((SUBSTITUTE(EY9,"TF","")),"TS",""))*10/2,0),IF('Eval-Avec act. écol. envisagée'!$A$762=DY19,LEN(SUBSTITUTE((SUBSTITUTE(EY10,"TF","")),"TS",""))*10/2,0),IF('Eval-Avec act. écol. envisagée'!$A$763=DY19,LEN(SUBSTITUTE((SUBSTITUTE(EY11,"TF","")),"TS",""))*10/2,0),IF('Eval-Avec act. écol. envisagée'!$A$764=DY19,LEN(SUBSTITUTE((SUBSTITUTE(EY12,"TF","")),"TS",""))*10/2,0),IF('Eval-Avec act. écol. envisagée'!$A$765=DY19,LEN(SUBSTITUTE((SUBSTITUTE(EY13,"TF","")),"TS",""))*10/2,0),IF('Eval-Avec act. écol. envisagée'!$A$766=DY19,LEN(SUBSTITUTE((SUBSTITUTE(EY14,"TF","")),"TS",""))*10/2,0),IF('Eval-Avec act. écol. envisagée'!$A$767=DY19,LEN(SUBSTITUTE((SUBSTITUTE(EY15,"TF","")),"TS",""))*10/2,0),IF('Eval-Avec act. écol. envisagée'!$A$768=DY19,LEN(SUBSTITUTE((SUBSTITUTE(EY16,"TF","")),"TS",""))*10/2,0),IF('Eval-Avec act. écol. envisagée'!$A$769=DY19,LEN(SUBSTITUTE((SUBSTITUTE(EY17,"TF","")),"TS",""))*10/2,0),IF('Eval-Avec act. écol. envisagée'!$A$770=DY19,LEN(SUBSTITUTE((SUBSTITUTE(EY18,"TF","")),"TS",""))*10/2,0),IF('Eval-Avec act. écol. envisagée'!$A$771=DY19,LEN(SUBSTITUTE((SUBSTITUTE(EY19,"TF","")),"TS",""))*10/2,0),IF('Eval-Avec act. écol. envisagée'!$A$772=DY19,LEN(SUBSTITUTE((SUBSTITUTE(EY20,"TF","")),"TS",""))*10/2,0),IF('Eval-Avec act. écol. envisagée'!$A$773=DY19,LEN(SUBSTITUTE((SUBSTITUTE(EY21,"TF","")),"TS",""))*10/2,0),IF('Eval-Avec act. écol. envisagée'!$A$774=DY19,LEN(SUBSTITUTE((SUBSTITUTE(EY22,"TF","")),"TS",""))*10/2,0),IF('Eval-Avec act. écol. envisagée'!$A$775=DY19,LEN(SUBSTITUTE((SUBSTITUTE(EY23,"TF","")),"TS",""))*10/2,0),IF('Eval-Avec act. écol. envisagée'!$A$776=DY19,LEN(SUBSTITUTE((SUBSTITUTE(EY24,"TF","")),"TS",""))*10/2,0),IF('Eval-Avec act. écol. envisagée'!$A$777=DY19,LEN(SUBSTITUTE((SUBSTITUTE(EY25,"TF","")),"TS",""))*10/2,0),IF('Eval-Avec act. écol. envisagée'!$A$778=DY19,LEN(SUBSTITUTE((SUBSTITUTE(EY26,"TF","")),"TS",""))*10/2,0),IF('Eval-Avec act. écol. envisagée'!$A$779=DY19,LEN(SUBSTITUTE((SUBSTITUTE(EY27,"TF","")),"TS",""))*10/2,0),IF('Eval-Avec act. écol. envisagée'!$A$780=DY19,LEN(SUBSTITUTE((SUBSTITUTE(EY28,"TF","")),"TS",""))*10/2,0))/COUNTIF('Eval-Avec act. écol. envisagée'!$A$761:$A$780,DY19),"")</f>
        <v/>
      </c>
      <c r="EN19" s="211" t="str">
        <f>IF(COUNTIF('Eval-Avec act. écol. envisagée'!$A$761:$A$780,DY19)&gt;0,SUM(IF('Eval-Avec act. écol. envisagée'!$A$761=DY19,LEN(SUBSTITUTE((SUBSTITUTE(EY9,"TF","")),"TM",""))*10/2,0),IF('Eval-Avec act. écol. envisagée'!$A$762=DY19,LEN(SUBSTITUTE((SUBSTITUTE(EY10,"TF","")),"TM",""))*10/2,0),IF('Eval-Avec act. écol. envisagée'!$A$763=DY19,LEN(SUBSTITUTE((SUBSTITUTE(EY11,"TF","")),"TM",""))*10/2,0),IF('Eval-Avec act. écol. envisagée'!$A$764=DY19,LEN(SUBSTITUTE((SUBSTITUTE(EY12,"TF","")),"TM",""))*10/2,0),IF('Eval-Avec act. écol. envisagée'!$A$765=DY19,LEN(SUBSTITUTE((SUBSTITUTE(EY13,"TF","")),"TM",""))*10/2,0),IF('Eval-Avec act. écol. envisagée'!$A$766=DY19,LEN(SUBSTITUTE((SUBSTITUTE(EY14,"TF","")),"TM",""))*10/2,0),IF('Eval-Avec act. écol. envisagée'!$A$767=DY19,LEN(SUBSTITUTE((SUBSTITUTE(EY15,"TF","")),"TM",""))*10/2,0),IF('Eval-Avec act. écol. envisagée'!$A$768=DY19,LEN(SUBSTITUTE((SUBSTITUTE(EY16,"TF","")),"TM",""))*10/2,0),IF('Eval-Avec act. écol. envisagée'!$A$769=DY19,LEN(SUBSTITUTE((SUBSTITUTE(EY17,"TF","")),"TM",""))*10/2,0),IF('Eval-Avec act. écol. envisagée'!$A$770=DY19,LEN(SUBSTITUTE((SUBSTITUTE(EY18,"TF","")),"TM",""))*10/2,0),IF('Eval-Avec act. écol. envisagée'!$A$771=DY19,LEN(SUBSTITUTE((SUBSTITUTE(EY19,"TF","")),"TM",""))*10/2,0),IF('Eval-Avec act. écol. envisagée'!$A$772=DY19,LEN(SUBSTITUTE((SUBSTITUTE(EY20,"TF","")),"TM",""))*10/2,0),IF('Eval-Avec act. écol. envisagée'!$A$773=DY19,LEN(SUBSTITUTE((SUBSTITUTE(EY21,"TF","")),"TM",""))*10/2,0),IF('Eval-Avec act. écol. envisagée'!$A$774=DY19,LEN(SUBSTITUTE((SUBSTITUTE(EY22,"TF","")),"TM",""))*10/2,0),IF('Eval-Avec act. écol. envisagée'!$A$775=DY19,LEN(SUBSTITUTE((SUBSTITUTE(EY23,"TF","")),"TM",""))*10/2,0),IF('Eval-Avec act. écol. envisagée'!$A$776=DY19,LEN(SUBSTITUTE((SUBSTITUTE(EY24,"TF","")),"TM",""))*10/2,0),IF('Eval-Avec act. écol. envisagée'!$A$777=DY19,LEN(SUBSTITUTE((SUBSTITUTE(EY25,"TF","")),"TM",""))*10/2,0),IF('Eval-Avec act. écol. envisagée'!$A$778=DY19,LEN(SUBSTITUTE((SUBSTITUTE(EY26,"TF","")),"TM",""))*10/2,0),IF('Eval-Avec act. écol. envisagée'!$A$779=DY19,LEN(SUBSTITUTE((SUBSTITUTE(EY27,"TF","")),"TM",""))*10/2,0),IF('Eval-Avec act. écol. envisagée'!$A$780=DY19,LEN(SUBSTITUTE((SUBSTITUTE(EY28,"TF","")),"TM",""))*10/2,0))/COUNTIF('Eval-Avec act. écol. envisagée'!$A$761:$A$780,DY19),"")</f>
        <v/>
      </c>
      <c r="EO19" s="211" t="str">
        <f>IF(COUNTIF('Eval-Avec act. écol. envisagée'!$A$761:$A$780,DY19)&gt;0,IF(OR(AND('Eval-Avec act. écol. envisagée'!$A$761=DY19,EV9&lt;30),AND('Eval-Avec act. écol. envisagée'!$A$762=DY19,EV10&lt;30),AND('Eval-Avec act. écol. envisagée'!$A$763=DY19,EV11&lt;30),AND('Eval-Avec act. écol. envisagée'!$A$764=DY19,EV12&lt;30),AND('Eval-Avec act. écol. envisagée'!$A$765=DY19,EV13&lt;30),AND('Eval-Avec act. écol. envisagée'!$A$766=DY19,EV14&lt;30),AND('Eval-Avec act. écol. envisagée'!$A$767=DY19,EV15&lt;30),AND('Eval-Avec act. écol. envisagée'!$A$768=DY19,EV16&lt;30),AND('Eval-Avec act. écol. envisagée'!$A$769=DY19,EV17&lt;30),AND('Eval-Avec act. écol. envisagée'!$A$770=DY19,EV18&lt;30),AND('Eval-Avec act. écol. envisagée'!$A$771=DY19,EV19&lt;30),AND('Eval-Avec act. écol. envisagée'!$A$772=DY19,EV20&lt;30),AND('Eval-Avec act. écol. envisagée'!$A$773=DY19,EV21&lt;30),AND('Eval-Avec act. écol. envisagée'!$A$774=DY19,EV22&lt;30),AND('Eval-Avec act. écol. envisagée'!$A$775=DY19,EV23&lt;30),AND('Eval-Avec act. écol. envisagée'!$A$776=DY19,EV24&lt;30),AND('Eval-Avec act. écol. envisagée'!$A$777=DY19,EV25&lt;30),AND('Eval-Avec act. écol. envisagée'!$A$778=DY19,EV26&lt;30),AND('Eval-Avec act. écol. envisagée'!$A$779=DY19,EV27&lt;30),AND('Eval-Avec act. écol. envisagée'!$A$780=DY19,EV28&lt;30)),"",SUM(0.1*(SUMPRODUCT(('Eval-Avec act. écol. envisagée'!$A$761:$A$780=DY19)*('Eval-Avec act. écol. envisagée'!$N$761:$P$780="A"))+ SUMPRODUCT(('Eval-Avec act. écol. envisagée'!$A$761:$A$780=DY19)*('Eval-Avec act. écol. envisagée'!$N$761:$P$780="AL"))),0.7*(SUMPRODUCT(('Eval-Avec act. écol. envisagée'!$A$761:$A$780=DY19)*('Eval-Avec act. écol. envisagée'!$N$761:$P$780="TF"))+SUMPRODUCT(('Eval-Avec act. écol. envisagée'!$A$761:$A$780=DY19)*('Eval-Avec act. écol. envisagée'!$N$761:$P$780="TM"))+SUMPRODUCT(('Eval-Avec act. écol. envisagée'!$A$761:$A$780=DY19)*('Eval-Avec act. écol. envisagée'!$N$761:$P$780="TS"))),0.4*(SUMPRODUCT(('Eval-Avec act. écol. envisagée'!$A$761:$A$780=DY19)*('Eval-Avec act. écol. envisagée'!$N$761:$P$780="LA"))+SUMPRODUCT(('Eval-Avec act. écol. envisagée'!$A$761:$A$780=DY19)*('Eval-Avec act. écol. envisagée'!$N$761:$P$780="L"))+SUMPRODUCT(('Eval-Avec act. écol. envisagée'!$A$761:$A$780=DY19)*('Eval-Avec act. écol. envisagée'!$N$761:$P$780="LS"))),1*(SUMPRODUCT(('Eval-Avec act. écol. envisagée'!$A$761:$A$780=DY19)*('Eval-Avec act. écol. envisagée'!$N$761:$P$780="SL"))+ SUMPRODUCT(('Eval-Avec act. écol. envisagée'!$A$761:$A$780=DY19)*('Eval-Avec act. écol. envisagée'!$N$761:$P$780="S"))))/(3*COUNTIF('Eval-Avec act. écol. envisagée'!$A$761:$A$780,DY19))),"")</f>
        <v/>
      </c>
      <c r="EP19" s="211" t="str">
        <f>IF(COUNTIF('Eval-Avec act. écol. envisagée'!$A$761:$A$780,DY19)&gt;0,IF(OR(AND('Eval-Avec act. écol. envisagée'!$A$761=DY19,EV9&lt;120),AND('Eval-Avec act. écol. envisagée'!$A$762=DY19,EV10&lt;120),AND('Eval-Avec act. écol. envisagée'!$A$763=DY19,EV11&lt;120),AND('Eval-Avec act. écol. envisagée'!$A$764=DY19,EV12&lt;120),AND('Eval-Avec act. écol. envisagée'!$A$765=DY19,EV13&lt;120),AND('Eval-Avec act. écol. envisagée'!$A$766=DY19,EV14&lt;120),AND('Eval-Avec act. écol. envisagée'!$A$767=DY19,EV15&lt;120),AND('Eval-Avec act. écol. envisagée'!$A$768=DY19,EV16&lt;120),AND('Eval-Avec act. écol. envisagée'!$A$769=DY19,EV17&lt;120),AND('Eval-Avec act. écol. envisagée'!$A$770=DY19,EV18&lt;120),AND('Eval-Avec act. écol. envisagée'!$A$771=DY19,EV19&lt;120),AND('Eval-Avec act. écol. envisagée'!$A$772=DY19,EV20&lt;120),AND('Eval-Avec act. écol. envisagée'!$A$773=DY19,EV21&lt;120),AND('Eval-Avec act. écol. envisagée'!$A$774=DY19,EV22&lt;120),AND('Eval-Avec act. écol. envisagée'!$A$775=DY19,EV23&lt;120),AND('Eval-Avec act. écol. envisagée'!$A$776=DY19,EV24&lt;120),AND('Eval-Avec act. écol. envisagée'!$A$777=DY19,EV25&lt;120),AND('Eval-Avec act. écol. envisagée'!$A$778=DY19,EV26&lt;120),AND('Eval-Avec act. écol. envisagée'!$A$779=DY19,EV27&lt;120),AND('Eval-Avec act. écol. envisagée'!$A$780=DY19,EV28&lt;120)),"",SUM(0.1*(SUMPRODUCT(('Eval-Avec act. écol. envisagée'!$A$761:$A$780=DY19)*('Eval-Avec act. écol. envisagée'!$Q$761:$Y$780="A"))+ SUMPRODUCT(('Eval-Avec act. écol. envisagée'!$A$761:$A$780=DY19)*('Eval-Avec act. écol. envisagée'!$Q$761:$Y$780="AL"))),0.7*(SUMPRODUCT(('Eval-Avec act. écol. envisagée'!$A$761:$A$780=DY19)*('Eval-Avec act. écol. envisagée'!$Q$761:$Y$780="TF"))+SUMPRODUCT(('Eval-Avec act. écol. envisagée'!$A$761:$A$780=DY19)*('Eval-Avec act. écol. envisagée'!$Q$761:$Y$780="TM"))+SUMPRODUCT(('Eval-Avec act. écol. envisagée'!$A$761:$A$780=DY19)*('Eval-Avec act. écol. envisagée'!$Q$761:$Y$780="TS"))),0.4*(SUMPRODUCT(('Eval-Avec act. écol. envisagée'!$A$761:$A$780=DY19)*('Eval-Avec act. écol. envisagée'!$Q$761:$Y$780="LA"))+SUMPRODUCT(('Eval-Avec act. écol. envisagée'!$A$761:$A$780=DY19)*('Eval-Avec act. écol. envisagée'!$Q$761:$Y$780="L"))+SUMPRODUCT(('Eval-Avec act. écol. envisagée'!$A$761:$A$780=DY19)*('Eval-Avec act. écol. envisagée'!$Q$761:$Y$780="LS"))),1*(SUMPRODUCT(('Eval-Avec act. écol. envisagée'!$A$761:$A$780=DY19)*('Eval-Avec act. écol. envisagée'!$Q$761:$Y$780="SL"))+ SUMPRODUCT(('Eval-Avec act. écol. envisagée'!$A$761:$A$780=DY19)*('Eval-Avec act. écol. envisagée'!$Q$761:$Y$780="S"))))/(9*COUNTIF('Eval-Avec act. écol. envisagée'!$A$761:$A$780,DY19))),"")</f>
        <v/>
      </c>
      <c r="EQ19" s="211" t="str">
        <f>IF(COUNTIF('Eval-Avec act. écol. envisagée'!$A$761:$A$780,DY19)&gt;0,IF(OR(AND('Eval-Avec act. écol. envisagée'!$A$761=DY19,OR(COUNTIF('Eval-Avec act. écol. envisagée'!$N$761:$P$761,"*T*")&gt;0,EV9&lt;30)),AND('Eval-Avec act. écol. envisagée'!$A$762=DY19,OR(COUNTIF('Eval-Avec act. écol. envisagée'!$N$762:$P$762,"*T*")&gt;0,EV10&lt;30)),AND('Eval-Avec act. écol. envisagée'!$A$763=DY19,OR(COUNTIF('Eval-Avec act. écol. envisagée'!$N$763:$P$763,"*T*")&gt;0,EV11&lt;30)),AND('Eval-Avec act. écol. envisagée'!$A$764=DY19,OR(COUNTIF('Eval-Avec act. écol. envisagée'!$N$764:$P$764,"*T*")&gt;0,EV12&lt;30)),AND('Eval-Avec act. écol. envisagée'!$A$765=DY19,OR(COUNTIF('Eval-Avec act. écol. envisagée'!$N$765:$P$765,"*T*")&gt;0,EV13&lt;30)),AND('Eval-Avec act. écol. envisagée'!$A$766=DY19,OR(COUNTIF('Eval-Avec act. écol. envisagée'!$N$766:$P$766,"*T*")&gt;0,EV14&lt;30)),AND('Eval-Avec act. écol. envisagée'!$A$767=DY19,OR(COUNTIF('Eval-Avec act. écol. envisagée'!$N$767:$P$767,"*T*")&gt;0,EV15&lt;30)),AND('Eval-Avec act. écol. envisagée'!$A$768=DY19,OR(COUNTIF('Eval-Avec act. écol. envisagée'!$N$768:$P$768,"*T*")&gt;0,EV16&lt;30)),AND('Eval-Avec act. écol. envisagée'!$A$769=DY19,OR(COUNTIF('Eval-Avec act. écol. envisagée'!$N$769:$P$769,"*T*")&gt;0,EV17&lt;30)),AND('Eval-Avec act. écol. envisagée'!$A$770=DY19,OR(COUNTIF('Eval-Avec act. écol. envisagée'!$N$770:$P$770,"*T*")&gt;0,EV18&lt;30)),AND('Eval-Avec act. écol. envisagée'!$A$771=DY19,OR(COUNTIF('Eval-Avec act. écol. envisagée'!$N$771:$P$771,"*T*")&gt;0,EV19&lt;30)),AND('Eval-Avec act. écol. envisagée'!$A$772=DY19,OR(COUNTIF('Eval-Avec act. écol. envisagée'!$N$772:$P$772,"*T*")&gt;0,EV20&lt;30)),AND('Eval-Avec act. écol. envisagée'!$A$773=DY19,OR(COUNTIF('Eval-Avec act. écol. envisagée'!$N$773:$P$773,"*T*")&gt;0,EV21&lt;30)),AND('Eval-Avec act. écol. envisagée'!$A$774=DY19,OR(COUNTIF('Eval-Avec act. écol. envisagée'!$N$774:$P$774,"*T*")&gt;0,EV22&lt;30)),AND('Eval-Avec act. écol. envisagée'!$A$775=DY19,OR(COUNTIF('Eval-Avec act. écol. envisagée'!$N$775:$P$775,"*T*")&gt;0,EV23&lt;30)),AND('Eval-Avec act. écol. envisagée'!$A$776=DY19,OR(COUNTIF('Eval-Avec act. écol. envisagée'!$N$776:$P$776,"*T*")&gt;0,EV24&lt;30)),AND('Eval-Avec act. écol. envisagée'!$A$777=DY19,OR(COUNTIF('Eval-Avec act. écol. envisagée'!$N$777:$P$777,"*T*")&gt;0,EV25&lt;30)),AND('Eval-Avec act. écol. envisagée'!$A$778=DY19,OR(COUNTIF('Eval-Avec act. écol. envisagée'!$N$778:$P$778,"*T*")&gt;0,EV26&lt;30)),AND('Eval-Avec act. écol. envisagée'!$A$779=DY19,OR(COUNTIF('Eval-Avec act. écol. envisagée'!$N$779:$P$779,"*T*")&gt;0,EV27&lt;30)),AND('Eval-Avec act. écol. envisagée'!$A$780=DY19,OR(COUNTIF('Eval-Avec act. écol. envisagée'!$N$780:$P$780,"*T*")&gt;0,EV28&lt;30))),"",SUM(0.1*(SUMPRODUCT(('Eval-Avec act. écol. envisagée'!$A$761:$A$780=DY19)*('Eval-Avec act. écol. envisagée'!$N$761:$P$780="L"))),0.4*(SUMPRODUCT(('Eval-Avec act. écol. envisagée'!$A$761:$A$780=DY19)*('Eval-Avec act. écol. envisagée'!$N$761:$P$780="LA"))+SUMPRODUCT(('Eval-Avec act. écol. envisagée'!$A$761:$A$780=DY19)*('Eval-Avec act. écol. envisagée'!$N$761:$P$780="LS"))),0.7*(SUMPRODUCT(('Eval-Avec act. écol. envisagée'!$A$761:$A$780=DY19)*('Eval-Avec act. écol. envisagée'!$N$761:$P$780="AL"))+SUMPRODUCT(('Eval-Avec act. écol. envisagée'!$A$761:$A$780=DY19)*('Eval-Avec act. écol. envisagée'!$N$761:$P$780="SL"))),1*(SUMPRODUCT(('Eval-Avec act. écol. envisagée'!$A$761:$A$780=DY19)*('Eval-Avec act. écol. envisagée'!$N$761:$P$780="S"))+ SUMPRODUCT(('Eval-Avec act. écol. envisagée'!$A$761:$A$780=DY19)*('Eval-Avec act. écol. envisagée'!$N$761:$P$780="A"))))/(3*COUNTIF('Eval-Avec act. écol. envisagée'!$A$761:$A$780,DY19))),"")</f>
        <v/>
      </c>
      <c r="ER19" s="211" t="str">
        <f>IF(COUNTIF('Eval-Avec act. écol. envisagée'!$A$761:$A$780,DY19)&gt;0,IF(OR(AND('Eval-Avec act. écol. envisagée'!$A$761=DY19,OR(COUNTIF('Eval-Avec act. écol. envisagée'!$N$761:$P$761,"*T*")&gt;0,EV9&lt;30)),AND('Eval-Avec act. écol. envisagée'!$A$762=DY19,OR(COUNTIF('Eval-Avec act. écol. envisagée'!$N$762:$P$762,"*T*")&gt;0,EV10&lt;30)),AND('Eval-Avec act. écol. envisagée'!$A$763=DY19,OR(COUNTIF('Eval-Avec act. écol. envisagée'!$N$763:$P$763,"*T*")&gt;0,EV11&lt;30)),AND('Eval-Avec act. écol. envisagée'!$A$764=DY19,OR(COUNTIF('Eval-Avec act. écol. envisagée'!$N$764:$P$764,"*T*")&gt;0,EV12&lt;30)),AND('Eval-Avec act. écol. envisagée'!$A$765=DY19,OR(COUNTIF('Eval-Avec act. écol. envisagée'!$N$765:$P$765,"*T*")&gt;0,EV13&lt;30)),AND('Eval-Avec act. écol. envisagée'!$A$766=DY19,OR(COUNTIF('Eval-Avec act. écol. envisagée'!$N$766:$P$766,"*T*")&gt;0,EV14&lt;30)),AND('Eval-Avec act. écol. envisagée'!$A$767=DY19,OR(COUNTIF('Eval-Avec act. écol. envisagée'!$N$767:$P$767,"*T*")&gt;0,EV15&lt;30)),AND('Eval-Avec act. écol. envisagée'!$A$768=DY19,OR(COUNTIF('Eval-Avec act. écol. envisagée'!$N$768:$P$768,"*T*")&gt;0,EV16&lt;30)),AND('Eval-Avec act. écol. envisagée'!$A$769=DY19,OR(COUNTIF('Eval-Avec act. écol. envisagée'!$N$769:$P$769,"*T*")&gt;0,EV17&lt;30)),AND('Eval-Avec act. écol. envisagée'!$A$770=DY19,OR(COUNTIF('Eval-Avec act. écol. envisagée'!$N$770:$P$770,"*T*")&gt;0,EV18&lt;30)),AND('Eval-Avec act. écol. envisagée'!$A$771=DY19,OR(COUNTIF('Eval-Avec act. écol. envisagée'!$N$771:$P$771,"*T*")&gt;0,EV19&lt;30)),AND('Eval-Avec act. écol. envisagée'!$A$772=DY19,OR(COUNTIF('Eval-Avec act. écol. envisagée'!$N$772:$P$772,"*T*")&gt;0,EV20&lt;30)),AND('Eval-Avec act. écol. envisagée'!$A$773=DY19,OR(COUNTIF('Eval-Avec act. écol. envisagée'!$N$773:$P$773,"*T*")&gt;0,EV21&lt;30)),AND('Eval-Avec act. écol. envisagée'!$A$774=DY19,OR(COUNTIF('Eval-Avec act. écol. envisagée'!$N$774:$P$774,"*T*")&gt;0,EV22&lt;30)),AND('Eval-Avec act. écol. envisagée'!$A$775=DY19,OR(COUNTIF('Eval-Avec act. écol. envisagée'!$N$775:$P$775,"*T*")&gt;0,EV23&lt;30)),AND('Eval-Avec act. écol. envisagée'!$A$776=DY19,OR(COUNTIF('Eval-Avec act. écol. envisagée'!$N$776:$P$776,"*T*")&gt;0,EV24&lt;30)),AND('Eval-Avec act. écol. envisagée'!$A$777=DY19,OR(COUNTIF('Eval-Avec act. écol. envisagée'!$N$777:$P$777,"*T*")&gt;0,EV25&lt;30)),AND('Eval-Avec act. écol. envisagée'!$A$778=DY19,OR(COUNTIF('Eval-Avec act. écol. envisagée'!$N$778:$P$778,"*T*")&gt;0,EV26&lt;30)),AND('Eval-Avec act. écol. envisagée'!$A$779=DY19,OR(COUNTIF('Eval-Avec act. écol. envisagée'!$N$779:$P$779,"*T*")&gt;0,EV27&lt;30)),AND('Eval-Avec act. écol. envisagée'!$A$780=DY19,OR(COUNTIF('Eval-Avec act. écol. envisagée'!$N$780:$P$780,"*T*")&gt;0,EV28&lt;30))),"",SUM(1*(SUMPRODUCT(('Eval-Avec act. écol. envisagée'!$A$761:$A$780=DY19)*('Eval-Avec act. écol. envisagée'!$N$761:$P$780="A"))),0.85*(SUMPRODUCT(('Eval-Avec act. écol. envisagée'!$A$761:$A$780=DY19)*('Eval-Avec act. écol. envisagée'!$N$761:$P$780="AL"))),0.7*(SUMPRODUCT(('Eval-Avec act. écol. envisagée'!$A$761:$A$780=DY19)*('Eval-Avec act. écol. envisagée'!$N$761:$P$780="LA"))),0.55*(SUMPRODUCT(('Eval-Avec act. écol. envisagée'!$A$761:$A$780=DY19)*('Eval-Avec act. écol. envisagée'!$N$761:$P$780="L"))),0.4*(SUMPRODUCT(('Eval-Avec act. écol. envisagée'!$A$761:$A$780=DY19)*('Eval-Avec act. écol. envisagée'!$N$761:$P$780="LS"))),0.25*(SUMPRODUCT(('Eval-Avec act. écol. envisagée'!$A$761:$A$780=DY19)*('Eval-Avec act. écol. envisagée'!$N$761:$P$780="SL"))),0.1*(SUMPRODUCT(('Eval-Avec act. écol. envisagée'!$A$761:$A$780=DY19)*('Eval-Avec act. écol. envisagée'!$N$761:$P$780="S"))))/(3*COUNTIF('Eval-Avec act. écol. envisagée'!$A$761:$A$780,DY19))),"")</f>
        <v/>
      </c>
      <c r="ES19" s="214" t="str">
        <f>IF(COUNTIF('Eval-Avec act. écol. envisagée'!$A$761:$A$780,DY19)&gt;0,IF(OR(AND('Eval-Avec act. écol. envisagée'!$A$761=DY19,OR(COUNTIF('Eval-Avec act. écol. envisagée'!$Q$761:$Y$761,"*T*")&gt;0,EV9&lt;120)),AND('Eval-Avec act. écol. envisagée'!$A$762=DY19,OR(COUNTIF('Eval-Avec act. écol. envisagée'!$Q$762:$Y$762,"*T*")&gt;0,EV10&lt;120)),AND('Eval-Avec act. écol. envisagée'!$A$763=DY19,OR(COUNTIF('Eval-Avec act. écol. envisagée'!$Q$763:$Y$763,"*T*")&gt;0,EV11&lt;120)),AND('Eval-Avec act. écol. envisagée'!$A$764=DY19,OR(COUNTIF('Eval-Avec act. écol. envisagée'!$Q$764:$Y$764,"*T*")&gt;0,EV12&lt;120)),AND('Eval-Avec act. écol. envisagée'!$A$765=DY19,OR(COUNTIF('Eval-Avec act. écol. envisagée'!$Q$765:$Y$765,"*T*")&gt;0,EV13&lt;120)),AND('Eval-Avec act. écol. envisagée'!$A$766=DY19,OR(COUNTIF('Eval-Avec act. écol. envisagée'!$Q$766:$Y$766,"*T*")&gt;0,EV14&lt;120)),AND('Eval-Avec act. écol. envisagée'!$A$767=DY19,OR(COUNTIF('Eval-Avec act. écol. envisagée'!$Q$767:$Y$767,"*T*")&gt;0,EV15&lt;120)),AND('Eval-Avec act. écol. envisagée'!$A$768=DY19,OR(COUNTIF('Eval-Avec act. écol. envisagée'!$Q$768:$Y$768,"*T*")&gt;0,EV16&lt;120)),AND('Eval-Avec act. écol. envisagée'!$A$769=DY19,OR(COUNTIF('Eval-Avec act. écol. envisagée'!$Q$769:$Y$769,"*T*")&gt;0,EV17&lt;120)),AND('Eval-Avec act. écol. envisagée'!$A$770=DY19,OR(COUNTIF('Eval-Avec act. écol. envisagée'!$Q$770:$Y$770,"*T*")&gt;0,EV18&lt;120)),AND('Eval-Avec act. écol. envisagée'!$A$771=DY19,OR(COUNTIF('Eval-Avec act. écol. envisagée'!$Q$771:$Y$771,"*T*")&gt;0,EV19&lt;120)),AND('Eval-Avec act. écol. envisagée'!$A$772=DY19,OR(COUNTIF('Eval-Avec act. écol. envisagée'!$Q$772:$Y$772,"*T*")&gt;0,EV20&lt;120)),AND('Eval-Avec act. écol. envisagée'!$A$773=DY19,OR(COUNTIF('Eval-Avec act. écol. envisagée'!$Q$773:$Y$773,"*T*")&gt;0,EV21&lt;120)),AND('Eval-Avec act. écol. envisagée'!$A$774=DY19,OR(COUNTIF('Eval-Avec act. écol. envisagée'!$Q$774:$Y$774,"*T*")&gt;0,EV22&lt;120)),AND('Eval-Avec act. écol. envisagée'!$A$775=DY19,OR(COUNTIF('Eval-Avec act. écol. envisagée'!$Q$775:$Y$775,"*T*")&gt;0,EV23&lt;120)),AND('Eval-Avec act. écol. envisagée'!$A$776=DY19,OR(COUNTIF('Eval-Avec act. écol. envisagée'!$Q$776:$Y$776,"*T*")&gt;0,EV24&lt;120)),AND('Eval-Avec act. écol. envisagée'!$A$777=DY19,OR(COUNTIF('Eval-Avec act. écol. envisagée'!$Q$777:$Y$777,"*T*")&gt;0,EV25&lt;120)),AND('Eval-Avec act. écol. envisagée'!$A$778=DY19,OR(COUNTIF('Eval-Avec act. écol. envisagée'!$Q$778:$Y$778,"*T*")&gt;0,EV26&lt;120)),AND('Eval-Avec act. écol. envisagée'!$A$779=DY19,OR(COUNTIF('Eval-Avec act. écol. envisagée'!$Q$779:$Y$779,"*T*")&gt;0,EV27&lt;120)),AND('Eval-Avec act. écol. envisagée'!$A$780=DY19,OR(COUNTIF('Eval-Avec act. écol. envisagée'!$Q$780:$Y$780,"*T*")&gt;0,EV28&lt;120))),"",SUM(1*(SUMPRODUCT(('Eval-Avec act. écol. envisagée'!$A$761:$A$780=DY19)*('Eval-Avec act. écol. envisagée'!$Q$761:$Y$780="A"))),0.85*(SUMPRODUCT(('Eval-Avec act. écol. envisagée'!$A$761:$A$780=DY19)*('Eval-Avec act. écol. envisagée'!$Q$761:$Y$780="AL"))),0.7*(SUMPRODUCT(('Eval-Avec act. écol. envisagée'!$A$761:$A$780=DY19)*('Eval-Avec act. écol. envisagée'!$Q$761:$Y$780="LA"))),0.55*(SUMPRODUCT(('Eval-Avec act. écol. envisagée'!$A$761:$A$780=DY19)*('Eval-Avec act. écol. envisagée'!$Q$761:$Y$780="L"))),0.4*(SUMPRODUCT(('Eval-Avec act. écol. envisagée'!$A$761:$A$780=DY19)*('Eval-Avec act. écol. envisagée'!$Q$761:$Y$780="LS"))),0.25*(SUMPRODUCT(('Eval-Avec act. écol. envisagée'!$A$761:$A$780=DY19)*('Eval-Avec act. écol. envisagée'!$Q$761:$Y$780="SL"))),0.1*(SUMPRODUCT(('Eval-Avec act. écol. envisagée'!$A$761:$A$780=DY19)*('Eval-Avec act. écol. envisagée'!$Q$761:$Y$780="S"))))/(9*COUNTIF('Eval-Avec act. écol. envisagée'!$A$761:$A$780,DY19))),"")</f>
        <v/>
      </c>
      <c r="ET19" s="215"/>
      <c r="EU19" s="216">
        <f>'Eval-Avec act. écol. envisagée'!$D$771</f>
        <v>11</v>
      </c>
      <c r="EV19" s="217" t="str">
        <f>IF(EW19="C",0,IF(IF(COUNTIF('Eval-Avec act. écol. envisagée'!$N$771:$Y$771,"=C")&gt;0,(COUNTA('Eval-Avec act. écol. envisagée'!$N$771:$Y$771)-1)*10,COUNTA('Eval-Avec act. écol. envisagée'!$N$771:$Y$771)*10)=0,"",IF(COUNTIF('Eval-Avec act. écol. envisagée'!$N$771:$Y$771,"=C")&gt;0,(COUNTA('Eval-Avec act. écol. envisagée'!$N$771:$Y$771)-1)*10,COUNTA('Eval-Avec act. écol. envisagée'!$N$771:$Y$771)*10)))</f>
        <v/>
      </c>
      <c r="EW19" s="217" t="str">
        <f>CONCATENATE('Eval-Avec act. écol. envisagée'!$N$771,'Eval-Avec act. écol. envisagée'!$O$771,'Eval-Avec act. écol. envisagée'!$P$771,'Eval-Avec act. écol. envisagée'!$Q$771,'Eval-Avec act. écol. envisagée'!$R$771,'Eval-Avec act. écol. envisagée'!$S$771,'Eval-Avec act. écol. envisagée'!$T$771,'Eval-Avec act. écol. envisagée'!$U$771,'Eval-Avec act. écol. envisagée'!$V$771,'Eval-Avec act. écol. envisagée'!$W$771,'Eval-Avec act. écol. envisagée'!$X$771,'Eval-Avec act. écol. envisagée'!$Y$771)</f>
        <v/>
      </c>
      <c r="EX19" s="217" t="str">
        <f t="shared" si="16"/>
        <v/>
      </c>
      <c r="EY19" s="217" t="str">
        <f t="shared" si="17"/>
        <v/>
      </c>
      <c r="EZ19" s="217" t="str">
        <f>IF(COUNTIF('Eval-Avec act. écol. envisagée'!$N$771:$Y$771,"=C")&gt;0,"X","")</f>
        <v/>
      </c>
      <c r="FA19" s="217" t="str">
        <f t="shared" si="18"/>
        <v/>
      </c>
      <c r="FB19" s="218" t="str">
        <f t="shared" si="19"/>
        <v/>
      </c>
      <c r="FC19" s="197"/>
      <c r="FE19" s="210">
        <v>11</v>
      </c>
      <c r="FF19" s="211" t="str">
        <f>IF(COUNTIF('Eval-Après action écologique'!$A$761:$A$780,FE19)&gt;0,SUM(IF('Eval-Après action écologique'!$A$761=FE19,'Eval-Après action écologique'!$B$761,0),IF('Eval-Après action écologique'!$A$762=FE19, 'Eval-Après action écologique'!$B$762,0),IF('Eval-Après action écologique'!$A$763=FE19, 'Eval-Après action écologique'!$B$763,0),IF('Eval-Après action écologique'!$A$764=FE19, 'Eval-Après action écologique'!$B$764,0),IF('Eval-Après action écologique'!$A$765=FE19, 'Eval-Après action écologique'!$B$765,0),IF('Eval-Après action écologique'!$A$766=FE19, 'Eval-Après action écologique'!$B$766,0),IF('Eval-Après action écologique'!$A$767=FE19, 'Eval-Après action écologique'!$B$767,0),IF('Eval-Après action écologique'!$A$768=FE19, 'Eval-Après action écologique'!$B$768,0),IF('Eval-Après action écologique'!$A$769=FE19, 'Eval-Après action écologique'!$B$769,0),IF('Eval-Après action écologique'!$A$770=FE19, 'Eval-Après action écologique'!$B$770,0),IF('Eval-Après action écologique'!$A$771=FE19, 'Eval-Après action écologique'!$B$771,0),IF('Eval-Après action écologique'!$A$772=FE19, 'Eval-Après action écologique'!$B$772,0),IF('Eval-Après action écologique'!$A$773=FE19, 'Eval-Après action écologique'!$B$773,0),IF('Eval-Après action écologique'!$A$774=FE19, 'Eval-Après action écologique'!$B$774,0),IF('Eval-Après action écologique'!$A$775=FE19, 'Eval-Après action écologique'!$B$775,0),IF('Eval-Après action écologique'!$A$776=FE19, 'Eval-Après action écologique'!$B$776,0),IF('Eval-Après action écologique'!$A$777=FE19, 'Eval-Après action écologique'!$B$777,0),IF('Eval-Après action écologique'!$A$778=FE19, 'Eval-Après action écologique'!$B$778,0),IF('Eval-Après action écologique'!$A$779=FE19, 'Eval-Après action écologique'!$B$779,0),IF('Eval-Après action écologique'!$A$780=FE19, 'Eval-Après action écologique'!$B$780,0))/COUNTIF('Eval-Après action écologique'!$A$761:$A$780,FE19),"")</f>
        <v/>
      </c>
      <c r="FG19" s="212" t="str">
        <f>IF(COUNTIF('Eval-Après action écologique'!$A$761:$A$780,FE19)&gt;0,COUNTIF('Eval-Après action écologique'!$A$761:$A$780,FE19),"")</f>
        <v/>
      </c>
      <c r="FH19" s="211" t="str">
        <f>IF(COUNTIF('Eval-Après action écologique'!$A$761:$A$780,FE19)&gt;0,IF(OR(AND('Eval-Après action écologique'!$A$761=FE19, 'Eval-Après action écologique'!$G$761=""),AND('Eval-Après action écologique'!$A$762=FE19, 'Eval-Après action écologique'!$G$762=""),AND('Eval-Après action écologique'!$A$763=FE19, 'Eval-Après action écologique'!$G$763=""),AND('Eval-Après action écologique'!$A$764=FE19, 'Eval-Après action écologique'!$G$764=""),AND('Eval-Après action écologique'!$A$765=FE19, 'Eval-Après action écologique'!$G$765=""),AND('Eval-Après action écologique'!$A$766=FE19, 'Eval-Après action écologique'!$G$766=""),AND('Eval-Après action écologique'!$A$767=FE19, 'Eval-Après action écologique'!$G$767=""),AND('Eval-Après action écologique'!$A$768=FE19, 'Eval-Après action écologique'!$G$768=""),AND('Eval-Après action écologique'!$A$769=FE19, 'Eval-Après action écologique'!$G$769=""),AND('Eval-Après action écologique'!$A$770=FE19, 'Eval-Après action écologique'!$G$770=""),AND('Eval-Après action écologique'!$A$771=FE19, 'Eval-Après action écologique'!$G$771=""),AND('Eval-Après action écologique'!$A$772=FE19, 'Eval-Après action écologique'!$G$772=""),AND('Eval-Après action écologique'!$A$773=FE19, 'Eval-Après action écologique'!$G$773=""),AND('Eval-Après action écologique'!$A$774=FE19, 'Eval-Après action écologique'!$G$774=""),AND('Eval-Après action écologique'!$A$775=FE19, 'Eval-Après action écologique'!$G$775=""),AND('Eval-Après action écologique'!$A$776=FE19, 'Eval-Après action écologique'!$G$776=""),AND('Eval-Après action écologique'!$A$777=FE19, 'Eval-Après action écologique'!$G$777=""),AND('Eval-Après action écologique'!$A$778=FE19, 'Eval-Après action écologique'!$G$778=""),AND('Eval-Après action écologique'!$A$779=FE19, 'Eval-Après action écologique'!$G$779=""),AND('Eval-Après action écologique'!$A$780=FE19, 'Eval-Après action écologique'!$G$780="")),"",SUM(IF('Eval-Après action écologique'!$A$761=FE19,'Eval-Après action écologique'!$G$761,0),IF('Eval-Après action écologique'!$A$762=FE19,'Eval-Après action écologique'!$G$762,0),IF('Eval-Après action écologique'!$A$763=FE19,'Eval-Après action écologique'!$G$763,0),IF('Eval-Après action écologique'!$A$764=FE19,'Eval-Après action écologique'!$G$764,0),IF('Eval-Après action écologique'!$A$765=FE19,'Eval-Après action écologique'!$G$765,0),IF('Eval-Après action écologique'!$A$766=FE19,'Eval-Après action écologique'!$G$766,0),IF('Eval-Après action écologique'!$A$767=FE19,'Eval-Après action écologique'!$G$767,0),IF('Eval-Après action écologique'!$A$768=FE19,'Eval-Après action écologique'!$G$768,0),IF('Eval-Après action écologique'!$A$769=FE19,'Eval-Après action écologique'!$G$769,0),IF('Eval-Après action écologique'!$A$770=FE19,'Eval-Après action écologique'!$G$770,0),IF('Eval-Après action écologique'!$A$771=FE19,'Eval-Après action écologique'!$G$771,0),IF('Eval-Après action écologique'!$A$772=FE19,'Eval-Après action écologique'!$G$772,0),IF('Eval-Après action écologique'!$A$773=FE19,'Eval-Après action écologique'!$G$773,0),IF('Eval-Après action écologique'!$A$774=FE19,'Eval-Après action écologique'!$G$774,0),IF('Eval-Après action écologique'!$A$775=FE19,'Eval-Après action écologique'!$G$775,0), IF('Eval-Après action écologique'!$A$776=FE19,'Eval-Après action écologique'!$G$776,0), IF('Eval-Après action écologique'!$A$777=FE19,'Eval-Après action écologique'!$G$777,0), IF('Eval-Après action écologique'!$A$778=FE19,'Eval-Après action écologique'!$G$778,0), IF('Eval-Après action écologique'!$A$779=FE19,'Eval-Après action écologique'!$G$779,0), IF('Eval-Après action écologique'!$A$780=FE19,'Eval-Après action écologique'!$G$780,0))/ COUNTIF('Eval-Après action écologique'!$A$761:$A$780,FE19)),"")</f>
        <v/>
      </c>
      <c r="FI19" s="212" t="str">
        <f>IF(COUNTIF('Eval-Après action écologique'!$A$761:$A$780,FE19)&gt;0,IF(SUM(IF('Eval-Après action écologique'!$A$761=FE19,COUNTA('Eval-Après action écologique'!$H$761),0),IF('Eval-Après action écologique'!$A$762=FE19,COUNTA('Eval-Après action écologique'!$H$762),0),IF('Eval-Après action écologique'!$A$763=FE19,COUNTA('Eval-Après action écologique'!$H$763),0),IF('Eval-Après action écologique'!$A$764=FE19,COUNTA('Eval-Après action écologique'!$H$764),0),IF('Eval-Après action écologique'!$A$765=FE19,COUNTA('Eval-Après action écologique'!$H$765),0),IF('Eval-Après action écologique'!$A$766=FE19,COUNTA('Eval-Après action écologique'!$H$766),0),IF('Eval-Après action écologique'!$A$767=FE19,COUNTA('Eval-Après action écologique'!$H$767),0),IF('Eval-Après action écologique'!$A$768=FE19,COUNTA('Eval-Après action écologique'!$H$768),0),IF('Eval-Après action écologique'!$A$769=FE19,COUNTA('Eval-Après action écologique'!$H$769),0),IF('Eval-Après action écologique'!$A$770=FE19,COUNTA('Eval-Après action écologique'!$H$770),0),IF('Eval-Après action écologique'!$A$771=FE19,COUNTA('Eval-Après action écologique'!$H$771),0),IF('Eval-Après action écologique'!$A$772=FE19,COUNTA('Eval-Après action écologique'!$H$772),0),IF('Eval-Après action écologique'!$A$773=FE19,COUNTA('Eval-Après action écologique'!$H$773),0),IF('Eval-Après action écologique'!$A$774=FE19,COUNTA('Eval-Après action écologique'!$H$774),0),IF('Eval-Après action écologique'!$A$775=FE19,COUNTA('Eval-Après action écologique'!$H$775),0),IF('Eval-Après action écologique'!$A$776=FE19,COUNTA('Eval-Après action écologique'!$H$776),0),IF('Eval-Après action écologique'!$A$777=FE19,COUNTA('Eval-Après action écologique'!$H$777),0),IF('Eval-Après action écologique'!$A$778=FE19,COUNTA('Eval-Après action écologique'!$H$778),0),IF('Eval-Après action écologique'!$A$779=FE19,COUNTA('Eval-Après action écologique'!$H$779),0),IF('Eval-Après action écologique'!$A$780=FE19,COUNTA('Eval-Après action écologique'!$H$780),0))&gt;0,"X",0),"")</f>
        <v/>
      </c>
      <c r="FJ19" s="213" t="str">
        <f>IF(COUNTIF('Eval-Après action écologique'!$A$761:$A$780,FE19)&gt;0,IF(SUM(IF('Eval-Après action écologique'!$A$761=FE19,COUNTA('Eval-Après action écologique'!$I$761),0),IF('Eval-Après action écologique'!$A$762=FE19,COUNTA('Eval-Après action écologique'!$I$762),0),IF('Eval-Après action écologique'!$A$763=FE19,COUNTA('Eval-Après action écologique'!$I$763),0),IF('Eval-Après action écologique'!$A$764=FE19,COUNTA('Eval-Après action écologique'!$I$764),0),IF('Eval-Après action écologique'!$A$765=FE19,COUNTA('Eval-Après action écologique'!$I$765),0),IF('Eval-Après action écologique'!$A$766=FE19,COUNTA('Eval-Après action écologique'!$I$766),0),IF('Eval-Après action écologique'!$A$767=FE19,COUNTA('Eval-Après action écologique'!$I$767),0),IF('Eval-Après action écologique'!$A$768=FE19,COUNTA('Eval-Après action écologique'!$I$768),0),IF('Eval-Après action écologique'!$A$769=FE19,COUNTA('Eval-Après action écologique'!$I$769),0),IF('Eval-Après action écologique'!$A$770=FE19,COUNTA('Eval-Après action écologique'!$I$770),0),IF('Eval-Après action écologique'!$A$771=FE19,COUNTA('Eval-Après action écologique'!$I$771),0),IF('Eval-Après action écologique'!$A$772=FE19,COUNTA('Eval-Après action écologique'!$I$772),0),IF('Eval-Après action écologique'!$A$773=FE19,COUNTA('Eval-Après action écologique'!$I$773),0),IF('Eval-Après action écologique'!$A$774=FE19,COUNTA('Eval-Après action écologique'!$I$774),0),IF('Eval-Après action écologique'!$A$775=FE19,COUNTA('Eval-Après action écologique'!$I$775),0),IF('Eval-Après action écologique'!$A$776=FE19,COUNTA('Eval-Après action écologique'!$I$776),0),IF('Eval-Après action écologique'!$A$777=FE19,COUNTA('Eval-Après action écologique'!$I$777),0),IF('Eval-Après action écologique'!$A$778=FE19,COUNTA('Eval-Après action écologique'!$I$778),0),IF('Eval-Après action écologique'!$A$779=FE19,COUNTA('Eval-Après action écologique'!$I$779),0),IF('Eval-Après action écologique'!$A$780=FE19,COUNTA('Eval-Après action écologique'!$I$780),0))&gt;0,"X",0),"")</f>
        <v/>
      </c>
      <c r="FK19" s="213" t="str">
        <f>IF(COUNTIF('Eval-Après action écologique'!$A$761:$A$780,FE19)&gt;0,IF(SUM(IF('Eval-Après action écologique'!$A$761=FE19,COUNTA('Eval-Après action écologique'!$J$761),0),IF('Eval-Après action écologique'!$A$762=FE19,COUNTA('Eval-Après action écologique'!$J$762),0),IF('Eval-Après action écologique'!$A$763=FE19,COUNTA('Eval-Après action écologique'!$J$763),0),IF('Eval-Après action écologique'!$A$764=FE19,COUNTA('Eval-Après action écologique'!$J$764),0),IF('Eval-Après action écologique'!$A$765=FE19,COUNTA('Eval-Après action écologique'!$J$765),0),IF('Eval-Après action écologique'!$A$766=FE19,COUNTA('Eval-Après action écologique'!$J$766),0),IF('Eval-Après action écologique'!$A$767=FE19,COUNTA('Eval-Après action écologique'!$J$767),0),IF('Eval-Après action écologique'!$A$768=FE19,COUNTA('Eval-Après action écologique'!$J$768),0),IF('Eval-Après action écologique'!$A$769=FE19,COUNTA('Eval-Après action écologique'!$J$769),0),IF('Eval-Après action écologique'!$A$770=FE19,COUNTA('Eval-Après action écologique'!$J$770),0),IF('Eval-Après action écologique'!$A$771=FE19,COUNTA('Eval-Après action écologique'!$J$771),0),IF('Eval-Après action écologique'!$A$772=FE19,COUNTA('Eval-Après action écologique'!$J$772),0),IF('Eval-Après action écologique'!$A$773=FE19,COUNTA('Eval-Après action écologique'!$J$773),0),IF('Eval-Après action écologique'!$A$774=FE19,COUNTA('Eval-Après action écologique'!$J$774),0),IF('Eval-Après action écologique'!$A$775=FE19,COUNTA('Eval-Après action écologique'!$J$775),0),IF('Eval-Après action écologique'!$A$776=FE19,COUNTA('Eval-Après action écologique'!$J$776),0),IF('Eval-Après action écologique'!$A$777=FE19,COUNTA('Eval-Après action écologique'!$J$777),0),IF('Eval-Après action écologique'!$A$778=FE19,COUNTA('Eval-Après action écologique'!$J$778),0),IF('Eval-Après action écologique'!$A$779=FE19,COUNTA('Eval-Après action écologique'!$J$779),0),IF('Eval-Après action écologique'!$A$780=FE19,COUNTA('Eval-Après action écologique'!$J$780),0))&gt;0,"X",0),"")</f>
        <v/>
      </c>
      <c r="FL19" s="213" t="str">
        <f>IF(COUNTIF('Eval-Après action écologique'!$A$761:$A$780,FE19)&gt;0,IF(SUM(IF('Eval-Après action écologique'!$A$761=FE19,COUNTA('Eval-Après action écologique'!$K$761),0),IF('Eval-Après action écologique'!$A$762=FE19,COUNTA('Eval-Après action écologique'!$K$762),0),IF('Eval-Après action écologique'!$A$763=FE19,COUNTA('Eval-Après action écologique'!$K$763),0),IF('Eval-Après action écologique'!$A$764=FE19,COUNTA('Eval-Après action écologique'!$K$764),0),IF('Eval-Après action écologique'!$A$765=FE19,COUNTA('Eval-Après action écologique'!$K$765),0),IF('Eval-Après action écologique'!$A$766=FE19,COUNTA('Eval-Après action écologique'!$K$766),0),IF('Eval-Après action écologique'!$A$767=FE19,COUNTA('Eval-Après action écologique'!$K$767),0),IF('Eval-Après action écologique'!$A$768=FE19,COUNTA('Eval-Après action écologique'!$K$768),0),IF('Eval-Après action écologique'!$A$769=FE19,COUNTA('Eval-Après action écologique'!$K$769),0),IF('Eval-Après action écologique'!$A$770=FE19,COUNTA('Eval-Après action écologique'!$K$770),0),IF('Eval-Après action écologique'!$A$771=FE19,COUNTA('Eval-Après action écologique'!$K$771),0),IF('Eval-Après action écologique'!$A$772=FE19,COUNTA('Eval-Après action écologique'!$K$772),0),IF('Eval-Après action écologique'!$A$773=FE19,COUNTA('Eval-Après action écologique'!$K$773),0),IF('Eval-Après action écologique'!$A$774=FE19,COUNTA('Eval-Après action écologique'!$K$774),0),IF('Eval-Après action écologique'!$A$775=FE19,COUNTA('Eval-Après action écologique'!$K$775),0),IF('Eval-Après action écologique'!$A$776=FE19,COUNTA('Eval-Après action écologique'!$K$776),0),IF('Eval-Après action écologique'!$A$777=FE19,COUNTA('Eval-Après action écologique'!$K$777),0),IF('Eval-Après action écologique'!$A$778=FE19,COUNTA('Eval-Après action écologique'!$K$778),0),IF('Eval-Après action écologique'!$A$779=FE19,COUNTA('Eval-Après action écologique'!$K$779),0),IF('Eval-Après action écologique'!$A$780=FE19,COUNTA('Eval-Après action écologique'!$K$780),0))&gt;0,"X",0),"")</f>
        <v/>
      </c>
      <c r="FM19" s="211" t="str">
        <f>IF(COUNTIF('Eval-Après action écologique'!$A$761:$A$780,FE19)&gt;0,IF(OR(AND('Eval-Après action écologique'!$A$761=FE19,'Eval-Après action écologique'!$L$761&lt;120,'Eval-Après action écologique'!$L$761&gt;=GB9),AND('Eval-Après action écologique'!$A$762=FE19,'Eval-Après action écologique'!$L$762&lt;120,'Eval-Après action écologique'!$L$762&gt;=GB10),AND('Eval-Après action écologique'!$A$763=FE19,'Eval-Après action écologique'!$L$763&lt;120,'Eval-Après action écologique'!$L$763&gt;=GB11),AND('Eval-Après action écologique'!$A$764=FE19,'Eval-Après action écologique'!$L$764&lt;120,'Eval-Après action écologique'!$L$764&gt;=GB12),AND('Eval-Après action écologique'!$A$765=FE19,'Eval-Après action écologique'!$L$765&lt;120,'Eval-Après action écologique'!$L$765&gt;=GB13),AND('Eval-Après action écologique'!$A$766=FE19,'Eval-Après action écologique'!$L$766&lt;120,'Eval-Après action écologique'!$L$766&gt;=GB14),AND('Eval-Après action écologique'!$A$767=FE19,'Eval-Après action écologique'!$L$767&lt;120,'Eval-Après action écologique'!$L$767&gt;=GB15),AND('Eval-Après action écologique'!$A$768=FE19,'Eval-Après action écologique'!$L$768&lt;120,'Eval-Après action écologique'!$L$768&gt;=GB16),AND('Eval-Après action écologique'!$A$769=FE19,'Eval-Après action écologique'!$L$769&lt;120,'Eval-Après action écologique'!$L$769&gt;=GB17),AND('Eval-Après action écologique'!$A$770=FE19,'Eval-Après action écologique'!$L$770&lt;120,'Eval-Après action écologique'!$L$770&gt;=GB18),AND('Eval-Après action écologique'!$A$771=FE19,'Eval-Après action écologique'!$L$771&lt;120,'Eval-Après action écologique'!$L$771&gt;=GB19),AND('Eval-Après action écologique'!$A$772=FE19,'Eval-Après action écologique'!$L$772&lt;120,'Eval-Après action écologique'!$L$772&gt;=GB20),AND('Eval-Après action écologique'!$A$773=FE19,'Eval-Après action écologique'!$L$773&lt;120,'Eval-Après action écologique'!$L$773&gt;=GB21),AND('Eval-Après action écologique'!$A$774=FE19,'Eval-Après action écologique'!$L$774&lt;120,'Eval-Après action écologique'!$L$774&gt;=GB22),AND('Eval-Après action écologique'!$A$775=FE19,'Eval-Après action écologique'!$L$775&lt;120,'Eval-Après action écologique'!$L$775&gt;=GB23),AND('Eval-Après action écologique'!$A$776=FE19,'Eval-Après action écologique'!$L$776&lt;120,'Eval-Après action écologique'!$L$776&gt;=GB24),AND('Eval-Après action écologique'!$A$777=FE19,'Eval-Après action écologique'!$L$777&lt;120,'Eval-Après action écologique'!$L$777&gt;=GB25),AND('Eval-Après action écologique'!$A$778=FE19,'Eval-Après action écologique'!$L$778&lt;120,'Eval-Après action écologique'!$L$778&gt;=GB26),AND('Eval-Après action écologique'!$A$779=FE19,'Eval-Après action écologique'!$L$779&lt;120,'Eval-Après action écologique'!$L$779&gt;=GB27),AND('Eval-Après action écologique'!$A$780=FE19,'Eval-Après action écologique'!$L$780&lt;120,'Eval-Après action écologique'!$L$780&gt;=GB28)),"",SUM(IF('Eval-Après action écologique'!$A$761=FE19,'Eval-Après action écologique'!$L$761,0),IF('Eval-Après action écologique'!$A$762=FE19,'Eval-Après action écologique'!$L$762,0),IF('Eval-Après action écologique'!$A$763=FE19,'Eval-Après action écologique'!$L$763,0),IF('Eval-Après action écologique'!$A$764=FE19,'Eval-Après action écologique'!$L$764,0),IF('Eval-Après action écologique'!$A$765=FE19,'Eval-Après action écologique'!$L$765,0),IF('Eval-Après action écologique'!$A$766=FE19,'Eval-Après action écologique'!$L$766,0),IF('Eval-Après action écologique'!$A$767=FE19,'Eval-Après action écologique'!$L$767,0),IF('Eval-Après action écologique'!$A$768=FE19,'Eval-Après action écologique'!$L$768,0),IF('Eval-Après action écologique'!$A$769=FE19,'Eval-Après action écologique'!$L$769,0),IF('Eval-Après action écologique'!$A$770=FE19,'Eval-Après action écologique'!$L$770,0),IF('Eval-Après action écologique'!$A$771=FE19,'Eval-Après action écologique'!$L$771,0),IF('Eval-Après action écologique'!$A$772=FE19,'Eval-Après action écologique'!$L$772,0),IF('Eval-Après action écologique'!$A$773=FE19,'Eval-Après action écologique'!$L$773,0),IF('Eval-Après action écologique'!$A$774=FE19,'Eval-Après action écologique'!$L$774,0),IF('Eval-Après action écologique'!$A$775=FE19,'Eval-Après action écologique'!$L$775,0),IF('Eval-Après action écologique'!$A$776=FE19,'Eval-Après action écologique'!$L$776,0),IF('Eval-Après action écologique'!$A$777=FE19,'Eval-Après action écologique'!$L$777,0),IF('Eval-Après action écologique'!$A$778=FE19,'Eval-Après action écologique'!$L$778,0),IF('Eval-Après action écologique'!$A$779=FE19,'Eval-Après action écologique'!$L$779,0),IF('Eval-Après action écologique'!$A$780=FE19,'Eval-Après action écologique'!$L$780,0))/ COUNTIF('Eval-Après action écologique'!$A$761:$A$780,FE19)),"")</f>
        <v/>
      </c>
      <c r="FN19" s="211" t="str">
        <f>IF(COUNTIF('Eval-Après action écologique'!$A$761:$A$780,FE19)&gt;0,IF(OR(AND('Eval-Après action écologique'!$A$761=FE19, GB9&lt;120),AND(GB10&lt;120),AND(GB11&lt;120),AND(GB12&lt;120),AND(GB13&lt;120),AND(GB14&lt;120),AND(GB15&lt;120),AND(GB16&lt;120),AND(GB17&lt;120),AND(GB18&lt;120),AND(GB19&lt;120),AND(GB20&lt;120),AND(GB21&lt;120),AND(GB22&lt;120),AND(GB23&lt;120),AND(GB24&lt;120),AND(GB25&lt;120),AND(GB26&lt;120),AND(GB27&lt;120),AND(GB28&lt;120)),"",SUM(IF('Eval-Après action écologique'!$A$761=FE19,'Eval-Après action écologique'!$M$761,0),IF('Eval-Après action écologique'!$A$762=FE19,'Eval-Après action écologique'!$M$762,0),IF('Eval-Après action écologique'!$A$763=FE19,'Eval-Après action écologique'!$M$763,0),IF('Eval-Après action écologique'!$A$764=FE19,'Eval-Après action écologique'!$M$764,0),IF('Eval-Après action écologique'!$A$765=FE19,'Eval-Après action écologique'!$M$765,0),IF('Eval-Après action écologique'!$A$766=FE19,'Eval-Après action écologique'!$M$766,0),IF('Eval-Après action écologique'!$A$767=FE19,'Eval-Après action écologique'!$M$767,0),IF('Eval-Après action écologique'!$A$768=FE19,'Eval-Après action écologique'!$M$768,0),IF('Eval-Après action écologique'!$A$769=FE19,'Eval-Après action écologique'!$M$769,0),IF('Eval-Après action écologique'!$A$770=FE19,'Eval-Après action écologique'!$M$770,0),IF('Eval-Après action écologique'!$A$771=FE19,'Eval-Après action écologique'!$M$771,0),IF('Eval-Après action écologique'!$A$772=FE19,'Eval-Après action écologique'!$M$772,0),IF('Eval-Après action écologique'!$A$773=FE19,'Eval-Après action écologique'!$M$773,0),IF('Eval-Après action écologique'!$A$774=FE19,'Eval-Après action écologique'!$M$774,0),IF('Eval-Après action écologique'!$A$775=FE19,'Eval-Après action écologique'!$M$775,0), IF('Eval-Après action écologique'!$A$776=FE19,'Eval-Après action écologique'!$M$776,0), IF('Eval-Après action écologique'!$A$777=FE19,'Eval-Après action écologique'!$M$777,0), IF('Eval-Après action écologique'!$A$778=FE19,'Eval-Après action écologique'!$M$778,0), IF('Eval-Après action écologique'!$A$779=FE19,'Eval-Après action écologique'!$M$779,0), IF('Eval-Après action écologique'!$A$780=FE19,'Eval-Après action écologique'!$M$780,0))/COUNTIF('Eval-Après action écologique'!$A$761:$A$780,FE19)),"")</f>
        <v/>
      </c>
      <c r="FO19" s="211" t="str">
        <f>IF(COUNTIF('Eval-Après action écologique'!$A$761:$A$780,FE19)&gt;0,SUM(IF('Eval-Après action écologique'!$A$761=FE19,LEN(SUBSTITUTE((SUBSTITUTE(GD9,"TM","")),"TS",""))*10/2,0),IF('Eval-Après action écologique'!$A$762=FE19,LEN(SUBSTITUTE((SUBSTITUTE(GD10,"TM","")),"TS",""))*10/2,0),IF('Eval-Après action écologique'!$A$763=FE19,LEN(SUBSTITUTE((SUBSTITUTE(GD11,"TM","")),"TS",""))*10/2,0),IF('Eval-Après action écologique'!$A$764=FE19,LEN(SUBSTITUTE((SUBSTITUTE(GD12,"TM","")),"TS",""))*10/2,0),IF('Eval-Après action écologique'!$A$765=FE19,LEN(SUBSTITUTE((SUBSTITUTE(GD13,"TM","")),"TS",""))*10/2,0),IF('Eval-Après action écologique'!$A$766=FE19,LEN(SUBSTITUTE((SUBSTITUTE(GD14,"TM","")),"TS",""))*10/2,0),IF('Eval-Après action écologique'!$A$767=FE19,LEN(SUBSTITUTE((SUBSTITUTE(GD15,"TM","")),"TS",""))*10/2,0),IF('Eval-Après action écologique'!$A$768=FE19,LEN(SUBSTITUTE((SUBSTITUTE(GD16,"TM","")),"TS",""))*10/2,0),IF('Eval-Après action écologique'!$A$769=FE19,LEN(SUBSTITUTE((SUBSTITUTE(GD17,"TM","")),"TS",""))*10/2,0),IF('Eval-Après action écologique'!$A$770=FE19,LEN(SUBSTITUTE((SUBSTITUTE(GD18,"TM","")),"TS",""))*10/2,0),IF('Eval-Après action écologique'!$A$771=FE19,LEN(SUBSTITUTE((SUBSTITUTE(GD19,"TM","")),"TS",""))*10/2,0),IF('Eval-Après action écologique'!$A$772=FE19,LEN(SUBSTITUTE((SUBSTITUTE(GD20,"TM","")),"TS",""))*10/2,0),IF('Eval-Après action écologique'!$A$773=FE19,LEN(SUBSTITUTE((SUBSTITUTE(GD21,"TM","")),"TS",""))*10/2,0),IF('Eval-Après action écologique'!$A$774=FE19,LEN(SUBSTITUTE((SUBSTITUTE(GD22,"TM","")),"TS",""))*10/2,0),IF('Eval-Après action écologique'!$A$775=FE19,LEN(SUBSTITUTE((SUBSTITUTE(GD23,"TM","")),"TS",""))*10/2,0),IF('Eval-Après action écologique'!$A$776=FE19,LEN(SUBSTITUTE((SUBSTITUTE(GD24,"TM","")),"TS",""))*10/2,0),IF('Eval-Après action écologique'!$A$777=FE19,LEN(SUBSTITUTE((SUBSTITUTE(GD25,"TM","")),"TS",""))*10/2,0),IF('Eval-Après action écologique'!$A$778=FE19,LEN(SUBSTITUTE((SUBSTITUTE(GD26,"TM","")),"TS",""))*10/2,0),IF('Eval-Après action écologique'!$A$779=FE19,LEN(SUBSTITUTE((SUBSTITUTE(GD27,"TM","")),"TS",""))*10/2,0),IF('Eval-Après action écologique'!$A$780=FE19,LEN(SUBSTITUTE((SUBSTITUTE(GD28,"TM","")),"TS",""))*10/2,0))/COUNTIF('Eval-Après action écologique'!$A$761:$A$780,FE19),"")</f>
        <v/>
      </c>
      <c r="FP19" s="211" t="str">
        <f>IF(COUNTIF('Eval-Après action écologique'!$A$761:$A$780,FE19)&gt;0,SUM(IF('Eval-Après action écologique'!$A$761=FE19,LEN(SUBSTITUTE((SUBSTITUTE(GD9,"TF","")),"TS",""))*10/2,0),IF('Eval-Après action écologique'!$A$762=FE19,LEN(SUBSTITUTE((SUBSTITUTE(GD10,"TF","")),"TS",""))*10/2,0),IF('Eval-Après action écologique'!$A$763=FE19,LEN(SUBSTITUTE((SUBSTITUTE(GD11,"TF","")),"TS",""))*10/2,0),IF('Eval-Après action écologique'!$A$764=FE19,LEN(SUBSTITUTE((SUBSTITUTE(GD12,"TF","")),"TS",""))*10/2,0),IF('Eval-Après action écologique'!$A$765=FE19,LEN(SUBSTITUTE((SUBSTITUTE(GD13,"TF","")),"TS",""))*10/2,0),IF('Eval-Après action écologique'!$A$766=FE19,LEN(SUBSTITUTE((SUBSTITUTE(GD14,"TF","")),"TS",""))*10/2,0),IF('Eval-Après action écologique'!$A$767=FE19,LEN(SUBSTITUTE((SUBSTITUTE(GD15,"TF","")),"TS",""))*10/2,0),IF('Eval-Après action écologique'!$A$768=FE19,LEN(SUBSTITUTE((SUBSTITUTE(GD16,"TF","")),"TS",""))*10/2,0),IF('Eval-Après action écologique'!$A$769=FE19,LEN(SUBSTITUTE((SUBSTITUTE(GD17,"TF","")),"TS",""))*10/2,0),IF('Eval-Après action écologique'!$A$770=FE19,LEN(SUBSTITUTE((SUBSTITUTE(GD18,"TF","")),"TS",""))*10/2,0),IF('Eval-Après action écologique'!$A$771=FE19,LEN(SUBSTITUTE((SUBSTITUTE(GD19,"TF","")),"TS",""))*10/2,0),IF('Eval-Après action écologique'!$A$772=FE19,LEN(SUBSTITUTE((SUBSTITUTE(GD20,"TF","")),"TS",""))*10/2,0),IF('Eval-Après action écologique'!$A$773=FE19,LEN(SUBSTITUTE((SUBSTITUTE(GD21,"TF","")),"TS",""))*10/2,0),IF('Eval-Après action écologique'!$A$774=FE19,LEN(SUBSTITUTE((SUBSTITUTE(GD22,"TF","")),"TS",""))*10/2,0),IF('Eval-Après action écologique'!$A$775=FE19,LEN(SUBSTITUTE((SUBSTITUTE(GD23,"TF","")),"TS",""))*10/2,0),IF('Eval-Après action écologique'!$A$776=FE19,LEN(SUBSTITUTE((SUBSTITUTE(GD24,"TF","")),"TS",""))*10/2,0),IF('Eval-Après action écologique'!$A$777=FE19,LEN(SUBSTITUTE((SUBSTITUTE(GD25,"TF","")),"TS",""))*10/2,0),IF('Eval-Après action écologique'!$A$778=FE19,LEN(SUBSTITUTE((SUBSTITUTE(GD26,"TF","")),"TS",""))*10/2,0),IF('Eval-Après action écologique'!$A$779=FE19,LEN(SUBSTITUTE((SUBSTITUTE(GD27,"TF","")),"TS",""))*10/2,0),IF('Eval-Après action écologique'!$A$780=FE19,LEN(SUBSTITUTE((SUBSTITUTE(GD28,"TF","")),"TS",""))*10/2,0))/COUNTIF('Eval-Après action écologique'!$A$761:$A$780,FE19),"")</f>
        <v/>
      </c>
      <c r="FQ19" s="211" t="str">
        <f>IF(COUNTIF('Eval-Après action écologique'!$A$761:$A$780,FE19)&gt;0,SUM(IF('Eval-Après action écologique'!$A$761=FE19,LEN(SUBSTITUTE((SUBSTITUTE(GD9,"TF","")),"TM",""))*10/2,0),IF('Eval-Après action écologique'!$A$762=FE19,LEN(SUBSTITUTE((SUBSTITUTE(GD10,"TF","")),"TM",""))*10/2,0),IF('Eval-Après action écologique'!$A$763=FE19,LEN(SUBSTITUTE((SUBSTITUTE(GD11,"TF","")),"TM",""))*10/2,0),IF('Eval-Après action écologique'!$A$764=FE19,LEN(SUBSTITUTE((SUBSTITUTE(GD12,"TF","")),"TM",""))*10/2,0),IF('Eval-Après action écologique'!$A$765=FE19,LEN(SUBSTITUTE((SUBSTITUTE(GD13,"TF","")),"TM",""))*10/2,0),IF('Eval-Après action écologique'!$A$766=FE19,LEN(SUBSTITUTE((SUBSTITUTE(GD14,"TF","")),"TM",""))*10/2,0),IF('Eval-Après action écologique'!$A$767=FE19,LEN(SUBSTITUTE((SUBSTITUTE(GD15,"TF","")),"TM",""))*10/2,0),IF('Eval-Après action écologique'!$A$768=FE19,LEN(SUBSTITUTE((SUBSTITUTE(GD16,"TF","")),"TM",""))*10/2,0),IF('Eval-Après action écologique'!$A$769=FE19,LEN(SUBSTITUTE((SUBSTITUTE(GD17,"TF","")),"TM",""))*10/2,0),IF('Eval-Après action écologique'!$A$770=FE19,LEN(SUBSTITUTE((SUBSTITUTE(GD18,"TF","")),"TM",""))*10/2,0),IF('Eval-Après action écologique'!$A$771=FE19,LEN(SUBSTITUTE((SUBSTITUTE(GD19,"TF","")),"TM",""))*10/2,0),IF('Eval-Après action écologique'!$A$772=FE19,LEN(SUBSTITUTE((SUBSTITUTE(GD20,"TF","")),"TM",""))*10/2,0),IF('Eval-Après action écologique'!$A$773=FE19,LEN(SUBSTITUTE((SUBSTITUTE(GD21,"TF","")),"TM",""))*10/2,0),IF('Eval-Après action écologique'!$A$774=FE19,LEN(SUBSTITUTE((SUBSTITUTE(GD22,"TF","")),"TM",""))*10/2,0),IF('Eval-Après action écologique'!$A$775=FE19,LEN(SUBSTITUTE((SUBSTITUTE(GD23,"TF","")),"TM",""))*10/2,0),IF('Eval-Après action écologique'!$A$776=FE19,LEN(SUBSTITUTE((SUBSTITUTE(GD24,"TF","")),"TM",""))*10/2,0),IF('Eval-Après action écologique'!$A$777=FE19,LEN(SUBSTITUTE((SUBSTITUTE(GD25,"TF","")),"TM",""))*10/2,0),IF('Eval-Après action écologique'!$A$778=FE19,LEN(SUBSTITUTE((SUBSTITUTE(GD26,"TF","")),"TM",""))*10/2,0),IF('Eval-Après action écologique'!$A$779=FE19,LEN(SUBSTITUTE((SUBSTITUTE(GD27,"TF","")),"TM",""))*10/2,0),IF('Eval-Après action écologique'!$A$780=FE19,LEN(SUBSTITUTE((SUBSTITUTE(GD28,"TF","")),"TM",""))*10/2,0))/COUNTIF('Eval-Après action écologique'!$A$761:$A$780,FE19),"")</f>
        <v/>
      </c>
      <c r="FR19" s="211" t="str">
        <f>IF(COUNTIF('Eval-Après action écologique'!$A$761:$A$780,FE19)&gt;0,SUM(IF('Eval-Après action écologique'!$A$761=FE19,LEN(SUBSTITUTE((SUBSTITUTE(GE9,"TM","")),"TS",""))*10/2,0),IF('Eval-Après action écologique'!$A$762=FE19,LEN(SUBSTITUTE((SUBSTITUTE(GE10,"TM","")),"TS",""))*10/2,0),IF('Eval-Après action écologique'!$A$763=FE19,LEN(SUBSTITUTE((SUBSTITUTE(GE11,"TM","")),"TS",""))*10/2,0),IF('Eval-Après action écologique'!$A$764=FE19,LEN(SUBSTITUTE((SUBSTITUTE(GE12,"TM","")),"TS",""))*10/2,0),IF('Eval-Après action écologique'!$A$765=FE19,LEN(SUBSTITUTE((SUBSTITUTE(GE13,"TM","")),"TS",""))*10/2,0),IF('Eval-Après action écologique'!$A$766=FE19,LEN(SUBSTITUTE((SUBSTITUTE(GE14,"TM","")),"TS",""))*10/2,0),IF('Eval-Après action écologique'!$A$767=FE19,LEN(SUBSTITUTE((SUBSTITUTE(GE15,"TM","")),"TS",""))*10/2,0),IF('Eval-Après action écologique'!$A$768=FE19,LEN(SUBSTITUTE((SUBSTITUTE(GE16,"TM","")),"TS",""))*10/2,0),IF('Eval-Après action écologique'!$A$769=FE19,LEN(SUBSTITUTE((SUBSTITUTE(GE17,"TM","")),"TS",""))*10/2,0),IF('Eval-Après action écologique'!$A$770=FE19,LEN(SUBSTITUTE((SUBSTITUTE(GE18,"TM","")),"TS",""))*10/2,0),IF('Eval-Après action écologique'!$A$771=FE19,LEN(SUBSTITUTE((SUBSTITUTE(GE19,"TM","")),"TS",""))*10/2,0),IF('Eval-Après action écologique'!$A$772=FE19,LEN(SUBSTITUTE((SUBSTITUTE(GE20,"TM","")),"TS",""))*10/2,0),IF('Eval-Après action écologique'!$A$773=FE19,LEN(SUBSTITUTE((SUBSTITUTE(GE21,"TM","")),"TS",""))*10/2,0),IF('Eval-Après action écologique'!$A$774=FE19,LEN(SUBSTITUTE((SUBSTITUTE(GE22,"TM","")),"TS",""))*10/2,0),IF('Eval-Après action écologique'!$A$775=FE19,LEN(SUBSTITUTE((SUBSTITUTE(GE23,"TM","")),"TS",""))*10/2,0),IF('Eval-Après action écologique'!$A$776=FE19,LEN(SUBSTITUTE((SUBSTITUTE(GE24,"TM","")),"TS",""))*10/2,0),IF('Eval-Après action écologique'!$A$777=FE19,LEN(SUBSTITUTE((SUBSTITUTE(GE25,"TM","")),"TS",""))*10/2,0),IF('Eval-Après action écologique'!$A$778=FE19,LEN(SUBSTITUTE((SUBSTITUTE(GE26,"TM","")),"TS",""))*10/2,0),IF('Eval-Après action écologique'!$A$779=FE19,LEN(SUBSTITUTE((SUBSTITUTE(GE27,"TM","")),"TS",""))*10/2,0),IF('Eval-Après action écologique'!$A$780=FE19,LEN(SUBSTITUTE((SUBSTITUTE(GE28,"TM","")),"TS",""))*10/2,0))/COUNTIF('Eval-Après action écologique'!$A$761:$A$780,FE19),"")</f>
        <v/>
      </c>
      <c r="FS19" s="211" t="str">
        <f>IF(COUNTIF('Eval-Après action écologique'!$A$761:$A$780,FE19)&gt;0,SUM(IF('Eval-Après action écologique'!$A$761=FE19,LEN(SUBSTITUTE((SUBSTITUTE(GE9,"TF","")),"TS",""))*10/2,0),IF('Eval-Après action écologique'!$A$762=FE19,LEN(SUBSTITUTE((SUBSTITUTE(GE10,"TF","")),"TS",""))*10/2,0),IF('Eval-Après action écologique'!$A$763=FE19,LEN(SUBSTITUTE((SUBSTITUTE(GE11,"TF","")),"TS",""))*10/2,0),IF('Eval-Après action écologique'!$A$764=FE19,LEN(SUBSTITUTE((SUBSTITUTE(GE12,"TF","")),"TS",""))*10/2,0),IF('Eval-Après action écologique'!$A$765=FE19,LEN(SUBSTITUTE((SUBSTITUTE(GE13,"TF","")),"TS",""))*10/2,0),IF('Eval-Après action écologique'!$A$766=FE19,LEN(SUBSTITUTE((SUBSTITUTE(GE14,"TF","")),"TS",""))*10/2,0),IF('Eval-Après action écologique'!$A$767=FE19,LEN(SUBSTITUTE((SUBSTITUTE(GE15,"TF","")),"TS",""))*10/2,0),IF('Eval-Après action écologique'!$A$768=FE19,LEN(SUBSTITUTE((SUBSTITUTE(GE16,"TF","")),"TS",""))*10/2,0),IF('Eval-Après action écologique'!$A$769=FE19,LEN(SUBSTITUTE((SUBSTITUTE(GE17,"TF","")),"TS",""))*10/2,0),IF('Eval-Après action écologique'!$A$770=FE19,LEN(SUBSTITUTE((SUBSTITUTE(GE18,"TF","")),"TS",""))*10/2,0),IF('Eval-Après action écologique'!$A$771=FE19,LEN(SUBSTITUTE((SUBSTITUTE(GE19,"TF","")),"TS",""))*10/2,0),IF('Eval-Après action écologique'!$A$772=FE19,LEN(SUBSTITUTE((SUBSTITUTE(GE20,"TF","")),"TS",""))*10/2,0),IF('Eval-Après action écologique'!$A$773=FE19,LEN(SUBSTITUTE((SUBSTITUTE(GE21,"TF","")),"TS",""))*10/2,0),IF('Eval-Après action écologique'!$A$774=FE19,LEN(SUBSTITUTE((SUBSTITUTE(GE22,"TF","")),"TS",""))*10/2,0),IF('Eval-Après action écologique'!$A$775=FE19,LEN(SUBSTITUTE((SUBSTITUTE(GE23,"TF","")),"TS",""))*10/2,0),IF('Eval-Après action écologique'!$A$776=FE19,LEN(SUBSTITUTE((SUBSTITUTE(GE24,"TF","")),"TS",""))*10/2,0),IF('Eval-Après action écologique'!$A$777=FE19,LEN(SUBSTITUTE((SUBSTITUTE(GE25,"TF","")),"TS",""))*10/2,0),IF('Eval-Après action écologique'!$A$778=FE19,LEN(SUBSTITUTE((SUBSTITUTE(GE26,"TF","")),"TS",""))*10/2,0),IF('Eval-Après action écologique'!$A$779=FE19,LEN(SUBSTITUTE((SUBSTITUTE(GE27,"TF","")),"TS",""))*10/2,0),IF('Eval-Après action écologique'!$A$780=FE19,LEN(SUBSTITUTE((SUBSTITUTE(GE28,"TF","")),"TS",""))*10/2,0))/COUNTIF('Eval-Après action écologique'!$A$761:$A$780,FE19),"")</f>
        <v/>
      </c>
      <c r="FT19" s="211" t="str">
        <f>IF(COUNTIF('Eval-Après action écologique'!$A$761:$A$780,FE19)&gt;0,SUM(IF('Eval-Après action écologique'!$A$761=FE19,LEN(SUBSTITUTE((SUBSTITUTE(GE9,"TF","")),"TM",""))*10/2,0),IF('Eval-Après action écologique'!$A$762=FE19,LEN(SUBSTITUTE((SUBSTITUTE(GE10,"TF","")),"TM",""))*10/2,0),IF('Eval-Après action écologique'!$A$763=FE19,LEN(SUBSTITUTE((SUBSTITUTE(GE11,"TF","")),"TM",""))*10/2,0),IF('Eval-Après action écologique'!$A$764=FE19,LEN(SUBSTITUTE((SUBSTITUTE(GE12,"TF","")),"TM",""))*10/2,0),IF('Eval-Après action écologique'!$A$765=FE19,LEN(SUBSTITUTE((SUBSTITUTE(GE13,"TF","")),"TM",""))*10/2,0),IF('Eval-Après action écologique'!$A$766=FE19,LEN(SUBSTITUTE((SUBSTITUTE(GE14,"TF","")),"TM",""))*10/2,0),IF('Eval-Après action écologique'!$A$767=FE19,LEN(SUBSTITUTE((SUBSTITUTE(GE15,"TF","")),"TM",""))*10/2,0),IF('Eval-Après action écologique'!$A$768=FE19,LEN(SUBSTITUTE((SUBSTITUTE(GE16,"TF","")),"TM",""))*10/2,0),IF('Eval-Après action écologique'!$A$769=FE19,LEN(SUBSTITUTE((SUBSTITUTE(GE17,"TF","")),"TM",""))*10/2,0),IF('Eval-Après action écologique'!$A$770=FE19,LEN(SUBSTITUTE((SUBSTITUTE(GE18,"TF","")),"TM",""))*10/2,0),IF('Eval-Après action écologique'!$A$771=FE19,LEN(SUBSTITUTE((SUBSTITUTE(GE19,"TF","")),"TM",""))*10/2,0),IF('Eval-Après action écologique'!$A$772=FE19,LEN(SUBSTITUTE((SUBSTITUTE(GE20,"TF","")),"TM",""))*10/2,0),IF('Eval-Après action écologique'!$A$773=FE19,LEN(SUBSTITUTE((SUBSTITUTE(GE21,"TF","")),"TM",""))*10/2,0),IF('Eval-Après action écologique'!$A$774=FE19,LEN(SUBSTITUTE((SUBSTITUTE(GE22,"TF","")),"TM",""))*10/2,0),IF('Eval-Après action écologique'!$A$775=FE19,LEN(SUBSTITUTE((SUBSTITUTE(GE23,"TF","")),"TM",""))*10/2,0),IF('Eval-Après action écologique'!$A$776=FE19,LEN(SUBSTITUTE((SUBSTITUTE(GE24,"TF","")),"TM",""))*10/2,0),IF('Eval-Après action écologique'!$A$777=FE19,LEN(SUBSTITUTE((SUBSTITUTE(GE25,"TF","")),"TM",""))*10/2,0),IF('Eval-Après action écologique'!$A$778=FE19,LEN(SUBSTITUTE((SUBSTITUTE(GE26,"TF","")),"TM",""))*10/2,0),IF('Eval-Après action écologique'!$A$779=FE19,LEN(SUBSTITUTE((SUBSTITUTE(GE27,"TF","")),"TM",""))*10/2,0),IF('Eval-Après action écologique'!$A$780=FE19,LEN(SUBSTITUTE((SUBSTITUTE(GE28,"TF","")),"TM",""))*10/2,0))/COUNTIF('Eval-Après action écologique'!$A$761:$A$780,FE19),"")</f>
        <v/>
      </c>
      <c r="FU19" s="211" t="str">
        <f>IF(COUNTIF('Eval-Après action écologique'!$A$761:$A$780,FE19)&gt;0,IF(OR(AND('Eval-Après action écologique'!$A$761=FE19,GB9&lt;30),AND('Eval-Après action écologique'!$A$762=FE19,GB10&lt;30),AND('Eval-Après action écologique'!$A$763=FE19,GB11&lt;30),AND('Eval-Après action écologique'!$A$764=FE19,GB12&lt;30),AND('Eval-Après action écologique'!$A$765=FE19,GB13&lt;30),AND('Eval-Après action écologique'!$A$766=FE19,GB14&lt;30),AND('Eval-Après action écologique'!$A$767=FE19,GB15&lt;30),AND('Eval-Après action écologique'!$A$768=FE19,GB16&lt;30),AND('Eval-Après action écologique'!$A$769=FE19,GB17&lt;30),AND('Eval-Après action écologique'!$A$770=FE19,GB18&lt;30),AND('Eval-Après action écologique'!$A$771=FE19,GB19&lt;30),AND('Eval-Après action écologique'!$A$772=FE19,GB20&lt;30),AND('Eval-Après action écologique'!$A$773=FE19,GB21&lt;30),AND('Eval-Après action écologique'!$A$774=FE19,GB22&lt;30),AND('Eval-Après action écologique'!$A$775=FE19,GB23&lt;30),AND('Eval-Après action écologique'!$A$776=FE19,GB24&lt;30),AND('Eval-Après action écologique'!$A$777=FE19,GB25&lt;30),AND('Eval-Après action écologique'!$A$778=FE19,GB26&lt;30),AND('Eval-Après action écologique'!$A$779=FE19,GB27&lt;30),AND('Eval-Après action écologique'!$A$780=FE19,GB28&lt;30)),"",SUM(0.1*(SUMPRODUCT(('Eval-Après action écologique'!$A$761:$A$780=FE19)*('Eval-Après action écologique'!$N$761:$P$780="A"))+ SUMPRODUCT(('Eval-Après action écologique'!$A$761:$A$780=FE19)*('Eval-Après action écologique'!$N$761:$P$780="AL"))),0.7*(SUMPRODUCT(('Eval-Après action écologique'!$A$761:$A$780=FE19)*('Eval-Après action écologique'!$N$761:$P$780="TF"))+SUMPRODUCT(('Eval-Après action écologique'!$A$761:$A$780=FE19)*('Eval-Après action écologique'!$N$761:$P$780="TM"))+SUMPRODUCT(('Eval-Après action écologique'!$A$761:$A$780=FE19)*('Eval-Après action écologique'!$N$761:$P$780="TS"))),0.4*(SUMPRODUCT(('Eval-Après action écologique'!$A$761:$A$780=FE19)*('Eval-Après action écologique'!$N$761:$P$780="LA"))+SUMPRODUCT(('Eval-Après action écologique'!$A$761:$A$780=FE19)*('Eval-Après action écologique'!$N$761:$P$780="L"))+SUMPRODUCT(('Eval-Après action écologique'!$A$761:$A$780=FE19)*('Eval-Après action écologique'!$N$761:$P$780="LS"))),1*(SUMPRODUCT(('Eval-Après action écologique'!$A$761:$A$780=FE19)*('Eval-Après action écologique'!$N$761:$P$780="SL"))+ SUMPRODUCT(('Eval-Après action écologique'!$A$761:$A$780=FE19)*('Eval-Après action écologique'!$N$761:$P$780="S"))))/(3*COUNTIF('Eval-Après action écologique'!$A$761:$A$780,FE19))),"")</f>
        <v/>
      </c>
      <c r="FV19" s="211" t="str">
        <f>IF(COUNTIF('Eval-Après action écologique'!$A$761:$A$780,FE19)&gt;0,IF(OR(AND('Eval-Après action écologique'!$A$761=FE19,GB9&lt;120),AND('Eval-Après action écologique'!$A$762=FE19,GB10&lt;120),AND('Eval-Après action écologique'!$A$763=FE19,GB11&lt;120),AND('Eval-Après action écologique'!$A$764=FE19,GB12&lt;120),AND('Eval-Après action écologique'!$A$765=FE19,GB13&lt;120),AND('Eval-Après action écologique'!$A$766=FE19,GB14&lt;120),AND('Eval-Après action écologique'!$A$767=FE19,GB15&lt;120),AND('Eval-Après action écologique'!$A$768=FE19,GB16&lt;120),AND('Eval-Après action écologique'!$A$769=FE19,GB17&lt;120),AND('Eval-Après action écologique'!$A$770=FE19,GB18&lt;120),AND('Eval-Après action écologique'!$A$771=FE19,GB19&lt;120),AND('Eval-Après action écologique'!$A$772=FE19,GB20&lt;120),AND('Eval-Après action écologique'!$A$773=FE19,GB21&lt;120),AND('Eval-Après action écologique'!$A$774=FE19,GB22&lt;120),AND('Eval-Après action écologique'!$A$775=FE19,GB23&lt;120),AND('Eval-Après action écologique'!$A$776=FE19,GB24&lt;120),AND('Eval-Après action écologique'!$A$777=FE19,GB25&lt;120),AND('Eval-Après action écologique'!$A$778=FE19,GB26&lt;120),AND('Eval-Après action écologique'!$A$779=FE19,GB27&lt;120),AND('Eval-Après action écologique'!$A$780=FE19,GB28&lt;120)),"",SUM(0.1*(SUMPRODUCT(('Eval-Après action écologique'!$A$761:$A$780=FE19)*('Eval-Après action écologique'!$Q$761:$Y$780="A"))+ SUMPRODUCT(('Eval-Après action écologique'!$A$761:$A$780=FE19)*('Eval-Après action écologique'!$Q$761:$Y$780="AL"))),0.7*(SUMPRODUCT(('Eval-Après action écologique'!$A$761:$A$780=FE19)*('Eval-Après action écologique'!$Q$761:$Y$780="TF"))+SUMPRODUCT(('Eval-Après action écologique'!$A$761:$A$780=FE19)*('Eval-Après action écologique'!$Q$761:$Y$780="TM"))+SUMPRODUCT(('Eval-Après action écologique'!$A$761:$A$780=FE19)*('Eval-Après action écologique'!$Q$761:$Y$780="TS"))),0.4*(SUMPRODUCT(('Eval-Après action écologique'!$A$761:$A$780=FE19)*('Eval-Après action écologique'!$Q$761:$Y$780="LA"))+SUMPRODUCT(('Eval-Après action écologique'!$A$761:$A$780=FE19)*('Eval-Après action écologique'!$Q$761:$Y$780="L"))+SUMPRODUCT(('Eval-Après action écologique'!$A$761:$A$780=FE19)*('Eval-Après action écologique'!$Q$761:$Y$780="LS"))),1*(SUMPRODUCT(('Eval-Après action écologique'!$A$761:$A$780=FE19)*('Eval-Après action écologique'!$Q$761:$Y$780="SL"))+ SUMPRODUCT(('Eval-Après action écologique'!$A$761:$A$780=FE19)*('Eval-Après action écologique'!$Q$761:$Y$780="S"))))/(9*COUNTIF('Eval-Après action écologique'!$A$761:$A$780,FE19))),"")</f>
        <v/>
      </c>
      <c r="FW19" s="211" t="str">
        <f>IF(COUNTIF('Eval-Après action écologique'!$A$761:$A$780,FE19)&gt;0,IF(OR(AND('Eval-Après action écologique'!$A$761=FE19,OR(COUNTIF('Eval-Après action écologique'!$N$761:$P$761,"*T*")&gt;0,GB9&lt;30)),AND('Eval-Après action écologique'!$A$762=FE19,OR(COUNTIF('Eval-Après action écologique'!$N$762:$P$762,"*T*")&gt;0,GB10&lt;30)),AND('Eval-Après action écologique'!$A$763=FE19,OR(COUNTIF('Eval-Après action écologique'!$N$763:$P$763,"*T*")&gt;0,GB11&lt;30)),AND('Eval-Après action écologique'!$A$764=FE19,OR(COUNTIF('Eval-Après action écologique'!$N$764:$P$764,"*T*")&gt;0,GB12&lt;30)),AND('Eval-Après action écologique'!$A$765=FE19,OR(COUNTIF('Eval-Après action écologique'!$N$765:$P$765,"*T*")&gt;0,GB13&lt;30)),AND('Eval-Après action écologique'!$A$766=FE19,OR(COUNTIF('Eval-Après action écologique'!$N$766:$P$766,"*T*")&gt;0,GB14&lt;30)),AND('Eval-Après action écologique'!$A$767=FE19,OR(COUNTIF('Eval-Après action écologique'!$N$767:$P$767,"*T*")&gt;0,GB15&lt;30)),AND('Eval-Après action écologique'!$A$768=FE19,OR(COUNTIF('Eval-Après action écologique'!$N$768:$P$768,"*T*")&gt;0,GB16&lt;30)),AND('Eval-Après action écologique'!$A$769=FE19,OR(COUNTIF('Eval-Après action écologique'!$N$769:$P$769,"*T*")&gt;0,GB17&lt;30)),AND('Eval-Après action écologique'!$A$770=FE19,OR(COUNTIF('Eval-Après action écologique'!$N$770:$P$770,"*T*")&gt;0,GB18&lt;30)),AND('Eval-Après action écologique'!$A$771=FE19,OR(COUNTIF('Eval-Après action écologique'!$N$771:$P$771,"*T*")&gt;0,GB19&lt;30)),AND('Eval-Après action écologique'!$A$772=FE19,OR(COUNTIF('Eval-Après action écologique'!$N$772:$P$772,"*T*")&gt;0,GB20&lt;30)),AND('Eval-Après action écologique'!$A$773=FE19,OR(COUNTIF('Eval-Après action écologique'!$N$773:$P$773,"*T*")&gt;0,GB21&lt;30)),AND('Eval-Après action écologique'!$A$774=FE19,OR(COUNTIF('Eval-Après action écologique'!$N$774:$P$774,"*T*")&gt;0,GB22&lt;30)),AND('Eval-Après action écologique'!$A$775=FE19,OR(COUNTIF('Eval-Après action écologique'!$N$775:$P$775,"*T*")&gt;0,GB23&lt;30)),AND('Eval-Après action écologique'!$A$776=FE19,OR(COUNTIF('Eval-Après action écologique'!$N$776:$P$776,"*T*")&gt;0,GB24&lt;30)),AND('Eval-Après action écologique'!$A$777=FE19,OR(COUNTIF('Eval-Après action écologique'!$N$777:$P$777,"*T*")&gt;0,GB25&lt;30)),AND('Eval-Après action écologique'!$A$778=FE19,OR(COUNTIF('Eval-Après action écologique'!$N$778:$P$778,"*T*")&gt;0,GB26&lt;30)),AND('Eval-Après action écologique'!$A$779=FE19,OR(COUNTIF('Eval-Après action écologique'!$N$779:$P$779,"*T*")&gt;0,GB27&lt;30)),AND('Eval-Après action écologique'!$A$780=FE19,OR(COUNTIF('Eval-Après action écologique'!$N$780:$P$780,"*T*")&gt;0,GB28&lt;30))),"",SUM(0.1*(SUMPRODUCT(('Eval-Après action écologique'!$A$761:$A$780=FE19)*('Eval-Après action écologique'!$N$761:$P$780="L"))),0.4*(SUMPRODUCT(('Eval-Après action écologique'!$A$761:$A$780=FE19)*('Eval-Après action écologique'!$N$761:$P$780="LA"))+SUMPRODUCT(('Eval-Après action écologique'!$A$761:$A$780=FE19)*('Eval-Après action écologique'!$N$761:$P$780="LS"))),0.7*(SUMPRODUCT(('Eval-Après action écologique'!$A$761:$A$780=FE19)*('Eval-Après action écologique'!$N$761:$P$780="AL"))+SUMPRODUCT(('Eval-Après action écologique'!$A$761:$A$780=FE19)*('Eval-Après action écologique'!$N$761:$P$780="SL"))),1*(SUMPRODUCT(('Eval-Après action écologique'!$A$761:$A$780=FE19)*('Eval-Après action écologique'!$N$761:$P$780="S"))+ SUMPRODUCT(('Eval-Après action écologique'!$A$761:$A$780=FE19)*('Eval-Après action écologique'!$N$761:$P$780="A"))))/(3*COUNTIF('Eval-Après action écologique'!$A$761:$A$780,FE19))),"")</f>
        <v/>
      </c>
      <c r="FX19" s="211" t="str">
        <f>IF(COUNTIF('Eval-Après action écologique'!$A$761:$A$780,FE19)&gt;0,IF(OR(AND('Eval-Après action écologique'!$A$761=FE19,OR(COUNTIF('Eval-Après action écologique'!$N$761:$P$761,"*T*")&gt;0,GB9&lt;30)),AND('Eval-Après action écologique'!$A$762=FE19,OR(COUNTIF('Eval-Après action écologique'!$N$762:$P$762,"*T*")&gt;0,GB10&lt;30)),AND('Eval-Après action écologique'!$A$763=FE19,OR(COUNTIF('Eval-Après action écologique'!$N$763:$P$763,"*T*")&gt;0,GB11&lt;30)),AND('Eval-Après action écologique'!$A$764=FE19,OR(COUNTIF('Eval-Après action écologique'!$N$764:$P$764,"*T*")&gt;0,GB12&lt;30)),AND('Eval-Après action écologique'!$A$765=FE19,OR(COUNTIF('Eval-Après action écologique'!$N$765:$P$765,"*T*")&gt;0,GB13&lt;30)),AND('Eval-Après action écologique'!$A$766=FE19,OR(COUNTIF('Eval-Après action écologique'!$N$766:$P$766,"*T*")&gt;0,GB14&lt;30)),AND('Eval-Après action écologique'!$A$767=FE19,OR(COUNTIF('Eval-Après action écologique'!$N$767:$P$767,"*T*")&gt;0,GB15&lt;30)),AND('Eval-Après action écologique'!$A$768=FE19,OR(COUNTIF('Eval-Après action écologique'!$N$768:$P$768,"*T*")&gt;0,GB16&lt;30)),AND('Eval-Après action écologique'!$A$769=FE19,OR(COUNTIF('Eval-Après action écologique'!$N$769:$P$769,"*T*")&gt;0,GB17&lt;30)),AND('Eval-Après action écologique'!$A$770=FE19,OR(COUNTIF('Eval-Après action écologique'!$N$770:$P$770,"*T*")&gt;0,GB18&lt;30)),AND('Eval-Après action écologique'!$A$771=FE19,OR(COUNTIF('Eval-Après action écologique'!$N$771:$P$771,"*T*")&gt;0,GB19&lt;30)),AND('Eval-Après action écologique'!$A$772=FE19,OR(COUNTIF('Eval-Après action écologique'!$N$772:$P$772,"*T*")&gt;0,GB20&lt;30)),AND('Eval-Après action écologique'!$A$773=FE19,OR(COUNTIF('Eval-Après action écologique'!$N$773:$P$773,"*T*")&gt;0,GB21&lt;30)),AND('Eval-Après action écologique'!$A$774=FE19,OR(COUNTIF('Eval-Après action écologique'!$N$774:$P$774,"*T*")&gt;0,GB22&lt;30)),AND('Eval-Après action écologique'!$A$775=FE19,OR(COUNTIF('Eval-Après action écologique'!$N$775:$P$775,"*T*")&gt;0,GB23&lt;30)),AND('Eval-Après action écologique'!$A$776=FE19,OR(COUNTIF('Eval-Après action écologique'!$N$776:$P$776,"*T*")&gt;0,GB24&lt;30)),AND('Eval-Après action écologique'!$A$777=FE19,OR(COUNTIF('Eval-Après action écologique'!$N$777:$P$777,"*T*")&gt;0,GB25&lt;30)),AND('Eval-Après action écologique'!$A$778=FE19,OR(COUNTIF('Eval-Après action écologique'!$N$778:$P$778,"*T*")&gt;0,GB26&lt;30)),AND('Eval-Après action écologique'!$A$779=FE19,OR(COUNTIF('Eval-Après action écologique'!$N$779:$P$779,"*T*")&gt;0,GB27&lt;30)),AND('Eval-Après action écologique'!$A$780=FE19,OR(COUNTIF('Eval-Après action écologique'!$N$780:$P$780,"*T*")&gt;0,GB28&lt;30))),"",SUM(1*(SUMPRODUCT(('Eval-Après action écologique'!$A$761:$A$780=FE19)*('Eval-Après action écologique'!$N$761:$P$780="A"))),0.85*(SUMPRODUCT(('Eval-Après action écologique'!$A$761:$A$780=FE19)*('Eval-Après action écologique'!$N$761:$P$780="AL"))),0.7*(SUMPRODUCT(('Eval-Après action écologique'!$A$761:$A$780=FE19)*('Eval-Après action écologique'!$N$761:$P$780="LA"))),0.55*(SUMPRODUCT(('Eval-Après action écologique'!$A$761:$A$780=FE19)*('Eval-Après action écologique'!$N$761:$P$780="L"))),0.4*(SUMPRODUCT(('Eval-Après action écologique'!$A$761:$A$780=FE19)*('Eval-Après action écologique'!$N$761:$P$780="LS"))),0.25*(SUMPRODUCT(('Eval-Après action écologique'!$A$761:$A$780=FE19)*('Eval-Après action écologique'!$N$761:$P$780="SL"))),0.1*(SUMPRODUCT(('Eval-Après action écologique'!$A$761:$A$780=FE19)*('Eval-Après action écologique'!$N$761:$P$780="S"))))/(3*COUNTIF('Eval-Après action écologique'!$A$761:$A$780,FE19))),"")</f>
        <v/>
      </c>
      <c r="FY19" s="214" t="str">
        <f>IF(COUNTIF('Eval-Après action écologique'!$A$761:$A$780,FE19)&gt;0,IF(OR(AND('Eval-Après action écologique'!$A$761=FE19,OR(COUNTIF('Eval-Après action écologique'!$Q$761:$Y$761,"*T*")&gt;0,GB9&lt;120)),AND('Eval-Après action écologique'!$A$762=FE19,OR(COUNTIF('Eval-Après action écologique'!$Q$762:$Y$762,"*T*")&gt;0,GB10&lt;120)),AND('Eval-Après action écologique'!$A$763=FE19,OR(COUNTIF('Eval-Après action écologique'!$Q$763:$Y$763,"*T*")&gt;0,GB11&lt;120)),AND('Eval-Après action écologique'!$A$764=FE19,OR(COUNTIF('Eval-Après action écologique'!$Q$764:$Y$764,"*T*")&gt;0,GB12&lt;120)),AND('Eval-Après action écologique'!$A$765=FE19,OR(COUNTIF('Eval-Après action écologique'!$Q$765:$Y$765,"*T*")&gt;0,GB13&lt;120)),AND('Eval-Après action écologique'!$A$766=FE19,OR(COUNTIF('Eval-Après action écologique'!$Q$766:$Y$766,"*T*")&gt;0,GB14&lt;120)),AND('Eval-Après action écologique'!$A$767=FE19,OR(COUNTIF('Eval-Après action écologique'!$Q$767:$Y$767,"*T*")&gt;0,GB15&lt;120)),AND('Eval-Après action écologique'!$A$768=FE19,OR(COUNTIF('Eval-Après action écologique'!$Q$768:$Y$768,"*T*")&gt;0,GB16&lt;120)),AND('Eval-Après action écologique'!$A$769=FE19,OR(COUNTIF('Eval-Après action écologique'!$Q$769:$Y$769,"*T*")&gt;0,GB17&lt;120)),AND('Eval-Après action écologique'!$A$770=FE19,OR(COUNTIF('Eval-Après action écologique'!$Q$770:$Y$770,"*T*")&gt;0,GB18&lt;120)),AND('Eval-Après action écologique'!$A$771=FE19,OR(COUNTIF('Eval-Après action écologique'!$Q$771:$Y$771,"*T*")&gt;0,GB19&lt;120)),AND('Eval-Après action écologique'!$A$772=FE19,OR(COUNTIF('Eval-Après action écologique'!$Q$772:$Y$772,"*T*")&gt;0,GB20&lt;120)),AND('Eval-Après action écologique'!$A$773=FE19,OR(COUNTIF('Eval-Après action écologique'!$Q$773:$Y$773,"*T*")&gt;0,GB21&lt;120)),AND('Eval-Après action écologique'!$A$774=FE19,OR(COUNTIF('Eval-Après action écologique'!$Q$774:$Y$774,"*T*")&gt;0,GB22&lt;120)),AND('Eval-Après action écologique'!$A$775=FE19,OR(COUNTIF('Eval-Après action écologique'!$Q$775:$Y$775,"*T*")&gt;0,GB23&lt;120)),AND('Eval-Après action écologique'!$A$776=FE19,OR(COUNTIF('Eval-Après action écologique'!$Q$776:$Y$776,"*T*")&gt;0,GB24&lt;120)),AND('Eval-Après action écologique'!$A$777=FE19,OR(COUNTIF('Eval-Après action écologique'!$Q$777:$Y$777,"*T*")&gt;0,GB25&lt;120)),AND('Eval-Après action écologique'!$A$778=FE19,OR(COUNTIF('Eval-Après action écologique'!$Q$778:$Y$778,"*T*")&gt;0,GB26&lt;120)),AND('Eval-Après action écologique'!$A$779=FE19,OR(COUNTIF('Eval-Après action écologique'!$Q$779:$Y$779,"*T*")&gt;0,GB27&lt;120)),AND('Eval-Après action écologique'!$A$780=FE19,OR(COUNTIF('Eval-Après action écologique'!$Q$780:$Y$780,"*T*")&gt;0,GB28&lt;120))),"",SUM(1*(SUMPRODUCT(('Eval-Après action écologique'!$A$761:$A$780=FE19)*('Eval-Après action écologique'!$Q$761:$Y$780="A"))),0.85*(SUMPRODUCT(('Eval-Après action écologique'!$A$761:$A$780=FE19)*('Eval-Après action écologique'!$Q$761:$Y$780="AL"))),0.7*(SUMPRODUCT(('Eval-Après action écologique'!$A$761:$A$780=FE19)*('Eval-Après action écologique'!$Q$761:$Y$780="LA"))),0.55*(SUMPRODUCT(('Eval-Après action écologique'!$A$761:$A$780=FE19)*('Eval-Après action écologique'!$Q$761:$Y$780="L"))),0.4*(SUMPRODUCT(('Eval-Après action écologique'!$A$761:$A$780=FE19)*('Eval-Après action écologique'!$Q$761:$Y$780="LS"))),0.25*(SUMPRODUCT(('Eval-Après action écologique'!$A$761:$A$780=FE19)*('Eval-Après action écologique'!$Q$761:$Y$780="SL"))),0.1*(SUMPRODUCT(('Eval-Après action écologique'!$A$761:$A$780=FE19)*('Eval-Après action écologique'!$Q$761:$Y$780="S"))))/(9*COUNTIF('Eval-Après action écologique'!$A$761:$A$780,FE19))),"")</f>
        <v/>
      </c>
      <c r="FZ19" s="215"/>
      <c r="GA19" s="216">
        <f>'Eval-Après action écologique'!$D$771</f>
        <v>11</v>
      </c>
      <c r="GB19" s="217" t="str">
        <f>IF(GC19="C",0,IF(IF(COUNTIF('Eval-Après action écologique'!$N$771:$Y$771,"=C")&gt;0,(COUNTA('Eval-Après action écologique'!$N$771:$Y$771)-1)*10,COUNTA('Eval-Après action écologique'!$N$771:$Y$771)*10)=0,"",IF(COUNTIF('Eval-Après action écologique'!$N$771:$Y$771,"=C")&gt;0,(COUNTA('Eval-Après action écologique'!$N$771:$Y$771)-1)*10,COUNTA('Eval-Après action écologique'!$N$771:$Y$771)*10)))</f>
        <v/>
      </c>
      <c r="GC19" s="217" t="str">
        <f>CONCATENATE('Eval-Après action écologique'!$N$771,'Eval-Après action écologique'!$O$771,'Eval-Après action écologique'!$P$771,'Eval-Après action écologique'!$Q$771,'Eval-Après action écologique'!$R$771,'Eval-Après action écologique'!$S$771,'Eval-Après action écologique'!$T$771,'Eval-Après action écologique'!$U$771,'Eval-Après action écologique'!$V$771,'Eval-Après action écologique'!$W$771,'Eval-Après action écologique'!$X$771,'Eval-Après action écologique'!$Y$771)</f>
        <v/>
      </c>
      <c r="GD19" s="217" t="str">
        <f t="shared" si="20"/>
        <v/>
      </c>
      <c r="GE19" s="217" t="str">
        <f t="shared" si="21"/>
        <v/>
      </c>
      <c r="GF19" s="217" t="str">
        <f>IF(COUNTIF('Eval-Après action écologique'!$N$771:$Y$771,"=C")&gt;0,"X","")</f>
        <v/>
      </c>
      <c r="GG19" s="217" t="str">
        <f t="shared" si="22"/>
        <v/>
      </c>
      <c r="GH19" s="218" t="str">
        <f t="shared" si="23"/>
        <v/>
      </c>
      <c r="GI19" s="197"/>
    </row>
    <row r="20" spans="1:191" ht="18" customHeight="1" x14ac:dyDescent="0.2">
      <c r="A20" s="210">
        <v>12</v>
      </c>
      <c r="B20" s="211" t="str">
        <f>IF(COUNTIF('Eval-Avant impact'!$A$761:$A$780,A20)&gt;0,SUM(IF('Eval-Avant impact'!$A$761=A20,'Eval-Avant impact'!$B$761,0),IF('Eval-Avant impact'!$A$762=A20, 'Eval-Avant impact'!$B$762,0),IF('Eval-Avant impact'!$A$763=A20, 'Eval-Avant impact'!$B$763,0),IF('Eval-Avant impact'!$A$764=A20, 'Eval-Avant impact'!$B$764,0),IF('Eval-Avant impact'!$A$765=A20, 'Eval-Avant impact'!$B$765,0),IF('Eval-Avant impact'!$A$766=A20, 'Eval-Avant impact'!$B$766,0),IF('Eval-Avant impact'!$A$767=A20, 'Eval-Avant impact'!$B$767,0),IF('Eval-Avant impact'!$A$768=A20, 'Eval-Avant impact'!$B$768,0),IF('Eval-Avant impact'!$A$769=A20, 'Eval-Avant impact'!$B$769,0),IF('Eval-Avant impact'!$A$770=A20, 'Eval-Avant impact'!$B$770,0),IF('Eval-Avant impact'!$A$771=A20, 'Eval-Avant impact'!$B$771,0),IF('Eval-Avant impact'!$A$772=A20, 'Eval-Avant impact'!$B$772,0),IF('Eval-Avant impact'!$A$773=A20, 'Eval-Avant impact'!$B$773,0),IF('Eval-Avant impact'!$A$774=A20, 'Eval-Avant impact'!$B$774,0),IF('Eval-Avant impact'!$A$775=A20, 'Eval-Avant impact'!$B$775,0),IF('Eval-Avant impact'!$A$776=A20, 'Eval-Avant impact'!$B$776,0),IF('Eval-Avant impact'!$A$777=A20, 'Eval-Avant impact'!$B$777,0),IF('Eval-Avant impact'!$A$778=A20, 'Eval-Avant impact'!$B$778,0),IF('Eval-Avant impact'!$A$779=A20, 'Eval-Avant impact'!$B$779,0),IF('Eval-Avant impact'!$A$780=A20, 'Eval-Avant impact'!$B$780,0))/COUNTIF('Eval-Avant impact'!$A$761:$A$780,A20),"")</f>
        <v/>
      </c>
      <c r="C20" s="212" t="str">
        <f>IF(COUNTIF('Eval-Avant impact'!$A$761:$A$780,A20)&gt;0,COUNTIF('Eval-Avant impact'!$A$761:$A$780,A20),"")</f>
        <v/>
      </c>
      <c r="D20" s="211" t="str">
        <f>IF(COUNTIF('Eval-Avant impact'!$A$761:$A$780,A20)&gt;0,IF(OR(AND('Eval-Avant impact'!$A$761=A20, 'Eval-Avant impact'!$G$761=""),AND('Eval-Avant impact'!$A$762=A20, 'Eval-Avant impact'!$G$762=""),AND('Eval-Avant impact'!$A$763=A20, 'Eval-Avant impact'!$G$763=""),AND('Eval-Avant impact'!$A$764=A20, 'Eval-Avant impact'!$G$764=""),AND('Eval-Avant impact'!$A$765=A20, 'Eval-Avant impact'!$G$765=""),AND('Eval-Avant impact'!$A$766=A20, 'Eval-Avant impact'!$G$766=""),AND('Eval-Avant impact'!$A$767=A20, 'Eval-Avant impact'!$G$767=""),AND('Eval-Avant impact'!$A$768=A20, 'Eval-Avant impact'!$G$768=""),AND('Eval-Avant impact'!$A$769=A20, 'Eval-Avant impact'!$G$769=""),AND('Eval-Avant impact'!$A$770=A20, 'Eval-Avant impact'!$G$770=""),AND('Eval-Avant impact'!$A$771=A20, 'Eval-Avant impact'!$G$771=""),AND('Eval-Avant impact'!$A$772=A20, 'Eval-Avant impact'!$G$772=""),AND('Eval-Avant impact'!$A$773=A20, 'Eval-Avant impact'!$G$773=""),AND('Eval-Avant impact'!$A$774=A20, 'Eval-Avant impact'!$G$774=""),AND('Eval-Avant impact'!$A$775=A20, 'Eval-Avant impact'!$G$775=""),AND('Eval-Avant impact'!$A$776=A20, 'Eval-Avant impact'!$G$776=""),AND('Eval-Avant impact'!$A$777=A20, 'Eval-Avant impact'!$G$777=""),AND('Eval-Avant impact'!$A$778=A20, 'Eval-Avant impact'!$G$778=""),AND('Eval-Avant impact'!$A$779=A20, 'Eval-Avant impact'!$G$779=""),AND('Eval-Avant impact'!$A$780=A20, 'Eval-Avant impact'!$G$780="")),"",SUM(IF('Eval-Avant impact'!$A$761=A20,'Eval-Avant impact'!$G$761,0),IF('Eval-Avant impact'!$A$762=A20,'Eval-Avant impact'!$G$762,0),IF('Eval-Avant impact'!$A$763=A20,'Eval-Avant impact'!$G$763,0),IF('Eval-Avant impact'!$A$764=A20,'Eval-Avant impact'!$G$764,0),IF('Eval-Avant impact'!$A$765=A20,'Eval-Avant impact'!$G$765,0),IF('Eval-Avant impact'!$A$766=A20,'Eval-Avant impact'!$G$766,0),IF('Eval-Avant impact'!$A$767=A20,'Eval-Avant impact'!$G$767,0),IF('Eval-Avant impact'!$A$768=A20,'Eval-Avant impact'!$G$768,0),IF('Eval-Avant impact'!$A$769=A20,'Eval-Avant impact'!$G$769,0),IF('Eval-Avant impact'!$A$770=A20,'Eval-Avant impact'!$G$770,0),IF('Eval-Avant impact'!$A$771=A20,'Eval-Avant impact'!$G$771,0),IF('Eval-Avant impact'!$A$772=A20,'Eval-Avant impact'!$G$772,0),IF('Eval-Avant impact'!$A$773=A20,'Eval-Avant impact'!$G$773,0),IF('Eval-Avant impact'!$A$774=A20,'Eval-Avant impact'!$G$774,0),IF('Eval-Avant impact'!$A$775=A20,'Eval-Avant impact'!$G$775,0), IF('Eval-Avant impact'!$A$776=A20,'Eval-Avant impact'!$G$776,0), IF('Eval-Avant impact'!$A$777=A20,'Eval-Avant impact'!$G$777,0), IF('Eval-Avant impact'!$A$778=A20,'Eval-Avant impact'!$G$778,0), IF('Eval-Avant impact'!$A$779=A20,'Eval-Avant impact'!$G$779,0), IF('Eval-Avant impact'!$A$780=A20,'Eval-Avant impact'!$G$780,0))/ COUNTIF('Eval-Avant impact'!$A$761:$A$780,A20)),"")</f>
        <v/>
      </c>
      <c r="E20" s="212" t="str">
        <f>IF(COUNTIF('Eval-Avant impact'!$A$761:$A$780,A20)&gt;0,IF(SUM(IF('Eval-Avant impact'!$A$761=A20,COUNTA('Eval-Avant impact'!$H$761),0),IF('Eval-Avant impact'!$A$762=A20,COUNTA('Eval-Avant impact'!$H$762),0),IF('Eval-Avant impact'!$A$763=A20,COUNTA('Eval-Avant impact'!$H$763),0),IF('Eval-Avant impact'!$A$764=A20,COUNTA('Eval-Avant impact'!$H$764),0),IF('Eval-Avant impact'!$A$765=A20,COUNTA('Eval-Avant impact'!$H$765),0),IF('Eval-Avant impact'!$A$766=A20,COUNTA('Eval-Avant impact'!$H$766),0),IF('Eval-Avant impact'!$A$767=A20,COUNTA('Eval-Avant impact'!$H$767),0),IF('Eval-Avant impact'!$A$768=A20,COUNTA('Eval-Avant impact'!$H$768),0),IF('Eval-Avant impact'!$A$769=A20,COUNTA('Eval-Avant impact'!$H$769),0),IF('Eval-Avant impact'!$A$770=A20,COUNTA('Eval-Avant impact'!$H$770),0),IF('Eval-Avant impact'!$A$771=A20,COUNTA('Eval-Avant impact'!$H$771),0),IF('Eval-Avant impact'!$A$772=A20,COUNTA('Eval-Avant impact'!$H$772),0),IF('Eval-Avant impact'!$A$773=A20,COUNTA('Eval-Avant impact'!$H$773),0),IF('Eval-Avant impact'!$A$774=A20,COUNTA('Eval-Avant impact'!$H$774),0),IF('Eval-Avant impact'!$A$775=A20,COUNTA('Eval-Avant impact'!$H$775),0),IF('Eval-Avant impact'!$A$776=A20,COUNTA('Eval-Avant impact'!$H$776),0),IF('Eval-Avant impact'!$A$777=A20,COUNTA('Eval-Avant impact'!$H$777),0),IF('Eval-Avant impact'!$A$778=A20,COUNTA('Eval-Avant impact'!$H$778),0),IF('Eval-Avant impact'!$A$779=A20,COUNTA('Eval-Avant impact'!$H$779),0),IF('Eval-Avant impact'!$A$780=A20,COUNTA('Eval-Avant impact'!$H$780),0))&gt;0,"X",0),"")</f>
        <v/>
      </c>
      <c r="F20" s="213" t="str">
        <f>IF(COUNTIF('Eval-Avant impact'!$A$761:$A$780,A20)&gt;0,IF(SUM(IF('Eval-Avant impact'!$A$761=A20,COUNTA('Eval-Avant impact'!$I$761),0),IF('Eval-Avant impact'!$A$762=A20,COUNTA('Eval-Avant impact'!$I$762),0),IF('Eval-Avant impact'!$A$763=A20,COUNTA('Eval-Avant impact'!$I$763),0),IF('Eval-Avant impact'!$A$764=A20,COUNTA('Eval-Avant impact'!$I$764),0),IF('Eval-Avant impact'!$A$765=A20,COUNTA('Eval-Avant impact'!$I$765),0),IF('Eval-Avant impact'!$A$766=A20,COUNTA('Eval-Avant impact'!$I$766),0),IF('Eval-Avant impact'!$A$767=A20,COUNTA('Eval-Avant impact'!$I$767),0),IF('Eval-Avant impact'!$A$768=A20,COUNTA('Eval-Avant impact'!$I$768),0),IF('Eval-Avant impact'!$A$769=A20,COUNTA('Eval-Avant impact'!$I$769),0),IF('Eval-Avant impact'!$A$770=A20,COUNTA('Eval-Avant impact'!$I$770),0),IF('Eval-Avant impact'!$A$771=A20,COUNTA('Eval-Avant impact'!$I$771),0),IF('Eval-Avant impact'!$A$772=A20,COUNTA('Eval-Avant impact'!$I$772),0),IF('Eval-Avant impact'!$A$773=A20,COUNTA('Eval-Avant impact'!$I$773),0),IF('Eval-Avant impact'!$A$774=A20,COUNTA('Eval-Avant impact'!$I$774),0),IF('Eval-Avant impact'!$A$775=A20,COUNTA('Eval-Avant impact'!$I$775),0),IF('Eval-Avant impact'!$A$776=A20,COUNTA('Eval-Avant impact'!$I$776),0),IF('Eval-Avant impact'!$A$777=A20,COUNTA('Eval-Avant impact'!$I$777),0),IF('Eval-Avant impact'!$A$778=A20,COUNTA('Eval-Avant impact'!$I$778),0),IF('Eval-Avant impact'!$A$779=A20,COUNTA('Eval-Avant impact'!$I$779),0),IF('Eval-Avant impact'!$A$780=A20,COUNTA('Eval-Avant impact'!$I$780),0))&gt;0,"X",0),"")</f>
        <v/>
      </c>
      <c r="G20" s="213" t="str">
        <f>IF(COUNTIF('Eval-Avant impact'!$A$761:$A$780,A20)&gt;0,IF(SUM(IF('Eval-Avant impact'!$A$761=A20,COUNTA('Eval-Avant impact'!$J$761),0),IF('Eval-Avant impact'!$A$762=A20,COUNTA('Eval-Avant impact'!$J$762),0),IF('Eval-Avant impact'!$A$763=A20,COUNTA('Eval-Avant impact'!$J$763),0),IF('Eval-Avant impact'!$A$764=A20,COUNTA('Eval-Avant impact'!$J$764),0),IF('Eval-Avant impact'!$A$765=A20,COUNTA('Eval-Avant impact'!$J$765),0),IF('Eval-Avant impact'!$A$766=A20,COUNTA('Eval-Avant impact'!$J$766),0),IF('Eval-Avant impact'!$A$767=A20,COUNTA('Eval-Avant impact'!$J$767),0),IF('Eval-Avant impact'!$A$768=A20,COUNTA('Eval-Avant impact'!$J$768),0),IF('Eval-Avant impact'!$A$769=A20,COUNTA('Eval-Avant impact'!$J$769),0),IF('Eval-Avant impact'!$A$770=A20,COUNTA('Eval-Avant impact'!$J$770),0),IF('Eval-Avant impact'!$A$771=A20,COUNTA('Eval-Avant impact'!$J$771),0),IF('Eval-Avant impact'!$A$772=A20,COUNTA('Eval-Avant impact'!$J$772),0),IF('Eval-Avant impact'!$A$773=A20,COUNTA('Eval-Avant impact'!$J$773),0),IF('Eval-Avant impact'!$A$774=A20,COUNTA('Eval-Avant impact'!$J$774),0),IF('Eval-Avant impact'!$A$775=A20,COUNTA('Eval-Avant impact'!$J$775),0),IF('Eval-Avant impact'!$A$776=A20,COUNTA('Eval-Avant impact'!$J$776),0),IF('Eval-Avant impact'!$A$777=A20,COUNTA('Eval-Avant impact'!$J$777),0),IF('Eval-Avant impact'!$A$778=A20,COUNTA('Eval-Avant impact'!$J$778),0),IF('Eval-Avant impact'!$A$779=A20,COUNTA('Eval-Avant impact'!$J$779),0),IF('Eval-Avant impact'!$A$780=A20,COUNTA('Eval-Avant impact'!$J$780),0))&gt;0,"X",0),"")</f>
        <v/>
      </c>
      <c r="H20" s="213" t="str">
        <f>IF(COUNTIF('Eval-Avant impact'!$A$761:$A$780,A20)&gt;0,IF(SUM(IF('Eval-Avant impact'!$A$761=A20,COUNTA('Eval-Avant impact'!$K$761),0),IF('Eval-Avant impact'!$A$762=A20,COUNTA('Eval-Avant impact'!$K$762),0),IF('Eval-Avant impact'!$A$763=A20,COUNTA('Eval-Avant impact'!$K$763),0),IF('Eval-Avant impact'!$A$764=A20,COUNTA('Eval-Avant impact'!$K$764),0),IF('Eval-Avant impact'!$A$765=A20,COUNTA('Eval-Avant impact'!$K$765),0),IF('Eval-Avant impact'!$A$766=A20,COUNTA('Eval-Avant impact'!$K$766),0),IF('Eval-Avant impact'!$A$767=A20,COUNTA('Eval-Avant impact'!$K$767),0),IF('Eval-Avant impact'!$A$768=A20,COUNTA('Eval-Avant impact'!$K$768),0),IF('Eval-Avant impact'!$A$769=A20,COUNTA('Eval-Avant impact'!$K$769),0),IF('Eval-Avant impact'!$A$770=A20,COUNTA('Eval-Avant impact'!$K$770),0),IF('Eval-Avant impact'!$A$771=A20,COUNTA('Eval-Avant impact'!$K$771),0),IF('Eval-Avant impact'!$A$772=A20,COUNTA('Eval-Avant impact'!$K$772),0),IF('Eval-Avant impact'!$A$773=A20,COUNTA('Eval-Avant impact'!$K$773),0),IF('Eval-Avant impact'!$A$774=A20,COUNTA('Eval-Avant impact'!$K$774),0),IF('Eval-Avant impact'!$A$775=A20,COUNTA('Eval-Avant impact'!$K$775),0),IF('Eval-Avant impact'!$A$776=A20,COUNTA('Eval-Avant impact'!$K$776),0),IF('Eval-Avant impact'!$A$777=A20,COUNTA('Eval-Avant impact'!$K$777),0),IF('Eval-Avant impact'!$A$778=A20,COUNTA('Eval-Avant impact'!$K$778),0),IF('Eval-Avant impact'!$A$779=A20,COUNTA('Eval-Avant impact'!$K$779),0),IF('Eval-Avant impact'!$A$780=A20,COUNTA('Eval-Avant impact'!$K$780),0))&gt;0,"X",0),"")</f>
        <v/>
      </c>
      <c r="I20" s="211" t="str">
        <f>IF(COUNTIF('Eval-Avant impact'!$A$761:$A$780,A20)&gt;0,IF(OR(AND('Eval-Avant impact'!$A$761=A20,'Eval-Avant impact'!$L$761&lt;120,'Eval-Avant impact'!$L$761&gt;=X9),AND('Eval-Avant impact'!$A$762=A20,'Eval-Avant impact'!$L$762&lt;120,'Eval-Avant impact'!$L$762&gt;=X10),AND('Eval-Avant impact'!$A$763=A20,'Eval-Avant impact'!$L$763&lt;120,'Eval-Avant impact'!$L$763&gt;=X11),AND('Eval-Avant impact'!$A$764=A20,'Eval-Avant impact'!$L$764&lt;120,'Eval-Avant impact'!$L$764&gt;=X12),AND('Eval-Avant impact'!$A$765=A20,'Eval-Avant impact'!$L$765&lt;120,'Eval-Avant impact'!$L$765&gt;=X13),AND('Eval-Avant impact'!$A$766=A20,'Eval-Avant impact'!$L$766&lt;120,'Eval-Avant impact'!$L$766&gt;=X14),AND('Eval-Avant impact'!$A$767=A20,'Eval-Avant impact'!$L$767&lt;120,'Eval-Avant impact'!$L$767&gt;=X15),AND('Eval-Avant impact'!$A$768=A20,'Eval-Avant impact'!$L$768&lt;120,'Eval-Avant impact'!$L$768&gt;=X16),AND('Eval-Avant impact'!$A$769=A20,'Eval-Avant impact'!$L$769&lt;120,'Eval-Avant impact'!$L$769&gt;=X17),AND('Eval-Avant impact'!$A$770=A20,'Eval-Avant impact'!$L$770&lt;120,'Eval-Avant impact'!$L$770&gt;=X18),AND('Eval-Avant impact'!$A$771=A20,'Eval-Avant impact'!$L$771&lt;120,'Eval-Avant impact'!$L$771&gt;=X19),AND('Eval-Avant impact'!$A$772=A20,'Eval-Avant impact'!$L$772&lt;120,'Eval-Avant impact'!$L$772&gt;=X20),AND('Eval-Avant impact'!$A$773=A20,'Eval-Avant impact'!$L$773&lt;120,'Eval-Avant impact'!$L$773&gt;=X21),AND('Eval-Avant impact'!$A$774=A20,'Eval-Avant impact'!$L$774&lt;120,'Eval-Avant impact'!$L$774&gt;=X22),AND('Eval-Avant impact'!$A$775=A20,'Eval-Avant impact'!$L$775&lt;120,'Eval-Avant impact'!$L$775&gt;=X23),AND('Eval-Avant impact'!$A$776=A20,'Eval-Avant impact'!$L$776&lt;120,'Eval-Avant impact'!$L$776&gt;=X24),AND('Eval-Avant impact'!$A$777=A20,'Eval-Avant impact'!$L$777&lt;120,'Eval-Avant impact'!$L$777&gt;=X25),AND('Eval-Avant impact'!$A$778=A20,'Eval-Avant impact'!$L$778&lt;120,'Eval-Avant impact'!$L$778&gt;=X26),AND('Eval-Avant impact'!$A$779=A20,'Eval-Avant impact'!$L$779&lt;120,'Eval-Avant impact'!$L$779&gt;=X27),AND('Eval-Avant impact'!$A$780=A20,'Eval-Avant impact'!$L$780&lt;120,'Eval-Avant impact'!$L$780&gt;=X28)),"",SUM(IF('Eval-Avant impact'!$A$761=A20,'Eval-Avant impact'!$L$761,0),IF('Eval-Avant impact'!$A$762=A20,'Eval-Avant impact'!$L$762,0),IF('Eval-Avant impact'!$A$763=A20,'Eval-Avant impact'!$L$763,0),IF('Eval-Avant impact'!$A$764=A20,'Eval-Avant impact'!$L$764,0),IF('Eval-Avant impact'!$A$765=A20,'Eval-Avant impact'!$L$765,0),IF('Eval-Avant impact'!$A$766=A20,'Eval-Avant impact'!$L$766,0),IF('Eval-Avant impact'!$A$767=A20,'Eval-Avant impact'!$L$767,0),IF('Eval-Avant impact'!$A$768=A20,'Eval-Avant impact'!$L$768,0),IF('Eval-Avant impact'!$A$769=A20,'Eval-Avant impact'!$L$769,0),IF('Eval-Avant impact'!$A$770=A20,'Eval-Avant impact'!$L$770,0),IF('Eval-Avant impact'!$A$771=A20,'Eval-Avant impact'!$L$771,0),IF('Eval-Avant impact'!$A$772=A20,'Eval-Avant impact'!$L$772,0),IF('Eval-Avant impact'!$A$773=A20,'Eval-Avant impact'!$L$773,0),IF('Eval-Avant impact'!$A$774=A20,'Eval-Avant impact'!$L$774,0),IF('Eval-Avant impact'!$A$775=A20,'Eval-Avant impact'!$L$775,0),IF('Eval-Avant impact'!$A$776=A20,'Eval-Avant impact'!$L$776,0),IF('Eval-Avant impact'!$A$777=A20,'Eval-Avant impact'!$L$777,0),IF('Eval-Avant impact'!$A$778=A20,'Eval-Avant impact'!$L$778,0),IF('Eval-Avant impact'!$A$779=A20,'Eval-Avant impact'!$L$779,0),IF('Eval-Avant impact'!$A$780=A20,'Eval-Avant impact'!$L$780,0))/ COUNTIF('Eval-Avant impact'!$A$761:$A$780,A20)),"")</f>
        <v/>
      </c>
      <c r="J20" s="211" t="str">
        <f>IF(COUNTIF('Eval-Avant impact'!$A$761:$A$780,A20)&gt;0,IF(OR(AND('Eval-Avant impact'!$A$761=A20, X9&lt;120),AND(X10&lt;120),AND(X11&lt;120),AND(X12&lt;120),AND(X13&lt;120),AND(X14&lt;120),AND(X15&lt;120),AND(X16&lt;120),AND(X17&lt;120),AND(X18&lt;120),AND(X19&lt;120),AND(X20&lt;120),AND(X21&lt;120),AND(X22&lt;120),AND(X23&lt;120),AND(X24&lt;120),AND(X25&lt;120),AND(X26&lt;120),AND(X27&lt;120),AND(X28&lt;120)),"",SUM(IF('Eval-Avant impact'!$A$761=A20,'Eval-Avant impact'!$M$761,0),IF('Eval-Avant impact'!$A$762=A20,'Eval-Avant impact'!$M$762,0),IF('Eval-Avant impact'!$A$763=A20,'Eval-Avant impact'!$M$763,0),IF('Eval-Avant impact'!$A$764=A20,'Eval-Avant impact'!$M$764,0),IF('Eval-Avant impact'!$A$765=A20,'Eval-Avant impact'!$M$765,0),IF('Eval-Avant impact'!$A$766=A20,'Eval-Avant impact'!$M$766,0),IF('Eval-Avant impact'!$A$767=A20,'Eval-Avant impact'!$M$767,0),IF('Eval-Avant impact'!$A$768=A20,'Eval-Avant impact'!$M$768,0),IF('Eval-Avant impact'!$A$769=A20,'Eval-Avant impact'!$M$769,0),IF('Eval-Avant impact'!$A$770=A20,'Eval-Avant impact'!$M$770,0),IF('Eval-Avant impact'!$A$771=A20,'Eval-Avant impact'!$M$771,0),IF('Eval-Avant impact'!$A$772=A20,'Eval-Avant impact'!$M$772,0),IF('Eval-Avant impact'!$A$773=A20,'Eval-Avant impact'!$M$773,0),IF('Eval-Avant impact'!$A$774=A20,'Eval-Avant impact'!$M$774,0),IF('Eval-Avant impact'!$A$775=A20,'Eval-Avant impact'!$M$775,0), IF('Eval-Avant impact'!$A$776=A20,'Eval-Avant impact'!$M$776,0), IF('Eval-Avant impact'!$A$777=A20,'Eval-Avant impact'!$M$777,0), IF('Eval-Avant impact'!$A$778=A20,'Eval-Avant impact'!$M$778,0), IF('Eval-Avant impact'!$A$779=A20,'Eval-Avant impact'!$M$779,0), IF('Eval-Avant impact'!$A$780=A20,'Eval-Avant impact'!$M$780,0))/COUNTIF('Eval-Avant impact'!$A$761:$A$780,A20)),"")</f>
        <v/>
      </c>
      <c r="K20" s="211" t="str">
        <f>IF(COUNTIF('Eval-Avant impact'!$A$761:$A$780,A20)&gt;0,SUM(IF('Eval-Avant impact'!$A$761=A20,LEN(SUBSTITUTE((SUBSTITUTE(Z9,"TM","")),"TS",""))*10/2,0),IF('Eval-Avant impact'!$A$762=A20,LEN(SUBSTITUTE((SUBSTITUTE(Z10,"TM","")),"TS",""))*10/2,0),IF('Eval-Avant impact'!$A$763=A20,LEN(SUBSTITUTE((SUBSTITUTE(Z11,"TM","")),"TS",""))*10/2,0),IF('Eval-Avant impact'!$A$764=A20,LEN(SUBSTITUTE((SUBSTITUTE(Z12,"TM","")),"TS",""))*10/2,0),IF('Eval-Avant impact'!$A$765=A20,LEN(SUBSTITUTE((SUBSTITUTE(Z13,"TM","")),"TS",""))*10/2,0),IF('Eval-Avant impact'!$A$766=A20,LEN(SUBSTITUTE((SUBSTITUTE(Z14,"TM","")),"TS",""))*10/2,0),IF('Eval-Avant impact'!$A$767=A20,LEN(SUBSTITUTE((SUBSTITUTE(Z15,"TM","")),"TS",""))*10/2,0),IF('Eval-Avant impact'!$A$768=A20,LEN(SUBSTITUTE((SUBSTITUTE(Z16,"TM","")),"TS",""))*10/2,0),IF('Eval-Avant impact'!$A$769=A20,LEN(SUBSTITUTE((SUBSTITUTE(Z17,"TM","")),"TS",""))*10/2,0),IF('Eval-Avant impact'!$A$770=A20,LEN(SUBSTITUTE((SUBSTITUTE(Z18,"TM","")),"TS",""))*10/2,0),IF('Eval-Avant impact'!$A$771=A20,LEN(SUBSTITUTE((SUBSTITUTE(Z19,"TM","")),"TS",""))*10/2,0),IF('Eval-Avant impact'!$A$772=A20,LEN(SUBSTITUTE((SUBSTITUTE(Z20,"TM","")),"TS",""))*10/2,0),IF('Eval-Avant impact'!$A$773=A20,LEN(SUBSTITUTE((SUBSTITUTE(Z21,"TM","")),"TS",""))*10/2,0),IF('Eval-Avant impact'!$A$774=A20,LEN(SUBSTITUTE((SUBSTITUTE(Z22,"TM","")),"TS",""))*10/2,0),IF('Eval-Avant impact'!$A$775=A20,LEN(SUBSTITUTE((SUBSTITUTE(Z23,"TM","")),"TS",""))*10/2,0),IF('Eval-Avant impact'!$A$776=A20,LEN(SUBSTITUTE((SUBSTITUTE(Z24,"TM","")),"TS",""))*10/2,0),IF('Eval-Avant impact'!$A$777=A20,LEN(SUBSTITUTE((SUBSTITUTE(Z25,"TM","")),"TS",""))*10/2,0),IF('Eval-Avant impact'!$A$778=A20,LEN(SUBSTITUTE((SUBSTITUTE(Z26,"TM","")),"TS",""))*10/2,0),IF('Eval-Avant impact'!$A$779=A20,LEN(SUBSTITUTE((SUBSTITUTE(Z27,"TM","")),"TS",""))*10/2,0),IF('Eval-Avant impact'!$A$780=A20,LEN(SUBSTITUTE((SUBSTITUTE(Z28,"TM","")),"TS",""))*10/2,0))/COUNTIF('Eval-Avant impact'!$A$761:$A$780,A20),"")</f>
        <v/>
      </c>
      <c r="L20" s="211" t="str">
        <f>IF(COUNTIF('Eval-Avant impact'!$A$761:$A$780,A20)&gt;0,SUM(IF('Eval-Avant impact'!$A$761=A20,LEN(SUBSTITUTE((SUBSTITUTE(Z9,"TF","")),"TS",""))*10/2,0),IF('Eval-Avant impact'!$A$762=A20,LEN(SUBSTITUTE((SUBSTITUTE(Z10,"TF","")),"TS",""))*10/2,0),IF('Eval-Avant impact'!$A$763=A20,LEN(SUBSTITUTE((SUBSTITUTE(Z11,"TF","")),"TS",""))*10/2,0),IF('Eval-Avant impact'!$A$764=A20,LEN(SUBSTITUTE((SUBSTITUTE(Z12,"TF","")),"TS",""))*10/2,0),IF('Eval-Avant impact'!$A$765=A20,LEN(SUBSTITUTE((SUBSTITUTE(Z13,"TF","")),"TS",""))*10/2,0),IF('Eval-Avant impact'!$A$766=A20,LEN(SUBSTITUTE((SUBSTITUTE(Z14,"TF","")),"TS",""))*10/2,0),IF('Eval-Avant impact'!$A$767=A20,LEN(SUBSTITUTE((SUBSTITUTE(Z15,"TF","")),"TS",""))*10/2,0),IF('Eval-Avant impact'!$A$768=A20,LEN(SUBSTITUTE((SUBSTITUTE(Z16,"TF","")),"TS",""))*10/2,0),IF('Eval-Avant impact'!$A$769=A20,LEN(SUBSTITUTE((SUBSTITUTE(Z17,"TF","")),"TS",""))*10/2,0),IF('Eval-Avant impact'!$A$770=A20,LEN(SUBSTITUTE((SUBSTITUTE(Z18,"TF","")),"TS",""))*10/2,0),IF('Eval-Avant impact'!$A$771=A20,LEN(SUBSTITUTE((SUBSTITUTE(Z19,"TF","")),"TS",""))*10/2,0),IF('Eval-Avant impact'!$A$772=A20,LEN(SUBSTITUTE((SUBSTITUTE(Z20,"TF","")),"TS",""))*10/2,0),IF('Eval-Avant impact'!$A$773=A20,LEN(SUBSTITUTE((SUBSTITUTE(Z21,"TF","")),"TS",""))*10/2,0),IF('Eval-Avant impact'!$A$774=A20,LEN(SUBSTITUTE((SUBSTITUTE(Z22,"TF","")),"TS",""))*10/2,0),IF('Eval-Avant impact'!$A$775=A20,LEN(SUBSTITUTE((SUBSTITUTE(Z23,"TF","")),"TS",""))*10/2,0),IF('Eval-Avant impact'!$A$776=A20,LEN(SUBSTITUTE((SUBSTITUTE(Z24,"TF","")),"TS",""))*10/2,0),IF('Eval-Avant impact'!$A$777=A20,LEN(SUBSTITUTE((SUBSTITUTE(Z25,"TF","")),"TS",""))*10/2,0),IF('Eval-Avant impact'!$A$778=A20,LEN(SUBSTITUTE((SUBSTITUTE(Z26,"TF","")),"TS",""))*10/2,0),IF('Eval-Avant impact'!$A$779=A20,LEN(SUBSTITUTE((SUBSTITUTE(Z27,"TF","")),"TS",""))*10/2,0),IF('Eval-Avant impact'!$A$780=A20,LEN(SUBSTITUTE((SUBSTITUTE(Z28,"TF","")),"TS",""))*10/2,0))/COUNTIF('Eval-Avant impact'!$A$761:$A$780,A20),"")</f>
        <v/>
      </c>
      <c r="M20" s="211" t="str">
        <f>IF(COUNTIF('Eval-Avant impact'!$A$761:$A$780,A20)&gt;0,SUM(IF('Eval-Avant impact'!$A$761=A20,LEN(SUBSTITUTE((SUBSTITUTE(Z9,"TF","")),"TM",""))*10/2,0),IF('Eval-Avant impact'!$A$762=A20,LEN(SUBSTITUTE((SUBSTITUTE(Z10,"TF","")),"TM",""))*10/2,0),IF('Eval-Avant impact'!$A$763=A20,LEN(SUBSTITUTE((SUBSTITUTE(Z11,"TF","")),"TM",""))*10/2,0),IF('Eval-Avant impact'!$A$764=A20,LEN(SUBSTITUTE((SUBSTITUTE(Z12,"TF","")),"TM",""))*10/2,0),IF('Eval-Avant impact'!$A$765=A20,LEN(SUBSTITUTE((SUBSTITUTE(Z13,"TF","")),"TM",""))*10/2,0),IF('Eval-Avant impact'!$A$766=A20,LEN(SUBSTITUTE((SUBSTITUTE(Z14,"TF","")),"TM",""))*10/2,0),IF('Eval-Avant impact'!$A$767=A20,LEN(SUBSTITUTE((SUBSTITUTE(Z15,"TF","")),"TM",""))*10/2,0),IF('Eval-Avant impact'!$A$768=A20,LEN(SUBSTITUTE((SUBSTITUTE(Z16,"TF","")),"TM",""))*10/2,0),IF('Eval-Avant impact'!$A$769=A20,LEN(SUBSTITUTE((SUBSTITUTE(Z17,"TF","")),"TM",""))*10/2,0),IF('Eval-Avant impact'!$A$770=A20,LEN(SUBSTITUTE((SUBSTITUTE(Z18,"TF","")),"TM",""))*10/2,0),IF('Eval-Avant impact'!$A$771=A20,LEN(SUBSTITUTE((SUBSTITUTE(Z19,"TF","")),"TM",""))*10/2,0),IF('Eval-Avant impact'!$A$772=A20,LEN(SUBSTITUTE((SUBSTITUTE(Z20,"TF","")),"TM",""))*10/2,0),IF('Eval-Avant impact'!$A$773=A20,LEN(SUBSTITUTE((SUBSTITUTE(Z21,"TF","")),"TM",""))*10/2,0),IF('Eval-Avant impact'!$A$774=A20,LEN(SUBSTITUTE((SUBSTITUTE(Z22,"TF","")),"TM",""))*10/2,0),IF('Eval-Avant impact'!$A$775=A20,LEN(SUBSTITUTE((SUBSTITUTE(Z23,"TF","")),"TM",""))*10/2,0),IF('Eval-Avant impact'!$A$776=A20,LEN(SUBSTITUTE((SUBSTITUTE(Z24,"TF","")),"TM",""))*10/2,0),IF('Eval-Avant impact'!$A$777=A20,LEN(SUBSTITUTE((SUBSTITUTE(Z25,"TF","")),"TM",""))*10/2,0),IF('Eval-Avant impact'!$A$778=A20,LEN(SUBSTITUTE((SUBSTITUTE(Z26,"TF","")),"TM",""))*10/2,0),IF('Eval-Avant impact'!$A$779=A20,LEN(SUBSTITUTE((SUBSTITUTE(Z27,"TF","")),"TM",""))*10/2,0),IF('Eval-Avant impact'!$A$780=A20,LEN(SUBSTITUTE((SUBSTITUTE(Z28,"TF","")),"TM",""))*10/2,0))/COUNTIF('Eval-Avant impact'!$A$761:$A$780,A20),"")</f>
        <v/>
      </c>
      <c r="N20" s="211" t="str">
        <f>IF(COUNTIF('Eval-Avant impact'!$A$761:$A$780,A20)&gt;0,SUM(IF('Eval-Avant impact'!$A$761=A20,LEN(SUBSTITUTE((SUBSTITUTE(AA9,"TM","")),"TS",""))*10/2,0),IF('Eval-Avant impact'!$A$762=A20,LEN(SUBSTITUTE((SUBSTITUTE(AA10,"TM","")),"TS",""))*10/2,0),IF('Eval-Avant impact'!$A$763=A20,LEN(SUBSTITUTE((SUBSTITUTE(AA11,"TM","")),"TS",""))*10/2,0),IF('Eval-Avant impact'!$A$764=A20,LEN(SUBSTITUTE((SUBSTITUTE(AA12,"TM","")),"TS",""))*10/2,0),IF('Eval-Avant impact'!$A$765=A20,LEN(SUBSTITUTE((SUBSTITUTE(AA13,"TM","")),"TS",""))*10/2,0),IF('Eval-Avant impact'!$A$766=A20,LEN(SUBSTITUTE((SUBSTITUTE(AA14,"TM","")),"TS",""))*10/2,0),IF('Eval-Avant impact'!$A$767=A20,LEN(SUBSTITUTE((SUBSTITUTE(AA15,"TM","")),"TS",""))*10/2,0),IF('Eval-Avant impact'!$A$768=A20,LEN(SUBSTITUTE((SUBSTITUTE(AA16,"TM","")),"TS",""))*10/2,0),IF('Eval-Avant impact'!$A$769=A20,LEN(SUBSTITUTE((SUBSTITUTE(AA17,"TM","")),"TS",""))*10/2,0),IF('Eval-Avant impact'!$A$770=A20,LEN(SUBSTITUTE((SUBSTITUTE(AA18,"TM","")),"TS",""))*10/2,0),IF('Eval-Avant impact'!$A$771=A20,LEN(SUBSTITUTE((SUBSTITUTE(AA19,"TM","")),"TS",""))*10/2,0),IF('Eval-Avant impact'!$A$772=A20,LEN(SUBSTITUTE((SUBSTITUTE(AA20,"TM","")),"TS",""))*10/2,0),IF('Eval-Avant impact'!$A$773=A20,LEN(SUBSTITUTE((SUBSTITUTE(AA21,"TM","")),"TS",""))*10/2,0),IF('Eval-Avant impact'!$A$774=A20,LEN(SUBSTITUTE((SUBSTITUTE(AA22,"TM","")),"TS",""))*10/2,0),IF('Eval-Avant impact'!$A$775=A20,LEN(SUBSTITUTE((SUBSTITUTE(AA23,"TM","")),"TS",""))*10/2,0),IF('Eval-Avant impact'!$A$776=A20,LEN(SUBSTITUTE((SUBSTITUTE(AA24,"TM","")),"TS",""))*10/2,0),IF('Eval-Avant impact'!$A$777=A20,LEN(SUBSTITUTE((SUBSTITUTE(AA25,"TM","")),"TS",""))*10/2,0),IF('Eval-Avant impact'!$A$778=A20,LEN(SUBSTITUTE((SUBSTITUTE(AA26,"TM","")),"TS",""))*10/2,0),IF('Eval-Avant impact'!$A$779=A20,LEN(SUBSTITUTE((SUBSTITUTE(AA27,"TM","")),"TS",""))*10/2,0),IF('Eval-Avant impact'!$A$780=A20,LEN(SUBSTITUTE((SUBSTITUTE(AA28,"TM","")),"TS",""))*10/2,0))/COUNTIF('Eval-Avant impact'!$A$761:$A$780,A20),"")</f>
        <v/>
      </c>
      <c r="O20" s="211" t="str">
        <f>IF(COUNTIF('Eval-Avant impact'!$A$761:$A$780,A20)&gt;0,SUM(IF('Eval-Avant impact'!$A$761=A20,LEN(SUBSTITUTE((SUBSTITUTE(AA9,"TF","")),"TS",""))*10/2,0),IF('Eval-Avant impact'!$A$762=A20,LEN(SUBSTITUTE((SUBSTITUTE(AA10,"TF","")),"TS",""))*10/2,0),IF('Eval-Avant impact'!$A$763=A20,LEN(SUBSTITUTE((SUBSTITUTE(AA11,"TF","")),"TS",""))*10/2,0),IF('Eval-Avant impact'!$A$764=A20,LEN(SUBSTITUTE((SUBSTITUTE(AA12,"TF","")),"TS",""))*10/2,0),IF('Eval-Avant impact'!$A$765=A20,LEN(SUBSTITUTE((SUBSTITUTE(AA13,"TF","")),"TS",""))*10/2,0),IF('Eval-Avant impact'!$A$766=A20,LEN(SUBSTITUTE((SUBSTITUTE(AA14,"TF","")),"TS",""))*10/2,0),IF('Eval-Avant impact'!$A$767=A20,LEN(SUBSTITUTE((SUBSTITUTE(AA15,"TF","")),"TS",""))*10/2,0),IF('Eval-Avant impact'!$A$768=A20,LEN(SUBSTITUTE((SUBSTITUTE(AA16,"TF","")),"TS",""))*10/2,0),IF('Eval-Avant impact'!$A$769=A20,LEN(SUBSTITUTE((SUBSTITUTE(AA17,"TF","")),"TS",""))*10/2,0),IF('Eval-Avant impact'!$A$770=A20,LEN(SUBSTITUTE((SUBSTITUTE(AA18,"TF","")),"TS",""))*10/2,0),IF('Eval-Avant impact'!$A$771=A20,LEN(SUBSTITUTE((SUBSTITUTE(AA19,"TF","")),"TS",""))*10/2,0),IF('Eval-Avant impact'!$A$772=A20,LEN(SUBSTITUTE((SUBSTITUTE(AA20,"TF","")),"TS",""))*10/2,0),IF('Eval-Avant impact'!$A$773=A20,LEN(SUBSTITUTE((SUBSTITUTE(AA21,"TF","")),"TS",""))*10/2,0),IF('Eval-Avant impact'!$A$774=A20,LEN(SUBSTITUTE((SUBSTITUTE(AA22,"TF","")),"TS",""))*10/2,0),IF('Eval-Avant impact'!$A$775=A20,LEN(SUBSTITUTE((SUBSTITUTE(AA23,"TF","")),"TS",""))*10/2,0),IF('Eval-Avant impact'!$A$776=A20,LEN(SUBSTITUTE((SUBSTITUTE(AA24,"TF","")),"TS",""))*10/2,0),IF('Eval-Avant impact'!$A$777=A20,LEN(SUBSTITUTE((SUBSTITUTE(AA25,"TF","")),"TS",""))*10/2,0),IF('Eval-Avant impact'!$A$778=A20,LEN(SUBSTITUTE((SUBSTITUTE(AA26,"TF","")),"TS",""))*10/2,0),IF('Eval-Avant impact'!$A$779=A20,LEN(SUBSTITUTE((SUBSTITUTE(AA27,"TF","")),"TS",""))*10/2,0),IF('Eval-Avant impact'!$A$780=A20,LEN(SUBSTITUTE((SUBSTITUTE(AA28,"TF","")),"TS",""))*10/2,0))/COUNTIF('Eval-Avant impact'!$A$761:$A$780,A20),"")</f>
        <v/>
      </c>
      <c r="P20" s="211" t="str">
        <f>IF(COUNTIF('Eval-Avant impact'!$A$761:$A$780,A20)&gt;0,SUM(IF('Eval-Avant impact'!$A$761=A20,LEN(SUBSTITUTE((SUBSTITUTE(AA9,"TF","")),"TM",""))*10/2,0),IF('Eval-Avant impact'!$A$762=A20,LEN(SUBSTITUTE((SUBSTITUTE(AA10,"TF","")),"TM",""))*10/2,0),IF('Eval-Avant impact'!$A$763=A20,LEN(SUBSTITUTE((SUBSTITUTE(AA11,"TF","")),"TM",""))*10/2,0),IF('Eval-Avant impact'!$A$764=A20,LEN(SUBSTITUTE((SUBSTITUTE(AA12,"TF","")),"TM",""))*10/2,0),IF('Eval-Avant impact'!$A$765=A20,LEN(SUBSTITUTE((SUBSTITUTE(AA13,"TF","")),"TM",""))*10/2,0),IF('Eval-Avant impact'!$A$766=A20,LEN(SUBSTITUTE((SUBSTITUTE(AA14,"TF","")),"TM",""))*10/2,0),IF('Eval-Avant impact'!$A$767=A20,LEN(SUBSTITUTE((SUBSTITUTE(AA15,"TF","")),"TM",""))*10/2,0),IF('Eval-Avant impact'!$A$768=A20,LEN(SUBSTITUTE((SUBSTITUTE(AA16,"TF","")),"TM",""))*10/2,0),IF('Eval-Avant impact'!$A$769=A20,LEN(SUBSTITUTE((SUBSTITUTE(AA17,"TF","")),"TM",""))*10/2,0),IF('Eval-Avant impact'!$A$770=A20,LEN(SUBSTITUTE((SUBSTITUTE(AA18,"TF","")),"TM",""))*10/2,0),IF('Eval-Avant impact'!$A$771=A20,LEN(SUBSTITUTE((SUBSTITUTE(AA19,"TF","")),"TM",""))*10/2,0),IF('Eval-Avant impact'!$A$772=A20,LEN(SUBSTITUTE((SUBSTITUTE(AA20,"TF","")),"TM",""))*10/2,0),IF('Eval-Avant impact'!$A$773=A20,LEN(SUBSTITUTE((SUBSTITUTE(AA21,"TF","")),"TM",""))*10/2,0),IF('Eval-Avant impact'!$A$774=A20,LEN(SUBSTITUTE((SUBSTITUTE(AA22,"TF","")),"TM",""))*10/2,0),IF('Eval-Avant impact'!$A$775=A20,LEN(SUBSTITUTE((SUBSTITUTE(AA23,"TF","")),"TM",""))*10/2,0),IF('Eval-Avant impact'!$A$776=A20,LEN(SUBSTITUTE((SUBSTITUTE(AA24,"TF","")),"TM",""))*10/2,0),IF('Eval-Avant impact'!$A$777=A20,LEN(SUBSTITUTE((SUBSTITUTE(AA25,"TF","")),"TM",""))*10/2,0),IF('Eval-Avant impact'!$A$778=A20,LEN(SUBSTITUTE((SUBSTITUTE(AA26,"TF","")),"TM",""))*10/2,0),IF('Eval-Avant impact'!$A$779=A20,LEN(SUBSTITUTE((SUBSTITUTE(AA27,"TF","")),"TM",""))*10/2,0),IF('Eval-Avant impact'!$A$780=A20,LEN(SUBSTITUTE((SUBSTITUTE(AA28,"TF","")),"TM",""))*10/2,0))/COUNTIF('Eval-Avant impact'!$A$761:$A$780,A20),"")</f>
        <v/>
      </c>
      <c r="Q20" s="211" t="str">
        <f>IF(COUNTIF('Eval-Avant impact'!$A$761:$A$780,A20)&gt;0,IF(OR(AND('Eval-Avant impact'!$A$761=A20,X9&lt;30),AND('Eval-Avant impact'!$A$762=A20,X10&lt;30),AND('Eval-Avant impact'!$A$763=A20,X11&lt;30),AND('Eval-Avant impact'!$A$764=A20,X12&lt;30),AND('Eval-Avant impact'!$A$765=A20,X13&lt;30),AND('Eval-Avant impact'!$A$766=A20,X14&lt;30),AND('Eval-Avant impact'!$A$767=A20,X15&lt;30),AND('Eval-Avant impact'!$A$768=A20,X16&lt;30),AND('Eval-Avant impact'!$A$769=A20,X17&lt;30),AND('Eval-Avant impact'!$A$770=A20,X18&lt;30),AND('Eval-Avant impact'!$A$771=A20,X19&lt;30),AND('Eval-Avant impact'!$A$772=A20,X20&lt;30),AND('Eval-Avant impact'!$A$773=A20,X21&lt;30),AND('Eval-Avant impact'!$A$774=A20,X22&lt;30),AND('Eval-Avant impact'!$A$775=A20,X23&lt;30),AND('Eval-Avant impact'!$A$776=A20,X24&lt;30),AND('Eval-Avant impact'!$A$777=A20,X25&lt;30),AND('Eval-Avant impact'!$A$778=A20,X26&lt;30),AND('Eval-Avant impact'!$A$779=A20,X27&lt;30),AND('Eval-Avant impact'!$A$780=A20,X28&lt;30)),"",SUM(0.1*(SUMPRODUCT(('Eval-Avant impact'!$A$761:$A$780=A20)*('Eval-Avant impact'!$N$761:$P$780="A"))+ SUMPRODUCT(('Eval-Avant impact'!$A$761:$A$780=A20)*('Eval-Avant impact'!$N$761:$P$780="AL"))),0.7*(SUMPRODUCT(('Eval-Avant impact'!$A$761:$A$780=A20)*('Eval-Avant impact'!$N$761:$P$780="TF"))+SUMPRODUCT(('Eval-Avant impact'!$A$761:$A$780=A20)*('Eval-Avant impact'!$N$761:$P$780="TM"))+SUMPRODUCT(('Eval-Avant impact'!$A$761:$A$780=A20)*('Eval-Avant impact'!$N$761:$P$780="TS"))),0.4*(SUMPRODUCT(('Eval-Avant impact'!$A$761:$A$780=A20)*('Eval-Avant impact'!$N$761:$P$780="LA"))+SUMPRODUCT(('Eval-Avant impact'!$A$761:$A$780=A20)*('Eval-Avant impact'!$N$761:$P$780="L"))+SUMPRODUCT(('Eval-Avant impact'!$A$761:$A$780=A20)*('Eval-Avant impact'!$N$761:$P$780="LS"))),1*(SUMPRODUCT(('Eval-Avant impact'!$A$761:$A$780=A20)*('Eval-Avant impact'!$N$761:$P$780="SL"))+ SUMPRODUCT(('Eval-Avant impact'!$A$761:$A$780=A20)*('Eval-Avant impact'!$N$761:$P$780="S"))))/(3*COUNTIF('Eval-Avant impact'!$A$761:$A$780,A20))),"")</f>
        <v/>
      </c>
      <c r="R20" s="211" t="str">
        <f>IF(COUNTIF('Eval-Avant impact'!$A$761:$A$780,A20)&gt;0,IF(OR(AND('Eval-Avant impact'!$A$761=A20,X9&lt;120),AND('Eval-Avant impact'!$A$762=A20,X10&lt;120),AND('Eval-Avant impact'!$A$763=A20,X11&lt;120),AND('Eval-Avant impact'!$A$764=A20,X12&lt;120),AND('Eval-Avant impact'!$A$765=A20,X13&lt;120),AND('Eval-Avant impact'!$A$766=A20,X14&lt;120),AND('Eval-Avant impact'!$A$767=A20,X15&lt;120),AND('Eval-Avant impact'!$A$768=A20,X16&lt;120),AND('Eval-Avant impact'!$A$769=A20,X17&lt;120),AND('Eval-Avant impact'!$A$770=A20,X18&lt;120),AND('Eval-Avant impact'!$A$771=A20,X19&lt;120),AND('Eval-Avant impact'!$A$772=A20,X20&lt;120),AND('Eval-Avant impact'!$A$773=A20,X21&lt;120),AND('Eval-Avant impact'!$A$774=A20,X22&lt;120),AND('Eval-Avant impact'!$A$775=A20,X23&lt;120),AND('Eval-Avant impact'!$A$776=A20,X24&lt;120),AND('Eval-Avant impact'!$A$777=A20,X25&lt;120),AND('Eval-Avant impact'!$A$778=A20,X26&lt;120),AND('Eval-Avant impact'!$A$779=A20,X27&lt;120),AND('Eval-Avant impact'!$A$780=A20,X28&lt;120)),"",SUM(0.1*(SUMPRODUCT(('Eval-Avant impact'!$A$761:$A$780=A20)*('Eval-Avant impact'!$Q$761:$Y$780="A"))+ SUMPRODUCT(('Eval-Avant impact'!$A$761:$A$780=A20)*('Eval-Avant impact'!$Q$761:$Y$780="AL"))),0.7*(SUMPRODUCT(('Eval-Avant impact'!$A$761:$A$780=A20)*('Eval-Avant impact'!$Q$761:$Y$780="TF"))+SUMPRODUCT(('Eval-Avant impact'!$A$761:$A$780=A20)*('Eval-Avant impact'!$Q$761:$Y$780="TM"))+SUMPRODUCT(('Eval-Avant impact'!$A$761:$A$780=A20)*('Eval-Avant impact'!$Q$761:$Y$780="TS"))),0.4*(SUMPRODUCT(('Eval-Avant impact'!$A$761:$A$780=A20)*('Eval-Avant impact'!$Q$761:$Y$780="LA"))+SUMPRODUCT(('Eval-Avant impact'!$A$761:$A$780=A20)*('Eval-Avant impact'!$Q$761:$Y$780="L"))+SUMPRODUCT(('Eval-Avant impact'!$A$761:$A$780=A20)*('Eval-Avant impact'!$Q$761:$Y$780="LS"))),1*(SUMPRODUCT(('Eval-Avant impact'!$A$761:$A$780=A20)*('Eval-Avant impact'!$Q$761:$Y$780="SL"))+ SUMPRODUCT(('Eval-Avant impact'!$A$761:$A$780=A20)*('Eval-Avant impact'!$Q$761:$Y$780="S"))))/(9*COUNTIF('Eval-Avant impact'!$A$761:$A$780,A20))),"")</f>
        <v/>
      </c>
      <c r="S20" s="211" t="str">
        <f>IF(COUNTIF('Eval-Avant impact'!$A$761:$A$780,A20)&gt;0,IF(OR(AND('Eval-Avant impact'!$A$761=A20,OR(COUNTIF('Eval-Avant impact'!$N$761:$P$761,"*T*")&gt;0,X9&lt;30)),AND('Eval-Avant impact'!$A$762=A20,OR(COUNTIF('Eval-Avant impact'!$N$762:$P$762,"*T*")&gt;0,X10&lt;30)),AND('Eval-Avant impact'!$A$763=A20,OR(COUNTIF('Eval-Avant impact'!$N$763:$P$763,"*T*")&gt;0,X11&lt;30)),AND('Eval-Avant impact'!$A$764=A20,OR(COUNTIF('Eval-Avant impact'!$N$764:$P$764,"*T*")&gt;0,X12&lt;30)),AND('Eval-Avant impact'!$A$765=A20,OR(COUNTIF('Eval-Avant impact'!$N$765:$P$765,"*T*")&gt;0,X13&lt;30)),AND('Eval-Avant impact'!$A$766=A20,OR(COUNTIF('Eval-Avant impact'!$N$766:$P$766,"*T*")&gt;0,X14&lt;30)),AND('Eval-Avant impact'!$A$767=A20,OR(COUNTIF('Eval-Avant impact'!$N$767:$P$767,"*T*")&gt;0,X15&lt;30)),AND('Eval-Avant impact'!$A$768=A20,OR(COUNTIF('Eval-Avant impact'!$N$768:$P$768,"*T*")&gt;0,X16&lt;30)),AND('Eval-Avant impact'!$A$769=A20,OR(COUNTIF('Eval-Avant impact'!$N$769:$P$769,"*T*")&gt;0,X17&lt;30)),AND('Eval-Avant impact'!$A$770=A20,OR(COUNTIF('Eval-Avant impact'!$N$770:$P$770,"*T*")&gt;0,X18&lt;30)),AND('Eval-Avant impact'!$A$771=A20,OR(COUNTIF('Eval-Avant impact'!$N$771:$P$771,"*T*")&gt;0,X19&lt;30)),AND('Eval-Avant impact'!$A$772=A20,OR(COUNTIF('Eval-Avant impact'!$N$772:$P$772,"*T*")&gt;0,X20&lt;30)),AND('Eval-Avant impact'!$A$773=A20,OR(COUNTIF('Eval-Avant impact'!$N$773:$P$773,"*T*")&gt;0,X21&lt;30)),AND('Eval-Avant impact'!$A$774=A20,OR(COUNTIF('Eval-Avant impact'!$N$774:$P$774,"*T*")&gt;0,X22&lt;30)),AND('Eval-Avant impact'!$A$775=A20,OR(COUNTIF('Eval-Avant impact'!$N$775:$P$775,"*T*")&gt;0,X23&lt;30)),AND('Eval-Avant impact'!$A$776=A20,OR(COUNTIF('Eval-Avant impact'!$N$776:$P$776,"*T*")&gt;0,X24&lt;30)),AND('Eval-Avant impact'!$A$777=A20,OR(COUNTIF('Eval-Avant impact'!$N$777:$P$777,"*T*")&gt;0,X25&lt;30)),AND('Eval-Avant impact'!$A$778=A20,OR(COUNTIF('Eval-Avant impact'!$N$778:$P$778,"*T*")&gt;0,X26&lt;30)),AND('Eval-Avant impact'!$A$779=A20,OR(COUNTIF('Eval-Avant impact'!$N$779:$P$779,"*T*")&gt;0,X27&lt;30)),AND('Eval-Avant impact'!$A$780=A20,OR(COUNTIF('Eval-Avant impact'!$N$780:$P$780,"*T*")&gt;0,X28&lt;30))),"",SUM(0.1*(SUMPRODUCT(('Eval-Avant impact'!$A$761:$A$780=A20)*('Eval-Avant impact'!$N$761:$P$780="L"))),0.4*(SUMPRODUCT(('Eval-Avant impact'!$A$761:$A$780=A20)*('Eval-Avant impact'!$N$761:$P$780="LA"))+SUMPRODUCT(('Eval-Avant impact'!$A$761:$A$780=A20)*('Eval-Avant impact'!$N$761:$P$780="LS"))),0.7*(SUMPRODUCT(('Eval-Avant impact'!$A$761:$A$780=A20)*('Eval-Avant impact'!$N$761:$P$780="AL"))+SUMPRODUCT(('Eval-Avant impact'!$A$761:$A$780=A20)*('Eval-Avant impact'!$N$761:$P$780="SL"))),1*(SUMPRODUCT(('Eval-Avant impact'!$A$761:$A$780=A20)*('Eval-Avant impact'!$N$761:$P$780="S"))+ SUMPRODUCT(('Eval-Avant impact'!$A$761:$A$780=A20)*('Eval-Avant impact'!$N$761:$P$780="A"))))/(3*COUNTIF('Eval-Avant impact'!$A$761:$A$780,A20))),"")</f>
        <v/>
      </c>
      <c r="T20" s="211" t="str">
        <f>IF(COUNTIF('Eval-Avant impact'!$A$761:$A$780,A20)&gt;0,IF(OR(AND('Eval-Avant impact'!$A$761=A20,OR(COUNTIF('Eval-Avant impact'!$N$761:$P$761,"*T*")&gt;0,X9&lt;30)),AND('Eval-Avant impact'!$A$762=A20,OR(COUNTIF('Eval-Avant impact'!$N$762:$P$762,"*T*")&gt;0,X10&lt;30)),AND('Eval-Avant impact'!$A$763=A20,OR(COUNTIF('Eval-Avant impact'!$N$763:$P$763,"*T*")&gt;0,X11&lt;30)),AND('Eval-Avant impact'!$A$764=A20,OR(COUNTIF('Eval-Avant impact'!$N$764:$P$764,"*T*")&gt;0,X12&lt;30)),AND('Eval-Avant impact'!$A$765=A20,OR(COUNTIF('Eval-Avant impact'!$N$765:$P$765,"*T*")&gt;0,X13&lt;30)),AND('Eval-Avant impact'!$A$766=A20,OR(COUNTIF('Eval-Avant impact'!$N$766:$P$766,"*T*")&gt;0,X14&lt;30)),AND('Eval-Avant impact'!$A$767=A20,OR(COUNTIF('Eval-Avant impact'!$N$767:$P$767,"*T*")&gt;0,X15&lt;30)),AND('Eval-Avant impact'!$A$768=A20,OR(COUNTIF('Eval-Avant impact'!$N$768:$P$768,"*T*")&gt;0,X16&lt;30)),AND('Eval-Avant impact'!$A$769=A20,OR(COUNTIF('Eval-Avant impact'!$N$769:$P$769,"*T*")&gt;0,X17&lt;30)),AND('Eval-Avant impact'!$A$770=A20,OR(COUNTIF('Eval-Avant impact'!$N$770:$P$770,"*T*")&gt;0,X18&lt;30)),AND('Eval-Avant impact'!$A$771=A20,OR(COUNTIF('Eval-Avant impact'!$N$771:$P$771,"*T*")&gt;0,X19&lt;30)),AND('Eval-Avant impact'!$A$772=A20,OR(COUNTIF('Eval-Avant impact'!$N$772:$P$772,"*T*")&gt;0,X20&lt;30)),AND('Eval-Avant impact'!$A$773=A20,OR(COUNTIF('Eval-Avant impact'!$N$773:$P$773,"*T*")&gt;0,X21&lt;30)),AND('Eval-Avant impact'!$A$774=A20,OR(COUNTIF('Eval-Avant impact'!$N$774:$P$774,"*T*")&gt;0,X22&lt;30)),AND('Eval-Avant impact'!$A$775=A20,OR(COUNTIF('Eval-Avant impact'!$N$775:$P$775,"*T*")&gt;0,X23&lt;30)),AND('Eval-Avant impact'!$A$776=A20,OR(COUNTIF('Eval-Avant impact'!$N$776:$P$776,"*T*")&gt;0,X24&lt;30)),AND('Eval-Avant impact'!$A$777=A20,OR(COUNTIF('Eval-Avant impact'!$N$777:$P$777,"*T*")&gt;0,X25&lt;30)),AND('Eval-Avant impact'!$A$778=A20,OR(COUNTIF('Eval-Avant impact'!$N$778:$P$778,"*T*")&gt;0,X26&lt;30)),AND('Eval-Avant impact'!$A$779=A20,OR(COUNTIF('Eval-Avant impact'!$N$779:$P$779,"*T*")&gt;0,X27&lt;30)),AND('Eval-Avant impact'!$A$780=A20,OR(COUNTIF('Eval-Avant impact'!$N$780:$P$780,"*T*")&gt;0,X28&lt;30))),"",SUM(1*(SUMPRODUCT(('Eval-Avant impact'!$A$761:$A$780=A20)*('Eval-Avant impact'!$N$761:$P$780="A"))),0.85*(SUMPRODUCT(('Eval-Avant impact'!$A$761:$A$780=A20)*('Eval-Avant impact'!$N$761:$P$780="AL"))),0.7*(SUMPRODUCT(('Eval-Avant impact'!$A$761:$A$780=A20)*('Eval-Avant impact'!$N$761:$P$780="LA"))),0.55*(SUMPRODUCT(('Eval-Avant impact'!$A$761:$A$780=A20)*('Eval-Avant impact'!$N$761:$P$780="L"))),0.4*(SUMPRODUCT(('Eval-Avant impact'!$A$761:$A$780=A20)*('Eval-Avant impact'!$N$761:$P$780="LS"))),0.25*(SUMPRODUCT(('Eval-Avant impact'!$A$761:$A$780=A20)*('Eval-Avant impact'!$N$761:$P$780="SL"))),0.1*(SUMPRODUCT(('Eval-Avant impact'!$A$761:$A$780=A20)*('Eval-Avant impact'!$N$761:$P$780="S"))))/(3*COUNTIF('Eval-Avant impact'!$A$761:$A$780,A20))),"")</f>
        <v/>
      </c>
      <c r="U20" s="214" t="str">
        <f>IF(COUNTIF('Eval-Avant impact'!$A$761:$A$780,A20)&gt;0,IF(OR(AND('Eval-Avant impact'!$A$761=A20,OR(COUNTIF('Eval-Avant impact'!$Q$761:$Y$761,"*T*")&gt;0,X9&lt;120)),AND('Eval-Avant impact'!$A$762=A20,OR(COUNTIF('Eval-Avant impact'!$Q$762:$Y$762,"*T*")&gt;0,X10&lt;120)),AND('Eval-Avant impact'!$A$763=A20,OR(COUNTIF('Eval-Avant impact'!$Q$763:$Y$763,"*T*")&gt;0,X11&lt;120)),AND('Eval-Avant impact'!$A$764=A20,OR(COUNTIF('Eval-Avant impact'!$Q$764:$Y$764,"*T*")&gt;0,X12&lt;120)),AND('Eval-Avant impact'!$A$765=A20,OR(COUNTIF('Eval-Avant impact'!$Q$765:$Y$765,"*T*")&gt;0,X13&lt;120)),AND('Eval-Avant impact'!$A$766=A20,OR(COUNTIF('Eval-Avant impact'!$Q$766:$Y$766,"*T*")&gt;0,X14&lt;120)),AND('Eval-Avant impact'!$A$767=A20,OR(COUNTIF('Eval-Avant impact'!$Q$767:$Y$767,"*T*")&gt;0,X15&lt;120)),AND('Eval-Avant impact'!$A$768=A20,OR(COUNTIF('Eval-Avant impact'!$Q$768:$Y$768,"*T*")&gt;0,X16&lt;120)),AND('Eval-Avant impact'!$A$769=A20,OR(COUNTIF('Eval-Avant impact'!$Q$769:$Y$769,"*T*")&gt;0,X17&lt;120)),AND('Eval-Avant impact'!$A$770=A20,OR(COUNTIF('Eval-Avant impact'!$Q$770:$Y$770,"*T*")&gt;0,X18&lt;120)),AND('Eval-Avant impact'!$A$771=A20,OR(COUNTIF('Eval-Avant impact'!$Q$771:$Y$771,"*T*")&gt;0,X19&lt;120)),AND('Eval-Avant impact'!$A$772=A20,OR(COUNTIF('Eval-Avant impact'!$Q$772:$Y$772,"*T*")&gt;0,X20&lt;120)),AND('Eval-Avant impact'!$A$773=A20,OR(COUNTIF('Eval-Avant impact'!$Q$773:$Y$773,"*T*")&gt;0,X21&lt;120)),AND('Eval-Avant impact'!$A$774=A20,OR(COUNTIF('Eval-Avant impact'!$Q$774:$Y$774,"*T*")&gt;0,X22&lt;120)),AND('Eval-Avant impact'!$A$775=A20,OR(COUNTIF('Eval-Avant impact'!$Q$775:$Y$775,"*T*")&gt;0,X23&lt;120)),AND('Eval-Avant impact'!$A$776=A20,OR(COUNTIF('Eval-Avant impact'!$Q$776:$Y$776,"*T*")&gt;0,X24&lt;120)),AND('Eval-Avant impact'!$A$777=A20,OR(COUNTIF('Eval-Avant impact'!$Q$777:$Y$777,"*T*")&gt;0,X25&lt;120)),AND('Eval-Avant impact'!$A$778=A20,OR(COUNTIF('Eval-Avant impact'!$Q$778:$Y$778,"*T*")&gt;0,X26&lt;120)),AND('Eval-Avant impact'!$A$779=A20,OR(COUNTIF('Eval-Avant impact'!$Q$779:$Y$779,"*T*")&gt;0,X27&lt;120)),AND('Eval-Avant impact'!$A$780=A20,OR(COUNTIF('Eval-Avant impact'!$Q$780:$Y$780,"*T*")&gt;0,X28&lt;120))),"",SUM(1*(SUMPRODUCT(('Eval-Avant impact'!$A$761:$A$780=A20)*('Eval-Avant impact'!$Q$761:$Y$780="A"))),0.85*(SUMPRODUCT(('Eval-Avant impact'!$A$761:$A$780=A20)*('Eval-Avant impact'!$Q$761:$Y$780="AL"))),0.7*(SUMPRODUCT(('Eval-Avant impact'!$A$761:$A$780=A20)*('Eval-Avant impact'!$Q$761:$Y$780="LA"))),0.55*(SUMPRODUCT(('Eval-Avant impact'!$A$761:$A$780=A20)*('Eval-Avant impact'!$Q$761:$Y$780="L"))),0.4*(SUMPRODUCT(('Eval-Avant impact'!$A$761:$A$780=A20)*('Eval-Avant impact'!$Q$761:$Y$780="LS"))),0.25*(SUMPRODUCT(('Eval-Avant impact'!$A$761:$A$780=A20)*('Eval-Avant impact'!$Q$761:$Y$780="SL"))),0.1*(SUMPRODUCT(('Eval-Avant impact'!$A$761:$A$780=A20)*('Eval-Avant impact'!$Q$761:$Y$780="S"))))/(9*COUNTIF('Eval-Avant impact'!$A$761:$A$780,A20))),"")</f>
        <v/>
      </c>
      <c r="V20" s="215"/>
      <c r="W20" s="216">
        <f>'Eval-Avant impact'!$D$772</f>
        <v>12</v>
      </c>
      <c r="X20" s="217" t="str">
        <f>IF(Y20="C",0,IF(IF(COUNTIF('Eval-Avant impact'!$N$772:$Y$772,"=C")&gt;0,(COUNTA('Eval-Avant impact'!$N$772:$Y$772)-1)*10,COUNTA('Eval-Avant impact'!$N$772:$Y$772)*10)=0,"",IF(COUNTIF('Eval-Avant impact'!$N$772:$Y$772,"=C")&gt;0,(COUNTA('Eval-Avant impact'!$N$772:$Y$772)-1)*10,COUNTA('Eval-Avant impact'!$N$772:$Y$772)*10)))</f>
        <v/>
      </c>
      <c r="Y20" s="217" t="str">
        <f>CONCATENATE('Eval-Avant impact'!$N$772,'Eval-Avant impact'!$O$772,'Eval-Avant impact'!$P$772,'Eval-Avant impact'!$Q$772,'Eval-Avant impact'!$R$772,'Eval-Avant impact'!$S$772,'Eval-Avant impact'!$T$772,'Eval-Avant impact'!$U$772,'Eval-Avant impact'!$V$772,'Eval-Avant impact'!$W$772,'Eval-Avant impact'!$X$772,'Eval-Avant impact'!$Y$772)</f>
        <v/>
      </c>
      <c r="Z20" s="217" t="str">
        <f t="shared" si="0"/>
        <v/>
      </c>
      <c r="AA20" s="217" t="str">
        <f t="shared" si="1"/>
        <v/>
      </c>
      <c r="AB20" s="217" t="str">
        <f>IF(COUNTIF('Eval-Avant impact'!$N$772:$Y$772,"=C")&gt;0,"X","")</f>
        <v/>
      </c>
      <c r="AC20" s="217" t="str">
        <f t="shared" si="2"/>
        <v/>
      </c>
      <c r="AD20" s="218" t="str">
        <f t="shared" si="3"/>
        <v/>
      </c>
      <c r="AE20" s="197"/>
      <c r="AG20" s="210">
        <v>12</v>
      </c>
      <c r="AH20" s="211" t="str">
        <f>IF(COUNTIF('Eval-Avec impact envisagé'!$A$761:$A$780,AG20)&gt;0,SUM(IF('Eval-Avec impact envisagé'!$A$761=AG20,'Eval-Avec impact envisagé'!$B$761,0),IF('Eval-Avec impact envisagé'!$A$762=AG20, 'Eval-Avec impact envisagé'!$B$762,0),IF('Eval-Avec impact envisagé'!$A$763=AG20, 'Eval-Avec impact envisagé'!$B$763,0),IF('Eval-Avec impact envisagé'!$A$764=AG20, 'Eval-Avec impact envisagé'!$B$764,0),IF('Eval-Avec impact envisagé'!$A$765=AG20, 'Eval-Avec impact envisagé'!$B$765,0),IF('Eval-Avec impact envisagé'!$A$766=AG20, 'Eval-Avec impact envisagé'!$B$766,0),IF('Eval-Avec impact envisagé'!$A$767=AG20, 'Eval-Avec impact envisagé'!$B$767,0),IF('Eval-Avec impact envisagé'!$A$768=AG20, 'Eval-Avec impact envisagé'!$B$768,0),IF('Eval-Avec impact envisagé'!$A$769=AG20, 'Eval-Avec impact envisagé'!$B$769,0),IF('Eval-Avec impact envisagé'!$A$770=AG20, 'Eval-Avec impact envisagé'!$B$770,0),IF('Eval-Avec impact envisagé'!$A$771=AG20, 'Eval-Avec impact envisagé'!$B$771,0),IF('Eval-Avec impact envisagé'!$A$772=AG20, 'Eval-Avec impact envisagé'!$B$772,0),IF('Eval-Avec impact envisagé'!$A$773=AG20, 'Eval-Avec impact envisagé'!$B$773,0),IF('Eval-Avec impact envisagé'!$A$774=AG20, 'Eval-Avec impact envisagé'!$B$774,0),IF('Eval-Avec impact envisagé'!$A$775=AG20, 'Eval-Avec impact envisagé'!$B$775,0),IF('Eval-Avec impact envisagé'!$A$776=AG20, 'Eval-Avec impact envisagé'!$B$776,0),IF('Eval-Avec impact envisagé'!$A$777=AG20, 'Eval-Avec impact envisagé'!$B$777,0),IF('Eval-Avec impact envisagé'!$A$778=AG20, 'Eval-Avec impact envisagé'!$B$778,0),IF('Eval-Avec impact envisagé'!$A$779=AG20, 'Eval-Avec impact envisagé'!$B$779,0),IF('Eval-Avec impact envisagé'!$A$780=AG20, 'Eval-Avec impact envisagé'!$B$780,0))/COUNTIF('Eval-Avec impact envisagé'!$A$761:$A$780,AG20),"")</f>
        <v/>
      </c>
      <c r="AI20" s="212" t="str">
        <f>IF(COUNTIF('Eval-Avec impact envisagé'!$A$761:$A$780,AG20)&gt;0,COUNTIF('Eval-Avec impact envisagé'!$A$761:$A$780,AG20),"")</f>
        <v/>
      </c>
      <c r="AJ20" s="211" t="str">
        <f>IF(COUNTIF('Eval-Avec impact envisagé'!$A$761:$A$780,AG20)&gt;0,IF(OR(AND('Eval-Avec impact envisagé'!$A$761=AG20, 'Eval-Avec impact envisagé'!$G$761=""),AND('Eval-Avec impact envisagé'!$A$762=AG20, 'Eval-Avec impact envisagé'!$G$762=""),AND('Eval-Avec impact envisagé'!$A$763=AG20, 'Eval-Avec impact envisagé'!$G$763=""),AND('Eval-Avec impact envisagé'!$A$764=AG20, 'Eval-Avec impact envisagé'!$G$764=""),AND('Eval-Avec impact envisagé'!$A$765=AG20, 'Eval-Avec impact envisagé'!$G$765=""),AND('Eval-Avec impact envisagé'!$A$766=AG20, 'Eval-Avec impact envisagé'!$G$766=""),AND('Eval-Avec impact envisagé'!$A$767=AG20, 'Eval-Avec impact envisagé'!$G$767=""),AND('Eval-Avec impact envisagé'!$A$768=AG20, 'Eval-Avec impact envisagé'!$G$768=""),AND('Eval-Avec impact envisagé'!$A$769=AG20, 'Eval-Avec impact envisagé'!$G$769=""),AND('Eval-Avec impact envisagé'!$A$770=AG20, 'Eval-Avec impact envisagé'!$G$770=""),AND('Eval-Avec impact envisagé'!$A$771=AG20, 'Eval-Avec impact envisagé'!$G$771=""),AND('Eval-Avec impact envisagé'!$A$772=AG20, 'Eval-Avec impact envisagé'!$G$772=""),AND('Eval-Avec impact envisagé'!$A$773=AG20, 'Eval-Avec impact envisagé'!$G$773=""),AND('Eval-Avec impact envisagé'!$A$774=AG20, 'Eval-Avec impact envisagé'!$G$774=""),AND('Eval-Avec impact envisagé'!$A$775=AG20, 'Eval-Avec impact envisagé'!$G$775=""),AND('Eval-Avec impact envisagé'!$A$776=AG20, 'Eval-Avec impact envisagé'!$G$776=""),AND('Eval-Avec impact envisagé'!$A$777=AG20, 'Eval-Avec impact envisagé'!$G$777=""),AND('Eval-Avec impact envisagé'!$A$778=AG20, 'Eval-Avec impact envisagé'!$G$778=""),AND('Eval-Avec impact envisagé'!$A$779=AG20, 'Eval-Avec impact envisagé'!$G$779=""),AND('Eval-Avec impact envisagé'!$A$780=AG20, 'Eval-Avec impact envisagé'!$G$780="")),"",SUM(IF('Eval-Avec impact envisagé'!$A$761=AG20,'Eval-Avec impact envisagé'!$G$761,0),IF('Eval-Avec impact envisagé'!$A$762=AG20,'Eval-Avec impact envisagé'!$G$762,0),IF('Eval-Avec impact envisagé'!$A$763=AG20,'Eval-Avec impact envisagé'!$G$763,0),IF('Eval-Avec impact envisagé'!$A$764=AG20,'Eval-Avec impact envisagé'!$G$764,0),IF('Eval-Avec impact envisagé'!$A$765=AG20,'Eval-Avec impact envisagé'!$G$765,0),IF('Eval-Avec impact envisagé'!$A$766=AG20,'Eval-Avec impact envisagé'!$G$766,0),IF('Eval-Avec impact envisagé'!$A$767=AG20,'Eval-Avec impact envisagé'!$G$767,0),IF('Eval-Avec impact envisagé'!$A$768=AG20,'Eval-Avec impact envisagé'!$G$768,0),IF('Eval-Avec impact envisagé'!$A$769=AG20,'Eval-Avec impact envisagé'!$G$769,0),IF('Eval-Avec impact envisagé'!$A$770=AG20,'Eval-Avec impact envisagé'!$G$770,0),IF('Eval-Avec impact envisagé'!$A$771=AG20,'Eval-Avec impact envisagé'!$G$771,0),IF('Eval-Avec impact envisagé'!$A$772=AG20,'Eval-Avec impact envisagé'!$G$772,0),IF('Eval-Avec impact envisagé'!$A$773=AG20,'Eval-Avec impact envisagé'!$G$773,0),IF('Eval-Avec impact envisagé'!$A$774=AG20,'Eval-Avec impact envisagé'!$G$774,0),IF('Eval-Avec impact envisagé'!$A$775=AG20,'Eval-Avec impact envisagé'!$G$775,0), IF('Eval-Avec impact envisagé'!$A$776=AG20,'Eval-Avec impact envisagé'!$G$776,0), IF('Eval-Avec impact envisagé'!$A$777=AG20,'Eval-Avec impact envisagé'!$G$777,0), IF('Eval-Avec impact envisagé'!$A$778=AG20,'Eval-Avec impact envisagé'!$G$778,0), IF('Eval-Avec impact envisagé'!$A$779=AG20,'Eval-Avec impact envisagé'!$G$779,0), IF('Eval-Avec impact envisagé'!$A$780=AG20,'Eval-Avec impact envisagé'!$G$780,0))/ COUNTIF('Eval-Avec impact envisagé'!$A$761:$A$780,AG20)),"")</f>
        <v/>
      </c>
      <c r="AK20" s="212" t="str">
        <f>IF(COUNTIF('Eval-Avec impact envisagé'!$A$761:$A$780,AG20)&gt;0,IF(SUM(IF('Eval-Avec impact envisagé'!$A$761=AG20,COUNTA('Eval-Avec impact envisagé'!$H$761),0),IF('Eval-Avec impact envisagé'!$A$762=AG20,COUNTA('Eval-Avec impact envisagé'!$H$762),0),IF('Eval-Avec impact envisagé'!$A$763=AG20,COUNTA('Eval-Avec impact envisagé'!$H$763),0),IF('Eval-Avec impact envisagé'!$A$764=AG20,COUNTA('Eval-Avec impact envisagé'!$H$764),0),IF('Eval-Avec impact envisagé'!$A$765=AG20,COUNTA('Eval-Avec impact envisagé'!$H$765),0),IF('Eval-Avec impact envisagé'!$A$766=AG20,COUNTA('Eval-Avec impact envisagé'!$H$766),0),IF('Eval-Avec impact envisagé'!$A$767=AG20,COUNTA('Eval-Avec impact envisagé'!$H$767),0),IF('Eval-Avec impact envisagé'!$A$768=AG20,COUNTA('Eval-Avec impact envisagé'!$H$768),0),IF('Eval-Avec impact envisagé'!$A$769=AG20,COUNTA('Eval-Avec impact envisagé'!$H$769),0),IF('Eval-Avec impact envisagé'!$A$770=AG20,COUNTA('Eval-Avec impact envisagé'!$H$770),0),IF('Eval-Avec impact envisagé'!$A$771=AG20,COUNTA('Eval-Avec impact envisagé'!$H$771),0),IF('Eval-Avec impact envisagé'!$A$772=AG20,COUNTA('Eval-Avec impact envisagé'!$H$772),0),IF('Eval-Avec impact envisagé'!$A$773=AG20,COUNTA('Eval-Avec impact envisagé'!$H$773),0),IF('Eval-Avec impact envisagé'!$A$774=AG20,COUNTA('Eval-Avec impact envisagé'!$H$774),0),IF('Eval-Avec impact envisagé'!$A$775=AG20,COUNTA('Eval-Avec impact envisagé'!$H$775),0),IF('Eval-Avec impact envisagé'!$A$776=AG20,COUNTA('Eval-Avec impact envisagé'!$H$776),0),IF('Eval-Avec impact envisagé'!$A$777=AG20,COUNTA('Eval-Avec impact envisagé'!$H$777),0),IF('Eval-Avec impact envisagé'!$A$778=AG20,COUNTA('Eval-Avec impact envisagé'!$H$778),0),IF('Eval-Avec impact envisagé'!$A$779=AG20,COUNTA('Eval-Avec impact envisagé'!$H$779),0),IF('Eval-Avec impact envisagé'!$A$780=AG20,COUNTA('Eval-Avec impact envisagé'!$H$780),0))&gt;0,"X",0),"")</f>
        <v/>
      </c>
      <c r="AL20" s="213" t="str">
        <f>IF(COUNTIF('Eval-Avec impact envisagé'!$A$761:$A$780,AG20)&gt;0,IF(SUM(IF('Eval-Avec impact envisagé'!$A$761=AG20,COUNTA('Eval-Avec impact envisagé'!$I$761),0),IF('Eval-Avec impact envisagé'!$A$762=AG20,COUNTA('Eval-Avec impact envisagé'!$I$762),0),IF('Eval-Avec impact envisagé'!$A$763=AG20,COUNTA('Eval-Avec impact envisagé'!$I$763),0),IF('Eval-Avec impact envisagé'!$A$764=AG20,COUNTA('Eval-Avec impact envisagé'!$I$764),0),IF('Eval-Avec impact envisagé'!$A$765=AG20,COUNTA('Eval-Avec impact envisagé'!$I$765),0),IF('Eval-Avec impact envisagé'!$A$766=AG20,COUNTA('Eval-Avec impact envisagé'!$I$766),0),IF('Eval-Avec impact envisagé'!$A$767=AG20,COUNTA('Eval-Avec impact envisagé'!$I$767),0),IF('Eval-Avec impact envisagé'!$A$768=AG20,COUNTA('Eval-Avec impact envisagé'!$I$768),0),IF('Eval-Avec impact envisagé'!$A$769=AG20,COUNTA('Eval-Avec impact envisagé'!$I$769),0),IF('Eval-Avec impact envisagé'!$A$770=AG20,COUNTA('Eval-Avec impact envisagé'!$I$770),0),IF('Eval-Avec impact envisagé'!$A$771=AG20,COUNTA('Eval-Avec impact envisagé'!$I$771),0),IF('Eval-Avec impact envisagé'!$A$772=AG20,COUNTA('Eval-Avec impact envisagé'!$I$772),0),IF('Eval-Avec impact envisagé'!$A$773=AG20,COUNTA('Eval-Avec impact envisagé'!$I$773),0),IF('Eval-Avec impact envisagé'!$A$774=AG20,COUNTA('Eval-Avec impact envisagé'!$I$774),0),IF('Eval-Avec impact envisagé'!$A$775=AG20,COUNTA('Eval-Avec impact envisagé'!$I$775),0),IF('Eval-Avec impact envisagé'!$A$776=AG20,COUNTA('Eval-Avec impact envisagé'!$I$776),0),IF('Eval-Avec impact envisagé'!$A$777=AG20,COUNTA('Eval-Avec impact envisagé'!$I$777),0),IF('Eval-Avec impact envisagé'!$A$778=AG20,COUNTA('Eval-Avec impact envisagé'!$I$778),0),IF('Eval-Avec impact envisagé'!$A$779=AG20,COUNTA('Eval-Avec impact envisagé'!$I$779),0),IF('Eval-Avec impact envisagé'!$A$780=AG20,COUNTA('Eval-Avec impact envisagé'!$I$780),0))&gt;0,"X",0),"")</f>
        <v/>
      </c>
      <c r="AM20" s="213" t="str">
        <f>IF(COUNTIF('Eval-Avec impact envisagé'!$A$761:$A$780,AG20)&gt;0,IF(SUM(IF('Eval-Avec impact envisagé'!$A$761=AG20,COUNTA('Eval-Avec impact envisagé'!$J$761),0),IF('Eval-Avec impact envisagé'!$A$762=AG20,COUNTA('Eval-Avec impact envisagé'!$J$762),0),IF('Eval-Avec impact envisagé'!$A$763=AG20,COUNTA('Eval-Avec impact envisagé'!$J$763),0),IF('Eval-Avec impact envisagé'!$A$764=AG20,COUNTA('Eval-Avec impact envisagé'!$J$764),0),IF('Eval-Avec impact envisagé'!$A$765=AG20,COUNTA('Eval-Avec impact envisagé'!$J$765),0),IF('Eval-Avec impact envisagé'!$A$766=AG20,COUNTA('Eval-Avec impact envisagé'!$J$766),0),IF('Eval-Avec impact envisagé'!$A$767=AG20,COUNTA('Eval-Avec impact envisagé'!$J$767),0),IF('Eval-Avec impact envisagé'!$A$768=AG20,COUNTA('Eval-Avec impact envisagé'!$J$768),0),IF('Eval-Avec impact envisagé'!$A$769=AG20,COUNTA('Eval-Avec impact envisagé'!$J$769),0),IF('Eval-Avec impact envisagé'!$A$770=AG20,COUNTA('Eval-Avec impact envisagé'!$J$770),0),IF('Eval-Avec impact envisagé'!$A$771=AG20,COUNTA('Eval-Avec impact envisagé'!$J$771),0),IF('Eval-Avec impact envisagé'!$A$772=AG20,COUNTA('Eval-Avec impact envisagé'!$J$772),0),IF('Eval-Avec impact envisagé'!$A$773=AG20,COUNTA('Eval-Avec impact envisagé'!$J$773),0),IF('Eval-Avec impact envisagé'!$A$774=AG20,COUNTA('Eval-Avec impact envisagé'!$J$774),0),IF('Eval-Avec impact envisagé'!$A$775=AG20,COUNTA('Eval-Avec impact envisagé'!$J$775),0),IF('Eval-Avec impact envisagé'!$A$776=AG20,COUNTA('Eval-Avec impact envisagé'!$J$776),0),IF('Eval-Avec impact envisagé'!$A$777=AG20,COUNTA('Eval-Avec impact envisagé'!$J$777),0),IF('Eval-Avec impact envisagé'!$A$778=AG20,COUNTA('Eval-Avec impact envisagé'!$J$778),0),IF('Eval-Avec impact envisagé'!$A$779=AG20,COUNTA('Eval-Avec impact envisagé'!$J$779),0),IF('Eval-Avec impact envisagé'!$A$780=AG20,COUNTA('Eval-Avec impact envisagé'!$J$780),0))&gt;0,"X",0),"")</f>
        <v/>
      </c>
      <c r="AN20" s="213" t="str">
        <f>IF(COUNTIF('Eval-Avec impact envisagé'!$A$761:$A$780,AG20)&gt;0,IF(SUM(IF('Eval-Avec impact envisagé'!$A$761=AG20,COUNTA('Eval-Avec impact envisagé'!$K$761),0),IF('Eval-Avec impact envisagé'!$A$762=AG20,COUNTA('Eval-Avec impact envisagé'!$K$762),0),IF('Eval-Avec impact envisagé'!$A$763=AG20,COUNTA('Eval-Avec impact envisagé'!$K$763),0),IF('Eval-Avec impact envisagé'!$A$764=AG20,COUNTA('Eval-Avec impact envisagé'!$K$764),0),IF('Eval-Avec impact envisagé'!$A$765=AG20,COUNTA('Eval-Avec impact envisagé'!$K$765),0),IF('Eval-Avec impact envisagé'!$A$766=AG20,COUNTA('Eval-Avec impact envisagé'!$K$766),0),IF('Eval-Avec impact envisagé'!$A$767=AG20,COUNTA('Eval-Avec impact envisagé'!$K$767),0),IF('Eval-Avec impact envisagé'!$A$768=AG20,COUNTA('Eval-Avec impact envisagé'!$K$768),0),IF('Eval-Avec impact envisagé'!$A$769=AG20,COUNTA('Eval-Avec impact envisagé'!$K$769),0),IF('Eval-Avec impact envisagé'!$A$770=AG20,COUNTA('Eval-Avec impact envisagé'!$K$770),0),IF('Eval-Avec impact envisagé'!$A$771=AG20,COUNTA('Eval-Avec impact envisagé'!$K$771),0),IF('Eval-Avec impact envisagé'!$A$772=AG20,COUNTA('Eval-Avec impact envisagé'!$K$772),0),IF('Eval-Avec impact envisagé'!$A$773=AG20,COUNTA('Eval-Avec impact envisagé'!$K$773),0),IF('Eval-Avec impact envisagé'!$A$774=AG20,COUNTA('Eval-Avec impact envisagé'!$K$774),0),IF('Eval-Avec impact envisagé'!$A$775=AG20,COUNTA('Eval-Avec impact envisagé'!$K$775),0),IF('Eval-Avec impact envisagé'!$A$776=AG20,COUNTA('Eval-Avec impact envisagé'!$K$776),0),IF('Eval-Avec impact envisagé'!$A$777=AG20,COUNTA('Eval-Avec impact envisagé'!$K$777),0),IF('Eval-Avec impact envisagé'!$A$778=AG20,COUNTA('Eval-Avec impact envisagé'!$K$778),0),IF('Eval-Avec impact envisagé'!$A$779=AG20,COUNTA('Eval-Avec impact envisagé'!$K$779),0),IF('Eval-Avec impact envisagé'!$A$780=AG20,COUNTA('Eval-Avec impact envisagé'!$K$780),0))&gt;0,"X",0),"")</f>
        <v/>
      </c>
      <c r="AO20" s="211" t="str">
        <f>IF(COUNTIF('Eval-Avec impact envisagé'!$A$761:$A$780,AG20)&gt;0,IF(OR(AND('Eval-Avec impact envisagé'!$A$761=AG20,'Eval-Avec impact envisagé'!$L$761&lt;120,'Eval-Avec impact envisagé'!$L$761&gt;=BD9),AND('Eval-Avec impact envisagé'!$A$762=AG20,'Eval-Avec impact envisagé'!$L$762&lt;120,'Eval-Avec impact envisagé'!$L$762&gt;=BD10),AND('Eval-Avec impact envisagé'!$A$763=AG20,'Eval-Avec impact envisagé'!$L$763&lt;120,'Eval-Avec impact envisagé'!$L$763&gt;=BD11),AND('Eval-Avec impact envisagé'!$A$764=AG20,'Eval-Avec impact envisagé'!$L$764&lt;120,'Eval-Avec impact envisagé'!$L$764&gt;=BD12),AND('Eval-Avec impact envisagé'!$A$765=AG20,'Eval-Avec impact envisagé'!$L$765&lt;120,'Eval-Avec impact envisagé'!$L$765&gt;=BD13),AND('Eval-Avec impact envisagé'!$A$766=AG20,'Eval-Avec impact envisagé'!$L$766&lt;120,'Eval-Avec impact envisagé'!$L$766&gt;=BD14),AND('Eval-Avec impact envisagé'!$A$767=AG20,'Eval-Avec impact envisagé'!$L$767&lt;120,'Eval-Avec impact envisagé'!$L$767&gt;=BD15),AND('Eval-Avec impact envisagé'!$A$768=AG20,'Eval-Avec impact envisagé'!$L$768&lt;120,'Eval-Avec impact envisagé'!$L$768&gt;=BD16),AND('Eval-Avec impact envisagé'!$A$769=AG20,'Eval-Avec impact envisagé'!$L$769&lt;120,'Eval-Avec impact envisagé'!$L$769&gt;=BD17),AND('Eval-Avec impact envisagé'!$A$770=AG20,'Eval-Avec impact envisagé'!$L$770&lt;120,'Eval-Avec impact envisagé'!$L$770&gt;=BD18),AND('Eval-Avec impact envisagé'!$A$771=AG20,'Eval-Avec impact envisagé'!$L$771&lt;120,'Eval-Avec impact envisagé'!$L$771&gt;=BD19),AND('Eval-Avec impact envisagé'!$A$772=AG20,'Eval-Avec impact envisagé'!$L$772&lt;120,'Eval-Avec impact envisagé'!$L$772&gt;=BD20),AND('Eval-Avec impact envisagé'!$A$773=AG20,'Eval-Avec impact envisagé'!$L$773&lt;120,'Eval-Avec impact envisagé'!$L$773&gt;=BD21),AND('Eval-Avec impact envisagé'!$A$774=AG20,'Eval-Avec impact envisagé'!$L$774&lt;120,'Eval-Avec impact envisagé'!$L$774&gt;=BD22),AND('Eval-Avec impact envisagé'!$A$775=AG20,'Eval-Avec impact envisagé'!$L$775&lt;120,'Eval-Avec impact envisagé'!$L$775&gt;=BD23),AND('Eval-Avec impact envisagé'!$A$776=AG20,'Eval-Avec impact envisagé'!$L$776&lt;120,'Eval-Avec impact envisagé'!$L$776&gt;=BD24),AND('Eval-Avec impact envisagé'!$A$777=AG20,'Eval-Avec impact envisagé'!$L$777&lt;120,'Eval-Avec impact envisagé'!$L$777&gt;=BD25),AND('Eval-Avec impact envisagé'!$A$778=AG20,'Eval-Avec impact envisagé'!$L$778&lt;120,'Eval-Avec impact envisagé'!$L$778&gt;=BD26),AND('Eval-Avec impact envisagé'!$A$779=AG20,'Eval-Avec impact envisagé'!$L$779&lt;120,'Eval-Avec impact envisagé'!$L$779&gt;=BD27),AND('Eval-Avec impact envisagé'!$A$780=AG20,'Eval-Avec impact envisagé'!$L$780&lt;120,'Eval-Avec impact envisagé'!$L$780&gt;=BD28)),"",SUM(IF('Eval-Avec impact envisagé'!$A$761=AG20,'Eval-Avec impact envisagé'!$L$761,0),IF('Eval-Avec impact envisagé'!$A$762=AG20,'Eval-Avec impact envisagé'!$L$762,0),IF('Eval-Avec impact envisagé'!$A$763=AG20,'Eval-Avec impact envisagé'!$L$763,0),IF('Eval-Avec impact envisagé'!$A$764=AG20,'Eval-Avec impact envisagé'!$L$764,0),IF('Eval-Avec impact envisagé'!$A$765=AG20,'Eval-Avec impact envisagé'!$L$765,0),IF('Eval-Avec impact envisagé'!$A$766=AG20,'Eval-Avec impact envisagé'!$L$766,0),IF('Eval-Avec impact envisagé'!$A$767=AG20,'Eval-Avec impact envisagé'!$L$767,0),IF('Eval-Avec impact envisagé'!$A$768=AG20,'Eval-Avec impact envisagé'!$L$768,0),IF('Eval-Avec impact envisagé'!$A$769=AG20,'Eval-Avec impact envisagé'!$L$769,0),IF('Eval-Avec impact envisagé'!$A$770=AG20,'Eval-Avec impact envisagé'!$L$770,0),IF('Eval-Avec impact envisagé'!$A$771=AG20,'Eval-Avec impact envisagé'!$L$771,0),IF('Eval-Avec impact envisagé'!$A$772=AG20,'Eval-Avec impact envisagé'!$L$772,0),IF('Eval-Avec impact envisagé'!$A$773=AG20,'Eval-Avec impact envisagé'!$L$773,0),IF('Eval-Avec impact envisagé'!$A$774=AG20,'Eval-Avec impact envisagé'!$L$774,0),IF('Eval-Avec impact envisagé'!$A$775=AG20,'Eval-Avec impact envisagé'!$L$775,0),IF('Eval-Avec impact envisagé'!$A$776=AG20,'Eval-Avec impact envisagé'!$L$776,0),IF('Eval-Avec impact envisagé'!$A$777=AG20,'Eval-Avec impact envisagé'!$L$777,0),IF('Eval-Avec impact envisagé'!$A$778=AG20,'Eval-Avec impact envisagé'!$L$778,0),IF('Eval-Avec impact envisagé'!$A$779=AG20,'Eval-Avec impact envisagé'!$L$779,0),IF('Eval-Avec impact envisagé'!$A$780=AG20,'Eval-Avec impact envisagé'!$L$780,0))/ COUNTIF('Eval-Avec impact envisagé'!$A$761:$A$780,AG20)),"")</f>
        <v/>
      </c>
      <c r="AP20" s="211" t="str">
        <f>IF(COUNTIF('Eval-Avec impact envisagé'!$A$761:$A$780,AG20)&gt;0,IF(OR(AND('Eval-Avec impact envisagé'!$A$761=AG20, BD9&lt;120),AND(BD10&lt;120),AND(BD11&lt;120),AND(BD12&lt;120),AND(BD13&lt;120),AND(BD14&lt;120),AND(BD15&lt;120),AND(BD16&lt;120),AND(BD17&lt;120),AND(BD18&lt;120),AND(BD19&lt;120),AND(BD20&lt;120),AND(BD21&lt;120),AND(BD22&lt;120),AND(BD23&lt;120),AND(BD24&lt;120),AND(BD25&lt;120),AND(BD26&lt;120),AND(BD27&lt;120),AND(BD28&lt;120)),"",SUM(IF('Eval-Avec impact envisagé'!$A$761=AG20,'Eval-Avec impact envisagé'!$M$761,0),IF('Eval-Avec impact envisagé'!$A$762=AG20,'Eval-Avec impact envisagé'!$M$762,0),IF('Eval-Avec impact envisagé'!$A$763=AG20,'Eval-Avec impact envisagé'!$M$763,0),IF('Eval-Avec impact envisagé'!$A$764=AG20,'Eval-Avec impact envisagé'!$M$764,0),IF('Eval-Avec impact envisagé'!$A$765=AG20,'Eval-Avec impact envisagé'!$M$765,0),IF('Eval-Avec impact envisagé'!$A$766=AG20,'Eval-Avec impact envisagé'!$M$766,0),IF('Eval-Avec impact envisagé'!$A$767=AG20,'Eval-Avec impact envisagé'!$M$767,0),IF('Eval-Avec impact envisagé'!$A$768=AG20,'Eval-Avec impact envisagé'!$M$768,0),IF('Eval-Avec impact envisagé'!$A$769=AG20,'Eval-Avec impact envisagé'!$M$769,0),IF('Eval-Avec impact envisagé'!$A$770=AG20,'Eval-Avec impact envisagé'!$M$770,0),IF('Eval-Avec impact envisagé'!$A$771=AG20,'Eval-Avec impact envisagé'!$M$771,0),IF('Eval-Avec impact envisagé'!$A$772=AG20,'Eval-Avec impact envisagé'!$M$772,0),IF('Eval-Avec impact envisagé'!$A$773=AG20,'Eval-Avec impact envisagé'!$M$773,0),IF('Eval-Avec impact envisagé'!$A$774=AG20,'Eval-Avec impact envisagé'!$M$774,0),IF('Eval-Avec impact envisagé'!$A$775=AG20,'Eval-Avec impact envisagé'!$M$775,0), IF('Eval-Avec impact envisagé'!$A$776=AG20,'Eval-Avec impact envisagé'!$M$776,0), IF('Eval-Avec impact envisagé'!$A$777=AG20,'Eval-Avec impact envisagé'!$M$777,0), IF('Eval-Avec impact envisagé'!$A$778=AG20,'Eval-Avec impact envisagé'!$M$778,0), IF('Eval-Avec impact envisagé'!$A$779=AG20,'Eval-Avec impact envisagé'!$M$779,0), IF('Eval-Avec impact envisagé'!$A$780=AG20,'Eval-Avec impact envisagé'!$M$780,0))/COUNTIF('Eval-Avec impact envisagé'!$A$761:$A$780,AG20)),"")</f>
        <v/>
      </c>
      <c r="AQ20" s="211" t="str">
        <f>IF(COUNTIF('Eval-Avec impact envisagé'!$A$761:$A$780,AG20)&gt;0,SUM(IF('Eval-Avec impact envisagé'!$A$761=AG20,LEN(SUBSTITUTE((SUBSTITUTE(BF9,"TM","")),"TS",""))*10/2,0),IF('Eval-Avec impact envisagé'!$A$762=AG20,LEN(SUBSTITUTE((SUBSTITUTE(BF10,"TM","")),"TS",""))*10/2,0),IF('Eval-Avec impact envisagé'!$A$763=AG20,LEN(SUBSTITUTE((SUBSTITUTE(BF11,"TM","")),"TS",""))*10/2,0),IF('Eval-Avec impact envisagé'!$A$764=AG20,LEN(SUBSTITUTE((SUBSTITUTE(BF12,"TM","")),"TS",""))*10/2,0),IF('Eval-Avec impact envisagé'!$A$765=AG20,LEN(SUBSTITUTE((SUBSTITUTE(BF13,"TM","")),"TS",""))*10/2,0),IF('Eval-Avec impact envisagé'!$A$766=AG20,LEN(SUBSTITUTE((SUBSTITUTE(BF14,"TM","")),"TS",""))*10/2,0),IF('Eval-Avec impact envisagé'!$A$767=AG20,LEN(SUBSTITUTE((SUBSTITUTE(BF15,"TM","")),"TS",""))*10/2,0),IF('Eval-Avec impact envisagé'!$A$768=AG20,LEN(SUBSTITUTE((SUBSTITUTE(BF16,"TM","")),"TS",""))*10/2,0),IF('Eval-Avec impact envisagé'!$A$769=AG20,LEN(SUBSTITUTE((SUBSTITUTE(BF17,"TM","")),"TS",""))*10/2,0),IF('Eval-Avec impact envisagé'!$A$770=AG20,LEN(SUBSTITUTE((SUBSTITUTE(BF18,"TM","")),"TS",""))*10/2,0),IF('Eval-Avec impact envisagé'!$A$771=AG20,LEN(SUBSTITUTE((SUBSTITUTE(BF19,"TM","")),"TS",""))*10/2,0),IF('Eval-Avec impact envisagé'!$A$772=AG20,LEN(SUBSTITUTE((SUBSTITUTE(BF20,"TM","")),"TS",""))*10/2,0),IF('Eval-Avec impact envisagé'!$A$773=AG20,LEN(SUBSTITUTE((SUBSTITUTE(BF21,"TM","")),"TS",""))*10/2,0),IF('Eval-Avec impact envisagé'!$A$774=AG20,LEN(SUBSTITUTE((SUBSTITUTE(BF22,"TM","")),"TS",""))*10/2,0),IF('Eval-Avec impact envisagé'!$A$775=AG20,LEN(SUBSTITUTE((SUBSTITUTE(BF23,"TM","")),"TS",""))*10/2,0),IF('Eval-Avec impact envisagé'!$A$776=AG20,LEN(SUBSTITUTE((SUBSTITUTE(BF24,"TM","")),"TS",""))*10/2,0),IF('Eval-Avec impact envisagé'!$A$777=AG20,LEN(SUBSTITUTE((SUBSTITUTE(BF25,"TM","")),"TS",""))*10/2,0),IF('Eval-Avec impact envisagé'!$A$778=AG20,LEN(SUBSTITUTE((SUBSTITUTE(BF26,"TM","")),"TS",""))*10/2,0),IF('Eval-Avec impact envisagé'!$A$779=AG20,LEN(SUBSTITUTE((SUBSTITUTE(BF27,"TM","")),"TS",""))*10/2,0),IF('Eval-Avec impact envisagé'!$A$780=AG20,LEN(SUBSTITUTE((SUBSTITUTE(BF28,"TM","")),"TS",""))*10/2,0))/COUNTIF('Eval-Avec impact envisagé'!$A$761:$A$780,AG20),"")</f>
        <v/>
      </c>
      <c r="AR20" s="211" t="str">
        <f>IF(COUNTIF('Eval-Avec impact envisagé'!$A$761:$A$780,AG20)&gt;0,SUM(IF('Eval-Avec impact envisagé'!$A$761=AG20,LEN(SUBSTITUTE((SUBSTITUTE(BF9,"TF","")),"TS",""))*10/2,0),IF('Eval-Avec impact envisagé'!$A$762=AG20,LEN(SUBSTITUTE((SUBSTITUTE(BF10,"TF","")),"TS",""))*10/2,0),IF('Eval-Avec impact envisagé'!$A$763=AG20,LEN(SUBSTITUTE((SUBSTITUTE(BF11,"TF","")),"TS",""))*10/2,0),IF('Eval-Avec impact envisagé'!$A$764=AG20,LEN(SUBSTITUTE((SUBSTITUTE(BF12,"TF","")),"TS",""))*10/2,0),IF('Eval-Avec impact envisagé'!$A$765=AG20,LEN(SUBSTITUTE((SUBSTITUTE(BF13,"TF","")),"TS",""))*10/2,0),IF('Eval-Avec impact envisagé'!$A$766=AG20,LEN(SUBSTITUTE((SUBSTITUTE(BF14,"TF","")),"TS",""))*10/2,0),IF('Eval-Avec impact envisagé'!$A$767=AG20,LEN(SUBSTITUTE((SUBSTITUTE(BF15,"TF","")),"TS",""))*10/2,0),IF('Eval-Avec impact envisagé'!$A$768=AG20,LEN(SUBSTITUTE((SUBSTITUTE(BF16,"TF","")),"TS",""))*10/2,0),IF('Eval-Avec impact envisagé'!$A$769=AG20,LEN(SUBSTITUTE((SUBSTITUTE(BF17,"TF","")),"TS",""))*10/2,0),IF('Eval-Avec impact envisagé'!$A$770=AG20,LEN(SUBSTITUTE((SUBSTITUTE(BF18,"TF","")),"TS",""))*10/2,0),IF('Eval-Avec impact envisagé'!$A$771=AG20,LEN(SUBSTITUTE((SUBSTITUTE(BF19,"TF","")),"TS",""))*10/2,0),IF('Eval-Avec impact envisagé'!$A$772=AG20,LEN(SUBSTITUTE((SUBSTITUTE(BF20,"TF","")),"TS",""))*10/2,0),IF('Eval-Avec impact envisagé'!$A$773=AG20,LEN(SUBSTITUTE((SUBSTITUTE(BF21,"TF","")),"TS",""))*10/2,0),IF('Eval-Avec impact envisagé'!$A$774=AG20,LEN(SUBSTITUTE((SUBSTITUTE(BF22,"TF","")),"TS",""))*10/2,0),IF('Eval-Avec impact envisagé'!$A$775=AG20,LEN(SUBSTITUTE((SUBSTITUTE(BF23,"TF","")),"TS",""))*10/2,0),IF('Eval-Avec impact envisagé'!$A$776=AG20,LEN(SUBSTITUTE((SUBSTITUTE(BF24,"TF","")),"TS",""))*10/2,0),IF('Eval-Avec impact envisagé'!$A$777=AG20,LEN(SUBSTITUTE((SUBSTITUTE(BF25,"TF","")),"TS",""))*10/2,0),IF('Eval-Avec impact envisagé'!$A$778=AG20,LEN(SUBSTITUTE((SUBSTITUTE(BF26,"TF","")),"TS",""))*10/2,0),IF('Eval-Avec impact envisagé'!$A$779=AG20,LEN(SUBSTITUTE((SUBSTITUTE(BF27,"TF","")),"TS",""))*10/2,0),IF('Eval-Avec impact envisagé'!$A$780=AG20,LEN(SUBSTITUTE((SUBSTITUTE(BF28,"TF","")),"TS",""))*10/2,0))/COUNTIF('Eval-Avec impact envisagé'!$A$761:$A$780,AG20),"")</f>
        <v/>
      </c>
      <c r="AS20" s="211" t="str">
        <f>IF(COUNTIF('Eval-Avec impact envisagé'!$A$761:$A$780,AG20)&gt;0,SUM(IF('Eval-Avec impact envisagé'!$A$761=AG20,LEN(SUBSTITUTE((SUBSTITUTE(BF9,"TF","")),"TM",""))*10/2,0),IF('Eval-Avec impact envisagé'!$A$762=AG20,LEN(SUBSTITUTE((SUBSTITUTE(BF10,"TF","")),"TM",""))*10/2,0),IF('Eval-Avec impact envisagé'!$A$763=AG20,LEN(SUBSTITUTE((SUBSTITUTE(BF11,"TF","")),"TM",""))*10/2,0),IF('Eval-Avec impact envisagé'!$A$764=AG20,LEN(SUBSTITUTE((SUBSTITUTE(BF12,"TF","")),"TM",""))*10/2,0),IF('Eval-Avec impact envisagé'!$A$765=AG20,LEN(SUBSTITUTE((SUBSTITUTE(BF13,"TF","")),"TM",""))*10/2,0),IF('Eval-Avec impact envisagé'!$A$766=AG20,LEN(SUBSTITUTE((SUBSTITUTE(BF14,"TF","")),"TM",""))*10/2,0),IF('Eval-Avec impact envisagé'!$A$767=AG20,LEN(SUBSTITUTE((SUBSTITUTE(BF15,"TF","")),"TM",""))*10/2,0),IF('Eval-Avec impact envisagé'!$A$768=AG20,LEN(SUBSTITUTE((SUBSTITUTE(BF16,"TF","")),"TM",""))*10/2,0),IF('Eval-Avec impact envisagé'!$A$769=AG20,LEN(SUBSTITUTE((SUBSTITUTE(BF17,"TF","")),"TM",""))*10/2,0),IF('Eval-Avec impact envisagé'!$A$770=AG20,LEN(SUBSTITUTE((SUBSTITUTE(BF18,"TF","")),"TM",""))*10/2,0),IF('Eval-Avec impact envisagé'!$A$771=AG20,LEN(SUBSTITUTE((SUBSTITUTE(BF19,"TF","")),"TM",""))*10/2,0),IF('Eval-Avec impact envisagé'!$A$772=AG20,LEN(SUBSTITUTE((SUBSTITUTE(BF20,"TF","")),"TM",""))*10/2,0),IF('Eval-Avec impact envisagé'!$A$773=AG20,LEN(SUBSTITUTE((SUBSTITUTE(BF21,"TF","")),"TM",""))*10/2,0),IF('Eval-Avec impact envisagé'!$A$774=AG20,LEN(SUBSTITUTE((SUBSTITUTE(BF22,"TF","")),"TM",""))*10/2,0),IF('Eval-Avec impact envisagé'!$A$775=AG20,LEN(SUBSTITUTE((SUBSTITUTE(BF23,"TF","")),"TM",""))*10/2,0),IF('Eval-Avec impact envisagé'!$A$776=AG20,LEN(SUBSTITUTE((SUBSTITUTE(BF24,"TF","")),"TM",""))*10/2,0),IF('Eval-Avec impact envisagé'!$A$777=AG20,LEN(SUBSTITUTE((SUBSTITUTE(BF25,"TF","")),"TM",""))*10/2,0),IF('Eval-Avec impact envisagé'!$A$778=AG20,LEN(SUBSTITUTE((SUBSTITUTE(BF26,"TF","")),"TM",""))*10/2,0),IF('Eval-Avec impact envisagé'!$A$779=AG20,LEN(SUBSTITUTE((SUBSTITUTE(BF27,"TF","")),"TM",""))*10/2,0),IF('Eval-Avec impact envisagé'!$A$780=AG20,LEN(SUBSTITUTE((SUBSTITUTE(BF28,"TF","")),"TM",""))*10/2,0))/COUNTIF('Eval-Avec impact envisagé'!$A$761:$A$780,AG20),"")</f>
        <v/>
      </c>
      <c r="AT20" s="211" t="str">
        <f>IF(COUNTIF('Eval-Avec impact envisagé'!$A$761:$A$780,AG20)&gt;0,SUM(IF('Eval-Avec impact envisagé'!$A$761=AG20,LEN(SUBSTITUTE((SUBSTITUTE(BG9,"TM","")),"TS",""))*10/2,0),IF('Eval-Avec impact envisagé'!$A$762=AG20,LEN(SUBSTITUTE((SUBSTITUTE(BG10,"TM","")),"TS",""))*10/2,0),IF('Eval-Avec impact envisagé'!$A$763=AG20,LEN(SUBSTITUTE((SUBSTITUTE(BG11,"TM","")),"TS",""))*10/2,0),IF('Eval-Avec impact envisagé'!$A$764=AG20,LEN(SUBSTITUTE((SUBSTITUTE(BG12,"TM","")),"TS",""))*10/2,0),IF('Eval-Avec impact envisagé'!$A$765=AG20,LEN(SUBSTITUTE((SUBSTITUTE(BG13,"TM","")),"TS",""))*10/2,0),IF('Eval-Avec impact envisagé'!$A$766=AG20,LEN(SUBSTITUTE((SUBSTITUTE(BG14,"TM","")),"TS",""))*10/2,0),IF('Eval-Avec impact envisagé'!$A$767=AG20,LEN(SUBSTITUTE((SUBSTITUTE(BG15,"TM","")),"TS",""))*10/2,0),IF('Eval-Avec impact envisagé'!$A$768=AG20,LEN(SUBSTITUTE((SUBSTITUTE(BG16,"TM","")),"TS",""))*10/2,0),IF('Eval-Avec impact envisagé'!$A$769=AG20,LEN(SUBSTITUTE((SUBSTITUTE(BG17,"TM","")),"TS",""))*10/2,0),IF('Eval-Avec impact envisagé'!$A$770=AG20,LEN(SUBSTITUTE((SUBSTITUTE(BG18,"TM","")),"TS",""))*10/2,0),IF('Eval-Avec impact envisagé'!$A$771=AG20,LEN(SUBSTITUTE((SUBSTITUTE(BG19,"TM","")),"TS",""))*10/2,0),IF('Eval-Avec impact envisagé'!$A$772=AG20,LEN(SUBSTITUTE((SUBSTITUTE(BG20,"TM","")),"TS",""))*10/2,0),IF('Eval-Avec impact envisagé'!$A$773=AG20,LEN(SUBSTITUTE((SUBSTITUTE(BG21,"TM","")),"TS",""))*10/2,0),IF('Eval-Avec impact envisagé'!$A$774=AG20,LEN(SUBSTITUTE((SUBSTITUTE(BG22,"TM","")),"TS",""))*10/2,0),IF('Eval-Avec impact envisagé'!$A$775=AG20,LEN(SUBSTITUTE((SUBSTITUTE(BG23,"TM","")),"TS",""))*10/2,0),IF('Eval-Avec impact envisagé'!$A$776=AG20,LEN(SUBSTITUTE((SUBSTITUTE(BG24,"TM","")),"TS",""))*10/2,0),IF('Eval-Avec impact envisagé'!$A$777=AG20,LEN(SUBSTITUTE((SUBSTITUTE(BG25,"TM","")),"TS",""))*10/2,0),IF('Eval-Avec impact envisagé'!$A$778=AG20,LEN(SUBSTITUTE((SUBSTITUTE(BG26,"TM","")),"TS",""))*10/2,0),IF('Eval-Avec impact envisagé'!$A$779=AG20,LEN(SUBSTITUTE((SUBSTITUTE(BG27,"TM","")),"TS",""))*10/2,0),IF('Eval-Avec impact envisagé'!$A$780=AG20,LEN(SUBSTITUTE((SUBSTITUTE(BG28,"TM","")),"TS",""))*10/2,0))/COUNTIF('Eval-Avec impact envisagé'!$A$761:$A$780,AG20),"")</f>
        <v/>
      </c>
      <c r="AU20" s="211" t="str">
        <f>IF(COUNTIF('Eval-Avec impact envisagé'!$A$761:$A$780,AG20)&gt;0,SUM(IF('Eval-Avec impact envisagé'!$A$761=AG20,LEN(SUBSTITUTE((SUBSTITUTE(BG9,"TF","")),"TS",""))*10/2,0),IF('Eval-Avec impact envisagé'!$A$762=AG20,LEN(SUBSTITUTE((SUBSTITUTE(BG10,"TF","")),"TS",""))*10/2,0),IF('Eval-Avec impact envisagé'!$A$763=AG20,LEN(SUBSTITUTE((SUBSTITUTE(BG11,"TF","")),"TS",""))*10/2,0),IF('Eval-Avec impact envisagé'!$A$764=AG20,LEN(SUBSTITUTE((SUBSTITUTE(BG12,"TF","")),"TS",""))*10/2,0),IF('Eval-Avec impact envisagé'!$A$765=AG20,LEN(SUBSTITUTE((SUBSTITUTE(BG13,"TF","")),"TS",""))*10/2,0),IF('Eval-Avec impact envisagé'!$A$766=AG20,LEN(SUBSTITUTE((SUBSTITUTE(BG14,"TF","")),"TS",""))*10/2,0),IF('Eval-Avec impact envisagé'!$A$767=AG20,LEN(SUBSTITUTE((SUBSTITUTE(BG15,"TF","")),"TS",""))*10/2,0),IF('Eval-Avec impact envisagé'!$A$768=AG20,LEN(SUBSTITUTE((SUBSTITUTE(BG16,"TF","")),"TS",""))*10/2,0),IF('Eval-Avec impact envisagé'!$A$769=AG20,LEN(SUBSTITUTE((SUBSTITUTE(BG17,"TF","")),"TS",""))*10/2,0),IF('Eval-Avec impact envisagé'!$A$770=AG20,LEN(SUBSTITUTE((SUBSTITUTE(BG18,"TF","")),"TS",""))*10/2,0),IF('Eval-Avec impact envisagé'!$A$771=AG20,LEN(SUBSTITUTE((SUBSTITUTE(BG19,"TF","")),"TS",""))*10/2,0),IF('Eval-Avec impact envisagé'!$A$772=AG20,LEN(SUBSTITUTE((SUBSTITUTE(BG20,"TF","")),"TS",""))*10/2,0),IF('Eval-Avec impact envisagé'!$A$773=AG20,LEN(SUBSTITUTE((SUBSTITUTE(BG21,"TF","")),"TS",""))*10/2,0),IF('Eval-Avec impact envisagé'!$A$774=AG20,LEN(SUBSTITUTE((SUBSTITUTE(BG22,"TF","")),"TS",""))*10/2,0),IF('Eval-Avec impact envisagé'!$A$775=AG20,LEN(SUBSTITUTE((SUBSTITUTE(BG23,"TF","")),"TS",""))*10/2,0),IF('Eval-Avec impact envisagé'!$A$776=AG20,LEN(SUBSTITUTE((SUBSTITUTE(BG24,"TF","")),"TS",""))*10/2,0),IF('Eval-Avec impact envisagé'!$A$777=AG20,LEN(SUBSTITUTE((SUBSTITUTE(BG25,"TF","")),"TS",""))*10/2,0),IF('Eval-Avec impact envisagé'!$A$778=AG20,LEN(SUBSTITUTE((SUBSTITUTE(BG26,"TF","")),"TS",""))*10/2,0),IF('Eval-Avec impact envisagé'!$A$779=AG20,LEN(SUBSTITUTE((SUBSTITUTE(BG27,"TF","")),"TS",""))*10/2,0),IF('Eval-Avec impact envisagé'!$A$780=AG20,LEN(SUBSTITUTE((SUBSTITUTE(BG28,"TF","")),"TS",""))*10/2,0))/COUNTIF('Eval-Avec impact envisagé'!$A$761:$A$780,AG20),"")</f>
        <v/>
      </c>
      <c r="AV20" s="211" t="str">
        <f>IF(COUNTIF('Eval-Avec impact envisagé'!$A$761:$A$780,AG20)&gt;0,SUM(IF('Eval-Avec impact envisagé'!$A$761=AG20,LEN(SUBSTITUTE((SUBSTITUTE(BG9,"TF","")),"TM",""))*10/2,0),IF('Eval-Avec impact envisagé'!$A$762=AG20,LEN(SUBSTITUTE((SUBSTITUTE(BG10,"TF","")),"TM",""))*10/2,0),IF('Eval-Avec impact envisagé'!$A$763=AG20,LEN(SUBSTITUTE((SUBSTITUTE(BG11,"TF","")),"TM",""))*10/2,0),IF('Eval-Avec impact envisagé'!$A$764=AG20,LEN(SUBSTITUTE((SUBSTITUTE(BG12,"TF","")),"TM",""))*10/2,0),IF('Eval-Avec impact envisagé'!$A$765=AG20,LEN(SUBSTITUTE((SUBSTITUTE(BG13,"TF","")),"TM",""))*10/2,0),IF('Eval-Avec impact envisagé'!$A$766=AG20,LEN(SUBSTITUTE((SUBSTITUTE(BG14,"TF","")),"TM",""))*10/2,0),IF('Eval-Avec impact envisagé'!$A$767=AG20,LEN(SUBSTITUTE((SUBSTITUTE(BG15,"TF","")),"TM",""))*10/2,0),IF('Eval-Avec impact envisagé'!$A$768=AG20,LEN(SUBSTITUTE((SUBSTITUTE(BG16,"TF","")),"TM",""))*10/2,0),IF('Eval-Avec impact envisagé'!$A$769=AG20,LEN(SUBSTITUTE((SUBSTITUTE(BG17,"TF","")),"TM",""))*10/2,0),IF('Eval-Avec impact envisagé'!$A$770=AG20,LEN(SUBSTITUTE((SUBSTITUTE(BG18,"TF","")),"TM",""))*10/2,0),IF('Eval-Avec impact envisagé'!$A$771=AG20,LEN(SUBSTITUTE((SUBSTITUTE(BG19,"TF","")),"TM",""))*10/2,0),IF('Eval-Avec impact envisagé'!$A$772=AG20,LEN(SUBSTITUTE((SUBSTITUTE(BG20,"TF","")),"TM",""))*10/2,0),IF('Eval-Avec impact envisagé'!$A$773=AG20,LEN(SUBSTITUTE((SUBSTITUTE(BG21,"TF","")),"TM",""))*10/2,0),IF('Eval-Avec impact envisagé'!$A$774=AG20,LEN(SUBSTITUTE((SUBSTITUTE(BG22,"TF","")),"TM",""))*10/2,0),IF('Eval-Avec impact envisagé'!$A$775=AG20,LEN(SUBSTITUTE((SUBSTITUTE(BG23,"TF","")),"TM",""))*10/2,0),IF('Eval-Avec impact envisagé'!$A$776=AG20,LEN(SUBSTITUTE((SUBSTITUTE(BG24,"TF","")),"TM",""))*10/2,0),IF('Eval-Avec impact envisagé'!$A$777=AG20,LEN(SUBSTITUTE((SUBSTITUTE(BG25,"TF","")),"TM",""))*10/2,0),IF('Eval-Avec impact envisagé'!$A$778=AG20,LEN(SUBSTITUTE((SUBSTITUTE(BG26,"TF","")),"TM",""))*10/2,0),IF('Eval-Avec impact envisagé'!$A$779=AG20,LEN(SUBSTITUTE((SUBSTITUTE(BG27,"TF","")),"TM",""))*10/2,0),IF('Eval-Avec impact envisagé'!$A$780=AG20,LEN(SUBSTITUTE((SUBSTITUTE(BG28,"TF","")),"TM",""))*10/2,0))/COUNTIF('Eval-Avec impact envisagé'!$A$761:$A$780,AG20),"")</f>
        <v/>
      </c>
      <c r="AW20" s="211" t="str">
        <f>IF(COUNTIF('Eval-Avec impact envisagé'!$A$761:$A$780,AG20)&gt;0,IF(OR(AND('Eval-Avec impact envisagé'!$A$761=AG20,BD9&lt;30),AND('Eval-Avec impact envisagé'!$A$762=AG20,BD10&lt;30),AND('Eval-Avec impact envisagé'!$A$763=AG20,BD11&lt;30),AND('Eval-Avec impact envisagé'!$A$764=AG20,BD12&lt;30),AND('Eval-Avec impact envisagé'!$A$765=AG20,BD13&lt;30),AND('Eval-Avec impact envisagé'!$A$766=AG20,BD14&lt;30),AND('Eval-Avec impact envisagé'!$A$767=AG20,BD15&lt;30),AND('Eval-Avec impact envisagé'!$A$768=AG20,BD16&lt;30),AND('Eval-Avec impact envisagé'!$A$769=AG20,BD17&lt;30),AND('Eval-Avec impact envisagé'!$A$770=AG20,BD18&lt;30),AND('Eval-Avec impact envisagé'!$A$771=AG20,BD19&lt;30),AND('Eval-Avec impact envisagé'!$A$772=AG20,BD20&lt;30),AND('Eval-Avec impact envisagé'!$A$773=AG20,BD21&lt;30),AND('Eval-Avec impact envisagé'!$A$774=AG20,BD22&lt;30),AND('Eval-Avec impact envisagé'!$A$775=AG20,BD23&lt;30),AND('Eval-Avec impact envisagé'!$A$776=AG20,BD24&lt;30),AND('Eval-Avec impact envisagé'!$A$777=AG20,BD25&lt;30),AND('Eval-Avec impact envisagé'!$A$778=AG20,BD26&lt;30),AND('Eval-Avec impact envisagé'!$A$779=AG20,BD27&lt;30),AND('Eval-Avec impact envisagé'!$A$780=AG20,BD28&lt;30)),"",SUM(0.1*(SUMPRODUCT(('Eval-Avec impact envisagé'!$A$761:$A$780=AG20)*('Eval-Avec impact envisagé'!$N$761:$P$780="A"))+ SUMPRODUCT(('Eval-Avec impact envisagé'!$A$761:$A$780=AG20)*('Eval-Avec impact envisagé'!$N$761:$P$780="AL"))),0.7*(SUMPRODUCT(('Eval-Avec impact envisagé'!$A$761:$A$780=AG20)*('Eval-Avec impact envisagé'!$N$761:$P$780="TF"))+SUMPRODUCT(('Eval-Avec impact envisagé'!$A$761:$A$780=AG20)*('Eval-Avec impact envisagé'!$N$761:$P$780="TM"))+SUMPRODUCT(('Eval-Avec impact envisagé'!$A$761:$A$780=AG20)*('Eval-Avec impact envisagé'!$N$761:$P$780="TS"))),0.4*(SUMPRODUCT(('Eval-Avec impact envisagé'!$A$761:$A$780=AG20)*('Eval-Avec impact envisagé'!$N$761:$P$780="LA"))+SUMPRODUCT(('Eval-Avec impact envisagé'!$A$761:$A$780=AG20)*('Eval-Avec impact envisagé'!$N$761:$P$780="L"))+SUMPRODUCT(('Eval-Avec impact envisagé'!$A$761:$A$780=AG20)*('Eval-Avec impact envisagé'!$N$761:$P$780="LS"))),1*(SUMPRODUCT(('Eval-Avec impact envisagé'!$A$761:$A$780=AG20)*('Eval-Avec impact envisagé'!$N$761:$P$780="SL"))+ SUMPRODUCT(('Eval-Avec impact envisagé'!$A$761:$A$780=AG20)*('Eval-Avec impact envisagé'!$N$761:$P$780="S"))))/(3*COUNTIF('Eval-Avec impact envisagé'!$A$761:$A$780,AG20))),"")</f>
        <v/>
      </c>
      <c r="AX20" s="211" t="str">
        <f>IF(COUNTIF('Eval-Avec impact envisagé'!$A$761:$A$780,AG20)&gt;0,IF(OR(AND('Eval-Avec impact envisagé'!$A$761=AG20,BD9&lt;120),AND('Eval-Avec impact envisagé'!$A$762=AG20,BD10&lt;120),AND('Eval-Avec impact envisagé'!$A$763=AG20,BD11&lt;120),AND('Eval-Avec impact envisagé'!$A$764=AG20,BD12&lt;120),AND('Eval-Avec impact envisagé'!$A$765=AG20,BD13&lt;120),AND('Eval-Avec impact envisagé'!$A$766=AG20,BD14&lt;120),AND('Eval-Avec impact envisagé'!$A$767=AG20,BD15&lt;120),AND('Eval-Avec impact envisagé'!$A$768=AG20,BD16&lt;120),AND('Eval-Avec impact envisagé'!$A$769=AG20,BD17&lt;120),AND('Eval-Avec impact envisagé'!$A$770=AG20,BD18&lt;120),AND('Eval-Avec impact envisagé'!$A$771=AG20,BD19&lt;120),AND('Eval-Avec impact envisagé'!$A$772=AG20,BD20&lt;120),AND('Eval-Avec impact envisagé'!$A$773=AG20,BD21&lt;120),AND('Eval-Avec impact envisagé'!$A$774=AG20,BD22&lt;120),AND('Eval-Avec impact envisagé'!$A$775=AG20,BD23&lt;120),AND('Eval-Avec impact envisagé'!$A$776=AG20,BD24&lt;120),AND('Eval-Avec impact envisagé'!$A$777=AG20,BD25&lt;120),AND('Eval-Avec impact envisagé'!$A$778=AG20,BD26&lt;120),AND('Eval-Avec impact envisagé'!$A$779=AG20,BD27&lt;120),AND('Eval-Avec impact envisagé'!$A$780=AG20,BD28&lt;120)),"",SUM(0.1*(SUMPRODUCT(('Eval-Avec impact envisagé'!$A$761:$A$780=AG20)*('Eval-Avec impact envisagé'!$Q$761:$Y$780="A"))+ SUMPRODUCT(('Eval-Avec impact envisagé'!$A$761:$A$780=AG20)*('Eval-Avec impact envisagé'!$Q$761:$Y$780="AL"))),0.7*(SUMPRODUCT(('Eval-Avec impact envisagé'!$A$761:$A$780=AG20)*('Eval-Avec impact envisagé'!$Q$761:$Y$780="TF"))+SUMPRODUCT(('Eval-Avec impact envisagé'!$A$761:$A$780=AG20)*('Eval-Avec impact envisagé'!$Q$761:$Y$780="TM"))+SUMPRODUCT(('Eval-Avec impact envisagé'!$A$761:$A$780=AG20)*('Eval-Avec impact envisagé'!$Q$761:$Y$780="TS"))),0.4*(SUMPRODUCT(('Eval-Avec impact envisagé'!$A$761:$A$780=AG20)*('Eval-Avec impact envisagé'!$Q$761:$Y$780="LA"))+SUMPRODUCT(('Eval-Avec impact envisagé'!$A$761:$A$780=AG20)*('Eval-Avec impact envisagé'!$Q$761:$Y$780="L"))+SUMPRODUCT(('Eval-Avec impact envisagé'!$A$761:$A$780=AG20)*('Eval-Avec impact envisagé'!$Q$761:$Y$780="LS"))),1*(SUMPRODUCT(('Eval-Avec impact envisagé'!$A$761:$A$780=AG20)*('Eval-Avec impact envisagé'!$Q$761:$Y$780="SL"))+ SUMPRODUCT(('Eval-Avec impact envisagé'!$A$761:$A$780=AG20)*('Eval-Avec impact envisagé'!$Q$761:$Y$780="S"))))/(9*COUNTIF('Eval-Avec impact envisagé'!$A$761:$A$780,AG20))),"")</f>
        <v/>
      </c>
      <c r="AY20" s="211" t="str">
        <f>IF(COUNTIF('Eval-Avec impact envisagé'!$A$761:$A$780,AG20)&gt;0,IF(OR(AND('Eval-Avec impact envisagé'!$A$761=AG20,OR(COUNTIF('Eval-Avec impact envisagé'!$N$761:$P$761,"*T*")&gt;0,BD9&lt;30)),AND('Eval-Avec impact envisagé'!$A$762=AG20,OR(COUNTIF('Eval-Avec impact envisagé'!$N$762:$P$762,"*T*")&gt;0,BD10&lt;30)),AND('Eval-Avec impact envisagé'!$A$763=AG20,OR(COUNTIF('Eval-Avec impact envisagé'!$N$763:$P$763,"*T*")&gt;0,BD11&lt;30)),AND('Eval-Avec impact envisagé'!$A$764=AG20,OR(COUNTIF('Eval-Avec impact envisagé'!$N$764:$P$764,"*T*")&gt;0,BD12&lt;30)),AND('Eval-Avec impact envisagé'!$A$765=AG20,OR(COUNTIF('Eval-Avec impact envisagé'!$N$765:$P$765,"*T*")&gt;0,BD13&lt;30)),AND('Eval-Avec impact envisagé'!$A$766=AG20,OR(COUNTIF('Eval-Avec impact envisagé'!$N$766:$P$766,"*T*")&gt;0,BD14&lt;30)),AND('Eval-Avec impact envisagé'!$A$767=AG20,OR(COUNTIF('Eval-Avec impact envisagé'!$N$767:$P$767,"*T*")&gt;0,BD15&lt;30)),AND('Eval-Avec impact envisagé'!$A$768=AG20,OR(COUNTIF('Eval-Avec impact envisagé'!$N$768:$P$768,"*T*")&gt;0,BD16&lt;30)),AND('Eval-Avec impact envisagé'!$A$769=AG20,OR(COUNTIF('Eval-Avec impact envisagé'!$N$769:$P$769,"*T*")&gt;0,BD17&lt;30)),AND('Eval-Avec impact envisagé'!$A$770=AG20,OR(COUNTIF('Eval-Avec impact envisagé'!$N$770:$P$770,"*T*")&gt;0,BD18&lt;30)),AND('Eval-Avec impact envisagé'!$A$771=AG20,OR(COUNTIF('Eval-Avec impact envisagé'!$N$771:$P$771,"*T*")&gt;0,BD19&lt;30)),AND('Eval-Avec impact envisagé'!$A$772=AG20,OR(COUNTIF('Eval-Avec impact envisagé'!$N$772:$P$772,"*T*")&gt;0,BD20&lt;30)),AND('Eval-Avec impact envisagé'!$A$773=AG20,OR(COUNTIF('Eval-Avec impact envisagé'!$N$773:$P$773,"*T*")&gt;0,BD21&lt;30)),AND('Eval-Avec impact envisagé'!$A$774=AG20,OR(COUNTIF('Eval-Avec impact envisagé'!$N$774:$P$774,"*T*")&gt;0,BD22&lt;30)),AND('Eval-Avec impact envisagé'!$A$775=AG20,OR(COUNTIF('Eval-Avec impact envisagé'!$N$775:$P$775,"*T*")&gt;0,BD23&lt;30)),AND('Eval-Avec impact envisagé'!$A$776=AG20,OR(COUNTIF('Eval-Avec impact envisagé'!$N$776:$P$776,"*T*")&gt;0,BD24&lt;30)),AND('Eval-Avec impact envisagé'!$A$777=AG20,OR(COUNTIF('Eval-Avec impact envisagé'!$N$777:$P$777,"*T*")&gt;0,BD25&lt;30)),AND('Eval-Avec impact envisagé'!$A$778=AG20,OR(COUNTIF('Eval-Avec impact envisagé'!$N$778:$P$778,"*T*")&gt;0,BD26&lt;30)),AND('Eval-Avec impact envisagé'!$A$779=AG20,OR(COUNTIF('Eval-Avec impact envisagé'!$N$779:$P$779,"*T*")&gt;0,BD27&lt;30)),AND('Eval-Avec impact envisagé'!$A$780=AG20,OR(COUNTIF('Eval-Avec impact envisagé'!$N$780:$P$780,"*T*")&gt;0,BD28&lt;30))),"",SUM(0.1*(SUMPRODUCT(('Eval-Avec impact envisagé'!$A$761:$A$780=AG20)*('Eval-Avec impact envisagé'!$N$761:$P$780="L"))),0.4*(SUMPRODUCT(('Eval-Avec impact envisagé'!$A$761:$A$780=AG20)*('Eval-Avec impact envisagé'!$N$761:$P$780="LA"))+SUMPRODUCT(('Eval-Avec impact envisagé'!$A$761:$A$780=AG20)*('Eval-Avec impact envisagé'!$N$761:$P$780="LS"))),0.7*(SUMPRODUCT(('Eval-Avec impact envisagé'!$A$761:$A$780=AG20)*('Eval-Avec impact envisagé'!$N$761:$P$780="AL"))+SUMPRODUCT(('Eval-Avec impact envisagé'!$A$761:$A$780=AG20)*('Eval-Avec impact envisagé'!$N$761:$P$780="SL"))),1*(SUMPRODUCT(('Eval-Avec impact envisagé'!$A$761:$A$780=AG20)*('Eval-Avec impact envisagé'!$N$761:$P$780="S"))+ SUMPRODUCT(('Eval-Avec impact envisagé'!$A$761:$A$780=AG20)*('Eval-Avec impact envisagé'!$N$761:$P$780="A"))))/(3*COUNTIF('Eval-Avec impact envisagé'!$A$761:$A$780,AG20))),"")</f>
        <v/>
      </c>
      <c r="AZ20" s="211" t="str">
        <f>IF(COUNTIF('Eval-Avec impact envisagé'!$A$761:$A$780,AG20)&gt;0,IF(OR(AND('Eval-Avec impact envisagé'!$A$761=AG20,OR(COUNTIF('Eval-Avec impact envisagé'!$N$761:$P$761,"*T*")&gt;0,BD9&lt;30)),AND('Eval-Avec impact envisagé'!$A$762=AG20,OR(COUNTIF('Eval-Avec impact envisagé'!$N$762:$P$762,"*T*")&gt;0,BD10&lt;30)),AND('Eval-Avec impact envisagé'!$A$763=AG20,OR(COUNTIF('Eval-Avec impact envisagé'!$N$763:$P$763,"*T*")&gt;0,BD11&lt;30)),AND('Eval-Avec impact envisagé'!$A$764=AG20,OR(COUNTIF('Eval-Avec impact envisagé'!$N$764:$P$764,"*T*")&gt;0,BD12&lt;30)),AND('Eval-Avec impact envisagé'!$A$765=AG20,OR(COUNTIF('Eval-Avec impact envisagé'!$N$765:$P$765,"*T*")&gt;0,BD13&lt;30)),AND('Eval-Avec impact envisagé'!$A$766=AG20,OR(COUNTIF('Eval-Avec impact envisagé'!$N$766:$P$766,"*T*")&gt;0,BD14&lt;30)),AND('Eval-Avec impact envisagé'!$A$767=AG20,OR(COUNTIF('Eval-Avec impact envisagé'!$N$767:$P$767,"*T*")&gt;0,BD15&lt;30)),AND('Eval-Avec impact envisagé'!$A$768=AG20,OR(COUNTIF('Eval-Avec impact envisagé'!$N$768:$P$768,"*T*")&gt;0,BD16&lt;30)),AND('Eval-Avec impact envisagé'!$A$769=AG20,OR(COUNTIF('Eval-Avec impact envisagé'!$N$769:$P$769,"*T*")&gt;0,BD17&lt;30)),AND('Eval-Avec impact envisagé'!$A$770=AG20,OR(COUNTIF('Eval-Avec impact envisagé'!$N$770:$P$770,"*T*")&gt;0,BD18&lt;30)),AND('Eval-Avec impact envisagé'!$A$771=AG20,OR(COUNTIF('Eval-Avec impact envisagé'!$N$771:$P$771,"*T*")&gt;0,BD19&lt;30)),AND('Eval-Avec impact envisagé'!$A$772=AG20,OR(COUNTIF('Eval-Avec impact envisagé'!$N$772:$P$772,"*T*")&gt;0,BD20&lt;30)),AND('Eval-Avec impact envisagé'!$A$773=AG20,OR(COUNTIF('Eval-Avec impact envisagé'!$N$773:$P$773,"*T*")&gt;0,BD21&lt;30)),AND('Eval-Avec impact envisagé'!$A$774=AG20,OR(COUNTIF('Eval-Avec impact envisagé'!$N$774:$P$774,"*T*")&gt;0,BD22&lt;30)),AND('Eval-Avec impact envisagé'!$A$775=AG20,OR(COUNTIF('Eval-Avec impact envisagé'!$N$775:$P$775,"*T*")&gt;0,BD23&lt;30)),AND('Eval-Avec impact envisagé'!$A$776=AG20,OR(COUNTIF('Eval-Avec impact envisagé'!$N$776:$P$776,"*T*")&gt;0,BD24&lt;30)),AND('Eval-Avec impact envisagé'!$A$777=AG20,OR(COUNTIF('Eval-Avec impact envisagé'!$N$777:$P$777,"*T*")&gt;0,BD25&lt;30)),AND('Eval-Avec impact envisagé'!$A$778=AG20,OR(COUNTIF('Eval-Avec impact envisagé'!$N$778:$P$778,"*T*")&gt;0,BD26&lt;30)),AND('Eval-Avec impact envisagé'!$A$779=AG20,OR(COUNTIF('Eval-Avec impact envisagé'!$N$779:$P$779,"*T*")&gt;0,BD27&lt;30)),AND('Eval-Avec impact envisagé'!$A$780=AG20,OR(COUNTIF('Eval-Avec impact envisagé'!$N$780:$P$780,"*T*")&gt;0,BD28&lt;30))),"",SUM(1*(SUMPRODUCT(('Eval-Avec impact envisagé'!$A$761:$A$780=AG20)*('Eval-Avec impact envisagé'!$N$761:$P$780="A"))),0.85*(SUMPRODUCT(('Eval-Avec impact envisagé'!$A$761:$A$780=AG20)*('Eval-Avec impact envisagé'!$N$761:$P$780="AL"))),0.7*(SUMPRODUCT(('Eval-Avec impact envisagé'!$A$761:$A$780=AG20)*('Eval-Avec impact envisagé'!$N$761:$P$780="LA"))),0.55*(SUMPRODUCT(('Eval-Avec impact envisagé'!$A$761:$A$780=AG20)*('Eval-Avec impact envisagé'!$N$761:$P$780="L"))),0.4*(SUMPRODUCT(('Eval-Avec impact envisagé'!$A$761:$A$780=AG20)*('Eval-Avec impact envisagé'!$N$761:$P$780="LS"))),0.25*(SUMPRODUCT(('Eval-Avec impact envisagé'!$A$761:$A$780=AG20)*('Eval-Avec impact envisagé'!$N$761:$P$780="SL"))),0.1*(SUMPRODUCT(('Eval-Avec impact envisagé'!$A$761:$A$780=AG20)*('Eval-Avec impact envisagé'!$N$761:$P$780="S"))))/(3*COUNTIF('Eval-Avec impact envisagé'!$A$761:$A$780,AG20))),"")</f>
        <v/>
      </c>
      <c r="BA20" s="214" t="str">
        <f>IF(COUNTIF('Eval-Avec impact envisagé'!$A$761:$A$780,AG20)&gt;0,IF(OR(AND('Eval-Avec impact envisagé'!$A$761=AG20,OR(COUNTIF('Eval-Avec impact envisagé'!$Q$761:$Y$761,"*T*")&gt;0,BD9&lt;120)),AND('Eval-Avec impact envisagé'!$A$762=AG20,OR(COUNTIF('Eval-Avec impact envisagé'!$Q$762:$Y$762,"*T*")&gt;0,BD10&lt;120)),AND('Eval-Avec impact envisagé'!$A$763=AG20,OR(COUNTIF('Eval-Avec impact envisagé'!$Q$763:$Y$763,"*T*")&gt;0,BD11&lt;120)),AND('Eval-Avec impact envisagé'!$A$764=AG20,OR(COUNTIF('Eval-Avec impact envisagé'!$Q$764:$Y$764,"*T*")&gt;0,BD12&lt;120)),AND('Eval-Avec impact envisagé'!$A$765=AG20,OR(COUNTIF('Eval-Avec impact envisagé'!$Q$765:$Y$765,"*T*")&gt;0,BD13&lt;120)),AND('Eval-Avec impact envisagé'!$A$766=AG20,OR(COUNTIF('Eval-Avec impact envisagé'!$Q$766:$Y$766,"*T*")&gt;0,BD14&lt;120)),AND('Eval-Avec impact envisagé'!$A$767=AG20,OR(COUNTIF('Eval-Avec impact envisagé'!$Q$767:$Y$767,"*T*")&gt;0,BD15&lt;120)),AND('Eval-Avec impact envisagé'!$A$768=AG20,OR(COUNTIF('Eval-Avec impact envisagé'!$Q$768:$Y$768,"*T*")&gt;0,BD16&lt;120)),AND('Eval-Avec impact envisagé'!$A$769=AG20,OR(COUNTIF('Eval-Avec impact envisagé'!$Q$769:$Y$769,"*T*")&gt;0,BD17&lt;120)),AND('Eval-Avec impact envisagé'!$A$770=AG20,OR(COUNTIF('Eval-Avec impact envisagé'!$Q$770:$Y$770,"*T*")&gt;0,BD18&lt;120)),AND('Eval-Avec impact envisagé'!$A$771=AG20,OR(COUNTIF('Eval-Avec impact envisagé'!$Q$771:$Y$771,"*T*")&gt;0,BD19&lt;120)),AND('Eval-Avec impact envisagé'!$A$772=AG20,OR(COUNTIF('Eval-Avec impact envisagé'!$Q$772:$Y$772,"*T*")&gt;0,BD20&lt;120)),AND('Eval-Avec impact envisagé'!$A$773=AG20,OR(COUNTIF('Eval-Avec impact envisagé'!$Q$773:$Y$773,"*T*")&gt;0,BD21&lt;120)),AND('Eval-Avec impact envisagé'!$A$774=AG20,OR(COUNTIF('Eval-Avec impact envisagé'!$Q$774:$Y$774,"*T*")&gt;0,BD22&lt;120)),AND('Eval-Avec impact envisagé'!$A$775=AG20,OR(COUNTIF('Eval-Avec impact envisagé'!$Q$775:$Y$775,"*T*")&gt;0,BD23&lt;120)),AND('Eval-Avec impact envisagé'!$A$776=AG20,OR(COUNTIF('Eval-Avec impact envisagé'!$Q$776:$Y$776,"*T*")&gt;0,BD24&lt;120)),AND('Eval-Avec impact envisagé'!$A$777=AG20,OR(COUNTIF('Eval-Avec impact envisagé'!$Q$777:$Y$777,"*T*")&gt;0,BD25&lt;120)),AND('Eval-Avec impact envisagé'!$A$778=AG20,OR(COUNTIF('Eval-Avec impact envisagé'!$Q$778:$Y$778,"*T*")&gt;0,BD26&lt;120)),AND('Eval-Avec impact envisagé'!$A$779=AG20,OR(COUNTIF('Eval-Avec impact envisagé'!$Q$779:$Y$779,"*T*")&gt;0,BD27&lt;120)),AND('Eval-Avec impact envisagé'!$A$780=AG20,OR(COUNTIF('Eval-Avec impact envisagé'!$Q$780:$Y$780,"*T*")&gt;0,BD28&lt;120))),"",SUM(1*(SUMPRODUCT(('Eval-Avec impact envisagé'!$A$761:$A$780=AG20)*('Eval-Avec impact envisagé'!$Q$761:$Y$780="A"))),0.85*(SUMPRODUCT(('Eval-Avec impact envisagé'!$A$761:$A$780=AG20)*('Eval-Avec impact envisagé'!$Q$761:$Y$780="AL"))),0.7*(SUMPRODUCT(('Eval-Avec impact envisagé'!$A$761:$A$780=AG20)*('Eval-Avec impact envisagé'!$Q$761:$Y$780="LA"))),0.55*(SUMPRODUCT(('Eval-Avec impact envisagé'!$A$761:$A$780=AG20)*('Eval-Avec impact envisagé'!$Q$761:$Y$780="L"))),0.4*(SUMPRODUCT(('Eval-Avec impact envisagé'!$A$761:$A$780=AG20)*('Eval-Avec impact envisagé'!$Q$761:$Y$780="LS"))),0.25*(SUMPRODUCT(('Eval-Avec impact envisagé'!$A$761:$A$780=AG20)*('Eval-Avec impact envisagé'!$Q$761:$Y$780="SL"))),0.1*(SUMPRODUCT(('Eval-Avec impact envisagé'!$A$761:$A$780=AG20)*('Eval-Avec impact envisagé'!$Q$761:$Y$780="S"))))/(9*COUNTIF('Eval-Avec impact envisagé'!$A$761:$A$780,AG20))),"")</f>
        <v/>
      </c>
      <c r="BB20" s="215"/>
      <c r="BC20" s="216">
        <f>'Eval-Avec impact envisagé'!$D$772</f>
        <v>12</v>
      </c>
      <c r="BD20" s="217" t="str">
        <f>IF(BE20="C",0,IF(IF(COUNTIF('Eval-Avec impact envisagé'!$N$772:$Y$772,"=C")&gt;0,(COUNTA('Eval-Avec impact envisagé'!$N$772:$Y$772)-1)*10,COUNTA('Eval-Avec impact envisagé'!$N$772:$Y$772)*10)=0,"",IF(COUNTIF('Eval-Avec impact envisagé'!$N$772:$Y$772,"=C")&gt;0,(COUNTA('Eval-Avec impact envisagé'!$N$772:$Y$772)-1)*10,COUNTA('Eval-Avec impact envisagé'!$N$772:$Y$772)*10)))</f>
        <v/>
      </c>
      <c r="BE20" s="217" t="str">
        <f>CONCATENATE('Eval-Avec impact envisagé'!$N$772,'Eval-Avec impact envisagé'!$O$772,'Eval-Avec impact envisagé'!$P$772,'Eval-Avec impact envisagé'!$Q$772,'Eval-Avec impact envisagé'!$R$772,'Eval-Avec impact envisagé'!$S$772,'Eval-Avec impact envisagé'!$T$772,'Eval-Avec impact envisagé'!$U$772,'Eval-Avec impact envisagé'!$V$772,'Eval-Avec impact envisagé'!$W$772,'Eval-Avec impact envisagé'!$X$772,'Eval-Avec impact envisagé'!$Y$772)</f>
        <v/>
      </c>
      <c r="BF20" s="217" t="str">
        <f t="shared" si="4"/>
        <v/>
      </c>
      <c r="BG20" s="217" t="str">
        <f t="shared" si="5"/>
        <v/>
      </c>
      <c r="BH20" s="217" t="str">
        <f>IF(COUNTIF('Eval-Avec impact envisagé'!$N$772:$Y$772,"=C")&gt;0,"X","")</f>
        <v/>
      </c>
      <c r="BI20" s="217" t="str">
        <f t="shared" si="6"/>
        <v/>
      </c>
      <c r="BJ20" s="218" t="str">
        <f t="shared" si="7"/>
        <v/>
      </c>
      <c r="BK20" s="197"/>
      <c r="BM20" s="210">
        <v>12</v>
      </c>
      <c r="BN20" s="211" t="str">
        <f>IF(COUNTIF('Eval-Après impact'!$A$761:$A$780,BM20)&gt;0,SUM(IF('Eval-Après impact'!$A$761=BM20,'Eval-Après impact'!$B$761,0),IF('Eval-Après impact'!$A$762=BM20, 'Eval-Après impact'!$B$762,0),IF('Eval-Après impact'!$A$763=BM20, 'Eval-Après impact'!$B$763,0),IF('Eval-Après impact'!$A$764=BM20, 'Eval-Après impact'!$B$764,0),IF('Eval-Après impact'!$A$765=BM20, 'Eval-Après impact'!$B$765,0),IF('Eval-Après impact'!$A$766=BM20, 'Eval-Après impact'!$B$766,0),IF('Eval-Après impact'!$A$767=BM20, 'Eval-Après impact'!$B$767,0),IF('Eval-Après impact'!$A$768=BM20, 'Eval-Après impact'!$B$768,0),IF('Eval-Après impact'!$A$769=BM20, 'Eval-Après impact'!$B$769,0),IF('Eval-Après impact'!$A$770=BM20, 'Eval-Après impact'!$B$770,0),IF('Eval-Après impact'!$A$771=BM20, 'Eval-Après impact'!$B$771,0),IF('Eval-Après impact'!$A$772=BM20, 'Eval-Après impact'!$B$772,0),IF('Eval-Après impact'!$A$773=BM20, 'Eval-Après impact'!$B$773,0),IF('Eval-Après impact'!$A$774=BM20, 'Eval-Après impact'!$B$774,0),IF('Eval-Après impact'!$A$775=BM20, 'Eval-Après impact'!$B$775,0),IF('Eval-Après impact'!$A$776=BM20, 'Eval-Après impact'!$B$776,0),IF('Eval-Après impact'!$A$777=BM20, 'Eval-Après impact'!$B$777,0),IF('Eval-Après impact'!$A$778=BM20, 'Eval-Après impact'!$B$778,0),IF('Eval-Après impact'!$A$779=BM20, 'Eval-Après impact'!$B$779,0),IF('Eval-Après impact'!$A$780=BM20, 'Eval-Après impact'!$B$780,0))/COUNTIF('Eval-Après impact'!$A$761:$A$780,BM20),"")</f>
        <v/>
      </c>
      <c r="BO20" s="212" t="str">
        <f>IF(COUNTIF('Eval-Après impact'!$A$761:$A$780,BM20)&gt;0,COUNTIF('Eval-Après impact'!$A$761:$A$780,BM20),"")</f>
        <v/>
      </c>
      <c r="BP20" s="211" t="str">
        <f>IF(COUNTIF('Eval-Après impact'!$A$761:$A$780,BM20)&gt;0,IF(OR(AND('Eval-Après impact'!$A$761=BM20, 'Eval-Après impact'!$G$761=""),AND('Eval-Après impact'!$A$762=BM20, 'Eval-Après impact'!$G$762=""),AND('Eval-Après impact'!$A$763=BM20, 'Eval-Après impact'!$G$763=""),AND('Eval-Après impact'!$A$764=BM20, 'Eval-Après impact'!$G$764=""),AND('Eval-Après impact'!$A$765=BM20, 'Eval-Après impact'!$G$765=""),AND('Eval-Après impact'!$A$766=BM20, 'Eval-Après impact'!$G$766=""),AND('Eval-Après impact'!$A$767=BM20, 'Eval-Après impact'!$G$767=""),AND('Eval-Après impact'!$A$768=BM20, 'Eval-Après impact'!$G$768=""),AND('Eval-Après impact'!$A$769=BM20, 'Eval-Après impact'!$G$769=""),AND('Eval-Après impact'!$A$770=BM20, 'Eval-Après impact'!$G$770=""),AND('Eval-Après impact'!$A$771=BM20, 'Eval-Après impact'!$G$771=""),AND('Eval-Après impact'!$A$772=BM20, 'Eval-Après impact'!$G$772=""),AND('Eval-Après impact'!$A$773=BM20, 'Eval-Après impact'!$G$773=""),AND('Eval-Après impact'!$A$774=BM20, 'Eval-Après impact'!$G$774=""),AND('Eval-Après impact'!$A$775=BM20, 'Eval-Après impact'!$G$775=""),AND('Eval-Après impact'!$A$776=BM20, 'Eval-Après impact'!$G$776=""),AND('Eval-Après impact'!$A$777=BM20, 'Eval-Après impact'!$G$777=""),AND('Eval-Après impact'!$A$778=BM20, 'Eval-Après impact'!$G$778=""),AND('Eval-Après impact'!$A$779=BM20, 'Eval-Après impact'!$G$779=""),AND('Eval-Après impact'!$A$780=BM20, 'Eval-Après impact'!$G$780="")),"",SUM(IF('Eval-Après impact'!$A$761=BM20,'Eval-Après impact'!$G$761,0),IF('Eval-Après impact'!$A$762=BM20,'Eval-Après impact'!$G$762,0),IF('Eval-Après impact'!$A$763=BM20,'Eval-Après impact'!$G$763,0),IF('Eval-Après impact'!$A$764=BM20,'Eval-Après impact'!$G$764,0),IF('Eval-Après impact'!$A$765=BM20,'Eval-Après impact'!$G$765,0),IF('Eval-Après impact'!$A$766=BM20,'Eval-Après impact'!$G$766,0),IF('Eval-Après impact'!$A$767=BM20,'Eval-Après impact'!$G$767,0),IF('Eval-Après impact'!$A$768=BM20,'Eval-Après impact'!$G$768,0),IF('Eval-Après impact'!$A$769=BM20,'Eval-Après impact'!$G$769,0),IF('Eval-Après impact'!$A$770=BM20,'Eval-Après impact'!$G$770,0),IF('Eval-Après impact'!$A$771=BM20,'Eval-Après impact'!$G$771,0),IF('Eval-Après impact'!$A$772=BM20,'Eval-Après impact'!$G$772,0),IF('Eval-Après impact'!$A$773=BM20,'Eval-Après impact'!$G$773,0),IF('Eval-Après impact'!$A$774=BM20,'Eval-Après impact'!$G$774,0),IF('Eval-Après impact'!$A$775=BM20,'Eval-Après impact'!$G$775,0), IF('Eval-Après impact'!$A$776=BM20,'Eval-Après impact'!$G$776,0), IF('Eval-Après impact'!$A$777=BM20,'Eval-Après impact'!$G$777,0), IF('Eval-Après impact'!$A$778=BM20,'Eval-Après impact'!$G$778,0), IF('Eval-Après impact'!$A$779=BM20,'Eval-Après impact'!$G$779,0), IF('Eval-Après impact'!$A$780=BM20,'Eval-Après impact'!$G$780,0))/ COUNTIF('Eval-Après impact'!$A$761:$A$780,BM20)),"")</f>
        <v/>
      </c>
      <c r="BQ20" s="212" t="str">
        <f>IF(COUNTIF('Eval-Après impact'!$A$761:$A$780,BM20)&gt;0,IF(SUM(IF('Eval-Après impact'!$A$761=BM20,COUNTA('Eval-Après impact'!$H$761),0),IF('Eval-Après impact'!$A$762=BM20,COUNTA('Eval-Après impact'!$H$762),0),IF('Eval-Après impact'!$A$763=BM20,COUNTA('Eval-Après impact'!$H$763),0),IF('Eval-Après impact'!$A$764=BM20,COUNTA('Eval-Après impact'!$H$764),0),IF('Eval-Après impact'!$A$765=BM20,COUNTA('Eval-Après impact'!$H$765),0),IF('Eval-Après impact'!$A$766=BM20,COUNTA('Eval-Après impact'!$H$766),0),IF('Eval-Après impact'!$A$767=BM20,COUNTA('Eval-Après impact'!$H$767),0),IF('Eval-Après impact'!$A$768=BM20,COUNTA('Eval-Après impact'!$H$768),0),IF('Eval-Après impact'!$A$769=BM20,COUNTA('Eval-Après impact'!$H$769),0),IF('Eval-Après impact'!$A$770=BM20,COUNTA('Eval-Après impact'!$H$770),0),IF('Eval-Après impact'!$A$771=BM20,COUNTA('Eval-Après impact'!$H$771),0),IF('Eval-Après impact'!$A$772=BM20,COUNTA('Eval-Après impact'!$H$772),0),IF('Eval-Après impact'!$A$773=BM20,COUNTA('Eval-Après impact'!$H$773),0),IF('Eval-Après impact'!$A$774=BM20,COUNTA('Eval-Après impact'!$H$774),0),IF('Eval-Après impact'!$A$775=BM20,COUNTA('Eval-Après impact'!$H$775),0),IF('Eval-Après impact'!$A$776=BM20,COUNTA('Eval-Après impact'!$H$776),0),IF('Eval-Après impact'!$A$777=BM20,COUNTA('Eval-Après impact'!$H$777),0),IF('Eval-Après impact'!$A$778=BM20,COUNTA('Eval-Après impact'!$H$778),0),IF('Eval-Après impact'!$A$779=BM20,COUNTA('Eval-Après impact'!$H$779),0),IF('Eval-Après impact'!$A$780=BM20,COUNTA('Eval-Après impact'!$H$780),0))&gt;0,"X",0),"")</f>
        <v/>
      </c>
      <c r="BR20" s="213" t="str">
        <f>IF(COUNTIF('Eval-Après impact'!$A$761:$A$780,BM20)&gt;0,IF(SUM(IF('Eval-Après impact'!$A$761=BM20,COUNTA('Eval-Après impact'!$I$761),0),IF('Eval-Après impact'!$A$762=BM20,COUNTA('Eval-Après impact'!$I$762),0),IF('Eval-Après impact'!$A$763=BM20,COUNTA('Eval-Après impact'!$I$763),0),IF('Eval-Après impact'!$A$764=BM20,COUNTA('Eval-Après impact'!$I$764),0),IF('Eval-Après impact'!$A$765=BM20,COUNTA('Eval-Après impact'!$I$765),0),IF('Eval-Après impact'!$A$766=BM20,COUNTA('Eval-Après impact'!$I$766),0),IF('Eval-Après impact'!$A$767=BM20,COUNTA('Eval-Après impact'!$I$767),0),IF('Eval-Après impact'!$A$768=BM20,COUNTA('Eval-Après impact'!$I$768),0),IF('Eval-Après impact'!$A$769=BM20,COUNTA('Eval-Après impact'!$I$769),0),IF('Eval-Après impact'!$A$770=BM20,COUNTA('Eval-Après impact'!$I$770),0),IF('Eval-Après impact'!$A$771=BM20,COUNTA('Eval-Après impact'!$I$771),0),IF('Eval-Après impact'!$A$772=BM20,COUNTA('Eval-Après impact'!$I$772),0),IF('Eval-Après impact'!$A$773=BM20,COUNTA('Eval-Après impact'!$I$773),0),IF('Eval-Après impact'!$A$774=BM20,COUNTA('Eval-Après impact'!$I$774),0),IF('Eval-Après impact'!$A$775=BM20,COUNTA('Eval-Après impact'!$I$775),0),IF('Eval-Après impact'!$A$776=BM20,COUNTA('Eval-Après impact'!$I$776),0),IF('Eval-Après impact'!$A$777=BM20,COUNTA('Eval-Après impact'!$I$777),0),IF('Eval-Après impact'!$A$778=BM20,COUNTA('Eval-Après impact'!$I$778),0),IF('Eval-Après impact'!$A$779=BM20,COUNTA('Eval-Après impact'!$I$779),0),IF('Eval-Après impact'!$A$780=BM20,COUNTA('Eval-Après impact'!$I$780),0))&gt;0,"X",0),"")</f>
        <v/>
      </c>
      <c r="BS20" s="213" t="str">
        <f>IF(COUNTIF('Eval-Après impact'!$A$761:$A$780,BM20)&gt;0,IF(SUM(IF('Eval-Après impact'!$A$761=BM20,COUNTA('Eval-Après impact'!$J$761),0),IF('Eval-Après impact'!$A$762=BM20,COUNTA('Eval-Après impact'!$J$762),0),IF('Eval-Après impact'!$A$763=BM20,COUNTA('Eval-Après impact'!$J$763),0),IF('Eval-Après impact'!$A$764=BM20,COUNTA('Eval-Après impact'!$J$764),0),IF('Eval-Après impact'!$A$765=BM20,COUNTA('Eval-Après impact'!$J$765),0),IF('Eval-Après impact'!$A$766=BM20,COUNTA('Eval-Après impact'!$J$766),0),IF('Eval-Après impact'!$A$767=BM20,COUNTA('Eval-Après impact'!$J$767),0),IF('Eval-Après impact'!$A$768=BM20,COUNTA('Eval-Après impact'!$J$768),0),IF('Eval-Après impact'!$A$769=BM20,COUNTA('Eval-Après impact'!$J$769),0),IF('Eval-Après impact'!$A$770=BM20,COUNTA('Eval-Après impact'!$J$770),0),IF('Eval-Après impact'!$A$771=BM20,COUNTA('Eval-Après impact'!$J$771),0),IF('Eval-Après impact'!$A$772=BM20,COUNTA('Eval-Après impact'!$J$772),0),IF('Eval-Après impact'!$A$773=BM20,COUNTA('Eval-Après impact'!$J$773),0),IF('Eval-Après impact'!$A$774=BM20,COUNTA('Eval-Après impact'!$J$774),0),IF('Eval-Après impact'!$A$775=BM20,COUNTA('Eval-Après impact'!$J$775),0),IF('Eval-Après impact'!$A$776=BM20,COUNTA('Eval-Après impact'!$J$776),0),IF('Eval-Après impact'!$A$777=BM20,COUNTA('Eval-Après impact'!$J$777),0),IF('Eval-Après impact'!$A$778=BM20,COUNTA('Eval-Après impact'!$J$778),0),IF('Eval-Après impact'!$A$779=BM20,COUNTA('Eval-Après impact'!$J$779),0),IF('Eval-Après impact'!$A$780=BM20,COUNTA('Eval-Après impact'!$J$780),0))&gt;0,"X",0),"")</f>
        <v/>
      </c>
      <c r="BT20" s="213" t="str">
        <f>IF(COUNTIF('Eval-Après impact'!$A$761:$A$780,BM20)&gt;0,IF(SUM(IF('Eval-Après impact'!$A$761=BM20,COUNTA('Eval-Après impact'!$K$761),0),IF('Eval-Après impact'!$A$762=BM20,COUNTA('Eval-Après impact'!$K$762),0),IF('Eval-Après impact'!$A$763=BM20,COUNTA('Eval-Après impact'!$K$763),0),IF('Eval-Après impact'!$A$764=BM20,COUNTA('Eval-Après impact'!$K$764),0),IF('Eval-Après impact'!$A$765=BM20,COUNTA('Eval-Après impact'!$K$765),0),IF('Eval-Après impact'!$A$766=BM20,COUNTA('Eval-Après impact'!$K$766),0),IF('Eval-Après impact'!$A$767=BM20,COUNTA('Eval-Après impact'!$K$767),0),IF('Eval-Après impact'!$A$768=BM20,COUNTA('Eval-Après impact'!$K$768),0),IF('Eval-Après impact'!$A$769=BM20,COUNTA('Eval-Après impact'!$K$769),0),IF('Eval-Après impact'!$A$770=BM20,COUNTA('Eval-Après impact'!$K$770),0),IF('Eval-Après impact'!$A$771=BM20,COUNTA('Eval-Après impact'!$K$771),0),IF('Eval-Après impact'!$A$772=BM20,COUNTA('Eval-Après impact'!$K$772),0),IF('Eval-Après impact'!$A$773=BM20,COUNTA('Eval-Après impact'!$K$773),0),IF('Eval-Après impact'!$A$774=BM20,COUNTA('Eval-Après impact'!$K$774),0),IF('Eval-Après impact'!$A$775=BM20,COUNTA('Eval-Après impact'!$K$775),0),IF('Eval-Après impact'!$A$776=BM20,COUNTA('Eval-Après impact'!$K$776),0),IF('Eval-Après impact'!$A$777=BM20,COUNTA('Eval-Après impact'!$K$777),0),IF('Eval-Après impact'!$A$778=BM20,COUNTA('Eval-Après impact'!$K$778),0),IF('Eval-Après impact'!$A$779=BM20,COUNTA('Eval-Après impact'!$K$779),0),IF('Eval-Après impact'!$A$780=BM20,COUNTA('Eval-Après impact'!$K$780),0))&gt;0,"X",0),"")</f>
        <v/>
      </c>
      <c r="BU20" s="211" t="str">
        <f>IF(COUNTIF('Eval-Après impact'!$A$761:$A$780,BM20)&gt;0,IF(OR(AND('Eval-Après impact'!$A$761=BM20,'Eval-Après impact'!$L$761&lt;120,'Eval-Après impact'!$L$761&gt;=CJ9),AND('Eval-Après impact'!$A$762=BM20,'Eval-Après impact'!$L$762&lt;120,'Eval-Après impact'!$L$762&gt;=CJ10),AND('Eval-Après impact'!$A$763=BM20,'Eval-Après impact'!$L$763&lt;120,'Eval-Après impact'!$L$763&gt;=CJ11),AND('Eval-Après impact'!$A$764=BM20,'Eval-Après impact'!$L$764&lt;120,'Eval-Après impact'!$L$764&gt;=CJ12),AND('Eval-Après impact'!$A$765=BM20,'Eval-Après impact'!$L$765&lt;120,'Eval-Après impact'!$L$765&gt;=CJ13),AND('Eval-Après impact'!$A$766=BM20,'Eval-Après impact'!$L$766&lt;120,'Eval-Après impact'!$L$766&gt;=CJ14),AND('Eval-Après impact'!$A$767=BM20,'Eval-Après impact'!$L$767&lt;120,'Eval-Après impact'!$L$767&gt;=CJ15),AND('Eval-Après impact'!$A$768=BM20,'Eval-Après impact'!$L$768&lt;120,'Eval-Après impact'!$L$768&gt;=CJ16),AND('Eval-Après impact'!$A$769=BM20,'Eval-Après impact'!$L$769&lt;120,'Eval-Après impact'!$L$769&gt;=CJ17),AND('Eval-Après impact'!$A$770=BM20,'Eval-Après impact'!$L$770&lt;120,'Eval-Après impact'!$L$770&gt;=CJ18),AND('Eval-Après impact'!$A$771=BM20,'Eval-Après impact'!$L$771&lt;120,'Eval-Après impact'!$L$771&gt;=CJ19),AND('Eval-Après impact'!$A$772=BM20,'Eval-Après impact'!$L$772&lt;120,'Eval-Après impact'!$L$772&gt;=CJ20),AND('Eval-Après impact'!$A$773=BM20,'Eval-Après impact'!$L$773&lt;120,'Eval-Après impact'!$L$773&gt;=CJ21),AND('Eval-Après impact'!$A$774=BM20,'Eval-Après impact'!$L$774&lt;120,'Eval-Après impact'!$L$774&gt;=CJ22),AND('Eval-Après impact'!$A$775=BM20,'Eval-Après impact'!$L$775&lt;120,'Eval-Après impact'!$L$775&gt;=CJ23),AND('Eval-Après impact'!$A$776=BM20,'Eval-Après impact'!$L$776&lt;120,'Eval-Après impact'!$L$776&gt;=CJ24),AND('Eval-Après impact'!$A$777=BM20,'Eval-Après impact'!$L$777&lt;120,'Eval-Après impact'!$L$777&gt;=CJ25),AND('Eval-Après impact'!$A$778=BM20,'Eval-Après impact'!$L$778&lt;120,'Eval-Après impact'!$L$778&gt;=CJ26),AND('Eval-Après impact'!$A$779=BM20,'Eval-Après impact'!$L$779&lt;120,'Eval-Après impact'!$L$779&gt;=CJ27),AND('Eval-Après impact'!$A$780=BM20,'Eval-Après impact'!$L$780&lt;120,'Eval-Après impact'!$L$780&gt;=CJ28)),"",SUM(IF('Eval-Après impact'!$A$761=BM20,'Eval-Après impact'!$L$761,0),IF('Eval-Après impact'!$A$762=BM20,'Eval-Après impact'!$L$762,0),IF('Eval-Après impact'!$A$763=BM20,'Eval-Après impact'!$L$763,0),IF('Eval-Après impact'!$A$764=BM20,'Eval-Après impact'!$L$764,0),IF('Eval-Après impact'!$A$765=BM20,'Eval-Après impact'!$L$765,0),IF('Eval-Après impact'!$A$766=BM20,'Eval-Après impact'!$L$766,0),IF('Eval-Après impact'!$A$767=BM20,'Eval-Après impact'!$L$767,0),IF('Eval-Après impact'!$A$768=BM20,'Eval-Après impact'!$L$768,0),IF('Eval-Après impact'!$A$769=BM20,'Eval-Après impact'!$L$769,0),IF('Eval-Après impact'!$A$770=BM20,'Eval-Après impact'!$L$770,0),IF('Eval-Après impact'!$A$771=BM20,'Eval-Après impact'!$L$771,0),IF('Eval-Après impact'!$A$772=BM20,'Eval-Après impact'!$L$772,0),IF('Eval-Après impact'!$A$773=BM20,'Eval-Après impact'!$L$773,0),IF('Eval-Après impact'!$A$774=BM20,'Eval-Après impact'!$L$774,0),IF('Eval-Après impact'!$A$775=BM20,'Eval-Après impact'!$L$775,0),IF('Eval-Après impact'!$A$776=BM20,'Eval-Après impact'!$L$776,0),IF('Eval-Après impact'!$A$777=BM20,'Eval-Après impact'!$L$777,0),IF('Eval-Après impact'!$A$778=BM20,'Eval-Après impact'!$L$778,0),IF('Eval-Après impact'!$A$779=BM20,'Eval-Après impact'!$L$779,0),IF('Eval-Après impact'!$A$780=BM20,'Eval-Après impact'!$L$780,0))/ COUNTIF('Eval-Après impact'!$A$761:$A$780,BM20)),"")</f>
        <v/>
      </c>
      <c r="BV20" s="211" t="str">
        <f>IF(COUNTIF('Eval-Après impact'!$A$761:$A$780,BM20)&gt;0,IF(OR(AND('Eval-Après impact'!$A$761=BM20, CJ9&lt;120),AND(CJ10&lt;120),AND(CJ11&lt;120),AND(CJ12&lt;120),AND(CJ13&lt;120),AND(CJ14&lt;120),AND(CJ15&lt;120),AND(CJ16&lt;120),AND(CJ17&lt;120),AND(CJ18&lt;120),AND(CJ19&lt;120),AND(CJ20&lt;120),AND(CJ21&lt;120),AND(CJ22&lt;120),AND(CJ23&lt;120),AND(CJ24&lt;120),AND(CJ25&lt;120),AND(CJ26&lt;120),AND(CJ27&lt;120),AND(CJ28&lt;120)),"",SUM(IF('Eval-Après impact'!$A$761=BM20,'Eval-Après impact'!$M$761,0),IF('Eval-Après impact'!$A$762=BM20,'Eval-Après impact'!$M$762,0),IF('Eval-Après impact'!$A$763=BM20,'Eval-Après impact'!$M$763,0),IF('Eval-Après impact'!$A$764=BM20,'Eval-Après impact'!$M$764,0),IF('Eval-Après impact'!$A$765=BM20,'Eval-Après impact'!$M$765,0),IF('Eval-Après impact'!$A$766=BM20,'Eval-Après impact'!$M$766,0),IF('Eval-Après impact'!$A$767=BM20,'Eval-Après impact'!$M$767,0),IF('Eval-Après impact'!$A$768=BM20,'Eval-Après impact'!$M$768,0),IF('Eval-Après impact'!$A$769=BM20,'Eval-Après impact'!$M$769,0),IF('Eval-Après impact'!$A$770=BM20,'Eval-Après impact'!$M$770,0),IF('Eval-Après impact'!$A$771=BM20,'Eval-Après impact'!$M$771,0),IF('Eval-Après impact'!$A$772=BM20,'Eval-Après impact'!$M$772,0),IF('Eval-Après impact'!$A$773=BM20,'Eval-Après impact'!$M$773,0),IF('Eval-Après impact'!$A$774=BM20,'Eval-Après impact'!$M$774,0),IF('Eval-Après impact'!$A$775=BM20,'Eval-Après impact'!$M$775,0), IF('Eval-Après impact'!$A$776=BM20,'Eval-Après impact'!$M$776,0), IF('Eval-Après impact'!$A$777=BM20,'Eval-Après impact'!$M$777,0), IF('Eval-Après impact'!$A$778=BM20,'Eval-Après impact'!$M$778,0), IF('Eval-Après impact'!$A$779=BM20,'Eval-Après impact'!$M$779,0), IF('Eval-Après impact'!$A$780=BM20,'Eval-Après impact'!$M$780,0))/COUNTIF('Eval-Après impact'!$A$761:$A$780,BM20)),"")</f>
        <v/>
      </c>
      <c r="BW20" s="211" t="str">
        <f>IF(COUNTIF('Eval-Après impact'!$A$761:$A$780,BM20)&gt;0,SUM(IF('Eval-Après impact'!$A$761=BM20,LEN(SUBSTITUTE((SUBSTITUTE(CL9,"TM","")),"TS",""))*10/2,0),IF('Eval-Après impact'!$A$762=BM20,LEN(SUBSTITUTE((SUBSTITUTE(CL10,"TM","")),"TS",""))*10/2,0),IF('Eval-Après impact'!$A$763=BM20,LEN(SUBSTITUTE((SUBSTITUTE(CL11,"TM","")),"TS",""))*10/2,0),IF('Eval-Après impact'!$A$764=BM20,LEN(SUBSTITUTE((SUBSTITUTE(CL12,"TM","")),"TS",""))*10/2,0),IF('Eval-Après impact'!$A$765=BM20,LEN(SUBSTITUTE((SUBSTITUTE(CL13,"TM","")),"TS",""))*10/2,0),IF('Eval-Après impact'!$A$766=BM20,LEN(SUBSTITUTE((SUBSTITUTE(CL14,"TM","")),"TS",""))*10/2,0),IF('Eval-Après impact'!$A$767=BM20,LEN(SUBSTITUTE((SUBSTITUTE(CL15,"TM","")),"TS",""))*10/2,0),IF('Eval-Après impact'!$A$768=BM20,LEN(SUBSTITUTE((SUBSTITUTE(CL16,"TM","")),"TS",""))*10/2,0),IF('Eval-Après impact'!$A$769=BM20,LEN(SUBSTITUTE((SUBSTITUTE(CL17,"TM","")),"TS",""))*10/2,0),IF('Eval-Après impact'!$A$770=BM20,LEN(SUBSTITUTE((SUBSTITUTE(CL18,"TM","")),"TS",""))*10/2,0),IF('Eval-Après impact'!$A$771=BM20,LEN(SUBSTITUTE((SUBSTITUTE(CL19,"TM","")),"TS",""))*10/2,0),IF('Eval-Après impact'!$A$772=BM20,LEN(SUBSTITUTE((SUBSTITUTE(CL20,"TM","")),"TS",""))*10/2,0),IF('Eval-Après impact'!$A$773=BM20,LEN(SUBSTITUTE((SUBSTITUTE(CL21,"TM","")),"TS",""))*10/2,0),IF('Eval-Après impact'!$A$774=BM20,LEN(SUBSTITUTE((SUBSTITUTE(CL22,"TM","")),"TS",""))*10/2,0),IF('Eval-Après impact'!$A$775=BM20,LEN(SUBSTITUTE((SUBSTITUTE(CL23,"TM","")),"TS",""))*10/2,0),IF('Eval-Après impact'!$A$776=BM20,LEN(SUBSTITUTE((SUBSTITUTE(CL24,"TM","")),"TS",""))*10/2,0),IF('Eval-Après impact'!$A$777=BM20,LEN(SUBSTITUTE((SUBSTITUTE(CL25,"TM","")),"TS",""))*10/2,0),IF('Eval-Après impact'!$A$778=BM20,LEN(SUBSTITUTE((SUBSTITUTE(CL26,"TM","")),"TS",""))*10/2,0),IF('Eval-Après impact'!$A$779=BM20,LEN(SUBSTITUTE((SUBSTITUTE(CL27,"TM","")),"TS",""))*10/2,0),IF('Eval-Après impact'!$A$780=BM20,LEN(SUBSTITUTE((SUBSTITUTE(CL28,"TM","")),"TS",""))*10/2,0))/COUNTIF('Eval-Après impact'!$A$761:$A$780,BM20),"")</f>
        <v/>
      </c>
      <c r="BX20" s="211" t="str">
        <f>IF(COUNTIF('Eval-Après impact'!$A$761:$A$780,BM20)&gt;0,SUM(IF('Eval-Après impact'!$A$761=BM20,LEN(SUBSTITUTE((SUBSTITUTE(CL9,"TF","")),"TS",""))*10/2,0),IF('Eval-Après impact'!$A$762=BM20,LEN(SUBSTITUTE((SUBSTITUTE(CL10,"TF","")),"TS",""))*10/2,0),IF('Eval-Après impact'!$A$763=BM20,LEN(SUBSTITUTE((SUBSTITUTE(CL11,"TF","")),"TS",""))*10/2,0),IF('Eval-Après impact'!$A$764=BM20,LEN(SUBSTITUTE((SUBSTITUTE(CL12,"TF","")),"TS",""))*10/2,0),IF('Eval-Après impact'!$A$765=BM20,LEN(SUBSTITUTE((SUBSTITUTE(CL13,"TF","")),"TS",""))*10/2,0),IF('Eval-Après impact'!$A$766=BM20,LEN(SUBSTITUTE((SUBSTITUTE(CL14,"TF","")),"TS",""))*10/2,0),IF('Eval-Après impact'!$A$767=BM20,LEN(SUBSTITUTE((SUBSTITUTE(CL15,"TF","")),"TS",""))*10/2,0),IF('Eval-Après impact'!$A$768=BM20,LEN(SUBSTITUTE((SUBSTITUTE(CL16,"TF","")),"TS",""))*10/2,0),IF('Eval-Après impact'!$A$769=BM20,LEN(SUBSTITUTE((SUBSTITUTE(CL17,"TF","")),"TS",""))*10/2,0),IF('Eval-Après impact'!$A$770=BM20,LEN(SUBSTITUTE((SUBSTITUTE(CL18,"TF","")),"TS",""))*10/2,0),IF('Eval-Après impact'!$A$771=BM20,LEN(SUBSTITUTE((SUBSTITUTE(CL19,"TF","")),"TS",""))*10/2,0),IF('Eval-Après impact'!$A$772=BM20,LEN(SUBSTITUTE((SUBSTITUTE(CL20,"TF","")),"TS",""))*10/2,0),IF('Eval-Après impact'!$A$773=BM20,LEN(SUBSTITUTE((SUBSTITUTE(CL21,"TF","")),"TS",""))*10/2,0),IF('Eval-Après impact'!$A$774=BM20,LEN(SUBSTITUTE((SUBSTITUTE(CL22,"TF","")),"TS",""))*10/2,0),IF('Eval-Après impact'!$A$775=BM20,LEN(SUBSTITUTE((SUBSTITUTE(CL23,"TF","")),"TS",""))*10/2,0),IF('Eval-Après impact'!$A$776=BM20,LEN(SUBSTITUTE((SUBSTITUTE(CL24,"TF","")),"TS",""))*10/2,0),IF('Eval-Après impact'!$A$777=BM20,LEN(SUBSTITUTE((SUBSTITUTE(CL25,"TF","")),"TS",""))*10/2,0),IF('Eval-Après impact'!$A$778=BM20,LEN(SUBSTITUTE((SUBSTITUTE(CL26,"TF","")),"TS",""))*10/2,0),IF('Eval-Après impact'!$A$779=BM20,LEN(SUBSTITUTE((SUBSTITUTE(CL27,"TF","")),"TS",""))*10/2,0),IF('Eval-Après impact'!$A$780=BM20,LEN(SUBSTITUTE((SUBSTITUTE(CL28,"TF","")),"TS",""))*10/2,0))/COUNTIF('Eval-Après impact'!$A$761:$A$780,BM20),"")</f>
        <v/>
      </c>
      <c r="BY20" s="211" t="str">
        <f>IF(COUNTIF('Eval-Après impact'!$A$761:$A$780,BM20)&gt;0,SUM(IF('Eval-Après impact'!$A$761=BM20,LEN(SUBSTITUTE((SUBSTITUTE(CL9,"TF","")),"TM",""))*10/2,0),IF('Eval-Après impact'!$A$762=BM20,LEN(SUBSTITUTE((SUBSTITUTE(CL10,"TF","")),"TM",""))*10/2,0),IF('Eval-Après impact'!$A$763=BM20,LEN(SUBSTITUTE((SUBSTITUTE(CL11,"TF","")),"TM",""))*10/2,0),IF('Eval-Après impact'!$A$764=BM20,LEN(SUBSTITUTE((SUBSTITUTE(CL12,"TF","")),"TM",""))*10/2,0),IF('Eval-Après impact'!$A$765=BM20,LEN(SUBSTITUTE((SUBSTITUTE(CL13,"TF","")),"TM",""))*10/2,0),IF('Eval-Après impact'!$A$766=BM20,LEN(SUBSTITUTE((SUBSTITUTE(CL14,"TF","")),"TM",""))*10/2,0),IF('Eval-Après impact'!$A$767=BM20,LEN(SUBSTITUTE((SUBSTITUTE(CL15,"TF","")),"TM",""))*10/2,0),IF('Eval-Après impact'!$A$768=BM20,LEN(SUBSTITUTE((SUBSTITUTE(CL16,"TF","")),"TM",""))*10/2,0),IF('Eval-Après impact'!$A$769=BM20,LEN(SUBSTITUTE((SUBSTITUTE(CL17,"TF","")),"TM",""))*10/2,0),IF('Eval-Après impact'!$A$770=BM20,LEN(SUBSTITUTE((SUBSTITUTE(CL18,"TF","")),"TM",""))*10/2,0),IF('Eval-Après impact'!$A$771=BM20,LEN(SUBSTITUTE((SUBSTITUTE(CL19,"TF","")),"TM",""))*10/2,0),IF('Eval-Après impact'!$A$772=BM20,LEN(SUBSTITUTE((SUBSTITUTE(CL20,"TF","")),"TM",""))*10/2,0),IF('Eval-Après impact'!$A$773=BM20,LEN(SUBSTITUTE((SUBSTITUTE(CL21,"TF","")),"TM",""))*10/2,0),IF('Eval-Après impact'!$A$774=BM20,LEN(SUBSTITUTE((SUBSTITUTE(CL22,"TF","")),"TM",""))*10/2,0),IF('Eval-Après impact'!$A$775=BM20,LEN(SUBSTITUTE((SUBSTITUTE(CL23,"TF","")),"TM",""))*10/2,0),IF('Eval-Après impact'!$A$776=BM20,LEN(SUBSTITUTE((SUBSTITUTE(CL24,"TF","")),"TM",""))*10/2,0),IF('Eval-Après impact'!$A$777=BM20,LEN(SUBSTITUTE((SUBSTITUTE(CL25,"TF","")),"TM",""))*10/2,0),IF('Eval-Après impact'!$A$778=BM20,LEN(SUBSTITUTE((SUBSTITUTE(CL26,"TF","")),"TM",""))*10/2,0),IF('Eval-Après impact'!$A$779=BM20,LEN(SUBSTITUTE((SUBSTITUTE(CL27,"TF","")),"TM",""))*10/2,0),IF('Eval-Après impact'!$A$780=BM20,LEN(SUBSTITUTE((SUBSTITUTE(CL28,"TF","")),"TM",""))*10/2,0))/COUNTIF('Eval-Après impact'!$A$761:$A$780,BM20),"")</f>
        <v/>
      </c>
      <c r="BZ20" s="211" t="str">
        <f>IF(COUNTIF('Eval-Après impact'!$A$761:$A$780,BM20)&gt;0,SUM(IF('Eval-Après impact'!$A$761=BM20,LEN(SUBSTITUTE((SUBSTITUTE(CM9,"TM","")),"TS",""))*10/2,0),IF('Eval-Après impact'!$A$762=BM20,LEN(SUBSTITUTE((SUBSTITUTE(CM10,"TM","")),"TS",""))*10/2,0),IF('Eval-Après impact'!$A$763=BM20,LEN(SUBSTITUTE((SUBSTITUTE(CM11,"TM","")),"TS",""))*10/2,0),IF('Eval-Après impact'!$A$764=BM20,LEN(SUBSTITUTE((SUBSTITUTE(CM12,"TM","")),"TS",""))*10/2,0),IF('Eval-Après impact'!$A$765=BM20,LEN(SUBSTITUTE((SUBSTITUTE(CM13,"TM","")),"TS",""))*10/2,0),IF('Eval-Après impact'!$A$766=BM20,LEN(SUBSTITUTE((SUBSTITUTE(CM14,"TM","")),"TS",""))*10/2,0),IF('Eval-Après impact'!$A$767=BM20,LEN(SUBSTITUTE((SUBSTITUTE(CM15,"TM","")),"TS",""))*10/2,0),IF('Eval-Après impact'!$A$768=BM20,LEN(SUBSTITUTE((SUBSTITUTE(CM16,"TM","")),"TS",""))*10/2,0),IF('Eval-Après impact'!$A$769=BM20,LEN(SUBSTITUTE((SUBSTITUTE(CM17,"TM","")),"TS",""))*10/2,0),IF('Eval-Après impact'!$A$770=BM20,LEN(SUBSTITUTE((SUBSTITUTE(CM18,"TM","")),"TS",""))*10/2,0),IF('Eval-Après impact'!$A$771=BM20,LEN(SUBSTITUTE((SUBSTITUTE(CM19,"TM","")),"TS",""))*10/2,0),IF('Eval-Après impact'!$A$772=BM20,LEN(SUBSTITUTE((SUBSTITUTE(CM20,"TM","")),"TS",""))*10/2,0),IF('Eval-Après impact'!$A$773=BM20,LEN(SUBSTITUTE((SUBSTITUTE(CM21,"TM","")),"TS",""))*10/2,0),IF('Eval-Après impact'!$A$774=BM20,LEN(SUBSTITUTE((SUBSTITUTE(CM22,"TM","")),"TS",""))*10/2,0),IF('Eval-Après impact'!$A$775=BM20,LEN(SUBSTITUTE((SUBSTITUTE(CM23,"TM","")),"TS",""))*10/2,0),IF('Eval-Après impact'!$A$776=BM20,LEN(SUBSTITUTE((SUBSTITUTE(CM24,"TM","")),"TS",""))*10/2,0),IF('Eval-Après impact'!$A$777=BM20,LEN(SUBSTITUTE((SUBSTITUTE(CM25,"TM","")),"TS",""))*10/2,0),IF('Eval-Après impact'!$A$778=BM20,LEN(SUBSTITUTE((SUBSTITUTE(CM26,"TM","")),"TS",""))*10/2,0),IF('Eval-Après impact'!$A$779=BM20,LEN(SUBSTITUTE((SUBSTITUTE(CM27,"TM","")),"TS",""))*10/2,0),IF('Eval-Après impact'!$A$780=BM20,LEN(SUBSTITUTE((SUBSTITUTE(CM28,"TM","")),"TS",""))*10/2,0))/COUNTIF('Eval-Après impact'!$A$761:$A$780,BM20),"")</f>
        <v/>
      </c>
      <c r="CA20" s="211" t="str">
        <f>IF(COUNTIF('Eval-Après impact'!$A$761:$A$780,BM20)&gt;0,SUM(IF('Eval-Après impact'!$A$761=BM20,LEN(SUBSTITUTE((SUBSTITUTE(CM9,"TF","")),"TS",""))*10/2,0),IF('Eval-Après impact'!$A$762=BM20,LEN(SUBSTITUTE((SUBSTITUTE(CM10,"TF","")),"TS",""))*10/2,0),IF('Eval-Après impact'!$A$763=BM20,LEN(SUBSTITUTE((SUBSTITUTE(CM11,"TF","")),"TS",""))*10/2,0),IF('Eval-Après impact'!$A$764=BM20,LEN(SUBSTITUTE((SUBSTITUTE(CM12,"TF","")),"TS",""))*10/2,0),IF('Eval-Après impact'!$A$765=BM20,LEN(SUBSTITUTE((SUBSTITUTE(CM13,"TF","")),"TS",""))*10/2,0),IF('Eval-Après impact'!$A$766=BM20,LEN(SUBSTITUTE((SUBSTITUTE(CM14,"TF","")),"TS",""))*10/2,0),IF('Eval-Après impact'!$A$767=BM20,LEN(SUBSTITUTE((SUBSTITUTE(CM15,"TF","")),"TS",""))*10/2,0),IF('Eval-Après impact'!$A$768=BM20,LEN(SUBSTITUTE((SUBSTITUTE(CM16,"TF","")),"TS",""))*10/2,0),IF('Eval-Après impact'!$A$769=BM20,LEN(SUBSTITUTE((SUBSTITUTE(CM17,"TF","")),"TS",""))*10/2,0),IF('Eval-Après impact'!$A$770=BM20,LEN(SUBSTITUTE((SUBSTITUTE(CM18,"TF","")),"TS",""))*10/2,0),IF('Eval-Après impact'!$A$771=BM20,LEN(SUBSTITUTE((SUBSTITUTE(CM19,"TF","")),"TS",""))*10/2,0),IF('Eval-Après impact'!$A$772=BM20,LEN(SUBSTITUTE((SUBSTITUTE(CM20,"TF","")),"TS",""))*10/2,0),IF('Eval-Après impact'!$A$773=BM20,LEN(SUBSTITUTE((SUBSTITUTE(CM21,"TF","")),"TS",""))*10/2,0),IF('Eval-Après impact'!$A$774=BM20,LEN(SUBSTITUTE((SUBSTITUTE(CM22,"TF","")),"TS",""))*10/2,0),IF('Eval-Après impact'!$A$775=BM20,LEN(SUBSTITUTE((SUBSTITUTE(CM23,"TF","")),"TS",""))*10/2,0),IF('Eval-Après impact'!$A$776=BM20,LEN(SUBSTITUTE((SUBSTITUTE(CM24,"TF","")),"TS",""))*10/2,0),IF('Eval-Après impact'!$A$777=BM20,LEN(SUBSTITUTE((SUBSTITUTE(CM25,"TF","")),"TS",""))*10/2,0),IF('Eval-Après impact'!$A$778=BM20,LEN(SUBSTITUTE((SUBSTITUTE(CM26,"TF","")),"TS",""))*10/2,0),IF('Eval-Après impact'!$A$779=BM20,LEN(SUBSTITUTE((SUBSTITUTE(CM27,"TF","")),"TS",""))*10/2,0),IF('Eval-Après impact'!$A$780=BM20,LEN(SUBSTITUTE((SUBSTITUTE(CM28,"TF","")),"TS",""))*10/2,0))/COUNTIF('Eval-Après impact'!$A$761:$A$780,BM20),"")</f>
        <v/>
      </c>
      <c r="CB20" s="211" t="str">
        <f>IF(COUNTIF('Eval-Après impact'!$A$761:$A$780,BM20)&gt;0,SUM(IF('Eval-Après impact'!$A$761=BM20,LEN(SUBSTITUTE((SUBSTITUTE(CM9,"TF","")),"TM",""))*10/2,0),IF('Eval-Après impact'!$A$762=BM20,LEN(SUBSTITUTE((SUBSTITUTE(CM10,"TF","")),"TM",""))*10/2,0),IF('Eval-Après impact'!$A$763=BM20,LEN(SUBSTITUTE((SUBSTITUTE(CM11,"TF","")),"TM",""))*10/2,0),IF('Eval-Après impact'!$A$764=BM20,LEN(SUBSTITUTE((SUBSTITUTE(CM12,"TF","")),"TM",""))*10/2,0),IF('Eval-Après impact'!$A$765=BM20,LEN(SUBSTITUTE((SUBSTITUTE(CM13,"TF","")),"TM",""))*10/2,0),IF('Eval-Après impact'!$A$766=BM20,LEN(SUBSTITUTE((SUBSTITUTE(CM14,"TF","")),"TM",""))*10/2,0),IF('Eval-Après impact'!$A$767=BM20,LEN(SUBSTITUTE((SUBSTITUTE(CM15,"TF","")),"TM",""))*10/2,0),IF('Eval-Après impact'!$A$768=BM20,LEN(SUBSTITUTE((SUBSTITUTE(CM16,"TF","")),"TM",""))*10/2,0),IF('Eval-Après impact'!$A$769=BM20,LEN(SUBSTITUTE((SUBSTITUTE(CM17,"TF","")),"TM",""))*10/2,0),IF('Eval-Après impact'!$A$770=BM20,LEN(SUBSTITUTE((SUBSTITUTE(CM18,"TF","")),"TM",""))*10/2,0),IF('Eval-Après impact'!$A$771=BM20,LEN(SUBSTITUTE((SUBSTITUTE(CM19,"TF","")),"TM",""))*10/2,0),IF('Eval-Après impact'!$A$772=BM20,LEN(SUBSTITUTE((SUBSTITUTE(CM20,"TF","")),"TM",""))*10/2,0),IF('Eval-Après impact'!$A$773=BM20,LEN(SUBSTITUTE((SUBSTITUTE(CM21,"TF","")),"TM",""))*10/2,0),IF('Eval-Après impact'!$A$774=BM20,LEN(SUBSTITUTE((SUBSTITUTE(CM22,"TF","")),"TM",""))*10/2,0),IF('Eval-Après impact'!$A$775=BM20,LEN(SUBSTITUTE((SUBSTITUTE(CM23,"TF","")),"TM",""))*10/2,0),IF('Eval-Après impact'!$A$776=BM20,LEN(SUBSTITUTE((SUBSTITUTE(CM24,"TF","")),"TM",""))*10/2,0),IF('Eval-Après impact'!$A$777=BM20,LEN(SUBSTITUTE((SUBSTITUTE(CM25,"TF","")),"TM",""))*10/2,0),IF('Eval-Après impact'!$A$778=BM20,LEN(SUBSTITUTE((SUBSTITUTE(CM26,"TF","")),"TM",""))*10/2,0),IF('Eval-Après impact'!$A$779=BM20,LEN(SUBSTITUTE((SUBSTITUTE(CM27,"TF","")),"TM",""))*10/2,0),IF('Eval-Après impact'!$A$780=BM20,LEN(SUBSTITUTE((SUBSTITUTE(CM28,"TF","")),"TM",""))*10/2,0))/COUNTIF('Eval-Après impact'!$A$761:$A$780,BM20),"")</f>
        <v/>
      </c>
      <c r="CC20" s="211" t="str">
        <f>IF(COUNTIF('Eval-Après impact'!$A$761:$A$780,BM20)&gt;0,IF(OR(AND('Eval-Après impact'!$A$761=BM20,CJ9&lt;30),AND('Eval-Après impact'!$A$762=BM20,CJ10&lt;30),AND('Eval-Après impact'!$A$763=BM20,CJ11&lt;30),AND('Eval-Après impact'!$A$764=BM20,CJ12&lt;30),AND('Eval-Après impact'!$A$765=BM20,CJ13&lt;30),AND('Eval-Après impact'!$A$766=BM20,CJ14&lt;30),AND('Eval-Après impact'!$A$767=BM20,CJ15&lt;30),AND('Eval-Après impact'!$A$768=BM20,CJ16&lt;30),AND('Eval-Après impact'!$A$769=BM20,CJ17&lt;30),AND('Eval-Après impact'!$A$770=BM20,CJ18&lt;30),AND('Eval-Après impact'!$A$771=BM20,CJ19&lt;30),AND('Eval-Après impact'!$A$772=BM20,CJ20&lt;30),AND('Eval-Après impact'!$A$773=BM20,CJ21&lt;30),AND('Eval-Après impact'!$A$774=BM20,CJ22&lt;30),AND('Eval-Après impact'!$A$775=BM20,CJ23&lt;30),AND('Eval-Après impact'!$A$776=BM20,CJ24&lt;30),AND('Eval-Après impact'!$A$777=BM20,CJ25&lt;30),AND('Eval-Après impact'!$A$778=BM20,CJ26&lt;30),AND('Eval-Après impact'!$A$779=BM20,CJ27&lt;30),AND('Eval-Après impact'!$A$780=BM20,CJ28&lt;30)),"",SUM(0.1*(SUMPRODUCT(('Eval-Après impact'!$A$761:$A$780=BM20)*('Eval-Après impact'!$N$761:$P$780="A"))+ SUMPRODUCT(('Eval-Après impact'!$A$761:$A$780=BM20)*('Eval-Après impact'!$N$761:$P$780="AL"))),0.7*(SUMPRODUCT(('Eval-Après impact'!$A$761:$A$780=BM20)*('Eval-Après impact'!$N$761:$P$780="TF"))+SUMPRODUCT(('Eval-Après impact'!$A$761:$A$780=BM20)*('Eval-Après impact'!$N$761:$P$780="TM"))+SUMPRODUCT(('Eval-Après impact'!$A$761:$A$780=BM20)*('Eval-Après impact'!$N$761:$P$780="TS"))),0.4*(SUMPRODUCT(('Eval-Après impact'!$A$761:$A$780=BM20)*('Eval-Après impact'!$N$761:$P$780="LA"))+SUMPRODUCT(('Eval-Après impact'!$A$761:$A$780=BM20)*('Eval-Après impact'!$N$761:$P$780="L"))+SUMPRODUCT(('Eval-Après impact'!$A$761:$A$780=BM20)*('Eval-Après impact'!$N$761:$P$780="LS"))),1*(SUMPRODUCT(('Eval-Après impact'!$A$761:$A$780=BM20)*('Eval-Après impact'!$N$761:$P$780="SL"))+ SUMPRODUCT(('Eval-Après impact'!$A$761:$A$780=BM20)*('Eval-Après impact'!$N$761:$P$780="S"))))/(3*COUNTIF('Eval-Après impact'!$A$761:$A$780,BM20))),"")</f>
        <v/>
      </c>
      <c r="CD20" s="211" t="str">
        <f>IF(COUNTIF('Eval-Après impact'!$A$761:$A$780,BM20)&gt;0,IF(OR(AND('Eval-Après impact'!$A$761=BM20,CJ9&lt;120),AND('Eval-Après impact'!$A$762=BM20,CJ10&lt;120),AND('Eval-Après impact'!$A$763=BM20,CJ11&lt;120),AND('Eval-Après impact'!$A$764=BM20,CJ12&lt;120),AND('Eval-Après impact'!$A$765=BM20,CJ13&lt;120),AND('Eval-Après impact'!$A$766=BM20,CJ14&lt;120),AND('Eval-Après impact'!$A$767=BM20,CJ15&lt;120),AND('Eval-Après impact'!$A$768=BM20,CJ16&lt;120),AND('Eval-Après impact'!$A$769=BM20,CJ17&lt;120),AND('Eval-Après impact'!$A$770=BM20,CJ18&lt;120),AND('Eval-Après impact'!$A$771=BM20,CJ19&lt;120),AND('Eval-Après impact'!$A$772=BM20,CJ20&lt;120),AND('Eval-Après impact'!$A$773=BM20,CJ21&lt;120),AND('Eval-Après impact'!$A$774=BM20,CJ22&lt;120),AND('Eval-Après impact'!$A$775=BM20,CJ23&lt;120),AND('Eval-Après impact'!$A$776=BM20,CJ24&lt;120),AND('Eval-Après impact'!$A$777=BM20,CJ25&lt;120),AND('Eval-Après impact'!$A$778=BM20,CJ26&lt;120),AND('Eval-Après impact'!$A$779=BM20,CJ27&lt;120),AND('Eval-Après impact'!$A$780=BM20,CJ28&lt;120)),"",SUM(0.1*(SUMPRODUCT(('Eval-Après impact'!$A$761:$A$780=BM20)*('Eval-Après impact'!$Q$761:$Y$780="A"))+ SUMPRODUCT(('Eval-Après impact'!$A$761:$A$780=BM20)*('Eval-Après impact'!$Q$761:$Y$780="AL"))),0.7*(SUMPRODUCT(('Eval-Après impact'!$A$761:$A$780=BM20)*('Eval-Après impact'!$Q$761:$Y$780="TF"))+SUMPRODUCT(('Eval-Après impact'!$A$761:$A$780=BM20)*('Eval-Après impact'!$Q$761:$Y$780="TM"))+SUMPRODUCT(('Eval-Après impact'!$A$761:$A$780=BM20)*('Eval-Après impact'!$Q$761:$Y$780="TS"))),0.4*(SUMPRODUCT(('Eval-Après impact'!$A$761:$A$780=BM20)*('Eval-Après impact'!$Q$761:$Y$780="LA"))+SUMPRODUCT(('Eval-Après impact'!$A$761:$A$780=BM20)*('Eval-Après impact'!$Q$761:$Y$780="L"))+SUMPRODUCT(('Eval-Après impact'!$A$761:$A$780=BM20)*('Eval-Après impact'!$Q$761:$Y$780="LS"))),1*(SUMPRODUCT(('Eval-Après impact'!$A$761:$A$780=BM20)*('Eval-Après impact'!$Q$761:$Y$780="SL"))+ SUMPRODUCT(('Eval-Après impact'!$A$761:$A$780=BM20)*('Eval-Après impact'!$Q$761:$Y$780="S"))))/(9*COUNTIF('Eval-Après impact'!$A$761:$A$780,BM20))),"")</f>
        <v/>
      </c>
      <c r="CE20" s="211" t="str">
        <f>IF(COUNTIF('Eval-Après impact'!$A$761:$A$780,BM20)&gt;0,IF(OR(AND('Eval-Après impact'!$A$761=BM20,OR(COUNTIF('Eval-Après impact'!$N$761:$P$761,"*T*")&gt;0,CJ9&lt;30)),AND('Eval-Après impact'!$A$762=BM20,OR(COUNTIF('Eval-Après impact'!$N$762:$P$762,"*T*")&gt;0,CJ10&lt;30)),AND('Eval-Après impact'!$A$763=BM20,OR(COUNTIF('Eval-Après impact'!$N$763:$P$763,"*T*")&gt;0,CJ11&lt;30)),AND('Eval-Après impact'!$A$764=BM20,OR(COUNTIF('Eval-Après impact'!$N$764:$P$764,"*T*")&gt;0,CJ12&lt;30)),AND('Eval-Après impact'!$A$765=BM20,OR(COUNTIF('Eval-Après impact'!$N$765:$P$765,"*T*")&gt;0,CJ13&lt;30)),AND('Eval-Après impact'!$A$766=BM20,OR(COUNTIF('Eval-Après impact'!$N$766:$P$766,"*T*")&gt;0,CJ14&lt;30)),AND('Eval-Après impact'!$A$767=BM20,OR(COUNTIF('Eval-Après impact'!$N$767:$P$767,"*T*")&gt;0,CJ15&lt;30)),AND('Eval-Après impact'!$A$768=BM20,OR(COUNTIF('Eval-Après impact'!$N$768:$P$768,"*T*")&gt;0,CJ16&lt;30)),AND('Eval-Après impact'!$A$769=BM20,OR(COUNTIF('Eval-Après impact'!$N$769:$P$769,"*T*")&gt;0,CJ17&lt;30)),AND('Eval-Après impact'!$A$770=BM20,OR(COUNTIF('Eval-Après impact'!$N$770:$P$770,"*T*")&gt;0,CJ18&lt;30)),AND('Eval-Après impact'!$A$771=BM20,OR(COUNTIF('Eval-Après impact'!$N$771:$P$771,"*T*")&gt;0,CJ19&lt;30)),AND('Eval-Après impact'!$A$772=BM20,OR(COUNTIF('Eval-Après impact'!$N$772:$P$772,"*T*")&gt;0,CJ20&lt;30)),AND('Eval-Après impact'!$A$773=BM20,OR(COUNTIF('Eval-Après impact'!$N$773:$P$773,"*T*")&gt;0,CJ21&lt;30)),AND('Eval-Après impact'!$A$774=BM20,OR(COUNTIF('Eval-Après impact'!$N$774:$P$774,"*T*")&gt;0,CJ22&lt;30)),AND('Eval-Après impact'!$A$775=BM20,OR(COUNTIF('Eval-Après impact'!$N$775:$P$775,"*T*")&gt;0,CJ23&lt;30)),AND('Eval-Après impact'!$A$776=BM20,OR(COUNTIF('Eval-Après impact'!$N$776:$P$776,"*T*")&gt;0,CJ24&lt;30)),AND('Eval-Après impact'!$A$777=BM20,OR(COUNTIF('Eval-Après impact'!$N$777:$P$777,"*T*")&gt;0,CJ25&lt;30)),AND('Eval-Après impact'!$A$778=BM20,OR(COUNTIF('Eval-Après impact'!$N$778:$P$778,"*T*")&gt;0,CJ26&lt;30)),AND('Eval-Après impact'!$A$779=BM20,OR(COUNTIF('Eval-Après impact'!$N$779:$P$779,"*T*")&gt;0,CJ27&lt;30)),AND('Eval-Après impact'!$A$780=BM20,OR(COUNTIF('Eval-Après impact'!$N$780:$P$780,"*T*")&gt;0,CJ28&lt;30))),"",SUM(0.1*(SUMPRODUCT(('Eval-Après impact'!$A$761:$A$780=BM20)*('Eval-Après impact'!$N$761:$P$780="L"))),0.4*(SUMPRODUCT(('Eval-Après impact'!$A$761:$A$780=BM20)*('Eval-Après impact'!$N$761:$P$780="LA"))+SUMPRODUCT(('Eval-Après impact'!$A$761:$A$780=BM20)*('Eval-Après impact'!$N$761:$P$780="LS"))),0.7*(SUMPRODUCT(('Eval-Après impact'!$A$761:$A$780=BM20)*('Eval-Après impact'!$N$761:$P$780="AL"))+SUMPRODUCT(('Eval-Après impact'!$A$761:$A$780=BM20)*('Eval-Après impact'!$N$761:$P$780="SL"))),1*(SUMPRODUCT(('Eval-Après impact'!$A$761:$A$780=BM20)*('Eval-Après impact'!$N$761:$P$780="S"))+ SUMPRODUCT(('Eval-Après impact'!$A$761:$A$780=BM20)*('Eval-Après impact'!$N$761:$P$780="A"))))/(3*COUNTIF('Eval-Après impact'!$A$761:$A$780,BM20))),"")</f>
        <v/>
      </c>
      <c r="CF20" s="211" t="str">
        <f>IF(COUNTIF('Eval-Après impact'!$A$761:$A$780,BM20)&gt;0,IF(OR(AND('Eval-Après impact'!$A$761=BM20,OR(COUNTIF('Eval-Après impact'!$N$761:$P$761,"*T*")&gt;0,CJ9&lt;30)),AND('Eval-Après impact'!$A$762=BM20,OR(COUNTIF('Eval-Après impact'!$N$762:$P$762,"*T*")&gt;0,CJ10&lt;30)),AND('Eval-Après impact'!$A$763=BM20,OR(COUNTIF('Eval-Après impact'!$N$763:$P$763,"*T*")&gt;0,CJ11&lt;30)),AND('Eval-Après impact'!$A$764=BM20,OR(COUNTIF('Eval-Après impact'!$N$764:$P$764,"*T*")&gt;0,CJ12&lt;30)),AND('Eval-Après impact'!$A$765=BM20,OR(COUNTIF('Eval-Après impact'!$N$765:$P$765,"*T*")&gt;0,CJ13&lt;30)),AND('Eval-Après impact'!$A$766=BM20,OR(COUNTIF('Eval-Après impact'!$N$766:$P$766,"*T*")&gt;0,CJ14&lt;30)),AND('Eval-Après impact'!$A$767=BM20,OR(COUNTIF('Eval-Après impact'!$N$767:$P$767,"*T*")&gt;0,CJ15&lt;30)),AND('Eval-Après impact'!$A$768=BM20,OR(COUNTIF('Eval-Après impact'!$N$768:$P$768,"*T*")&gt;0,CJ16&lt;30)),AND('Eval-Après impact'!$A$769=BM20,OR(COUNTIF('Eval-Après impact'!$N$769:$P$769,"*T*")&gt;0,CJ17&lt;30)),AND('Eval-Après impact'!$A$770=BM20,OR(COUNTIF('Eval-Après impact'!$N$770:$P$770,"*T*")&gt;0,CJ18&lt;30)),AND('Eval-Après impact'!$A$771=BM20,OR(COUNTIF('Eval-Après impact'!$N$771:$P$771,"*T*")&gt;0,CJ19&lt;30)),AND('Eval-Après impact'!$A$772=BM20,OR(COUNTIF('Eval-Après impact'!$N$772:$P$772,"*T*")&gt;0,CJ20&lt;30)),AND('Eval-Après impact'!$A$773=BM20,OR(COUNTIF('Eval-Après impact'!$N$773:$P$773,"*T*")&gt;0,CJ21&lt;30)),AND('Eval-Après impact'!$A$774=BM20,OR(COUNTIF('Eval-Après impact'!$N$774:$P$774,"*T*")&gt;0,CJ22&lt;30)),AND('Eval-Après impact'!$A$775=BM20,OR(COUNTIF('Eval-Après impact'!$N$775:$P$775,"*T*")&gt;0,CJ23&lt;30)),AND('Eval-Après impact'!$A$776=BM20,OR(COUNTIF('Eval-Après impact'!$N$776:$P$776,"*T*")&gt;0,CJ24&lt;30)),AND('Eval-Après impact'!$A$777=BM20,OR(COUNTIF('Eval-Après impact'!$N$777:$P$777,"*T*")&gt;0,CJ25&lt;30)),AND('Eval-Après impact'!$A$778=BM20,OR(COUNTIF('Eval-Après impact'!$N$778:$P$778,"*T*")&gt;0,CJ26&lt;30)),AND('Eval-Après impact'!$A$779=BM20,OR(COUNTIF('Eval-Après impact'!$N$779:$P$779,"*T*")&gt;0,CJ27&lt;30)),AND('Eval-Après impact'!$A$780=BM20,OR(COUNTIF('Eval-Après impact'!$N$780:$P$780,"*T*")&gt;0,CJ28&lt;30))),"",SUM(1*(SUMPRODUCT(('Eval-Après impact'!$A$761:$A$780=BM20)*('Eval-Après impact'!$N$761:$P$780="A"))),0.85*(SUMPRODUCT(('Eval-Après impact'!$A$761:$A$780=BM20)*('Eval-Après impact'!$N$761:$P$780="AL"))),0.7*(SUMPRODUCT(('Eval-Après impact'!$A$761:$A$780=BM20)*('Eval-Après impact'!$N$761:$P$780="LA"))),0.55*(SUMPRODUCT(('Eval-Après impact'!$A$761:$A$780=BM20)*('Eval-Après impact'!$N$761:$P$780="L"))),0.4*(SUMPRODUCT(('Eval-Après impact'!$A$761:$A$780=BM20)*('Eval-Après impact'!$N$761:$P$780="LS"))),0.25*(SUMPRODUCT(('Eval-Après impact'!$A$761:$A$780=BM20)*('Eval-Après impact'!$N$761:$P$780="SL"))),0.1*(SUMPRODUCT(('Eval-Après impact'!$A$761:$A$780=BM20)*('Eval-Après impact'!$N$761:$P$780="S"))))/(3*COUNTIF('Eval-Après impact'!$A$761:$A$780,BM20))),"")</f>
        <v/>
      </c>
      <c r="CG20" s="214" t="str">
        <f>IF(COUNTIF('Eval-Après impact'!$A$761:$A$780,BM20)&gt;0,IF(OR(AND('Eval-Après impact'!$A$761=BM20,OR(COUNTIF('Eval-Après impact'!$Q$761:$Y$761,"*T*")&gt;0,CJ9&lt;120)),AND('Eval-Après impact'!$A$762=BM20,OR(COUNTIF('Eval-Après impact'!$Q$762:$Y$762,"*T*")&gt;0,CJ10&lt;120)),AND('Eval-Après impact'!$A$763=BM20,OR(COUNTIF('Eval-Après impact'!$Q$763:$Y$763,"*T*")&gt;0,CJ11&lt;120)),AND('Eval-Après impact'!$A$764=BM20,OR(COUNTIF('Eval-Après impact'!$Q$764:$Y$764,"*T*")&gt;0,CJ12&lt;120)),AND('Eval-Après impact'!$A$765=BM20,OR(COUNTIF('Eval-Après impact'!$Q$765:$Y$765,"*T*")&gt;0,CJ13&lt;120)),AND('Eval-Après impact'!$A$766=BM20,OR(COUNTIF('Eval-Après impact'!$Q$766:$Y$766,"*T*")&gt;0,CJ14&lt;120)),AND('Eval-Après impact'!$A$767=BM20,OR(COUNTIF('Eval-Après impact'!$Q$767:$Y$767,"*T*")&gt;0,CJ15&lt;120)),AND('Eval-Après impact'!$A$768=BM20,OR(COUNTIF('Eval-Après impact'!$Q$768:$Y$768,"*T*")&gt;0,CJ16&lt;120)),AND('Eval-Après impact'!$A$769=BM20,OR(COUNTIF('Eval-Après impact'!$Q$769:$Y$769,"*T*")&gt;0,CJ17&lt;120)),AND('Eval-Après impact'!$A$770=BM20,OR(COUNTIF('Eval-Après impact'!$Q$770:$Y$770,"*T*")&gt;0,CJ18&lt;120)),AND('Eval-Après impact'!$A$771=BM20,OR(COUNTIF('Eval-Après impact'!$Q$771:$Y$771,"*T*")&gt;0,CJ19&lt;120)),AND('Eval-Après impact'!$A$772=BM20,OR(COUNTIF('Eval-Après impact'!$Q$772:$Y$772,"*T*")&gt;0,CJ20&lt;120)),AND('Eval-Après impact'!$A$773=BM20,OR(COUNTIF('Eval-Après impact'!$Q$773:$Y$773,"*T*")&gt;0,CJ21&lt;120)),AND('Eval-Après impact'!$A$774=BM20,OR(COUNTIF('Eval-Après impact'!$Q$774:$Y$774,"*T*")&gt;0,CJ22&lt;120)),AND('Eval-Après impact'!$A$775=BM20,OR(COUNTIF('Eval-Après impact'!$Q$775:$Y$775,"*T*")&gt;0,CJ23&lt;120)),AND('Eval-Après impact'!$A$776=BM20,OR(COUNTIF('Eval-Après impact'!$Q$776:$Y$776,"*T*")&gt;0,CJ24&lt;120)),AND('Eval-Après impact'!$A$777=BM20,OR(COUNTIF('Eval-Après impact'!$Q$777:$Y$777,"*T*")&gt;0,CJ25&lt;120)),AND('Eval-Après impact'!$A$778=BM20,OR(COUNTIF('Eval-Après impact'!$Q$778:$Y$778,"*T*")&gt;0,CJ26&lt;120)),AND('Eval-Après impact'!$A$779=BM20,OR(COUNTIF('Eval-Après impact'!$Q$779:$Y$779,"*T*")&gt;0,CJ27&lt;120)),AND('Eval-Après impact'!$A$780=BM20,OR(COUNTIF('Eval-Après impact'!$Q$780:$Y$780,"*T*")&gt;0,CJ28&lt;120))),"",SUM(1*(SUMPRODUCT(('Eval-Après impact'!$A$761:$A$780=BM20)*('Eval-Après impact'!$Q$761:$Y$780="A"))),0.85*(SUMPRODUCT(('Eval-Après impact'!$A$761:$A$780=BM20)*('Eval-Après impact'!$Q$761:$Y$780="AL"))),0.7*(SUMPRODUCT(('Eval-Après impact'!$A$761:$A$780=BM20)*('Eval-Après impact'!$Q$761:$Y$780="LA"))),0.55*(SUMPRODUCT(('Eval-Après impact'!$A$761:$A$780=BM20)*('Eval-Après impact'!$Q$761:$Y$780="L"))),0.4*(SUMPRODUCT(('Eval-Après impact'!$A$761:$A$780=BM20)*('Eval-Après impact'!$Q$761:$Y$780="LS"))),0.25*(SUMPRODUCT(('Eval-Après impact'!$A$761:$A$780=BM20)*('Eval-Après impact'!$Q$761:$Y$780="SL"))),0.1*(SUMPRODUCT(('Eval-Après impact'!$A$761:$A$780=BM20)*('Eval-Après impact'!$Q$761:$Y$780="S"))))/(9*COUNTIF('Eval-Après impact'!$A$761:$A$780,BM20))),"")</f>
        <v/>
      </c>
      <c r="CH20" s="215"/>
      <c r="CI20" s="216">
        <f>'Eval-Après impact'!$D$772</f>
        <v>12</v>
      </c>
      <c r="CJ20" s="217" t="str">
        <f>IF(CK20="C",0,IF(IF(COUNTIF('Eval-Après impact'!$N$772:$Y$772,"=C")&gt;0,(COUNTA('Eval-Après impact'!$N$772:$Y$772)-1)*10,COUNTA('Eval-Après impact'!$N$772:$Y$772)*10)=0,"",IF(COUNTIF('Eval-Après impact'!$N$772:$Y$772,"=C")&gt;0,(COUNTA('Eval-Après impact'!$N$772:$Y$772)-1)*10,COUNTA('Eval-Après impact'!$N$772:$Y$772)*10)))</f>
        <v/>
      </c>
      <c r="CK20" s="217" t="str">
        <f>CONCATENATE('Eval-Après impact'!$N$772,'Eval-Après impact'!$O$772,'Eval-Après impact'!$P$772,'Eval-Après impact'!$Q$772,'Eval-Après impact'!$R$772,'Eval-Après impact'!$S$772,'Eval-Après impact'!$T$772,'Eval-Après impact'!$U$772,'Eval-Après impact'!$V$772,'Eval-Après impact'!$W$772,'Eval-Après impact'!$X$772,'Eval-Après impact'!$Y$772)</f>
        <v/>
      </c>
      <c r="CL20" s="217" t="str">
        <f t="shared" si="8"/>
        <v/>
      </c>
      <c r="CM20" s="217" t="str">
        <f t="shared" si="9"/>
        <v/>
      </c>
      <c r="CN20" s="217" t="str">
        <f>IF(COUNTIF('Eval-Après impact'!$N$772:$Y$772,"=C")&gt;0,"X","")</f>
        <v/>
      </c>
      <c r="CO20" s="217" t="str">
        <f t="shared" si="10"/>
        <v/>
      </c>
      <c r="CP20" s="218" t="str">
        <f t="shared" si="11"/>
        <v/>
      </c>
      <c r="CQ20" s="197"/>
      <c r="CS20" s="210">
        <v>12</v>
      </c>
      <c r="CT20" s="211" t="str">
        <f>IF(COUNTIF('Eval-Avant action écologique'!$A$761:$A$780,CS20)&gt;0,SUM(IF('Eval-Avant action écologique'!$A$761=CS20,'Eval-Avant action écologique'!$B$761,0),IF('Eval-Avant action écologique'!$A$762=CS20, 'Eval-Avant action écologique'!$B$762,0),IF('Eval-Avant action écologique'!$A$763=CS20, 'Eval-Avant action écologique'!$B$763,0),IF('Eval-Avant action écologique'!$A$764=CS20, 'Eval-Avant action écologique'!$B$764,0),IF('Eval-Avant action écologique'!$A$765=CS20, 'Eval-Avant action écologique'!$B$765,0),IF('Eval-Avant action écologique'!$A$766=CS20, 'Eval-Avant action écologique'!$B$766,0),IF('Eval-Avant action écologique'!$A$767=CS20, 'Eval-Avant action écologique'!$B$767,0),IF('Eval-Avant action écologique'!$A$768=CS20, 'Eval-Avant action écologique'!$B$768,0),IF('Eval-Avant action écologique'!$A$769=CS20, 'Eval-Avant action écologique'!$B$769,0),IF('Eval-Avant action écologique'!$A$770=CS20, 'Eval-Avant action écologique'!$B$770,0),IF('Eval-Avant action écologique'!$A$771=CS20, 'Eval-Avant action écologique'!$B$771,0),IF('Eval-Avant action écologique'!$A$772=CS20, 'Eval-Avant action écologique'!$B$772,0),IF('Eval-Avant action écologique'!$A$773=CS20, 'Eval-Avant action écologique'!$B$773,0),IF('Eval-Avant action écologique'!$A$774=CS20, 'Eval-Avant action écologique'!$B$774,0),IF('Eval-Avant action écologique'!$A$775=CS20, 'Eval-Avant action écologique'!$B$775,0),IF('Eval-Avant action écologique'!$A$776=CS20, 'Eval-Avant action écologique'!$B$776,0),IF('Eval-Avant action écologique'!$A$777=CS20, 'Eval-Avant action écologique'!$B$777,0),IF('Eval-Avant action écologique'!$A$778=CS20, 'Eval-Avant action écologique'!$B$778,0),IF('Eval-Avant action écologique'!$A$779=CS20, 'Eval-Avant action écologique'!$B$779,0),IF('Eval-Avant action écologique'!$A$780=CS20, 'Eval-Avant action écologique'!$B$780,0))/COUNTIF('Eval-Avant action écologique'!$A$761:$A$780,CS20),"")</f>
        <v/>
      </c>
      <c r="CU20" s="212" t="str">
        <f>IF(COUNTIF('Eval-Avant action écologique'!$A$761:$A$780,CS20)&gt;0,COUNTIF('Eval-Avant action écologique'!$A$761:$A$780,CS20),"")</f>
        <v/>
      </c>
      <c r="CV20" s="211" t="str">
        <f>IF(COUNTIF('Eval-Avant action écologique'!$A$761:$A$780,CS20)&gt;0,IF(OR(AND('Eval-Avant action écologique'!$A$761=CS20, 'Eval-Avant action écologique'!$G$761=""),AND('Eval-Avant action écologique'!$A$762=CS20, 'Eval-Avant action écologique'!$G$762=""),AND('Eval-Avant action écologique'!$A$763=CS20, 'Eval-Avant action écologique'!$G$763=""),AND('Eval-Avant action écologique'!$A$764=CS20, 'Eval-Avant action écologique'!$G$764=""),AND('Eval-Avant action écologique'!$A$765=CS20, 'Eval-Avant action écologique'!$G$765=""),AND('Eval-Avant action écologique'!$A$766=CS20, 'Eval-Avant action écologique'!$G$766=""),AND('Eval-Avant action écologique'!$A$767=CS20, 'Eval-Avant action écologique'!$G$767=""),AND('Eval-Avant action écologique'!$A$768=CS20, 'Eval-Avant action écologique'!$G$768=""),AND('Eval-Avant action écologique'!$A$769=CS20, 'Eval-Avant action écologique'!$G$769=""),AND('Eval-Avant action écologique'!$A$770=CS20, 'Eval-Avant action écologique'!$G$770=""),AND('Eval-Avant action écologique'!$A$771=CS20, 'Eval-Avant action écologique'!$G$771=""),AND('Eval-Avant action écologique'!$A$772=CS20, 'Eval-Avant action écologique'!$G$772=""),AND('Eval-Avant action écologique'!$A$773=CS20, 'Eval-Avant action écologique'!$G$773=""),AND('Eval-Avant action écologique'!$A$774=CS20, 'Eval-Avant action écologique'!$G$774=""),AND('Eval-Avant action écologique'!$A$775=CS20, 'Eval-Avant action écologique'!$G$775=""),AND('Eval-Avant action écologique'!$A$776=CS20, 'Eval-Avant action écologique'!$G$776=""),AND('Eval-Avant action écologique'!$A$777=CS20, 'Eval-Avant action écologique'!$G$777=""),AND('Eval-Avant action écologique'!$A$778=CS20, 'Eval-Avant action écologique'!$G$778=""),AND('Eval-Avant action écologique'!$A$779=CS20, 'Eval-Avant action écologique'!$G$779=""),AND('Eval-Avant action écologique'!$A$780=CS20, 'Eval-Avant action écologique'!$G$780="")),"",SUM(IF('Eval-Avant action écologique'!$A$761=CS20,'Eval-Avant action écologique'!$G$761,0),IF('Eval-Avant action écologique'!$A$762=CS20,'Eval-Avant action écologique'!$G$762,0),IF('Eval-Avant action écologique'!$A$763=CS20,'Eval-Avant action écologique'!$G$763,0),IF('Eval-Avant action écologique'!$A$764=CS20,'Eval-Avant action écologique'!$G$764,0),IF('Eval-Avant action écologique'!$A$765=CS20,'Eval-Avant action écologique'!$G$765,0),IF('Eval-Avant action écologique'!$A$766=CS20,'Eval-Avant action écologique'!$G$766,0),IF('Eval-Avant action écologique'!$A$767=CS20,'Eval-Avant action écologique'!$G$767,0),IF('Eval-Avant action écologique'!$A$768=CS20,'Eval-Avant action écologique'!$G$768,0),IF('Eval-Avant action écologique'!$A$769=CS20,'Eval-Avant action écologique'!$G$769,0),IF('Eval-Avant action écologique'!$A$770=CS20,'Eval-Avant action écologique'!$G$770,0),IF('Eval-Avant action écologique'!$A$771=CS20,'Eval-Avant action écologique'!$G$771,0),IF('Eval-Avant action écologique'!$A$772=CS20,'Eval-Avant action écologique'!$G$772,0),IF('Eval-Avant action écologique'!$A$773=CS20,'Eval-Avant action écologique'!$G$773,0),IF('Eval-Avant action écologique'!$A$774=CS20,'Eval-Avant action écologique'!$G$774,0),IF('Eval-Avant action écologique'!$A$775=CS20,'Eval-Avant action écologique'!$G$775,0), IF('Eval-Avant action écologique'!$A$776=CS20,'Eval-Avant action écologique'!$G$776,0), IF('Eval-Avant action écologique'!$A$777=CS20,'Eval-Avant action écologique'!$G$777,0), IF('Eval-Avant action écologique'!$A$778=CS20,'Eval-Avant action écologique'!$G$778,0), IF('Eval-Avant action écologique'!$A$779=CS20,'Eval-Avant action écologique'!$G$779,0), IF('Eval-Avant action écologique'!$A$780=CS20,'Eval-Avant action écologique'!$G$780,0))/ COUNTIF('Eval-Avant action écologique'!$A$761:$A$780,CS20)),"")</f>
        <v/>
      </c>
      <c r="CW20" s="212" t="str">
        <f>IF(COUNTIF('Eval-Avant action écologique'!$A$761:$A$780,CS20)&gt;0,IF(SUM(IF('Eval-Avant action écologique'!$A$761=CS20,COUNTA('Eval-Avant action écologique'!$H$761),0),IF('Eval-Avant action écologique'!$A$762=CS20,COUNTA('Eval-Avant action écologique'!$H$762),0),IF('Eval-Avant action écologique'!$A$763=CS20,COUNTA('Eval-Avant action écologique'!$H$763),0),IF('Eval-Avant action écologique'!$A$764=CS20,COUNTA('Eval-Avant action écologique'!$H$764),0),IF('Eval-Avant action écologique'!$A$765=CS20,COUNTA('Eval-Avant action écologique'!$H$765),0),IF('Eval-Avant action écologique'!$A$766=CS20,COUNTA('Eval-Avant action écologique'!$H$766),0),IF('Eval-Avant action écologique'!$A$767=CS20,COUNTA('Eval-Avant action écologique'!$H$767),0),IF('Eval-Avant action écologique'!$A$768=CS20,COUNTA('Eval-Avant action écologique'!$H$768),0),IF('Eval-Avant action écologique'!$A$769=CS20,COUNTA('Eval-Avant action écologique'!$H$769),0),IF('Eval-Avant action écologique'!$A$770=CS20,COUNTA('Eval-Avant action écologique'!$H$770),0),IF('Eval-Avant action écologique'!$A$771=CS20,COUNTA('Eval-Avant action écologique'!$H$771),0),IF('Eval-Avant action écologique'!$A$772=CS20,COUNTA('Eval-Avant action écologique'!$H$772),0),IF('Eval-Avant action écologique'!$A$773=CS20,COUNTA('Eval-Avant action écologique'!$H$773),0),IF('Eval-Avant action écologique'!$A$774=CS20,COUNTA('Eval-Avant action écologique'!$H$774),0),IF('Eval-Avant action écologique'!$A$775=CS20,COUNTA('Eval-Avant action écologique'!$H$775),0),IF('Eval-Avant action écologique'!$A$776=CS20,COUNTA('Eval-Avant action écologique'!$H$776),0),IF('Eval-Avant action écologique'!$A$777=CS20,COUNTA('Eval-Avant action écologique'!$H$777),0),IF('Eval-Avant action écologique'!$A$778=CS20,COUNTA('Eval-Avant action écologique'!$H$778),0),IF('Eval-Avant action écologique'!$A$779=CS20,COUNTA('Eval-Avant action écologique'!$H$779),0),IF('Eval-Avant action écologique'!$A$780=CS20,COUNTA('Eval-Avant action écologique'!$H$780),0))&gt;0,"X",0),"")</f>
        <v/>
      </c>
      <c r="CX20" s="213" t="str">
        <f>IF(COUNTIF('Eval-Avant action écologique'!$A$761:$A$780,CS20)&gt;0,IF(SUM(IF('Eval-Avant action écologique'!$A$761=CS20,COUNTA('Eval-Avant action écologique'!$I$761),0),IF('Eval-Avant action écologique'!$A$762=CS20,COUNTA('Eval-Avant action écologique'!$I$762),0),IF('Eval-Avant action écologique'!$A$763=CS20,COUNTA('Eval-Avant action écologique'!$I$763),0),IF('Eval-Avant action écologique'!$A$764=CS20,COUNTA('Eval-Avant action écologique'!$I$764),0),IF('Eval-Avant action écologique'!$A$765=CS20,COUNTA('Eval-Avant action écologique'!$I$765),0),IF('Eval-Avant action écologique'!$A$766=CS20,COUNTA('Eval-Avant action écologique'!$I$766),0),IF('Eval-Avant action écologique'!$A$767=CS20,COUNTA('Eval-Avant action écologique'!$I$767),0),IF('Eval-Avant action écologique'!$A$768=CS20,COUNTA('Eval-Avant action écologique'!$I$768),0),IF('Eval-Avant action écologique'!$A$769=CS20,COUNTA('Eval-Avant action écologique'!$I$769),0),IF('Eval-Avant action écologique'!$A$770=CS20,COUNTA('Eval-Avant action écologique'!$I$770),0),IF('Eval-Avant action écologique'!$A$771=CS20,COUNTA('Eval-Avant action écologique'!$I$771),0),IF('Eval-Avant action écologique'!$A$772=CS20,COUNTA('Eval-Avant action écologique'!$I$772),0),IF('Eval-Avant action écologique'!$A$773=CS20,COUNTA('Eval-Avant action écologique'!$I$773),0),IF('Eval-Avant action écologique'!$A$774=CS20,COUNTA('Eval-Avant action écologique'!$I$774),0),IF('Eval-Avant action écologique'!$A$775=CS20,COUNTA('Eval-Avant action écologique'!$I$775),0),IF('Eval-Avant action écologique'!$A$776=CS20,COUNTA('Eval-Avant action écologique'!$I$776),0),IF('Eval-Avant action écologique'!$A$777=CS20,COUNTA('Eval-Avant action écologique'!$I$777),0),IF('Eval-Avant action écologique'!$A$778=CS20,COUNTA('Eval-Avant action écologique'!$I$778),0),IF('Eval-Avant action écologique'!$A$779=CS20,COUNTA('Eval-Avant action écologique'!$I$779),0),IF('Eval-Avant action écologique'!$A$780=CS20,COUNTA('Eval-Avant action écologique'!$I$780),0))&gt;0,"X",0),"")</f>
        <v/>
      </c>
      <c r="CY20" s="213" t="str">
        <f>IF(COUNTIF('Eval-Avant action écologique'!$A$761:$A$780,CS20)&gt;0,IF(SUM(IF('Eval-Avant action écologique'!$A$761=CS20,COUNTA('Eval-Avant action écologique'!$J$761),0),IF('Eval-Avant action écologique'!$A$762=CS20,COUNTA('Eval-Avant action écologique'!$J$762),0),IF('Eval-Avant action écologique'!$A$763=CS20,COUNTA('Eval-Avant action écologique'!$J$763),0),IF('Eval-Avant action écologique'!$A$764=CS20,COUNTA('Eval-Avant action écologique'!$J$764),0),IF('Eval-Avant action écologique'!$A$765=CS20,COUNTA('Eval-Avant action écologique'!$J$765),0),IF('Eval-Avant action écologique'!$A$766=CS20,COUNTA('Eval-Avant action écologique'!$J$766),0),IF('Eval-Avant action écologique'!$A$767=CS20,COUNTA('Eval-Avant action écologique'!$J$767),0),IF('Eval-Avant action écologique'!$A$768=CS20,COUNTA('Eval-Avant action écologique'!$J$768),0),IF('Eval-Avant action écologique'!$A$769=CS20,COUNTA('Eval-Avant action écologique'!$J$769),0),IF('Eval-Avant action écologique'!$A$770=CS20,COUNTA('Eval-Avant action écologique'!$J$770),0),IF('Eval-Avant action écologique'!$A$771=CS20,COUNTA('Eval-Avant action écologique'!$J$771),0),IF('Eval-Avant action écologique'!$A$772=CS20,COUNTA('Eval-Avant action écologique'!$J$772),0),IF('Eval-Avant action écologique'!$A$773=CS20,COUNTA('Eval-Avant action écologique'!$J$773),0),IF('Eval-Avant action écologique'!$A$774=CS20,COUNTA('Eval-Avant action écologique'!$J$774),0),IF('Eval-Avant action écologique'!$A$775=CS20,COUNTA('Eval-Avant action écologique'!$J$775),0),IF('Eval-Avant action écologique'!$A$776=CS20,COUNTA('Eval-Avant action écologique'!$J$776),0),IF('Eval-Avant action écologique'!$A$777=CS20,COUNTA('Eval-Avant action écologique'!$J$777),0),IF('Eval-Avant action écologique'!$A$778=CS20,COUNTA('Eval-Avant action écologique'!$J$778),0),IF('Eval-Avant action écologique'!$A$779=CS20,COUNTA('Eval-Avant action écologique'!$J$779),0),IF('Eval-Avant action écologique'!$A$780=CS20,COUNTA('Eval-Avant action écologique'!$J$780),0))&gt;0,"X",0),"")</f>
        <v/>
      </c>
      <c r="CZ20" s="213" t="str">
        <f>IF(COUNTIF('Eval-Avant action écologique'!$A$761:$A$780,CS20)&gt;0,IF(SUM(IF('Eval-Avant action écologique'!$A$761=CS20,COUNTA('Eval-Avant action écologique'!$K$761),0),IF('Eval-Avant action écologique'!$A$762=CS20,COUNTA('Eval-Avant action écologique'!$K$762),0),IF('Eval-Avant action écologique'!$A$763=CS20,COUNTA('Eval-Avant action écologique'!$K$763),0),IF('Eval-Avant action écologique'!$A$764=CS20,COUNTA('Eval-Avant action écologique'!$K$764),0),IF('Eval-Avant action écologique'!$A$765=CS20,COUNTA('Eval-Avant action écologique'!$K$765),0),IF('Eval-Avant action écologique'!$A$766=CS20,COUNTA('Eval-Avant action écologique'!$K$766),0),IF('Eval-Avant action écologique'!$A$767=CS20,COUNTA('Eval-Avant action écologique'!$K$767),0),IF('Eval-Avant action écologique'!$A$768=CS20,COUNTA('Eval-Avant action écologique'!$K$768),0),IF('Eval-Avant action écologique'!$A$769=CS20,COUNTA('Eval-Avant action écologique'!$K$769),0),IF('Eval-Avant action écologique'!$A$770=CS20,COUNTA('Eval-Avant action écologique'!$K$770),0),IF('Eval-Avant action écologique'!$A$771=CS20,COUNTA('Eval-Avant action écologique'!$K$771),0),IF('Eval-Avant action écologique'!$A$772=CS20,COUNTA('Eval-Avant action écologique'!$K$772),0),IF('Eval-Avant action écologique'!$A$773=CS20,COUNTA('Eval-Avant action écologique'!$K$773),0),IF('Eval-Avant action écologique'!$A$774=CS20,COUNTA('Eval-Avant action écologique'!$K$774),0),IF('Eval-Avant action écologique'!$A$775=CS20,COUNTA('Eval-Avant action écologique'!$K$775),0),IF('Eval-Avant action écologique'!$A$776=CS20,COUNTA('Eval-Avant action écologique'!$K$776),0),IF('Eval-Avant action écologique'!$A$777=CS20,COUNTA('Eval-Avant action écologique'!$K$777),0),IF('Eval-Avant action écologique'!$A$778=CS20,COUNTA('Eval-Avant action écologique'!$K$778),0),IF('Eval-Avant action écologique'!$A$779=CS20,COUNTA('Eval-Avant action écologique'!$K$779),0),IF('Eval-Avant action écologique'!$A$780=CS20,COUNTA('Eval-Avant action écologique'!$K$780),0))&gt;0,"X",0),"")</f>
        <v/>
      </c>
      <c r="DA20" s="211" t="str">
        <f>IF(COUNTIF('Eval-Avant action écologique'!$A$761:$A$780,CS20)&gt;0,IF(OR(AND('Eval-Avant action écologique'!$A$761=CS20,'Eval-Avant action écologique'!$L$761&lt;120,'Eval-Avant action écologique'!$L$761&gt;=DP9),AND('Eval-Avant action écologique'!$A$762=CS20,'Eval-Avant action écologique'!$L$762&lt;120,'Eval-Avant action écologique'!$L$762&gt;=DP10),AND('Eval-Avant action écologique'!$A$763=CS20,'Eval-Avant action écologique'!$L$763&lt;120,'Eval-Avant action écologique'!$L$763&gt;=DP11),AND('Eval-Avant action écologique'!$A$764=CS20,'Eval-Avant action écologique'!$L$764&lt;120,'Eval-Avant action écologique'!$L$764&gt;=DP12),AND('Eval-Avant action écologique'!$A$765=CS20,'Eval-Avant action écologique'!$L$765&lt;120,'Eval-Avant action écologique'!$L$765&gt;=DP13),AND('Eval-Avant action écologique'!$A$766=CS20,'Eval-Avant action écologique'!$L$766&lt;120,'Eval-Avant action écologique'!$L$766&gt;=DP14),AND('Eval-Avant action écologique'!$A$767=CS20,'Eval-Avant action écologique'!$L$767&lt;120,'Eval-Avant action écologique'!$L$767&gt;=DP15),AND('Eval-Avant action écologique'!$A$768=CS20,'Eval-Avant action écologique'!$L$768&lt;120,'Eval-Avant action écologique'!$L$768&gt;=DP16),AND('Eval-Avant action écologique'!$A$769=CS20,'Eval-Avant action écologique'!$L$769&lt;120,'Eval-Avant action écologique'!$L$769&gt;=DP17),AND('Eval-Avant action écologique'!$A$770=CS20,'Eval-Avant action écologique'!$L$770&lt;120,'Eval-Avant action écologique'!$L$770&gt;=DP18),AND('Eval-Avant action écologique'!$A$771=CS20,'Eval-Avant action écologique'!$L$771&lt;120,'Eval-Avant action écologique'!$L$771&gt;=DP19),AND('Eval-Avant action écologique'!$A$772=CS20,'Eval-Avant action écologique'!$L$772&lt;120,'Eval-Avant action écologique'!$L$772&gt;=DP20),AND('Eval-Avant action écologique'!$A$773=CS20,'Eval-Avant action écologique'!$L$773&lt;120,'Eval-Avant action écologique'!$L$773&gt;=DP21),AND('Eval-Avant action écologique'!$A$774=CS20,'Eval-Avant action écologique'!$L$774&lt;120,'Eval-Avant action écologique'!$L$774&gt;=DP22),AND('Eval-Avant action écologique'!$A$775=CS20,'Eval-Avant action écologique'!$L$775&lt;120,'Eval-Avant action écologique'!$L$775&gt;=DP23),AND('Eval-Avant action écologique'!$A$776=CS20,'Eval-Avant action écologique'!$L$776&lt;120,'Eval-Avant action écologique'!$L$776&gt;=DP24),AND('Eval-Avant action écologique'!$A$777=CS20,'Eval-Avant action écologique'!$L$777&lt;120,'Eval-Avant action écologique'!$L$777&gt;=DP25),AND('Eval-Avant action écologique'!$A$778=CS20,'Eval-Avant action écologique'!$L$778&lt;120,'Eval-Avant action écologique'!$L$778&gt;=DP26),AND('Eval-Avant action écologique'!$A$779=CS20,'Eval-Avant action écologique'!$L$779&lt;120,'Eval-Avant action écologique'!$L$779&gt;=DP27),AND('Eval-Avant action écologique'!$A$780=CS20,'Eval-Avant action écologique'!$L$780&lt;120,'Eval-Avant action écologique'!$L$780&gt;=DP28)),"",SUM(IF('Eval-Avant action écologique'!$A$761=CS20,'Eval-Avant action écologique'!$L$761,0),IF('Eval-Avant action écologique'!$A$762=CS20,'Eval-Avant action écologique'!$L$762,0),IF('Eval-Avant action écologique'!$A$763=CS20,'Eval-Avant action écologique'!$L$763,0),IF('Eval-Avant action écologique'!$A$764=CS20,'Eval-Avant action écologique'!$L$764,0),IF('Eval-Avant action écologique'!$A$765=CS20,'Eval-Avant action écologique'!$L$765,0),IF('Eval-Avant action écologique'!$A$766=CS20,'Eval-Avant action écologique'!$L$766,0),IF('Eval-Avant action écologique'!$A$767=CS20,'Eval-Avant action écologique'!$L$767,0),IF('Eval-Avant action écologique'!$A$768=CS20,'Eval-Avant action écologique'!$L$768,0),IF('Eval-Avant action écologique'!$A$769=CS20,'Eval-Avant action écologique'!$L$769,0),IF('Eval-Avant action écologique'!$A$770=CS20,'Eval-Avant action écologique'!$L$770,0),IF('Eval-Avant action écologique'!$A$771=CS20,'Eval-Avant action écologique'!$L$771,0),IF('Eval-Avant action écologique'!$A$772=CS20,'Eval-Avant action écologique'!$L$772,0),IF('Eval-Avant action écologique'!$A$773=CS20,'Eval-Avant action écologique'!$L$773,0),IF('Eval-Avant action écologique'!$A$774=CS20,'Eval-Avant action écologique'!$L$774,0),IF('Eval-Avant action écologique'!$A$775=CS20,'Eval-Avant action écologique'!$L$775,0),IF('Eval-Avant action écologique'!$A$776=CS20,'Eval-Avant action écologique'!$L$776,0),IF('Eval-Avant action écologique'!$A$777=CS20,'Eval-Avant action écologique'!$L$777,0),IF('Eval-Avant action écologique'!$A$778=CS20,'Eval-Avant action écologique'!$L$778,0),IF('Eval-Avant action écologique'!$A$779=CS20,'Eval-Avant action écologique'!$L$779,0),IF('Eval-Avant action écologique'!$A$780=CS20,'Eval-Avant action écologique'!$L$780,0))/ COUNTIF('Eval-Avant action écologique'!$A$761:$A$780,CS20)),"")</f>
        <v/>
      </c>
      <c r="DB20" s="211" t="str">
        <f>IF(COUNTIF('Eval-Avant action écologique'!$A$761:$A$780,CS20)&gt;0,IF(OR(AND('Eval-Avant action écologique'!$A$761=CS20, DP9&lt;120),AND(DP10&lt;120),AND(DP11&lt;120),AND(DP12&lt;120),AND(DP13&lt;120),AND(DP14&lt;120),AND(DP15&lt;120),AND(DP16&lt;120),AND(DP17&lt;120),AND(DP18&lt;120),AND(DP19&lt;120),AND(DP20&lt;120),AND(DP21&lt;120),AND(DP22&lt;120),AND(DP23&lt;120),AND(DP24&lt;120),AND(DP25&lt;120),AND(DP26&lt;120),AND(DP27&lt;120),AND(DP28&lt;120)),"",SUM(IF('Eval-Avant action écologique'!$A$761=CS20,'Eval-Avant action écologique'!$M$761,0),IF('Eval-Avant action écologique'!$A$762=CS20,'Eval-Avant action écologique'!$M$762,0),IF('Eval-Avant action écologique'!$A$763=CS20,'Eval-Avant action écologique'!$M$763,0),IF('Eval-Avant action écologique'!$A$764=CS20,'Eval-Avant action écologique'!$M$764,0),IF('Eval-Avant action écologique'!$A$765=CS20,'Eval-Avant action écologique'!$M$765,0),IF('Eval-Avant action écologique'!$A$766=CS20,'Eval-Avant action écologique'!$M$766,0),IF('Eval-Avant action écologique'!$A$767=CS20,'Eval-Avant action écologique'!$M$767,0),IF('Eval-Avant action écologique'!$A$768=CS20,'Eval-Avant action écologique'!$M$768,0),IF('Eval-Avant action écologique'!$A$769=CS20,'Eval-Avant action écologique'!$M$769,0),IF('Eval-Avant action écologique'!$A$770=CS20,'Eval-Avant action écologique'!$M$770,0),IF('Eval-Avant action écologique'!$A$771=CS20,'Eval-Avant action écologique'!$M$771,0),IF('Eval-Avant action écologique'!$A$772=CS20,'Eval-Avant action écologique'!$M$772,0),IF('Eval-Avant action écologique'!$A$773=CS20,'Eval-Avant action écologique'!$M$773,0),IF('Eval-Avant action écologique'!$A$774=CS20,'Eval-Avant action écologique'!$M$774,0),IF('Eval-Avant action écologique'!$A$775=CS20,'Eval-Avant action écologique'!$M$775,0), IF('Eval-Avant action écologique'!$A$776=CS20,'Eval-Avant action écologique'!$M$776,0), IF('Eval-Avant action écologique'!$A$777=CS20,'Eval-Avant action écologique'!$M$777,0), IF('Eval-Avant action écologique'!$A$778=CS20,'Eval-Avant action écologique'!$M$778,0), IF('Eval-Avant action écologique'!$A$779=CS20,'Eval-Avant action écologique'!$M$779,0), IF('Eval-Avant action écologique'!$A$780=CS20,'Eval-Avant action écologique'!$M$780,0))/COUNTIF('Eval-Avant action écologique'!$A$761:$A$780,CS20)),"")</f>
        <v/>
      </c>
      <c r="DC20" s="211" t="str">
        <f>IF(COUNTIF('Eval-Avant action écologique'!$A$761:$A$780,CS20)&gt;0,SUM(IF('Eval-Avant action écologique'!$A$761=CS20,LEN(SUBSTITUTE((SUBSTITUTE(DR9,"TM","")),"TS",""))*10/2,0),IF('Eval-Avant action écologique'!$A$762=CS20,LEN(SUBSTITUTE((SUBSTITUTE(DR10,"TM","")),"TS",""))*10/2,0),IF('Eval-Avant action écologique'!$A$763=CS20,LEN(SUBSTITUTE((SUBSTITUTE(DR11,"TM","")),"TS",""))*10/2,0),IF('Eval-Avant action écologique'!$A$764=CS20,LEN(SUBSTITUTE((SUBSTITUTE(DR12,"TM","")),"TS",""))*10/2,0),IF('Eval-Avant action écologique'!$A$765=CS20,LEN(SUBSTITUTE((SUBSTITUTE(DR13,"TM","")),"TS",""))*10/2,0),IF('Eval-Avant action écologique'!$A$766=CS20,LEN(SUBSTITUTE((SUBSTITUTE(DR14,"TM","")),"TS",""))*10/2,0),IF('Eval-Avant action écologique'!$A$767=CS20,LEN(SUBSTITUTE((SUBSTITUTE(DR15,"TM","")),"TS",""))*10/2,0),IF('Eval-Avant action écologique'!$A$768=CS20,LEN(SUBSTITUTE((SUBSTITUTE(DR16,"TM","")),"TS",""))*10/2,0),IF('Eval-Avant action écologique'!$A$769=CS20,LEN(SUBSTITUTE((SUBSTITUTE(DR17,"TM","")),"TS",""))*10/2,0),IF('Eval-Avant action écologique'!$A$770=CS20,LEN(SUBSTITUTE((SUBSTITUTE(DR18,"TM","")),"TS",""))*10/2,0),IF('Eval-Avant action écologique'!$A$771=CS20,LEN(SUBSTITUTE((SUBSTITUTE(DR19,"TM","")),"TS",""))*10/2,0),IF('Eval-Avant action écologique'!$A$772=CS20,LEN(SUBSTITUTE((SUBSTITUTE(DR20,"TM","")),"TS",""))*10/2,0),IF('Eval-Avant action écologique'!$A$773=CS20,LEN(SUBSTITUTE((SUBSTITUTE(DR21,"TM","")),"TS",""))*10/2,0),IF('Eval-Avant action écologique'!$A$774=CS20,LEN(SUBSTITUTE((SUBSTITUTE(DR22,"TM","")),"TS",""))*10/2,0),IF('Eval-Avant action écologique'!$A$775=CS20,LEN(SUBSTITUTE((SUBSTITUTE(DR23,"TM","")),"TS",""))*10/2,0),IF('Eval-Avant action écologique'!$A$776=CS20,LEN(SUBSTITUTE((SUBSTITUTE(DR24,"TM","")),"TS",""))*10/2,0),IF('Eval-Avant action écologique'!$A$777=CS20,LEN(SUBSTITUTE((SUBSTITUTE(DR25,"TM","")),"TS",""))*10/2,0),IF('Eval-Avant action écologique'!$A$778=CS20,LEN(SUBSTITUTE((SUBSTITUTE(DR26,"TM","")),"TS",""))*10/2,0),IF('Eval-Avant action écologique'!$A$779=CS20,LEN(SUBSTITUTE((SUBSTITUTE(DR27,"TM","")),"TS",""))*10/2,0),IF('Eval-Avant action écologique'!$A$780=CS20,LEN(SUBSTITUTE((SUBSTITUTE(DR28,"TM","")),"TS",""))*10/2,0))/COUNTIF('Eval-Avant action écologique'!$A$761:$A$780,CS20),"")</f>
        <v/>
      </c>
      <c r="DD20" s="211" t="str">
        <f>IF(COUNTIF('Eval-Avant action écologique'!$A$761:$A$780,CS20)&gt;0,SUM(IF('Eval-Avant action écologique'!$A$761=CS20,LEN(SUBSTITUTE((SUBSTITUTE(DR9,"TF","")),"TS",""))*10/2,0),IF('Eval-Avant action écologique'!$A$762=CS20,LEN(SUBSTITUTE((SUBSTITUTE(DR10,"TF","")),"TS",""))*10/2,0),IF('Eval-Avant action écologique'!$A$763=CS20,LEN(SUBSTITUTE((SUBSTITUTE(DR11,"TF","")),"TS",""))*10/2,0),IF('Eval-Avant action écologique'!$A$764=CS20,LEN(SUBSTITUTE((SUBSTITUTE(DR12,"TF","")),"TS",""))*10/2,0),IF('Eval-Avant action écologique'!$A$765=CS20,LEN(SUBSTITUTE((SUBSTITUTE(DR13,"TF","")),"TS",""))*10/2,0),IF('Eval-Avant action écologique'!$A$766=CS20,LEN(SUBSTITUTE((SUBSTITUTE(DR14,"TF","")),"TS",""))*10/2,0),IF('Eval-Avant action écologique'!$A$767=CS20,LEN(SUBSTITUTE((SUBSTITUTE(DR15,"TF","")),"TS",""))*10/2,0),IF('Eval-Avant action écologique'!$A$768=CS20,LEN(SUBSTITUTE((SUBSTITUTE(DR16,"TF","")),"TS",""))*10/2,0),IF('Eval-Avant action écologique'!$A$769=CS20,LEN(SUBSTITUTE((SUBSTITUTE(DR17,"TF","")),"TS",""))*10/2,0),IF('Eval-Avant action écologique'!$A$770=CS20,LEN(SUBSTITUTE((SUBSTITUTE(DR18,"TF","")),"TS",""))*10/2,0),IF('Eval-Avant action écologique'!$A$771=CS20,LEN(SUBSTITUTE((SUBSTITUTE(DR19,"TF","")),"TS",""))*10/2,0),IF('Eval-Avant action écologique'!$A$772=CS20,LEN(SUBSTITUTE((SUBSTITUTE(DR20,"TF","")),"TS",""))*10/2,0),IF('Eval-Avant action écologique'!$A$773=CS20,LEN(SUBSTITUTE((SUBSTITUTE(DR21,"TF","")),"TS",""))*10/2,0),IF('Eval-Avant action écologique'!$A$774=CS20,LEN(SUBSTITUTE((SUBSTITUTE(DR22,"TF","")),"TS",""))*10/2,0),IF('Eval-Avant action écologique'!$A$775=CS20,LEN(SUBSTITUTE((SUBSTITUTE(DR23,"TF","")),"TS",""))*10/2,0),IF('Eval-Avant action écologique'!$A$776=CS20,LEN(SUBSTITUTE((SUBSTITUTE(DR24,"TF","")),"TS",""))*10/2,0),IF('Eval-Avant action écologique'!$A$777=CS20,LEN(SUBSTITUTE((SUBSTITUTE(DR25,"TF","")),"TS",""))*10/2,0),IF('Eval-Avant action écologique'!$A$778=CS20,LEN(SUBSTITUTE((SUBSTITUTE(DR26,"TF","")),"TS",""))*10/2,0),IF('Eval-Avant action écologique'!$A$779=CS20,LEN(SUBSTITUTE((SUBSTITUTE(DR27,"TF","")),"TS",""))*10/2,0),IF('Eval-Avant action écologique'!$A$780=CS20,LEN(SUBSTITUTE((SUBSTITUTE(DR28,"TF","")),"TS",""))*10/2,0))/COUNTIF('Eval-Avant action écologique'!$A$761:$A$780,CS20),"")</f>
        <v/>
      </c>
      <c r="DE20" s="211" t="str">
        <f>IF(COUNTIF('Eval-Avant action écologique'!$A$761:$A$780,CS20)&gt;0,SUM(IF('Eval-Avant action écologique'!$A$761=CS20,LEN(SUBSTITUTE((SUBSTITUTE(DR9,"TF","")),"TM",""))*10/2,0),IF('Eval-Avant action écologique'!$A$762=CS20,LEN(SUBSTITUTE((SUBSTITUTE(DR10,"TF","")),"TM",""))*10/2,0),IF('Eval-Avant action écologique'!$A$763=CS20,LEN(SUBSTITUTE((SUBSTITUTE(DR11,"TF","")),"TM",""))*10/2,0),IF('Eval-Avant action écologique'!$A$764=CS20,LEN(SUBSTITUTE((SUBSTITUTE(DR12,"TF","")),"TM",""))*10/2,0),IF('Eval-Avant action écologique'!$A$765=CS20,LEN(SUBSTITUTE((SUBSTITUTE(DR13,"TF","")),"TM",""))*10/2,0),IF('Eval-Avant action écologique'!$A$766=CS20,LEN(SUBSTITUTE((SUBSTITUTE(DR14,"TF","")),"TM",""))*10/2,0),IF('Eval-Avant action écologique'!$A$767=CS20,LEN(SUBSTITUTE((SUBSTITUTE(DR15,"TF","")),"TM",""))*10/2,0),IF('Eval-Avant action écologique'!$A$768=CS20,LEN(SUBSTITUTE((SUBSTITUTE(DR16,"TF","")),"TM",""))*10/2,0),IF('Eval-Avant action écologique'!$A$769=CS20,LEN(SUBSTITUTE((SUBSTITUTE(DR17,"TF","")),"TM",""))*10/2,0),IF('Eval-Avant action écologique'!$A$770=CS20,LEN(SUBSTITUTE((SUBSTITUTE(DR18,"TF","")),"TM",""))*10/2,0),IF('Eval-Avant action écologique'!$A$771=CS20,LEN(SUBSTITUTE((SUBSTITUTE(DR19,"TF","")),"TM",""))*10/2,0),IF('Eval-Avant action écologique'!$A$772=CS20,LEN(SUBSTITUTE((SUBSTITUTE(DR20,"TF","")),"TM",""))*10/2,0),IF('Eval-Avant action écologique'!$A$773=CS20,LEN(SUBSTITUTE((SUBSTITUTE(DR21,"TF","")),"TM",""))*10/2,0),IF('Eval-Avant action écologique'!$A$774=CS20,LEN(SUBSTITUTE((SUBSTITUTE(DR22,"TF","")),"TM",""))*10/2,0),IF('Eval-Avant action écologique'!$A$775=CS20,LEN(SUBSTITUTE((SUBSTITUTE(DR23,"TF","")),"TM",""))*10/2,0),IF('Eval-Avant action écologique'!$A$776=CS20,LEN(SUBSTITUTE((SUBSTITUTE(DR24,"TF","")),"TM",""))*10/2,0),IF('Eval-Avant action écologique'!$A$777=CS20,LEN(SUBSTITUTE((SUBSTITUTE(DR25,"TF","")),"TM",""))*10/2,0),IF('Eval-Avant action écologique'!$A$778=CS20,LEN(SUBSTITUTE((SUBSTITUTE(DR26,"TF","")),"TM",""))*10/2,0),IF('Eval-Avant action écologique'!$A$779=CS20,LEN(SUBSTITUTE((SUBSTITUTE(DR27,"TF","")),"TM",""))*10/2,0),IF('Eval-Avant action écologique'!$A$780=CS20,LEN(SUBSTITUTE((SUBSTITUTE(DR28,"TF","")),"TM",""))*10/2,0))/COUNTIF('Eval-Avant action écologique'!$A$761:$A$780,CS20),"")</f>
        <v/>
      </c>
      <c r="DF20" s="211" t="str">
        <f>IF(COUNTIF('Eval-Avant action écologique'!$A$761:$A$780,CS20)&gt;0,SUM(IF('Eval-Avant action écologique'!$A$761=CS20,LEN(SUBSTITUTE((SUBSTITUTE(DS9,"TM","")),"TS",""))*10/2,0),IF('Eval-Avant action écologique'!$A$762=CS20,LEN(SUBSTITUTE((SUBSTITUTE(DS10,"TM","")),"TS",""))*10/2,0),IF('Eval-Avant action écologique'!$A$763=CS20,LEN(SUBSTITUTE((SUBSTITUTE(DS11,"TM","")),"TS",""))*10/2,0),IF('Eval-Avant action écologique'!$A$764=CS20,LEN(SUBSTITUTE((SUBSTITUTE(DS12,"TM","")),"TS",""))*10/2,0),IF('Eval-Avant action écologique'!$A$765=CS20,LEN(SUBSTITUTE((SUBSTITUTE(DS13,"TM","")),"TS",""))*10/2,0),IF('Eval-Avant action écologique'!$A$766=CS20,LEN(SUBSTITUTE((SUBSTITUTE(DS14,"TM","")),"TS",""))*10/2,0),IF('Eval-Avant action écologique'!$A$767=CS20,LEN(SUBSTITUTE((SUBSTITUTE(DS15,"TM","")),"TS",""))*10/2,0),IF('Eval-Avant action écologique'!$A$768=CS20,LEN(SUBSTITUTE((SUBSTITUTE(DS16,"TM","")),"TS",""))*10/2,0),IF('Eval-Avant action écologique'!$A$769=CS20,LEN(SUBSTITUTE((SUBSTITUTE(DS17,"TM","")),"TS",""))*10/2,0),IF('Eval-Avant action écologique'!$A$770=CS20,LEN(SUBSTITUTE((SUBSTITUTE(DS18,"TM","")),"TS",""))*10/2,0),IF('Eval-Avant action écologique'!$A$771=CS20,LEN(SUBSTITUTE((SUBSTITUTE(DS19,"TM","")),"TS",""))*10/2,0),IF('Eval-Avant action écologique'!$A$772=CS20,LEN(SUBSTITUTE((SUBSTITUTE(DS20,"TM","")),"TS",""))*10/2,0),IF('Eval-Avant action écologique'!$A$773=CS20,LEN(SUBSTITUTE((SUBSTITUTE(DS21,"TM","")),"TS",""))*10/2,0),IF('Eval-Avant action écologique'!$A$774=CS20,LEN(SUBSTITUTE((SUBSTITUTE(DS22,"TM","")),"TS",""))*10/2,0),IF('Eval-Avant action écologique'!$A$775=CS20,LEN(SUBSTITUTE((SUBSTITUTE(DS23,"TM","")),"TS",""))*10/2,0),IF('Eval-Avant action écologique'!$A$776=CS20,LEN(SUBSTITUTE((SUBSTITUTE(DS24,"TM","")),"TS",""))*10/2,0),IF('Eval-Avant action écologique'!$A$777=CS20,LEN(SUBSTITUTE((SUBSTITUTE(DS25,"TM","")),"TS",""))*10/2,0),IF('Eval-Avant action écologique'!$A$778=CS20,LEN(SUBSTITUTE((SUBSTITUTE(DS26,"TM","")),"TS",""))*10/2,0),IF('Eval-Avant action écologique'!$A$779=CS20,LEN(SUBSTITUTE((SUBSTITUTE(DS27,"TM","")),"TS",""))*10/2,0),IF('Eval-Avant action écologique'!$A$780=CS20,LEN(SUBSTITUTE((SUBSTITUTE(DS28,"TM","")),"TS",""))*10/2,0))/COUNTIF('Eval-Avant action écologique'!$A$761:$A$780,CS20),"")</f>
        <v/>
      </c>
      <c r="DG20" s="211" t="str">
        <f>IF(COUNTIF('Eval-Avant action écologique'!$A$761:$A$780,CS20)&gt;0,SUM(IF('Eval-Avant action écologique'!$A$761=CS20,LEN(SUBSTITUTE((SUBSTITUTE(DS9,"TF","")),"TS",""))*10/2,0),IF('Eval-Avant action écologique'!$A$762=CS20,LEN(SUBSTITUTE((SUBSTITUTE(DS10,"TF","")),"TS",""))*10/2,0),IF('Eval-Avant action écologique'!$A$763=CS20,LEN(SUBSTITUTE((SUBSTITUTE(DS11,"TF","")),"TS",""))*10/2,0),IF('Eval-Avant action écologique'!$A$764=CS20,LEN(SUBSTITUTE((SUBSTITUTE(DS12,"TF","")),"TS",""))*10/2,0),IF('Eval-Avant action écologique'!$A$765=CS20,LEN(SUBSTITUTE((SUBSTITUTE(DS13,"TF","")),"TS",""))*10/2,0),IF('Eval-Avant action écologique'!$A$766=CS20,LEN(SUBSTITUTE((SUBSTITUTE(DS14,"TF","")),"TS",""))*10/2,0),IF('Eval-Avant action écologique'!$A$767=CS20,LEN(SUBSTITUTE((SUBSTITUTE(DS15,"TF","")),"TS",""))*10/2,0),IF('Eval-Avant action écologique'!$A$768=CS20,LEN(SUBSTITUTE((SUBSTITUTE(DS16,"TF","")),"TS",""))*10/2,0),IF('Eval-Avant action écologique'!$A$769=CS20,LEN(SUBSTITUTE((SUBSTITUTE(DS17,"TF","")),"TS",""))*10/2,0),IF('Eval-Avant action écologique'!$A$770=CS20,LEN(SUBSTITUTE((SUBSTITUTE(DS18,"TF","")),"TS",""))*10/2,0),IF('Eval-Avant action écologique'!$A$771=CS20,LEN(SUBSTITUTE((SUBSTITUTE(DS19,"TF","")),"TS",""))*10/2,0),IF('Eval-Avant action écologique'!$A$772=CS20,LEN(SUBSTITUTE((SUBSTITUTE(DS20,"TF","")),"TS",""))*10/2,0),IF('Eval-Avant action écologique'!$A$773=CS20,LEN(SUBSTITUTE((SUBSTITUTE(DS21,"TF","")),"TS",""))*10/2,0),IF('Eval-Avant action écologique'!$A$774=CS20,LEN(SUBSTITUTE((SUBSTITUTE(DS22,"TF","")),"TS",""))*10/2,0),IF('Eval-Avant action écologique'!$A$775=CS20,LEN(SUBSTITUTE((SUBSTITUTE(DS23,"TF","")),"TS",""))*10/2,0),IF('Eval-Avant action écologique'!$A$776=CS20,LEN(SUBSTITUTE((SUBSTITUTE(DS24,"TF","")),"TS",""))*10/2,0),IF('Eval-Avant action écologique'!$A$777=CS20,LEN(SUBSTITUTE((SUBSTITUTE(DS25,"TF","")),"TS",""))*10/2,0),IF('Eval-Avant action écologique'!$A$778=CS20,LEN(SUBSTITUTE((SUBSTITUTE(DS26,"TF","")),"TS",""))*10/2,0),IF('Eval-Avant action écologique'!$A$779=CS20,LEN(SUBSTITUTE((SUBSTITUTE(DS27,"TF","")),"TS",""))*10/2,0),IF('Eval-Avant action écologique'!$A$780=CS20,LEN(SUBSTITUTE((SUBSTITUTE(DS28,"TF","")),"TS",""))*10/2,0))/COUNTIF('Eval-Avant action écologique'!$A$761:$A$780,CS20),"")</f>
        <v/>
      </c>
      <c r="DH20" s="211" t="str">
        <f>IF(COUNTIF('Eval-Avant action écologique'!$A$761:$A$780,CS20)&gt;0,SUM(IF('Eval-Avant action écologique'!$A$761=CS20,LEN(SUBSTITUTE((SUBSTITUTE(DS9,"TF","")),"TM",""))*10/2,0),IF('Eval-Avant action écologique'!$A$762=CS20,LEN(SUBSTITUTE((SUBSTITUTE(DS10,"TF","")),"TM",""))*10/2,0),IF('Eval-Avant action écologique'!$A$763=CS20,LEN(SUBSTITUTE((SUBSTITUTE(DS11,"TF","")),"TM",""))*10/2,0),IF('Eval-Avant action écologique'!$A$764=CS20,LEN(SUBSTITUTE((SUBSTITUTE(DS12,"TF","")),"TM",""))*10/2,0),IF('Eval-Avant action écologique'!$A$765=CS20,LEN(SUBSTITUTE((SUBSTITUTE(DS13,"TF","")),"TM",""))*10/2,0),IF('Eval-Avant action écologique'!$A$766=CS20,LEN(SUBSTITUTE((SUBSTITUTE(DS14,"TF","")),"TM",""))*10/2,0),IF('Eval-Avant action écologique'!$A$767=CS20,LEN(SUBSTITUTE((SUBSTITUTE(DS15,"TF","")),"TM",""))*10/2,0),IF('Eval-Avant action écologique'!$A$768=CS20,LEN(SUBSTITUTE((SUBSTITUTE(DS16,"TF","")),"TM",""))*10/2,0),IF('Eval-Avant action écologique'!$A$769=CS20,LEN(SUBSTITUTE((SUBSTITUTE(DS17,"TF","")),"TM",""))*10/2,0),IF('Eval-Avant action écologique'!$A$770=CS20,LEN(SUBSTITUTE((SUBSTITUTE(DS18,"TF","")),"TM",""))*10/2,0),IF('Eval-Avant action écologique'!$A$771=CS20,LEN(SUBSTITUTE((SUBSTITUTE(DS19,"TF","")),"TM",""))*10/2,0),IF('Eval-Avant action écologique'!$A$772=CS20,LEN(SUBSTITUTE((SUBSTITUTE(DS20,"TF","")),"TM",""))*10/2,0),IF('Eval-Avant action écologique'!$A$773=CS20,LEN(SUBSTITUTE((SUBSTITUTE(DS21,"TF","")),"TM",""))*10/2,0),IF('Eval-Avant action écologique'!$A$774=CS20,LEN(SUBSTITUTE((SUBSTITUTE(DS22,"TF","")),"TM",""))*10/2,0),IF('Eval-Avant action écologique'!$A$775=CS20,LEN(SUBSTITUTE((SUBSTITUTE(DS23,"TF","")),"TM",""))*10/2,0),IF('Eval-Avant action écologique'!$A$776=CS20,LEN(SUBSTITUTE((SUBSTITUTE(DS24,"TF","")),"TM",""))*10/2,0),IF('Eval-Avant action écologique'!$A$777=CS20,LEN(SUBSTITUTE((SUBSTITUTE(DS25,"TF","")),"TM",""))*10/2,0),IF('Eval-Avant action écologique'!$A$778=CS20,LEN(SUBSTITUTE((SUBSTITUTE(DS26,"TF","")),"TM",""))*10/2,0),IF('Eval-Avant action écologique'!$A$779=CS20,LEN(SUBSTITUTE((SUBSTITUTE(DS27,"TF","")),"TM",""))*10/2,0),IF('Eval-Avant action écologique'!$A$780=CS20,LEN(SUBSTITUTE((SUBSTITUTE(DS28,"TF","")),"TM",""))*10/2,0))/COUNTIF('Eval-Avant action écologique'!$A$761:$A$780,CS20),"")</f>
        <v/>
      </c>
      <c r="DI20" s="211" t="str">
        <f>IF(COUNTIF('Eval-Avant action écologique'!$A$761:$A$780,CS20)&gt;0,IF(OR(AND('Eval-Avant action écologique'!$A$761=CS20,DP9&lt;30),AND('Eval-Avant action écologique'!$A$762=CS20,DP10&lt;30),AND('Eval-Avant action écologique'!$A$763=CS20,DP11&lt;30),AND('Eval-Avant action écologique'!$A$764=CS20,DP12&lt;30),AND('Eval-Avant action écologique'!$A$765=CS20,DP13&lt;30),AND('Eval-Avant action écologique'!$A$766=CS20,DP14&lt;30),AND('Eval-Avant action écologique'!$A$767=CS20,DP15&lt;30),AND('Eval-Avant action écologique'!$A$768=CS20,DP16&lt;30),AND('Eval-Avant action écologique'!$A$769=CS20,DP17&lt;30),AND('Eval-Avant action écologique'!$A$770=CS20,DP18&lt;30),AND('Eval-Avant action écologique'!$A$771=CS20,DP19&lt;30),AND('Eval-Avant action écologique'!$A$772=CS20,DP20&lt;30),AND('Eval-Avant action écologique'!$A$773=CS20,DP21&lt;30),AND('Eval-Avant action écologique'!$A$774=CS20,DP22&lt;30),AND('Eval-Avant action écologique'!$A$775=CS20,DP23&lt;30),AND('Eval-Avant action écologique'!$A$776=CS20,DP24&lt;30),AND('Eval-Avant action écologique'!$A$777=CS20,DP25&lt;30),AND('Eval-Avant action écologique'!$A$778=CS20,DP26&lt;30),AND('Eval-Avant action écologique'!$A$779=CS20,DP27&lt;30),AND('Eval-Avant action écologique'!$A$780=CS20,DP28&lt;30)),"",SUM(0.1*(SUMPRODUCT(('Eval-Avant action écologique'!$A$761:$A$780=CS20)*('Eval-Avant action écologique'!$N$761:$P$780="A"))+ SUMPRODUCT(('Eval-Avant action écologique'!$A$761:$A$780=CS20)*('Eval-Avant action écologique'!$N$761:$P$780="AL"))),0.7*(SUMPRODUCT(('Eval-Avant action écologique'!$A$761:$A$780=CS20)*('Eval-Avant action écologique'!$N$761:$P$780="TF"))+SUMPRODUCT(('Eval-Avant action écologique'!$A$761:$A$780=CS20)*('Eval-Avant action écologique'!$N$761:$P$780="TM"))+SUMPRODUCT(('Eval-Avant action écologique'!$A$761:$A$780=CS20)*('Eval-Avant action écologique'!$N$761:$P$780="TS"))),0.4*(SUMPRODUCT(('Eval-Avant action écologique'!$A$761:$A$780=CS20)*('Eval-Avant action écologique'!$N$761:$P$780="LA"))+SUMPRODUCT(('Eval-Avant action écologique'!$A$761:$A$780=CS20)*('Eval-Avant action écologique'!$N$761:$P$780="L"))+SUMPRODUCT(('Eval-Avant action écologique'!$A$761:$A$780=CS20)*('Eval-Avant action écologique'!$N$761:$P$780="LS"))),1*(SUMPRODUCT(('Eval-Avant action écologique'!$A$761:$A$780=CS20)*('Eval-Avant action écologique'!$N$761:$P$780="SL"))+ SUMPRODUCT(('Eval-Avant action écologique'!$A$761:$A$780=CS20)*('Eval-Avant action écologique'!$N$761:$P$780="S"))))/(3*COUNTIF('Eval-Avant action écologique'!$A$761:$A$780,CS20))),"")</f>
        <v/>
      </c>
      <c r="DJ20" s="211" t="str">
        <f>IF(COUNTIF('Eval-Avant action écologique'!$A$761:$A$780,CS20)&gt;0,IF(OR(AND('Eval-Avant action écologique'!$A$761=CS20,DP9&lt;120),AND('Eval-Avant action écologique'!$A$762=CS20,DP10&lt;120),AND('Eval-Avant action écologique'!$A$763=CS20,DP11&lt;120),AND('Eval-Avant action écologique'!$A$764=CS20,DP12&lt;120),AND('Eval-Avant action écologique'!$A$765=CS20,DP13&lt;120),AND('Eval-Avant action écologique'!$A$766=CS20,DP14&lt;120),AND('Eval-Avant action écologique'!$A$767=CS20,DP15&lt;120),AND('Eval-Avant action écologique'!$A$768=CS20,DP16&lt;120),AND('Eval-Avant action écologique'!$A$769=CS20,DP17&lt;120),AND('Eval-Avant action écologique'!$A$770=CS20,DP18&lt;120),AND('Eval-Avant action écologique'!$A$771=CS20,DP19&lt;120),AND('Eval-Avant action écologique'!$A$772=CS20,DP20&lt;120),AND('Eval-Avant action écologique'!$A$773=CS20,DP21&lt;120),AND('Eval-Avant action écologique'!$A$774=CS20,DP22&lt;120),AND('Eval-Avant action écologique'!$A$775=CS20,DP23&lt;120),AND('Eval-Avant action écologique'!$A$776=CS20,DP24&lt;120),AND('Eval-Avant action écologique'!$A$777=CS20,DP25&lt;120),AND('Eval-Avant action écologique'!$A$778=CS20,DP26&lt;120),AND('Eval-Avant action écologique'!$A$779=CS20,DP27&lt;120),AND('Eval-Avant action écologique'!$A$780=CS20,DP28&lt;120)),"",SUM(0.1*(SUMPRODUCT(('Eval-Avant action écologique'!$A$761:$A$780=CS20)*('Eval-Avant action écologique'!$Q$761:$Y$780="A"))+ SUMPRODUCT(('Eval-Avant action écologique'!$A$761:$A$780=CS20)*('Eval-Avant action écologique'!$Q$761:$Y$780="AL"))),0.7*(SUMPRODUCT(('Eval-Avant action écologique'!$A$761:$A$780=CS20)*('Eval-Avant action écologique'!$Q$761:$Y$780="TF"))+SUMPRODUCT(('Eval-Avant action écologique'!$A$761:$A$780=CS20)*('Eval-Avant action écologique'!$Q$761:$Y$780="TM"))+SUMPRODUCT(('Eval-Avant action écologique'!$A$761:$A$780=CS20)*('Eval-Avant action écologique'!$Q$761:$Y$780="TS"))),0.4*(SUMPRODUCT(('Eval-Avant action écologique'!$A$761:$A$780=CS20)*('Eval-Avant action écologique'!$Q$761:$Y$780="LA"))+SUMPRODUCT(('Eval-Avant action écologique'!$A$761:$A$780=CS20)*('Eval-Avant action écologique'!$Q$761:$Y$780="L"))+SUMPRODUCT(('Eval-Avant action écologique'!$A$761:$A$780=CS20)*('Eval-Avant action écologique'!$Q$761:$Y$780="LS"))),1*(SUMPRODUCT(('Eval-Avant action écologique'!$A$761:$A$780=CS20)*('Eval-Avant action écologique'!$Q$761:$Y$780="SL"))+ SUMPRODUCT(('Eval-Avant action écologique'!$A$761:$A$780=CS20)*('Eval-Avant action écologique'!$Q$761:$Y$780="S"))))/(9*COUNTIF('Eval-Avant action écologique'!$A$761:$A$780,CS20))),"")</f>
        <v/>
      </c>
      <c r="DK20" s="211" t="str">
        <f>IF(COUNTIF('Eval-Avant action écologique'!$A$761:$A$780,CS20)&gt;0,IF(OR(AND('Eval-Avant action écologique'!$A$761=CS20,OR(COUNTIF('Eval-Avant action écologique'!$N$761:$P$761,"*T*")&gt;0,DP9&lt;30)),AND('Eval-Avant action écologique'!$A$762=CS20,OR(COUNTIF('Eval-Avant action écologique'!$N$762:$P$762,"*T*")&gt;0,DP10&lt;30)),AND('Eval-Avant action écologique'!$A$763=CS20,OR(COUNTIF('Eval-Avant action écologique'!$N$763:$P$763,"*T*")&gt;0,DP11&lt;30)),AND('Eval-Avant action écologique'!$A$764=CS20,OR(COUNTIF('Eval-Avant action écologique'!$N$764:$P$764,"*T*")&gt;0,DP12&lt;30)),AND('Eval-Avant action écologique'!$A$765=CS20,OR(COUNTIF('Eval-Avant action écologique'!$N$765:$P$765,"*T*")&gt;0,DP13&lt;30)),AND('Eval-Avant action écologique'!$A$766=CS20,OR(COUNTIF('Eval-Avant action écologique'!$N$766:$P$766,"*T*")&gt;0,DP14&lt;30)),AND('Eval-Avant action écologique'!$A$767=CS20,OR(COUNTIF('Eval-Avant action écologique'!$N$767:$P$767,"*T*")&gt;0,DP15&lt;30)),AND('Eval-Avant action écologique'!$A$768=CS20,OR(COUNTIF('Eval-Avant action écologique'!$N$768:$P$768,"*T*")&gt;0,DP16&lt;30)),AND('Eval-Avant action écologique'!$A$769=CS20,OR(COUNTIF('Eval-Avant action écologique'!$N$769:$P$769,"*T*")&gt;0,DP17&lt;30)),AND('Eval-Avant action écologique'!$A$770=CS20,OR(COUNTIF('Eval-Avant action écologique'!$N$770:$P$770,"*T*")&gt;0,DP18&lt;30)),AND('Eval-Avant action écologique'!$A$771=CS20,OR(COUNTIF('Eval-Avant action écologique'!$N$771:$P$771,"*T*")&gt;0,DP19&lt;30)),AND('Eval-Avant action écologique'!$A$772=CS20,OR(COUNTIF('Eval-Avant action écologique'!$N$772:$P$772,"*T*")&gt;0,DP20&lt;30)),AND('Eval-Avant action écologique'!$A$773=CS20,OR(COUNTIF('Eval-Avant action écologique'!$N$773:$P$773,"*T*")&gt;0,DP21&lt;30)),AND('Eval-Avant action écologique'!$A$774=CS20,OR(COUNTIF('Eval-Avant action écologique'!$N$774:$P$774,"*T*")&gt;0,DP22&lt;30)),AND('Eval-Avant action écologique'!$A$775=CS20,OR(COUNTIF('Eval-Avant action écologique'!$N$775:$P$775,"*T*")&gt;0,DP23&lt;30)),AND('Eval-Avant action écologique'!$A$776=CS20,OR(COUNTIF('Eval-Avant action écologique'!$N$776:$P$776,"*T*")&gt;0,DP24&lt;30)),AND('Eval-Avant action écologique'!$A$777=CS20,OR(COUNTIF('Eval-Avant action écologique'!$N$777:$P$777,"*T*")&gt;0,DP25&lt;30)),AND('Eval-Avant action écologique'!$A$778=CS20,OR(COUNTIF('Eval-Avant action écologique'!$N$778:$P$778,"*T*")&gt;0,DP26&lt;30)),AND('Eval-Avant action écologique'!$A$779=CS20,OR(COUNTIF('Eval-Avant action écologique'!$N$779:$P$779,"*T*")&gt;0,DP27&lt;30)),AND('Eval-Avant action écologique'!$A$780=CS20,OR(COUNTIF('Eval-Avant action écologique'!$N$780:$P$780,"*T*")&gt;0,DP28&lt;30))),"",SUM(0.1*(SUMPRODUCT(('Eval-Avant action écologique'!$A$761:$A$780=CS20)*('Eval-Avant action écologique'!$N$761:$P$780="L"))),0.4*(SUMPRODUCT(('Eval-Avant action écologique'!$A$761:$A$780=CS20)*('Eval-Avant action écologique'!$N$761:$P$780="LA"))+SUMPRODUCT(('Eval-Avant action écologique'!$A$761:$A$780=CS20)*('Eval-Avant action écologique'!$N$761:$P$780="LS"))),0.7*(SUMPRODUCT(('Eval-Avant action écologique'!$A$761:$A$780=CS20)*('Eval-Avant action écologique'!$N$761:$P$780="AL"))+SUMPRODUCT(('Eval-Avant action écologique'!$A$761:$A$780=CS20)*('Eval-Avant action écologique'!$N$761:$P$780="SL"))),1*(SUMPRODUCT(('Eval-Avant action écologique'!$A$761:$A$780=CS20)*('Eval-Avant action écologique'!$N$761:$P$780="S"))+ SUMPRODUCT(('Eval-Avant action écologique'!$A$761:$A$780=CS20)*('Eval-Avant action écologique'!$N$761:$P$780="A"))))/(3*COUNTIF('Eval-Avant action écologique'!$A$761:$A$780,CS20))),"")</f>
        <v/>
      </c>
      <c r="DL20" s="211" t="str">
        <f>IF(COUNTIF('Eval-Avant action écologique'!$A$761:$A$780,CS20)&gt;0,IF(OR(AND('Eval-Avant action écologique'!$A$761=CS20,OR(COUNTIF('Eval-Avant action écologique'!$N$761:$P$761,"*T*")&gt;0,DP9&lt;30)),AND('Eval-Avant action écologique'!$A$762=CS20,OR(COUNTIF('Eval-Avant action écologique'!$N$762:$P$762,"*T*")&gt;0,DP10&lt;30)),AND('Eval-Avant action écologique'!$A$763=CS20,OR(COUNTIF('Eval-Avant action écologique'!$N$763:$P$763,"*T*")&gt;0,DP11&lt;30)),AND('Eval-Avant action écologique'!$A$764=CS20,OR(COUNTIF('Eval-Avant action écologique'!$N$764:$P$764,"*T*")&gt;0,DP12&lt;30)),AND('Eval-Avant action écologique'!$A$765=CS20,OR(COUNTIF('Eval-Avant action écologique'!$N$765:$P$765,"*T*")&gt;0,DP13&lt;30)),AND('Eval-Avant action écologique'!$A$766=CS20,OR(COUNTIF('Eval-Avant action écologique'!$N$766:$P$766,"*T*")&gt;0,DP14&lt;30)),AND('Eval-Avant action écologique'!$A$767=CS20,OR(COUNTIF('Eval-Avant action écologique'!$N$767:$P$767,"*T*")&gt;0,DP15&lt;30)),AND('Eval-Avant action écologique'!$A$768=CS20,OR(COUNTIF('Eval-Avant action écologique'!$N$768:$P$768,"*T*")&gt;0,DP16&lt;30)),AND('Eval-Avant action écologique'!$A$769=CS20,OR(COUNTIF('Eval-Avant action écologique'!$N$769:$P$769,"*T*")&gt;0,DP17&lt;30)),AND('Eval-Avant action écologique'!$A$770=CS20,OR(COUNTIF('Eval-Avant action écologique'!$N$770:$P$770,"*T*")&gt;0,DP18&lt;30)),AND('Eval-Avant action écologique'!$A$771=CS20,OR(COUNTIF('Eval-Avant action écologique'!$N$771:$P$771,"*T*")&gt;0,DP19&lt;30)),AND('Eval-Avant action écologique'!$A$772=CS20,OR(COUNTIF('Eval-Avant action écologique'!$N$772:$P$772,"*T*")&gt;0,DP20&lt;30)),AND('Eval-Avant action écologique'!$A$773=CS20,OR(COUNTIF('Eval-Avant action écologique'!$N$773:$P$773,"*T*")&gt;0,DP21&lt;30)),AND('Eval-Avant action écologique'!$A$774=CS20,OR(COUNTIF('Eval-Avant action écologique'!$N$774:$P$774,"*T*")&gt;0,DP22&lt;30)),AND('Eval-Avant action écologique'!$A$775=CS20,OR(COUNTIF('Eval-Avant action écologique'!$N$775:$P$775,"*T*")&gt;0,DP23&lt;30)),AND('Eval-Avant action écologique'!$A$776=CS20,OR(COUNTIF('Eval-Avant action écologique'!$N$776:$P$776,"*T*")&gt;0,DP24&lt;30)),AND('Eval-Avant action écologique'!$A$777=CS20,OR(COUNTIF('Eval-Avant action écologique'!$N$777:$P$777,"*T*")&gt;0,DP25&lt;30)),AND('Eval-Avant action écologique'!$A$778=CS20,OR(COUNTIF('Eval-Avant action écologique'!$N$778:$P$778,"*T*")&gt;0,DP26&lt;30)),AND('Eval-Avant action écologique'!$A$779=CS20,OR(COUNTIF('Eval-Avant action écologique'!$N$779:$P$779,"*T*")&gt;0,DP27&lt;30)),AND('Eval-Avant action écologique'!$A$780=CS20,OR(COUNTIF('Eval-Avant action écologique'!$N$780:$P$780,"*T*")&gt;0,DP28&lt;30))),"",SUM(1*(SUMPRODUCT(('Eval-Avant action écologique'!$A$761:$A$780=CS20)*('Eval-Avant action écologique'!$N$761:$P$780="A"))),0.85*(SUMPRODUCT(('Eval-Avant action écologique'!$A$761:$A$780=CS20)*('Eval-Avant action écologique'!$N$761:$P$780="AL"))),0.7*(SUMPRODUCT(('Eval-Avant action écologique'!$A$761:$A$780=CS20)*('Eval-Avant action écologique'!$N$761:$P$780="LA"))),0.55*(SUMPRODUCT(('Eval-Avant action écologique'!$A$761:$A$780=CS20)*('Eval-Avant action écologique'!$N$761:$P$780="L"))),0.4*(SUMPRODUCT(('Eval-Avant action écologique'!$A$761:$A$780=CS20)*('Eval-Avant action écologique'!$N$761:$P$780="LS"))),0.25*(SUMPRODUCT(('Eval-Avant action écologique'!$A$761:$A$780=CS20)*('Eval-Avant action écologique'!$N$761:$P$780="SL"))),0.1*(SUMPRODUCT(('Eval-Avant action écologique'!$A$761:$A$780=CS20)*('Eval-Avant action écologique'!$N$761:$P$780="S"))))/(3*COUNTIF('Eval-Avant action écologique'!$A$761:$A$780,CS20))),"")</f>
        <v/>
      </c>
      <c r="DM20" s="214" t="str">
        <f>IF(COUNTIF('Eval-Avant action écologique'!$A$761:$A$780,CS20)&gt;0,IF(OR(AND('Eval-Avant action écologique'!$A$761=CS20,OR(COUNTIF('Eval-Avant action écologique'!$Q$761:$Y$761,"*T*")&gt;0,DP9&lt;120)),AND('Eval-Avant action écologique'!$A$762=CS20,OR(COUNTIF('Eval-Avant action écologique'!$Q$762:$Y$762,"*T*")&gt;0,DP10&lt;120)),AND('Eval-Avant action écologique'!$A$763=CS20,OR(COUNTIF('Eval-Avant action écologique'!$Q$763:$Y$763,"*T*")&gt;0,DP11&lt;120)),AND('Eval-Avant action écologique'!$A$764=CS20,OR(COUNTIF('Eval-Avant action écologique'!$Q$764:$Y$764,"*T*")&gt;0,DP12&lt;120)),AND('Eval-Avant action écologique'!$A$765=CS20,OR(COUNTIF('Eval-Avant action écologique'!$Q$765:$Y$765,"*T*")&gt;0,DP13&lt;120)),AND('Eval-Avant action écologique'!$A$766=CS20,OR(COUNTIF('Eval-Avant action écologique'!$Q$766:$Y$766,"*T*")&gt;0,DP14&lt;120)),AND('Eval-Avant action écologique'!$A$767=CS20,OR(COUNTIF('Eval-Avant action écologique'!$Q$767:$Y$767,"*T*")&gt;0,DP15&lt;120)),AND('Eval-Avant action écologique'!$A$768=CS20,OR(COUNTIF('Eval-Avant action écologique'!$Q$768:$Y$768,"*T*")&gt;0,DP16&lt;120)),AND('Eval-Avant action écologique'!$A$769=CS20,OR(COUNTIF('Eval-Avant action écologique'!$Q$769:$Y$769,"*T*")&gt;0,DP17&lt;120)),AND('Eval-Avant action écologique'!$A$770=CS20,OR(COUNTIF('Eval-Avant action écologique'!$Q$770:$Y$770,"*T*")&gt;0,DP18&lt;120)),AND('Eval-Avant action écologique'!$A$771=CS20,OR(COUNTIF('Eval-Avant action écologique'!$Q$771:$Y$771,"*T*")&gt;0,DP19&lt;120)),AND('Eval-Avant action écologique'!$A$772=CS20,OR(COUNTIF('Eval-Avant action écologique'!$Q$772:$Y$772,"*T*")&gt;0,DP20&lt;120)),AND('Eval-Avant action écologique'!$A$773=CS20,OR(COUNTIF('Eval-Avant action écologique'!$Q$773:$Y$773,"*T*")&gt;0,DP21&lt;120)),AND('Eval-Avant action écologique'!$A$774=CS20,OR(COUNTIF('Eval-Avant action écologique'!$Q$774:$Y$774,"*T*")&gt;0,DP22&lt;120)),AND('Eval-Avant action écologique'!$A$775=CS20,OR(COUNTIF('Eval-Avant action écologique'!$Q$775:$Y$775,"*T*")&gt;0,DP23&lt;120)),AND('Eval-Avant action écologique'!$A$776=CS20,OR(COUNTIF('Eval-Avant action écologique'!$Q$776:$Y$776,"*T*")&gt;0,DP24&lt;120)),AND('Eval-Avant action écologique'!$A$777=CS20,OR(COUNTIF('Eval-Avant action écologique'!$Q$777:$Y$777,"*T*")&gt;0,DP25&lt;120)),AND('Eval-Avant action écologique'!$A$778=CS20,OR(COUNTIF('Eval-Avant action écologique'!$Q$778:$Y$778,"*T*")&gt;0,DP26&lt;120)),AND('Eval-Avant action écologique'!$A$779=CS20,OR(COUNTIF('Eval-Avant action écologique'!$Q$779:$Y$779,"*T*")&gt;0,DP27&lt;120)),AND('Eval-Avant action écologique'!$A$780=CS20,OR(COUNTIF('Eval-Avant action écologique'!$Q$780:$Y$780,"*T*")&gt;0,DP28&lt;120))),"",SUM(1*(SUMPRODUCT(('Eval-Avant action écologique'!$A$761:$A$780=CS20)*('Eval-Avant action écologique'!$Q$761:$Y$780="A"))),0.85*(SUMPRODUCT(('Eval-Avant action écologique'!$A$761:$A$780=CS20)*('Eval-Avant action écologique'!$Q$761:$Y$780="AL"))),0.7*(SUMPRODUCT(('Eval-Avant action écologique'!$A$761:$A$780=CS20)*('Eval-Avant action écologique'!$Q$761:$Y$780="LA"))),0.55*(SUMPRODUCT(('Eval-Avant action écologique'!$A$761:$A$780=CS20)*('Eval-Avant action écologique'!$Q$761:$Y$780="L"))),0.4*(SUMPRODUCT(('Eval-Avant action écologique'!$A$761:$A$780=CS20)*('Eval-Avant action écologique'!$Q$761:$Y$780="LS"))),0.25*(SUMPRODUCT(('Eval-Avant action écologique'!$A$761:$A$780=CS20)*('Eval-Avant action écologique'!$Q$761:$Y$780="SL"))),0.1*(SUMPRODUCT(('Eval-Avant action écologique'!$A$761:$A$780=CS20)*('Eval-Avant action écologique'!$Q$761:$Y$780="S"))))/(9*COUNTIF('Eval-Avant action écologique'!$A$761:$A$780,CS20))),"")</f>
        <v/>
      </c>
      <c r="DN20" s="215"/>
      <c r="DO20" s="216">
        <f>'Eval-Avant action écologique'!$D$772</f>
        <v>12</v>
      </c>
      <c r="DP20" s="217" t="str">
        <f>IF(DQ20="C",0,IF(IF(COUNTIF('Eval-Avant action écologique'!$N$772:$Y$772,"=C")&gt;0,(COUNTA('Eval-Avant action écologique'!$N$772:$Y$772)-1)*10,COUNTA('Eval-Avant action écologique'!$N$772:$Y$772)*10)=0,"",IF(COUNTIF('Eval-Avant action écologique'!$N$772:$Y$772,"=C")&gt;0,(COUNTA('Eval-Avant action écologique'!$N$772:$Y$772)-1)*10,COUNTA('Eval-Avant action écologique'!$N$772:$Y$772)*10)))</f>
        <v/>
      </c>
      <c r="DQ20" s="217" t="str">
        <f>CONCATENATE('Eval-Avant action écologique'!$N$772,'Eval-Avant action écologique'!$O$772,'Eval-Avant action écologique'!$P$772,'Eval-Avant action écologique'!$Q$772,'Eval-Avant action écologique'!$R$772,'Eval-Avant action écologique'!$S$772,'Eval-Avant action écologique'!$T$772,'Eval-Avant action écologique'!$U$772,'Eval-Avant action écologique'!$V$772,'Eval-Avant action écologique'!$W$772,'Eval-Avant action écologique'!$X$772,'Eval-Avant action écologique'!$Y$772)</f>
        <v/>
      </c>
      <c r="DR20" s="217" t="str">
        <f t="shared" si="12"/>
        <v/>
      </c>
      <c r="DS20" s="217" t="str">
        <f t="shared" si="13"/>
        <v/>
      </c>
      <c r="DT20" s="217" t="str">
        <f>IF(COUNTIF('Eval-Avant action écologique'!$N$772:$Y$772,"=C")&gt;0,"X","")</f>
        <v/>
      </c>
      <c r="DU20" s="217" t="str">
        <f t="shared" si="14"/>
        <v/>
      </c>
      <c r="DV20" s="218" t="str">
        <f t="shared" si="15"/>
        <v/>
      </c>
      <c r="DW20" s="197"/>
      <c r="DY20" s="210">
        <v>12</v>
      </c>
      <c r="DZ20" s="211" t="str">
        <f>IF(COUNTIF('Eval-Avec act. écol. envisagée'!$A$761:$A$780,DY20)&gt;0,SUM(IF('Eval-Avec act. écol. envisagée'!$A$761=DY20,'Eval-Avec act. écol. envisagée'!$B$761,0),IF('Eval-Avec act. écol. envisagée'!$A$762=DY20, 'Eval-Avec act. écol. envisagée'!$B$762,0),IF('Eval-Avec act. écol. envisagée'!$A$763=DY20, 'Eval-Avec act. écol. envisagée'!$B$763,0),IF('Eval-Avec act. écol. envisagée'!$A$764=DY20, 'Eval-Avec act. écol. envisagée'!$B$764,0),IF('Eval-Avec act. écol. envisagée'!$A$765=DY20, 'Eval-Avec act. écol. envisagée'!$B$765,0),IF('Eval-Avec act. écol. envisagée'!$A$766=DY20, 'Eval-Avec act. écol. envisagée'!$B$766,0),IF('Eval-Avec act. écol. envisagée'!$A$767=DY20, 'Eval-Avec act. écol. envisagée'!$B$767,0),IF('Eval-Avec act. écol. envisagée'!$A$768=DY20, 'Eval-Avec act. écol. envisagée'!$B$768,0),IF('Eval-Avec act. écol. envisagée'!$A$769=DY20, 'Eval-Avec act. écol. envisagée'!$B$769,0),IF('Eval-Avec act. écol. envisagée'!$A$770=DY20, 'Eval-Avec act. écol. envisagée'!$B$770,0),IF('Eval-Avec act. écol. envisagée'!$A$771=DY20, 'Eval-Avec act. écol. envisagée'!$B$771,0),IF('Eval-Avec act. écol. envisagée'!$A$772=DY20, 'Eval-Avec act. écol. envisagée'!$B$772,0),IF('Eval-Avec act. écol. envisagée'!$A$773=DY20, 'Eval-Avec act. écol. envisagée'!$B$773,0),IF('Eval-Avec act. écol. envisagée'!$A$774=DY20, 'Eval-Avec act. écol. envisagée'!$B$774,0),IF('Eval-Avec act. écol. envisagée'!$A$775=DY20, 'Eval-Avec act. écol. envisagée'!$B$775,0),IF('Eval-Avec act. écol. envisagée'!$A$776=DY20, 'Eval-Avec act. écol. envisagée'!$B$776,0),IF('Eval-Avec act. écol. envisagée'!$A$777=DY20, 'Eval-Avec act. écol. envisagée'!$B$777,0),IF('Eval-Avec act. écol. envisagée'!$A$778=DY20, 'Eval-Avec act. écol. envisagée'!$B$778,0),IF('Eval-Avec act. écol. envisagée'!$A$779=DY20, 'Eval-Avec act. écol. envisagée'!$B$779,0),IF('Eval-Avec act. écol. envisagée'!$A$780=DY20, 'Eval-Avec act. écol. envisagée'!$B$780,0))/COUNTIF('Eval-Avec act. écol. envisagée'!$A$761:$A$780,DY20),"")</f>
        <v/>
      </c>
      <c r="EA20" s="212" t="str">
        <f>IF(COUNTIF('Eval-Avec act. écol. envisagée'!$A$761:$A$780,DY20)&gt;0,COUNTIF('Eval-Avec act. écol. envisagée'!$A$761:$A$780,DY20),"")</f>
        <v/>
      </c>
      <c r="EB20" s="211" t="str">
        <f>IF(COUNTIF('Eval-Avec act. écol. envisagée'!$A$761:$A$780,DY20)&gt;0,IF(OR(AND('Eval-Avec act. écol. envisagée'!$A$761=DY20, 'Eval-Avec act. écol. envisagée'!$G$761=""),AND('Eval-Avec act. écol. envisagée'!$A$762=DY20, 'Eval-Avec act. écol. envisagée'!$G$762=""),AND('Eval-Avec act. écol. envisagée'!$A$763=DY20, 'Eval-Avec act. écol. envisagée'!$G$763=""),AND('Eval-Avec act. écol. envisagée'!$A$764=DY20, 'Eval-Avec act. écol. envisagée'!$G$764=""),AND('Eval-Avec act. écol. envisagée'!$A$765=DY20, 'Eval-Avec act. écol. envisagée'!$G$765=""),AND('Eval-Avec act. écol. envisagée'!$A$766=DY20, 'Eval-Avec act. écol. envisagée'!$G$766=""),AND('Eval-Avec act. écol. envisagée'!$A$767=DY20, 'Eval-Avec act. écol. envisagée'!$G$767=""),AND('Eval-Avec act. écol. envisagée'!$A$768=DY20, 'Eval-Avec act. écol. envisagée'!$G$768=""),AND('Eval-Avec act. écol. envisagée'!$A$769=DY20, 'Eval-Avec act. écol. envisagée'!$G$769=""),AND('Eval-Avec act. écol. envisagée'!$A$770=DY20, 'Eval-Avec act. écol. envisagée'!$G$770=""),AND('Eval-Avec act. écol. envisagée'!$A$771=DY20, 'Eval-Avec act. écol. envisagée'!$G$771=""),AND('Eval-Avec act. écol. envisagée'!$A$772=DY20, 'Eval-Avec act. écol. envisagée'!$G$772=""),AND('Eval-Avec act. écol. envisagée'!$A$773=DY20, 'Eval-Avec act. écol. envisagée'!$G$773=""),AND('Eval-Avec act. écol. envisagée'!$A$774=DY20, 'Eval-Avec act. écol. envisagée'!$G$774=""),AND('Eval-Avec act. écol. envisagée'!$A$775=DY20, 'Eval-Avec act. écol. envisagée'!$G$775=""),AND('Eval-Avec act. écol. envisagée'!$A$776=DY20, 'Eval-Avec act. écol. envisagée'!$G$776=""),AND('Eval-Avec act. écol. envisagée'!$A$777=DY20, 'Eval-Avec act. écol. envisagée'!$G$777=""),AND('Eval-Avec act. écol. envisagée'!$A$778=DY20, 'Eval-Avec act. écol. envisagée'!$G$778=""),AND('Eval-Avec act. écol. envisagée'!$A$779=DY20, 'Eval-Avec act. écol. envisagée'!$G$779=""),AND('Eval-Avec act. écol. envisagée'!$A$780=DY20, 'Eval-Avec act. écol. envisagée'!$G$780="")),"",SUM(IF('Eval-Avec act. écol. envisagée'!$A$761=DY20,'Eval-Avec act. écol. envisagée'!$G$761,0),IF('Eval-Avec act. écol. envisagée'!$A$762=DY20,'Eval-Avec act. écol. envisagée'!$G$762,0),IF('Eval-Avec act. écol. envisagée'!$A$763=DY20,'Eval-Avec act. écol. envisagée'!$G$763,0),IF('Eval-Avec act. écol. envisagée'!$A$764=DY20,'Eval-Avec act. écol. envisagée'!$G$764,0),IF('Eval-Avec act. écol. envisagée'!$A$765=DY20,'Eval-Avec act. écol. envisagée'!$G$765,0),IF('Eval-Avec act. écol. envisagée'!$A$766=DY20,'Eval-Avec act. écol. envisagée'!$G$766,0),IF('Eval-Avec act. écol. envisagée'!$A$767=DY20,'Eval-Avec act. écol. envisagée'!$G$767,0),IF('Eval-Avec act. écol. envisagée'!$A$768=DY20,'Eval-Avec act. écol. envisagée'!$G$768,0),IF('Eval-Avec act. écol. envisagée'!$A$769=DY20,'Eval-Avec act. écol. envisagée'!$G$769,0),IF('Eval-Avec act. écol. envisagée'!$A$770=DY20,'Eval-Avec act. écol. envisagée'!$G$770,0),IF('Eval-Avec act. écol. envisagée'!$A$771=DY20,'Eval-Avec act. écol. envisagée'!$G$771,0),IF('Eval-Avec act. écol. envisagée'!$A$772=DY20,'Eval-Avec act. écol. envisagée'!$G$772,0),IF('Eval-Avec act. écol. envisagée'!$A$773=DY20,'Eval-Avec act. écol. envisagée'!$G$773,0),IF('Eval-Avec act. écol. envisagée'!$A$774=DY20,'Eval-Avec act. écol. envisagée'!$G$774,0),IF('Eval-Avec act. écol. envisagée'!$A$775=DY20,'Eval-Avec act. écol. envisagée'!$G$775,0), IF('Eval-Avec act. écol. envisagée'!$A$776=DY20,'Eval-Avec act. écol. envisagée'!$G$776,0), IF('Eval-Avec act. écol. envisagée'!$A$777=DY20,'Eval-Avec act. écol. envisagée'!$G$777,0), IF('Eval-Avec act. écol. envisagée'!$A$778=DY20,'Eval-Avec act. écol. envisagée'!$G$778,0), IF('Eval-Avec act. écol. envisagée'!$A$779=DY20,'Eval-Avec act. écol. envisagée'!$G$779,0), IF('Eval-Avec act. écol. envisagée'!$A$780=DY20,'Eval-Avec act. écol. envisagée'!$G$780,0))/ COUNTIF('Eval-Avec act. écol. envisagée'!$A$761:$A$780,DY20)),"")</f>
        <v/>
      </c>
      <c r="EC20" s="212" t="str">
        <f>IF(COUNTIF('Eval-Avec act. écol. envisagée'!$A$761:$A$780,DY20)&gt;0,IF(SUM(IF('Eval-Avec act. écol. envisagée'!$A$761=DY20,COUNTA('Eval-Avec act. écol. envisagée'!$H$761),0),IF('Eval-Avec act. écol. envisagée'!$A$762=DY20,COUNTA('Eval-Avec act. écol. envisagée'!$H$762),0),IF('Eval-Avec act. écol. envisagée'!$A$763=DY20,COUNTA('Eval-Avec act. écol. envisagée'!$H$763),0),IF('Eval-Avec act. écol. envisagée'!$A$764=DY20,COUNTA('Eval-Avec act. écol. envisagée'!$H$764),0),IF('Eval-Avec act. écol. envisagée'!$A$765=DY20,COUNTA('Eval-Avec act. écol. envisagée'!$H$765),0),IF('Eval-Avec act. écol. envisagée'!$A$766=DY20,COUNTA('Eval-Avec act. écol. envisagée'!$H$766),0),IF('Eval-Avec act. écol. envisagée'!$A$767=DY20,COUNTA('Eval-Avec act. écol. envisagée'!$H$767),0),IF('Eval-Avec act. écol. envisagée'!$A$768=DY20,COUNTA('Eval-Avec act. écol. envisagée'!$H$768),0),IF('Eval-Avec act. écol. envisagée'!$A$769=DY20,COUNTA('Eval-Avec act. écol. envisagée'!$H$769),0),IF('Eval-Avec act. écol. envisagée'!$A$770=DY20,COUNTA('Eval-Avec act. écol. envisagée'!$H$770),0),IF('Eval-Avec act. écol. envisagée'!$A$771=DY20,COUNTA('Eval-Avec act. écol. envisagée'!$H$771),0),IF('Eval-Avec act. écol. envisagée'!$A$772=DY20,COUNTA('Eval-Avec act. écol. envisagée'!$H$772),0),IF('Eval-Avec act. écol. envisagée'!$A$773=DY20,COUNTA('Eval-Avec act. écol. envisagée'!$H$773),0),IF('Eval-Avec act. écol. envisagée'!$A$774=DY20,COUNTA('Eval-Avec act. écol. envisagée'!$H$774),0),IF('Eval-Avec act. écol. envisagée'!$A$775=DY20,COUNTA('Eval-Avec act. écol. envisagée'!$H$775),0),IF('Eval-Avec act. écol. envisagée'!$A$776=DY20,COUNTA('Eval-Avec act. écol. envisagée'!$H$776),0),IF('Eval-Avec act. écol. envisagée'!$A$777=DY20,COUNTA('Eval-Avec act. écol. envisagée'!$H$777),0),IF('Eval-Avec act. écol. envisagée'!$A$778=DY20,COUNTA('Eval-Avec act. écol. envisagée'!$H$778),0),IF('Eval-Avec act. écol. envisagée'!$A$779=DY20,COUNTA('Eval-Avec act. écol. envisagée'!$H$779),0),IF('Eval-Avec act. écol. envisagée'!$A$780=DY20,COUNTA('Eval-Avec act. écol. envisagée'!$H$780),0))&gt;0,"X",0),"")</f>
        <v/>
      </c>
      <c r="ED20" s="213" t="str">
        <f>IF(COUNTIF('Eval-Avec act. écol. envisagée'!$A$761:$A$780,DY20)&gt;0,IF(SUM(IF('Eval-Avec act. écol. envisagée'!$A$761=DY20,COUNTA('Eval-Avec act. écol. envisagée'!$I$761),0),IF('Eval-Avec act. écol. envisagée'!$A$762=DY20,COUNTA('Eval-Avec act. écol. envisagée'!$I$762),0),IF('Eval-Avec act. écol. envisagée'!$A$763=DY20,COUNTA('Eval-Avec act. écol. envisagée'!$I$763),0),IF('Eval-Avec act. écol. envisagée'!$A$764=DY20,COUNTA('Eval-Avec act. écol. envisagée'!$I$764),0),IF('Eval-Avec act. écol. envisagée'!$A$765=DY20,COUNTA('Eval-Avec act. écol. envisagée'!$I$765),0),IF('Eval-Avec act. écol. envisagée'!$A$766=DY20,COUNTA('Eval-Avec act. écol. envisagée'!$I$766),0),IF('Eval-Avec act. écol. envisagée'!$A$767=DY20,COUNTA('Eval-Avec act. écol. envisagée'!$I$767),0),IF('Eval-Avec act. écol. envisagée'!$A$768=DY20,COUNTA('Eval-Avec act. écol. envisagée'!$I$768),0),IF('Eval-Avec act. écol. envisagée'!$A$769=DY20,COUNTA('Eval-Avec act. écol. envisagée'!$I$769),0),IF('Eval-Avec act. écol. envisagée'!$A$770=DY20,COUNTA('Eval-Avec act. écol. envisagée'!$I$770),0),IF('Eval-Avec act. écol. envisagée'!$A$771=DY20,COUNTA('Eval-Avec act. écol. envisagée'!$I$771),0),IF('Eval-Avec act. écol. envisagée'!$A$772=DY20,COUNTA('Eval-Avec act. écol. envisagée'!$I$772),0),IF('Eval-Avec act. écol. envisagée'!$A$773=DY20,COUNTA('Eval-Avec act. écol. envisagée'!$I$773),0),IF('Eval-Avec act. écol. envisagée'!$A$774=DY20,COUNTA('Eval-Avec act. écol. envisagée'!$I$774),0),IF('Eval-Avec act. écol. envisagée'!$A$775=DY20,COUNTA('Eval-Avec act. écol. envisagée'!$I$775),0),IF('Eval-Avec act. écol. envisagée'!$A$776=DY20,COUNTA('Eval-Avec act. écol. envisagée'!$I$776),0),IF('Eval-Avec act. écol. envisagée'!$A$777=DY20,COUNTA('Eval-Avec act. écol. envisagée'!$I$777),0),IF('Eval-Avec act. écol. envisagée'!$A$778=DY20,COUNTA('Eval-Avec act. écol. envisagée'!$I$778),0),IF('Eval-Avec act. écol. envisagée'!$A$779=DY20,COUNTA('Eval-Avec act. écol. envisagée'!$I$779),0),IF('Eval-Avec act. écol. envisagée'!$A$780=DY20,COUNTA('Eval-Avec act. écol. envisagée'!$I$780),0))&gt;0,"X",0),"")</f>
        <v/>
      </c>
      <c r="EE20" s="213" t="str">
        <f>IF(COUNTIF('Eval-Avec act. écol. envisagée'!$A$761:$A$780,DY20)&gt;0,IF(SUM(IF('Eval-Avec act. écol. envisagée'!$A$761=DY20,COUNTA('Eval-Avec act. écol. envisagée'!$J$761),0),IF('Eval-Avec act. écol. envisagée'!$A$762=DY20,COUNTA('Eval-Avec act. écol. envisagée'!$J$762),0),IF('Eval-Avec act. écol. envisagée'!$A$763=DY20,COUNTA('Eval-Avec act. écol. envisagée'!$J$763),0),IF('Eval-Avec act. écol. envisagée'!$A$764=DY20,COUNTA('Eval-Avec act. écol. envisagée'!$J$764),0),IF('Eval-Avec act. écol. envisagée'!$A$765=DY20,COUNTA('Eval-Avec act. écol. envisagée'!$J$765),0),IF('Eval-Avec act. écol. envisagée'!$A$766=DY20,COUNTA('Eval-Avec act. écol. envisagée'!$J$766),0),IF('Eval-Avec act. écol. envisagée'!$A$767=DY20,COUNTA('Eval-Avec act. écol. envisagée'!$J$767),0),IF('Eval-Avec act. écol. envisagée'!$A$768=DY20,COUNTA('Eval-Avec act. écol. envisagée'!$J$768),0),IF('Eval-Avec act. écol. envisagée'!$A$769=DY20,COUNTA('Eval-Avec act. écol. envisagée'!$J$769),0),IF('Eval-Avec act. écol. envisagée'!$A$770=DY20,COUNTA('Eval-Avec act. écol. envisagée'!$J$770),0),IF('Eval-Avec act. écol. envisagée'!$A$771=DY20,COUNTA('Eval-Avec act. écol. envisagée'!$J$771),0),IF('Eval-Avec act. écol. envisagée'!$A$772=DY20,COUNTA('Eval-Avec act. écol. envisagée'!$J$772),0),IF('Eval-Avec act. écol. envisagée'!$A$773=DY20,COUNTA('Eval-Avec act. écol. envisagée'!$J$773),0),IF('Eval-Avec act. écol. envisagée'!$A$774=DY20,COUNTA('Eval-Avec act. écol. envisagée'!$J$774),0),IF('Eval-Avec act. écol. envisagée'!$A$775=DY20,COUNTA('Eval-Avec act. écol. envisagée'!$J$775),0),IF('Eval-Avec act. écol. envisagée'!$A$776=DY20,COUNTA('Eval-Avec act. écol. envisagée'!$J$776),0),IF('Eval-Avec act. écol. envisagée'!$A$777=DY20,COUNTA('Eval-Avec act. écol. envisagée'!$J$777),0),IF('Eval-Avec act. écol. envisagée'!$A$778=DY20,COUNTA('Eval-Avec act. écol. envisagée'!$J$778),0),IF('Eval-Avec act. écol. envisagée'!$A$779=DY20,COUNTA('Eval-Avec act. écol. envisagée'!$J$779),0),IF('Eval-Avec act. écol. envisagée'!$A$780=DY20,COUNTA('Eval-Avec act. écol. envisagée'!$J$780),0))&gt;0,"X",0),"")</f>
        <v/>
      </c>
      <c r="EF20" s="213" t="str">
        <f>IF(COUNTIF('Eval-Avec act. écol. envisagée'!$A$761:$A$780,DY20)&gt;0,IF(SUM(IF('Eval-Avec act. écol. envisagée'!$A$761=DY20,COUNTA('Eval-Avec act. écol. envisagée'!$K$761),0),IF('Eval-Avec act. écol. envisagée'!$A$762=DY20,COUNTA('Eval-Avec act. écol. envisagée'!$K$762),0),IF('Eval-Avec act. écol. envisagée'!$A$763=DY20,COUNTA('Eval-Avec act. écol. envisagée'!$K$763),0),IF('Eval-Avec act. écol. envisagée'!$A$764=DY20,COUNTA('Eval-Avec act. écol. envisagée'!$K$764),0),IF('Eval-Avec act. écol. envisagée'!$A$765=DY20,COUNTA('Eval-Avec act. écol. envisagée'!$K$765),0),IF('Eval-Avec act. écol. envisagée'!$A$766=DY20,COUNTA('Eval-Avec act. écol. envisagée'!$K$766),0),IF('Eval-Avec act. écol. envisagée'!$A$767=DY20,COUNTA('Eval-Avec act. écol. envisagée'!$K$767),0),IF('Eval-Avec act. écol. envisagée'!$A$768=DY20,COUNTA('Eval-Avec act. écol. envisagée'!$K$768),0),IF('Eval-Avec act. écol. envisagée'!$A$769=DY20,COUNTA('Eval-Avec act. écol. envisagée'!$K$769),0),IF('Eval-Avec act. écol. envisagée'!$A$770=DY20,COUNTA('Eval-Avec act. écol. envisagée'!$K$770),0),IF('Eval-Avec act. écol. envisagée'!$A$771=DY20,COUNTA('Eval-Avec act. écol. envisagée'!$K$771),0),IF('Eval-Avec act. écol. envisagée'!$A$772=DY20,COUNTA('Eval-Avec act. écol. envisagée'!$K$772),0),IF('Eval-Avec act. écol. envisagée'!$A$773=DY20,COUNTA('Eval-Avec act. écol. envisagée'!$K$773),0),IF('Eval-Avec act. écol. envisagée'!$A$774=DY20,COUNTA('Eval-Avec act. écol. envisagée'!$K$774),0),IF('Eval-Avec act. écol. envisagée'!$A$775=DY20,COUNTA('Eval-Avec act. écol. envisagée'!$K$775),0),IF('Eval-Avec act. écol. envisagée'!$A$776=DY20,COUNTA('Eval-Avec act. écol. envisagée'!$K$776),0),IF('Eval-Avec act. écol. envisagée'!$A$777=DY20,COUNTA('Eval-Avec act. écol. envisagée'!$K$777),0),IF('Eval-Avec act. écol. envisagée'!$A$778=DY20,COUNTA('Eval-Avec act. écol. envisagée'!$K$778),0),IF('Eval-Avec act. écol. envisagée'!$A$779=DY20,COUNTA('Eval-Avec act. écol. envisagée'!$K$779),0),IF('Eval-Avec act. écol. envisagée'!$A$780=DY20,COUNTA('Eval-Avec act. écol. envisagée'!$K$780),0))&gt;0,"X",0),"")</f>
        <v/>
      </c>
      <c r="EG20" s="211" t="str">
        <f>IF(COUNTIF('Eval-Avec act. écol. envisagée'!$A$761:$A$780,DY20)&gt;0,IF(OR(AND('Eval-Avec act. écol. envisagée'!$A$761=DY20,'Eval-Avec act. écol. envisagée'!$L$761&lt;120,'Eval-Avec act. écol. envisagée'!$L$761&gt;=EV9),AND('Eval-Avec act. écol. envisagée'!$A$762=DY20,'Eval-Avec act. écol. envisagée'!$L$762&lt;120,'Eval-Avec act. écol. envisagée'!$L$762&gt;=EV10),AND('Eval-Avec act. écol. envisagée'!$A$763=DY20,'Eval-Avec act. écol. envisagée'!$L$763&lt;120,'Eval-Avec act. écol. envisagée'!$L$763&gt;=EV11),AND('Eval-Avec act. écol. envisagée'!$A$764=DY20,'Eval-Avec act. écol. envisagée'!$L$764&lt;120,'Eval-Avec act. écol. envisagée'!$L$764&gt;=EV12),AND('Eval-Avec act. écol. envisagée'!$A$765=DY20,'Eval-Avec act. écol. envisagée'!$L$765&lt;120,'Eval-Avec act. écol. envisagée'!$L$765&gt;=EV13),AND('Eval-Avec act. écol. envisagée'!$A$766=DY20,'Eval-Avec act. écol. envisagée'!$L$766&lt;120,'Eval-Avec act. écol. envisagée'!$L$766&gt;=EV14),AND('Eval-Avec act. écol. envisagée'!$A$767=DY20,'Eval-Avec act. écol. envisagée'!$L$767&lt;120,'Eval-Avec act. écol. envisagée'!$L$767&gt;=EV15),AND('Eval-Avec act. écol. envisagée'!$A$768=DY20,'Eval-Avec act. écol. envisagée'!$L$768&lt;120,'Eval-Avec act. écol. envisagée'!$L$768&gt;=EV16),AND('Eval-Avec act. écol. envisagée'!$A$769=DY20,'Eval-Avec act. écol. envisagée'!$L$769&lt;120,'Eval-Avec act. écol. envisagée'!$L$769&gt;=EV17),AND('Eval-Avec act. écol. envisagée'!$A$770=DY20,'Eval-Avec act. écol. envisagée'!$L$770&lt;120,'Eval-Avec act. écol. envisagée'!$L$770&gt;=EV18),AND('Eval-Avec act. écol. envisagée'!$A$771=DY20,'Eval-Avec act. écol. envisagée'!$L$771&lt;120,'Eval-Avec act. écol. envisagée'!$L$771&gt;=EV19),AND('Eval-Avec act. écol. envisagée'!$A$772=DY20,'Eval-Avec act. écol. envisagée'!$L$772&lt;120,'Eval-Avec act. écol. envisagée'!$L$772&gt;=EV20),AND('Eval-Avec act. écol. envisagée'!$A$773=DY20,'Eval-Avec act. écol. envisagée'!$L$773&lt;120,'Eval-Avec act. écol. envisagée'!$L$773&gt;=EV21),AND('Eval-Avec act. écol. envisagée'!$A$774=DY20,'Eval-Avec act. écol. envisagée'!$L$774&lt;120,'Eval-Avec act. écol. envisagée'!$L$774&gt;=EV22),AND('Eval-Avec act. écol. envisagée'!$A$775=DY20,'Eval-Avec act. écol. envisagée'!$L$775&lt;120,'Eval-Avec act. écol. envisagée'!$L$775&gt;=EV23),AND('Eval-Avec act. écol. envisagée'!$A$776=DY20,'Eval-Avec act. écol. envisagée'!$L$776&lt;120,'Eval-Avec act. écol. envisagée'!$L$776&gt;=EV24),AND('Eval-Avec act. écol. envisagée'!$A$777=DY20,'Eval-Avec act. écol. envisagée'!$L$777&lt;120,'Eval-Avec act. écol. envisagée'!$L$777&gt;=EV25),AND('Eval-Avec act. écol. envisagée'!$A$778=DY20,'Eval-Avec act. écol. envisagée'!$L$778&lt;120,'Eval-Avec act. écol. envisagée'!$L$778&gt;=EV26),AND('Eval-Avec act. écol. envisagée'!$A$779=DY20,'Eval-Avec act. écol. envisagée'!$L$779&lt;120,'Eval-Avec act. écol. envisagée'!$L$779&gt;=EV27),AND('Eval-Avec act. écol. envisagée'!$A$780=DY20,'Eval-Avec act. écol. envisagée'!$L$780&lt;120,'Eval-Avec act. écol. envisagée'!$L$780&gt;=EV28)),"",SUM(IF('Eval-Avec act. écol. envisagée'!$A$761=DY20,'Eval-Avec act. écol. envisagée'!$L$761,0),IF('Eval-Avec act. écol. envisagée'!$A$762=DY20,'Eval-Avec act. écol. envisagée'!$L$762,0),IF('Eval-Avec act. écol. envisagée'!$A$763=DY20,'Eval-Avec act. écol. envisagée'!$L$763,0),IF('Eval-Avec act. écol. envisagée'!$A$764=DY20,'Eval-Avec act. écol. envisagée'!$L$764,0),IF('Eval-Avec act. écol. envisagée'!$A$765=DY20,'Eval-Avec act. écol. envisagée'!$L$765,0),IF('Eval-Avec act. écol. envisagée'!$A$766=DY20,'Eval-Avec act. écol. envisagée'!$L$766,0),IF('Eval-Avec act. écol. envisagée'!$A$767=DY20,'Eval-Avec act. écol. envisagée'!$L$767,0),IF('Eval-Avec act. écol. envisagée'!$A$768=DY20,'Eval-Avec act. écol. envisagée'!$L$768,0),IF('Eval-Avec act. écol. envisagée'!$A$769=DY20,'Eval-Avec act. écol. envisagée'!$L$769,0),IF('Eval-Avec act. écol. envisagée'!$A$770=DY20,'Eval-Avec act. écol. envisagée'!$L$770,0),IF('Eval-Avec act. écol. envisagée'!$A$771=DY20,'Eval-Avec act. écol. envisagée'!$L$771,0),IF('Eval-Avec act. écol. envisagée'!$A$772=DY20,'Eval-Avec act. écol. envisagée'!$L$772,0),IF('Eval-Avec act. écol. envisagée'!$A$773=DY20,'Eval-Avec act. écol. envisagée'!$L$773,0),IF('Eval-Avec act. écol. envisagée'!$A$774=DY20,'Eval-Avec act. écol. envisagée'!$L$774,0),IF('Eval-Avec act. écol. envisagée'!$A$775=DY20,'Eval-Avec act. écol. envisagée'!$L$775,0),IF('Eval-Avec act. écol. envisagée'!$A$776=DY20,'Eval-Avec act. écol. envisagée'!$L$776,0),IF('Eval-Avec act. écol. envisagée'!$A$777=DY20,'Eval-Avec act. écol. envisagée'!$L$777,0),IF('Eval-Avec act. écol. envisagée'!$A$778=DY20,'Eval-Avec act. écol. envisagée'!$L$778,0),IF('Eval-Avec act. écol. envisagée'!$A$779=DY20,'Eval-Avec act. écol. envisagée'!$L$779,0),IF('Eval-Avec act. écol. envisagée'!$A$780=DY20,'Eval-Avec act. écol. envisagée'!$L$780,0))/ COUNTIF('Eval-Avec act. écol. envisagée'!$A$761:$A$780,DY20)),"")</f>
        <v/>
      </c>
      <c r="EH20" s="211" t="str">
        <f>IF(COUNTIF('Eval-Avec act. écol. envisagée'!$A$761:$A$780,DY20)&gt;0,IF(OR(AND('Eval-Avec act. écol. envisagée'!$A$761=DY20, EV9&lt;120),AND(EV10&lt;120),AND(EV11&lt;120),AND(EV12&lt;120),AND(EV13&lt;120),AND(EV14&lt;120),AND(EV15&lt;120),AND(EV16&lt;120),AND(EV17&lt;120),AND(EV18&lt;120),AND(EV19&lt;120),AND(EV20&lt;120),AND(EV21&lt;120),AND(EV22&lt;120),AND(EV23&lt;120),AND(EV24&lt;120),AND(EV25&lt;120),AND(EV26&lt;120),AND(EV27&lt;120),AND(EV28&lt;120)),"",SUM(IF('Eval-Avec act. écol. envisagée'!$A$761=DY20,'Eval-Avec act. écol. envisagée'!$M$761,0),IF('Eval-Avec act. écol. envisagée'!$A$762=DY20,'Eval-Avec act. écol. envisagée'!$M$762,0),IF('Eval-Avec act. écol. envisagée'!$A$763=DY20,'Eval-Avec act. écol. envisagée'!$M$763,0),IF('Eval-Avec act. écol. envisagée'!$A$764=DY20,'Eval-Avec act. écol. envisagée'!$M$764,0),IF('Eval-Avec act. écol. envisagée'!$A$765=DY20,'Eval-Avec act. écol. envisagée'!$M$765,0),IF('Eval-Avec act. écol. envisagée'!$A$766=DY20,'Eval-Avec act. écol. envisagée'!$M$766,0),IF('Eval-Avec act. écol. envisagée'!$A$767=DY20,'Eval-Avec act. écol. envisagée'!$M$767,0),IF('Eval-Avec act. écol. envisagée'!$A$768=DY20,'Eval-Avec act. écol. envisagée'!$M$768,0),IF('Eval-Avec act. écol. envisagée'!$A$769=DY20,'Eval-Avec act. écol. envisagée'!$M$769,0),IF('Eval-Avec act. écol. envisagée'!$A$770=DY20,'Eval-Avec act. écol. envisagée'!$M$770,0),IF('Eval-Avec act. écol. envisagée'!$A$771=DY20,'Eval-Avec act. écol. envisagée'!$M$771,0),IF('Eval-Avec act. écol. envisagée'!$A$772=DY20,'Eval-Avec act. écol. envisagée'!$M$772,0),IF('Eval-Avec act. écol. envisagée'!$A$773=DY20,'Eval-Avec act. écol. envisagée'!$M$773,0),IF('Eval-Avec act. écol. envisagée'!$A$774=DY20,'Eval-Avec act. écol. envisagée'!$M$774,0),IF('Eval-Avec act. écol. envisagée'!$A$775=DY20,'Eval-Avec act. écol. envisagée'!$M$775,0), IF('Eval-Avec act. écol. envisagée'!$A$776=DY20,'Eval-Avec act. écol. envisagée'!$M$776,0), IF('Eval-Avec act. écol. envisagée'!$A$777=DY20,'Eval-Avec act. écol. envisagée'!$M$777,0), IF('Eval-Avec act. écol. envisagée'!$A$778=DY20,'Eval-Avec act. écol. envisagée'!$M$778,0), IF('Eval-Avec act. écol. envisagée'!$A$779=DY20,'Eval-Avec act. écol. envisagée'!$M$779,0), IF('Eval-Avec act. écol. envisagée'!$A$780=DY20,'Eval-Avec act. écol. envisagée'!$M$780,0))/COUNTIF('Eval-Avec act. écol. envisagée'!$A$761:$A$780,DY20)),"")</f>
        <v/>
      </c>
      <c r="EI20" s="211" t="str">
        <f>IF(COUNTIF('Eval-Avec act. écol. envisagée'!$A$761:$A$780,DY20)&gt;0,SUM(IF('Eval-Avec act. écol. envisagée'!$A$761=DY20,LEN(SUBSTITUTE((SUBSTITUTE(EX9,"TM","")),"TS",""))*10/2,0),IF('Eval-Avec act. écol. envisagée'!$A$762=DY20,LEN(SUBSTITUTE((SUBSTITUTE(EX10,"TM","")),"TS",""))*10/2,0),IF('Eval-Avec act. écol. envisagée'!$A$763=DY20,LEN(SUBSTITUTE((SUBSTITUTE(EX11,"TM","")),"TS",""))*10/2,0),IF('Eval-Avec act. écol. envisagée'!$A$764=DY20,LEN(SUBSTITUTE((SUBSTITUTE(EX12,"TM","")),"TS",""))*10/2,0),IF('Eval-Avec act. écol. envisagée'!$A$765=DY20,LEN(SUBSTITUTE((SUBSTITUTE(EX13,"TM","")),"TS",""))*10/2,0),IF('Eval-Avec act. écol. envisagée'!$A$766=DY20,LEN(SUBSTITUTE((SUBSTITUTE(EX14,"TM","")),"TS",""))*10/2,0),IF('Eval-Avec act. écol. envisagée'!$A$767=DY20,LEN(SUBSTITUTE((SUBSTITUTE(EX15,"TM","")),"TS",""))*10/2,0),IF('Eval-Avec act. écol. envisagée'!$A$768=DY20,LEN(SUBSTITUTE((SUBSTITUTE(EX16,"TM","")),"TS",""))*10/2,0),IF('Eval-Avec act. écol. envisagée'!$A$769=DY20,LEN(SUBSTITUTE((SUBSTITUTE(EX17,"TM","")),"TS",""))*10/2,0),IF('Eval-Avec act. écol. envisagée'!$A$770=DY20,LEN(SUBSTITUTE((SUBSTITUTE(EX18,"TM","")),"TS",""))*10/2,0),IF('Eval-Avec act. écol. envisagée'!$A$771=DY20,LEN(SUBSTITUTE((SUBSTITUTE(EX19,"TM","")),"TS",""))*10/2,0),IF('Eval-Avec act. écol. envisagée'!$A$772=DY20,LEN(SUBSTITUTE((SUBSTITUTE(EX20,"TM","")),"TS",""))*10/2,0),IF('Eval-Avec act. écol. envisagée'!$A$773=DY20,LEN(SUBSTITUTE((SUBSTITUTE(EX21,"TM","")),"TS",""))*10/2,0),IF('Eval-Avec act. écol. envisagée'!$A$774=DY20,LEN(SUBSTITUTE((SUBSTITUTE(EX22,"TM","")),"TS",""))*10/2,0),IF('Eval-Avec act. écol. envisagée'!$A$775=DY20,LEN(SUBSTITUTE((SUBSTITUTE(EX23,"TM","")),"TS",""))*10/2,0),IF('Eval-Avec act. écol. envisagée'!$A$776=DY20,LEN(SUBSTITUTE((SUBSTITUTE(EX24,"TM","")),"TS",""))*10/2,0),IF('Eval-Avec act. écol. envisagée'!$A$777=DY20,LEN(SUBSTITUTE((SUBSTITUTE(EX25,"TM","")),"TS",""))*10/2,0),IF('Eval-Avec act. écol. envisagée'!$A$778=DY20,LEN(SUBSTITUTE((SUBSTITUTE(EX26,"TM","")),"TS",""))*10/2,0),IF('Eval-Avec act. écol. envisagée'!$A$779=DY20,LEN(SUBSTITUTE((SUBSTITUTE(EX27,"TM","")),"TS",""))*10/2,0),IF('Eval-Avec act. écol. envisagée'!$A$780=DY20,LEN(SUBSTITUTE((SUBSTITUTE(EX28,"TM","")),"TS",""))*10/2,0))/COUNTIF('Eval-Avec act. écol. envisagée'!$A$761:$A$780,DY20),"")</f>
        <v/>
      </c>
      <c r="EJ20" s="211" t="str">
        <f>IF(COUNTIF('Eval-Avec act. écol. envisagée'!$A$761:$A$780,DY20)&gt;0,SUM(IF('Eval-Avec act. écol. envisagée'!$A$761=DY20,LEN(SUBSTITUTE((SUBSTITUTE(EX9,"TF","")),"TS",""))*10/2,0),IF('Eval-Avec act. écol. envisagée'!$A$762=DY20,LEN(SUBSTITUTE((SUBSTITUTE(EX10,"TF","")),"TS",""))*10/2,0),IF('Eval-Avec act. écol. envisagée'!$A$763=DY20,LEN(SUBSTITUTE((SUBSTITUTE(EX11,"TF","")),"TS",""))*10/2,0),IF('Eval-Avec act. écol. envisagée'!$A$764=DY20,LEN(SUBSTITUTE((SUBSTITUTE(EX12,"TF","")),"TS",""))*10/2,0),IF('Eval-Avec act. écol. envisagée'!$A$765=DY20,LEN(SUBSTITUTE((SUBSTITUTE(EX13,"TF","")),"TS",""))*10/2,0),IF('Eval-Avec act. écol. envisagée'!$A$766=DY20,LEN(SUBSTITUTE((SUBSTITUTE(EX14,"TF","")),"TS",""))*10/2,0),IF('Eval-Avec act. écol. envisagée'!$A$767=DY20,LEN(SUBSTITUTE((SUBSTITUTE(EX15,"TF","")),"TS",""))*10/2,0),IF('Eval-Avec act. écol. envisagée'!$A$768=DY20,LEN(SUBSTITUTE((SUBSTITUTE(EX16,"TF","")),"TS",""))*10/2,0),IF('Eval-Avec act. écol. envisagée'!$A$769=DY20,LEN(SUBSTITUTE((SUBSTITUTE(EX17,"TF","")),"TS",""))*10/2,0),IF('Eval-Avec act. écol. envisagée'!$A$770=DY20,LEN(SUBSTITUTE((SUBSTITUTE(EX18,"TF","")),"TS",""))*10/2,0),IF('Eval-Avec act. écol. envisagée'!$A$771=DY20,LEN(SUBSTITUTE((SUBSTITUTE(EX19,"TF","")),"TS",""))*10/2,0),IF('Eval-Avec act. écol. envisagée'!$A$772=DY20,LEN(SUBSTITUTE((SUBSTITUTE(EX20,"TF","")),"TS",""))*10/2,0),IF('Eval-Avec act. écol. envisagée'!$A$773=DY20,LEN(SUBSTITUTE((SUBSTITUTE(EX21,"TF","")),"TS",""))*10/2,0),IF('Eval-Avec act. écol. envisagée'!$A$774=DY20,LEN(SUBSTITUTE((SUBSTITUTE(EX22,"TF","")),"TS",""))*10/2,0),IF('Eval-Avec act. écol. envisagée'!$A$775=DY20,LEN(SUBSTITUTE((SUBSTITUTE(EX23,"TF","")),"TS",""))*10/2,0),IF('Eval-Avec act. écol. envisagée'!$A$776=DY20,LEN(SUBSTITUTE((SUBSTITUTE(EX24,"TF","")),"TS",""))*10/2,0),IF('Eval-Avec act. écol. envisagée'!$A$777=DY20,LEN(SUBSTITUTE((SUBSTITUTE(EX25,"TF","")),"TS",""))*10/2,0),IF('Eval-Avec act. écol. envisagée'!$A$778=DY20,LEN(SUBSTITUTE((SUBSTITUTE(EX26,"TF","")),"TS",""))*10/2,0),IF('Eval-Avec act. écol. envisagée'!$A$779=DY20,LEN(SUBSTITUTE((SUBSTITUTE(EX27,"TF","")),"TS",""))*10/2,0),IF('Eval-Avec act. écol. envisagée'!$A$780=DY20,LEN(SUBSTITUTE((SUBSTITUTE(EX28,"TF","")),"TS",""))*10/2,0))/COUNTIF('Eval-Avec act. écol. envisagée'!$A$761:$A$780,DY20),"")</f>
        <v/>
      </c>
      <c r="EK20" s="211" t="str">
        <f>IF(COUNTIF('Eval-Avec act. écol. envisagée'!$A$761:$A$780,DY20)&gt;0,SUM(IF('Eval-Avec act. écol. envisagée'!$A$761=DY20,LEN(SUBSTITUTE((SUBSTITUTE(EX9,"TF","")),"TM",""))*10/2,0),IF('Eval-Avec act. écol. envisagée'!$A$762=DY20,LEN(SUBSTITUTE((SUBSTITUTE(EX10,"TF","")),"TM",""))*10/2,0),IF('Eval-Avec act. écol. envisagée'!$A$763=DY20,LEN(SUBSTITUTE((SUBSTITUTE(EX11,"TF","")),"TM",""))*10/2,0),IF('Eval-Avec act. écol. envisagée'!$A$764=DY20,LEN(SUBSTITUTE((SUBSTITUTE(EX12,"TF","")),"TM",""))*10/2,0),IF('Eval-Avec act. écol. envisagée'!$A$765=DY20,LEN(SUBSTITUTE((SUBSTITUTE(EX13,"TF","")),"TM",""))*10/2,0),IF('Eval-Avec act. écol. envisagée'!$A$766=DY20,LEN(SUBSTITUTE((SUBSTITUTE(EX14,"TF","")),"TM",""))*10/2,0),IF('Eval-Avec act. écol. envisagée'!$A$767=DY20,LEN(SUBSTITUTE((SUBSTITUTE(EX15,"TF","")),"TM",""))*10/2,0),IF('Eval-Avec act. écol. envisagée'!$A$768=DY20,LEN(SUBSTITUTE((SUBSTITUTE(EX16,"TF","")),"TM",""))*10/2,0),IF('Eval-Avec act. écol. envisagée'!$A$769=DY20,LEN(SUBSTITUTE((SUBSTITUTE(EX17,"TF","")),"TM",""))*10/2,0),IF('Eval-Avec act. écol. envisagée'!$A$770=DY20,LEN(SUBSTITUTE((SUBSTITUTE(EX18,"TF","")),"TM",""))*10/2,0),IF('Eval-Avec act. écol. envisagée'!$A$771=DY20,LEN(SUBSTITUTE((SUBSTITUTE(EX19,"TF","")),"TM",""))*10/2,0),IF('Eval-Avec act. écol. envisagée'!$A$772=DY20,LEN(SUBSTITUTE((SUBSTITUTE(EX20,"TF","")),"TM",""))*10/2,0),IF('Eval-Avec act. écol. envisagée'!$A$773=DY20,LEN(SUBSTITUTE((SUBSTITUTE(EX21,"TF","")),"TM",""))*10/2,0),IF('Eval-Avec act. écol. envisagée'!$A$774=DY20,LEN(SUBSTITUTE((SUBSTITUTE(EX22,"TF","")),"TM",""))*10/2,0),IF('Eval-Avec act. écol. envisagée'!$A$775=DY20,LEN(SUBSTITUTE((SUBSTITUTE(EX23,"TF","")),"TM",""))*10/2,0),IF('Eval-Avec act. écol. envisagée'!$A$776=DY20,LEN(SUBSTITUTE((SUBSTITUTE(EX24,"TF","")),"TM",""))*10/2,0),IF('Eval-Avec act. écol. envisagée'!$A$777=DY20,LEN(SUBSTITUTE((SUBSTITUTE(EX25,"TF","")),"TM",""))*10/2,0),IF('Eval-Avec act. écol. envisagée'!$A$778=DY20,LEN(SUBSTITUTE((SUBSTITUTE(EX26,"TF","")),"TM",""))*10/2,0),IF('Eval-Avec act. écol. envisagée'!$A$779=DY20,LEN(SUBSTITUTE((SUBSTITUTE(EX27,"TF","")),"TM",""))*10/2,0),IF('Eval-Avec act. écol. envisagée'!$A$780=DY20,LEN(SUBSTITUTE((SUBSTITUTE(EX28,"TF","")),"TM",""))*10/2,0))/COUNTIF('Eval-Avec act. écol. envisagée'!$A$761:$A$780,DY20),"")</f>
        <v/>
      </c>
      <c r="EL20" s="211" t="str">
        <f>IF(COUNTIF('Eval-Avec act. écol. envisagée'!$A$761:$A$780,DY20)&gt;0,SUM(IF('Eval-Avec act. écol. envisagée'!$A$761=DY20,LEN(SUBSTITUTE((SUBSTITUTE(EY9,"TM","")),"TS",""))*10/2,0),IF('Eval-Avec act. écol. envisagée'!$A$762=DY20,LEN(SUBSTITUTE((SUBSTITUTE(EY10,"TM","")),"TS",""))*10/2,0),IF('Eval-Avec act. écol. envisagée'!$A$763=DY20,LEN(SUBSTITUTE((SUBSTITUTE(EY11,"TM","")),"TS",""))*10/2,0),IF('Eval-Avec act. écol. envisagée'!$A$764=DY20,LEN(SUBSTITUTE((SUBSTITUTE(EY12,"TM","")),"TS",""))*10/2,0),IF('Eval-Avec act. écol. envisagée'!$A$765=DY20,LEN(SUBSTITUTE((SUBSTITUTE(EY13,"TM","")),"TS",""))*10/2,0),IF('Eval-Avec act. écol. envisagée'!$A$766=DY20,LEN(SUBSTITUTE((SUBSTITUTE(EY14,"TM","")),"TS",""))*10/2,0),IF('Eval-Avec act. écol. envisagée'!$A$767=DY20,LEN(SUBSTITUTE((SUBSTITUTE(EY15,"TM","")),"TS",""))*10/2,0),IF('Eval-Avec act. écol. envisagée'!$A$768=DY20,LEN(SUBSTITUTE((SUBSTITUTE(EY16,"TM","")),"TS",""))*10/2,0),IF('Eval-Avec act. écol. envisagée'!$A$769=DY20,LEN(SUBSTITUTE((SUBSTITUTE(EY17,"TM","")),"TS",""))*10/2,0),IF('Eval-Avec act. écol. envisagée'!$A$770=DY20,LEN(SUBSTITUTE((SUBSTITUTE(EY18,"TM","")),"TS",""))*10/2,0),IF('Eval-Avec act. écol. envisagée'!$A$771=DY20,LEN(SUBSTITUTE((SUBSTITUTE(EY19,"TM","")),"TS",""))*10/2,0),IF('Eval-Avec act. écol. envisagée'!$A$772=DY20,LEN(SUBSTITUTE((SUBSTITUTE(EY20,"TM","")),"TS",""))*10/2,0),IF('Eval-Avec act. écol. envisagée'!$A$773=DY20,LEN(SUBSTITUTE((SUBSTITUTE(EY21,"TM","")),"TS",""))*10/2,0),IF('Eval-Avec act. écol. envisagée'!$A$774=DY20,LEN(SUBSTITUTE((SUBSTITUTE(EY22,"TM","")),"TS",""))*10/2,0),IF('Eval-Avec act. écol. envisagée'!$A$775=DY20,LEN(SUBSTITUTE((SUBSTITUTE(EY23,"TM","")),"TS",""))*10/2,0),IF('Eval-Avec act. écol. envisagée'!$A$776=DY20,LEN(SUBSTITUTE((SUBSTITUTE(EY24,"TM","")),"TS",""))*10/2,0),IF('Eval-Avec act. écol. envisagée'!$A$777=DY20,LEN(SUBSTITUTE((SUBSTITUTE(EY25,"TM","")),"TS",""))*10/2,0),IF('Eval-Avec act. écol. envisagée'!$A$778=DY20,LEN(SUBSTITUTE((SUBSTITUTE(EY26,"TM","")),"TS",""))*10/2,0),IF('Eval-Avec act. écol. envisagée'!$A$779=DY20,LEN(SUBSTITUTE((SUBSTITUTE(EY27,"TM","")),"TS",""))*10/2,0),IF('Eval-Avec act. écol. envisagée'!$A$780=DY20,LEN(SUBSTITUTE((SUBSTITUTE(EY28,"TM","")),"TS",""))*10/2,0))/COUNTIF('Eval-Avec act. écol. envisagée'!$A$761:$A$780,DY20),"")</f>
        <v/>
      </c>
      <c r="EM20" s="211" t="str">
        <f>IF(COUNTIF('Eval-Avec act. écol. envisagée'!$A$761:$A$780,DY20)&gt;0,SUM(IF('Eval-Avec act. écol. envisagée'!$A$761=DY20,LEN(SUBSTITUTE((SUBSTITUTE(EY9,"TF","")),"TS",""))*10/2,0),IF('Eval-Avec act. écol. envisagée'!$A$762=DY20,LEN(SUBSTITUTE((SUBSTITUTE(EY10,"TF","")),"TS",""))*10/2,0),IF('Eval-Avec act. écol. envisagée'!$A$763=DY20,LEN(SUBSTITUTE((SUBSTITUTE(EY11,"TF","")),"TS",""))*10/2,0),IF('Eval-Avec act. écol. envisagée'!$A$764=DY20,LEN(SUBSTITUTE((SUBSTITUTE(EY12,"TF","")),"TS",""))*10/2,0),IF('Eval-Avec act. écol. envisagée'!$A$765=DY20,LEN(SUBSTITUTE((SUBSTITUTE(EY13,"TF","")),"TS",""))*10/2,0),IF('Eval-Avec act. écol. envisagée'!$A$766=DY20,LEN(SUBSTITUTE((SUBSTITUTE(EY14,"TF","")),"TS",""))*10/2,0),IF('Eval-Avec act. écol. envisagée'!$A$767=DY20,LEN(SUBSTITUTE((SUBSTITUTE(EY15,"TF","")),"TS",""))*10/2,0),IF('Eval-Avec act. écol. envisagée'!$A$768=DY20,LEN(SUBSTITUTE((SUBSTITUTE(EY16,"TF","")),"TS",""))*10/2,0),IF('Eval-Avec act. écol. envisagée'!$A$769=DY20,LEN(SUBSTITUTE((SUBSTITUTE(EY17,"TF","")),"TS",""))*10/2,0),IF('Eval-Avec act. écol. envisagée'!$A$770=DY20,LEN(SUBSTITUTE((SUBSTITUTE(EY18,"TF","")),"TS",""))*10/2,0),IF('Eval-Avec act. écol. envisagée'!$A$771=DY20,LEN(SUBSTITUTE((SUBSTITUTE(EY19,"TF","")),"TS",""))*10/2,0),IF('Eval-Avec act. écol. envisagée'!$A$772=DY20,LEN(SUBSTITUTE((SUBSTITUTE(EY20,"TF","")),"TS",""))*10/2,0),IF('Eval-Avec act. écol. envisagée'!$A$773=DY20,LEN(SUBSTITUTE((SUBSTITUTE(EY21,"TF","")),"TS",""))*10/2,0),IF('Eval-Avec act. écol. envisagée'!$A$774=DY20,LEN(SUBSTITUTE((SUBSTITUTE(EY22,"TF","")),"TS",""))*10/2,0),IF('Eval-Avec act. écol. envisagée'!$A$775=DY20,LEN(SUBSTITUTE((SUBSTITUTE(EY23,"TF","")),"TS",""))*10/2,0),IF('Eval-Avec act. écol. envisagée'!$A$776=DY20,LEN(SUBSTITUTE((SUBSTITUTE(EY24,"TF","")),"TS",""))*10/2,0),IF('Eval-Avec act. écol. envisagée'!$A$777=DY20,LEN(SUBSTITUTE((SUBSTITUTE(EY25,"TF","")),"TS",""))*10/2,0),IF('Eval-Avec act. écol. envisagée'!$A$778=DY20,LEN(SUBSTITUTE((SUBSTITUTE(EY26,"TF","")),"TS",""))*10/2,0),IF('Eval-Avec act. écol. envisagée'!$A$779=DY20,LEN(SUBSTITUTE((SUBSTITUTE(EY27,"TF","")),"TS",""))*10/2,0),IF('Eval-Avec act. écol. envisagée'!$A$780=DY20,LEN(SUBSTITUTE((SUBSTITUTE(EY28,"TF","")),"TS",""))*10/2,0))/COUNTIF('Eval-Avec act. écol. envisagée'!$A$761:$A$780,DY20),"")</f>
        <v/>
      </c>
      <c r="EN20" s="211" t="str">
        <f>IF(COUNTIF('Eval-Avec act. écol. envisagée'!$A$761:$A$780,DY20)&gt;0,SUM(IF('Eval-Avec act. écol. envisagée'!$A$761=DY20,LEN(SUBSTITUTE((SUBSTITUTE(EY9,"TF","")),"TM",""))*10/2,0),IF('Eval-Avec act. écol. envisagée'!$A$762=DY20,LEN(SUBSTITUTE((SUBSTITUTE(EY10,"TF","")),"TM",""))*10/2,0),IF('Eval-Avec act. écol. envisagée'!$A$763=DY20,LEN(SUBSTITUTE((SUBSTITUTE(EY11,"TF","")),"TM",""))*10/2,0),IF('Eval-Avec act. écol. envisagée'!$A$764=DY20,LEN(SUBSTITUTE((SUBSTITUTE(EY12,"TF","")),"TM",""))*10/2,0),IF('Eval-Avec act. écol. envisagée'!$A$765=DY20,LEN(SUBSTITUTE((SUBSTITUTE(EY13,"TF","")),"TM",""))*10/2,0),IF('Eval-Avec act. écol. envisagée'!$A$766=DY20,LEN(SUBSTITUTE((SUBSTITUTE(EY14,"TF","")),"TM",""))*10/2,0),IF('Eval-Avec act. écol. envisagée'!$A$767=DY20,LEN(SUBSTITUTE((SUBSTITUTE(EY15,"TF","")),"TM",""))*10/2,0),IF('Eval-Avec act. écol. envisagée'!$A$768=DY20,LEN(SUBSTITUTE((SUBSTITUTE(EY16,"TF","")),"TM",""))*10/2,0),IF('Eval-Avec act. écol. envisagée'!$A$769=DY20,LEN(SUBSTITUTE((SUBSTITUTE(EY17,"TF","")),"TM",""))*10/2,0),IF('Eval-Avec act. écol. envisagée'!$A$770=DY20,LEN(SUBSTITUTE((SUBSTITUTE(EY18,"TF","")),"TM",""))*10/2,0),IF('Eval-Avec act. écol. envisagée'!$A$771=DY20,LEN(SUBSTITUTE((SUBSTITUTE(EY19,"TF","")),"TM",""))*10/2,0),IF('Eval-Avec act. écol. envisagée'!$A$772=DY20,LEN(SUBSTITUTE((SUBSTITUTE(EY20,"TF","")),"TM",""))*10/2,0),IF('Eval-Avec act. écol. envisagée'!$A$773=DY20,LEN(SUBSTITUTE((SUBSTITUTE(EY21,"TF","")),"TM",""))*10/2,0),IF('Eval-Avec act. écol. envisagée'!$A$774=DY20,LEN(SUBSTITUTE((SUBSTITUTE(EY22,"TF","")),"TM",""))*10/2,0),IF('Eval-Avec act. écol. envisagée'!$A$775=DY20,LEN(SUBSTITUTE((SUBSTITUTE(EY23,"TF","")),"TM",""))*10/2,0),IF('Eval-Avec act. écol. envisagée'!$A$776=DY20,LEN(SUBSTITUTE((SUBSTITUTE(EY24,"TF","")),"TM",""))*10/2,0),IF('Eval-Avec act. écol. envisagée'!$A$777=DY20,LEN(SUBSTITUTE((SUBSTITUTE(EY25,"TF","")),"TM",""))*10/2,0),IF('Eval-Avec act. écol. envisagée'!$A$778=DY20,LEN(SUBSTITUTE((SUBSTITUTE(EY26,"TF","")),"TM",""))*10/2,0),IF('Eval-Avec act. écol. envisagée'!$A$779=DY20,LEN(SUBSTITUTE((SUBSTITUTE(EY27,"TF","")),"TM",""))*10/2,0),IF('Eval-Avec act. écol. envisagée'!$A$780=DY20,LEN(SUBSTITUTE((SUBSTITUTE(EY28,"TF","")),"TM",""))*10/2,0))/COUNTIF('Eval-Avec act. écol. envisagée'!$A$761:$A$780,DY20),"")</f>
        <v/>
      </c>
      <c r="EO20" s="211" t="str">
        <f>IF(COUNTIF('Eval-Avec act. écol. envisagée'!$A$761:$A$780,DY20)&gt;0,IF(OR(AND('Eval-Avec act. écol. envisagée'!$A$761=DY20,EV9&lt;30),AND('Eval-Avec act. écol. envisagée'!$A$762=DY20,EV10&lt;30),AND('Eval-Avec act. écol. envisagée'!$A$763=DY20,EV11&lt;30),AND('Eval-Avec act. écol. envisagée'!$A$764=DY20,EV12&lt;30),AND('Eval-Avec act. écol. envisagée'!$A$765=DY20,EV13&lt;30),AND('Eval-Avec act. écol. envisagée'!$A$766=DY20,EV14&lt;30),AND('Eval-Avec act. écol. envisagée'!$A$767=DY20,EV15&lt;30),AND('Eval-Avec act. écol. envisagée'!$A$768=DY20,EV16&lt;30),AND('Eval-Avec act. écol. envisagée'!$A$769=DY20,EV17&lt;30),AND('Eval-Avec act. écol. envisagée'!$A$770=DY20,EV18&lt;30),AND('Eval-Avec act. écol. envisagée'!$A$771=DY20,EV19&lt;30),AND('Eval-Avec act. écol. envisagée'!$A$772=DY20,EV20&lt;30),AND('Eval-Avec act. écol. envisagée'!$A$773=DY20,EV21&lt;30),AND('Eval-Avec act. écol. envisagée'!$A$774=DY20,EV22&lt;30),AND('Eval-Avec act. écol. envisagée'!$A$775=DY20,EV23&lt;30),AND('Eval-Avec act. écol. envisagée'!$A$776=DY20,EV24&lt;30),AND('Eval-Avec act. écol. envisagée'!$A$777=DY20,EV25&lt;30),AND('Eval-Avec act. écol. envisagée'!$A$778=DY20,EV26&lt;30),AND('Eval-Avec act. écol. envisagée'!$A$779=DY20,EV27&lt;30),AND('Eval-Avec act. écol. envisagée'!$A$780=DY20,EV28&lt;30)),"",SUM(0.1*(SUMPRODUCT(('Eval-Avec act. écol. envisagée'!$A$761:$A$780=DY20)*('Eval-Avec act. écol. envisagée'!$N$761:$P$780="A"))+ SUMPRODUCT(('Eval-Avec act. écol. envisagée'!$A$761:$A$780=DY20)*('Eval-Avec act. écol. envisagée'!$N$761:$P$780="AL"))),0.7*(SUMPRODUCT(('Eval-Avec act. écol. envisagée'!$A$761:$A$780=DY20)*('Eval-Avec act. écol. envisagée'!$N$761:$P$780="TF"))+SUMPRODUCT(('Eval-Avec act. écol. envisagée'!$A$761:$A$780=DY20)*('Eval-Avec act. écol. envisagée'!$N$761:$P$780="TM"))+SUMPRODUCT(('Eval-Avec act. écol. envisagée'!$A$761:$A$780=DY20)*('Eval-Avec act. écol. envisagée'!$N$761:$P$780="TS"))),0.4*(SUMPRODUCT(('Eval-Avec act. écol. envisagée'!$A$761:$A$780=DY20)*('Eval-Avec act. écol. envisagée'!$N$761:$P$780="LA"))+SUMPRODUCT(('Eval-Avec act. écol. envisagée'!$A$761:$A$780=DY20)*('Eval-Avec act. écol. envisagée'!$N$761:$P$780="L"))+SUMPRODUCT(('Eval-Avec act. écol. envisagée'!$A$761:$A$780=DY20)*('Eval-Avec act. écol. envisagée'!$N$761:$P$780="LS"))),1*(SUMPRODUCT(('Eval-Avec act. écol. envisagée'!$A$761:$A$780=DY20)*('Eval-Avec act. écol. envisagée'!$N$761:$P$780="SL"))+ SUMPRODUCT(('Eval-Avec act. écol. envisagée'!$A$761:$A$780=DY20)*('Eval-Avec act. écol. envisagée'!$N$761:$P$780="S"))))/(3*COUNTIF('Eval-Avec act. écol. envisagée'!$A$761:$A$780,DY20))),"")</f>
        <v/>
      </c>
      <c r="EP20" s="211" t="str">
        <f>IF(COUNTIF('Eval-Avec act. écol. envisagée'!$A$761:$A$780,DY20)&gt;0,IF(OR(AND('Eval-Avec act. écol. envisagée'!$A$761=DY20,EV9&lt;120),AND('Eval-Avec act. écol. envisagée'!$A$762=DY20,EV10&lt;120),AND('Eval-Avec act. écol. envisagée'!$A$763=DY20,EV11&lt;120),AND('Eval-Avec act. écol. envisagée'!$A$764=DY20,EV12&lt;120),AND('Eval-Avec act. écol. envisagée'!$A$765=DY20,EV13&lt;120),AND('Eval-Avec act. écol. envisagée'!$A$766=DY20,EV14&lt;120),AND('Eval-Avec act. écol. envisagée'!$A$767=DY20,EV15&lt;120),AND('Eval-Avec act. écol. envisagée'!$A$768=DY20,EV16&lt;120),AND('Eval-Avec act. écol. envisagée'!$A$769=DY20,EV17&lt;120),AND('Eval-Avec act. écol. envisagée'!$A$770=DY20,EV18&lt;120),AND('Eval-Avec act. écol. envisagée'!$A$771=DY20,EV19&lt;120),AND('Eval-Avec act. écol. envisagée'!$A$772=DY20,EV20&lt;120),AND('Eval-Avec act. écol. envisagée'!$A$773=DY20,EV21&lt;120),AND('Eval-Avec act. écol. envisagée'!$A$774=DY20,EV22&lt;120),AND('Eval-Avec act. écol. envisagée'!$A$775=DY20,EV23&lt;120),AND('Eval-Avec act. écol. envisagée'!$A$776=DY20,EV24&lt;120),AND('Eval-Avec act. écol. envisagée'!$A$777=DY20,EV25&lt;120),AND('Eval-Avec act. écol. envisagée'!$A$778=DY20,EV26&lt;120),AND('Eval-Avec act. écol. envisagée'!$A$779=DY20,EV27&lt;120),AND('Eval-Avec act. écol. envisagée'!$A$780=DY20,EV28&lt;120)),"",SUM(0.1*(SUMPRODUCT(('Eval-Avec act. écol. envisagée'!$A$761:$A$780=DY20)*('Eval-Avec act. écol. envisagée'!$Q$761:$Y$780="A"))+ SUMPRODUCT(('Eval-Avec act. écol. envisagée'!$A$761:$A$780=DY20)*('Eval-Avec act. écol. envisagée'!$Q$761:$Y$780="AL"))),0.7*(SUMPRODUCT(('Eval-Avec act. écol. envisagée'!$A$761:$A$780=DY20)*('Eval-Avec act. écol. envisagée'!$Q$761:$Y$780="TF"))+SUMPRODUCT(('Eval-Avec act. écol. envisagée'!$A$761:$A$780=DY20)*('Eval-Avec act. écol. envisagée'!$Q$761:$Y$780="TM"))+SUMPRODUCT(('Eval-Avec act. écol. envisagée'!$A$761:$A$780=DY20)*('Eval-Avec act. écol. envisagée'!$Q$761:$Y$780="TS"))),0.4*(SUMPRODUCT(('Eval-Avec act. écol. envisagée'!$A$761:$A$780=DY20)*('Eval-Avec act. écol. envisagée'!$Q$761:$Y$780="LA"))+SUMPRODUCT(('Eval-Avec act. écol. envisagée'!$A$761:$A$780=DY20)*('Eval-Avec act. écol. envisagée'!$Q$761:$Y$780="L"))+SUMPRODUCT(('Eval-Avec act. écol. envisagée'!$A$761:$A$780=DY20)*('Eval-Avec act. écol. envisagée'!$Q$761:$Y$780="LS"))),1*(SUMPRODUCT(('Eval-Avec act. écol. envisagée'!$A$761:$A$780=DY20)*('Eval-Avec act. écol. envisagée'!$Q$761:$Y$780="SL"))+ SUMPRODUCT(('Eval-Avec act. écol. envisagée'!$A$761:$A$780=DY20)*('Eval-Avec act. écol. envisagée'!$Q$761:$Y$780="S"))))/(9*COUNTIF('Eval-Avec act. écol. envisagée'!$A$761:$A$780,DY20))),"")</f>
        <v/>
      </c>
      <c r="EQ20" s="211" t="str">
        <f>IF(COUNTIF('Eval-Avec act. écol. envisagée'!$A$761:$A$780,DY20)&gt;0,IF(OR(AND('Eval-Avec act. écol. envisagée'!$A$761=DY20,OR(COUNTIF('Eval-Avec act. écol. envisagée'!$N$761:$P$761,"*T*")&gt;0,EV9&lt;30)),AND('Eval-Avec act. écol. envisagée'!$A$762=DY20,OR(COUNTIF('Eval-Avec act. écol. envisagée'!$N$762:$P$762,"*T*")&gt;0,EV10&lt;30)),AND('Eval-Avec act. écol. envisagée'!$A$763=DY20,OR(COUNTIF('Eval-Avec act. écol. envisagée'!$N$763:$P$763,"*T*")&gt;0,EV11&lt;30)),AND('Eval-Avec act. écol. envisagée'!$A$764=DY20,OR(COUNTIF('Eval-Avec act. écol. envisagée'!$N$764:$P$764,"*T*")&gt;0,EV12&lt;30)),AND('Eval-Avec act. écol. envisagée'!$A$765=DY20,OR(COUNTIF('Eval-Avec act. écol. envisagée'!$N$765:$P$765,"*T*")&gt;0,EV13&lt;30)),AND('Eval-Avec act. écol. envisagée'!$A$766=DY20,OR(COUNTIF('Eval-Avec act. écol. envisagée'!$N$766:$P$766,"*T*")&gt;0,EV14&lt;30)),AND('Eval-Avec act. écol. envisagée'!$A$767=DY20,OR(COUNTIF('Eval-Avec act. écol. envisagée'!$N$767:$P$767,"*T*")&gt;0,EV15&lt;30)),AND('Eval-Avec act. écol. envisagée'!$A$768=DY20,OR(COUNTIF('Eval-Avec act. écol. envisagée'!$N$768:$P$768,"*T*")&gt;0,EV16&lt;30)),AND('Eval-Avec act. écol. envisagée'!$A$769=DY20,OR(COUNTIF('Eval-Avec act. écol. envisagée'!$N$769:$P$769,"*T*")&gt;0,EV17&lt;30)),AND('Eval-Avec act. écol. envisagée'!$A$770=DY20,OR(COUNTIF('Eval-Avec act. écol. envisagée'!$N$770:$P$770,"*T*")&gt;0,EV18&lt;30)),AND('Eval-Avec act. écol. envisagée'!$A$771=DY20,OR(COUNTIF('Eval-Avec act. écol. envisagée'!$N$771:$P$771,"*T*")&gt;0,EV19&lt;30)),AND('Eval-Avec act. écol. envisagée'!$A$772=DY20,OR(COUNTIF('Eval-Avec act. écol. envisagée'!$N$772:$P$772,"*T*")&gt;0,EV20&lt;30)),AND('Eval-Avec act. écol. envisagée'!$A$773=DY20,OR(COUNTIF('Eval-Avec act. écol. envisagée'!$N$773:$P$773,"*T*")&gt;0,EV21&lt;30)),AND('Eval-Avec act. écol. envisagée'!$A$774=DY20,OR(COUNTIF('Eval-Avec act. écol. envisagée'!$N$774:$P$774,"*T*")&gt;0,EV22&lt;30)),AND('Eval-Avec act. écol. envisagée'!$A$775=DY20,OR(COUNTIF('Eval-Avec act. écol. envisagée'!$N$775:$P$775,"*T*")&gt;0,EV23&lt;30)),AND('Eval-Avec act. écol. envisagée'!$A$776=DY20,OR(COUNTIF('Eval-Avec act. écol. envisagée'!$N$776:$P$776,"*T*")&gt;0,EV24&lt;30)),AND('Eval-Avec act. écol. envisagée'!$A$777=DY20,OR(COUNTIF('Eval-Avec act. écol. envisagée'!$N$777:$P$777,"*T*")&gt;0,EV25&lt;30)),AND('Eval-Avec act. écol. envisagée'!$A$778=DY20,OR(COUNTIF('Eval-Avec act. écol. envisagée'!$N$778:$P$778,"*T*")&gt;0,EV26&lt;30)),AND('Eval-Avec act. écol. envisagée'!$A$779=DY20,OR(COUNTIF('Eval-Avec act. écol. envisagée'!$N$779:$P$779,"*T*")&gt;0,EV27&lt;30)),AND('Eval-Avec act. écol. envisagée'!$A$780=DY20,OR(COUNTIF('Eval-Avec act. écol. envisagée'!$N$780:$P$780,"*T*")&gt;0,EV28&lt;30))),"",SUM(0.1*(SUMPRODUCT(('Eval-Avec act. écol. envisagée'!$A$761:$A$780=DY20)*('Eval-Avec act. écol. envisagée'!$N$761:$P$780="L"))),0.4*(SUMPRODUCT(('Eval-Avec act. écol. envisagée'!$A$761:$A$780=DY20)*('Eval-Avec act. écol. envisagée'!$N$761:$P$780="LA"))+SUMPRODUCT(('Eval-Avec act. écol. envisagée'!$A$761:$A$780=DY20)*('Eval-Avec act. écol. envisagée'!$N$761:$P$780="LS"))),0.7*(SUMPRODUCT(('Eval-Avec act. écol. envisagée'!$A$761:$A$780=DY20)*('Eval-Avec act. écol. envisagée'!$N$761:$P$780="AL"))+SUMPRODUCT(('Eval-Avec act. écol. envisagée'!$A$761:$A$780=DY20)*('Eval-Avec act. écol. envisagée'!$N$761:$P$780="SL"))),1*(SUMPRODUCT(('Eval-Avec act. écol. envisagée'!$A$761:$A$780=DY20)*('Eval-Avec act. écol. envisagée'!$N$761:$P$780="S"))+ SUMPRODUCT(('Eval-Avec act. écol. envisagée'!$A$761:$A$780=DY20)*('Eval-Avec act. écol. envisagée'!$N$761:$P$780="A"))))/(3*COUNTIF('Eval-Avec act. écol. envisagée'!$A$761:$A$780,DY20))),"")</f>
        <v/>
      </c>
      <c r="ER20" s="211" t="str">
        <f>IF(COUNTIF('Eval-Avec act. écol. envisagée'!$A$761:$A$780,DY20)&gt;0,IF(OR(AND('Eval-Avec act. écol. envisagée'!$A$761=DY20,OR(COUNTIF('Eval-Avec act. écol. envisagée'!$N$761:$P$761,"*T*")&gt;0,EV9&lt;30)),AND('Eval-Avec act. écol. envisagée'!$A$762=DY20,OR(COUNTIF('Eval-Avec act. écol. envisagée'!$N$762:$P$762,"*T*")&gt;0,EV10&lt;30)),AND('Eval-Avec act. écol. envisagée'!$A$763=DY20,OR(COUNTIF('Eval-Avec act. écol. envisagée'!$N$763:$P$763,"*T*")&gt;0,EV11&lt;30)),AND('Eval-Avec act. écol. envisagée'!$A$764=DY20,OR(COUNTIF('Eval-Avec act. écol. envisagée'!$N$764:$P$764,"*T*")&gt;0,EV12&lt;30)),AND('Eval-Avec act. écol. envisagée'!$A$765=DY20,OR(COUNTIF('Eval-Avec act. écol. envisagée'!$N$765:$P$765,"*T*")&gt;0,EV13&lt;30)),AND('Eval-Avec act. écol. envisagée'!$A$766=DY20,OR(COUNTIF('Eval-Avec act. écol. envisagée'!$N$766:$P$766,"*T*")&gt;0,EV14&lt;30)),AND('Eval-Avec act. écol. envisagée'!$A$767=DY20,OR(COUNTIF('Eval-Avec act. écol. envisagée'!$N$767:$P$767,"*T*")&gt;0,EV15&lt;30)),AND('Eval-Avec act. écol. envisagée'!$A$768=DY20,OR(COUNTIF('Eval-Avec act. écol. envisagée'!$N$768:$P$768,"*T*")&gt;0,EV16&lt;30)),AND('Eval-Avec act. écol. envisagée'!$A$769=DY20,OR(COUNTIF('Eval-Avec act. écol. envisagée'!$N$769:$P$769,"*T*")&gt;0,EV17&lt;30)),AND('Eval-Avec act. écol. envisagée'!$A$770=DY20,OR(COUNTIF('Eval-Avec act. écol. envisagée'!$N$770:$P$770,"*T*")&gt;0,EV18&lt;30)),AND('Eval-Avec act. écol. envisagée'!$A$771=DY20,OR(COUNTIF('Eval-Avec act. écol. envisagée'!$N$771:$P$771,"*T*")&gt;0,EV19&lt;30)),AND('Eval-Avec act. écol. envisagée'!$A$772=DY20,OR(COUNTIF('Eval-Avec act. écol. envisagée'!$N$772:$P$772,"*T*")&gt;0,EV20&lt;30)),AND('Eval-Avec act. écol. envisagée'!$A$773=DY20,OR(COUNTIF('Eval-Avec act. écol. envisagée'!$N$773:$P$773,"*T*")&gt;0,EV21&lt;30)),AND('Eval-Avec act. écol. envisagée'!$A$774=DY20,OR(COUNTIF('Eval-Avec act. écol. envisagée'!$N$774:$P$774,"*T*")&gt;0,EV22&lt;30)),AND('Eval-Avec act. écol. envisagée'!$A$775=DY20,OR(COUNTIF('Eval-Avec act. écol. envisagée'!$N$775:$P$775,"*T*")&gt;0,EV23&lt;30)),AND('Eval-Avec act. écol. envisagée'!$A$776=DY20,OR(COUNTIF('Eval-Avec act. écol. envisagée'!$N$776:$P$776,"*T*")&gt;0,EV24&lt;30)),AND('Eval-Avec act. écol. envisagée'!$A$777=DY20,OR(COUNTIF('Eval-Avec act. écol. envisagée'!$N$777:$P$777,"*T*")&gt;0,EV25&lt;30)),AND('Eval-Avec act. écol. envisagée'!$A$778=DY20,OR(COUNTIF('Eval-Avec act. écol. envisagée'!$N$778:$P$778,"*T*")&gt;0,EV26&lt;30)),AND('Eval-Avec act. écol. envisagée'!$A$779=DY20,OR(COUNTIF('Eval-Avec act. écol. envisagée'!$N$779:$P$779,"*T*")&gt;0,EV27&lt;30)),AND('Eval-Avec act. écol. envisagée'!$A$780=DY20,OR(COUNTIF('Eval-Avec act. écol. envisagée'!$N$780:$P$780,"*T*")&gt;0,EV28&lt;30))),"",SUM(1*(SUMPRODUCT(('Eval-Avec act. écol. envisagée'!$A$761:$A$780=DY20)*('Eval-Avec act. écol. envisagée'!$N$761:$P$780="A"))),0.85*(SUMPRODUCT(('Eval-Avec act. écol. envisagée'!$A$761:$A$780=DY20)*('Eval-Avec act. écol. envisagée'!$N$761:$P$780="AL"))),0.7*(SUMPRODUCT(('Eval-Avec act. écol. envisagée'!$A$761:$A$780=DY20)*('Eval-Avec act. écol. envisagée'!$N$761:$P$780="LA"))),0.55*(SUMPRODUCT(('Eval-Avec act. écol. envisagée'!$A$761:$A$780=DY20)*('Eval-Avec act. écol. envisagée'!$N$761:$P$780="L"))),0.4*(SUMPRODUCT(('Eval-Avec act. écol. envisagée'!$A$761:$A$780=DY20)*('Eval-Avec act. écol. envisagée'!$N$761:$P$780="LS"))),0.25*(SUMPRODUCT(('Eval-Avec act. écol. envisagée'!$A$761:$A$780=DY20)*('Eval-Avec act. écol. envisagée'!$N$761:$P$780="SL"))),0.1*(SUMPRODUCT(('Eval-Avec act. écol. envisagée'!$A$761:$A$780=DY20)*('Eval-Avec act. écol. envisagée'!$N$761:$P$780="S"))))/(3*COUNTIF('Eval-Avec act. écol. envisagée'!$A$761:$A$780,DY20))),"")</f>
        <v/>
      </c>
      <c r="ES20" s="214" t="str">
        <f>IF(COUNTIF('Eval-Avec act. écol. envisagée'!$A$761:$A$780,DY20)&gt;0,IF(OR(AND('Eval-Avec act. écol. envisagée'!$A$761=DY20,OR(COUNTIF('Eval-Avec act. écol. envisagée'!$Q$761:$Y$761,"*T*")&gt;0,EV9&lt;120)),AND('Eval-Avec act. écol. envisagée'!$A$762=DY20,OR(COUNTIF('Eval-Avec act. écol. envisagée'!$Q$762:$Y$762,"*T*")&gt;0,EV10&lt;120)),AND('Eval-Avec act. écol. envisagée'!$A$763=DY20,OR(COUNTIF('Eval-Avec act. écol. envisagée'!$Q$763:$Y$763,"*T*")&gt;0,EV11&lt;120)),AND('Eval-Avec act. écol. envisagée'!$A$764=DY20,OR(COUNTIF('Eval-Avec act. écol. envisagée'!$Q$764:$Y$764,"*T*")&gt;0,EV12&lt;120)),AND('Eval-Avec act. écol. envisagée'!$A$765=DY20,OR(COUNTIF('Eval-Avec act. écol. envisagée'!$Q$765:$Y$765,"*T*")&gt;0,EV13&lt;120)),AND('Eval-Avec act. écol. envisagée'!$A$766=DY20,OR(COUNTIF('Eval-Avec act. écol. envisagée'!$Q$766:$Y$766,"*T*")&gt;0,EV14&lt;120)),AND('Eval-Avec act. écol. envisagée'!$A$767=DY20,OR(COUNTIF('Eval-Avec act. écol. envisagée'!$Q$767:$Y$767,"*T*")&gt;0,EV15&lt;120)),AND('Eval-Avec act. écol. envisagée'!$A$768=DY20,OR(COUNTIF('Eval-Avec act. écol. envisagée'!$Q$768:$Y$768,"*T*")&gt;0,EV16&lt;120)),AND('Eval-Avec act. écol. envisagée'!$A$769=DY20,OR(COUNTIF('Eval-Avec act. écol. envisagée'!$Q$769:$Y$769,"*T*")&gt;0,EV17&lt;120)),AND('Eval-Avec act. écol. envisagée'!$A$770=DY20,OR(COUNTIF('Eval-Avec act. écol. envisagée'!$Q$770:$Y$770,"*T*")&gt;0,EV18&lt;120)),AND('Eval-Avec act. écol. envisagée'!$A$771=DY20,OR(COUNTIF('Eval-Avec act. écol. envisagée'!$Q$771:$Y$771,"*T*")&gt;0,EV19&lt;120)),AND('Eval-Avec act. écol. envisagée'!$A$772=DY20,OR(COUNTIF('Eval-Avec act. écol. envisagée'!$Q$772:$Y$772,"*T*")&gt;0,EV20&lt;120)),AND('Eval-Avec act. écol. envisagée'!$A$773=DY20,OR(COUNTIF('Eval-Avec act. écol. envisagée'!$Q$773:$Y$773,"*T*")&gt;0,EV21&lt;120)),AND('Eval-Avec act. écol. envisagée'!$A$774=DY20,OR(COUNTIF('Eval-Avec act. écol. envisagée'!$Q$774:$Y$774,"*T*")&gt;0,EV22&lt;120)),AND('Eval-Avec act. écol. envisagée'!$A$775=DY20,OR(COUNTIF('Eval-Avec act. écol. envisagée'!$Q$775:$Y$775,"*T*")&gt;0,EV23&lt;120)),AND('Eval-Avec act. écol. envisagée'!$A$776=DY20,OR(COUNTIF('Eval-Avec act. écol. envisagée'!$Q$776:$Y$776,"*T*")&gt;0,EV24&lt;120)),AND('Eval-Avec act. écol. envisagée'!$A$777=DY20,OR(COUNTIF('Eval-Avec act. écol. envisagée'!$Q$777:$Y$777,"*T*")&gt;0,EV25&lt;120)),AND('Eval-Avec act. écol. envisagée'!$A$778=DY20,OR(COUNTIF('Eval-Avec act. écol. envisagée'!$Q$778:$Y$778,"*T*")&gt;0,EV26&lt;120)),AND('Eval-Avec act. écol. envisagée'!$A$779=DY20,OR(COUNTIF('Eval-Avec act. écol. envisagée'!$Q$779:$Y$779,"*T*")&gt;0,EV27&lt;120)),AND('Eval-Avec act. écol. envisagée'!$A$780=DY20,OR(COUNTIF('Eval-Avec act. écol. envisagée'!$Q$780:$Y$780,"*T*")&gt;0,EV28&lt;120))),"",SUM(1*(SUMPRODUCT(('Eval-Avec act. écol. envisagée'!$A$761:$A$780=DY20)*('Eval-Avec act. écol. envisagée'!$Q$761:$Y$780="A"))),0.85*(SUMPRODUCT(('Eval-Avec act. écol. envisagée'!$A$761:$A$780=DY20)*('Eval-Avec act. écol. envisagée'!$Q$761:$Y$780="AL"))),0.7*(SUMPRODUCT(('Eval-Avec act. écol. envisagée'!$A$761:$A$780=DY20)*('Eval-Avec act. écol. envisagée'!$Q$761:$Y$780="LA"))),0.55*(SUMPRODUCT(('Eval-Avec act. écol. envisagée'!$A$761:$A$780=DY20)*('Eval-Avec act. écol. envisagée'!$Q$761:$Y$780="L"))),0.4*(SUMPRODUCT(('Eval-Avec act. écol. envisagée'!$A$761:$A$780=DY20)*('Eval-Avec act. écol. envisagée'!$Q$761:$Y$780="LS"))),0.25*(SUMPRODUCT(('Eval-Avec act. écol. envisagée'!$A$761:$A$780=DY20)*('Eval-Avec act. écol. envisagée'!$Q$761:$Y$780="SL"))),0.1*(SUMPRODUCT(('Eval-Avec act. écol. envisagée'!$A$761:$A$780=DY20)*('Eval-Avec act. écol. envisagée'!$Q$761:$Y$780="S"))))/(9*COUNTIF('Eval-Avec act. écol. envisagée'!$A$761:$A$780,DY20))),"")</f>
        <v/>
      </c>
      <c r="ET20" s="215"/>
      <c r="EU20" s="216">
        <f>'Eval-Avec act. écol. envisagée'!$D$772</f>
        <v>12</v>
      </c>
      <c r="EV20" s="217" t="str">
        <f>IF(EW20="C",0,IF(IF(COUNTIF('Eval-Avec act. écol. envisagée'!$N$772:$Y$772,"=C")&gt;0,(COUNTA('Eval-Avec act. écol. envisagée'!$N$772:$Y$772)-1)*10,COUNTA('Eval-Avec act. écol. envisagée'!$N$772:$Y$772)*10)=0,"",IF(COUNTIF('Eval-Avec act. écol. envisagée'!$N$772:$Y$772,"=C")&gt;0,(COUNTA('Eval-Avec act. écol. envisagée'!$N$772:$Y$772)-1)*10,COUNTA('Eval-Avec act. écol. envisagée'!$N$772:$Y$772)*10)))</f>
        <v/>
      </c>
      <c r="EW20" s="217" t="str">
        <f>CONCATENATE('Eval-Avec act. écol. envisagée'!$N$772,'Eval-Avec act. écol. envisagée'!$O$772,'Eval-Avec act. écol. envisagée'!$P$772,'Eval-Avec act. écol. envisagée'!$Q$772,'Eval-Avec act. écol. envisagée'!$R$772,'Eval-Avec act. écol. envisagée'!$S$772,'Eval-Avec act. écol. envisagée'!$T$772,'Eval-Avec act. écol. envisagée'!$U$772,'Eval-Avec act. écol. envisagée'!$V$772,'Eval-Avec act. écol. envisagée'!$W$772,'Eval-Avec act. écol. envisagée'!$X$772,'Eval-Avec act. écol. envisagée'!$Y$772)</f>
        <v/>
      </c>
      <c r="EX20" s="217" t="str">
        <f t="shared" si="16"/>
        <v/>
      </c>
      <c r="EY20" s="217" t="str">
        <f t="shared" si="17"/>
        <v/>
      </c>
      <c r="EZ20" s="217" t="str">
        <f>IF(COUNTIF('Eval-Avec act. écol. envisagée'!$N$772:$Y$772,"=C")&gt;0,"X","")</f>
        <v/>
      </c>
      <c r="FA20" s="217" t="str">
        <f t="shared" si="18"/>
        <v/>
      </c>
      <c r="FB20" s="218" t="str">
        <f t="shared" si="19"/>
        <v/>
      </c>
      <c r="FC20" s="197"/>
      <c r="FE20" s="210">
        <v>12</v>
      </c>
      <c r="FF20" s="211" t="str">
        <f>IF(COUNTIF('Eval-Après action écologique'!$A$761:$A$780,FE20)&gt;0,SUM(IF('Eval-Après action écologique'!$A$761=FE20,'Eval-Après action écologique'!$B$761,0),IF('Eval-Après action écologique'!$A$762=FE20, 'Eval-Après action écologique'!$B$762,0),IF('Eval-Après action écologique'!$A$763=FE20, 'Eval-Après action écologique'!$B$763,0),IF('Eval-Après action écologique'!$A$764=FE20, 'Eval-Après action écologique'!$B$764,0),IF('Eval-Après action écologique'!$A$765=FE20, 'Eval-Après action écologique'!$B$765,0),IF('Eval-Après action écologique'!$A$766=FE20, 'Eval-Après action écologique'!$B$766,0),IF('Eval-Après action écologique'!$A$767=FE20, 'Eval-Après action écologique'!$B$767,0),IF('Eval-Après action écologique'!$A$768=FE20, 'Eval-Après action écologique'!$B$768,0),IF('Eval-Après action écologique'!$A$769=FE20, 'Eval-Après action écologique'!$B$769,0),IF('Eval-Après action écologique'!$A$770=FE20, 'Eval-Après action écologique'!$B$770,0),IF('Eval-Après action écologique'!$A$771=FE20, 'Eval-Après action écologique'!$B$771,0),IF('Eval-Après action écologique'!$A$772=FE20, 'Eval-Après action écologique'!$B$772,0),IF('Eval-Après action écologique'!$A$773=FE20, 'Eval-Après action écologique'!$B$773,0),IF('Eval-Après action écologique'!$A$774=FE20, 'Eval-Après action écologique'!$B$774,0),IF('Eval-Après action écologique'!$A$775=FE20, 'Eval-Après action écologique'!$B$775,0),IF('Eval-Après action écologique'!$A$776=FE20, 'Eval-Après action écologique'!$B$776,0),IF('Eval-Après action écologique'!$A$777=FE20, 'Eval-Après action écologique'!$B$777,0),IF('Eval-Après action écologique'!$A$778=FE20, 'Eval-Après action écologique'!$B$778,0),IF('Eval-Après action écologique'!$A$779=FE20, 'Eval-Après action écologique'!$B$779,0),IF('Eval-Après action écologique'!$A$780=FE20, 'Eval-Après action écologique'!$B$780,0))/COUNTIF('Eval-Après action écologique'!$A$761:$A$780,FE20),"")</f>
        <v/>
      </c>
      <c r="FG20" s="212" t="str">
        <f>IF(COUNTIF('Eval-Après action écologique'!$A$761:$A$780,FE20)&gt;0,COUNTIF('Eval-Après action écologique'!$A$761:$A$780,FE20),"")</f>
        <v/>
      </c>
      <c r="FH20" s="211" t="str">
        <f>IF(COUNTIF('Eval-Après action écologique'!$A$761:$A$780,FE20)&gt;0,IF(OR(AND('Eval-Après action écologique'!$A$761=FE20, 'Eval-Après action écologique'!$G$761=""),AND('Eval-Après action écologique'!$A$762=FE20, 'Eval-Après action écologique'!$G$762=""),AND('Eval-Après action écologique'!$A$763=FE20, 'Eval-Après action écologique'!$G$763=""),AND('Eval-Après action écologique'!$A$764=FE20, 'Eval-Après action écologique'!$G$764=""),AND('Eval-Après action écologique'!$A$765=FE20, 'Eval-Après action écologique'!$G$765=""),AND('Eval-Après action écologique'!$A$766=FE20, 'Eval-Après action écologique'!$G$766=""),AND('Eval-Après action écologique'!$A$767=FE20, 'Eval-Après action écologique'!$G$767=""),AND('Eval-Après action écologique'!$A$768=FE20, 'Eval-Après action écologique'!$G$768=""),AND('Eval-Après action écologique'!$A$769=FE20, 'Eval-Après action écologique'!$G$769=""),AND('Eval-Après action écologique'!$A$770=FE20, 'Eval-Après action écologique'!$G$770=""),AND('Eval-Après action écologique'!$A$771=FE20, 'Eval-Après action écologique'!$G$771=""),AND('Eval-Après action écologique'!$A$772=FE20, 'Eval-Après action écologique'!$G$772=""),AND('Eval-Après action écologique'!$A$773=FE20, 'Eval-Après action écologique'!$G$773=""),AND('Eval-Après action écologique'!$A$774=FE20, 'Eval-Après action écologique'!$G$774=""),AND('Eval-Après action écologique'!$A$775=FE20, 'Eval-Après action écologique'!$G$775=""),AND('Eval-Après action écologique'!$A$776=FE20, 'Eval-Après action écologique'!$G$776=""),AND('Eval-Après action écologique'!$A$777=FE20, 'Eval-Après action écologique'!$G$777=""),AND('Eval-Après action écologique'!$A$778=FE20, 'Eval-Après action écologique'!$G$778=""),AND('Eval-Après action écologique'!$A$779=FE20, 'Eval-Après action écologique'!$G$779=""),AND('Eval-Après action écologique'!$A$780=FE20, 'Eval-Après action écologique'!$G$780="")),"",SUM(IF('Eval-Après action écologique'!$A$761=FE20,'Eval-Après action écologique'!$G$761,0),IF('Eval-Après action écologique'!$A$762=FE20,'Eval-Après action écologique'!$G$762,0),IF('Eval-Après action écologique'!$A$763=FE20,'Eval-Après action écologique'!$G$763,0),IF('Eval-Après action écologique'!$A$764=FE20,'Eval-Après action écologique'!$G$764,0),IF('Eval-Après action écologique'!$A$765=FE20,'Eval-Après action écologique'!$G$765,0),IF('Eval-Après action écologique'!$A$766=FE20,'Eval-Après action écologique'!$G$766,0),IF('Eval-Après action écologique'!$A$767=FE20,'Eval-Après action écologique'!$G$767,0),IF('Eval-Après action écologique'!$A$768=FE20,'Eval-Après action écologique'!$G$768,0),IF('Eval-Après action écologique'!$A$769=FE20,'Eval-Après action écologique'!$G$769,0),IF('Eval-Après action écologique'!$A$770=FE20,'Eval-Après action écologique'!$G$770,0),IF('Eval-Après action écologique'!$A$771=FE20,'Eval-Après action écologique'!$G$771,0),IF('Eval-Après action écologique'!$A$772=FE20,'Eval-Après action écologique'!$G$772,0),IF('Eval-Après action écologique'!$A$773=FE20,'Eval-Après action écologique'!$G$773,0),IF('Eval-Après action écologique'!$A$774=FE20,'Eval-Après action écologique'!$G$774,0),IF('Eval-Après action écologique'!$A$775=FE20,'Eval-Après action écologique'!$G$775,0), IF('Eval-Après action écologique'!$A$776=FE20,'Eval-Après action écologique'!$G$776,0), IF('Eval-Après action écologique'!$A$777=FE20,'Eval-Après action écologique'!$G$777,0), IF('Eval-Après action écologique'!$A$778=FE20,'Eval-Après action écologique'!$G$778,0), IF('Eval-Après action écologique'!$A$779=FE20,'Eval-Après action écologique'!$G$779,0), IF('Eval-Après action écologique'!$A$780=FE20,'Eval-Après action écologique'!$G$780,0))/ COUNTIF('Eval-Après action écologique'!$A$761:$A$780,FE20)),"")</f>
        <v/>
      </c>
      <c r="FI20" s="212" t="str">
        <f>IF(COUNTIF('Eval-Après action écologique'!$A$761:$A$780,FE20)&gt;0,IF(SUM(IF('Eval-Après action écologique'!$A$761=FE20,COUNTA('Eval-Après action écologique'!$H$761),0),IF('Eval-Après action écologique'!$A$762=FE20,COUNTA('Eval-Après action écologique'!$H$762),0),IF('Eval-Après action écologique'!$A$763=FE20,COUNTA('Eval-Après action écologique'!$H$763),0),IF('Eval-Après action écologique'!$A$764=FE20,COUNTA('Eval-Après action écologique'!$H$764),0),IF('Eval-Après action écologique'!$A$765=FE20,COUNTA('Eval-Après action écologique'!$H$765),0),IF('Eval-Après action écologique'!$A$766=FE20,COUNTA('Eval-Après action écologique'!$H$766),0),IF('Eval-Après action écologique'!$A$767=FE20,COUNTA('Eval-Après action écologique'!$H$767),0),IF('Eval-Après action écologique'!$A$768=FE20,COUNTA('Eval-Après action écologique'!$H$768),0),IF('Eval-Après action écologique'!$A$769=FE20,COUNTA('Eval-Après action écologique'!$H$769),0),IF('Eval-Après action écologique'!$A$770=FE20,COUNTA('Eval-Après action écologique'!$H$770),0),IF('Eval-Après action écologique'!$A$771=FE20,COUNTA('Eval-Après action écologique'!$H$771),0),IF('Eval-Après action écologique'!$A$772=FE20,COUNTA('Eval-Après action écologique'!$H$772),0),IF('Eval-Après action écologique'!$A$773=FE20,COUNTA('Eval-Après action écologique'!$H$773),0),IF('Eval-Après action écologique'!$A$774=FE20,COUNTA('Eval-Après action écologique'!$H$774),0),IF('Eval-Après action écologique'!$A$775=FE20,COUNTA('Eval-Après action écologique'!$H$775),0),IF('Eval-Après action écologique'!$A$776=FE20,COUNTA('Eval-Après action écologique'!$H$776),0),IF('Eval-Après action écologique'!$A$777=FE20,COUNTA('Eval-Après action écologique'!$H$777),0),IF('Eval-Après action écologique'!$A$778=FE20,COUNTA('Eval-Après action écologique'!$H$778),0),IF('Eval-Après action écologique'!$A$779=FE20,COUNTA('Eval-Après action écologique'!$H$779),0),IF('Eval-Après action écologique'!$A$780=FE20,COUNTA('Eval-Après action écologique'!$H$780),0))&gt;0,"X",0),"")</f>
        <v/>
      </c>
      <c r="FJ20" s="213" t="str">
        <f>IF(COUNTIF('Eval-Après action écologique'!$A$761:$A$780,FE20)&gt;0,IF(SUM(IF('Eval-Après action écologique'!$A$761=FE20,COUNTA('Eval-Après action écologique'!$I$761),0),IF('Eval-Après action écologique'!$A$762=FE20,COUNTA('Eval-Après action écologique'!$I$762),0),IF('Eval-Après action écologique'!$A$763=FE20,COUNTA('Eval-Après action écologique'!$I$763),0),IF('Eval-Après action écologique'!$A$764=FE20,COUNTA('Eval-Après action écologique'!$I$764),0),IF('Eval-Après action écologique'!$A$765=FE20,COUNTA('Eval-Après action écologique'!$I$765),0),IF('Eval-Après action écologique'!$A$766=FE20,COUNTA('Eval-Après action écologique'!$I$766),0),IF('Eval-Après action écologique'!$A$767=FE20,COUNTA('Eval-Après action écologique'!$I$767),0),IF('Eval-Après action écologique'!$A$768=FE20,COUNTA('Eval-Après action écologique'!$I$768),0),IF('Eval-Après action écologique'!$A$769=FE20,COUNTA('Eval-Après action écologique'!$I$769),0),IF('Eval-Après action écologique'!$A$770=FE20,COUNTA('Eval-Après action écologique'!$I$770),0),IF('Eval-Après action écologique'!$A$771=FE20,COUNTA('Eval-Après action écologique'!$I$771),0),IF('Eval-Après action écologique'!$A$772=FE20,COUNTA('Eval-Après action écologique'!$I$772),0),IF('Eval-Après action écologique'!$A$773=FE20,COUNTA('Eval-Après action écologique'!$I$773),0),IF('Eval-Après action écologique'!$A$774=FE20,COUNTA('Eval-Après action écologique'!$I$774),0),IF('Eval-Après action écologique'!$A$775=FE20,COUNTA('Eval-Après action écologique'!$I$775),0),IF('Eval-Après action écologique'!$A$776=FE20,COUNTA('Eval-Après action écologique'!$I$776),0),IF('Eval-Après action écologique'!$A$777=FE20,COUNTA('Eval-Après action écologique'!$I$777),0),IF('Eval-Après action écologique'!$A$778=FE20,COUNTA('Eval-Après action écologique'!$I$778),0),IF('Eval-Après action écologique'!$A$779=FE20,COUNTA('Eval-Après action écologique'!$I$779),0),IF('Eval-Après action écologique'!$A$780=FE20,COUNTA('Eval-Après action écologique'!$I$780),0))&gt;0,"X",0),"")</f>
        <v/>
      </c>
      <c r="FK20" s="213" t="str">
        <f>IF(COUNTIF('Eval-Après action écologique'!$A$761:$A$780,FE20)&gt;0,IF(SUM(IF('Eval-Après action écologique'!$A$761=FE20,COUNTA('Eval-Après action écologique'!$J$761),0),IF('Eval-Après action écologique'!$A$762=FE20,COUNTA('Eval-Après action écologique'!$J$762),0),IF('Eval-Après action écologique'!$A$763=FE20,COUNTA('Eval-Après action écologique'!$J$763),0),IF('Eval-Après action écologique'!$A$764=FE20,COUNTA('Eval-Après action écologique'!$J$764),0),IF('Eval-Après action écologique'!$A$765=FE20,COUNTA('Eval-Après action écologique'!$J$765),0),IF('Eval-Après action écologique'!$A$766=FE20,COUNTA('Eval-Après action écologique'!$J$766),0),IF('Eval-Après action écologique'!$A$767=FE20,COUNTA('Eval-Après action écologique'!$J$767),0),IF('Eval-Après action écologique'!$A$768=FE20,COUNTA('Eval-Après action écologique'!$J$768),0),IF('Eval-Après action écologique'!$A$769=FE20,COUNTA('Eval-Après action écologique'!$J$769),0),IF('Eval-Après action écologique'!$A$770=FE20,COUNTA('Eval-Après action écologique'!$J$770),0),IF('Eval-Après action écologique'!$A$771=FE20,COUNTA('Eval-Après action écologique'!$J$771),0),IF('Eval-Après action écologique'!$A$772=FE20,COUNTA('Eval-Après action écologique'!$J$772),0),IF('Eval-Après action écologique'!$A$773=FE20,COUNTA('Eval-Après action écologique'!$J$773),0),IF('Eval-Après action écologique'!$A$774=FE20,COUNTA('Eval-Après action écologique'!$J$774),0),IF('Eval-Après action écologique'!$A$775=FE20,COUNTA('Eval-Après action écologique'!$J$775),0),IF('Eval-Après action écologique'!$A$776=FE20,COUNTA('Eval-Après action écologique'!$J$776),0),IF('Eval-Après action écologique'!$A$777=FE20,COUNTA('Eval-Après action écologique'!$J$777),0),IF('Eval-Après action écologique'!$A$778=FE20,COUNTA('Eval-Après action écologique'!$J$778),0),IF('Eval-Après action écologique'!$A$779=FE20,COUNTA('Eval-Après action écologique'!$J$779),0),IF('Eval-Après action écologique'!$A$780=FE20,COUNTA('Eval-Après action écologique'!$J$780),0))&gt;0,"X",0),"")</f>
        <v/>
      </c>
      <c r="FL20" s="213" t="str">
        <f>IF(COUNTIF('Eval-Après action écologique'!$A$761:$A$780,FE20)&gt;0,IF(SUM(IF('Eval-Après action écologique'!$A$761=FE20,COUNTA('Eval-Après action écologique'!$K$761),0),IF('Eval-Après action écologique'!$A$762=FE20,COUNTA('Eval-Après action écologique'!$K$762),0),IF('Eval-Après action écologique'!$A$763=FE20,COUNTA('Eval-Après action écologique'!$K$763),0),IF('Eval-Après action écologique'!$A$764=FE20,COUNTA('Eval-Après action écologique'!$K$764),0),IF('Eval-Après action écologique'!$A$765=FE20,COUNTA('Eval-Après action écologique'!$K$765),0),IF('Eval-Après action écologique'!$A$766=FE20,COUNTA('Eval-Après action écologique'!$K$766),0),IF('Eval-Après action écologique'!$A$767=FE20,COUNTA('Eval-Après action écologique'!$K$767),0),IF('Eval-Après action écologique'!$A$768=FE20,COUNTA('Eval-Après action écologique'!$K$768),0),IF('Eval-Après action écologique'!$A$769=FE20,COUNTA('Eval-Après action écologique'!$K$769),0),IF('Eval-Après action écologique'!$A$770=FE20,COUNTA('Eval-Après action écologique'!$K$770),0),IF('Eval-Après action écologique'!$A$771=FE20,COUNTA('Eval-Après action écologique'!$K$771),0),IF('Eval-Après action écologique'!$A$772=FE20,COUNTA('Eval-Après action écologique'!$K$772),0),IF('Eval-Après action écologique'!$A$773=FE20,COUNTA('Eval-Après action écologique'!$K$773),0),IF('Eval-Après action écologique'!$A$774=FE20,COUNTA('Eval-Après action écologique'!$K$774),0),IF('Eval-Après action écologique'!$A$775=FE20,COUNTA('Eval-Après action écologique'!$K$775),0),IF('Eval-Après action écologique'!$A$776=FE20,COUNTA('Eval-Après action écologique'!$K$776),0),IF('Eval-Après action écologique'!$A$777=FE20,COUNTA('Eval-Après action écologique'!$K$777),0),IF('Eval-Après action écologique'!$A$778=FE20,COUNTA('Eval-Après action écologique'!$K$778),0),IF('Eval-Après action écologique'!$A$779=FE20,COUNTA('Eval-Après action écologique'!$K$779),0),IF('Eval-Après action écologique'!$A$780=FE20,COUNTA('Eval-Après action écologique'!$K$780),0))&gt;0,"X",0),"")</f>
        <v/>
      </c>
      <c r="FM20" s="211" t="str">
        <f>IF(COUNTIF('Eval-Après action écologique'!$A$761:$A$780,FE20)&gt;0,IF(OR(AND('Eval-Après action écologique'!$A$761=FE20,'Eval-Après action écologique'!$L$761&lt;120,'Eval-Après action écologique'!$L$761&gt;=GB9),AND('Eval-Après action écologique'!$A$762=FE20,'Eval-Après action écologique'!$L$762&lt;120,'Eval-Après action écologique'!$L$762&gt;=GB10),AND('Eval-Après action écologique'!$A$763=FE20,'Eval-Après action écologique'!$L$763&lt;120,'Eval-Après action écologique'!$L$763&gt;=GB11),AND('Eval-Après action écologique'!$A$764=FE20,'Eval-Après action écologique'!$L$764&lt;120,'Eval-Après action écologique'!$L$764&gt;=GB12),AND('Eval-Après action écologique'!$A$765=FE20,'Eval-Après action écologique'!$L$765&lt;120,'Eval-Après action écologique'!$L$765&gt;=GB13),AND('Eval-Après action écologique'!$A$766=FE20,'Eval-Après action écologique'!$L$766&lt;120,'Eval-Après action écologique'!$L$766&gt;=GB14),AND('Eval-Après action écologique'!$A$767=FE20,'Eval-Après action écologique'!$L$767&lt;120,'Eval-Après action écologique'!$L$767&gt;=GB15),AND('Eval-Après action écologique'!$A$768=FE20,'Eval-Après action écologique'!$L$768&lt;120,'Eval-Après action écologique'!$L$768&gt;=GB16),AND('Eval-Après action écologique'!$A$769=FE20,'Eval-Après action écologique'!$L$769&lt;120,'Eval-Après action écologique'!$L$769&gt;=GB17),AND('Eval-Après action écologique'!$A$770=FE20,'Eval-Après action écologique'!$L$770&lt;120,'Eval-Après action écologique'!$L$770&gt;=GB18),AND('Eval-Après action écologique'!$A$771=FE20,'Eval-Après action écologique'!$L$771&lt;120,'Eval-Après action écologique'!$L$771&gt;=GB19),AND('Eval-Après action écologique'!$A$772=FE20,'Eval-Après action écologique'!$L$772&lt;120,'Eval-Après action écologique'!$L$772&gt;=GB20),AND('Eval-Après action écologique'!$A$773=FE20,'Eval-Après action écologique'!$L$773&lt;120,'Eval-Après action écologique'!$L$773&gt;=GB21),AND('Eval-Après action écologique'!$A$774=FE20,'Eval-Après action écologique'!$L$774&lt;120,'Eval-Après action écologique'!$L$774&gt;=GB22),AND('Eval-Après action écologique'!$A$775=FE20,'Eval-Après action écologique'!$L$775&lt;120,'Eval-Après action écologique'!$L$775&gt;=GB23),AND('Eval-Après action écologique'!$A$776=FE20,'Eval-Après action écologique'!$L$776&lt;120,'Eval-Après action écologique'!$L$776&gt;=GB24),AND('Eval-Après action écologique'!$A$777=FE20,'Eval-Après action écologique'!$L$777&lt;120,'Eval-Après action écologique'!$L$777&gt;=GB25),AND('Eval-Après action écologique'!$A$778=FE20,'Eval-Après action écologique'!$L$778&lt;120,'Eval-Après action écologique'!$L$778&gt;=GB26),AND('Eval-Après action écologique'!$A$779=FE20,'Eval-Après action écologique'!$L$779&lt;120,'Eval-Après action écologique'!$L$779&gt;=GB27),AND('Eval-Après action écologique'!$A$780=FE20,'Eval-Après action écologique'!$L$780&lt;120,'Eval-Après action écologique'!$L$780&gt;=GB28)),"",SUM(IF('Eval-Après action écologique'!$A$761=FE20,'Eval-Après action écologique'!$L$761,0),IF('Eval-Après action écologique'!$A$762=FE20,'Eval-Après action écologique'!$L$762,0),IF('Eval-Après action écologique'!$A$763=FE20,'Eval-Après action écologique'!$L$763,0),IF('Eval-Après action écologique'!$A$764=FE20,'Eval-Après action écologique'!$L$764,0),IF('Eval-Après action écologique'!$A$765=FE20,'Eval-Après action écologique'!$L$765,0),IF('Eval-Après action écologique'!$A$766=FE20,'Eval-Après action écologique'!$L$766,0),IF('Eval-Après action écologique'!$A$767=FE20,'Eval-Après action écologique'!$L$767,0),IF('Eval-Après action écologique'!$A$768=FE20,'Eval-Après action écologique'!$L$768,0),IF('Eval-Après action écologique'!$A$769=FE20,'Eval-Après action écologique'!$L$769,0),IF('Eval-Après action écologique'!$A$770=FE20,'Eval-Après action écologique'!$L$770,0),IF('Eval-Après action écologique'!$A$771=FE20,'Eval-Après action écologique'!$L$771,0),IF('Eval-Après action écologique'!$A$772=FE20,'Eval-Après action écologique'!$L$772,0),IF('Eval-Après action écologique'!$A$773=FE20,'Eval-Après action écologique'!$L$773,0),IF('Eval-Après action écologique'!$A$774=FE20,'Eval-Après action écologique'!$L$774,0),IF('Eval-Après action écologique'!$A$775=FE20,'Eval-Après action écologique'!$L$775,0),IF('Eval-Après action écologique'!$A$776=FE20,'Eval-Après action écologique'!$L$776,0),IF('Eval-Après action écologique'!$A$777=FE20,'Eval-Après action écologique'!$L$777,0),IF('Eval-Après action écologique'!$A$778=FE20,'Eval-Après action écologique'!$L$778,0),IF('Eval-Après action écologique'!$A$779=FE20,'Eval-Après action écologique'!$L$779,0),IF('Eval-Après action écologique'!$A$780=FE20,'Eval-Après action écologique'!$L$780,0))/ COUNTIF('Eval-Après action écologique'!$A$761:$A$780,FE20)),"")</f>
        <v/>
      </c>
      <c r="FN20" s="211" t="str">
        <f>IF(COUNTIF('Eval-Après action écologique'!$A$761:$A$780,FE20)&gt;0,IF(OR(AND('Eval-Après action écologique'!$A$761=FE20, GB9&lt;120),AND(GB10&lt;120),AND(GB11&lt;120),AND(GB12&lt;120),AND(GB13&lt;120),AND(GB14&lt;120),AND(GB15&lt;120),AND(GB16&lt;120),AND(GB17&lt;120),AND(GB18&lt;120),AND(GB19&lt;120),AND(GB20&lt;120),AND(GB21&lt;120),AND(GB22&lt;120),AND(GB23&lt;120),AND(GB24&lt;120),AND(GB25&lt;120),AND(GB26&lt;120),AND(GB27&lt;120),AND(GB28&lt;120)),"",SUM(IF('Eval-Après action écologique'!$A$761=FE20,'Eval-Après action écologique'!$M$761,0),IF('Eval-Après action écologique'!$A$762=FE20,'Eval-Après action écologique'!$M$762,0),IF('Eval-Après action écologique'!$A$763=FE20,'Eval-Après action écologique'!$M$763,0),IF('Eval-Après action écologique'!$A$764=FE20,'Eval-Après action écologique'!$M$764,0),IF('Eval-Après action écologique'!$A$765=FE20,'Eval-Après action écologique'!$M$765,0),IF('Eval-Après action écologique'!$A$766=FE20,'Eval-Après action écologique'!$M$766,0),IF('Eval-Après action écologique'!$A$767=FE20,'Eval-Après action écologique'!$M$767,0),IF('Eval-Après action écologique'!$A$768=FE20,'Eval-Après action écologique'!$M$768,0),IF('Eval-Après action écologique'!$A$769=FE20,'Eval-Après action écologique'!$M$769,0),IF('Eval-Après action écologique'!$A$770=FE20,'Eval-Après action écologique'!$M$770,0),IF('Eval-Après action écologique'!$A$771=FE20,'Eval-Après action écologique'!$M$771,0),IF('Eval-Après action écologique'!$A$772=FE20,'Eval-Après action écologique'!$M$772,0),IF('Eval-Après action écologique'!$A$773=FE20,'Eval-Après action écologique'!$M$773,0),IF('Eval-Après action écologique'!$A$774=FE20,'Eval-Après action écologique'!$M$774,0),IF('Eval-Après action écologique'!$A$775=FE20,'Eval-Après action écologique'!$M$775,0), IF('Eval-Après action écologique'!$A$776=FE20,'Eval-Après action écologique'!$M$776,0), IF('Eval-Après action écologique'!$A$777=FE20,'Eval-Après action écologique'!$M$777,0), IF('Eval-Après action écologique'!$A$778=FE20,'Eval-Après action écologique'!$M$778,0), IF('Eval-Après action écologique'!$A$779=FE20,'Eval-Après action écologique'!$M$779,0), IF('Eval-Après action écologique'!$A$780=FE20,'Eval-Après action écologique'!$M$780,0))/COUNTIF('Eval-Après action écologique'!$A$761:$A$780,FE20)),"")</f>
        <v/>
      </c>
      <c r="FO20" s="211" t="str">
        <f>IF(COUNTIF('Eval-Après action écologique'!$A$761:$A$780,FE20)&gt;0,SUM(IF('Eval-Après action écologique'!$A$761=FE20,LEN(SUBSTITUTE((SUBSTITUTE(GD9,"TM","")),"TS",""))*10/2,0),IF('Eval-Après action écologique'!$A$762=FE20,LEN(SUBSTITUTE((SUBSTITUTE(GD10,"TM","")),"TS",""))*10/2,0),IF('Eval-Après action écologique'!$A$763=FE20,LEN(SUBSTITUTE((SUBSTITUTE(GD11,"TM","")),"TS",""))*10/2,0),IF('Eval-Après action écologique'!$A$764=FE20,LEN(SUBSTITUTE((SUBSTITUTE(GD12,"TM","")),"TS",""))*10/2,0),IF('Eval-Après action écologique'!$A$765=FE20,LEN(SUBSTITUTE((SUBSTITUTE(GD13,"TM","")),"TS",""))*10/2,0),IF('Eval-Après action écologique'!$A$766=FE20,LEN(SUBSTITUTE((SUBSTITUTE(GD14,"TM","")),"TS",""))*10/2,0),IF('Eval-Après action écologique'!$A$767=FE20,LEN(SUBSTITUTE((SUBSTITUTE(GD15,"TM","")),"TS",""))*10/2,0),IF('Eval-Après action écologique'!$A$768=FE20,LEN(SUBSTITUTE((SUBSTITUTE(GD16,"TM","")),"TS",""))*10/2,0),IF('Eval-Après action écologique'!$A$769=FE20,LEN(SUBSTITUTE((SUBSTITUTE(GD17,"TM","")),"TS",""))*10/2,0),IF('Eval-Après action écologique'!$A$770=FE20,LEN(SUBSTITUTE((SUBSTITUTE(GD18,"TM","")),"TS",""))*10/2,0),IF('Eval-Après action écologique'!$A$771=FE20,LEN(SUBSTITUTE((SUBSTITUTE(GD19,"TM","")),"TS",""))*10/2,0),IF('Eval-Après action écologique'!$A$772=FE20,LEN(SUBSTITUTE((SUBSTITUTE(GD20,"TM","")),"TS",""))*10/2,0),IF('Eval-Après action écologique'!$A$773=FE20,LEN(SUBSTITUTE((SUBSTITUTE(GD21,"TM","")),"TS",""))*10/2,0),IF('Eval-Après action écologique'!$A$774=FE20,LEN(SUBSTITUTE((SUBSTITUTE(GD22,"TM","")),"TS",""))*10/2,0),IF('Eval-Après action écologique'!$A$775=FE20,LEN(SUBSTITUTE((SUBSTITUTE(GD23,"TM","")),"TS",""))*10/2,0),IF('Eval-Après action écologique'!$A$776=FE20,LEN(SUBSTITUTE((SUBSTITUTE(GD24,"TM","")),"TS",""))*10/2,0),IF('Eval-Après action écologique'!$A$777=FE20,LEN(SUBSTITUTE((SUBSTITUTE(GD25,"TM","")),"TS",""))*10/2,0),IF('Eval-Après action écologique'!$A$778=FE20,LEN(SUBSTITUTE((SUBSTITUTE(GD26,"TM","")),"TS",""))*10/2,0),IF('Eval-Après action écologique'!$A$779=FE20,LEN(SUBSTITUTE((SUBSTITUTE(GD27,"TM","")),"TS",""))*10/2,0),IF('Eval-Après action écologique'!$A$780=FE20,LEN(SUBSTITUTE((SUBSTITUTE(GD28,"TM","")),"TS",""))*10/2,0))/COUNTIF('Eval-Après action écologique'!$A$761:$A$780,FE20),"")</f>
        <v/>
      </c>
      <c r="FP20" s="211" t="str">
        <f>IF(COUNTIF('Eval-Après action écologique'!$A$761:$A$780,FE20)&gt;0,SUM(IF('Eval-Après action écologique'!$A$761=FE20,LEN(SUBSTITUTE((SUBSTITUTE(GD9,"TF","")),"TS",""))*10/2,0),IF('Eval-Après action écologique'!$A$762=FE20,LEN(SUBSTITUTE((SUBSTITUTE(GD10,"TF","")),"TS",""))*10/2,0),IF('Eval-Après action écologique'!$A$763=FE20,LEN(SUBSTITUTE((SUBSTITUTE(GD11,"TF","")),"TS",""))*10/2,0),IF('Eval-Après action écologique'!$A$764=FE20,LEN(SUBSTITUTE((SUBSTITUTE(GD12,"TF","")),"TS",""))*10/2,0),IF('Eval-Après action écologique'!$A$765=FE20,LEN(SUBSTITUTE((SUBSTITUTE(GD13,"TF","")),"TS",""))*10/2,0),IF('Eval-Après action écologique'!$A$766=FE20,LEN(SUBSTITUTE((SUBSTITUTE(GD14,"TF","")),"TS",""))*10/2,0),IF('Eval-Après action écologique'!$A$767=FE20,LEN(SUBSTITUTE((SUBSTITUTE(GD15,"TF","")),"TS",""))*10/2,0),IF('Eval-Après action écologique'!$A$768=FE20,LEN(SUBSTITUTE((SUBSTITUTE(GD16,"TF","")),"TS",""))*10/2,0),IF('Eval-Après action écologique'!$A$769=FE20,LEN(SUBSTITUTE((SUBSTITUTE(GD17,"TF","")),"TS",""))*10/2,0),IF('Eval-Après action écologique'!$A$770=FE20,LEN(SUBSTITUTE((SUBSTITUTE(GD18,"TF","")),"TS",""))*10/2,0),IF('Eval-Après action écologique'!$A$771=FE20,LEN(SUBSTITUTE((SUBSTITUTE(GD19,"TF","")),"TS",""))*10/2,0),IF('Eval-Après action écologique'!$A$772=FE20,LEN(SUBSTITUTE((SUBSTITUTE(GD20,"TF","")),"TS",""))*10/2,0),IF('Eval-Après action écologique'!$A$773=FE20,LEN(SUBSTITUTE((SUBSTITUTE(GD21,"TF","")),"TS",""))*10/2,0),IF('Eval-Après action écologique'!$A$774=FE20,LEN(SUBSTITUTE((SUBSTITUTE(GD22,"TF","")),"TS",""))*10/2,0),IF('Eval-Après action écologique'!$A$775=FE20,LEN(SUBSTITUTE((SUBSTITUTE(GD23,"TF","")),"TS",""))*10/2,0),IF('Eval-Après action écologique'!$A$776=FE20,LEN(SUBSTITUTE((SUBSTITUTE(GD24,"TF","")),"TS",""))*10/2,0),IF('Eval-Après action écologique'!$A$777=FE20,LEN(SUBSTITUTE((SUBSTITUTE(GD25,"TF","")),"TS",""))*10/2,0),IF('Eval-Après action écologique'!$A$778=FE20,LEN(SUBSTITUTE((SUBSTITUTE(GD26,"TF","")),"TS",""))*10/2,0),IF('Eval-Après action écologique'!$A$779=FE20,LEN(SUBSTITUTE((SUBSTITUTE(GD27,"TF","")),"TS",""))*10/2,0),IF('Eval-Après action écologique'!$A$780=FE20,LEN(SUBSTITUTE((SUBSTITUTE(GD28,"TF","")),"TS",""))*10/2,0))/COUNTIF('Eval-Après action écologique'!$A$761:$A$780,FE20),"")</f>
        <v/>
      </c>
      <c r="FQ20" s="211" t="str">
        <f>IF(COUNTIF('Eval-Après action écologique'!$A$761:$A$780,FE20)&gt;0,SUM(IF('Eval-Après action écologique'!$A$761=FE20,LEN(SUBSTITUTE((SUBSTITUTE(GD9,"TF","")),"TM",""))*10/2,0),IF('Eval-Après action écologique'!$A$762=FE20,LEN(SUBSTITUTE((SUBSTITUTE(GD10,"TF","")),"TM",""))*10/2,0),IF('Eval-Après action écologique'!$A$763=FE20,LEN(SUBSTITUTE((SUBSTITUTE(GD11,"TF","")),"TM",""))*10/2,0),IF('Eval-Après action écologique'!$A$764=FE20,LEN(SUBSTITUTE((SUBSTITUTE(GD12,"TF","")),"TM",""))*10/2,0),IF('Eval-Après action écologique'!$A$765=FE20,LEN(SUBSTITUTE((SUBSTITUTE(GD13,"TF","")),"TM",""))*10/2,0),IF('Eval-Après action écologique'!$A$766=FE20,LEN(SUBSTITUTE((SUBSTITUTE(GD14,"TF","")),"TM",""))*10/2,0),IF('Eval-Après action écologique'!$A$767=FE20,LEN(SUBSTITUTE((SUBSTITUTE(GD15,"TF","")),"TM",""))*10/2,0),IF('Eval-Après action écologique'!$A$768=FE20,LEN(SUBSTITUTE((SUBSTITUTE(GD16,"TF","")),"TM",""))*10/2,0),IF('Eval-Après action écologique'!$A$769=FE20,LEN(SUBSTITUTE((SUBSTITUTE(GD17,"TF","")),"TM",""))*10/2,0),IF('Eval-Après action écologique'!$A$770=FE20,LEN(SUBSTITUTE((SUBSTITUTE(GD18,"TF","")),"TM",""))*10/2,0),IF('Eval-Après action écologique'!$A$771=FE20,LEN(SUBSTITUTE((SUBSTITUTE(GD19,"TF","")),"TM",""))*10/2,0),IF('Eval-Après action écologique'!$A$772=FE20,LEN(SUBSTITUTE((SUBSTITUTE(GD20,"TF","")),"TM",""))*10/2,0),IF('Eval-Après action écologique'!$A$773=FE20,LEN(SUBSTITUTE((SUBSTITUTE(GD21,"TF","")),"TM",""))*10/2,0),IF('Eval-Après action écologique'!$A$774=FE20,LEN(SUBSTITUTE((SUBSTITUTE(GD22,"TF","")),"TM",""))*10/2,0),IF('Eval-Après action écologique'!$A$775=FE20,LEN(SUBSTITUTE((SUBSTITUTE(GD23,"TF","")),"TM",""))*10/2,0),IF('Eval-Après action écologique'!$A$776=FE20,LEN(SUBSTITUTE((SUBSTITUTE(GD24,"TF","")),"TM",""))*10/2,0),IF('Eval-Après action écologique'!$A$777=FE20,LEN(SUBSTITUTE((SUBSTITUTE(GD25,"TF","")),"TM",""))*10/2,0),IF('Eval-Après action écologique'!$A$778=FE20,LEN(SUBSTITUTE((SUBSTITUTE(GD26,"TF","")),"TM",""))*10/2,0),IF('Eval-Après action écologique'!$A$779=FE20,LEN(SUBSTITUTE((SUBSTITUTE(GD27,"TF","")),"TM",""))*10/2,0),IF('Eval-Après action écologique'!$A$780=FE20,LEN(SUBSTITUTE((SUBSTITUTE(GD28,"TF","")),"TM",""))*10/2,0))/COUNTIF('Eval-Après action écologique'!$A$761:$A$780,FE20),"")</f>
        <v/>
      </c>
      <c r="FR20" s="211" t="str">
        <f>IF(COUNTIF('Eval-Après action écologique'!$A$761:$A$780,FE20)&gt;0,SUM(IF('Eval-Après action écologique'!$A$761=FE20,LEN(SUBSTITUTE((SUBSTITUTE(GE9,"TM","")),"TS",""))*10/2,0),IF('Eval-Après action écologique'!$A$762=FE20,LEN(SUBSTITUTE((SUBSTITUTE(GE10,"TM","")),"TS",""))*10/2,0),IF('Eval-Après action écologique'!$A$763=FE20,LEN(SUBSTITUTE((SUBSTITUTE(GE11,"TM","")),"TS",""))*10/2,0),IF('Eval-Après action écologique'!$A$764=FE20,LEN(SUBSTITUTE((SUBSTITUTE(GE12,"TM","")),"TS",""))*10/2,0),IF('Eval-Après action écologique'!$A$765=FE20,LEN(SUBSTITUTE((SUBSTITUTE(GE13,"TM","")),"TS",""))*10/2,0),IF('Eval-Après action écologique'!$A$766=FE20,LEN(SUBSTITUTE((SUBSTITUTE(GE14,"TM","")),"TS",""))*10/2,0),IF('Eval-Après action écologique'!$A$767=FE20,LEN(SUBSTITUTE((SUBSTITUTE(GE15,"TM","")),"TS",""))*10/2,0),IF('Eval-Après action écologique'!$A$768=FE20,LEN(SUBSTITUTE((SUBSTITUTE(GE16,"TM","")),"TS",""))*10/2,0),IF('Eval-Après action écologique'!$A$769=FE20,LEN(SUBSTITUTE((SUBSTITUTE(GE17,"TM","")),"TS",""))*10/2,0),IF('Eval-Après action écologique'!$A$770=FE20,LEN(SUBSTITUTE((SUBSTITUTE(GE18,"TM","")),"TS",""))*10/2,0),IF('Eval-Après action écologique'!$A$771=FE20,LEN(SUBSTITUTE((SUBSTITUTE(GE19,"TM","")),"TS",""))*10/2,0),IF('Eval-Après action écologique'!$A$772=FE20,LEN(SUBSTITUTE((SUBSTITUTE(GE20,"TM","")),"TS",""))*10/2,0),IF('Eval-Après action écologique'!$A$773=FE20,LEN(SUBSTITUTE((SUBSTITUTE(GE21,"TM","")),"TS",""))*10/2,0),IF('Eval-Après action écologique'!$A$774=FE20,LEN(SUBSTITUTE((SUBSTITUTE(GE22,"TM","")),"TS",""))*10/2,0),IF('Eval-Après action écologique'!$A$775=FE20,LEN(SUBSTITUTE((SUBSTITUTE(GE23,"TM","")),"TS",""))*10/2,0),IF('Eval-Après action écologique'!$A$776=FE20,LEN(SUBSTITUTE((SUBSTITUTE(GE24,"TM","")),"TS",""))*10/2,0),IF('Eval-Après action écologique'!$A$777=FE20,LEN(SUBSTITUTE((SUBSTITUTE(GE25,"TM","")),"TS",""))*10/2,0),IF('Eval-Après action écologique'!$A$778=FE20,LEN(SUBSTITUTE((SUBSTITUTE(GE26,"TM","")),"TS",""))*10/2,0),IF('Eval-Après action écologique'!$A$779=FE20,LEN(SUBSTITUTE((SUBSTITUTE(GE27,"TM","")),"TS",""))*10/2,0),IF('Eval-Après action écologique'!$A$780=FE20,LEN(SUBSTITUTE((SUBSTITUTE(GE28,"TM","")),"TS",""))*10/2,0))/COUNTIF('Eval-Après action écologique'!$A$761:$A$780,FE20),"")</f>
        <v/>
      </c>
      <c r="FS20" s="211" t="str">
        <f>IF(COUNTIF('Eval-Après action écologique'!$A$761:$A$780,FE20)&gt;0,SUM(IF('Eval-Après action écologique'!$A$761=FE20,LEN(SUBSTITUTE((SUBSTITUTE(GE9,"TF","")),"TS",""))*10/2,0),IF('Eval-Après action écologique'!$A$762=FE20,LEN(SUBSTITUTE((SUBSTITUTE(GE10,"TF","")),"TS",""))*10/2,0),IF('Eval-Après action écologique'!$A$763=FE20,LEN(SUBSTITUTE((SUBSTITUTE(GE11,"TF","")),"TS",""))*10/2,0),IF('Eval-Après action écologique'!$A$764=FE20,LEN(SUBSTITUTE((SUBSTITUTE(GE12,"TF","")),"TS",""))*10/2,0),IF('Eval-Après action écologique'!$A$765=FE20,LEN(SUBSTITUTE((SUBSTITUTE(GE13,"TF","")),"TS",""))*10/2,0),IF('Eval-Après action écologique'!$A$766=FE20,LEN(SUBSTITUTE((SUBSTITUTE(GE14,"TF","")),"TS",""))*10/2,0),IF('Eval-Après action écologique'!$A$767=FE20,LEN(SUBSTITUTE((SUBSTITUTE(GE15,"TF","")),"TS",""))*10/2,0),IF('Eval-Après action écologique'!$A$768=FE20,LEN(SUBSTITUTE((SUBSTITUTE(GE16,"TF","")),"TS",""))*10/2,0),IF('Eval-Après action écologique'!$A$769=FE20,LEN(SUBSTITUTE((SUBSTITUTE(GE17,"TF","")),"TS",""))*10/2,0),IF('Eval-Après action écologique'!$A$770=FE20,LEN(SUBSTITUTE((SUBSTITUTE(GE18,"TF","")),"TS",""))*10/2,0),IF('Eval-Après action écologique'!$A$771=FE20,LEN(SUBSTITUTE((SUBSTITUTE(GE19,"TF","")),"TS",""))*10/2,0),IF('Eval-Après action écologique'!$A$772=FE20,LEN(SUBSTITUTE((SUBSTITUTE(GE20,"TF","")),"TS",""))*10/2,0),IF('Eval-Après action écologique'!$A$773=FE20,LEN(SUBSTITUTE((SUBSTITUTE(GE21,"TF","")),"TS",""))*10/2,0),IF('Eval-Après action écologique'!$A$774=FE20,LEN(SUBSTITUTE((SUBSTITUTE(GE22,"TF","")),"TS",""))*10/2,0),IF('Eval-Après action écologique'!$A$775=FE20,LEN(SUBSTITUTE((SUBSTITUTE(GE23,"TF","")),"TS",""))*10/2,0),IF('Eval-Après action écologique'!$A$776=FE20,LEN(SUBSTITUTE((SUBSTITUTE(GE24,"TF","")),"TS",""))*10/2,0),IF('Eval-Après action écologique'!$A$777=FE20,LEN(SUBSTITUTE((SUBSTITUTE(GE25,"TF","")),"TS",""))*10/2,0),IF('Eval-Après action écologique'!$A$778=FE20,LEN(SUBSTITUTE((SUBSTITUTE(GE26,"TF","")),"TS",""))*10/2,0),IF('Eval-Après action écologique'!$A$779=FE20,LEN(SUBSTITUTE((SUBSTITUTE(GE27,"TF","")),"TS",""))*10/2,0),IF('Eval-Après action écologique'!$A$780=FE20,LEN(SUBSTITUTE((SUBSTITUTE(GE28,"TF","")),"TS",""))*10/2,0))/COUNTIF('Eval-Après action écologique'!$A$761:$A$780,FE20),"")</f>
        <v/>
      </c>
      <c r="FT20" s="211" t="str">
        <f>IF(COUNTIF('Eval-Après action écologique'!$A$761:$A$780,FE20)&gt;0,SUM(IF('Eval-Après action écologique'!$A$761=FE20,LEN(SUBSTITUTE((SUBSTITUTE(GE9,"TF","")),"TM",""))*10/2,0),IF('Eval-Après action écologique'!$A$762=FE20,LEN(SUBSTITUTE((SUBSTITUTE(GE10,"TF","")),"TM",""))*10/2,0),IF('Eval-Après action écologique'!$A$763=FE20,LEN(SUBSTITUTE((SUBSTITUTE(GE11,"TF","")),"TM",""))*10/2,0),IF('Eval-Après action écologique'!$A$764=FE20,LEN(SUBSTITUTE((SUBSTITUTE(GE12,"TF","")),"TM",""))*10/2,0),IF('Eval-Après action écologique'!$A$765=FE20,LEN(SUBSTITUTE((SUBSTITUTE(GE13,"TF","")),"TM",""))*10/2,0),IF('Eval-Après action écologique'!$A$766=FE20,LEN(SUBSTITUTE((SUBSTITUTE(GE14,"TF","")),"TM",""))*10/2,0),IF('Eval-Après action écologique'!$A$767=FE20,LEN(SUBSTITUTE((SUBSTITUTE(GE15,"TF","")),"TM",""))*10/2,0),IF('Eval-Après action écologique'!$A$768=FE20,LEN(SUBSTITUTE((SUBSTITUTE(GE16,"TF","")),"TM",""))*10/2,0),IF('Eval-Après action écologique'!$A$769=FE20,LEN(SUBSTITUTE((SUBSTITUTE(GE17,"TF","")),"TM",""))*10/2,0),IF('Eval-Après action écologique'!$A$770=FE20,LEN(SUBSTITUTE((SUBSTITUTE(GE18,"TF","")),"TM",""))*10/2,0),IF('Eval-Après action écologique'!$A$771=FE20,LEN(SUBSTITUTE((SUBSTITUTE(GE19,"TF","")),"TM",""))*10/2,0),IF('Eval-Après action écologique'!$A$772=FE20,LEN(SUBSTITUTE((SUBSTITUTE(GE20,"TF","")),"TM",""))*10/2,0),IF('Eval-Après action écologique'!$A$773=FE20,LEN(SUBSTITUTE((SUBSTITUTE(GE21,"TF","")),"TM",""))*10/2,0),IF('Eval-Après action écologique'!$A$774=FE20,LEN(SUBSTITUTE((SUBSTITUTE(GE22,"TF","")),"TM",""))*10/2,0),IF('Eval-Après action écologique'!$A$775=FE20,LEN(SUBSTITUTE((SUBSTITUTE(GE23,"TF","")),"TM",""))*10/2,0),IF('Eval-Après action écologique'!$A$776=FE20,LEN(SUBSTITUTE((SUBSTITUTE(GE24,"TF","")),"TM",""))*10/2,0),IF('Eval-Après action écologique'!$A$777=FE20,LEN(SUBSTITUTE((SUBSTITUTE(GE25,"TF","")),"TM",""))*10/2,0),IF('Eval-Après action écologique'!$A$778=FE20,LEN(SUBSTITUTE((SUBSTITUTE(GE26,"TF","")),"TM",""))*10/2,0),IF('Eval-Après action écologique'!$A$779=FE20,LEN(SUBSTITUTE((SUBSTITUTE(GE27,"TF","")),"TM",""))*10/2,0),IF('Eval-Après action écologique'!$A$780=FE20,LEN(SUBSTITUTE((SUBSTITUTE(GE28,"TF","")),"TM",""))*10/2,0))/COUNTIF('Eval-Après action écologique'!$A$761:$A$780,FE20),"")</f>
        <v/>
      </c>
      <c r="FU20" s="211" t="str">
        <f>IF(COUNTIF('Eval-Après action écologique'!$A$761:$A$780,FE20)&gt;0,IF(OR(AND('Eval-Après action écologique'!$A$761=FE20,GB9&lt;30),AND('Eval-Après action écologique'!$A$762=FE20,GB10&lt;30),AND('Eval-Après action écologique'!$A$763=FE20,GB11&lt;30),AND('Eval-Après action écologique'!$A$764=FE20,GB12&lt;30),AND('Eval-Après action écologique'!$A$765=FE20,GB13&lt;30),AND('Eval-Après action écologique'!$A$766=FE20,GB14&lt;30),AND('Eval-Après action écologique'!$A$767=FE20,GB15&lt;30),AND('Eval-Après action écologique'!$A$768=FE20,GB16&lt;30),AND('Eval-Après action écologique'!$A$769=FE20,GB17&lt;30),AND('Eval-Après action écologique'!$A$770=FE20,GB18&lt;30),AND('Eval-Après action écologique'!$A$771=FE20,GB19&lt;30),AND('Eval-Après action écologique'!$A$772=FE20,GB20&lt;30),AND('Eval-Après action écologique'!$A$773=FE20,GB21&lt;30),AND('Eval-Après action écologique'!$A$774=FE20,GB22&lt;30),AND('Eval-Après action écologique'!$A$775=FE20,GB23&lt;30),AND('Eval-Après action écologique'!$A$776=FE20,GB24&lt;30),AND('Eval-Après action écologique'!$A$777=FE20,GB25&lt;30),AND('Eval-Après action écologique'!$A$778=FE20,GB26&lt;30),AND('Eval-Après action écologique'!$A$779=FE20,GB27&lt;30),AND('Eval-Après action écologique'!$A$780=FE20,GB28&lt;30)),"",SUM(0.1*(SUMPRODUCT(('Eval-Après action écologique'!$A$761:$A$780=FE20)*('Eval-Après action écologique'!$N$761:$P$780="A"))+ SUMPRODUCT(('Eval-Après action écologique'!$A$761:$A$780=FE20)*('Eval-Après action écologique'!$N$761:$P$780="AL"))),0.7*(SUMPRODUCT(('Eval-Après action écologique'!$A$761:$A$780=FE20)*('Eval-Après action écologique'!$N$761:$P$780="TF"))+SUMPRODUCT(('Eval-Après action écologique'!$A$761:$A$780=FE20)*('Eval-Après action écologique'!$N$761:$P$780="TM"))+SUMPRODUCT(('Eval-Après action écologique'!$A$761:$A$780=FE20)*('Eval-Après action écologique'!$N$761:$P$780="TS"))),0.4*(SUMPRODUCT(('Eval-Après action écologique'!$A$761:$A$780=FE20)*('Eval-Après action écologique'!$N$761:$P$780="LA"))+SUMPRODUCT(('Eval-Après action écologique'!$A$761:$A$780=FE20)*('Eval-Après action écologique'!$N$761:$P$780="L"))+SUMPRODUCT(('Eval-Après action écologique'!$A$761:$A$780=FE20)*('Eval-Après action écologique'!$N$761:$P$780="LS"))),1*(SUMPRODUCT(('Eval-Après action écologique'!$A$761:$A$780=FE20)*('Eval-Après action écologique'!$N$761:$P$780="SL"))+ SUMPRODUCT(('Eval-Après action écologique'!$A$761:$A$780=FE20)*('Eval-Après action écologique'!$N$761:$P$780="S"))))/(3*COUNTIF('Eval-Après action écologique'!$A$761:$A$780,FE20))),"")</f>
        <v/>
      </c>
      <c r="FV20" s="211" t="str">
        <f>IF(COUNTIF('Eval-Après action écologique'!$A$761:$A$780,FE20)&gt;0,IF(OR(AND('Eval-Après action écologique'!$A$761=FE20,GB9&lt;120),AND('Eval-Après action écologique'!$A$762=FE20,GB10&lt;120),AND('Eval-Après action écologique'!$A$763=FE20,GB11&lt;120),AND('Eval-Après action écologique'!$A$764=FE20,GB12&lt;120),AND('Eval-Après action écologique'!$A$765=FE20,GB13&lt;120),AND('Eval-Après action écologique'!$A$766=FE20,GB14&lt;120),AND('Eval-Après action écologique'!$A$767=FE20,GB15&lt;120),AND('Eval-Après action écologique'!$A$768=FE20,GB16&lt;120),AND('Eval-Après action écologique'!$A$769=FE20,GB17&lt;120),AND('Eval-Après action écologique'!$A$770=FE20,GB18&lt;120),AND('Eval-Après action écologique'!$A$771=FE20,GB19&lt;120),AND('Eval-Après action écologique'!$A$772=FE20,GB20&lt;120),AND('Eval-Après action écologique'!$A$773=FE20,GB21&lt;120),AND('Eval-Après action écologique'!$A$774=FE20,GB22&lt;120),AND('Eval-Après action écologique'!$A$775=FE20,GB23&lt;120),AND('Eval-Après action écologique'!$A$776=FE20,GB24&lt;120),AND('Eval-Après action écologique'!$A$777=FE20,GB25&lt;120),AND('Eval-Après action écologique'!$A$778=FE20,GB26&lt;120),AND('Eval-Après action écologique'!$A$779=FE20,GB27&lt;120),AND('Eval-Après action écologique'!$A$780=FE20,GB28&lt;120)),"",SUM(0.1*(SUMPRODUCT(('Eval-Après action écologique'!$A$761:$A$780=FE20)*('Eval-Après action écologique'!$Q$761:$Y$780="A"))+ SUMPRODUCT(('Eval-Après action écologique'!$A$761:$A$780=FE20)*('Eval-Après action écologique'!$Q$761:$Y$780="AL"))),0.7*(SUMPRODUCT(('Eval-Après action écologique'!$A$761:$A$780=FE20)*('Eval-Après action écologique'!$Q$761:$Y$780="TF"))+SUMPRODUCT(('Eval-Après action écologique'!$A$761:$A$780=FE20)*('Eval-Après action écologique'!$Q$761:$Y$780="TM"))+SUMPRODUCT(('Eval-Après action écologique'!$A$761:$A$780=FE20)*('Eval-Après action écologique'!$Q$761:$Y$780="TS"))),0.4*(SUMPRODUCT(('Eval-Après action écologique'!$A$761:$A$780=FE20)*('Eval-Après action écologique'!$Q$761:$Y$780="LA"))+SUMPRODUCT(('Eval-Après action écologique'!$A$761:$A$780=FE20)*('Eval-Après action écologique'!$Q$761:$Y$780="L"))+SUMPRODUCT(('Eval-Après action écologique'!$A$761:$A$780=FE20)*('Eval-Après action écologique'!$Q$761:$Y$780="LS"))),1*(SUMPRODUCT(('Eval-Après action écologique'!$A$761:$A$780=FE20)*('Eval-Après action écologique'!$Q$761:$Y$780="SL"))+ SUMPRODUCT(('Eval-Après action écologique'!$A$761:$A$780=FE20)*('Eval-Après action écologique'!$Q$761:$Y$780="S"))))/(9*COUNTIF('Eval-Après action écologique'!$A$761:$A$780,FE20))),"")</f>
        <v/>
      </c>
      <c r="FW20" s="211" t="str">
        <f>IF(COUNTIF('Eval-Après action écologique'!$A$761:$A$780,FE20)&gt;0,IF(OR(AND('Eval-Après action écologique'!$A$761=FE20,OR(COUNTIF('Eval-Après action écologique'!$N$761:$P$761,"*T*")&gt;0,GB9&lt;30)),AND('Eval-Après action écologique'!$A$762=FE20,OR(COUNTIF('Eval-Après action écologique'!$N$762:$P$762,"*T*")&gt;0,GB10&lt;30)),AND('Eval-Après action écologique'!$A$763=FE20,OR(COUNTIF('Eval-Après action écologique'!$N$763:$P$763,"*T*")&gt;0,GB11&lt;30)),AND('Eval-Après action écologique'!$A$764=FE20,OR(COUNTIF('Eval-Après action écologique'!$N$764:$P$764,"*T*")&gt;0,GB12&lt;30)),AND('Eval-Après action écologique'!$A$765=FE20,OR(COUNTIF('Eval-Après action écologique'!$N$765:$P$765,"*T*")&gt;0,GB13&lt;30)),AND('Eval-Après action écologique'!$A$766=FE20,OR(COUNTIF('Eval-Après action écologique'!$N$766:$P$766,"*T*")&gt;0,GB14&lt;30)),AND('Eval-Après action écologique'!$A$767=FE20,OR(COUNTIF('Eval-Après action écologique'!$N$767:$P$767,"*T*")&gt;0,GB15&lt;30)),AND('Eval-Après action écologique'!$A$768=FE20,OR(COUNTIF('Eval-Après action écologique'!$N$768:$P$768,"*T*")&gt;0,GB16&lt;30)),AND('Eval-Après action écologique'!$A$769=FE20,OR(COUNTIF('Eval-Après action écologique'!$N$769:$P$769,"*T*")&gt;0,GB17&lt;30)),AND('Eval-Après action écologique'!$A$770=FE20,OR(COUNTIF('Eval-Après action écologique'!$N$770:$P$770,"*T*")&gt;0,GB18&lt;30)),AND('Eval-Après action écologique'!$A$771=FE20,OR(COUNTIF('Eval-Après action écologique'!$N$771:$P$771,"*T*")&gt;0,GB19&lt;30)),AND('Eval-Après action écologique'!$A$772=FE20,OR(COUNTIF('Eval-Après action écologique'!$N$772:$P$772,"*T*")&gt;0,GB20&lt;30)),AND('Eval-Après action écologique'!$A$773=FE20,OR(COUNTIF('Eval-Après action écologique'!$N$773:$P$773,"*T*")&gt;0,GB21&lt;30)),AND('Eval-Après action écologique'!$A$774=FE20,OR(COUNTIF('Eval-Après action écologique'!$N$774:$P$774,"*T*")&gt;0,GB22&lt;30)),AND('Eval-Après action écologique'!$A$775=FE20,OR(COUNTIF('Eval-Après action écologique'!$N$775:$P$775,"*T*")&gt;0,GB23&lt;30)),AND('Eval-Après action écologique'!$A$776=FE20,OR(COUNTIF('Eval-Après action écologique'!$N$776:$P$776,"*T*")&gt;0,GB24&lt;30)),AND('Eval-Après action écologique'!$A$777=FE20,OR(COUNTIF('Eval-Après action écologique'!$N$777:$P$777,"*T*")&gt;0,GB25&lt;30)),AND('Eval-Après action écologique'!$A$778=FE20,OR(COUNTIF('Eval-Après action écologique'!$N$778:$P$778,"*T*")&gt;0,GB26&lt;30)),AND('Eval-Après action écologique'!$A$779=FE20,OR(COUNTIF('Eval-Après action écologique'!$N$779:$P$779,"*T*")&gt;0,GB27&lt;30)),AND('Eval-Après action écologique'!$A$780=FE20,OR(COUNTIF('Eval-Après action écologique'!$N$780:$P$780,"*T*")&gt;0,GB28&lt;30))),"",SUM(0.1*(SUMPRODUCT(('Eval-Après action écologique'!$A$761:$A$780=FE20)*('Eval-Après action écologique'!$N$761:$P$780="L"))),0.4*(SUMPRODUCT(('Eval-Après action écologique'!$A$761:$A$780=FE20)*('Eval-Après action écologique'!$N$761:$P$780="LA"))+SUMPRODUCT(('Eval-Après action écologique'!$A$761:$A$780=FE20)*('Eval-Après action écologique'!$N$761:$P$780="LS"))),0.7*(SUMPRODUCT(('Eval-Après action écologique'!$A$761:$A$780=FE20)*('Eval-Après action écologique'!$N$761:$P$780="AL"))+SUMPRODUCT(('Eval-Après action écologique'!$A$761:$A$780=FE20)*('Eval-Après action écologique'!$N$761:$P$780="SL"))),1*(SUMPRODUCT(('Eval-Après action écologique'!$A$761:$A$780=FE20)*('Eval-Après action écologique'!$N$761:$P$780="S"))+ SUMPRODUCT(('Eval-Après action écologique'!$A$761:$A$780=FE20)*('Eval-Après action écologique'!$N$761:$P$780="A"))))/(3*COUNTIF('Eval-Après action écologique'!$A$761:$A$780,FE20))),"")</f>
        <v/>
      </c>
      <c r="FX20" s="211" t="str">
        <f>IF(COUNTIF('Eval-Après action écologique'!$A$761:$A$780,FE20)&gt;0,IF(OR(AND('Eval-Après action écologique'!$A$761=FE20,OR(COUNTIF('Eval-Après action écologique'!$N$761:$P$761,"*T*")&gt;0,GB9&lt;30)),AND('Eval-Après action écologique'!$A$762=FE20,OR(COUNTIF('Eval-Après action écologique'!$N$762:$P$762,"*T*")&gt;0,GB10&lt;30)),AND('Eval-Après action écologique'!$A$763=FE20,OR(COUNTIF('Eval-Après action écologique'!$N$763:$P$763,"*T*")&gt;0,GB11&lt;30)),AND('Eval-Après action écologique'!$A$764=FE20,OR(COUNTIF('Eval-Après action écologique'!$N$764:$P$764,"*T*")&gt;0,GB12&lt;30)),AND('Eval-Après action écologique'!$A$765=FE20,OR(COUNTIF('Eval-Après action écologique'!$N$765:$P$765,"*T*")&gt;0,GB13&lt;30)),AND('Eval-Après action écologique'!$A$766=FE20,OR(COUNTIF('Eval-Après action écologique'!$N$766:$P$766,"*T*")&gt;0,GB14&lt;30)),AND('Eval-Après action écologique'!$A$767=FE20,OR(COUNTIF('Eval-Après action écologique'!$N$767:$P$767,"*T*")&gt;0,GB15&lt;30)),AND('Eval-Après action écologique'!$A$768=FE20,OR(COUNTIF('Eval-Après action écologique'!$N$768:$P$768,"*T*")&gt;0,GB16&lt;30)),AND('Eval-Après action écologique'!$A$769=FE20,OR(COUNTIF('Eval-Après action écologique'!$N$769:$P$769,"*T*")&gt;0,GB17&lt;30)),AND('Eval-Après action écologique'!$A$770=FE20,OR(COUNTIF('Eval-Après action écologique'!$N$770:$P$770,"*T*")&gt;0,GB18&lt;30)),AND('Eval-Après action écologique'!$A$771=FE20,OR(COUNTIF('Eval-Après action écologique'!$N$771:$P$771,"*T*")&gt;0,GB19&lt;30)),AND('Eval-Après action écologique'!$A$772=FE20,OR(COUNTIF('Eval-Après action écologique'!$N$772:$P$772,"*T*")&gt;0,GB20&lt;30)),AND('Eval-Après action écologique'!$A$773=FE20,OR(COUNTIF('Eval-Après action écologique'!$N$773:$P$773,"*T*")&gt;0,GB21&lt;30)),AND('Eval-Après action écologique'!$A$774=FE20,OR(COUNTIF('Eval-Après action écologique'!$N$774:$P$774,"*T*")&gt;0,GB22&lt;30)),AND('Eval-Après action écologique'!$A$775=FE20,OR(COUNTIF('Eval-Après action écologique'!$N$775:$P$775,"*T*")&gt;0,GB23&lt;30)),AND('Eval-Après action écologique'!$A$776=FE20,OR(COUNTIF('Eval-Après action écologique'!$N$776:$P$776,"*T*")&gt;0,GB24&lt;30)),AND('Eval-Après action écologique'!$A$777=FE20,OR(COUNTIF('Eval-Après action écologique'!$N$777:$P$777,"*T*")&gt;0,GB25&lt;30)),AND('Eval-Après action écologique'!$A$778=FE20,OR(COUNTIF('Eval-Après action écologique'!$N$778:$P$778,"*T*")&gt;0,GB26&lt;30)),AND('Eval-Après action écologique'!$A$779=FE20,OR(COUNTIF('Eval-Après action écologique'!$N$779:$P$779,"*T*")&gt;0,GB27&lt;30)),AND('Eval-Après action écologique'!$A$780=FE20,OR(COUNTIF('Eval-Après action écologique'!$N$780:$P$780,"*T*")&gt;0,GB28&lt;30))),"",SUM(1*(SUMPRODUCT(('Eval-Après action écologique'!$A$761:$A$780=FE20)*('Eval-Après action écologique'!$N$761:$P$780="A"))),0.85*(SUMPRODUCT(('Eval-Après action écologique'!$A$761:$A$780=FE20)*('Eval-Après action écologique'!$N$761:$P$780="AL"))),0.7*(SUMPRODUCT(('Eval-Après action écologique'!$A$761:$A$780=FE20)*('Eval-Après action écologique'!$N$761:$P$780="LA"))),0.55*(SUMPRODUCT(('Eval-Après action écologique'!$A$761:$A$780=FE20)*('Eval-Après action écologique'!$N$761:$P$780="L"))),0.4*(SUMPRODUCT(('Eval-Après action écologique'!$A$761:$A$780=FE20)*('Eval-Après action écologique'!$N$761:$P$780="LS"))),0.25*(SUMPRODUCT(('Eval-Après action écologique'!$A$761:$A$780=FE20)*('Eval-Après action écologique'!$N$761:$P$780="SL"))),0.1*(SUMPRODUCT(('Eval-Après action écologique'!$A$761:$A$780=FE20)*('Eval-Après action écologique'!$N$761:$P$780="S"))))/(3*COUNTIF('Eval-Après action écologique'!$A$761:$A$780,FE20))),"")</f>
        <v/>
      </c>
      <c r="FY20" s="214" t="str">
        <f>IF(COUNTIF('Eval-Après action écologique'!$A$761:$A$780,FE20)&gt;0,IF(OR(AND('Eval-Après action écologique'!$A$761=FE20,OR(COUNTIF('Eval-Après action écologique'!$Q$761:$Y$761,"*T*")&gt;0,GB9&lt;120)),AND('Eval-Après action écologique'!$A$762=FE20,OR(COUNTIF('Eval-Après action écologique'!$Q$762:$Y$762,"*T*")&gt;0,GB10&lt;120)),AND('Eval-Après action écologique'!$A$763=FE20,OR(COUNTIF('Eval-Après action écologique'!$Q$763:$Y$763,"*T*")&gt;0,GB11&lt;120)),AND('Eval-Après action écologique'!$A$764=FE20,OR(COUNTIF('Eval-Après action écologique'!$Q$764:$Y$764,"*T*")&gt;0,GB12&lt;120)),AND('Eval-Après action écologique'!$A$765=FE20,OR(COUNTIF('Eval-Après action écologique'!$Q$765:$Y$765,"*T*")&gt;0,GB13&lt;120)),AND('Eval-Après action écologique'!$A$766=FE20,OR(COUNTIF('Eval-Après action écologique'!$Q$766:$Y$766,"*T*")&gt;0,GB14&lt;120)),AND('Eval-Après action écologique'!$A$767=FE20,OR(COUNTIF('Eval-Après action écologique'!$Q$767:$Y$767,"*T*")&gt;0,GB15&lt;120)),AND('Eval-Après action écologique'!$A$768=FE20,OR(COUNTIF('Eval-Après action écologique'!$Q$768:$Y$768,"*T*")&gt;0,GB16&lt;120)),AND('Eval-Après action écologique'!$A$769=FE20,OR(COUNTIF('Eval-Après action écologique'!$Q$769:$Y$769,"*T*")&gt;0,GB17&lt;120)),AND('Eval-Après action écologique'!$A$770=FE20,OR(COUNTIF('Eval-Après action écologique'!$Q$770:$Y$770,"*T*")&gt;0,GB18&lt;120)),AND('Eval-Après action écologique'!$A$771=FE20,OR(COUNTIF('Eval-Après action écologique'!$Q$771:$Y$771,"*T*")&gt;0,GB19&lt;120)),AND('Eval-Après action écologique'!$A$772=FE20,OR(COUNTIF('Eval-Après action écologique'!$Q$772:$Y$772,"*T*")&gt;0,GB20&lt;120)),AND('Eval-Après action écologique'!$A$773=FE20,OR(COUNTIF('Eval-Après action écologique'!$Q$773:$Y$773,"*T*")&gt;0,GB21&lt;120)),AND('Eval-Après action écologique'!$A$774=FE20,OR(COUNTIF('Eval-Après action écologique'!$Q$774:$Y$774,"*T*")&gt;0,GB22&lt;120)),AND('Eval-Après action écologique'!$A$775=FE20,OR(COUNTIF('Eval-Après action écologique'!$Q$775:$Y$775,"*T*")&gt;0,GB23&lt;120)),AND('Eval-Après action écologique'!$A$776=FE20,OR(COUNTIF('Eval-Après action écologique'!$Q$776:$Y$776,"*T*")&gt;0,GB24&lt;120)),AND('Eval-Après action écologique'!$A$777=FE20,OR(COUNTIF('Eval-Après action écologique'!$Q$777:$Y$777,"*T*")&gt;0,GB25&lt;120)),AND('Eval-Après action écologique'!$A$778=FE20,OR(COUNTIF('Eval-Après action écologique'!$Q$778:$Y$778,"*T*")&gt;0,GB26&lt;120)),AND('Eval-Après action écologique'!$A$779=FE20,OR(COUNTIF('Eval-Après action écologique'!$Q$779:$Y$779,"*T*")&gt;0,GB27&lt;120)),AND('Eval-Après action écologique'!$A$780=FE20,OR(COUNTIF('Eval-Après action écologique'!$Q$780:$Y$780,"*T*")&gt;0,GB28&lt;120))),"",SUM(1*(SUMPRODUCT(('Eval-Après action écologique'!$A$761:$A$780=FE20)*('Eval-Après action écologique'!$Q$761:$Y$780="A"))),0.85*(SUMPRODUCT(('Eval-Après action écologique'!$A$761:$A$780=FE20)*('Eval-Après action écologique'!$Q$761:$Y$780="AL"))),0.7*(SUMPRODUCT(('Eval-Après action écologique'!$A$761:$A$780=FE20)*('Eval-Après action écologique'!$Q$761:$Y$780="LA"))),0.55*(SUMPRODUCT(('Eval-Après action écologique'!$A$761:$A$780=FE20)*('Eval-Après action écologique'!$Q$761:$Y$780="L"))),0.4*(SUMPRODUCT(('Eval-Après action écologique'!$A$761:$A$780=FE20)*('Eval-Après action écologique'!$Q$761:$Y$780="LS"))),0.25*(SUMPRODUCT(('Eval-Après action écologique'!$A$761:$A$780=FE20)*('Eval-Après action écologique'!$Q$761:$Y$780="SL"))),0.1*(SUMPRODUCT(('Eval-Après action écologique'!$A$761:$A$780=FE20)*('Eval-Après action écologique'!$Q$761:$Y$780="S"))))/(9*COUNTIF('Eval-Après action écologique'!$A$761:$A$780,FE20))),"")</f>
        <v/>
      </c>
      <c r="FZ20" s="215"/>
      <c r="GA20" s="216">
        <f>'Eval-Après action écologique'!$D$772</f>
        <v>12</v>
      </c>
      <c r="GB20" s="217" t="str">
        <f>IF(GC20="C",0,IF(IF(COUNTIF('Eval-Après action écologique'!$N$772:$Y$772,"=C")&gt;0,(COUNTA('Eval-Après action écologique'!$N$772:$Y$772)-1)*10,COUNTA('Eval-Après action écologique'!$N$772:$Y$772)*10)=0,"",IF(COUNTIF('Eval-Après action écologique'!$N$772:$Y$772,"=C")&gt;0,(COUNTA('Eval-Après action écologique'!$N$772:$Y$772)-1)*10,COUNTA('Eval-Après action écologique'!$N$772:$Y$772)*10)))</f>
        <v/>
      </c>
      <c r="GC20" s="217" t="str">
        <f>CONCATENATE('Eval-Après action écologique'!$N$772,'Eval-Après action écologique'!$O$772,'Eval-Après action écologique'!$P$772,'Eval-Après action écologique'!$Q$772,'Eval-Après action écologique'!$R$772,'Eval-Après action écologique'!$S$772,'Eval-Après action écologique'!$T$772,'Eval-Après action écologique'!$U$772,'Eval-Après action écologique'!$V$772,'Eval-Après action écologique'!$W$772,'Eval-Après action écologique'!$X$772,'Eval-Après action écologique'!$Y$772)</f>
        <v/>
      </c>
      <c r="GD20" s="217" t="str">
        <f t="shared" si="20"/>
        <v/>
      </c>
      <c r="GE20" s="217" t="str">
        <f t="shared" si="21"/>
        <v/>
      </c>
      <c r="GF20" s="217" t="str">
        <f>IF(COUNTIF('Eval-Après action écologique'!$N$772:$Y$772,"=C")&gt;0,"X","")</f>
        <v/>
      </c>
      <c r="GG20" s="217" t="str">
        <f t="shared" si="22"/>
        <v/>
      </c>
      <c r="GH20" s="218" t="str">
        <f t="shared" si="23"/>
        <v/>
      </c>
      <c r="GI20" s="197"/>
    </row>
    <row r="21" spans="1:191" ht="18" customHeight="1" x14ac:dyDescent="0.2">
      <c r="A21" s="210">
        <v>13</v>
      </c>
      <c r="B21" s="211" t="str">
        <f>IF(COUNTIF('Eval-Avant impact'!$A$761:$A$780,A21)&gt;0,SUM(IF('Eval-Avant impact'!$A$761=A21,'Eval-Avant impact'!$B$761,0),IF('Eval-Avant impact'!$A$762=A21, 'Eval-Avant impact'!$B$762,0),IF('Eval-Avant impact'!$A$763=A21, 'Eval-Avant impact'!$B$763,0),IF('Eval-Avant impact'!$A$764=A21, 'Eval-Avant impact'!$B$764,0),IF('Eval-Avant impact'!$A$765=A21, 'Eval-Avant impact'!$B$765,0),IF('Eval-Avant impact'!$A$766=A21, 'Eval-Avant impact'!$B$766,0),IF('Eval-Avant impact'!$A$767=A21, 'Eval-Avant impact'!$B$767,0),IF('Eval-Avant impact'!$A$768=A21, 'Eval-Avant impact'!$B$768,0),IF('Eval-Avant impact'!$A$769=A21, 'Eval-Avant impact'!$B$769,0),IF('Eval-Avant impact'!$A$770=A21, 'Eval-Avant impact'!$B$770,0),IF('Eval-Avant impact'!$A$771=A21, 'Eval-Avant impact'!$B$771,0),IF('Eval-Avant impact'!$A$772=A21, 'Eval-Avant impact'!$B$772,0),IF('Eval-Avant impact'!$A$773=A21, 'Eval-Avant impact'!$B$773,0),IF('Eval-Avant impact'!$A$774=A21, 'Eval-Avant impact'!$B$774,0),IF('Eval-Avant impact'!$A$775=A21, 'Eval-Avant impact'!$B$775,0),IF('Eval-Avant impact'!$A$776=A21, 'Eval-Avant impact'!$B$776,0),IF('Eval-Avant impact'!$A$777=A21, 'Eval-Avant impact'!$B$777,0),IF('Eval-Avant impact'!$A$778=A21, 'Eval-Avant impact'!$B$778,0),IF('Eval-Avant impact'!$A$779=A21, 'Eval-Avant impact'!$B$779,0),IF('Eval-Avant impact'!$A$780=A21, 'Eval-Avant impact'!$B$780,0))/COUNTIF('Eval-Avant impact'!$A$761:$A$780,A21),"")</f>
        <v/>
      </c>
      <c r="C21" s="212" t="str">
        <f>IF(COUNTIF('Eval-Avant impact'!$A$761:$A$780,A21)&gt;0,COUNTIF('Eval-Avant impact'!$A$761:$A$780,A21),"")</f>
        <v/>
      </c>
      <c r="D21" s="211" t="str">
        <f>IF(COUNTIF('Eval-Avant impact'!$A$761:$A$780,A21)&gt;0,IF(OR(AND('Eval-Avant impact'!$A$761=A21, 'Eval-Avant impact'!$G$761=""),AND('Eval-Avant impact'!$A$762=A21, 'Eval-Avant impact'!$G$762=""),AND('Eval-Avant impact'!$A$763=A21, 'Eval-Avant impact'!$G$763=""),AND('Eval-Avant impact'!$A$764=A21, 'Eval-Avant impact'!$G$764=""),AND('Eval-Avant impact'!$A$765=A21, 'Eval-Avant impact'!$G$765=""),AND('Eval-Avant impact'!$A$766=A21, 'Eval-Avant impact'!$G$766=""),AND('Eval-Avant impact'!$A$767=A21, 'Eval-Avant impact'!$G$767=""),AND('Eval-Avant impact'!$A$768=A21, 'Eval-Avant impact'!$G$768=""),AND('Eval-Avant impact'!$A$769=A21, 'Eval-Avant impact'!$G$769=""),AND('Eval-Avant impact'!$A$770=A21, 'Eval-Avant impact'!$G$770=""),AND('Eval-Avant impact'!$A$771=A21, 'Eval-Avant impact'!$G$771=""),AND('Eval-Avant impact'!$A$772=A21, 'Eval-Avant impact'!$G$772=""),AND('Eval-Avant impact'!$A$773=A21, 'Eval-Avant impact'!$G$773=""),AND('Eval-Avant impact'!$A$774=A21, 'Eval-Avant impact'!$G$774=""),AND('Eval-Avant impact'!$A$775=A21, 'Eval-Avant impact'!$G$775=""),AND('Eval-Avant impact'!$A$776=A21, 'Eval-Avant impact'!$G$776=""),AND('Eval-Avant impact'!$A$777=A21, 'Eval-Avant impact'!$G$777=""),AND('Eval-Avant impact'!$A$778=A21, 'Eval-Avant impact'!$G$778=""),AND('Eval-Avant impact'!$A$779=A21, 'Eval-Avant impact'!$G$779=""),AND('Eval-Avant impact'!$A$780=A21, 'Eval-Avant impact'!$G$780="")),"",SUM(IF('Eval-Avant impact'!$A$761=A21,'Eval-Avant impact'!$G$761,0),IF('Eval-Avant impact'!$A$762=A21,'Eval-Avant impact'!$G$762,0),IF('Eval-Avant impact'!$A$763=A21,'Eval-Avant impact'!$G$763,0),IF('Eval-Avant impact'!$A$764=A21,'Eval-Avant impact'!$G$764,0),IF('Eval-Avant impact'!$A$765=A21,'Eval-Avant impact'!$G$765,0),IF('Eval-Avant impact'!$A$766=A21,'Eval-Avant impact'!$G$766,0),IF('Eval-Avant impact'!$A$767=A21,'Eval-Avant impact'!$G$767,0),IF('Eval-Avant impact'!$A$768=A21,'Eval-Avant impact'!$G$768,0),IF('Eval-Avant impact'!$A$769=A21,'Eval-Avant impact'!$G$769,0),IF('Eval-Avant impact'!$A$770=A21,'Eval-Avant impact'!$G$770,0),IF('Eval-Avant impact'!$A$771=A21,'Eval-Avant impact'!$G$771,0),IF('Eval-Avant impact'!$A$772=A21,'Eval-Avant impact'!$G$772,0),IF('Eval-Avant impact'!$A$773=A21,'Eval-Avant impact'!$G$773,0),IF('Eval-Avant impact'!$A$774=A21,'Eval-Avant impact'!$G$774,0),IF('Eval-Avant impact'!$A$775=A21,'Eval-Avant impact'!$G$775,0), IF('Eval-Avant impact'!$A$776=A21,'Eval-Avant impact'!$G$776,0), IF('Eval-Avant impact'!$A$777=A21,'Eval-Avant impact'!$G$777,0), IF('Eval-Avant impact'!$A$778=A21,'Eval-Avant impact'!$G$778,0), IF('Eval-Avant impact'!$A$779=A21,'Eval-Avant impact'!$G$779,0), IF('Eval-Avant impact'!$A$780=A21,'Eval-Avant impact'!$G$780,0))/ COUNTIF('Eval-Avant impact'!$A$761:$A$780,A21)),"")</f>
        <v/>
      </c>
      <c r="E21" s="212" t="str">
        <f>IF(COUNTIF('Eval-Avant impact'!$A$761:$A$780,A21)&gt;0,IF(SUM(IF('Eval-Avant impact'!$A$761=A21,COUNTA('Eval-Avant impact'!$H$761),0),IF('Eval-Avant impact'!$A$762=A21,COUNTA('Eval-Avant impact'!$H$762),0),IF('Eval-Avant impact'!$A$763=A21,COUNTA('Eval-Avant impact'!$H$763),0),IF('Eval-Avant impact'!$A$764=A21,COUNTA('Eval-Avant impact'!$H$764),0),IF('Eval-Avant impact'!$A$765=A21,COUNTA('Eval-Avant impact'!$H$765),0),IF('Eval-Avant impact'!$A$766=A21,COUNTA('Eval-Avant impact'!$H$766),0),IF('Eval-Avant impact'!$A$767=A21,COUNTA('Eval-Avant impact'!$H$767),0),IF('Eval-Avant impact'!$A$768=A21,COUNTA('Eval-Avant impact'!$H$768),0),IF('Eval-Avant impact'!$A$769=A21,COUNTA('Eval-Avant impact'!$H$769),0),IF('Eval-Avant impact'!$A$770=A21,COUNTA('Eval-Avant impact'!$H$770),0),IF('Eval-Avant impact'!$A$771=A21,COUNTA('Eval-Avant impact'!$H$771),0),IF('Eval-Avant impact'!$A$772=A21,COUNTA('Eval-Avant impact'!$H$772),0),IF('Eval-Avant impact'!$A$773=A21,COUNTA('Eval-Avant impact'!$H$773),0),IF('Eval-Avant impact'!$A$774=A21,COUNTA('Eval-Avant impact'!$H$774),0),IF('Eval-Avant impact'!$A$775=A21,COUNTA('Eval-Avant impact'!$H$775),0),IF('Eval-Avant impact'!$A$776=A21,COUNTA('Eval-Avant impact'!$H$776),0),IF('Eval-Avant impact'!$A$777=A21,COUNTA('Eval-Avant impact'!$H$777),0),IF('Eval-Avant impact'!$A$778=A21,COUNTA('Eval-Avant impact'!$H$778),0),IF('Eval-Avant impact'!$A$779=A21,COUNTA('Eval-Avant impact'!$H$779),0),IF('Eval-Avant impact'!$A$780=A21,COUNTA('Eval-Avant impact'!$H$780),0))&gt;0,"X",0),"")</f>
        <v/>
      </c>
      <c r="F21" s="213" t="str">
        <f>IF(COUNTIF('Eval-Avant impact'!$A$761:$A$780,A21)&gt;0,IF(SUM(IF('Eval-Avant impact'!$A$761=A21,COUNTA('Eval-Avant impact'!$I$761),0),IF('Eval-Avant impact'!$A$762=A21,COUNTA('Eval-Avant impact'!$I$762),0),IF('Eval-Avant impact'!$A$763=A21,COUNTA('Eval-Avant impact'!$I$763),0),IF('Eval-Avant impact'!$A$764=A21,COUNTA('Eval-Avant impact'!$I$764),0),IF('Eval-Avant impact'!$A$765=A21,COUNTA('Eval-Avant impact'!$I$765),0),IF('Eval-Avant impact'!$A$766=A21,COUNTA('Eval-Avant impact'!$I$766),0),IF('Eval-Avant impact'!$A$767=A21,COUNTA('Eval-Avant impact'!$I$767),0),IF('Eval-Avant impact'!$A$768=A21,COUNTA('Eval-Avant impact'!$I$768),0),IF('Eval-Avant impact'!$A$769=A21,COUNTA('Eval-Avant impact'!$I$769),0),IF('Eval-Avant impact'!$A$770=A21,COUNTA('Eval-Avant impact'!$I$770),0),IF('Eval-Avant impact'!$A$771=A21,COUNTA('Eval-Avant impact'!$I$771),0),IF('Eval-Avant impact'!$A$772=A21,COUNTA('Eval-Avant impact'!$I$772),0),IF('Eval-Avant impact'!$A$773=A21,COUNTA('Eval-Avant impact'!$I$773),0),IF('Eval-Avant impact'!$A$774=A21,COUNTA('Eval-Avant impact'!$I$774),0),IF('Eval-Avant impact'!$A$775=A21,COUNTA('Eval-Avant impact'!$I$775),0),IF('Eval-Avant impact'!$A$776=A21,COUNTA('Eval-Avant impact'!$I$776),0),IF('Eval-Avant impact'!$A$777=A21,COUNTA('Eval-Avant impact'!$I$777),0),IF('Eval-Avant impact'!$A$778=A21,COUNTA('Eval-Avant impact'!$I$778),0),IF('Eval-Avant impact'!$A$779=A21,COUNTA('Eval-Avant impact'!$I$779),0),IF('Eval-Avant impact'!$A$780=A21,COUNTA('Eval-Avant impact'!$I$780),0))&gt;0,"X",0),"")</f>
        <v/>
      </c>
      <c r="G21" s="213" t="str">
        <f>IF(COUNTIF('Eval-Avant impact'!$A$761:$A$780,A21)&gt;0,IF(SUM(IF('Eval-Avant impact'!$A$761=A21,COUNTA('Eval-Avant impact'!$J$761),0),IF('Eval-Avant impact'!$A$762=A21,COUNTA('Eval-Avant impact'!$J$762),0),IF('Eval-Avant impact'!$A$763=A21,COUNTA('Eval-Avant impact'!$J$763),0),IF('Eval-Avant impact'!$A$764=A21,COUNTA('Eval-Avant impact'!$J$764),0),IF('Eval-Avant impact'!$A$765=A21,COUNTA('Eval-Avant impact'!$J$765),0),IF('Eval-Avant impact'!$A$766=A21,COUNTA('Eval-Avant impact'!$J$766),0),IF('Eval-Avant impact'!$A$767=A21,COUNTA('Eval-Avant impact'!$J$767),0),IF('Eval-Avant impact'!$A$768=A21,COUNTA('Eval-Avant impact'!$J$768),0),IF('Eval-Avant impact'!$A$769=A21,COUNTA('Eval-Avant impact'!$J$769),0),IF('Eval-Avant impact'!$A$770=A21,COUNTA('Eval-Avant impact'!$J$770),0),IF('Eval-Avant impact'!$A$771=A21,COUNTA('Eval-Avant impact'!$J$771),0),IF('Eval-Avant impact'!$A$772=A21,COUNTA('Eval-Avant impact'!$J$772),0),IF('Eval-Avant impact'!$A$773=A21,COUNTA('Eval-Avant impact'!$J$773),0),IF('Eval-Avant impact'!$A$774=A21,COUNTA('Eval-Avant impact'!$J$774),0),IF('Eval-Avant impact'!$A$775=A21,COUNTA('Eval-Avant impact'!$J$775),0),IF('Eval-Avant impact'!$A$776=A21,COUNTA('Eval-Avant impact'!$J$776),0),IF('Eval-Avant impact'!$A$777=A21,COUNTA('Eval-Avant impact'!$J$777),0),IF('Eval-Avant impact'!$A$778=A21,COUNTA('Eval-Avant impact'!$J$778),0),IF('Eval-Avant impact'!$A$779=A21,COUNTA('Eval-Avant impact'!$J$779),0),IF('Eval-Avant impact'!$A$780=A21,COUNTA('Eval-Avant impact'!$J$780),0))&gt;0,"X",0),"")</f>
        <v/>
      </c>
      <c r="H21" s="213" t="str">
        <f>IF(COUNTIF('Eval-Avant impact'!$A$761:$A$780,A21)&gt;0,IF(SUM(IF('Eval-Avant impact'!$A$761=A21,COUNTA('Eval-Avant impact'!$K$761),0),IF('Eval-Avant impact'!$A$762=A21,COUNTA('Eval-Avant impact'!$K$762),0),IF('Eval-Avant impact'!$A$763=A21,COUNTA('Eval-Avant impact'!$K$763),0),IF('Eval-Avant impact'!$A$764=A21,COUNTA('Eval-Avant impact'!$K$764),0),IF('Eval-Avant impact'!$A$765=A21,COUNTA('Eval-Avant impact'!$K$765),0),IF('Eval-Avant impact'!$A$766=A21,COUNTA('Eval-Avant impact'!$K$766),0),IF('Eval-Avant impact'!$A$767=A21,COUNTA('Eval-Avant impact'!$K$767),0),IF('Eval-Avant impact'!$A$768=A21,COUNTA('Eval-Avant impact'!$K$768),0),IF('Eval-Avant impact'!$A$769=A21,COUNTA('Eval-Avant impact'!$K$769),0),IF('Eval-Avant impact'!$A$770=A21,COUNTA('Eval-Avant impact'!$K$770),0),IF('Eval-Avant impact'!$A$771=A21,COUNTA('Eval-Avant impact'!$K$771),0),IF('Eval-Avant impact'!$A$772=A21,COUNTA('Eval-Avant impact'!$K$772),0),IF('Eval-Avant impact'!$A$773=A21,COUNTA('Eval-Avant impact'!$K$773),0),IF('Eval-Avant impact'!$A$774=A21,COUNTA('Eval-Avant impact'!$K$774),0),IF('Eval-Avant impact'!$A$775=A21,COUNTA('Eval-Avant impact'!$K$775),0),IF('Eval-Avant impact'!$A$776=A21,COUNTA('Eval-Avant impact'!$K$776),0),IF('Eval-Avant impact'!$A$777=A21,COUNTA('Eval-Avant impact'!$K$777),0),IF('Eval-Avant impact'!$A$778=A21,COUNTA('Eval-Avant impact'!$K$778),0),IF('Eval-Avant impact'!$A$779=A21,COUNTA('Eval-Avant impact'!$K$779),0),IF('Eval-Avant impact'!$A$780=A21,COUNTA('Eval-Avant impact'!$K$780),0))&gt;0,"X",0),"")</f>
        <v/>
      </c>
      <c r="I21" s="211" t="str">
        <f>IF(COUNTIF('Eval-Avant impact'!$A$761:$A$780,A21)&gt;0,IF(OR(AND('Eval-Avant impact'!$A$761=A21,'Eval-Avant impact'!$L$761&lt;120,'Eval-Avant impact'!$L$761&gt;=X9),AND('Eval-Avant impact'!$A$762=A21,'Eval-Avant impact'!$L$762&lt;120,'Eval-Avant impact'!$L$762&gt;=X10),AND('Eval-Avant impact'!$A$763=A21,'Eval-Avant impact'!$L$763&lt;120,'Eval-Avant impact'!$L$763&gt;=X11),AND('Eval-Avant impact'!$A$764=A21,'Eval-Avant impact'!$L$764&lt;120,'Eval-Avant impact'!$L$764&gt;=X12),AND('Eval-Avant impact'!$A$765=A21,'Eval-Avant impact'!$L$765&lt;120,'Eval-Avant impact'!$L$765&gt;=X13),AND('Eval-Avant impact'!$A$766=A21,'Eval-Avant impact'!$L$766&lt;120,'Eval-Avant impact'!$L$766&gt;=X14),AND('Eval-Avant impact'!$A$767=A21,'Eval-Avant impact'!$L$767&lt;120,'Eval-Avant impact'!$L$767&gt;=X15),AND('Eval-Avant impact'!$A$768=A21,'Eval-Avant impact'!$L$768&lt;120,'Eval-Avant impact'!$L$768&gt;=X16),AND('Eval-Avant impact'!$A$769=A21,'Eval-Avant impact'!$L$769&lt;120,'Eval-Avant impact'!$L$769&gt;=X17),AND('Eval-Avant impact'!$A$770=A21,'Eval-Avant impact'!$L$770&lt;120,'Eval-Avant impact'!$L$770&gt;=X18),AND('Eval-Avant impact'!$A$771=A21,'Eval-Avant impact'!$L$771&lt;120,'Eval-Avant impact'!$L$771&gt;=X19),AND('Eval-Avant impact'!$A$772=A21,'Eval-Avant impact'!$L$772&lt;120,'Eval-Avant impact'!$L$772&gt;=X20),AND('Eval-Avant impact'!$A$773=A21,'Eval-Avant impact'!$L$773&lt;120,'Eval-Avant impact'!$L$773&gt;=X21),AND('Eval-Avant impact'!$A$774=A21,'Eval-Avant impact'!$L$774&lt;120,'Eval-Avant impact'!$L$774&gt;=X22),AND('Eval-Avant impact'!$A$775=A21,'Eval-Avant impact'!$L$775&lt;120,'Eval-Avant impact'!$L$775&gt;=X23),AND('Eval-Avant impact'!$A$776=A21,'Eval-Avant impact'!$L$776&lt;120,'Eval-Avant impact'!$L$776&gt;=X24),AND('Eval-Avant impact'!$A$777=A21,'Eval-Avant impact'!$L$777&lt;120,'Eval-Avant impact'!$L$777&gt;=X25),AND('Eval-Avant impact'!$A$778=A21,'Eval-Avant impact'!$L$778&lt;120,'Eval-Avant impact'!$L$778&gt;=X26),AND('Eval-Avant impact'!$A$779=A21,'Eval-Avant impact'!$L$779&lt;120,'Eval-Avant impact'!$L$779&gt;=X27),AND('Eval-Avant impact'!$A$780=A21,'Eval-Avant impact'!$L$780&lt;120,'Eval-Avant impact'!$L$780&gt;=X28)),"",SUM(IF('Eval-Avant impact'!$A$761=A21,'Eval-Avant impact'!$L$761,0),IF('Eval-Avant impact'!$A$762=A21,'Eval-Avant impact'!$L$762,0),IF('Eval-Avant impact'!$A$763=A21,'Eval-Avant impact'!$L$763,0),IF('Eval-Avant impact'!$A$764=A21,'Eval-Avant impact'!$L$764,0),IF('Eval-Avant impact'!$A$765=A21,'Eval-Avant impact'!$L$765,0),IF('Eval-Avant impact'!$A$766=A21,'Eval-Avant impact'!$L$766,0),IF('Eval-Avant impact'!$A$767=A21,'Eval-Avant impact'!$L$767,0),IF('Eval-Avant impact'!$A$768=A21,'Eval-Avant impact'!$L$768,0),IF('Eval-Avant impact'!$A$769=A21,'Eval-Avant impact'!$L$769,0),IF('Eval-Avant impact'!$A$770=A21,'Eval-Avant impact'!$L$770,0),IF('Eval-Avant impact'!$A$771=A21,'Eval-Avant impact'!$L$771,0),IF('Eval-Avant impact'!$A$772=A21,'Eval-Avant impact'!$L$772,0),IF('Eval-Avant impact'!$A$773=A21,'Eval-Avant impact'!$L$773,0),IF('Eval-Avant impact'!$A$774=A21,'Eval-Avant impact'!$L$774,0),IF('Eval-Avant impact'!$A$775=A21,'Eval-Avant impact'!$L$775,0),IF('Eval-Avant impact'!$A$776=A21,'Eval-Avant impact'!$L$776,0),IF('Eval-Avant impact'!$A$777=A21,'Eval-Avant impact'!$L$777,0),IF('Eval-Avant impact'!$A$778=A21,'Eval-Avant impact'!$L$778,0),IF('Eval-Avant impact'!$A$779=A21,'Eval-Avant impact'!$L$779,0),IF('Eval-Avant impact'!$A$780=A21,'Eval-Avant impact'!$L$780,0))/ COUNTIF('Eval-Avant impact'!$A$761:$A$780,A21)),"")</f>
        <v/>
      </c>
      <c r="J21" s="211" t="str">
        <f>IF(COUNTIF('Eval-Avant impact'!$A$761:$A$780,A21)&gt;0,IF(OR(AND('Eval-Avant impact'!$A$761=A21, X9&lt;120),AND(X10&lt;120),AND(X11&lt;120),AND(X12&lt;120),AND(X13&lt;120),AND(X14&lt;120),AND(X15&lt;120),AND(X16&lt;120),AND(X17&lt;120),AND(X18&lt;120),AND(X19&lt;120),AND(X20&lt;120),AND(X21&lt;120),AND(X22&lt;120),AND(X23&lt;120),AND(X24&lt;120),AND(X25&lt;120),AND(X26&lt;120),AND(X27&lt;120),AND(X28&lt;120)),"",SUM(IF('Eval-Avant impact'!$A$761=A21,'Eval-Avant impact'!$M$761,0),IF('Eval-Avant impact'!$A$762=A21,'Eval-Avant impact'!$M$762,0),IF('Eval-Avant impact'!$A$763=A21,'Eval-Avant impact'!$M$763,0),IF('Eval-Avant impact'!$A$764=A21,'Eval-Avant impact'!$M$764,0),IF('Eval-Avant impact'!$A$765=A21,'Eval-Avant impact'!$M$765,0),IF('Eval-Avant impact'!$A$766=A21,'Eval-Avant impact'!$M$766,0),IF('Eval-Avant impact'!$A$767=A21,'Eval-Avant impact'!$M$767,0),IF('Eval-Avant impact'!$A$768=A21,'Eval-Avant impact'!$M$768,0),IF('Eval-Avant impact'!$A$769=A21,'Eval-Avant impact'!$M$769,0),IF('Eval-Avant impact'!$A$770=A21,'Eval-Avant impact'!$M$770,0),IF('Eval-Avant impact'!$A$771=A21,'Eval-Avant impact'!$M$771,0),IF('Eval-Avant impact'!$A$772=A21,'Eval-Avant impact'!$M$772,0),IF('Eval-Avant impact'!$A$773=A21,'Eval-Avant impact'!$M$773,0),IF('Eval-Avant impact'!$A$774=A21,'Eval-Avant impact'!$M$774,0),IF('Eval-Avant impact'!$A$775=A21,'Eval-Avant impact'!$M$775,0), IF('Eval-Avant impact'!$A$776=A21,'Eval-Avant impact'!$M$776,0), IF('Eval-Avant impact'!$A$777=A21,'Eval-Avant impact'!$M$777,0), IF('Eval-Avant impact'!$A$778=A21,'Eval-Avant impact'!$M$778,0), IF('Eval-Avant impact'!$A$779=A21,'Eval-Avant impact'!$M$779,0), IF('Eval-Avant impact'!$A$780=A21,'Eval-Avant impact'!$M$780,0))/COUNTIF('Eval-Avant impact'!$A$761:$A$780,A21)),"")</f>
        <v/>
      </c>
      <c r="K21" s="211" t="str">
        <f>IF(COUNTIF('Eval-Avant impact'!$A$761:$A$780,A21)&gt;0,SUM(IF('Eval-Avant impact'!$A$761=A21,LEN(SUBSTITUTE((SUBSTITUTE(Z9,"TM","")),"TS",""))*10/2,0),IF('Eval-Avant impact'!$A$762=A21,LEN(SUBSTITUTE((SUBSTITUTE(Z10,"TM","")),"TS",""))*10/2,0),IF('Eval-Avant impact'!$A$763=A21,LEN(SUBSTITUTE((SUBSTITUTE(Z11,"TM","")),"TS",""))*10/2,0),IF('Eval-Avant impact'!$A$764=A21,LEN(SUBSTITUTE((SUBSTITUTE(Z12,"TM","")),"TS",""))*10/2,0),IF('Eval-Avant impact'!$A$765=A21,LEN(SUBSTITUTE((SUBSTITUTE(Z13,"TM","")),"TS",""))*10/2,0),IF('Eval-Avant impact'!$A$766=A21,LEN(SUBSTITUTE((SUBSTITUTE(Z14,"TM","")),"TS",""))*10/2,0),IF('Eval-Avant impact'!$A$767=A21,LEN(SUBSTITUTE((SUBSTITUTE(Z15,"TM","")),"TS",""))*10/2,0),IF('Eval-Avant impact'!$A$768=A21,LEN(SUBSTITUTE((SUBSTITUTE(Z16,"TM","")),"TS",""))*10/2,0),IF('Eval-Avant impact'!$A$769=A21,LEN(SUBSTITUTE((SUBSTITUTE(Z17,"TM","")),"TS",""))*10/2,0),IF('Eval-Avant impact'!$A$770=A21,LEN(SUBSTITUTE((SUBSTITUTE(Z18,"TM","")),"TS",""))*10/2,0),IF('Eval-Avant impact'!$A$771=A21,LEN(SUBSTITUTE((SUBSTITUTE(Z19,"TM","")),"TS",""))*10/2,0),IF('Eval-Avant impact'!$A$772=A21,LEN(SUBSTITUTE((SUBSTITUTE(Z20,"TM","")),"TS",""))*10/2,0),IF('Eval-Avant impact'!$A$773=A21,LEN(SUBSTITUTE((SUBSTITUTE(Z21,"TM","")),"TS",""))*10/2,0),IF('Eval-Avant impact'!$A$774=A21,LEN(SUBSTITUTE((SUBSTITUTE(Z22,"TM","")),"TS",""))*10/2,0),IF('Eval-Avant impact'!$A$775=A21,LEN(SUBSTITUTE((SUBSTITUTE(Z23,"TM","")),"TS",""))*10/2,0),IF('Eval-Avant impact'!$A$776=A21,LEN(SUBSTITUTE((SUBSTITUTE(Z24,"TM","")),"TS",""))*10/2,0),IF('Eval-Avant impact'!$A$777=A21,LEN(SUBSTITUTE((SUBSTITUTE(Z25,"TM","")),"TS",""))*10/2,0),IF('Eval-Avant impact'!$A$778=A21,LEN(SUBSTITUTE((SUBSTITUTE(Z26,"TM","")),"TS",""))*10/2,0),IF('Eval-Avant impact'!$A$779=A21,LEN(SUBSTITUTE((SUBSTITUTE(Z27,"TM","")),"TS",""))*10/2,0),IF('Eval-Avant impact'!$A$780=A21,LEN(SUBSTITUTE((SUBSTITUTE(Z28,"TM","")),"TS",""))*10/2,0))/COUNTIF('Eval-Avant impact'!$A$761:$A$780,A21),"")</f>
        <v/>
      </c>
      <c r="L21" s="211" t="str">
        <f>IF(COUNTIF('Eval-Avant impact'!$A$761:$A$780,A21)&gt;0,SUM(IF('Eval-Avant impact'!$A$761=A21,LEN(SUBSTITUTE((SUBSTITUTE(Z9,"TF","")),"TS",""))*10/2,0),IF('Eval-Avant impact'!$A$762=A21,LEN(SUBSTITUTE((SUBSTITUTE(Z10,"TF","")),"TS",""))*10/2,0),IF('Eval-Avant impact'!$A$763=A21,LEN(SUBSTITUTE((SUBSTITUTE(Z11,"TF","")),"TS",""))*10/2,0),IF('Eval-Avant impact'!$A$764=A21,LEN(SUBSTITUTE((SUBSTITUTE(Z12,"TF","")),"TS",""))*10/2,0),IF('Eval-Avant impact'!$A$765=A21,LEN(SUBSTITUTE((SUBSTITUTE(Z13,"TF","")),"TS",""))*10/2,0),IF('Eval-Avant impact'!$A$766=A21,LEN(SUBSTITUTE((SUBSTITUTE(Z14,"TF","")),"TS",""))*10/2,0),IF('Eval-Avant impact'!$A$767=A21,LEN(SUBSTITUTE((SUBSTITUTE(Z15,"TF","")),"TS",""))*10/2,0),IF('Eval-Avant impact'!$A$768=A21,LEN(SUBSTITUTE((SUBSTITUTE(Z16,"TF","")),"TS",""))*10/2,0),IF('Eval-Avant impact'!$A$769=A21,LEN(SUBSTITUTE((SUBSTITUTE(Z17,"TF","")),"TS",""))*10/2,0),IF('Eval-Avant impact'!$A$770=A21,LEN(SUBSTITUTE((SUBSTITUTE(Z18,"TF","")),"TS",""))*10/2,0),IF('Eval-Avant impact'!$A$771=A21,LEN(SUBSTITUTE((SUBSTITUTE(Z19,"TF","")),"TS",""))*10/2,0),IF('Eval-Avant impact'!$A$772=A21,LEN(SUBSTITUTE((SUBSTITUTE(Z20,"TF","")),"TS",""))*10/2,0),IF('Eval-Avant impact'!$A$773=A21,LEN(SUBSTITUTE((SUBSTITUTE(Z21,"TF","")),"TS",""))*10/2,0),IF('Eval-Avant impact'!$A$774=A21,LEN(SUBSTITUTE((SUBSTITUTE(Z22,"TF","")),"TS",""))*10/2,0),IF('Eval-Avant impact'!$A$775=A21,LEN(SUBSTITUTE((SUBSTITUTE(Z23,"TF","")),"TS",""))*10/2,0),IF('Eval-Avant impact'!$A$776=A21,LEN(SUBSTITUTE((SUBSTITUTE(Z24,"TF","")),"TS",""))*10/2,0),IF('Eval-Avant impact'!$A$777=A21,LEN(SUBSTITUTE((SUBSTITUTE(Z25,"TF","")),"TS",""))*10/2,0),IF('Eval-Avant impact'!$A$778=A21,LEN(SUBSTITUTE((SUBSTITUTE(Z26,"TF","")),"TS",""))*10/2,0),IF('Eval-Avant impact'!$A$779=A21,LEN(SUBSTITUTE((SUBSTITUTE(Z27,"TF","")),"TS",""))*10/2,0),IF('Eval-Avant impact'!$A$780=A21,LEN(SUBSTITUTE((SUBSTITUTE(Z28,"TF","")),"TS",""))*10/2,0))/COUNTIF('Eval-Avant impact'!$A$761:$A$780,A21),"")</f>
        <v/>
      </c>
      <c r="M21" s="211" t="str">
        <f>IF(COUNTIF('Eval-Avant impact'!$A$761:$A$780,A21)&gt;0,SUM(IF('Eval-Avant impact'!$A$761=A21,LEN(SUBSTITUTE((SUBSTITUTE(Z9,"TF","")),"TM",""))*10/2,0),IF('Eval-Avant impact'!$A$762=A21,LEN(SUBSTITUTE((SUBSTITUTE(Z10,"TF","")),"TM",""))*10/2,0),IF('Eval-Avant impact'!$A$763=A21,LEN(SUBSTITUTE((SUBSTITUTE(Z11,"TF","")),"TM",""))*10/2,0),IF('Eval-Avant impact'!$A$764=A21,LEN(SUBSTITUTE((SUBSTITUTE(Z12,"TF","")),"TM",""))*10/2,0),IF('Eval-Avant impact'!$A$765=A21,LEN(SUBSTITUTE((SUBSTITUTE(Z13,"TF","")),"TM",""))*10/2,0),IF('Eval-Avant impact'!$A$766=A21,LEN(SUBSTITUTE((SUBSTITUTE(Z14,"TF","")),"TM",""))*10/2,0),IF('Eval-Avant impact'!$A$767=A21,LEN(SUBSTITUTE((SUBSTITUTE(Z15,"TF","")),"TM",""))*10/2,0),IF('Eval-Avant impact'!$A$768=A21,LEN(SUBSTITUTE((SUBSTITUTE(Z16,"TF","")),"TM",""))*10/2,0),IF('Eval-Avant impact'!$A$769=A21,LEN(SUBSTITUTE((SUBSTITUTE(Z17,"TF","")),"TM",""))*10/2,0),IF('Eval-Avant impact'!$A$770=A21,LEN(SUBSTITUTE((SUBSTITUTE(Z18,"TF","")),"TM",""))*10/2,0),IF('Eval-Avant impact'!$A$771=A21,LEN(SUBSTITUTE((SUBSTITUTE(Z19,"TF","")),"TM",""))*10/2,0),IF('Eval-Avant impact'!$A$772=A21,LEN(SUBSTITUTE((SUBSTITUTE(Z20,"TF","")),"TM",""))*10/2,0),IF('Eval-Avant impact'!$A$773=A21,LEN(SUBSTITUTE((SUBSTITUTE(Z21,"TF","")),"TM",""))*10/2,0),IF('Eval-Avant impact'!$A$774=A21,LEN(SUBSTITUTE((SUBSTITUTE(Z22,"TF","")),"TM",""))*10/2,0),IF('Eval-Avant impact'!$A$775=A21,LEN(SUBSTITUTE((SUBSTITUTE(Z23,"TF","")),"TM",""))*10/2,0),IF('Eval-Avant impact'!$A$776=A21,LEN(SUBSTITUTE((SUBSTITUTE(Z24,"TF","")),"TM",""))*10/2,0),IF('Eval-Avant impact'!$A$777=A21,LEN(SUBSTITUTE((SUBSTITUTE(Z25,"TF","")),"TM",""))*10/2,0),IF('Eval-Avant impact'!$A$778=A21,LEN(SUBSTITUTE((SUBSTITUTE(Z26,"TF","")),"TM",""))*10/2,0),IF('Eval-Avant impact'!$A$779=A21,LEN(SUBSTITUTE((SUBSTITUTE(Z27,"TF","")),"TM",""))*10/2,0),IF('Eval-Avant impact'!$A$780=A21,LEN(SUBSTITUTE((SUBSTITUTE(Z28,"TF","")),"TM",""))*10/2,0))/COUNTIF('Eval-Avant impact'!$A$761:$A$780,A21),"")</f>
        <v/>
      </c>
      <c r="N21" s="211" t="str">
        <f>IF(COUNTIF('Eval-Avant impact'!$A$761:$A$780,A21)&gt;0,SUM(IF('Eval-Avant impact'!$A$761=A21,LEN(SUBSTITUTE((SUBSTITUTE(AA9,"TM","")),"TS",""))*10/2,0),IF('Eval-Avant impact'!$A$762=A21,LEN(SUBSTITUTE((SUBSTITUTE(AA10,"TM","")),"TS",""))*10/2,0),IF('Eval-Avant impact'!$A$763=A21,LEN(SUBSTITUTE((SUBSTITUTE(AA11,"TM","")),"TS",""))*10/2,0),IF('Eval-Avant impact'!$A$764=A21,LEN(SUBSTITUTE((SUBSTITUTE(AA12,"TM","")),"TS",""))*10/2,0),IF('Eval-Avant impact'!$A$765=A21,LEN(SUBSTITUTE((SUBSTITUTE(AA13,"TM","")),"TS",""))*10/2,0),IF('Eval-Avant impact'!$A$766=A21,LEN(SUBSTITUTE((SUBSTITUTE(AA14,"TM","")),"TS",""))*10/2,0),IF('Eval-Avant impact'!$A$767=A21,LEN(SUBSTITUTE((SUBSTITUTE(AA15,"TM","")),"TS",""))*10/2,0),IF('Eval-Avant impact'!$A$768=A21,LEN(SUBSTITUTE((SUBSTITUTE(AA16,"TM","")),"TS",""))*10/2,0),IF('Eval-Avant impact'!$A$769=A21,LEN(SUBSTITUTE((SUBSTITUTE(AA17,"TM","")),"TS",""))*10/2,0),IF('Eval-Avant impact'!$A$770=A21,LEN(SUBSTITUTE((SUBSTITUTE(AA18,"TM","")),"TS",""))*10/2,0),IF('Eval-Avant impact'!$A$771=A21,LEN(SUBSTITUTE((SUBSTITUTE(AA19,"TM","")),"TS",""))*10/2,0),IF('Eval-Avant impact'!$A$772=A21,LEN(SUBSTITUTE((SUBSTITUTE(AA20,"TM","")),"TS",""))*10/2,0),IF('Eval-Avant impact'!$A$773=A21,LEN(SUBSTITUTE((SUBSTITUTE(AA21,"TM","")),"TS",""))*10/2,0),IF('Eval-Avant impact'!$A$774=A21,LEN(SUBSTITUTE((SUBSTITUTE(AA22,"TM","")),"TS",""))*10/2,0),IF('Eval-Avant impact'!$A$775=A21,LEN(SUBSTITUTE((SUBSTITUTE(AA23,"TM","")),"TS",""))*10/2,0),IF('Eval-Avant impact'!$A$776=A21,LEN(SUBSTITUTE((SUBSTITUTE(AA24,"TM","")),"TS",""))*10/2,0),IF('Eval-Avant impact'!$A$777=A21,LEN(SUBSTITUTE((SUBSTITUTE(AA25,"TM","")),"TS",""))*10/2,0),IF('Eval-Avant impact'!$A$778=A21,LEN(SUBSTITUTE((SUBSTITUTE(AA26,"TM","")),"TS",""))*10/2,0),IF('Eval-Avant impact'!$A$779=A21,LEN(SUBSTITUTE((SUBSTITUTE(AA27,"TM","")),"TS",""))*10/2,0),IF('Eval-Avant impact'!$A$780=A21,LEN(SUBSTITUTE((SUBSTITUTE(AA28,"TM","")),"TS",""))*10/2,0))/COUNTIF('Eval-Avant impact'!$A$761:$A$780,A21),"")</f>
        <v/>
      </c>
      <c r="O21" s="211" t="str">
        <f>IF(COUNTIF('Eval-Avant impact'!$A$761:$A$780,A21)&gt;0,SUM(IF('Eval-Avant impact'!$A$761=A21,LEN(SUBSTITUTE((SUBSTITUTE(AA9,"TF","")),"TS",""))*10/2,0),IF('Eval-Avant impact'!$A$762=A21,LEN(SUBSTITUTE((SUBSTITUTE(AA10,"TF","")),"TS",""))*10/2,0),IF('Eval-Avant impact'!$A$763=A21,LEN(SUBSTITUTE((SUBSTITUTE(AA11,"TF","")),"TS",""))*10/2,0),IF('Eval-Avant impact'!$A$764=A21,LEN(SUBSTITUTE((SUBSTITUTE(AA12,"TF","")),"TS",""))*10/2,0),IF('Eval-Avant impact'!$A$765=A21,LEN(SUBSTITUTE((SUBSTITUTE(AA13,"TF","")),"TS",""))*10/2,0),IF('Eval-Avant impact'!$A$766=A21,LEN(SUBSTITUTE((SUBSTITUTE(AA14,"TF","")),"TS",""))*10/2,0),IF('Eval-Avant impact'!$A$767=A21,LEN(SUBSTITUTE((SUBSTITUTE(AA15,"TF","")),"TS",""))*10/2,0),IF('Eval-Avant impact'!$A$768=A21,LEN(SUBSTITUTE((SUBSTITUTE(AA16,"TF","")),"TS",""))*10/2,0),IF('Eval-Avant impact'!$A$769=A21,LEN(SUBSTITUTE((SUBSTITUTE(AA17,"TF","")),"TS",""))*10/2,0),IF('Eval-Avant impact'!$A$770=A21,LEN(SUBSTITUTE((SUBSTITUTE(AA18,"TF","")),"TS",""))*10/2,0),IF('Eval-Avant impact'!$A$771=A21,LEN(SUBSTITUTE((SUBSTITUTE(AA19,"TF","")),"TS",""))*10/2,0),IF('Eval-Avant impact'!$A$772=A21,LEN(SUBSTITUTE((SUBSTITUTE(AA20,"TF","")),"TS",""))*10/2,0),IF('Eval-Avant impact'!$A$773=A21,LEN(SUBSTITUTE((SUBSTITUTE(AA21,"TF","")),"TS",""))*10/2,0),IF('Eval-Avant impact'!$A$774=A21,LEN(SUBSTITUTE((SUBSTITUTE(AA22,"TF","")),"TS",""))*10/2,0),IF('Eval-Avant impact'!$A$775=A21,LEN(SUBSTITUTE((SUBSTITUTE(AA23,"TF","")),"TS",""))*10/2,0),IF('Eval-Avant impact'!$A$776=A21,LEN(SUBSTITUTE((SUBSTITUTE(AA24,"TF","")),"TS",""))*10/2,0),IF('Eval-Avant impact'!$A$777=A21,LEN(SUBSTITUTE((SUBSTITUTE(AA25,"TF","")),"TS",""))*10/2,0),IF('Eval-Avant impact'!$A$778=A21,LEN(SUBSTITUTE((SUBSTITUTE(AA26,"TF","")),"TS",""))*10/2,0),IF('Eval-Avant impact'!$A$779=A21,LEN(SUBSTITUTE((SUBSTITUTE(AA27,"TF","")),"TS",""))*10/2,0),IF('Eval-Avant impact'!$A$780=A21,LEN(SUBSTITUTE((SUBSTITUTE(AA28,"TF","")),"TS",""))*10/2,0))/COUNTIF('Eval-Avant impact'!$A$761:$A$780,A21),"")</f>
        <v/>
      </c>
      <c r="P21" s="211" t="str">
        <f>IF(COUNTIF('Eval-Avant impact'!$A$761:$A$780,A21)&gt;0,SUM(IF('Eval-Avant impact'!$A$761=A21,LEN(SUBSTITUTE((SUBSTITUTE(AA9,"TF","")),"TM",""))*10/2,0),IF('Eval-Avant impact'!$A$762=A21,LEN(SUBSTITUTE((SUBSTITUTE(AA10,"TF","")),"TM",""))*10/2,0),IF('Eval-Avant impact'!$A$763=A21,LEN(SUBSTITUTE((SUBSTITUTE(AA11,"TF","")),"TM",""))*10/2,0),IF('Eval-Avant impact'!$A$764=A21,LEN(SUBSTITUTE((SUBSTITUTE(AA12,"TF","")),"TM",""))*10/2,0),IF('Eval-Avant impact'!$A$765=A21,LEN(SUBSTITUTE((SUBSTITUTE(AA13,"TF","")),"TM",""))*10/2,0),IF('Eval-Avant impact'!$A$766=A21,LEN(SUBSTITUTE((SUBSTITUTE(AA14,"TF","")),"TM",""))*10/2,0),IF('Eval-Avant impact'!$A$767=A21,LEN(SUBSTITUTE((SUBSTITUTE(AA15,"TF","")),"TM",""))*10/2,0),IF('Eval-Avant impact'!$A$768=A21,LEN(SUBSTITUTE((SUBSTITUTE(AA16,"TF","")),"TM",""))*10/2,0),IF('Eval-Avant impact'!$A$769=A21,LEN(SUBSTITUTE((SUBSTITUTE(AA17,"TF","")),"TM",""))*10/2,0),IF('Eval-Avant impact'!$A$770=A21,LEN(SUBSTITUTE((SUBSTITUTE(AA18,"TF","")),"TM",""))*10/2,0),IF('Eval-Avant impact'!$A$771=A21,LEN(SUBSTITUTE((SUBSTITUTE(AA19,"TF","")),"TM",""))*10/2,0),IF('Eval-Avant impact'!$A$772=A21,LEN(SUBSTITUTE((SUBSTITUTE(AA20,"TF","")),"TM",""))*10/2,0),IF('Eval-Avant impact'!$A$773=A21,LEN(SUBSTITUTE((SUBSTITUTE(AA21,"TF","")),"TM",""))*10/2,0),IF('Eval-Avant impact'!$A$774=A21,LEN(SUBSTITUTE((SUBSTITUTE(AA22,"TF","")),"TM",""))*10/2,0),IF('Eval-Avant impact'!$A$775=A21,LEN(SUBSTITUTE((SUBSTITUTE(AA23,"TF","")),"TM",""))*10/2,0),IF('Eval-Avant impact'!$A$776=A21,LEN(SUBSTITUTE((SUBSTITUTE(AA24,"TF","")),"TM",""))*10/2,0),IF('Eval-Avant impact'!$A$777=A21,LEN(SUBSTITUTE((SUBSTITUTE(AA25,"TF","")),"TM",""))*10/2,0),IF('Eval-Avant impact'!$A$778=A21,LEN(SUBSTITUTE((SUBSTITUTE(AA26,"TF","")),"TM",""))*10/2,0),IF('Eval-Avant impact'!$A$779=A21,LEN(SUBSTITUTE((SUBSTITUTE(AA27,"TF","")),"TM",""))*10/2,0),IF('Eval-Avant impact'!$A$780=A21,LEN(SUBSTITUTE((SUBSTITUTE(AA28,"TF","")),"TM",""))*10/2,0))/COUNTIF('Eval-Avant impact'!$A$761:$A$780,A21),"")</f>
        <v/>
      </c>
      <c r="Q21" s="211" t="str">
        <f>IF(COUNTIF('Eval-Avant impact'!$A$761:$A$780,A21)&gt;0,IF(OR(AND('Eval-Avant impact'!$A$761=A21,X9&lt;30),AND('Eval-Avant impact'!$A$762=A21,X10&lt;30),AND('Eval-Avant impact'!$A$763=A21,X11&lt;30),AND('Eval-Avant impact'!$A$764=A21,X12&lt;30),AND('Eval-Avant impact'!$A$765=A21,X13&lt;30),AND('Eval-Avant impact'!$A$766=A21,X14&lt;30),AND('Eval-Avant impact'!$A$767=A21,X15&lt;30),AND('Eval-Avant impact'!$A$768=A21,X16&lt;30),AND('Eval-Avant impact'!$A$769=A21,X17&lt;30),AND('Eval-Avant impact'!$A$770=A21,X18&lt;30),AND('Eval-Avant impact'!$A$771=A21,X19&lt;30),AND('Eval-Avant impact'!$A$772=A21,X20&lt;30),AND('Eval-Avant impact'!$A$773=A21,X21&lt;30),AND('Eval-Avant impact'!$A$774=A21,X22&lt;30),AND('Eval-Avant impact'!$A$775=A21,X23&lt;30),AND('Eval-Avant impact'!$A$776=A21,X24&lt;30),AND('Eval-Avant impact'!$A$777=A21,X25&lt;30),AND('Eval-Avant impact'!$A$778=A21,X26&lt;30),AND('Eval-Avant impact'!$A$779=A21,X27&lt;30),AND('Eval-Avant impact'!$A$780=A21,X28&lt;30)),"",SUM(0.1*(SUMPRODUCT(('Eval-Avant impact'!$A$761:$A$780=A21)*('Eval-Avant impact'!$N$761:$P$780="A"))+ SUMPRODUCT(('Eval-Avant impact'!$A$761:$A$780=A21)*('Eval-Avant impact'!$N$761:$P$780="AL"))),0.7*(SUMPRODUCT(('Eval-Avant impact'!$A$761:$A$780=A21)*('Eval-Avant impact'!$N$761:$P$780="TF"))+SUMPRODUCT(('Eval-Avant impact'!$A$761:$A$780=A21)*('Eval-Avant impact'!$N$761:$P$780="TM"))+SUMPRODUCT(('Eval-Avant impact'!$A$761:$A$780=A21)*('Eval-Avant impact'!$N$761:$P$780="TS"))),0.4*(SUMPRODUCT(('Eval-Avant impact'!$A$761:$A$780=A21)*('Eval-Avant impact'!$N$761:$P$780="LA"))+SUMPRODUCT(('Eval-Avant impact'!$A$761:$A$780=A21)*('Eval-Avant impact'!$N$761:$P$780="L"))+SUMPRODUCT(('Eval-Avant impact'!$A$761:$A$780=A21)*('Eval-Avant impact'!$N$761:$P$780="LS"))),1*(SUMPRODUCT(('Eval-Avant impact'!$A$761:$A$780=A21)*('Eval-Avant impact'!$N$761:$P$780="SL"))+ SUMPRODUCT(('Eval-Avant impact'!$A$761:$A$780=A21)*('Eval-Avant impact'!$N$761:$P$780="S"))))/(3*COUNTIF('Eval-Avant impact'!$A$761:$A$780,A21))),"")</f>
        <v/>
      </c>
      <c r="R21" s="211" t="str">
        <f>IF(COUNTIF('Eval-Avant impact'!$A$761:$A$780,A21)&gt;0,IF(OR(AND('Eval-Avant impact'!$A$761=A21,X9&lt;120),AND('Eval-Avant impact'!$A$762=A21,X10&lt;120),AND('Eval-Avant impact'!$A$763=A21,X11&lt;120),AND('Eval-Avant impact'!$A$764=A21,X12&lt;120),AND('Eval-Avant impact'!$A$765=A21,X13&lt;120),AND('Eval-Avant impact'!$A$766=A21,X14&lt;120),AND('Eval-Avant impact'!$A$767=A21,X15&lt;120),AND('Eval-Avant impact'!$A$768=A21,X16&lt;120),AND('Eval-Avant impact'!$A$769=A21,X17&lt;120),AND('Eval-Avant impact'!$A$770=A21,X18&lt;120),AND('Eval-Avant impact'!$A$771=A21,X19&lt;120),AND('Eval-Avant impact'!$A$772=A21,X20&lt;120),AND('Eval-Avant impact'!$A$773=A21,X21&lt;120),AND('Eval-Avant impact'!$A$774=A21,X22&lt;120),AND('Eval-Avant impact'!$A$775=A21,X23&lt;120),AND('Eval-Avant impact'!$A$776=A21,X24&lt;120),AND('Eval-Avant impact'!$A$777=A21,X25&lt;120),AND('Eval-Avant impact'!$A$778=A21,X26&lt;120),AND('Eval-Avant impact'!$A$779=A21,X27&lt;120),AND('Eval-Avant impact'!$A$780=A21,X28&lt;120)),"",SUM(0.1*(SUMPRODUCT(('Eval-Avant impact'!$A$761:$A$780=A21)*('Eval-Avant impact'!$Q$761:$Y$780="A"))+ SUMPRODUCT(('Eval-Avant impact'!$A$761:$A$780=A21)*('Eval-Avant impact'!$Q$761:$Y$780="AL"))),0.7*(SUMPRODUCT(('Eval-Avant impact'!$A$761:$A$780=A21)*('Eval-Avant impact'!$Q$761:$Y$780="TF"))+SUMPRODUCT(('Eval-Avant impact'!$A$761:$A$780=A21)*('Eval-Avant impact'!$Q$761:$Y$780="TM"))+SUMPRODUCT(('Eval-Avant impact'!$A$761:$A$780=A21)*('Eval-Avant impact'!$Q$761:$Y$780="TS"))),0.4*(SUMPRODUCT(('Eval-Avant impact'!$A$761:$A$780=A21)*('Eval-Avant impact'!$Q$761:$Y$780="LA"))+SUMPRODUCT(('Eval-Avant impact'!$A$761:$A$780=A21)*('Eval-Avant impact'!$Q$761:$Y$780="L"))+SUMPRODUCT(('Eval-Avant impact'!$A$761:$A$780=A21)*('Eval-Avant impact'!$Q$761:$Y$780="LS"))),1*(SUMPRODUCT(('Eval-Avant impact'!$A$761:$A$780=A21)*('Eval-Avant impact'!$Q$761:$Y$780="SL"))+ SUMPRODUCT(('Eval-Avant impact'!$A$761:$A$780=A21)*('Eval-Avant impact'!$Q$761:$Y$780="S"))))/(9*COUNTIF('Eval-Avant impact'!$A$761:$A$780,A21))),"")</f>
        <v/>
      </c>
      <c r="S21" s="211" t="str">
        <f>IF(COUNTIF('Eval-Avant impact'!$A$761:$A$780,A21)&gt;0,IF(OR(AND('Eval-Avant impact'!$A$761=A21,OR(COUNTIF('Eval-Avant impact'!$N$761:$P$761,"*T*")&gt;0,X9&lt;30)),AND('Eval-Avant impact'!$A$762=A21,OR(COUNTIF('Eval-Avant impact'!$N$762:$P$762,"*T*")&gt;0,X10&lt;30)),AND('Eval-Avant impact'!$A$763=A21,OR(COUNTIF('Eval-Avant impact'!$N$763:$P$763,"*T*")&gt;0,X11&lt;30)),AND('Eval-Avant impact'!$A$764=A21,OR(COUNTIF('Eval-Avant impact'!$N$764:$P$764,"*T*")&gt;0,X12&lt;30)),AND('Eval-Avant impact'!$A$765=A21,OR(COUNTIF('Eval-Avant impact'!$N$765:$P$765,"*T*")&gt;0,X13&lt;30)),AND('Eval-Avant impact'!$A$766=A21,OR(COUNTIF('Eval-Avant impact'!$N$766:$P$766,"*T*")&gt;0,X14&lt;30)),AND('Eval-Avant impact'!$A$767=A21,OR(COUNTIF('Eval-Avant impact'!$N$767:$P$767,"*T*")&gt;0,X15&lt;30)),AND('Eval-Avant impact'!$A$768=A21,OR(COUNTIF('Eval-Avant impact'!$N$768:$P$768,"*T*")&gt;0,X16&lt;30)),AND('Eval-Avant impact'!$A$769=A21,OR(COUNTIF('Eval-Avant impact'!$N$769:$P$769,"*T*")&gt;0,X17&lt;30)),AND('Eval-Avant impact'!$A$770=A21,OR(COUNTIF('Eval-Avant impact'!$N$770:$P$770,"*T*")&gt;0,X18&lt;30)),AND('Eval-Avant impact'!$A$771=A21,OR(COUNTIF('Eval-Avant impact'!$N$771:$P$771,"*T*")&gt;0,X19&lt;30)),AND('Eval-Avant impact'!$A$772=A21,OR(COUNTIF('Eval-Avant impact'!$N$772:$P$772,"*T*")&gt;0,X20&lt;30)),AND('Eval-Avant impact'!$A$773=A21,OR(COUNTIF('Eval-Avant impact'!$N$773:$P$773,"*T*")&gt;0,X21&lt;30)),AND('Eval-Avant impact'!$A$774=A21,OR(COUNTIF('Eval-Avant impact'!$N$774:$P$774,"*T*")&gt;0,X22&lt;30)),AND('Eval-Avant impact'!$A$775=A21,OR(COUNTIF('Eval-Avant impact'!$N$775:$P$775,"*T*")&gt;0,X23&lt;30)),AND('Eval-Avant impact'!$A$776=A21,OR(COUNTIF('Eval-Avant impact'!$N$776:$P$776,"*T*")&gt;0,X24&lt;30)),AND('Eval-Avant impact'!$A$777=A21,OR(COUNTIF('Eval-Avant impact'!$N$777:$P$777,"*T*")&gt;0,X25&lt;30)),AND('Eval-Avant impact'!$A$778=A21,OR(COUNTIF('Eval-Avant impact'!$N$778:$P$778,"*T*")&gt;0,X26&lt;30)),AND('Eval-Avant impact'!$A$779=A21,OR(COUNTIF('Eval-Avant impact'!$N$779:$P$779,"*T*")&gt;0,X27&lt;30)),AND('Eval-Avant impact'!$A$780=A21,OR(COUNTIF('Eval-Avant impact'!$N$780:$P$780,"*T*")&gt;0,X28&lt;30))),"",SUM(0.1*(SUMPRODUCT(('Eval-Avant impact'!$A$761:$A$780=A21)*('Eval-Avant impact'!$N$761:$P$780="L"))),0.4*(SUMPRODUCT(('Eval-Avant impact'!$A$761:$A$780=A21)*('Eval-Avant impact'!$N$761:$P$780="LA"))+SUMPRODUCT(('Eval-Avant impact'!$A$761:$A$780=A21)*('Eval-Avant impact'!$N$761:$P$780="LS"))),0.7*(SUMPRODUCT(('Eval-Avant impact'!$A$761:$A$780=A21)*('Eval-Avant impact'!$N$761:$P$780="AL"))+SUMPRODUCT(('Eval-Avant impact'!$A$761:$A$780=A21)*('Eval-Avant impact'!$N$761:$P$780="SL"))),1*(SUMPRODUCT(('Eval-Avant impact'!$A$761:$A$780=A21)*('Eval-Avant impact'!$N$761:$P$780="S"))+ SUMPRODUCT(('Eval-Avant impact'!$A$761:$A$780=A21)*('Eval-Avant impact'!$N$761:$P$780="A"))))/(3*COUNTIF('Eval-Avant impact'!$A$761:$A$780,A21))),"")</f>
        <v/>
      </c>
      <c r="T21" s="211" t="str">
        <f>IF(COUNTIF('Eval-Avant impact'!$A$761:$A$780,A21)&gt;0,IF(OR(AND('Eval-Avant impact'!$A$761=A21,OR(COUNTIF('Eval-Avant impact'!$N$761:$P$761,"*T*")&gt;0,X9&lt;30)),AND('Eval-Avant impact'!$A$762=A21,OR(COUNTIF('Eval-Avant impact'!$N$762:$P$762,"*T*")&gt;0,X10&lt;30)),AND('Eval-Avant impact'!$A$763=A21,OR(COUNTIF('Eval-Avant impact'!$N$763:$P$763,"*T*")&gt;0,X11&lt;30)),AND('Eval-Avant impact'!$A$764=A21,OR(COUNTIF('Eval-Avant impact'!$N$764:$P$764,"*T*")&gt;0,X12&lt;30)),AND('Eval-Avant impact'!$A$765=A21,OR(COUNTIF('Eval-Avant impact'!$N$765:$P$765,"*T*")&gt;0,X13&lt;30)),AND('Eval-Avant impact'!$A$766=A21,OR(COUNTIF('Eval-Avant impact'!$N$766:$P$766,"*T*")&gt;0,X14&lt;30)),AND('Eval-Avant impact'!$A$767=A21,OR(COUNTIF('Eval-Avant impact'!$N$767:$P$767,"*T*")&gt;0,X15&lt;30)),AND('Eval-Avant impact'!$A$768=A21,OR(COUNTIF('Eval-Avant impact'!$N$768:$P$768,"*T*")&gt;0,X16&lt;30)),AND('Eval-Avant impact'!$A$769=A21,OR(COUNTIF('Eval-Avant impact'!$N$769:$P$769,"*T*")&gt;0,X17&lt;30)),AND('Eval-Avant impact'!$A$770=A21,OR(COUNTIF('Eval-Avant impact'!$N$770:$P$770,"*T*")&gt;0,X18&lt;30)),AND('Eval-Avant impact'!$A$771=A21,OR(COUNTIF('Eval-Avant impact'!$N$771:$P$771,"*T*")&gt;0,X19&lt;30)),AND('Eval-Avant impact'!$A$772=A21,OR(COUNTIF('Eval-Avant impact'!$N$772:$P$772,"*T*")&gt;0,X20&lt;30)),AND('Eval-Avant impact'!$A$773=A21,OR(COUNTIF('Eval-Avant impact'!$N$773:$P$773,"*T*")&gt;0,X21&lt;30)),AND('Eval-Avant impact'!$A$774=A21,OR(COUNTIF('Eval-Avant impact'!$N$774:$P$774,"*T*")&gt;0,X22&lt;30)),AND('Eval-Avant impact'!$A$775=A21,OR(COUNTIF('Eval-Avant impact'!$N$775:$P$775,"*T*")&gt;0,X23&lt;30)),AND('Eval-Avant impact'!$A$776=A21,OR(COUNTIF('Eval-Avant impact'!$N$776:$P$776,"*T*")&gt;0,X24&lt;30)),AND('Eval-Avant impact'!$A$777=A21,OR(COUNTIF('Eval-Avant impact'!$N$777:$P$777,"*T*")&gt;0,X25&lt;30)),AND('Eval-Avant impact'!$A$778=A21,OR(COUNTIF('Eval-Avant impact'!$N$778:$P$778,"*T*")&gt;0,X26&lt;30)),AND('Eval-Avant impact'!$A$779=A21,OR(COUNTIF('Eval-Avant impact'!$N$779:$P$779,"*T*")&gt;0,X27&lt;30)),AND('Eval-Avant impact'!$A$780=A21,OR(COUNTIF('Eval-Avant impact'!$N$780:$P$780,"*T*")&gt;0,X28&lt;30))),"",SUM(1*(SUMPRODUCT(('Eval-Avant impact'!$A$761:$A$780=A21)*('Eval-Avant impact'!$N$761:$P$780="A"))),0.85*(SUMPRODUCT(('Eval-Avant impact'!$A$761:$A$780=A21)*('Eval-Avant impact'!$N$761:$P$780="AL"))),0.7*(SUMPRODUCT(('Eval-Avant impact'!$A$761:$A$780=A21)*('Eval-Avant impact'!$N$761:$P$780="LA"))),0.55*(SUMPRODUCT(('Eval-Avant impact'!$A$761:$A$780=A21)*('Eval-Avant impact'!$N$761:$P$780="L"))),0.4*(SUMPRODUCT(('Eval-Avant impact'!$A$761:$A$780=A21)*('Eval-Avant impact'!$N$761:$P$780="LS"))),0.25*(SUMPRODUCT(('Eval-Avant impact'!$A$761:$A$780=A21)*('Eval-Avant impact'!$N$761:$P$780="SL"))),0.1*(SUMPRODUCT(('Eval-Avant impact'!$A$761:$A$780=A21)*('Eval-Avant impact'!$N$761:$P$780="S"))))/(3*COUNTIF('Eval-Avant impact'!$A$761:$A$780,A21))),"")</f>
        <v/>
      </c>
      <c r="U21" s="214" t="str">
        <f>IF(COUNTIF('Eval-Avant impact'!$A$761:$A$780,A21)&gt;0,IF(OR(AND('Eval-Avant impact'!$A$761=A21,OR(COUNTIF('Eval-Avant impact'!$Q$761:$Y$761,"*T*")&gt;0,X9&lt;120)),AND('Eval-Avant impact'!$A$762=A21,OR(COUNTIF('Eval-Avant impact'!$Q$762:$Y$762,"*T*")&gt;0,X10&lt;120)),AND('Eval-Avant impact'!$A$763=A21,OR(COUNTIF('Eval-Avant impact'!$Q$763:$Y$763,"*T*")&gt;0,X11&lt;120)),AND('Eval-Avant impact'!$A$764=A21,OR(COUNTIF('Eval-Avant impact'!$Q$764:$Y$764,"*T*")&gt;0,X12&lt;120)),AND('Eval-Avant impact'!$A$765=A21,OR(COUNTIF('Eval-Avant impact'!$Q$765:$Y$765,"*T*")&gt;0,X13&lt;120)),AND('Eval-Avant impact'!$A$766=A21,OR(COUNTIF('Eval-Avant impact'!$Q$766:$Y$766,"*T*")&gt;0,X14&lt;120)),AND('Eval-Avant impact'!$A$767=A21,OR(COUNTIF('Eval-Avant impact'!$Q$767:$Y$767,"*T*")&gt;0,X15&lt;120)),AND('Eval-Avant impact'!$A$768=A21,OR(COUNTIF('Eval-Avant impact'!$Q$768:$Y$768,"*T*")&gt;0,X16&lt;120)),AND('Eval-Avant impact'!$A$769=A21,OR(COUNTIF('Eval-Avant impact'!$Q$769:$Y$769,"*T*")&gt;0,X17&lt;120)),AND('Eval-Avant impact'!$A$770=A21,OR(COUNTIF('Eval-Avant impact'!$Q$770:$Y$770,"*T*")&gt;0,X18&lt;120)),AND('Eval-Avant impact'!$A$771=A21,OR(COUNTIF('Eval-Avant impact'!$Q$771:$Y$771,"*T*")&gt;0,X19&lt;120)),AND('Eval-Avant impact'!$A$772=A21,OR(COUNTIF('Eval-Avant impact'!$Q$772:$Y$772,"*T*")&gt;0,X20&lt;120)),AND('Eval-Avant impact'!$A$773=A21,OR(COUNTIF('Eval-Avant impact'!$Q$773:$Y$773,"*T*")&gt;0,X21&lt;120)),AND('Eval-Avant impact'!$A$774=A21,OR(COUNTIF('Eval-Avant impact'!$Q$774:$Y$774,"*T*")&gt;0,X22&lt;120)),AND('Eval-Avant impact'!$A$775=A21,OR(COUNTIF('Eval-Avant impact'!$Q$775:$Y$775,"*T*")&gt;0,X23&lt;120)),AND('Eval-Avant impact'!$A$776=A21,OR(COUNTIF('Eval-Avant impact'!$Q$776:$Y$776,"*T*")&gt;0,X24&lt;120)),AND('Eval-Avant impact'!$A$777=A21,OR(COUNTIF('Eval-Avant impact'!$Q$777:$Y$777,"*T*")&gt;0,X25&lt;120)),AND('Eval-Avant impact'!$A$778=A21,OR(COUNTIF('Eval-Avant impact'!$Q$778:$Y$778,"*T*")&gt;0,X26&lt;120)),AND('Eval-Avant impact'!$A$779=A21,OR(COUNTIF('Eval-Avant impact'!$Q$779:$Y$779,"*T*")&gt;0,X27&lt;120)),AND('Eval-Avant impact'!$A$780=A21,OR(COUNTIF('Eval-Avant impact'!$Q$780:$Y$780,"*T*")&gt;0,X28&lt;120))),"",SUM(1*(SUMPRODUCT(('Eval-Avant impact'!$A$761:$A$780=A21)*('Eval-Avant impact'!$Q$761:$Y$780="A"))),0.85*(SUMPRODUCT(('Eval-Avant impact'!$A$761:$A$780=A21)*('Eval-Avant impact'!$Q$761:$Y$780="AL"))),0.7*(SUMPRODUCT(('Eval-Avant impact'!$A$761:$A$780=A21)*('Eval-Avant impact'!$Q$761:$Y$780="LA"))),0.55*(SUMPRODUCT(('Eval-Avant impact'!$A$761:$A$780=A21)*('Eval-Avant impact'!$Q$761:$Y$780="L"))),0.4*(SUMPRODUCT(('Eval-Avant impact'!$A$761:$A$780=A21)*('Eval-Avant impact'!$Q$761:$Y$780="LS"))),0.25*(SUMPRODUCT(('Eval-Avant impact'!$A$761:$A$780=A21)*('Eval-Avant impact'!$Q$761:$Y$780="SL"))),0.1*(SUMPRODUCT(('Eval-Avant impact'!$A$761:$A$780=A21)*('Eval-Avant impact'!$Q$761:$Y$780="S"))))/(9*COUNTIF('Eval-Avant impact'!$A$761:$A$780,A21))),"")</f>
        <v/>
      </c>
      <c r="V21" s="215"/>
      <c r="W21" s="216">
        <f>'Eval-Avant impact'!$D$773</f>
        <v>13</v>
      </c>
      <c r="X21" s="217" t="str">
        <f>IF(Y21="C",0,IF(IF(COUNTIF('Eval-Avant impact'!$N$773:$Y$773,"=C")&gt;0,(COUNTA('Eval-Avant impact'!$N$773:$Y$773)-1)*10,COUNTA('Eval-Avant impact'!$N$773:$Y$773)*10)=0,"",IF(COUNTIF('Eval-Avant impact'!$N$773:$Y$773,"=C")&gt;0,(COUNTA('Eval-Avant impact'!$N$773:$Y$773)-1)*10,COUNTA('Eval-Avant impact'!$N$773:$Y$773)*10)))</f>
        <v/>
      </c>
      <c r="Y21" s="217" t="str">
        <f>CONCATENATE('Eval-Avant impact'!$N$773,'Eval-Avant impact'!$O$773,'Eval-Avant impact'!$P$773,'Eval-Avant impact'!$Q$773,'Eval-Avant impact'!$R$773,'Eval-Avant impact'!$S$773,'Eval-Avant impact'!$T$773,'Eval-Avant impact'!$U$773,'Eval-Avant impact'!$V$773,'Eval-Avant impact'!$W$773,'Eval-Avant impact'!$X$773,'Eval-Avant impact'!$Y$773)</f>
        <v/>
      </c>
      <c r="Z21" s="217" t="str">
        <f t="shared" si="0"/>
        <v/>
      </c>
      <c r="AA21" s="217" t="str">
        <f t="shared" si="1"/>
        <v/>
      </c>
      <c r="AB21" s="217" t="str">
        <f>IF(COUNTIF('Eval-Avant impact'!$N$773:$Y$773,"=C")&gt;0,"X","")</f>
        <v/>
      </c>
      <c r="AC21" s="217" t="str">
        <f t="shared" si="2"/>
        <v/>
      </c>
      <c r="AD21" s="218" t="str">
        <f t="shared" si="3"/>
        <v/>
      </c>
      <c r="AE21" s="197"/>
      <c r="AG21" s="210">
        <v>13</v>
      </c>
      <c r="AH21" s="211" t="str">
        <f>IF(COUNTIF('Eval-Avec impact envisagé'!$A$761:$A$780,AG21)&gt;0,SUM(IF('Eval-Avec impact envisagé'!$A$761=AG21,'Eval-Avec impact envisagé'!$B$761,0),IF('Eval-Avec impact envisagé'!$A$762=AG21, 'Eval-Avec impact envisagé'!$B$762,0),IF('Eval-Avec impact envisagé'!$A$763=AG21, 'Eval-Avec impact envisagé'!$B$763,0),IF('Eval-Avec impact envisagé'!$A$764=AG21, 'Eval-Avec impact envisagé'!$B$764,0),IF('Eval-Avec impact envisagé'!$A$765=AG21, 'Eval-Avec impact envisagé'!$B$765,0),IF('Eval-Avec impact envisagé'!$A$766=AG21, 'Eval-Avec impact envisagé'!$B$766,0),IF('Eval-Avec impact envisagé'!$A$767=AG21, 'Eval-Avec impact envisagé'!$B$767,0),IF('Eval-Avec impact envisagé'!$A$768=AG21, 'Eval-Avec impact envisagé'!$B$768,0),IF('Eval-Avec impact envisagé'!$A$769=AG21, 'Eval-Avec impact envisagé'!$B$769,0),IF('Eval-Avec impact envisagé'!$A$770=AG21, 'Eval-Avec impact envisagé'!$B$770,0),IF('Eval-Avec impact envisagé'!$A$771=AG21, 'Eval-Avec impact envisagé'!$B$771,0),IF('Eval-Avec impact envisagé'!$A$772=AG21, 'Eval-Avec impact envisagé'!$B$772,0),IF('Eval-Avec impact envisagé'!$A$773=AG21, 'Eval-Avec impact envisagé'!$B$773,0),IF('Eval-Avec impact envisagé'!$A$774=AG21, 'Eval-Avec impact envisagé'!$B$774,0),IF('Eval-Avec impact envisagé'!$A$775=AG21, 'Eval-Avec impact envisagé'!$B$775,0),IF('Eval-Avec impact envisagé'!$A$776=AG21, 'Eval-Avec impact envisagé'!$B$776,0),IF('Eval-Avec impact envisagé'!$A$777=AG21, 'Eval-Avec impact envisagé'!$B$777,0),IF('Eval-Avec impact envisagé'!$A$778=AG21, 'Eval-Avec impact envisagé'!$B$778,0),IF('Eval-Avec impact envisagé'!$A$779=AG21, 'Eval-Avec impact envisagé'!$B$779,0),IF('Eval-Avec impact envisagé'!$A$780=AG21, 'Eval-Avec impact envisagé'!$B$780,0))/COUNTIF('Eval-Avec impact envisagé'!$A$761:$A$780,AG21),"")</f>
        <v/>
      </c>
      <c r="AI21" s="212" t="str">
        <f>IF(COUNTIF('Eval-Avec impact envisagé'!$A$761:$A$780,AG21)&gt;0,COUNTIF('Eval-Avec impact envisagé'!$A$761:$A$780,AG21),"")</f>
        <v/>
      </c>
      <c r="AJ21" s="211" t="str">
        <f>IF(COUNTIF('Eval-Avec impact envisagé'!$A$761:$A$780,AG21)&gt;0,IF(OR(AND('Eval-Avec impact envisagé'!$A$761=AG21, 'Eval-Avec impact envisagé'!$G$761=""),AND('Eval-Avec impact envisagé'!$A$762=AG21, 'Eval-Avec impact envisagé'!$G$762=""),AND('Eval-Avec impact envisagé'!$A$763=AG21, 'Eval-Avec impact envisagé'!$G$763=""),AND('Eval-Avec impact envisagé'!$A$764=AG21, 'Eval-Avec impact envisagé'!$G$764=""),AND('Eval-Avec impact envisagé'!$A$765=AG21, 'Eval-Avec impact envisagé'!$G$765=""),AND('Eval-Avec impact envisagé'!$A$766=AG21, 'Eval-Avec impact envisagé'!$G$766=""),AND('Eval-Avec impact envisagé'!$A$767=AG21, 'Eval-Avec impact envisagé'!$G$767=""),AND('Eval-Avec impact envisagé'!$A$768=AG21, 'Eval-Avec impact envisagé'!$G$768=""),AND('Eval-Avec impact envisagé'!$A$769=AG21, 'Eval-Avec impact envisagé'!$G$769=""),AND('Eval-Avec impact envisagé'!$A$770=AG21, 'Eval-Avec impact envisagé'!$G$770=""),AND('Eval-Avec impact envisagé'!$A$771=AG21, 'Eval-Avec impact envisagé'!$G$771=""),AND('Eval-Avec impact envisagé'!$A$772=AG21, 'Eval-Avec impact envisagé'!$G$772=""),AND('Eval-Avec impact envisagé'!$A$773=AG21, 'Eval-Avec impact envisagé'!$G$773=""),AND('Eval-Avec impact envisagé'!$A$774=AG21, 'Eval-Avec impact envisagé'!$G$774=""),AND('Eval-Avec impact envisagé'!$A$775=AG21, 'Eval-Avec impact envisagé'!$G$775=""),AND('Eval-Avec impact envisagé'!$A$776=AG21, 'Eval-Avec impact envisagé'!$G$776=""),AND('Eval-Avec impact envisagé'!$A$777=AG21, 'Eval-Avec impact envisagé'!$G$777=""),AND('Eval-Avec impact envisagé'!$A$778=AG21, 'Eval-Avec impact envisagé'!$G$778=""),AND('Eval-Avec impact envisagé'!$A$779=AG21, 'Eval-Avec impact envisagé'!$G$779=""),AND('Eval-Avec impact envisagé'!$A$780=AG21, 'Eval-Avec impact envisagé'!$G$780="")),"",SUM(IF('Eval-Avec impact envisagé'!$A$761=AG21,'Eval-Avec impact envisagé'!$G$761,0),IF('Eval-Avec impact envisagé'!$A$762=AG21,'Eval-Avec impact envisagé'!$G$762,0),IF('Eval-Avec impact envisagé'!$A$763=AG21,'Eval-Avec impact envisagé'!$G$763,0),IF('Eval-Avec impact envisagé'!$A$764=AG21,'Eval-Avec impact envisagé'!$G$764,0),IF('Eval-Avec impact envisagé'!$A$765=AG21,'Eval-Avec impact envisagé'!$G$765,0),IF('Eval-Avec impact envisagé'!$A$766=AG21,'Eval-Avec impact envisagé'!$G$766,0),IF('Eval-Avec impact envisagé'!$A$767=AG21,'Eval-Avec impact envisagé'!$G$767,0),IF('Eval-Avec impact envisagé'!$A$768=AG21,'Eval-Avec impact envisagé'!$G$768,0),IF('Eval-Avec impact envisagé'!$A$769=AG21,'Eval-Avec impact envisagé'!$G$769,0),IF('Eval-Avec impact envisagé'!$A$770=AG21,'Eval-Avec impact envisagé'!$G$770,0),IF('Eval-Avec impact envisagé'!$A$771=AG21,'Eval-Avec impact envisagé'!$G$771,0),IF('Eval-Avec impact envisagé'!$A$772=AG21,'Eval-Avec impact envisagé'!$G$772,0),IF('Eval-Avec impact envisagé'!$A$773=AG21,'Eval-Avec impact envisagé'!$G$773,0),IF('Eval-Avec impact envisagé'!$A$774=AG21,'Eval-Avec impact envisagé'!$G$774,0),IF('Eval-Avec impact envisagé'!$A$775=AG21,'Eval-Avec impact envisagé'!$G$775,0), IF('Eval-Avec impact envisagé'!$A$776=AG21,'Eval-Avec impact envisagé'!$G$776,0), IF('Eval-Avec impact envisagé'!$A$777=AG21,'Eval-Avec impact envisagé'!$G$777,0), IF('Eval-Avec impact envisagé'!$A$778=AG21,'Eval-Avec impact envisagé'!$G$778,0), IF('Eval-Avec impact envisagé'!$A$779=AG21,'Eval-Avec impact envisagé'!$G$779,0), IF('Eval-Avec impact envisagé'!$A$780=AG21,'Eval-Avec impact envisagé'!$G$780,0))/ COUNTIF('Eval-Avec impact envisagé'!$A$761:$A$780,AG21)),"")</f>
        <v/>
      </c>
      <c r="AK21" s="212" t="str">
        <f>IF(COUNTIF('Eval-Avec impact envisagé'!$A$761:$A$780,AG21)&gt;0,IF(SUM(IF('Eval-Avec impact envisagé'!$A$761=AG21,COUNTA('Eval-Avec impact envisagé'!$H$761),0),IF('Eval-Avec impact envisagé'!$A$762=AG21,COUNTA('Eval-Avec impact envisagé'!$H$762),0),IF('Eval-Avec impact envisagé'!$A$763=AG21,COUNTA('Eval-Avec impact envisagé'!$H$763),0),IF('Eval-Avec impact envisagé'!$A$764=AG21,COUNTA('Eval-Avec impact envisagé'!$H$764),0),IF('Eval-Avec impact envisagé'!$A$765=AG21,COUNTA('Eval-Avec impact envisagé'!$H$765),0),IF('Eval-Avec impact envisagé'!$A$766=AG21,COUNTA('Eval-Avec impact envisagé'!$H$766),0),IF('Eval-Avec impact envisagé'!$A$767=AG21,COUNTA('Eval-Avec impact envisagé'!$H$767),0),IF('Eval-Avec impact envisagé'!$A$768=AG21,COUNTA('Eval-Avec impact envisagé'!$H$768),0),IF('Eval-Avec impact envisagé'!$A$769=AG21,COUNTA('Eval-Avec impact envisagé'!$H$769),0),IF('Eval-Avec impact envisagé'!$A$770=AG21,COUNTA('Eval-Avec impact envisagé'!$H$770),0),IF('Eval-Avec impact envisagé'!$A$771=AG21,COUNTA('Eval-Avec impact envisagé'!$H$771),0),IF('Eval-Avec impact envisagé'!$A$772=AG21,COUNTA('Eval-Avec impact envisagé'!$H$772),0),IF('Eval-Avec impact envisagé'!$A$773=AG21,COUNTA('Eval-Avec impact envisagé'!$H$773),0),IF('Eval-Avec impact envisagé'!$A$774=AG21,COUNTA('Eval-Avec impact envisagé'!$H$774),0),IF('Eval-Avec impact envisagé'!$A$775=AG21,COUNTA('Eval-Avec impact envisagé'!$H$775),0),IF('Eval-Avec impact envisagé'!$A$776=AG21,COUNTA('Eval-Avec impact envisagé'!$H$776),0),IF('Eval-Avec impact envisagé'!$A$777=AG21,COUNTA('Eval-Avec impact envisagé'!$H$777),0),IF('Eval-Avec impact envisagé'!$A$778=AG21,COUNTA('Eval-Avec impact envisagé'!$H$778),0),IF('Eval-Avec impact envisagé'!$A$779=AG21,COUNTA('Eval-Avec impact envisagé'!$H$779),0),IF('Eval-Avec impact envisagé'!$A$780=AG21,COUNTA('Eval-Avec impact envisagé'!$H$780),0))&gt;0,"X",0),"")</f>
        <v/>
      </c>
      <c r="AL21" s="213" t="str">
        <f>IF(COUNTIF('Eval-Avec impact envisagé'!$A$761:$A$780,AG21)&gt;0,IF(SUM(IF('Eval-Avec impact envisagé'!$A$761=AG21,COUNTA('Eval-Avec impact envisagé'!$I$761),0),IF('Eval-Avec impact envisagé'!$A$762=AG21,COUNTA('Eval-Avec impact envisagé'!$I$762),0),IF('Eval-Avec impact envisagé'!$A$763=AG21,COUNTA('Eval-Avec impact envisagé'!$I$763),0),IF('Eval-Avec impact envisagé'!$A$764=AG21,COUNTA('Eval-Avec impact envisagé'!$I$764),0),IF('Eval-Avec impact envisagé'!$A$765=AG21,COUNTA('Eval-Avec impact envisagé'!$I$765),0),IF('Eval-Avec impact envisagé'!$A$766=AG21,COUNTA('Eval-Avec impact envisagé'!$I$766),0),IF('Eval-Avec impact envisagé'!$A$767=AG21,COUNTA('Eval-Avec impact envisagé'!$I$767),0),IF('Eval-Avec impact envisagé'!$A$768=AG21,COUNTA('Eval-Avec impact envisagé'!$I$768),0),IF('Eval-Avec impact envisagé'!$A$769=AG21,COUNTA('Eval-Avec impact envisagé'!$I$769),0),IF('Eval-Avec impact envisagé'!$A$770=AG21,COUNTA('Eval-Avec impact envisagé'!$I$770),0),IF('Eval-Avec impact envisagé'!$A$771=AG21,COUNTA('Eval-Avec impact envisagé'!$I$771),0),IF('Eval-Avec impact envisagé'!$A$772=AG21,COUNTA('Eval-Avec impact envisagé'!$I$772),0),IF('Eval-Avec impact envisagé'!$A$773=AG21,COUNTA('Eval-Avec impact envisagé'!$I$773),0),IF('Eval-Avec impact envisagé'!$A$774=AG21,COUNTA('Eval-Avec impact envisagé'!$I$774),0),IF('Eval-Avec impact envisagé'!$A$775=AG21,COUNTA('Eval-Avec impact envisagé'!$I$775),0),IF('Eval-Avec impact envisagé'!$A$776=AG21,COUNTA('Eval-Avec impact envisagé'!$I$776),0),IF('Eval-Avec impact envisagé'!$A$777=AG21,COUNTA('Eval-Avec impact envisagé'!$I$777),0),IF('Eval-Avec impact envisagé'!$A$778=AG21,COUNTA('Eval-Avec impact envisagé'!$I$778),0),IF('Eval-Avec impact envisagé'!$A$779=AG21,COUNTA('Eval-Avec impact envisagé'!$I$779),0),IF('Eval-Avec impact envisagé'!$A$780=AG21,COUNTA('Eval-Avec impact envisagé'!$I$780),0))&gt;0,"X",0),"")</f>
        <v/>
      </c>
      <c r="AM21" s="213" t="str">
        <f>IF(COUNTIF('Eval-Avec impact envisagé'!$A$761:$A$780,AG21)&gt;0,IF(SUM(IF('Eval-Avec impact envisagé'!$A$761=AG21,COUNTA('Eval-Avec impact envisagé'!$J$761),0),IF('Eval-Avec impact envisagé'!$A$762=AG21,COUNTA('Eval-Avec impact envisagé'!$J$762),0),IF('Eval-Avec impact envisagé'!$A$763=AG21,COUNTA('Eval-Avec impact envisagé'!$J$763),0),IF('Eval-Avec impact envisagé'!$A$764=AG21,COUNTA('Eval-Avec impact envisagé'!$J$764),0),IF('Eval-Avec impact envisagé'!$A$765=AG21,COUNTA('Eval-Avec impact envisagé'!$J$765),0),IF('Eval-Avec impact envisagé'!$A$766=AG21,COUNTA('Eval-Avec impact envisagé'!$J$766),0),IF('Eval-Avec impact envisagé'!$A$767=AG21,COUNTA('Eval-Avec impact envisagé'!$J$767),0),IF('Eval-Avec impact envisagé'!$A$768=AG21,COUNTA('Eval-Avec impact envisagé'!$J$768),0),IF('Eval-Avec impact envisagé'!$A$769=AG21,COUNTA('Eval-Avec impact envisagé'!$J$769),0),IF('Eval-Avec impact envisagé'!$A$770=AG21,COUNTA('Eval-Avec impact envisagé'!$J$770),0),IF('Eval-Avec impact envisagé'!$A$771=AG21,COUNTA('Eval-Avec impact envisagé'!$J$771),0),IF('Eval-Avec impact envisagé'!$A$772=AG21,COUNTA('Eval-Avec impact envisagé'!$J$772),0),IF('Eval-Avec impact envisagé'!$A$773=AG21,COUNTA('Eval-Avec impact envisagé'!$J$773),0),IF('Eval-Avec impact envisagé'!$A$774=AG21,COUNTA('Eval-Avec impact envisagé'!$J$774),0),IF('Eval-Avec impact envisagé'!$A$775=AG21,COUNTA('Eval-Avec impact envisagé'!$J$775),0),IF('Eval-Avec impact envisagé'!$A$776=AG21,COUNTA('Eval-Avec impact envisagé'!$J$776),0),IF('Eval-Avec impact envisagé'!$A$777=AG21,COUNTA('Eval-Avec impact envisagé'!$J$777),0),IF('Eval-Avec impact envisagé'!$A$778=AG21,COUNTA('Eval-Avec impact envisagé'!$J$778),0),IF('Eval-Avec impact envisagé'!$A$779=AG21,COUNTA('Eval-Avec impact envisagé'!$J$779),0),IF('Eval-Avec impact envisagé'!$A$780=AG21,COUNTA('Eval-Avec impact envisagé'!$J$780),0))&gt;0,"X",0),"")</f>
        <v/>
      </c>
      <c r="AN21" s="213" t="str">
        <f>IF(COUNTIF('Eval-Avec impact envisagé'!$A$761:$A$780,AG21)&gt;0,IF(SUM(IF('Eval-Avec impact envisagé'!$A$761=AG21,COUNTA('Eval-Avec impact envisagé'!$K$761),0),IF('Eval-Avec impact envisagé'!$A$762=AG21,COUNTA('Eval-Avec impact envisagé'!$K$762),0),IF('Eval-Avec impact envisagé'!$A$763=AG21,COUNTA('Eval-Avec impact envisagé'!$K$763),0),IF('Eval-Avec impact envisagé'!$A$764=AG21,COUNTA('Eval-Avec impact envisagé'!$K$764),0),IF('Eval-Avec impact envisagé'!$A$765=AG21,COUNTA('Eval-Avec impact envisagé'!$K$765),0),IF('Eval-Avec impact envisagé'!$A$766=AG21,COUNTA('Eval-Avec impact envisagé'!$K$766),0),IF('Eval-Avec impact envisagé'!$A$767=AG21,COUNTA('Eval-Avec impact envisagé'!$K$767),0),IF('Eval-Avec impact envisagé'!$A$768=AG21,COUNTA('Eval-Avec impact envisagé'!$K$768),0),IF('Eval-Avec impact envisagé'!$A$769=AG21,COUNTA('Eval-Avec impact envisagé'!$K$769),0),IF('Eval-Avec impact envisagé'!$A$770=AG21,COUNTA('Eval-Avec impact envisagé'!$K$770),0),IF('Eval-Avec impact envisagé'!$A$771=AG21,COUNTA('Eval-Avec impact envisagé'!$K$771),0),IF('Eval-Avec impact envisagé'!$A$772=AG21,COUNTA('Eval-Avec impact envisagé'!$K$772),0),IF('Eval-Avec impact envisagé'!$A$773=AG21,COUNTA('Eval-Avec impact envisagé'!$K$773),0),IF('Eval-Avec impact envisagé'!$A$774=AG21,COUNTA('Eval-Avec impact envisagé'!$K$774),0),IF('Eval-Avec impact envisagé'!$A$775=AG21,COUNTA('Eval-Avec impact envisagé'!$K$775),0),IF('Eval-Avec impact envisagé'!$A$776=AG21,COUNTA('Eval-Avec impact envisagé'!$K$776),0),IF('Eval-Avec impact envisagé'!$A$777=AG21,COUNTA('Eval-Avec impact envisagé'!$K$777),0),IF('Eval-Avec impact envisagé'!$A$778=AG21,COUNTA('Eval-Avec impact envisagé'!$K$778),0),IF('Eval-Avec impact envisagé'!$A$779=AG21,COUNTA('Eval-Avec impact envisagé'!$K$779),0),IF('Eval-Avec impact envisagé'!$A$780=AG21,COUNTA('Eval-Avec impact envisagé'!$K$780),0))&gt;0,"X",0),"")</f>
        <v/>
      </c>
      <c r="AO21" s="211" t="str">
        <f>IF(COUNTIF('Eval-Avec impact envisagé'!$A$761:$A$780,AG21)&gt;0,IF(OR(AND('Eval-Avec impact envisagé'!$A$761=AG21,'Eval-Avec impact envisagé'!$L$761&lt;120,'Eval-Avec impact envisagé'!$L$761&gt;=BD9),AND('Eval-Avec impact envisagé'!$A$762=AG21,'Eval-Avec impact envisagé'!$L$762&lt;120,'Eval-Avec impact envisagé'!$L$762&gt;=BD10),AND('Eval-Avec impact envisagé'!$A$763=AG21,'Eval-Avec impact envisagé'!$L$763&lt;120,'Eval-Avec impact envisagé'!$L$763&gt;=BD11),AND('Eval-Avec impact envisagé'!$A$764=AG21,'Eval-Avec impact envisagé'!$L$764&lt;120,'Eval-Avec impact envisagé'!$L$764&gt;=BD12),AND('Eval-Avec impact envisagé'!$A$765=AG21,'Eval-Avec impact envisagé'!$L$765&lt;120,'Eval-Avec impact envisagé'!$L$765&gt;=BD13),AND('Eval-Avec impact envisagé'!$A$766=AG21,'Eval-Avec impact envisagé'!$L$766&lt;120,'Eval-Avec impact envisagé'!$L$766&gt;=BD14),AND('Eval-Avec impact envisagé'!$A$767=AG21,'Eval-Avec impact envisagé'!$L$767&lt;120,'Eval-Avec impact envisagé'!$L$767&gt;=BD15),AND('Eval-Avec impact envisagé'!$A$768=AG21,'Eval-Avec impact envisagé'!$L$768&lt;120,'Eval-Avec impact envisagé'!$L$768&gt;=BD16),AND('Eval-Avec impact envisagé'!$A$769=AG21,'Eval-Avec impact envisagé'!$L$769&lt;120,'Eval-Avec impact envisagé'!$L$769&gt;=BD17),AND('Eval-Avec impact envisagé'!$A$770=AG21,'Eval-Avec impact envisagé'!$L$770&lt;120,'Eval-Avec impact envisagé'!$L$770&gt;=BD18),AND('Eval-Avec impact envisagé'!$A$771=AG21,'Eval-Avec impact envisagé'!$L$771&lt;120,'Eval-Avec impact envisagé'!$L$771&gt;=BD19),AND('Eval-Avec impact envisagé'!$A$772=AG21,'Eval-Avec impact envisagé'!$L$772&lt;120,'Eval-Avec impact envisagé'!$L$772&gt;=BD20),AND('Eval-Avec impact envisagé'!$A$773=AG21,'Eval-Avec impact envisagé'!$L$773&lt;120,'Eval-Avec impact envisagé'!$L$773&gt;=BD21),AND('Eval-Avec impact envisagé'!$A$774=AG21,'Eval-Avec impact envisagé'!$L$774&lt;120,'Eval-Avec impact envisagé'!$L$774&gt;=BD22),AND('Eval-Avec impact envisagé'!$A$775=AG21,'Eval-Avec impact envisagé'!$L$775&lt;120,'Eval-Avec impact envisagé'!$L$775&gt;=BD23),AND('Eval-Avec impact envisagé'!$A$776=AG21,'Eval-Avec impact envisagé'!$L$776&lt;120,'Eval-Avec impact envisagé'!$L$776&gt;=BD24),AND('Eval-Avec impact envisagé'!$A$777=AG21,'Eval-Avec impact envisagé'!$L$777&lt;120,'Eval-Avec impact envisagé'!$L$777&gt;=BD25),AND('Eval-Avec impact envisagé'!$A$778=AG21,'Eval-Avec impact envisagé'!$L$778&lt;120,'Eval-Avec impact envisagé'!$L$778&gt;=BD26),AND('Eval-Avec impact envisagé'!$A$779=AG21,'Eval-Avec impact envisagé'!$L$779&lt;120,'Eval-Avec impact envisagé'!$L$779&gt;=BD27),AND('Eval-Avec impact envisagé'!$A$780=AG21,'Eval-Avec impact envisagé'!$L$780&lt;120,'Eval-Avec impact envisagé'!$L$780&gt;=BD28)),"",SUM(IF('Eval-Avec impact envisagé'!$A$761=AG21,'Eval-Avec impact envisagé'!$L$761,0),IF('Eval-Avec impact envisagé'!$A$762=AG21,'Eval-Avec impact envisagé'!$L$762,0),IF('Eval-Avec impact envisagé'!$A$763=AG21,'Eval-Avec impact envisagé'!$L$763,0),IF('Eval-Avec impact envisagé'!$A$764=AG21,'Eval-Avec impact envisagé'!$L$764,0),IF('Eval-Avec impact envisagé'!$A$765=AG21,'Eval-Avec impact envisagé'!$L$765,0),IF('Eval-Avec impact envisagé'!$A$766=AG21,'Eval-Avec impact envisagé'!$L$766,0),IF('Eval-Avec impact envisagé'!$A$767=AG21,'Eval-Avec impact envisagé'!$L$767,0),IF('Eval-Avec impact envisagé'!$A$768=AG21,'Eval-Avec impact envisagé'!$L$768,0),IF('Eval-Avec impact envisagé'!$A$769=AG21,'Eval-Avec impact envisagé'!$L$769,0),IF('Eval-Avec impact envisagé'!$A$770=AG21,'Eval-Avec impact envisagé'!$L$770,0),IF('Eval-Avec impact envisagé'!$A$771=AG21,'Eval-Avec impact envisagé'!$L$771,0),IF('Eval-Avec impact envisagé'!$A$772=AG21,'Eval-Avec impact envisagé'!$L$772,0),IF('Eval-Avec impact envisagé'!$A$773=AG21,'Eval-Avec impact envisagé'!$L$773,0),IF('Eval-Avec impact envisagé'!$A$774=AG21,'Eval-Avec impact envisagé'!$L$774,0),IF('Eval-Avec impact envisagé'!$A$775=AG21,'Eval-Avec impact envisagé'!$L$775,0),IF('Eval-Avec impact envisagé'!$A$776=AG21,'Eval-Avec impact envisagé'!$L$776,0),IF('Eval-Avec impact envisagé'!$A$777=AG21,'Eval-Avec impact envisagé'!$L$777,0),IF('Eval-Avec impact envisagé'!$A$778=AG21,'Eval-Avec impact envisagé'!$L$778,0),IF('Eval-Avec impact envisagé'!$A$779=AG21,'Eval-Avec impact envisagé'!$L$779,0),IF('Eval-Avec impact envisagé'!$A$780=AG21,'Eval-Avec impact envisagé'!$L$780,0))/ COUNTIF('Eval-Avec impact envisagé'!$A$761:$A$780,AG21)),"")</f>
        <v/>
      </c>
      <c r="AP21" s="211" t="str">
        <f>IF(COUNTIF('Eval-Avec impact envisagé'!$A$761:$A$780,AG21)&gt;0,IF(OR(AND('Eval-Avec impact envisagé'!$A$761=AG21, BD9&lt;120),AND(BD10&lt;120),AND(BD11&lt;120),AND(BD12&lt;120),AND(BD13&lt;120),AND(BD14&lt;120),AND(BD15&lt;120),AND(BD16&lt;120),AND(BD17&lt;120),AND(BD18&lt;120),AND(BD19&lt;120),AND(BD20&lt;120),AND(BD21&lt;120),AND(BD22&lt;120),AND(BD23&lt;120),AND(BD24&lt;120),AND(BD25&lt;120),AND(BD26&lt;120),AND(BD27&lt;120),AND(BD28&lt;120)),"",SUM(IF('Eval-Avec impact envisagé'!$A$761=AG21,'Eval-Avec impact envisagé'!$M$761,0),IF('Eval-Avec impact envisagé'!$A$762=AG21,'Eval-Avec impact envisagé'!$M$762,0),IF('Eval-Avec impact envisagé'!$A$763=AG21,'Eval-Avec impact envisagé'!$M$763,0),IF('Eval-Avec impact envisagé'!$A$764=AG21,'Eval-Avec impact envisagé'!$M$764,0),IF('Eval-Avec impact envisagé'!$A$765=AG21,'Eval-Avec impact envisagé'!$M$765,0),IF('Eval-Avec impact envisagé'!$A$766=AG21,'Eval-Avec impact envisagé'!$M$766,0),IF('Eval-Avec impact envisagé'!$A$767=AG21,'Eval-Avec impact envisagé'!$M$767,0),IF('Eval-Avec impact envisagé'!$A$768=AG21,'Eval-Avec impact envisagé'!$M$768,0),IF('Eval-Avec impact envisagé'!$A$769=AG21,'Eval-Avec impact envisagé'!$M$769,0),IF('Eval-Avec impact envisagé'!$A$770=AG21,'Eval-Avec impact envisagé'!$M$770,0),IF('Eval-Avec impact envisagé'!$A$771=AG21,'Eval-Avec impact envisagé'!$M$771,0),IF('Eval-Avec impact envisagé'!$A$772=AG21,'Eval-Avec impact envisagé'!$M$772,0),IF('Eval-Avec impact envisagé'!$A$773=AG21,'Eval-Avec impact envisagé'!$M$773,0),IF('Eval-Avec impact envisagé'!$A$774=AG21,'Eval-Avec impact envisagé'!$M$774,0),IF('Eval-Avec impact envisagé'!$A$775=AG21,'Eval-Avec impact envisagé'!$M$775,0), IF('Eval-Avec impact envisagé'!$A$776=AG21,'Eval-Avec impact envisagé'!$M$776,0), IF('Eval-Avec impact envisagé'!$A$777=AG21,'Eval-Avec impact envisagé'!$M$777,0), IF('Eval-Avec impact envisagé'!$A$778=AG21,'Eval-Avec impact envisagé'!$M$778,0), IF('Eval-Avec impact envisagé'!$A$779=AG21,'Eval-Avec impact envisagé'!$M$779,0), IF('Eval-Avec impact envisagé'!$A$780=AG21,'Eval-Avec impact envisagé'!$M$780,0))/COUNTIF('Eval-Avec impact envisagé'!$A$761:$A$780,AG21)),"")</f>
        <v/>
      </c>
      <c r="AQ21" s="211" t="str">
        <f>IF(COUNTIF('Eval-Avec impact envisagé'!$A$761:$A$780,AG21)&gt;0,SUM(IF('Eval-Avec impact envisagé'!$A$761=AG21,LEN(SUBSTITUTE((SUBSTITUTE(BF9,"TM","")),"TS",""))*10/2,0),IF('Eval-Avec impact envisagé'!$A$762=AG21,LEN(SUBSTITUTE((SUBSTITUTE(BF10,"TM","")),"TS",""))*10/2,0),IF('Eval-Avec impact envisagé'!$A$763=AG21,LEN(SUBSTITUTE((SUBSTITUTE(BF11,"TM","")),"TS",""))*10/2,0),IF('Eval-Avec impact envisagé'!$A$764=AG21,LEN(SUBSTITUTE((SUBSTITUTE(BF12,"TM","")),"TS",""))*10/2,0),IF('Eval-Avec impact envisagé'!$A$765=AG21,LEN(SUBSTITUTE((SUBSTITUTE(BF13,"TM","")),"TS",""))*10/2,0),IF('Eval-Avec impact envisagé'!$A$766=AG21,LEN(SUBSTITUTE((SUBSTITUTE(BF14,"TM","")),"TS",""))*10/2,0),IF('Eval-Avec impact envisagé'!$A$767=AG21,LEN(SUBSTITUTE((SUBSTITUTE(BF15,"TM","")),"TS",""))*10/2,0),IF('Eval-Avec impact envisagé'!$A$768=AG21,LEN(SUBSTITUTE((SUBSTITUTE(BF16,"TM","")),"TS",""))*10/2,0),IF('Eval-Avec impact envisagé'!$A$769=AG21,LEN(SUBSTITUTE((SUBSTITUTE(BF17,"TM","")),"TS",""))*10/2,0),IF('Eval-Avec impact envisagé'!$A$770=AG21,LEN(SUBSTITUTE((SUBSTITUTE(BF18,"TM","")),"TS",""))*10/2,0),IF('Eval-Avec impact envisagé'!$A$771=AG21,LEN(SUBSTITUTE((SUBSTITUTE(BF19,"TM","")),"TS",""))*10/2,0),IF('Eval-Avec impact envisagé'!$A$772=AG21,LEN(SUBSTITUTE((SUBSTITUTE(BF20,"TM","")),"TS",""))*10/2,0),IF('Eval-Avec impact envisagé'!$A$773=AG21,LEN(SUBSTITUTE((SUBSTITUTE(BF21,"TM","")),"TS",""))*10/2,0),IF('Eval-Avec impact envisagé'!$A$774=AG21,LEN(SUBSTITUTE((SUBSTITUTE(BF22,"TM","")),"TS",""))*10/2,0),IF('Eval-Avec impact envisagé'!$A$775=AG21,LEN(SUBSTITUTE((SUBSTITUTE(BF23,"TM","")),"TS",""))*10/2,0),IF('Eval-Avec impact envisagé'!$A$776=AG21,LEN(SUBSTITUTE((SUBSTITUTE(BF24,"TM","")),"TS",""))*10/2,0),IF('Eval-Avec impact envisagé'!$A$777=AG21,LEN(SUBSTITUTE((SUBSTITUTE(BF25,"TM","")),"TS",""))*10/2,0),IF('Eval-Avec impact envisagé'!$A$778=AG21,LEN(SUBSTITUTE((SUBSTITUTE(BF26,"TM","")),"TS",""))*10/2,0),IF('Eval-Avec impact envisagé'!$A$779=AG21,LEN(SUBSTITUTE((SUBSTITUTE(BF27,"TM","")),"TS",""))*10/2,0),IF('Eval-Avec impact envisagé'!$A$780=AG21,LEN(SUBSTITUTE((SUBSTITUTE(BF28,"TM","")),"TS",""))*10/2,0))/COUNTIF('Eval-Avec impact envisagé'!$A$761:$A$780,AG21),"")</f>
        <v/>
      </c>
      <c r="AR21" s="211" t="str">
        <f>IF(COUNTIF('Eval-Avec impact envisagé'!$A$761:$A$780,AG21)&gt;0,SUM(IF('Eval-Avec impact envisagé'!$A$761=AG21,LEN(SUBSTITUTE((SUBSTITUTE(BF9,"TF","")),"TS",""))*10/2,0),IF('Eval-Avec impact envisagé'!$A$762=AG21,LEN(SUBSTITUTE((SUBSTITUTE(BF10,"TF","")),"TS",""))*10/2,0),IF('Eval-Avec impact envisagé'!$A$763=AG21,LEN(SUBSTITUTE((SUBSTITUTE(BF11,"TF","")),"TS",""))*10/2,0),IF('Eval-Avec impact envisagé'!$A$764=AG21,LEN(SUBSTITUTE((SUBSTITUTE(BF12,"TF","")),"TS",""))*10/2,0),IF('Eval-Avec impact envisagé'!$A$765=AG21,LEN(SUBSTITUTE((SUBSTITUTE(BF13,"TF","")),"TS",""))*10/2,0),IF('Eval-Avec impact envisagé'!$A$766=AG21,LEN(SUBSTITUTE((SUBSTITUTE(BF14,"TF","")),"TS",""))*10/2,0),IF('Eval-Avec impact envisagé'!$A$767=AG21,LEN(SUBSTITUTE((SUBSTITUTE(BF15,"TF","")),"TS",""))*10/2,0),IF('Eval-Avec impact envisagé'!$A$768=AG21,LEN(SUBSTITUTE((SUBSTITUTE(BF16,"TF","")),"TS",""))*10/2,0),IF('Eval-Avec impact envisagé'!$A$769=AG21,LEN(SUBSTITUTE((SUBSTITUTE(BF17,"TF","")),"TS",""))*10/2,0),IF('Eval-Avec impact envisagé'!$A$770=AG21,LEN(SUBSTITUTE((SUBSTITUTE(BF18,"TF","")),"TS",""))*10/2,0),IF('Eval-Avec impact envisagé'!$A$771=AG21,LEN(SUBSTITUTE((SUBSTITUTE(BF19,"TF","")),"TS",""))*10/2,0),IF('Eval-Avec impact envisagé'!$A$772=AG21,LEN(SUBSTITUTE((SUBSTITUTE(BF20,"TF","")),"TS",""))*10/2,0),IF('Eval-Avec impact envisagé'!$A$773=AG21,LEN(SUBSTITUTE((SUBSTITUTE(BF21,"TF","")),"TS",""))*10/2,0),IF('Eval-Avec impact envisagé'!$A$774=AG21,LEN(SUBSTITUTE((SUBSTITUTE(BF22,"TF","")),"TS",""))*10/2,0),IF('Eval-Avec impact envisagé'!$A$775=AG21,LEN(SUBSTITUTE((SUBSTITUTE(BF23,"TF","")),"TS",""))*10/2,0),IF('Eval-Avec impact envisagé'!$A$776=AG21,LEN(SUBSTITUTE((SUBSTITUTE(BF24,"TF","")),"TS",""))*10/2,0),IF('Eval-Avec impact envisagé'!$A$777=AG21,LEN(SUBSTITUTE((SUBSTITUTE(BF25,"TF","")),"TS",""))*10/2,0),IF('Eval-Avec impact envisagé'!$A$778=AG21,LEN(SUBSTITUTE((SUBSTITUTE(BF26,"TF","")),"TS",""))*10/2,0),IF('Eval-Avec impact envisagé'!$A$779=AG21,LEN(SUBSTITUTE((SUBSTITUTE(BF27,"TF","")),"TS",""))*10/2,0),IF('Eval-Avec impact envisagé'!$A$780=AG21,LEN(SUBSTITUTE((SUBSTITUTE(BF28,"TF","")),"TS",""))*10/2,0))/COUNTIF('Eval-Avec impact envisagé'!$A$761:$A$780,AG21),"")</f>
        <v/>
      </c>
      <c r="AS21" s="211" t="str">
        <f>IF(COUNTIF('Eval-Avec impact envisagé'!$A$761:$A$780,AG21)&gt;0,SUM(IF('Eval-Avec impact envisagé'!$A$761=AG21,LEN(SUBSTITUTE((SUBSTITUTE(BF9,"TF","")),"TM",""))*10/2,0),IF('Eval-Avec impact envisagé'!$A$762=AG21,LEN(SUBSTITUTE((SUBSTITUTE(BF10,"TF","")),"TM",""))*10/2,0),IF('Eval-Avec impact envisagé'!$A$763=AG21,LEN(SUBSTITUTE((SUBSTITUTE(BF11,"TF","")),"TM",""))*10/2,0),IF('Eval-Avec impact envisagé'!$A$764=AG21,LEN(SUBSTITUTE((SUBSTITUTE(BF12,"TF","")),"TM",""))*10/2,0),IF('Eval-Avec impact envisagé'!$A$765=AG21,LEN(SUBSTITUTE((SUBSTITUTE(BF13,"TF","")),"TM",""))*10/2,0),IF('Eval-Avec impact envisagé'!$A$766=AG21,LEN(SUBSTITUTE((SUBSTITUTE(BF14,"TF","")),"TM",""))*10/2,0),IF('Eval-Avec impact envisagé'!$A$767=AG21,LEN(SUBSTITUTE((SUBSTITUTE(BF15,"TF","")),"TM",""))*10/2,0),IF('Eval-Avec impact envisagé'!$A$768=AG21,LEN(SUBSTITUTE((SUBSTITUTE(BF16,"TF","")),"TM",""))*10/2,0),IF('Eval-Avec impact envisagé'!$A$769=AG21,LEN(SUBSTITUTE((SUBSTITUTE(BF17,"TF","")),"TM",""))*10/2,0),IF('Eval-Avec impact envisagé'!$A$770=AG21,LEN(SUBSTITUTE((SUBSTITUTE(BF18,"TF","")),"TM",""))*10/2,0),IF('Eval-Avec impact envisagé'!$A$771=AG21,LEN(SUBSTITUTE((SUBSTITUTE(BF19,"TF","")),"TM",""))*10/2,0),IF('Eval-Avec impact envisagé'!$A$772=AG21,LEN(SUBSTITUTE((SUBSTITUTE(BF20,"TF","")),"TM",""))*10/2,0),IF('Eval-Avec impact envisagé'!$A$773=AG21,LEN(SUBSTITUTE((SUBSTITUTE(BF21,"TF","")),"TM",""))*10/2,0),IF('Eval-Avec impact envisagé'!$A$774=AG21,LEN(SUBSTITUTE((SUBSTITUTE(BF22,"TF","")),"TM",""))*10/2,0),IF('Eval-Avec impact envisagé'!$A$775=AG21,LEN(SUBSTITUTE((SUBSTITUTE(BF23,"TF","")),"TM",""))*10/2,0),IF('Eval-Avec impact envisagé'!$A$776=AG21,LEN(SUBSTITUTE((SUBSTITUTE(BF24,"TF","")),"TM",""))*10/2,0),IF('Eval-Avec impact envisagé'!$A$777=AG21,LEN(SUBSTITUTE((SUBSTITUTE(BF25,"TF","")),"TM",""))*10/2,0),IF('Eval-Avec impact envisagé'!$A$778=AG21,LEN(SUBSTITUTE((SUBSTITUTE(BF26,"TF","")),"TM",""))*10/2,0),IF('Eval-Avec impact envisagé'!$A$779=AG21,LEN(SUBSTITUTE((SUBSTITUTE(BF27,"TF","")),"TM",""))*10/2,0),IF('Eval-Avec impact envisagé'!$A$780=AG21,LEN(SUBSTITUTE((SUBSTITUTE(BF28,"TF","")),"TM",""))*10/2,0))/COUNTIF('Eval-Avec impact envisagé'!$A$761:$A$780,AG21),"")</f>
        <v/>
      </c>
      <c r="AT21" s="211" t="str">
        <f>IF(COUNTIF('Eval-Avec impact envisagé'!$A$761:$A$780,AG21)&gt;0,SUM(IF('Eval-Avec impact envisagé'!$A$761=AG21,LEN(SUBSTITUTE((SUBSTITUTE(BG9,"TM","")),"TS",""))*10/2,0),IF('Eval-Avec impact envisagé'!$A$762=AG21,LEN(SUBSTITUTE((SUBSTITUTE(BG10,"TM","")),"TS",""))*10/2,0),IF('Eval-Avec impact envisagé'!$A$763=AG21,LEN(SUBSTITUTE((SUBSTITUTE(BG11,"TM","")),"TS",""))*10/2,0),IF('Eval-Avec impact envisagé'!$A$764=AG21,LEN(SUBSTITUTE((SUBSTITUTE(BG12,"TM","")),"TS",""))*10/2,0),IF('Eval-Avec impact envisagé'!$A$765=AG21,LEN(SUBSTITUTE((SUBSTITUTE(BG13,"TM","")),"TS",""))*10/2,0),IF('Eval-Avec impact envisagé'!$A$766=AG21,LEN(SUBSTITUTE((SUBSTITUTE(BG14,"TM","")),"TS",""))*10/2,0),IF('Eval-Avec impact envisagé'!$A$767=AG21,LEN(SUBSTITUTE((SUBSTITUTE(BG15,"TM","")),"TS",""))*10/2,0),IF('Eval-Avec impact envisagé'!$A$768=AG21,LEN(SUBSTITUTE((SUBSTITUTE(BG16,"TM","")),"TS",""))*10/2,0),IF('Eval-Avec impact envisagé'!$A$769=AG21,LEN(SUBSTITUTE((SUBSTITUTE(BG17,"TM","")),"TS",""))*10/2,0),IF('Eval-Avec impact envisagé'!$A$770=AG21,LEN(SUBSTITUTE((SUBSTITUTE(BG18,"TM","")),"TS",""))*10/2,0),IF('Eval-Avec impact envisagé'!$A$771=AG21,LEN(SUBSTITUTE((SUBSTITUTE(BG19,"TM","")),"TS",""))*10/2,0),IF('Eval-Avec impact envisagé'!$A$772=AG21,LEN(SUBSTITUTE((SUBSTITUTE(BG20,"TM","")),"TS",""))*10/2,0),IF('Eval-Avec impact envisagé'!$A$773=AG21,LEN(SUBSTITUTE((SUBSTITUTE(BG21,"TM","")),"TS",""))*10/2,0),IF('Eval-Avec impact envisagé'!$A$774=AG21,LEN(SUBSTITUTE((SUBSTITUTE(BG22,"TM","")),"TS",""))*10/2,0),IF('Eval-Avec impact envisagé'!$A$775=AG21,LEN(SUBSTITUTE((SUBSTITUTE(BG23,"TM","")),"TS",""))*10/2,0),IF('Eval-Avec impact envisagé'!$A$776=AG21,LEN(SUBSTITUTE((SUBSTITUTE(BG24,"TM","")),"TS",""))*10/2,0),IF('Eval-Avec impact envisagé'!$A$777=AG21,LEN(SUBSTITUTE((SUBSTITUTE(BG25,"TM","")),"TS",""))*10/2,0),IF('Eval-Avec impact envisagé'!$A$778=AG21,LEN(SUBSTITUTE((SUBSTITUTE(BG26,"TM","")),"TS",""))*10/2,0),IF('Eval-Avec impact envisagé'!$A$779=AG21,LEN(SUBSTITUTE((SUBSTITUTE(BG27,"TM","")),"TS",""))*10/2,0),IF('Eval-Avec impact envisagé'!$A$780=AG21,LEN(SUBSTITUTE((SUBSTITUTE(BG28,"TM","")),"TS",""))*10/2,0))/COUNTIF('Eval-Avec impact envisagé'!$A$761:$A$780,AG21),"")</f>
        <v/>
      </c>
      <c r="AU21" s="211" t="str">
        <f>IF(COUNTIF('Eval-Avec impact envisagé'!$A$761:$A$780,AG21)&gt;0,SUM(IF('Eval-Avec impact envisagé'!$A$761=AG21,LEN(SUBSTITUTE((SUBSTITUTE(BG9,"TF","")),"TS",""))*10/2,0),IF('Eval-Avec impact envisagé'!$A$762=AG21,LEN(SUBSTITUTE((SUBSTITUTE(BG10,"TF","")),"TS",""))*10/2,0),IF('Eval-Avec impact envisagé'!$A$763=AG21,LEN(SUBSTITUTE((SUBSTITUTE(BG11,"TF","")),"TS",""))*10/2,0),IF('Eval-Avec impact envisagé'!$A$764=AG21,LEN(SUBSTITUTE((SUBSTITUTE(BG12,"TF","")),"TS",""))*10/2,0),IF('Eval-Avec impact envisagé'!$A$765=AG21,LEN(SUBSTITUTE((SUBSTITUTE(BG13,"TF","")),"TS",""))*10/2,0),IF('Eval-Avec impact envisagé'!$A$766=AG21,LEN(SUBSTITUTE((SUBSTITUTE(BG14,"TF","")),"TS",""))*10/2,0),IF('Eval-Avec impact envisagé'!$A$767=AG21,LEN(SUBSTITUTE((SUBSTITUTE(BG15,"TF","")),"TS",""))*10/2,0),IF('Eval-Avec impact envisagé'!$A$768=AG21,LEN(SUBSTITUTE((SUBSTITUTE(BG16,"TF","")),"TS",""))*10/2,0),IF('Eval-Avec impact envisagé'!$A$769=AG21,LEN(SUBSTITUTE((SUBSTITUTE(BG17,"TF","")),"TS",""))*10/2,0),IF('Eval-Avec impact envisagé'!$A$770=AG21,LEN(SUBSTITUTE((SUBSTITUTE(BG18,"TF","")),"TS",""))*10/2,0),IF('Eval-Avec impact envisagé'!$A$771=AG21,LEN(SUBSTITUTE((SUBSTITUTE(BG19,"TF","")),"TS",""))*10/2,0),IF('Eval-Avec impact envisagé'!$A$772=AG21,LEN(SUBSTITUTE((SUBSTITUTE(BG20,"TF","")),"TS",""))*10/2,0),IF('Eval-Avec impact envisagé'!$A$773=AG21,LEN(SUBSTITUTE((SUBSTITUTE(BG21,"TF","")),"TS",""))*10/2,0),IF('Eval-Avec impact envisagé'!$A$774=AG21,LEN(SUBSTITUTE((SUBSTITUTE(BG22,"TF","")),"TS",""))*10/2,0),IF('Eval-Avec impact envisagé'!$A$775=AG21,LEN(SUBSTITUTE((SUBSTITUTE(BG23,"TF","")),"TS",""))*10/2,0),IF('Eval-Avec impact envisagé'!$A$776=AG21,LEN(SUBSTITUTE((SUBSTITUTE(BG24,"TF","")),"TS",""))*10/2,0),IF('Eval-Avec impact envisagé'!$A$777=AG21,LEN(SUBSTITUTE((SUBSTITUTE(BG25,"TF","")),"TS",""))*10/2,0),IF('Eval-Avec impact envisagé'!$A$778=AG21,LEN(SUBSTITUTE((SUBSTITUTE(BG26,"TF","")),"TS",""))*10/2,0),IF('Eval-Avec impact envisagé'!$A$779=AG21,LEN(SUBSTITUTE((SUBSTITUTE(BG27,"TF","")),"TS",""))*10/2,0),IF('Eval-Avec impact envisagé'!$A$780=AG21,LEN(SUBSTITUTE((SUBSTITUTE(BG28,"TF","")),"TS",""))*10/2,0))/COUNTIF('Eval-Avec impact envisagé'!$A$761:$A$780,AG21),"")</f>
        <v/>
      </c>
      <c r="AV21" s="211" t="str">
        <f>IF(COUNTIF('Eval-Avec impact envisagé'!$A$761:$A$780,AG21)&gt;0,SUM(IF('Eval-Avec impact envisagé'!$A$761=AG21,LEN(SUBSTITUTE((SUBSTITUTE(BG9,"TF","")),"TM",""))*10/2,0),IF('Eval-Avec impact envisagé'!$A$762=AG21,LEN(SUBSTITUTE((SUBSTITUTE(BG10,"TF","")),"TM",""))*10/2,0),IF('Eval-Avec impact envisagé'!$A$763=AG21,LEN(SUBSTITUTE((SUBSTITUTE(BG11,"TF","")),"TM",""))*10/2,0),IF('Eval-Avec impact envisagé'!$A$764=AG21,LEN(SUBSTITUTE((SUBSTITUTE(BG12,"TF","")),"TM",""))*10/2,0),IF('Eval-Avec impact envisagé'!$A$765=AG21,LEN(SUBSTITUTE((SUBSTITUTE(BG13,"TF","")),"TM",""))*10/2,0),IF('Eval-Avec impact envisagé'!$A$766=AG21,LEN(SUBSTITUTE((SUBSTITUTE(BG14,"TF","")),"TM",""))*10/2,0),IF('Eval-Avec impact envisagé'!$A$767=AG21,LEN(SUBSTITUTE((SUBSTITUTE(BG15,"TF","")),"TM",""))*10/2,0),IF('Eval-Avec impact envisagé'!$A$768=AG21,LEN(SUBSTITUTE((SUBSTITUTE(BG16,"TF","")),"TM",""))*10/2,0),IF('Eval-Avec impact envisagé'!$A$769=AG21,LEN(SUBSTITUTE((SUBSTITUTE(BG17,"TF","")),"TM",""))*10/2,0),IF('Eval-Avec impact envisagé'!$A$770=AG21,LEN(SUBSTITUTE((SUBSTITUTE(BG18,"TF","")),"TM",""))*10/2,0),IF('Eval-Avec impact envisagé'!$A$771=AG21,LEN(SUBSTITUTE((SUBSTITUTE(BG19,"TF","")),"TM",""))*10/2,0),IF('Eval-Avec impact envisagé'!$A$772=AG21,LEN(SUBSTITUTE((SUBSTITUTE(BG20,"TF","")),"TM",""))*10/2,0),IF('Eval-Avec impact envisagé'!$A$773=AG21,LEN(SUBSTITUTE((SUBSTITUTE(BG21,"TF","")),"TM",""))*10/2,0),IF('Eval-Avec impact envisagé'!$A$774=AG21,LEN(SUBSTITUTE((SUBSTITUTE(BG22,"TF","")),"TM",""))*10/2,0),IF('Eval-Avec impact envisagé'!$A$775=AG21,LEN(SUBSTITUTE((SUBSTITUTE(BG23,"TF","")),"TM",""))*10/2,0),IF('Eval-Avec impact envisagé'!$A$776=AG21,LEN(SUBSTITUTE((SUBSTITUTE(BG24,"TF","")),"TM",""))*10/2,0),IF('Eval-Avec impact envisagé'!$A$777=AG21,LEN(SUBSTITUTE((SUBSTITUTE(BG25,"TF","")),"TM",""))*10/2,0),IF('Eval-Avec impact envisagé'!$A$778=AG21,LEN(SUBSTITUTE((SUBSTITUTE(BG26,"TF","")),"TM",""))*10/2,0),IF('Eval-Avec impact envisagé'!$A$779=AG21,LEN(SUBSTITUTE((SUBSTITUTE(BG27,"TF","")),"TM",""))*10/2,0),IF('Eval-Avec impact envisagé'!$A$780=AG21,LEN(SUBSTITUTE((SUBSTITUTE(BG28,"TF","")),"TM",""))*10/2,0))/COUNTIF('Eval-Avec impact envisagé'!$A$761:$A$780,AG21),"")</f>
        <v/>
      </c>
      <c r="AW21" s="211" t="str">
        <f>IF(COUNTIF('Eval-Avec impact envisagé'!$A$761:$A$780,AG21)&gt;0,IF(OR(AND('Eval-Avec impact envisagé'!$A$761=AG21,BD9&lt;30),AND('Eval-Avec impact envisagé'!$A$762=AG21,BD10&lt;30),AND('Eval-Avec impact envisagé'!$A$763=AG21,BD11&lt;30),AND('Eval-Avec impact envisagé'!$A$764=AG21,BD12&lt;30),AND('Eval-Avec impact envisagé'!$A$765=AG21,BD13&lt;30),AND('Eval-Avec impact envisagé'!$A$766=AG21,BD14&lt;30),AND('Eval-Avec impact envisagé'!$A$767=AG21,BD15&lt;30),AND('Eval-Avec impact envisagé'!$A$768=AG21,BD16&lt;30),AND('Eval-Avec impact envisagé'!$A$769=AG21,BD17&lt;30),AND('Eval-Avec impact envisagé'!$A$770=AG21,BD18&lt;30),AND('Eval-Avec impact envisagé'!$A$771=AG21,BD19&lt;30),AND('Eval-Avec impact envisagé'!$A$772=AG21,BD20&lt;30),AND('Eval-Avec impact envisagé'!$A$773=AG21,BD21&lt;30),AND('Eval-Avec impact envisagé'!$A$774=AG21,BD22&lt;30),AND('Eval-Avec impact envisagé'!$A$775=AG21,BD23&lt;30),AND('Eval-Avec impact envisagé'!$A$776=AG21,BD24&lt;30),AND('Eval-Avec impact envisagé'!$A$777=AG21,BD25&lt;30),AND('Eval-Avec impact envisagé'!$A$778=AG21,BD26&lt;30),AND('Eval-Avec impact envisagé'!$A$779=AG21,BD27&lt;30),AND('Eval-Avec impact envisagé'!$A$780=AG21,BD28&lt;30)),"",SUM(0.1*(SUMPRODUCT(('Eval-Avec impact envisagé'!$A$761:$A$780=AG21)*('Eval-Avec impact envisagé'!$N$761:$P$780="A"))+ SUMPRODUCT(('Eval-Avec impact envisagé'!$A$761:$A$780=AG21)*('Eval-Avec impact envisagé'!$N$761:$P$780="AL"))),0.7*(SUMPRODUCT(('Eval-Avec impact envisagé'!$A$761:$A$780=AG21)*('Eval-Avec impact envisagé'!$N$761:$P$780="TF"))+SUMPRODUCT(('Eval-Avec impact envisagé'!$A$761:$A$780=AG21)*('Eval-Avec impact envisagé'!$N$761:$P$780="TM"))+SUMPRODUCT(('Eval-Avec impact envisagé'!$A$761:$A$780=AG21)*('Eval-Avec impact envisagé'!$N$761:$P$780="TS"))),0.4*(SUMPRODUCT(('Eval-Avec impact envisagé'!$A$761:$A$780=AG21)*('Eval-Avec impact envisagé'!$N$761:$P$780="LA"))+SUMPRODUCT(('Eval-Avec impact envisagé'!$A$761:$A$780=AG21)*('Eval-Avec impact envisagé'!$N$761:$P$780="L"))+SUMPRODUCT(('Eval-Avec impact envisagé'!$A$761:$A$780=AG21)*('Eval-Avec impact envisagé'!$N$761:$P$780="LS"))),1*(SUMPRODUCT(('Eval-Avec impact envisagé'!$A$761:$A$780=AG21)*('Eval-Avec impact envisagé'!$N$761:$P$780="SL"))+ SUMPRODUCT(('Eval-Avec impact envisagé'!$A$761:$A$780=AG21)*('Eval-Avec impact envisagé'!$N$761:$P$780="S"))))/(3*COUNTIF('Eval-Avec impact envisagé'!$A$761:$A$780,AG21))),"")</f>
        <v/>
      </c>
      <c r="AX21" s="211" t="str">
        <f>IF(COUNTIF('Eval-Avec impact envisagé'!$A$761:$A$780,AG21)&gt;0,IF(OR(AND('Eval-Avec impact envisagé'!$A$761=AG21,BD9&lt;120),AND('Eval-Avec impact envisagé'!$A$762=AG21,BD10&lt;120),AND('Eval-Avec impact envisagé'!$A$763=AG21,BD11&lt;120),AND('Eval-Avec impact envisagé'!$A$764=AG21,BD12&lt;120),AND('Eval-Avec impact envisagé'!$A$765=AG21,BD13&lt;120),AND('Eval-Avec impact envisagé'!$A$766=AG21,BD14&lt;120),AND('Eval-Avec impact envisagé'!$A$767=AG21,BD15&lt;120),AND('Eval-Avec impact envisagé'!$A$768=AG21,BD16&lt;120),AND('Eval-Avec impact envisagé'!$A$769=AG21,BD17&lt;120),AND('Eval-Avec impact envisagé'!$A$770=AG21,BD18&lt;120),AND('Eval-Avec impact envisagé'!$A$771=AG21,BD19&lt;120),AND('Eval-Avec impact envisagé'!$A$772=AG21,BD20&lt;120),AND('Eval-Avec impact envisagé'!$A$773=AG21,BD21&lt;120),AND('Eval-Avec impact envisagé'!$A$774=AG21,BD22&lt;120),AND('Eval-Avec impact envisagé'!$A$775=AG21,BD23&lt;120),AND('Eval-Avec impact envisagé'!$A$776=AG21,BD24&lt;120),AND('Eval-Avec impact envisagé'!$A$777=AG21,BD25&lt;120),AND('Eval-Avec impact envisagé'!$A$778=AG21,BD26&lt;120),AND('Eval-Avec impact envisagé'!$A$779=AG21,BD27&lt;120),AND('Eval-Avec impact envisagé'!$A$780=AG21,BD28&lt;120)),"",SUM(0.1*(SUMPRODUCT(('Eval-Avec impact envisagé'!$A$761:$A$780=AG21)*('Eval-Avec impact envisagé'!$Q$761:$Y$780="A"))+ SUMPRODUCT(('Eval-Avec impact envisagé'!$A$761:$A$780=AG21)*('Eval-Avec impact envisagé'!$Q$761:$Y$780="AL"))),0.7*(SUMPRODUCT(('Eval-Avec impact envisagé'!$A$761:$A$780=AG21)*('Eval-Avec impact envisagé'!$Q$761:$Y$780="TF"))+SUMPRODUCT(('Eval-Avec impact envisagé'!$A$761:$A$780=AG21)*('Eval-Avec impact envisagé'!$Q$761:$Y$780="TM"))+SUMPRODUCT(('Eval-Avec impact envisagé'!$A$761:$A$780=AG21)*('Eval-Avec impact envisagé'!$Q$761:$Y$780="TS"))),0.4*(SUMPRODUCT(('Eval-Avec impact envisagé'!$A$761:$A$780=AG21)*('Eval-Avec impact envisagé'!$Q$761:$Y$780="LA"))+SUMPRODUCT(('Eval-Avec impact envisagé'!$A$761:$A$780=AG21)*('Eval-Avec impact envisagé'!$Q$761:$Y$780="L"))+SUMPRODUCT(('Eval-Avec impact envisagé'!$A$761:$A$780=AG21)*('Eval-Avec impact envisagé'!$Q$761:$Y$780="LS"))),1*(SUMPRODUCT(('Eval-Avec impact envisagé'!$A$761:$A$780=AG21)*('Eval-Avec impact envisagé'!$Q$761:$Y$780="SL"))+ SUMPRODUCT(('Eval-Avec impact envisagé'!$A$761:$A$780=AG21)*('Eval-Avec impact envisagé'!$Q$761:$Y$780="S"))))/(9*COUNTIF('Eval-Avec impact envisagé'!$A$761:$A$780,AG21))),"")</f>
        <v/>
      </c>
      <c r="AY21" s="211" t="str">
        <f>IF(COUNTIF('Eval-Avec impact envisagé'!$A$761:$A$780,AG21)&gt;0,IF(OR(AND('Eval-Avec impact envisagé'!$A$761=AG21,OR(COUNTIF('Eval-Avec impact envisagé'!$N$761:$P$761,"*T*")&gt;0,BD9&lt;30)),AND('Eval-Avec impact envisagé'!$A$762=AG21,OR(COUNTIF('Eval-Avec impact envisagé'!$N$762:$P$762,"*T*")&gt;0,BD10&lt;30)),AND('Eval-Avec impact envisagé'!$A$763=AG21,OR(COUNTIF('Eval-Avec impact envisagé'!$N$763:$P$763,"*T*")&gt;0,BD11&lt;30)),AND('Eval-Avec impact envisagé'!$A$764=AG21,OR(COUNTIF('Eval-Avec impact envisagé'!$N$764:$P$764,"*T*")&gt;0,BD12&lt;30)),AND('Eval-Avec impact envisagé'!$A$765=AG21,OR(COUNTIF('Eval-Avec impact envisagé'!$N$765:$P$765,"*T*")&gt;0,BD13&lt;30)),AND('Eval-Avec impact envisagé'!$A$766=AG21,OR(COUNTIF('Eval-Avec impact envisagé'!$N$766:$P$766,"*T*")&gt;0,BD14&lt;30)),AND('Eval-Avec impact envisagé'!$A$767=AG21,OR(COUNTIF('Eval-Avec impact envisagé'!$N$767:$P$767,"*T*")&gt;0,BD15&lt;30)),AND('Eval-Avec impact envisagé'!$A$768=AG21,OR(COUNTIF('Eval-Avec impact envisagé'!$N$768:$P$768,"*T*")&gt;0,BD16&lt;30)),AND('Eval-Avec impact envisagé'!$A$769=AG21,OR(COUNTIF('Eval-Avec impact envisagé'!$N$769:$P$769,"*T*")&gt;0,BD17&lt;30)),AND('Eval-Avec impact envisagé'!$A$770=AG21,OR(COUNTIF('Eval-Avec impact envisagé'!$N$770:$P$770,"*T*")&gt;0,BD18&lt;30)),AND('Eval-Avec impact envisagé'!$A$771=AG21,OR(COUNTIF('Eval-Avec impact envisagé'!$N$771:$P$771,"*T*")&gt;0,BD19&lt;30)),AND('Eval-Avec impact envisagé'!$A$772=AG21,OR(COUNTIF('Eval-Avec impact envisagé'!$N$772:$P$772,"*T*")&gt;0,BD20&lt;30)),AND('Eval-Avec impact envisagé'!$A$773=AG21,OR(COUNTIF('Eval-Avec impact envisagé'!$N$773:$P$773,"*T*")&gt;0,BD21&lt;30)),AND('Eval-Avec impact envisagé'!$A$774=AG21,OR(COUNTIF('Eval-Avec impact envisagé'!$N$774:$P$774,"*T*")&gt;0,BD22&lt;30)),AND('Eval-Avec impact envisagé'!$A$775=AG21,OR(COUNTIF('Eval-Avec impact envisagé'!$N$775:$P$775,"*T*")&gt;0,BD23&lt;30)),AND('Eval-Avec impact envisagé'!$A$776=AG21,OR(COUNTIF('Eval-Avec impact envisagé'!$N$776:$P$776,"*T*")&gt;0,BD24&lt;30)),AND('Eval-Avec impact envisagé'!$A$777=AG21,OR(COUNTIF('Eval-Avec impact envisagé'!$N$777:$P$777,"*T*")&gt;0,BD25&lt;30)),AND('Eval-Avec impact envisagé'!$A$778=AG21,OR(COUNTIF('Eval-Avec impact envisagé'!$N$778:$P$778,"*T*")&gt;0,BD26&lt;30)),AND('Eval-Avec impact envisagé'!$A$779=AG21,OR(COUNTIF('Eval-Avec impact envisagé'!$N$779:$P$779,"*T*")&gt;0,BD27&lt;30)),AND('Eval-Avec impact envisagé'!$A$780=AG21,OR(COUNTIF('Eval-Avec impact envisagé'!$N$780:$P$780,"*T*")&gt;0,BD28&lt;30))),"",SUM(0.1*(SUMPRODUCT(('Eval-Avec impact envisagé'!$A$761:$A$780=AG21)*('Eval-Avec impact envisagé'!$N$761:$P$780="L"))),0.4*(SUMPRODUCT(('Eval-Avec impact envisagé'!$A$761:$A$780=AG21)*('Eval-Avec impact envisagé'!$N$761:$P$780="LA"))+SUMPRODUCT(('Eval-Avec impact envisagé'!$A$761:$A$780=AG21)*('Eval-Avec impact envisagé'!$N$761:$P$780="LS"))),0.7*(SUMPRODUCT(('Eval-Avec impact envisagé'!$A$761:$A$780=AG21)*('Eval-Avec impact envisagé'!$N$761:$P$780="AL"))+SUMPRODUCT(('Eval-Avec impact envisagé'!$A$761:$A$780=AG21)*('Eval-Avec impact envisagé'!$N$761:$P$780="SL"))),1*(SUMPRODUCT(('Eval-Avec impact envisagé'!$A$761:$A$780=AG21)*('Eval-Avec impact envisagé'!$N$761:$P$780="S"))+ SUMPRODUCT(('Eval-Avec impact envisagé'!$A$761:$A$780=AG21)*('Eval-Avec impact envisagé'!$N$761:$P$780="A"))))/(3*COUNTIF('Eval-Avec impact envisagé'!$A$761:$A$780,AG21))),"")</f>
        <v/>
      </c>
      <c r="AZ21" s="211" t="str">
        <f>IF(COUNTIF('Eval-Avec impact envisagé'!$A$761:$A$780,AG21)&gt;0,IF(OR(AND('Eval-Avec impact envisagé'!$A$761=AG21,OR(COUNTIF('Eval-Avec impact envisagé'!$N$761:$P$761,"*T*")&gt;0,BD9&lt;30)),AND('Eval-Avec impact envisagé'!$A$762=AG21,OR(COUNTIF('Eval-Avec impact envisagé'!$N$762:$P$762,"*T*")&gt;0,BD10&lt;30)),AND('Eval-Avec impact envisagé'!$A$763=AG21,OR(COUNTIF('Eval-Avec impact envisagé'!$N$763:$P$763,"*T*")&gt;0,BD11&lt;30)),AND('Eval-Avec impact envisagé'!$A$764=AG21,OR(COUNTIF('Eval-Avec impact envisagé'!$N$764:$P$764,"*T*")&gt;0,BD12&lt;30)),AND('Eval-Avec impact envisagé'!$A$765=AG21,OR(COUNTIF('Eval-Avec impact envisagé'!$N$765:$P$765,"*T*")&gt;0,BD13&lt;30)),AND('Eval-Avec impact envisagé'!$A$766=AG21,OR(COUNTIF('Eval-Avec impact envisagé'!$N$766:$P$766,"*T*")&gt;0,BD14&lt;30)),AND('Eval-Avec impact envisagé'!$A$767=AG21,OR(COUNTIF('Eval-Avec impact envisagé'!$N$767:$P$767,"*T*")&gt;0,BD15&lt;30)),AND('Eval-Avec impact envisagé'!$A$768=AG21,OR(COUNTIF('Eval-Avec impact envisagé'!$N$768:$P$768,"*T*")&gt;0,BD16&lt;30)),AND('Eval-Avec impact envisagé'!$A$769=AG21,OR(COUNTIF('Eval-Avec impact envisagé'!$N$769:$P$769,"*T*")&gt;0,BD17&lt;30)),AND('Eval-Avec impact envisagé'!$A$770=AG21,OR(COUNTIF('Eval-Avec impact envisagé'!$N$770:$P$770,"*T*")&gt;0,BD18&lt;30)),AND('Eval-Avec impact envisagé'!$A$771=AG21,OR(COUNTIF('Eval-Avec impact envisagé'!$N$771:$P$771,"*T*")&gt;0,BD19&lt;30)),AND('Eval-Avec impact envisagé'!$A$772=AG21,OR(COUNTIF('Eval-Avec impact envisagé'!$N$772:$P$772,"*T*")&gt;0,BD20&lt;30)),AND('Eval-Avec impact envisagé'!$A$773=AG21,OR(COUNTIF('Eval-Avec impact envisagé'!$N$773:$P$773,"*T*")&gt;0,BD21&lt;30)),AND('Eval-Avec impact envisagé'!$A$774=AG21,OR(COUNTIF('Eval-Avec impact envisagé'!$N$774:$P$774,"*T*")&gt;0,BD22&lt;30)),AND('Eval-Avec impact envisagé'!$A$775=AG21,OR(COUNTIF('Eval-Avec impact envisagé'!$N$775:$P$775,"*T*")&gt;0,BD23&lt;30)),AND('Eval-Avec impact envisagé'!$A$776=AG21,OR(COUNTIF('Eval-Avec impact envisagé'!$N$776:$P$776,"*T*")&gt;0,BD24&lt;30)),AND('Eval-Avec impact envisagé'!$A$777=AG21,OR(COUNTIF('Eval-Avec impact envisagé'!$N$777:$P$777,"*T*")&gt;0,BD25&lt;30)),AND('Eval-Avec impact envisagé'!$A$778=AG21,OR(COUNTIF('Eval-Avec impact envisagé'!$N$778:$P$778,"*T*")&gt;0,BD26&lt;30)),AND('Eval-Avec impact envisagé'!$A$779=AG21,OR(COUNTIF('Eval-Avec impact envisagé'!$N$779:$P$779,"*T*")&gt;0,BD27&lt;30)),AND('Eval-Avec impact envisagé'!$A$780=AG21,OR(COUNTIF('Eval-Avec impact envisagé'!$N$780:$P$780,"*T*")&gt;0,BD28&lt;30))),"",SUM(1*(SUMPRODUCT(('Eval-Avec impact envisagé'!$A$761:$A$780=AG21)*('Eval-Avec impact envisagé'!$N$761:$P$780="A"))),0.85*(SUMPRODUCT(('Eval-Avec impact envisagé'!$A$761:$A$780=AG21)*('Eval-Avec impact envisagé'!$N$761:$P$780="AL"))),0.7*(SUMPRODUCT(('Eval-Avec impact envisagé'!$A$761:$A$780=AG21)*('Eval-Avec impact envisagé'!$N$761:$P$780="LA"))),0.55*(SUMPRODUCT(('Eval-Avec impact envisagé'!$A$761:$A$780=AG21)*('Eval-Avec impact envisagé'!$N$761:$P$780="L"))),0.4*(SUMPRODUCT(('Eval-Avec impact envisagé'!$A$761:$A$780=AG21)*('Eval-Avec impact envisagé'!$N$761:$P$780="LS"))),0.25*(SUMPRODUCT(('Eval-Avec impact envisagé'!$A$761:$A$780=AG21)*('Eval-Avec impact envisagé'!$N$761:$P$780="SL"))),0.1*(SUMPRODUCT(('Eval-Avec impact envisagé'!$A$761:$A$780=AG21)*('Eval-Avec impact envisagé'!$N$761:$P$780="S"))))/(3*COUNTIF('Eval-Avec impact envisagé'!$A$761:$A$780,AG21))),"")</f>
        <v/>
      </c>
      <c r="BA21" s="214" t="str">
        <f>IF(COUNTIF('Eval-Avec impact envisagé'!$A$761:$A$780,AG21)&gt;0,IF(OR(AND('Eval-Avec impact envisagé'!$A$761=AG21,OR(COUNTIF('Eval-Avec impact envisagé'!$Q$761:$Y$761,"*T*")&gt;0,BD9&lt;120)),AND('Eval-Avec impact envisagé'!$A$762=AG21,OR(COUNTIF('Eval-Avec impact envisagé'!$Q$762:$Y$762,"*T*")&gt;0,BD10&lt;120)),AND('Eval-Avec impact envisagé'!$A$763=AG21,OR(COUNTIF('Eval-Avec impact envisagé'!$Q$763:$Y$763,"*T*")&gt;0,BD11&lt;120)),AND('Eval-Avec impact envisagé'!$A$764=AG21,OR(COUNTIF('Eval-Avec impact envisagé'!$Q$764:$Y$764,"*T*")&gt;0,BD12&lt;120)),AND('Eval-Avec impact envisagé'!$A$765=AG21,OR(COUNTIF('Eval-Avec impact envisagé'!$Q$765:$Y$765,"*T*")&gt;0,BD13&lt;120)),AND('Eval-Avec impact envisagé'!$A$766=AG21,OR(COUNTIF('Eval-Avec impact envisagé'!$Q$766:$Y$766,"*T*")&gt;0,BD14&lt;120)),AND('Eval-Avec impact envisagé'!$A$767=AG21,OR(COUNTIF('Eval-Avec impact envisagé'!$Q$767:$Y$767,"*T*")&gt;0,BD15&lt;120)),AND('Eval-Avec impact envisagé'!$A$768=AG21,OR(COUNTIF('Eval-Avec impact envisagé'!$Q$768:$Y$768,"*T*")&gt;0,BD16&lt;120)),AND('Eval-Avec impact envisagé'!$A$769=AG21,OR(COUNTIF('Eval-Avec impact envisagé'!$Q$769:$Y$769,"*T*")&gt;0,BD17&lt;120)),AND('Eval-Avec impact envisagé'!$A$770=AG21,OR(COUNTIF('Eval-Avec impact envisagé'!$Q$770:$Y$770,"*T*")&gt;0,BD18&lt;120)),AND('Eval-Avec impact envisagé'!$A$771=AG21,OR(COUNTIF('Eval-Avec impact envisagé'!$Q$771:$Y$771,"*T*")&gt;0,BD19&lt;120)),AND('Eval-Avec impact envisagé'!$A$772=AG21,OR(COUNTIF('Eval-Avec impact envisagé'!$Q$772:$Y$772,"*T*")&gt;0,BD20&lt;120)),AND('Eval-Avec impact envisagé'!$A$773=AG21,OR(COUNTIF('Eval-Avec impact envisagé'!$Q$773:$Y$773,"*T*")&gt;0,BD21&lt;120)),AND('Eval-Avec impact envisagé'!$A$774=AG21,OR(COUNTIF('Eval-Avec impact envisagé'!$Q$774:$Y$774,"*T*")&gt;0,BD22&lt;120)),AND('Eval-Avec impact envisagé'!$A$775=AG21,OR(COUNTIF('Eval-Avec impact envisagé'!$Q$775:$Y$775,"*T*")&gt;0,BD23&lt;120)),AND('Eval-Avec impact envisagé'!$A$776=AG21,OR(COUNTIF('Eval-Avec impact envisagé'!$Q$776:$Y$776,"*T*")&gt;0,BD24&lt;120)),AND('Eval-Avec impact envisagé'!$A$777=AG21,OR(COUNTIF('Eval-Avec impact envisagé'!$Q$777:$Y$777,"*T*")&gt;0,BD25&lt;120)),AND('Eval-Avec impact envisagé'!$A$778=AG21,OR(COUNTIF('Eval-Avec impact envisagé'!$Q$778:$Y$778,"*T*")&gt;0,BD26&lt;120)),AND('Eval-Avec impact envisagé'!$A$779=AG21,OR(COUNTIF('Eval-Avec impact envisagé'!$Q$779:$Y$779,"*T*")&gt;0,BD27&lt;120)),AND('Eval-Avec impact envisagé'!$A$780=AG21,OR(COUNTIF('Eval-Avec impact envisagé'!$Q$780:$Y$780,"*T*")&gt;0,BD28&lt;120))),"",SUM(1*(SUMPRODUCT(('Eval-Avec impact envisagé'!$A$761:$A$780=AG21)*('Eval-Avec impact envisagé'!$Q$761:$Y$780="A"))),0.85*(SUMPRODUCT(('Eval-Avec impact envisagé'!$A$761:$A$780=AG21)*('Eval-Avec impact envisagé'!$Q$761:$Y$780="AL"))),0.7*(SUMPRODUCT(('Eval-Avec impact envisagé'!$A$761:$A$780=AG21)*('Eval-Avec impact envisagé'!$Q$761:$Y$780="LA"))),0.55*(SUMPRODUCT(('Eval-Avec impact envisagé'!$A$761:$A$780=AG21)*('Eval-Avec impact envisagé'!$Q$761:$Y$780="L"))),0.4*(SUMPRODUCT(('Eval-Avec impact envisagé'!$A$761:$A$780=AG21)*('Eval-Avec impact envisagé'!$Q$761:$Y$780="LS"))),0.25*(SUMPRODUCT(('Eval-Avec impact envisagé'!$A$761:$A$780=AG21)*('Eval-Avec impact envisagé'!$Q$761:$Y$780="SL"))),0.1*(SUMPRODUCT(('Eval-Avec impact envisagé'!$A$761:$A$780=AG21)*('Eval-Avec impact envisagé'!$Q$761:$Y$780="S"))))/(9*COUNTIF('Eval-Avec impact envisagé'!$A$761:$A$780,AG21))),"")</f>
        <v/>
      </c>
      <c r="BB21" s="215"/>
      <c r="BC21" s="216">
        <f>'Eval-Avec impact envisagé'!$D$773</f>
        <v>13</v>
      </c>
      <c r="BD21" s="217" t="str">
        <f>IF(BE21="C",0,IF(IF(COUNTIF('Eval-Avec impact envisagé'!$N$773:$Y$773,"=C")&gt;0,(COUNTA('Eval-Avec impact envisagé'!$N$773:$Y$773)-1)*10,COUNTA('Eval-Avec impact envisagé'!$N$773:$Y$773)*10)=0,"",IF(COUNTIF('Eval-Avec impact envisagé'!$N$773:$Y$773,"=C")&gt;0,(COUNTA('Eval-Avec impact envisagé'!$N$773:$Y$773)-1)*10,COUNTA('Eval-Avec impact envisagé'!$N$773:$Y$773)*10)))</f>
        <v/>
      </c>
      <c r="BE21" s="217" t="str">
        <f>CONCATENATE('Eval-Avec impact envisagé'!$N$773,'Eval-Avec impact envisagé'!$O$773,'Eval-Avec impact envisagé'!$P$773,'Eval-Avec impact envisagé'!$Q$773,'Eval-Avec impact envisagé'!$R$773,'Eval-Avec impact envisagé'!$S$773,'Eval-Avec impact envisagé'!$T$773,'Eval-Avec impact envisagé'!$U$773,'Eval-Avec impact envisagé'!$V$773,'Eval-Avec impact envisagé'!$W$773,'Eval-Avec impact envisagé'!$X$773,'Eval-Avec impact envisagé'!$Y$773)</f>
        <v/>
      </c>
      <c r="BF21" s="217" t="str">
        <f t="shared" si="4"/>
        <v/>
      </c>
      <c r="BG21" s="217" t="str">
        <f t="shared" si="5"/>
        <v/>
      </c>
      <c r="BH21" s="217" t="str">
        <f>IF(COUNTIF('Eval-Avec impact envisagé'!$N$773:$Y$773,"=C")&gt;0,"X","")</f>
        <v/>
      </c>
      <c r="BI21" s="217" t="str">
        <f t="shared" si="6"/>
        <v/>
      </c>
      <c r="BJ21" s="218" t="str">
        <f t="shared" si="7"/>
        <v/>
      </c>
      <c r="BK21" s="197"/>
      <c r="BM21" s="210">
        <v>13</v>
      </c>
      <c r="BN21" s="211" t="str">
        <f>IF(COUNTIF('Eval-Après impact'!$A$761:$A$780,BM21)&gt;0,SUM(IF('Eval-Après impact'!$A$761=BM21,'Eval-Après impact'!$B$761,0),IF('Eval-Après impact'!$A$762=BM21, 'Eval-Après impact'!$B$762,0),IF('Eval-Après impact'!$A$763=BM21, 'Eval-Après impact'!$B$763,0),IF('Eval-Après impact'!$A$764=BM21, 'Eval-Après impact'!$B$764,0),IF('Eval-Après impact'!$A$765=BM21, 'Eval-Après impact'!$B$765,0),IF('Eval-Après impact'!$A$766=BM21, 'Eval-Après impact'!$B$766,0),IF('Eval-Après impact'!$A$767=BM21, 'Eval-Après impact'!$B$767,0),IF('Eval-Après impact'!$A$768=BM21, 'Eval-Après impact'!$B$768,0),IF('Eval-Après impact'!$A$769=BM21, 'Eval-Après impact'!$B$769,0),IF('Eval-Après impact'!$A$770=BM21, 'Eval-Après impact'!$B$770,0),IF('Eval-Après impact'!$A$771=BM21, 'Eval-Après impact'!$B$771,0),IF('Eval-Après impact'!$A$772=BM21, 'Eval-Après impact'!$B$772,0),IF('Eval-Après impact'!$A$773=BM21, 'Eval-Après impact'!$B$773,0),IF('Eval-Après impact'!$A$774=BM21, 'Eval-Après impact'!$B$774,0),IF('Eval-Après impact'!$A$775=BM21, 'Eval-Après impact'!$B$775,0),IF('Eval-Après impact'!$A$776=BM21, 'Eval-Après impact'!$B$776,0),IF('Eval-Après impact'!$A$777=BM21, 'Eval-Après impact'!$B$777,0),IF('Eval-Après impact'!$A$778=BM21, 'Eval-Après impact'!$B$778,0),IF('Eval-Après impact'!$A$779=BM21, 'Eval-Après impact'!$B$779,0),IF('Eval-Après impact'!$A$780=BM21, 'Eval-Après impact'!$B$780,0))/COUNTIF('Eval-Après impact'!$A$761:$A$780,BM21),"")</f>
        <v/>
      </c>
      <c r="BO21" s="212" t="str">
        <f>IF(COUNTIF('Eval-Après impact'!$A$761:$A$780,BM21)&gt;0,COUNTIF('Eval-Après impact'!$A$761:$A$780,BM21),"")</f>
        <v/>
      </c>
      <c r="BP21" s="211" t="str">
        <f>IF(COUNTIF('Eval-Après impact'!$A$761:$A$780,BM21)&gt;0,IF(OR(AND('Eval-Après impact'!$A$761=BM21, 'Eval-Après impact'!$G$761=""),AND('Eval-Après impact'!$A$762=BM21, 'Eval-Après impact'!$G$762=""),AND('Eval-Après impact'!$A$763=BM21, 'Eval-Après impact'!$G$763=""),AND('Eval-Après impact'!$A$764=BM21, 'Eval-Après impact'!$G$764=""),AND('Eval-Après impact'!$A$765=BM21, 'Eval-Après impact'!$G$765=""),AND('Eval-Après impact'!$A$766=BM21, 'Eval-Après impact'!$G$766=""),AND('Eval-Après impact'!$A$767=BM21, 'Eval-Après impact'!$G$767=""),AND('Eval-Après impact'!$A$768=BM21, 'Eval-Après impact'!$G$768=""),AND('Eval-Après impact'!$A$769=BM21, 'Eval-Après impact'!$G$769=""),AND('Eval-Après impact'!$A$770=BM21, 'Eval-Après impact'!$G$770=""),AND('Eval-Après impact'!$A$771=BM21, 'Eval-Après impact'!$G$771=""),AND('Eval-Après impact'!$A$772=BM21, 'Eval-Après impact'!$G$772=""),AND('Eval-Après impact'!$A$773=BM21, 'Eval-Après impact'!$G$773=""),AND('Eval-Après impact'!$A$774=BM21, 'Eval-Après impact'!$G$774=""),AND('Eval-Après impact'!$A$775=BM21, 'Eval-Après impact'!$G$775=""),AND('Eval-Après impact'!$A$776=BM21, 'Eval-Après impact'!$G$776=""),AND('Eval-Après impact'!$A$777=BM21, 'Eval-Après impact'!$G$777=""),AND('Eval-Après impact'!$A$778=BM21, 'Eval-Après impact'!$G$778=""),AND('Eval-Après impact'!$A$779=BM21, 'Eval-Après impact'!$G$779=""),AND('Eval-Après impact'!$A$780=BM21, 'Eval-Après impact'!$G$780="")),"",SUM(IF('Eval-Après impact'!$A$761=BM21,'Eval-Après impact'!$G$761,0),IF('Eval-Après impact'!$A$762=BM21,'Eval-Après impact'!$G$762,0),IF('Eval-Après impact'!$A$763=BM21,'Eval-Après impact'!$G$763,0),IF('Eval-Après impact'!$A$764=BM21,'Eval-Après impact'!$G$764,0),IF('Eval-Après impact'!$A$765=BM21,'Eval-Après impact'!$G$765,0),IF('Eval-Après impact'!$A$766=BM21,'Eval-Après impact'!$G$766,0),IF('Eval-Après impact'!$A$767=BM21,'Eval-Après impact'!$G$767,0),IF('Eval-Après impact'!$A$768=BM21,'Eval-Après impact'!$G$768,0),IF('Eval-Après impact'!$A$769=BM21,'Eval-Après impact'!$G$769,0),IF('Eval-Après impact'!$A$770=BM21,'Eval-Après impact'!$G$770,0),IF('Eval-Après impact'!$A$771=BM21,'Eval-Après impact'!$G$771,0),IF('Eval-Après impact'!$A$772=BM21,'Eval-Après impact'!$G$772,0),IF('Eval-Après impact'!$A$773=BM21,'Eval-Après impact'!$G$773,0),IF('Eval-Après impact'!$A$774=BM21,'Eval-Après impact'!$G$774,0),IF('Eval-Après impact'!$A$775=BM21,'Eval-Après impact'!$G$775,0), IF('Eval-Après impact'!$A$776=BM21,'Eval-Après impact'!$G$776,0), IF('Eval-Après impact'!$A$777=BM21,'Eval-Après impact'!$G$777,0), IF('Eval-Après impact'!$A$778=BM21,'Eval-Après impact'!$G$778,0), IF('Eval-Après impact'!$A$779=BM21,'Eval-Après impact'!$G$779,0), IF('Eval-Après impact'!$A$780=BM21,'Eval-Après impact'!$G$780,0))/ COUNTIF('Eval-Après impact'!$A$761:$A$780,BM21)),"")</f>
        <v/>
      </c>
      <c r="BQ21" s="212" t="str">
        <f>IF(COUNTIF('Eval-Après impact'!$A$761:$A$780,BM21)&gt;0,IF(SUM(IF('Eval-Après impact'!$A$761=BM21,COUNTA('Eval-Après impact'!$H$761),0),IF('Eval-Après impact'!$A$762=BM21,COUNTA('Eval-Après impact'!$H$762),0),IF('Eval-Après impact'!$A$763=BM21,COUNTA('Eval-Après impact'!$H$763),0),IF('Eval-Après impact'!$A$764=BM21,COUNTA('Eval-Après impact'!$H$764),0),IF('Eval-Après impact'!$A$765=BM21,COUNTA('Eval-Après impact'!$H$765),0),IF('Eval-Après impact'!$A$766=BM21,COUNTA('Eval-Après impact'!$H$766),0),IF('Eval-Après impact'!$A$767=BM21,COUNTA('Eval-Après impact'!$H$767),0),IF('Eval-Après impact'!$A$768=BM21,COUNTA('Eval-Après impact'!$H$768),0),IF('Eval-Après impact'!$A$769=BM21,COUNTA('Eval-Après impact'!$H$769),0),IF('Eval-Après impact'!$A$770=BM21,COUNTA('Eval-Après impact'!$H$770),0),IF('Eval-Après impact'!$A$771=BM21,COUNTA('Eval-Après impact'!$H$771),0),IF('Eval-Après impact'!$A$772=BM21,COUNTA('Eval-Après impact'!$H$772),0),IF('Eval-Après impact'!$A$773=BM21,COUNTA('Eval-Après impact'!$H$773),0),IF('Eval-Après impact'!$A$774=BM21,COUNTA('Eval-Après impact'!$H$774),0),IF('Eval-Après impact'!$A$775=BM21,COUNTA('Eval-Après impact'!$H$775),0),IF('Eval-Après impact'!$A$776=BM21,COUNTA('Eval-Après impact'!$H$776),0),IF('Eval-Après impact'!$A$777=BM21,COUNTA('Eval-Après impact'!$H$777),0),IF('Eval-Après impact'!$A$778=BM21,COUNTA('Eval-Après impact'!$H$778),0),IF('Eval-Après impact'!$A$779=BM21,COUNTA('Eval-Après impact'!$H$779),0),IF('Eval-Après impact'!$A$780=BM21,COUNTA('Eval-Après impact'!$H$780),0))&gt;0,"X",0),"")</f>
        <v/>
      </c>
      <c r="BR21" s="213" t="str">
        <f>IF(COUNTIF('Eval-Après impact'!$A$761:$A$780,BM21)&gt;0,IF(SUM(IF('Eval-Après impact'!$A$761=BM21,COUNTA('Eval-Après impact'!$I$761),0),IF('Eval-Après impact'!$A$762=BM21,COUNTA('Eval-Après impact'!$I$762),0),IF('Eval-Après impact'!$A$763=BM21,COUNTA('Eval-Après impact'!$I$763),0),IF('Eval-Après impact'!$A$764=BM21,COUNTA('Eval-Après impact'!$I$764),0),IF('Eval-Après impact'!$A$765=BM21,COUNTA('Eval-Après impact'!$I$765),0),IF('Eval-Après impact'!$A$766=BM21,COUNTA('Eval-Après impact'!$I$766),0),IF('Eval-Après impact'!$A$767=BM21,COUNTA('Eval-Après impact'!$I$767),0),IF('Eval-Après impact'!$A$768=BM21,COUNTA('Eval-Après impact'!$I$768),0),IF('Eval-Après impact'!$A$769=BM21,COUNTA('Eval-Après impact'!$I$769),0),IF('Eval-Après impact'!$A$770=BM21,COUNTA('Eval-Après impact'!$I$770),0),IF('Eval-Après impact'!$A$771=BM21,COUNTA('Eval-Après impact'!$I$771),0),IF('Eval-Après impact'!$A$772=BM21,COUNTA('Eval-Après impact'!$I$772),0),IF('Eval-Après impact'!$A$773=BM21,COUNTA('Eval-Après impact'!$I$773),0),IF('Eval-Après impact'!$A$774=BM21,COUNTA('Eval-Après impact'!$I$774),0),IF('Eval-Après impact'!$A$775=BM21,COUNTA('Eval-Après impact'!$I$775),0),IF('Eval-Après impact'!$A$776=BM21,COUNTA('Eval-Après impact'!$I$776),0),IF('Eval-Après impact'!$A$777=BM21,COUNTA('Eval-Après impact'!$I$777),0),IF('Eval-Après impact'!$A$778=BM21,COUNTA('Eval-Après impact'!$I$778),0),IF('Eval-Après impact'!$A$779=BM21,COUNTA('Eval-Après impact'!$I$779),0),IF('Eval-Après impact'!$A$780=BM21,COUNTA('Eval-Après impact'!$I$780),0))&gt;0,"X",0),"")</f>
        <v/>
      </c>
      <c r="BS21" s="213" t="str">
        <f>IF(COUNTIF('Eval-Après impact'!$A$761:$A$780,BM21)&gt;0,IF(SUM(IF('Eval-Après impact'!$A$761=BM21,COUNTA('Eval-Après impact'!$J$761),0),IF('Eval-Après impact'!$A$762=BM21,COUNTA('Eval-Après impact'!$J$762),0),IF('Eval-Après impact'!$A$763=BM21,COUNTA('Eval-Après impact'!$J$763),0),IF('Eval-Après impact'!$A$764=BM21,COUNTA('Eval-Après impact'!$J$764),0),IF('Eval-Après impact'!$A$765=BM21,COUNTA('Eval-Après impact'!$J$765),0),IF('Eval-Après impact'!$A$766=BM21,COUNTA('Eval-Après impact'!$J$766),0),IF('Eval-Après impact'!$A$767=BM21,COUNTA('Eval-Après impact'!$J$767),0),IF('Eval-Après impact'!$A$768=BM21,COUNTA('Eval-Après impact'!$J$768),0),IF('Eval-Après impact'!$A$769=BM21,COUNTA('Eval-Après impact'!$J$769),0),IF('Eval-Après impact'!$A$770=BM21,COUNTA('Eval-Après impact'!$J$770),0),IF('Eval-Après impact'!$A$771=BM21,COUNTA('Eval-Après impact'!$J$771),0),IF('Eval-Après impact'!$A$772=BM21,COUNTA('Eval-Après impact'!$J$772),0),IF('Eval-Après impact'!$A$773=BM21,COUNTA('Eval-Après impact'!$J$773),0),IF('Eval-Après impact'!$A$774=BM21,COUNTA('Eval-Après impact'!$J$774),0),IF('Eval-Après impact'!$A$775=BM21,COUNTA('Eval-Après impact'!$J$775),0),IF('Eval-Après impact'!$A$776=BM21,COUNTA('Eval-Après impact'!$J$776),0),IF('Eval-Après impact'!$A$777=BM21,COUNTA('Eval-Après impact'!$J$777),0),IF('Eval-Après impact'!$A$778=BM21,COUNTA('Eval-Après impact'!$J$778),0),IF('Eval-Après impact'!$A$779=BM21,COUNTA('Eval-Après impact'!$J$779),0),IF('Eval-Après impact'!$A$780=BM21,COUNTA('Eval-Après impact'!$J$780),0))&gt;0,"X",0),"")</f>
        <v/>
      </c>
      <c r="BT21" s="213" t="str">
        <f>IF(COUNTIF('Eval-Après impact'!$A$761:$A$780,BM21)&gt;0,IF(SUM(IF('Eval-Après impact'!$A$761=BM21,COUNTA('Eval-Après impact'!$K$761),0),IF('Eval-Après impact'!$A$762=BM21,COUNTA('Eval-Après impact'!$K$762),0),IF('Eval-Après impact'!$A$763=BM21,COUNTA('Eval-Après impact'!$K$763),0),IF('Eval-Après impact'!$A$764=BM21,COUNTA('Eval-Après impact'!$K$764),0),IF('Eval-Après impact'!$A$765=BM21,COUNTA('Eval-Après impact'!$K$765),0),IF('Eval-Après impact'!$A$766=BM21,COUNTA('Eval-Après impact'!$K$766),0),IF('Eval-Après impact'!$A$767=BM21,COUNTA('Eval-Après impact'!$K$767),0),IF('Eval-Après impact'!$A$768=BM21,COUNTA('Eval-Après impact'!$K$768),0),IF('Eval-Après impact'!$A$769=BM21,COUNTA('Eval-Après impact'!$K$769),0),IF('Eval-Après impact'!$A$770=BM21,COUNTA('Eval-Après impact'!$K$770),0),IF('Eval-Après impact'!$A$771=BM21,COUNTA('Eval-Après impact'!$K$771),0),IF('Eval-Après impact'!$A$772=BM21,COUNTA('Eval-Après impact'!$K$772),0),IF('Eval-Après impact'!$A$773=BM21,COUNTA('Eval-Après impact'!$K$773),0),IF('Eval-Après impact'!$A$774=BM21,COUNTA('Eval-Après impact'!$K$774),0),IF('Eval-Après impact'!$A$775=BM21,COUNTA('Eval-Après impact'!$K$775),0),IF('Eval-Après impact'!$A$776=BM21,COUNTA('Eval-Après impact'!$K$776),0),IF('Eval-Après impact'!$A$777=BM21,COUNTA('Eval-Après impact'!$K$777),0),IF('Eval-Après impact'!$A$778=BM21,COUNTA('Eval-Après impact'!$K$778),0),IF('Eval-Après impact'!$A$779=BM21,COUNTA('Eval-Après impact'!$K$779),0),IF('Eval-Après impact'!$A$780=BM21,COUNTA('Eval-Après impact'!$K$780),0))&gt;0,"X",0),"")</f>
        <v/>
      </c>
      <c r="BU21" s="211" t="str">
        <f>IF(COUNTIF('Eval-Après impact'!$A$761:$A$780,BM21)&gt;0,IF(OR(AND('Eval-Après impact'!$A$761=BM21,'Eval-Après impact'!$L$761&lt;120,'Eval-Après impact'!$L$761&gt;=CJ9),AND('Eval-Après impact'!$A$762=BM21,'Eval-Après impact'!$L$762&lt;120,'Eval-Après impact'!$L$762&gt;=CJ10),AND('Eval-Après impact'!$A$763=BM21,'Eval-Après impact'!$L$763&lt;120,'Eval-Après impact'!$L$763&gt;=CJ11),AND('Eval-Après impact'!$A$764=BM21,'Eval-Après impact'!$L$764&lt;120,'Eval-Après impact'!$L$764&gt;=CJ12),AND('Eval-Après impact'!$A$765=BM21,'Eval-Après impact'!$L$765&lt;120,'Eval-Après impact'!$L$765&gt;=CJ13),AND('Eval-Après impact'!$A$766=BM21,'Eval-Après impact'!$L$766&lt;120,'Eval-Après impact'!$L$766&gt;=CJ14),AND('Eval-Après impact'!$A$767=BM21,'Eval-Après impact'!$L$767&lt;120,'Eval-Après impact'!$L$767&gt;=CJ15),AND('Eval-Après impact'!$A$768=BM21,'Eval-Après impact'!$L$768&lt;120,'Eval-Après impact'!$L$768&gt;=CJ16),AND('Eval-Après impact'!$A$769=BM21,'Eval-Après impact'!$L$769&lt;120,'Eval-Après impact'!$L$769&gt;=CJ17),AND('Eval-Après impact'!$A$770=BM21,'Eval-Après impact'!$L$770&lt;120,'Eval-Après impact'!$L$770&gt;=CJ18),AND('Eval-Après impact'!$A$771=BM21,'Eval-Après impact'!$L$771&lt;120,'Eval-Après impact'!$L$771&gt;=CJ19),AND('Eval-Après impact'!$A$772=BM21,'Eval-Après impact'!$L$772&lt;120,'Eval-Après impact'!$L$772&gt;=CJ20),AND('Eval-Après impact'!$A$773=BM21,'Eval-Après impact'!$L$773&lt;120,'Eval-Après impact'!$L$773&gt;=CJ21),AND('Eval-Après impact'!$A$774=BM21,'Eval-Après impact'!$L$774&lt;120,'Eval-Après impact'!$L$774&gt;=CJ22),AND('Eval-Après impact'!$A$775=BM21,'Eval-Après impact'!$L$775&lt;120,'Eval-Après impact'!$L$775&gt;=CJ23),AND('Eval-Après impact'!$A$776=BM21,'Eval-Après impact'!$L$776&lt;120,'Eval-Après impact'!$L$776&gt;=CJ24),AND('Eval-Après impact'!$A$777=BM21,'Eval-Après impact'!$L$777&lt;120,'Eval-Après impact'!$L$777&gt;=CJ25),AND('Eval-Après impact'!$A$778=BM21,'Eval-Après impact'!$L$778&lt;120,'Eval-Après impact'!$L$778&gt;=CJ26),AND('Eval-Après impact'!$A$779=BM21,'Eval-Après impact'!$L$779&lt;120,'Eval-Après impact'!$L$779&gt;=CJ27),AND('Eval-Après impact'!$A$780=BM21,'Eval-Après impact'!$L$780&lt;120,'Eval-Après impact'!$L$780&gt;=CJ28)),"",SUM(IF('Eval-Après impact'!$A$761=BM21,'Eval-Après impact'!$L$761,0),IF('Eval-Après impact'!$A$762=BM21,'Eval-Après impact'!$L$762,0),IF('Eval-Après impact'!$A$763=BM21,'Eval-Après impact'!$L$763,0),IF('Eval-Après impact'!$A$764=BM21,'Eval-Après impact'!$L$764,0),IF('Eval-Après impact'!$A$765=BM21,'Eval-Après impact'!$L$765,0),IF('Eval-Après impact'!$A$766=BM21,'Eval-Après impact'!$L$766,0),IF('Eval-Après impact'!$A$767=BM21,'Eval-Après impact'!$L$767,0),IF('Eval-Après impact'!$A$768=BM21,'Eval-Après impact'!$L$768,0),IF('Eval-Après impact'!$A$769=BM21,'Eval-Après impact'!$L$769,0),IF('Eval-Après impact'!$A$770=BM21,'Eval-Après impact'!$L$770,0),IF('Eval-Après impact'!$A$771=BM21,'Eval-Après impact'!$L$771,0),IF('Eval-Après impact'!$A$772=BM21,'Eval-Après impact'!$L$772,0),IF('Eval-Après impact'!$A$773=BM21,'Eval-Après impact'!$L$773,0),IF('Eval-Après impact'!$A$774=BM21,'Eval-Après impact'!$L$774,0),IF('Eval-Après impact'!$A$775=BM21,'Eval-Après impact'!$L$775,0),IF('Eval-Après impact'!$A$776=BM21,'Eval-Après impact'!$L$776,0),IF('Eval-Après impact'!$A$777=BM21,'Eval-Après impact'!$L$777,0),IF('Eval-Après impact'!$A$778=BM21,'Eval-Après impact'!$L$778,0),IF('Eval-Après impact'!$A$779=BM21,'Eval-Après impact'!$L$779,0),IF('Eval-Après impact'!$A$780=BM21,'Eval-Après impact'!$L$780,0))/ COUNTIF('Eval-Après impact'!$A$761:$A$780,BM21)),"")</f>
        <v/>
      </c>
      <c r="BV21" s="211" t="str">
        <f>IF(COUNTIF('Eval-Après impact'!$A$761:$A$780,BM21)&gt;0,IF(OR(AND('Eval-Après impact'!$A$761=BM21, CJ9&lt;120),AND(CJ10&lt;120),AND(CJ11&lt;120),AND(CJ12&lt;120),AND(CJ13&lt;120),AND(CJ14&lt;120),AND(CJ15&lt;120),AND(CJ16&lt;120),AND(CJ17&lt;120),AND(CJ18&lt;120),AND(CJ19&lt;120),AND(CJ20&lt;120),AND(CJ21&lt;120),AND(CJ22&lt;120),AND(CJ23&lt;120),AND(CJ24&lt;120),AND(CJ25&lt;120),AND(CJ26&lt;120),AND(CJ27&lt;120),AND(CJ28&lt;120)),"",SUM(IF('Eval-Après impact'!$A$761=BM21,'Eval-Après impact'!$M$761,0),IF('Eval-Après impact'!$A$762=BM21,'Eval-Après impact'!$M$762,0),IF('Eval-Après impact'!$A$763=BM21,'Eval-Après impact'!$M$763,0),IF('Eval-Après impact'!$A$764=BM21,'Eval-Après impact'!$M$764,0),IF('Eval-Après impact'!$A$765=BM21,'Eval-Après impact'!$M$765,0),IF('Eval-Après impact'!$A$766=BM21,'Eval-Après impact'!$M$766,0),IF('Eval-Après impact'!$A$767=BM21,'Eval-Après impact'!$M$767,0),IF('Eval-Après impact'!$A$768=BM21,'Eval-Après impact'!$M$768,0),IF('Eval-Après impact'!$A$769=BM21,'Eval-Après impact'!$M$769,0),IF('Eval-Après impact'!$A$770=BM21,'Eval-Après impact'!$M$770,0),IF('Eval-Après impact'!$A$771=BM21,'Eval-Après impact'!$M$771,0),IF('Eval-Après impact'!$A$772=BM21,'Eval-Après impact'!$M$772,0),IF('Eval-Après impact'!$A$773=BM21,'Eval-Après impact'!$M$773,0),IF('Eval-Après impact'!$A$774=BM21,'Eval-Après impact'!$M$774,0),IF('Eval-Après impact'!$A$775=BM21,'Eval-Après impact'!$M$775,0), IF('Eval-Après impact'!$A$776=BM21,'Eval-Après impact'!$M$776,0), IF('Eval-Après impact'!$A$777=BM21,'Eval-Après impact'!$M$777,0), IF('Eval-Après impact'!$A$778=BM21,'Eval-Après impact'!$M$778,0), IF('Eval-Après impact'!$A$779=BM21,'Eval-Après impact'!$M$779,0), IF('Eval-Après impact'!$A$780=BM21,'Eval-Après impact'!$M$780,0))/COUNTIF('Eval-Après impact'!$A$761:$A$780,BM21)),"")</f>
        <v/>
      </c>
      <c r="BW21" s="211" t="str">
        <f>IF(COUNTIF('Eval-Après impact'!$A$761:$A$780,BM21)&gt;0,SUM(IF('Eval-Après impact'!$A$761=BM21,LEN(SUBSTITUTE((SUBSTITUTE(CL9,"TM","")),"TS",""))*10/2,0),IF('Eval-Après impact'!$A$762=BM21,LEN(SUBSTITUTE((SUBSTITUTE(CL10,"TM","")),"TS",""))*10/2,0),IF('Eval-Après impact'!$A$763=BM21,LEN(SUBSTITUTE((SUBSTITUTE(CL11,"TM","")),"TS",""))*10/2,0),IF('Eval-Après impact'!$A$764=BM21,LEN(SUBSTITUTE((SUBSTITUTE(CL12,"TM","")),"TS",""))*10/2,0),IF('Eval-Après impact'!$A$765=BM21,LEN(SUBSTITUTE((SUBSTITUTE(CL13,"TM","")),"TS",""))*10/2,0),IF('Eval-Après impact'!$A$766=BM21,LEN(SUBSTITUTE((SUBSTITUTE(CL14,"TM","")),"TS",""))*10/2,0),IF('Eval-Après impact'!$A$767=BM21,LEN(SUBSTITUTE((SUBSTITUTE(CL15,"TM","")),"TS",""))*10/2,0),IF('Eval-Après impact'!$A$768=BM21,LEN(SUBSTITUTE((SUBSTITUTE(CL16,"TM","")),"TS",""))*10/2,0),IF('Eval-Après impact'!$A$769=BM21,LEN(SUBSTITUTE((SUBSTITUTE(CL17,"TM","")),"TS",""))*10/2,0),IF('Eval-Après impact'!$A$770=BM21,LEN(SUBSTITUTE((SUBSTITUTE(CL18,"TM","")),"TS",""))*10/2,0),IF('Eval-Après impact'!$A$771=BM21,LEN(SUBSTITUTE((SUBSTITUTE(CL19,"TM","")),"TS",""))*10/2,0),IF('Eval-Après impact'!$A$772=BM21,LEN(SUBSTITUTE((SUBSTITUTE(CL20,"TM","")),"TS",""))*10/2,0),IF('Eval-Après impact'!$A$773=BM21,LEN(SUBSTITUTE((SUBSTITUTE(CL21,"TM","")),"TS",""))*10/2,0),IF('Eval-Après impact'!$A$774=BM21,LEN(SUBSTITUTE((SUBSTITUTE(CL22,"TM","")),"TS",""))*10/2,0),IF('Eval-Après impact'!$A$775=BM21,LEN(SUBSTITUTE((SUBSTITUTE(CL23,"TM","")),"TS",""))*10/2,0),IF('Eval-Après impact'!$A$776=BM21,LEN(SUBSTITUTE((SUBSTITUTE(CL24,"TM","")),"TS",""))*10/2,0),IF('Eval-Après impact'!$A$777=BM21,LEN(SUBSTITUTE((SUBSTITUTE(CL25,"TM","")),"TS",""))*10/2,0),IF('Eval-Après impact'!$A$778=BM21,LEN(SUBSTITUTE((SUBSTITUTE(CL26,"TM","")),"TS",""))*10/2,0),IF('Eval-Après impact'!$A$779=BM21,LEN(SUBSTITUTE((SUBSTITUTE(CL27,"TM","")),"TS",""))*10/2,0),IF('Eval-Après impact'!$A$780=BM21,LEN(SUBSTITUTE((SUBSTITUTE(CL28,"TM","")),"TS",""))*10/2,0))/COUNTIF('Eval-Après impact'!$A$761:$A$780,BM21),"")</f>
        <v/>
      </c>
      <c r="BX21" s="211" t="str">
        <f>IF(COUNTIF('Eval-Après impact'!$A$761:$A$780,BM21)&gt;0,SUM(IF('Eval-Après impact'!$A$761=BM21,LEN(SUBSTITUTE((SUBSTITUTE(CL9,"TF","")),"TS",""))*10/2,0),IF('Eval-Après impact'!$A$762=BM21,LEN(SUBSTITUTE((SUBSTITUTE(CL10,"TF","")),"TS",""))*10/2,0),IF('Eval-Après impact'!$A$763=BM21,LEN(SUBSTITUTE((SUBSTITUTE(CL11,"TF","")),"TS",""))*10/2,0),IF('Eval-Après impact'!$A$764=BM21,LEN(SUBSTITUTE((SUBSTITUTE(CL12,"TF","")),"TS",""))*10/2,0),IF('Eval-Après impact'!$A$765=BM21,LEN(SUBSTITUTE((SUBSTITUTE(CL13,"TF","")),"TS",""))*10/2,0),IF('Eval-Après impact'!$A$766=BM21,LEN(SUBSTITUTE((SUBSTITUTE(CL14,"TF","")),"TS",""))*10/2,0),IF('Eval-Après impact'!$A$767=BM21,LEN(SUBSTITUTE((SUBSTITUTE(CL15,"TF","")),"TS",""))*10/2,0),IF('Eval-Après impact'!$A$768=BM21,LEN(SUBSTITUTE((SUBSTITUTE(CL16,"TF","")),"TS",""))*10/2,0),IF('Eval-Après impact'!$A$769=BM21,LEN(SUBSTITUTE((SUBSTITUTE(CL17,"TF","")),"TS",""))*10/2,0),IF('Eval-Après impact'!$A$770=BM21,LEN(SUBSTITUTE((SUBSTITUTE(CL18,"TF","")),"TS",""))*10/2,0),IF('Eval-Après impact'!$A$771=BM21,LEN(SUBSTITUTE((SUBSTITUTE(CL19,"TF","")),"TS",""))*10/2,0),IF('Eval-Après impact'!$A$772=BM21,LEN(SUBSTITUTE((SUBSTITUTE(CL20,"TF","")),"TS",""))*10/2,0),IF('Eval-Après impact'!$A$773=BM21,LEN(SUBSTITUTE((SUBSTITUTE(CL21,"TF","")),"TS",""))*10/2,0),IF('Eval-Après impact'!$A$774=BM21,LEN(SUBSTITUTE((SUBSTITUTE(CL22,"TF","")),"TS",""))*10/2,0),IF('Eval-Après impact'!$A$775=BM21,LEN(SUBSTITUTE((SUBSTITUTE(CL23,"TF","")),"TS",""))*10/2,0),IF('Eval-Après impact'!$A$776=BM21,LEN(SUBSTITUTE((SUBSTITUTE(CL24,"TF","")),"TS",""))*10/2,0),IF('Eval-Après impact'!$A$777=BM21,LEN(SUBSTITUTE((SUBSTITUTE(CL25,"TF","")),"TS",""))*10/2,0),IF('Eval-Après impact'!$A$778=BM21,LEN(SUBSTITUTE((SUBSTITUTE(CL26,"TF","")),"TS",""))*10/2,0),IF('Eval-Après impact'!$A$779=BM21,LEN(SUBSTITUTE((SUBSTITUTE(CL27,"TF","")),"TS",""))*10/2,0),IF('Eval-Après impact'!$A$780=BM21,LEN(SUBSTITUTE((SUBSTITUTE(CL28,"TF","")),"TS",""))*10/2,0))/COUNTIF('Eval-Après impact'!$A$761:$A$780,BM21),"")</f>
        <v/>
      </c>
      <c r="BY21" s="211" t="str">
        <f>IF(COUNTIF('Eval-Après impact'!$A$761:$A$780,BM21)&gt;0,SUM(IF('Eval-Après impact'!$A$761=BM21,LEN(SUBSTITUTE((SUBSTITUTE(CL9,"TF","")),"TM",""))*10/2,0),IF('Eval-Après impact'!$A$762=BM21,LEN(SUBSTITUTE((SUBSTITUTE(CL10,"TF","")),"TM",""))*10/2,0),IF('Eval-Après impact'!$A$763=BM21,LEN(SUBSTITUTE((SUBSTITUTE(CL11,"TF","")),"TM",""))*10/2,0),IF('Eval-Après impact'!$A$764=BM21,LEN(SUBSTITUTE((SUBSTITUTE(CL12,"TF","")),"TM",""))*10/2,0),IF('Eval-Après impact'!$A$765=BM21,LEN(SUBSTITUTE((SUBSTITUTE(CL13,"TF","")),"TM",""))*10/2,0),IF('Eval-Après impact'!$A$766=BM21,LEN(SUBSTITUTE((SUBSTITUTE(CL14,"TF","")),"TM",""))*10/2,0),IF('Eval-Après impact'!$A$767=BM21,LEN(SUBSTITUTE((SUBSTITUTE(CL15,"TF","")),"TM",""))*10/2,0),IF('Eval-Après impact'!$A$768=BM21,LEN(SUBSTITUTE((SUBSTITUTE(CL16,"TF","")),"TM",""))*10/2,0),IF('Eval-Après impact'!$A$769=BM21,LEN(SUBSTITUTE((SUBSTITUTE(CL17,"TF","")),"TM",""))*10/2,0),IF('Eval-Après impact'!$A$770=BM21,LEN(SUBSTITUTE((SUBSTITUTE(CL18,"TF","")),"TM",""))*10/2,0),IF('Eval-Après impact'!$A$771=BM21,LEN(SUBSTITUTE((SUBSTITUTE(CL19,"TF","")),"TM",""))*10/2,0),IF('Eval-Après impact'!$A$772=BM21,LEN(SUBSTITUTE((SUBSTITUTE(CL20,"TF","")),"TM",""))*10/2,0),IF('Eval-Après impact'!$A$773=BM21,LEN(SUBSTITUTE((SUBSTITUTE(CL21,"TF","")),"TM",""))*10/2,0),IF('Eval-Après impact'!$A$774=BM21,LEN(SUBSTITUTE((SUBSTITUTE(CL22,"TF","")),"TM",""))*10/2,0),IF('Eval-Après impact'!$A$775=BM21,LEN(SUBSTITUTE((SUBSTITUTE(CL23,"TF","")),"TM",""))*10/2,0),IF('Eval-Après impact'!$A$776=BM21,LEN(SUBSTITUTE((SUBSTITUTE(CL24,"TF","")),"TM",""))*10/2,0),IF('Eval-Après impact'!$A$777=BM21,LEN(SUBSTITUTE((SUBSTITUTE(CL25,"TF","")),"TM",""))*10/2,0),IF('Eval-Après impact'!$A$778=BM21,LEN(SUBSTITUTE((SUBSTITUTE(CL26,"TF","")),"TM",""))*10/2,0),IF('Eval-Après impact'!$A$779=BM21,LEN(SUBSTITUTE((SUBSTITUTE(CL27,"TF","")),"TM",""))*10/2,0),IF('Eval-Après impact'!$A$780=BM21,LEN(SUBSTITUTE((SUBSTITUTE(CL28,"TF","")),"TM",""))*10/2,0))/COUNTIF('Eval-Après impact'!$A$761:$A$780,BM21),"")</f>
        <v/>
      </c>
      <c r="BZ21" s="211" t="str">
        <f>IF(COUNTIF('Eval-Après impact'!$A$761:$A$780,BM21)&gt;0,SUM(IF('Eval-Après impact'!$A$761=BM21,LEN(SUBSTITUTE((SUBSTITUTE(CM9,"TM","")),"TS",""))*10/2,0),IF('Eval-Après impact'!$A$762=BM21,LEN(SUBSTITUTE((SUBSTITUTE(CM10,"TM","")),"TS",""))*10/2,0),IF('Eval-Après impact'!$A$763=BM21,LEN(SUBSTITUTE((SUBSTITUTE(CM11,"TM","")),"TS",""))*10/2,0),IF('Eval-Après impact'!$A$764=BM21,LEN(SUBSTITUTE((SUBSTITUTE(CM12,"TM","")),"TS",""))*10/2,0),IF('Eval-Après impact'!$A$765=BM21,LEN(SUBSTITUTE((SUBSTITUTE(CM13,"TM","")),"TS",""))*10/2,0),IF('Eval-Après impact'!$A$766=BM21,LEN(SUBSTITUTE((SUBSTITUTE(CM14,"TM","")),"TS",""))*10/2,0),IF('Eval-Après impact'!$A$767=BM21,LEN(SUBSTITUTE((SUBSTITUTE(CM15,"TM","")),"TS",""))*10/2,0),IF('Eval-Après impact'!$A$768=BM21,LEN(SUBSTITUTE((SUBSTITUTE(CM16,"TM","")),"TS",""))*10/2,0),IF('Eval-Après impact'!$A$769=BM21,LEN(SUBSTITUTE((SUBSTITUTE(CM17,"TM","")),"TS",""))*10/2,0),IF('Eval-Après impact'!$A$770=BM21,LEN(SUBSTITUTE((SUBSTITUTE(CM18,"TM","")),"TS",""))*10/2,0),IF('Eval-Après impact'!$A$771=BM21,LEN(SUBSTITUTE((SUBSTITUTE(CM19,"TM","")),"TS",""))*10/2,0),IF('Eval-Après impact'!$A$772=BM21,LEN(SUBSTITUTE((SUBSTITUTE(CM20,"TM","")),"TS",""))*10/2,0),IF('Eval-Après impact'!$A$773=BM21,LEN(SUBSTITUTE((SUBSTITUTE(CM21,"TM","")),"TS",""))*10/2,0),IF('Eval-Après impact'!$A$774=BM21,LEN(SUBSTITUTE((SUBSTITUTE(CM22,"TM","")),"TS",""))*10/2,0),IF('Eval-Après impact'!$A$775=BM21,LEN(SUBSTITUTE((SUBSTITUTE(CM23,"TM","")),"TS",""))*10/2,0),IF('Eval-Après impact'!$A$776=BM21,LEN(SUBSTITUTE((SUBSTITUTE(CM24,"TM","")),"TS",""))*10/2,0),IF('Eval-Après impact'!$A$777=BM21,LEN(SUBSTITUTE((SUBSTITUTE(CM25,"TM","")),"TS",""))*10/2,0),IF('Eval-Après impact'!$A$778=BM21,LEN(SUBSTITUTE((SUBSTITUTE(CM26,"TM","")),"TS",""))*10/2,0),IF('Eval-Après impact'!$A$779=BM21,LEN(SUBSTITUTE((SUBSTITUTE(CM27,"TM","")),"TS",""))*10/2,0),IF('Eval-Après impact'!$A$780=BM21,LEN(SUBSTITUTE((SUBSTITUTE(CM28,"TM","")),"TS",""))*10/2,0))/COUNTIF('Eval-Après impact'!$A$761:$A$780,BM21),"")</f>
        <v/>
      </c>
      <c r="CA21" s="211" t="str">
        <f>IF(COUNTIF('Eval-Après impact'!$A$761:$A$780,BM21)&gt;0,SUM(IF('Eval-Après impact'!$A$761=BM21,LEN(SUBSTITUTE((SUBSTITUTE(CM9,"TF","")),"TS",""))*10/2,0),IF('Eval-Après impact'!$A$762=BM21,LEN(SUBSTITUTE((SUBSTITUTE(CM10,"TF","")),"TS",""))*10/2,0),IF('Eval-Après impact'!$A$763=BM21,LEN(SUBSTITUTE((SUBSTITUTE(CM11,"TF","")),"TS",""))*10/2,0),IF('Eval-Après impact'!$A$764=BM21,LEN(SUBSTITUTE((SUBSTITUTE(CM12,"TF","")),"TS",""))*10/2,0),IF('Eval-Après impact'!$A$765=BM21,LEN(SUBSTITUTE((SUBSTITUTE(CM13,"TF","")),"TS",""))*10/2,0),IF('Eval-Après impact'!$A$766=BM21,LEN(SUBSTITUTE((SUBSTITUTE(CM14,"TF","")),"TS",""))*10/2,0),IF('Eval-Après impact'!$A$767=BM21,LEN(SUBSTITUTE((SUBSTITUTE(CM15,"TF","")),"TS",""))*10/2,0),IF('Eval-Après impact'!$A$768=BM21,LEN(SUBSTITUTE((SUBSTITUTE(CM16,"TF","")),"TS",""))*10/2,0),IF('Eval-Après impact'!$A$769=BM21,LEN(SUBSTITUTE((SUBSTITUTE(CM17,"TF","")),"TS",""))*10/2,0),IF('Eval-Après impact'!$A$770=BM21,LEN(SUBSTITUTE((SUBSTITUTE(CM18,"TF","")),"TS",""))*10/2,0),IF('Eval-Après impact'!$A$771=BM21,LEN(SUBSTITUTE((SUBSTITUTE(CM19,"TF","")),"TS",""))*10/2,0),IF('Eval-Après impact'!$A$772=BM21,LEN(SUBSTITUTE((SUBSTITUTE(CM20,"TF","")),"TS",""))*10/2,0),IF('Eval-Après impact'!$A$773=BM21,LEN(SUBSTITUTE((SUBSTITUTE(CM21,"TF","")),"TS",""))*10/2,0),IF('Eval-Après impact'!$A$774=BM21,LEN(SUBSTITUTE((SUBSTITUTE(CM22,"TF","")),"TS",""))*10/2,0),IF('Eval-Après impact'!$A$775=BM21,LEN(SUBSTITUTE((SUBSTITUTE(CM23,"TF","")),"TS",""))*10/2,0),IF('Eval-Après impact'!$A$776=BM21,LEN(SUBSTITUTE((SUBSTITUTE(CM24,"TF","")),"TS",""))*10/2,0),IF('Eval-Après impact'!$A$777=BM21,LEN(SUBSTITUTE((SUBSTITUTE(CM25,"TF","")),"TS",""))*10/2,0),IF('Eval-Après impact'!$A$778=BM21,LEN(SUBSTITUTE((SUBSTITUTE(CM26,"TF","")),"TS",""))*10/2,0),IF('Eval-Après impact'!$A$779=BM21,LEN(SUBSTITUTE((SUBSTITUTE(CM27,"TF","")),"TS",""))*10/2,0),IF('Eval-Après impact'!$A$780=BM21,LEN(SUBSTITUTE((SUBSTITUTE(CM28,"TF","")),"TS",""))*10/2,0))/COUNTIF('Eval-Après impact'!$A$761:$A$780,BM21),"")</f>
        <v/>
      </c>
      <c r="CB21" s="211" t="str">
        <f>IF(COUNTIF('Eval-Après impact'!$A$761:$A$780,BM21)&gt;0,SUM(IF('Eval-Après impact'!$A$761=BM21,LEN(SUBSTITUTE((SUBSTITUTE(CM9,"TF","")),"TM",""))*10/2,0),IF('Eval-Après impact'!$A$762=BM21,LEN(SUBSTITUTE((SUBSTITUTE(CM10,"TF","")),"TM",""))*10/2,0),IF('Eval-Après impact'!$A$763=BM21,LEN(SUBSTITUTE((SUBSTITUTE(CM11,"TF","")),"TM",""))*10/2,0),IF('Eval-Après impact'!$A$764=BM21,LEN(SUBSTITUTE((SUBSTITUTE(CM12,"TF","")),"TM",""))*10/2,0),IF('Eval-Après impact'!$A$765=BM21,LEN(SUBSTITUTE((SUBSTITUTE(CM13,"TF","")),"TM",""))*10/2,0),IF('Eval-Après impact'!$A$766=BM21,LEN(SUBSTITUTE((SUBSTITUTE(CM14,"TF","")),"TM",""))*10/2,0),IF('Eval-Après impact'!$A$767=BM21,LEN(SUBSTITUTE((SUBSTITUTE(CM15,"TF","")),"TM",""))*10/2,0),IF('Eval-Après impact'!$A$768=BM21,LEN(SUBSTITUTE((SUBSTITUTE(CM16,"TF","")),"TM",""))*10/2,0),IF('Eval-Après impact'!$A$769=BM21,LEN(SUBSTITUTE((SUBSTITUTE(CM17,"TF","")),"TM",""))*10/2,0),IF('Eval-Après impact'!$A$770=BM21,LEN(SUBSTITUTE((SUBSTITUTE(CM18,"TF","")),"TM",""))*10/2,0),IF('Eval-Après impact'!$A$771=BM21,LEN(SUBSTITUTE((SUBSTITUTE(CM19,"TF","")),"TM",""))*10/2,0),IF('Eval-Après impact'!$A$772=BM21,LEN(SUBSTITUTE((SUBSTITUTE(CM20,"TF","")),"TM",""))*10/2,0),IF('Eval-Après impact'!$A$773=BM21,LEN(SUBSTITUTE((SUBSTITUTE(CM21,"TF","")),"TM",""))*10/2,0),IF('Eval-Après impact'!$A$774=BM21,LEN(SUBSTITUTE((SUBSTITUTE(CM22,"TF","")),"TM",""))*10/2,0),IF('Eval-Après impact'!$A$775=BM21,LEN(SUBSTITUTE((SUBSTITUTE(CM23,"TF","")),"TM",""))*10/2,0),IF('Eval-Après impact'!$A$776=BM21,LEN(SUBSTITUTE((SUBSTITUTE(CM24,"TF","")),"TM",""))*10/2,0),IF('Eval-Après impact'!$A$777=BM21,LEN(SUBSTITUTE((SUBSTITUTE(CM25,"TF","")),"TM",""))*10/2,0),IF('Eval-Après impact'!$A$778=BM21,LEN(SUBSTITUTE((SUBSTITUTE(CM26,"TF","")),"TM",""))*10/2,0),IF('Eval-Après impact'!$A$779=BM21,LEN(SUBSTITUTE((SUBSTITUTE(CM27,"TF","")),"TM",""))*10/2,0),IF('Eval-Après impact'!$A$780=BM21,LEN(SUBSTITUTE((SUBSTITUTE(CM28,"TF","")),"TM",""))*10/2,0))/COUNTIF('Eval-Après impact'!$A$761:$A$780,BM21),"")</f>
        <v/>
      </c>
      <c r="CC21" s="211" t="str">
        <f>IF(COUNTIF('Eval-Après impact'!$A$761:$A$780,BM21)&gt;0,IF(OR(AND('Eval-Après impact'!$A$761=BM21,CJ9&lt;30),AND('Eval-Après impact'!$A$762=BM21,CJ10&lt;30),AND('Eval-Après impact'!$A$763=BM21,CJ11&lt;30),AND('Eval-Après impact'!$A$764=BM21,CJ12&lt;30),AND('Eval-Après impact'!$A$765=BM21,CJ13&lt;30),AND('Eval-Après impact'!$A$766=BM21,CJ14&lt;30),AND('Eval-Après impact'!$A$767=BM21,CJ15&lt;30),AND('Eval-Après impact'!$A$768=BM21,CJ16&lt;30),AND('Eval-Après impact'!$A$769=BM21,CJ17&lt;30),AND('Eval-Après impact'!$A$770=BM21,CJ18&lt;30),AND('Eval-Après impact'!$A$771=BM21,CJ19&lt;30),AND('Eval-Après impact'!$A$772=BM21,CJ20&lt;30),AND('Eval-Après impact'!$A$773=BM21,CJ21&lt;30),AND('Eval-Après impact'!$A$774=BM21,CJ22&lt;30),AND('Eval-Après impact'!$A$775=BM21,CJ23&lt;30),AND('Eval-Après impact'!$A$776=BM21,CJ24&lt;30),AND('Eval-Après impact'!$A$777=BM21,CJ25&lt;30),AND('Eval-Après impact'!$A$778=BM21,CJ26&lt;30),AND('Eval-Après impact'!$A$779=BM21,CJ27&lt;30),AND('Eval-Après impact'!$A$780=BM21,CJ28&lt;30)),"",SUM(0.1*(SUMPRODUCT(('Eval-Après impact'!$A$761:$A$780=BM21)*('Eval-Après impact'!$N$761:$P$780="A"))+ SUMPRODUCT(('Eval-Après impact'!$A$761:$A$780=BM21)*('Eval-Après impact'!$N$761:$P$780="AL"))),0.7*(SUMPRODUCT(('Eval-Après impact'!$A$761:$A$780=BM21)*('Eval-Après impact'!$N$761:$P$780="TF"))+SUMPRODUCT(('Eval-Après impact'!$A$761:$A$780=BM21)*('Eval-Après impact'!$N$761:$P$780="TM"))+SUMPRODUCT(('Eval-Après impact'!$A$761:$A$780=BM21)*('Eval-Après impact'!$N$761:$P$780="TS"))),0.4*(SUMPRODUCT(('Eval-Après impact'!$A$761:$A$780=BM21)*('Eval-Après impact'!$N$761:$P$780="LA"))+SUMPRODUCT(('Eval-Après impact'!$A$761:$A$780=BM21)*('Eval-Après impact'!$N$761:$P$780="L"))+SUMPRODUCT(('Eval-Après impact'!$A$761:$A$780=BM21)*('Eval-Après impact'!$N$761:$P$780="LS"))),1*(SUMPRODUCT(('Eval-Après impact'!$A$761:$A$780=BM21)*('Eval-Après impact'!$N$761:$P$780="SL"))+ SUMPRODUCT(('Eval-Après impact'!$A$761:$A$780=BM21)*('Eval-Après impact'!$N$761:$P$780="S"))))/(3*COUNTIF('Eval-Après impact'!$A$761:$A$780,BM21))),"")</f>
        <v/>
      </c>
      <c r="CD21" s="211" t="str">
        <f>IF(COUNTIF('Eval-Après impact'!$A$761:$A$780,BM21)&gt;0,IF(OR(AND('Eval-Après impact'!$A$761=BM21,CJ9&lt;120),AND('Eval-Après impact'!$A$762=BM21,CJ10&lt;120),AND('Eval-Après impact'!$A$763=BM21,CJ11&lt;120),AND('Eval-Après impact'!$A$764=BM21,CJ12&lt;120),AND('Eval-Après impact'!$A$765=BM21,CJ13&lt;120),AND('Eval-Après impact'!$A$766=BM21,CJ14&lt;120),AND('Eval-Après impact'!$A$767=BM21,CJ15&lt;120),AND('Eval-Après impact'!$A$768=BM21,CJ16&lt;120),AND('Eval-Après impact'!$A$769=BM21,CJ17&lt;120),AND('Eval-Après impact'!$A$770=BM21,CJ18&lt;120),AND('Eval-Après impact'!$A$771=BM21,CJ19&lt;120),AND('Eval-Après impact'!$A$772=BM21,CJ20&lt;120),AND('Eval-Après impact'!$A$773=BM21,CJ21&lt;120),AND('Eval-Après impact'!$A$774=BM21,CJ22&lt;120),AND('Eval-Après impact'!$A$775=BM21,CJ23&lt;120),AND('Eval-Après impact'!$A$776=BM21,CJ24&lt;120),AND('Eval-Après impact'!$A$777=BM21,CJ25&lt;120),AND('Eval-Après impact'!$A$778=BM21,CJ26&lt;120),AND('Eval-Après impact'!$A$779=BM21,CJ27&lt;120),AND('Eval-Après impact'!$A$780=BM21,CJ28&lt;120)),"",SUM(0.1*(SUMPRODUCT(('Eval-Après impact'!$A$761:$A$780=BM21)*('Eval-Après impact'!$Q$761:$Y$780="A"))+ SUMPRODUCT(('Eval-Après impact'!$A$761:$A$780=BM21)*('Eval-Après impact'!$Q$761:$Y$780="AL"))),0.7*(SUMPRODUCT(('Eval-Après impact'!$A$761:$A$780=BM21)*('Eval-Après impact'!$Q$761:$Y$780="TF"))+SUMPRODUCT(('Eval-Après impact'!$A$761:$A$780=BM21)*('Eval-Après impact'!$Q$761:$Y$780="TM"))+SUMPRODUCT(('Eval-Après impact'!$A$761:$A$780=BM21)*('Eval-Après impact'!$Q$761:$Y$780="TS"))),0.4*(SUMPRODUCT(('Eval-Après impact'!$A$761:$A$780=BM21)*('Eval-Après impact'!$Q$761:$Y$780="LA"))+SUMPRODUCT(('Eval-Après impact'!$A$761:$A$780=BM21)*('Eval-Après impact'!$Q$761:$Y$780="L"))+SUMPRODUCT(('Eval-Après impact'!$A$761:$A$780=BM21)*('Eval-Après impact'!$Q$761:$Y$780="LS"))),1*(SUMPRODUCT(('Eval-Après impact'!$A$761:$A$780=BM21)*('Eval-Après impact'!$Q$761:$Y$780="SL"))+ SUMPRODUCT(('Eval-Après impact'!$A$761:$A$780=BM21)*('Eval-Après impact'!$Q$761:$Y$780="S"))))/(9*COUNTIF('Eval-Après impact'!$A$761:$A$780,BM21))),"")</f>
        <v/>
      </c>
      <c r="CE21" s="211" t="str">
        <f>IF(COUNTIF('Eval-Après impact'!$A$761:$A$780,BM21)&gt;0,IF(OR(AND('Eval-Après impact'!$A$761=BM21,OR(COUNTIF('Eval-Après impact'!$N$761:$P$761,"*T*")&gt;0,CJ9&lt;30)),AND('Eval-Après impact'!$A$762=BM21,OR(COUNTIF('Eval-Après impact'!$N$762:$P$762,"*T*")&gt;0,CJ10&lt;30)),AND('Eval-Après impact'!$A$763=BM21,OR(COUNTIF('Eval-Après impact'!$N$763:$P$763,"*T*")&gt;0,CJ11&lt;30)),AND('Eval-Après impact'!$A$764=BM21,OR(COUNTIF('Eval-Après impact'!$N$764:$P$764,"*T*")&gt;0,CJ12&lt;30)),AND('Eval-Après impact'!$A$765=BM21,OR(COUNTIF('Eval-Après impact'!$N$765:$P$765,"*T*")&gt;0,CJ13&lt;30)),AND('Eval-Après impact'!$A$766=BM21,OR(COUNTIF('Eval-Après impact'!$N$766:$P$766,"*T*")&gt;0,CJ14&lt;30)),AND('Eval-Après impact'!$A$767=BM21,OR(COUNTIF('Eval-Après impact'!$N$767:$P$767,"*T*")&gt;0,CJ15&lt;30)),AND('Eval-Après impact'!$A$768=BM21,OR(COUNTIF('Eval-Après impact'!$N$768:$P$768,"*T*")&gt;0,CJ16&lt;30)),AND('Eval-Après impact'!$A$769=BM21,OR(COUNTIF('Eval-Après impact'!$N$769:$P$769,"*T*")&gt;0,CJ17&lt;30)),AND('Eval-Après impact'!$A$770=BM21,OR(COUNTIF('Eval-Après impact'!$N$770:$P$770,"*T*")&gt;0,CJ18&lt;30)),AND('Eval-Après impact'!$A$771=BM21,OR(COUNTIF('Eval-Après impact'!$N$771:$P$771,"*T*")&gt;0,CJ19&lt;30)),AND('Eval-Après impact'!$A$772=BM21,OR(COUNTIF('Eval-Après impact'!$N$772:$P$772,"*T*")&gt;0,CJ20&lt;30)),AND('Eval-Après impact'!$A$773=BM21,OR(COUNTIF('Eval-Après impact'!$N$773:$P$773,"*T*")&gt;0,CJ21&lt;30)),AND('Eval-Après impact'!$A$774=BM21,OR(COUNTIF('Eval-Après impact'!$N$774:$P$774,"*T*")&gt;0,CJ22&lt;30)),AND('Eval-Après impact'!$A$775=BM21,OR(COUNTIF('Eval-Après impact'!$N$775:$P$775,"*T*")&gt;0,CJ23&lt;30)),AND('Eval-Après impact'!$A$776=BM21,OR(COUNTIF('Eval-Après impact'!$N$776:$P$776,"*T*")&gt;0,CJ24&lt;30)),AND('Eval-Après impact'!$A$777=BM21,OR(COUNTIF('Eval-Après impact'!$N$777:$P$777,"*T*")&gt;0,CJ25&lt;30)),AND('Eval-Après impact'!$A$778=BM21,OR(COUNTIF('Eval-Après impact'!$N$778:$P$778,"*T*")&gt;0,CJ26&lt;30)),AND('Eval-Après impact'!$A$779=BM21,OR(COUNTIF('Eval-Après impact'!$N$779:$P$779,"*T*")&gt;0,CJ27&lt;30)),AND('Eval-Après impact'!$A$780=BM21,OR(COUNTIF('Eval-Après impact'!$N$780:$P$780,"*T*")&gt;0,CJ28&lt;30))),"",SUM(0.1*(SUMPRODUCT(('Eval-Après impact'!$A$761:$A$780=BM21)*('Eval-Après impact'!$N$761:$P$780="L"))),0.4*(SUMPRODUCT(('Eval-Après impact'!$A$761:$A$780=BM21)*('Eval-Après impact'!$N$761:$P$780="LA"))+SUMPRODUCT(('Eval-Après impact'!$A$761:$A$780=BM21)*('Eval-Après impact'!$N$761:$P$780="LS"))),0.7*(SUMPRODUCT(('Eval-Après impact'!$A$761:$A$780=BM21)*('Eval-Après impact'!$N$761:$P$780="AL"))+SUMPRODUCT(('Eval-Après impact'!$A$761:$A$780=BM21)*('Eval-Après impact'!$N$761:$P$780="SL"))),1*(SUMPRODUCT(('Eval-Après impact'!$A$761:$A$780=BM21)*('Eval-Après impact'!$N$761:$P$780="S"))+ SUMPRODUCT(('Eval-Après impact'!$A$761:$A$780=BM21)*('Eval-Après impact'!$N$761:$P$780="A"))))/(3*COUNTIF('Eval-Après impact'!$A$761:$A$780,BM21))),"")</f>
        <v/>
      </c>
      <c r="CF21" s="211" t="str">
        <f>IF(COUNTIF('Eval-Après impact'!$A$761:$A$780,BM21)&gt;0,IF(OR(AND('Eval-Après impact'!$A$761=BM21,OR(COUNTIF('Eval-Après impact'!$N$761:$P$761,"*T*")&gt;0,CJ9&lt;30)),AND('Eval-Après impact'!$A$762=BM21,OR(COUNTIF('Eval-Après impact'!$N$762:$P$762,"*T*")&gt;0,CJ10&lt;30)),AND('Eval-Après impact'!$A$763=BM21,OR(COUNTIF('Eval-Après impact'!$N$763:$P$763,"*T*")&gt;0,CJ11&lt;30)),AND('Eval-Après impact'!$A$764=BM21,OR(COUNTIF('Eval-Après impact'!$N$764:$P$764,"*T*")&gt;0,CJ12&lt;30)),AND('Eval-Après impact'!$A$765=BM21,OR(COUNTIF('Eval-Après impact'!$N$765:$P$765,"*T*")&gt;0,CJ13&lt;30)),AND('Eval-Après impact'!$A$766=BM21,OR(COUNTIF('Eval-Après impact'!$N$766:$P$766,"*T*")&gt;0,CJ14&lt;30)),AND('Eval-Après impact'!$A$767=BM21,OR(COUNTIF('Eval-Après impact'!$N$767:$P$767,"*T*")&gt;0,CJ15&lt;30)),AND('Eval-Après impact'!$A$768=BM21,OR(COUNTIF('Eval-Après impact'!$N$768:$P$768,"*T*")&gt;0,CJ16&lt;30)),AND('Eval-Après impact'!$A$769=BM21,OR(COUNTIF('Eval-Après impact'!$N$769:$P$769,"*T*")&gt;0,CJ17&lt;30)),AND('Eval-Après impact'!$A$770=BM21,OR(COUNTIF('Eval-Après impact'!$N$770:$P$770,"*T*")&gt;0,CJ18&lt;30)),AND('Eval-Après impact'!$A$771=BM21,OR(COUNTIF('Eval-Après impact'!$N$771:$P$771,"*T*")&gt;0,CJ19&lt;30)),AND('Eval-Après impact'!$A$772=BM21,OR(COUNTIF('Eval-Après impact'!$N$772:$P$772,"*T*")&gt;0,CJ20&lt;30)),AND('Eval-Après impact'!$A$773=BM21,OR(COUNTIF('Eval-Après impact'!$N$773:$P$773,"*T*")&gt;0,CJ21&lt;30)),AND('Eval-Après impact'!$A$774=BM21,OR(COUNTIF('Eval-Après impact'!$N$774:$P$774,"*T*")&gt;0,CJ22&lt;30)),AND('Eval-Après impact'!$A$775=BM21,OR(COUNTIF('Eval-Après impact'!$N$775:$P$775,"*T*")&gt;0,CJ23&lt;30)),AND('Eval-Après impact'!$A$776=BM21,OR(COUNTIF('Eval-Après impact'!$N$776:$P$776,"*T*")&gt;0,CJ24&lt;30)),AND('Eval-Après impact'!$A$777=BM21,OR(COUNTIF('Eval-Après impact'!$N$777:$P$777,"*T*")&gt;0,CJ25&lt;30)),AND('Eval-Après impact'!$A$778=BM21,OR(COUNTIF('Eval-Après impact'!$N$778:$P$778,"*T*")&gt;0,CJ26&lt;30)),AND('Eval-Après impact'!$A$779=BM21,OR(COUNTIF('Eval-Après impact'!$N$779:$P$779,"*T*")&gt;0,CJ27&lt;30)),AND('Eval-Après impact'!$A$780=BM21,OR(COUNTIF('Eval-Après impact'!$N$780:$P$780,"*T*")&gt;0,CJ28&lt;30))),"",SUM(1*(SUMPRODUCT(('Eval-Après impact'!$A$761:$A$780=BM21)*('Eval-Après impact'!$N$761:$P$780="A"))),0.85*(SUMPRODUCT(('Eval-Après impact'!$A$761:$A$780=BM21)*('Eval-Après impact'!$N$761:$P$780="AL"))),0.7*(SUMPRODUCT(('Eval-Après impact'!$A$761:$A$780=BM21)*('Eval-Après impact'!$N$761:$P$780="LA"))),0.55*(SUMPRODUCT(('Eval-Après impact'!$A$761:$A$780=BM21)*('Eval-Après impact'!$N$761:$P$780="L"))),0.4*(SUMPRODUCT(('Eval-Après impact'!$A$761:$A$780=BM21)*('Eval-Après impact'!$N$761:$P$780="LS"))),0.25*(SUMPRODUCT(('Eval-Après impact'!$A$761:$A$780=BM21)*('Eval-Après impact'!$N$761:$P$780="SL"))),0.1*(SUMPRODUCT(('Eval-Après impact'!$A$761:$A$780=BM21)*('Eval-Après impact'!$N$761:$P$780="S"))))/(3*COUNTIF('Eval-Après impact'!$A$761:$A$780,BM21))),"")</f>
        <v/>
      </c>
      <c r="CG21" s="214" t="str">
        <f>IF(COUNTIF('Eval-Après impact'!$A$761:$A$780,BM21)&gt;0,IF(OR(AND('Eval-Après impact'!$A$761=BM21,OR(COUNTIF('Eval-Après impact'!$Q$761:$Y$761,"*T*")&gt;0,CJ9&lt;120)),AND('Eval-Après impact'!$A$762=BM21,OR(COUNTIF('Eval-Après impact'!$Q$762:$Y$762,"*T*")&gt;0,CJ10&lt;120)),AND('Eval-Après impact'!$A$763=BM21,OR(COUNTIF('Eval-Après impact'!$Q$763:$Y$763,"*T*")&gt;0,CJ11&lt;120)),AND('Eval-Après impact'!$A$764=BM21,OR(COUNTIF('Eval-Après impact'!$Q$764:$Y$764,"*T*")&gt;0,CJ12&lt;120)),AND('Eval-Après impact'!$A$765=BM21,OR(COUNTIF('Eval-Après impact'!$Q$765:$Y$765,"*T*")&gt;0,CJ13&lt;120)),AND('Eval-Après impact'!$A$766=BM21,OR(COUNTIF('Eval-Après impact'!$Q$766:$Y$766,"*T*")&gt;0,CJ14&lt;120)),AND('Eval-Après impact'!$A$767=BM21,OR(COUNTIF('Eval-Après impact'!$Q$767:$Y$767,"*T*")&gt;0,CJ15&lt;120)),AND('Eval-Après impact'!$A$768=BM21,OR(COUNTIF('Eval-Après impact'!$Q$768:$Y$768,"*T*")&gt;0,CJ16&lt;120)),AND('Eval-Après impact'!$A$769=BM21,OR(COUNTIF('Eval-Après impact'!$Q$769:$Y$769,"*T*")&gt;0,CJ17&lt;120)),AND('Eval-Après impact'!$A$770=BM21,OR(COUNTIF('Eval-Après impact'!$Q$770:$Y$770,"*T*")&gt;0,CJ18&lt;120)),AND('Eval-Après impact'!$A$771=BM21,OR(COUNTIF('Eval-Après impact'!$Q$771:$Y$771,"*T*")&gt;0,CJ19&lt;120)),AND('Eval-Après impact'!$A$772=BM21,OR(COUNTIF('Eval-Après impact'!$Q$772:$Y$772,"*T*")&gt;0,CJ20&lt;120)),AND('Eval-Après impact'!$A$773=BM21,OR(COUNTIF('Eval-Après impact'!$Q$773:$Y$773,"*T*")&gt;0,CJ21&lt;120)),AND('Eval-Après impact'!$A$774=BM21,OR(COUNTIF('Eval-Après impact'!$Q$774:$Y$774,"*T*")&gt;0,CJ22&lt;120)),AND('Eval-Après impact'!$A$775=BM21,OR(COUNTIF('Eval-Après impact'!$Q$775:$Y$775,"*T*")&gt;0,CJ23&lt;120)),AND('Eval-Après impact'!$A$776=BM21,OR(COUNTIF('Eval-Après impact'!$Q$776:$Y$776,"*T*")&gt;0,CJ24&lt;120)),AND('Eval-Après impact'!$A$777=BM21,OR(COUNTIF('Eval-Après impact'!$Q$777:$Y$777,"*T*")&gt;0,CJ25&lt;120)),AND('Eval-Après impact'!$A$778=BM21,OR(COUNTIF('Eval-Après impact'!$Q$778:$Y$778,"*T*")&gt;0,CJ26&lt;120)),AND('Eval-Après impact'!$A$779=BM21,OR(COUNTIF('Eval-Après impact'!$Q$779:$Y$779,"*T*")&gt;0,CJ27&lt;120)),AND('Eval-Après impact'!$A$780=BM21,OR(COUNTIF('Eval-Après impact'!$Q$780:$Y$780,"*T*")&gt;0,CJ28&lt;120))),"",SUM(1*(SUMPRODUCT(('Eval-Après impact'!$A$761:$A$780=BM21)*('Eval-Après impact'!$Q$761:$Y$780="A"))),0.85*(SUMPRODUCT(('Eval-Après impact'!$A$761:$A$780=BM21)*('Eval-Après impact'!$Q$761:$Y$780="AL"))),0.7*(SUMPRODUCT(('Eval-Après impact'!$A$761:$A$780=BM21)*('Eval-Après impact'!$Q$761:$Y$780="LA"))),0.55*(SUMPRODUCT(('Eval-Après impact'!$A$761:$A$780=BM21)*('Eval-Après impact'!$Q$761:$Y$780="L"))),0.4*(SUMPRODUCT(('Eval-Après impact'!$A$761:$A$780=BM21)*('Eval-Après impact'!$Q$761:$Y$780="LS"))),0.25*(SUMPRODUCT(('Eval-Après impact'!$A$761:$A$780=BM21)*('Eval-Après impact'!$Q$761:$Y$780="SL"))),0.1*(SUMPRODUCT(('Eval-Après impact'!$A$761:$A$780=BM21)*('Eval-Après impact'!$Q$761:$Y$780="S"))))/(9*COUNTIF('Eval-Après impact'!$A$761:$A$780,BM21))),"")</f>
        <v/>
      </c>
      <c r="CH21" s="215"/>
      <c r="CI21" s="216">
        <f>'Eval-Après impact'!$D$773</f>
        <v>13</v>
      </c>
      <c r="CJ21" s="217" t="str">
        <f>IF(CK21="C",0,IF(IF(COUNTIF('Eval-Après impact'!$N$773:$Y$773,"=C")&gt;0,(COUNTA('Eval-Après impact'!$N$773:$Y$773)-1)*10,COUNTA('Eval-Après impact'!$N$773:$Y$773)*10)=0,"",IF(COUNTIF('Eval-Après impact'!$N$773:$Y$773,"=C")&gt;0,(COUNTA('Eval-Après impact'!$N$773:$Y$773)-1)*10,COUNTA('Eval-Après impact'!$N$773:$Y$773)*10)))</f>
        <v/>
      </c>
      <c r="CK21" s="217" t="str">
        <f>CONCATENATE('Eval-Après impact'!$N$773,'Eval-Après impact'!$O$773,'Eval-Après impact'!$P$773,'Eval-Après impact'!$Q$773,'Eval-Après impact'!$R$773,'Eval-Après impact'!$S$773,'Eval-Après impact'!$T$773,'Eval-Après impact'!$U$773,'Eval-Après impact'!$V$773,'Eval-Après impact'!$W$773,'Eval-Après impact'!$X$773,'Eval-Après impact'!$Y$773)</f>
        <v/>
      </c>
      <c r="CL21" s="217" t="str">
        <f t="shared" si="8"/>
        <v/>
      </c>
      <c r="CM21" s="217" t="str">
        <f t="shared" si="9"/>
        <v/>
      </c>
      <c r="CN21" s="217" t="str">
        <f>IF(COUNTIF('Eval-Après impact'!$N$773:$Y$773,"=C")&gt;0,"X","")</f>
        <v/>
      </c>
      <c r="CO21" s="217" t="str">
        <f t="shared" si="10"/>
        <v/>
      </c>
      <c r="CP21" s="218" t="str">
        <f t="shared" si="11"/>
        <v/>
      </c>
      <c r="CQ21" s="197"/>
      <c r="CS21" s="210">
        <v>13</v>
      </c>
      <c r="CT21" s="211" t="str">
        <f>IF(COUNTIF('Eval-Avant action écologique'!$A$761:$A$780,CS21)&gt;0,SUM(IF('Eval-Avant action écologique'!$A$761=CS21,'Eval-Avant action écologique'!$B$761,0),IF('Eval-Avant action écologique'!$A$762=CS21, 'Eval-Avant action écologique'!$B$762,0),IF('Eval-Avant action écologique'!$A$763=CS21, 'Eval-Avant action écologique'!$B$763,0),IF('Eval-Avant action écologique'!$A$764=CS21, 'Eval-Avant action écologique'!$B$764,0),IF('Eval-Avant action écologique'!$A$765=CS21, 'Eval-Avant action écologique'!$B$765,0),IF('Eval-Avant action écologique'!$A$766=CS21, 'Eval-Avant action écologique'!$B$766,0),IF('Eval-Avant action écologique'!$A$767=CS21, 'Eval-Avant action écologique'!$B$767,0),IF('Eval-Avant action écologique'!$A$768=CS21, 'Eval-Avant action écologique'!$B$768,0),IF('Eval-Avant action écologique'!$A$769=CS21, 'Eval-Avant action écologique'!$B$769,0),IF('Eval-Avant action écologique'!$A$770=CS21, 'Eval-Avant action écologique'!$B$770,0),IF('Eval-Avant action écologique'!$A$771=CS21, 'Eval-Avant action écologique'!$B$771,0),IF('Eval-Avant action écologique'!$A$772=CS21, 'Eval-Avant action écologique'!$B$772,0),IF('Eval-Avant action écologique'!$A$773=CS21, 'Eval-Avant action écologique'!$B$773,0),IF('Eval-Avant action écologique'!$A$774=CS21, 'Eval-Avant action écologique'!$B$774,0),IF('Eval-Avant action écologique'!$A$775=CS21, 'Eval-Avant action écologique'!$B$775,0),IF('Eval-Avant action écologique'!$A$776=CS21, 'Eval-Avant action écologique'!$B$776,0),IF('Eval-Avant action écologique'!$A$777=CS21, 'Eval-Avant action écologique'!$B$777,0),IF('Eval-Avant action écologique'!$A$778=CS21, 'Eval-Avant action écologique'!$B$778,0),IF('Eval-Avant action écologique'!$A$779=CS21, 'Eval-Avant action écologique'!$B$779,0),IF('Eval-Avant action écologique'!$A$780=CS21, 'Eval-Avant action écologique'!$B$780,0))/COUNTIF('Eval-Avant action écologique'!$A$761:$A$780,CS21),"")</f>
        <v/>
      </c>
      <c r="CU21" s="212" t="str">
        <f>IF(COUNTIF('Eval-Avant action écologique'!$A$761:$A$780,CS21)&gt;0,COUNTIF('Eval-Avant action écologique'!$A$761:$A$780,CS21),"")</f>
        <v/>
      </c>
      <c r="CV21" s="211" t="str">
        <f>IF(COUNTIF('Eval-Avant action écologique'!$A$761:$A$780,CS21)&gt;0,IF(OR(AND('Eval-Avant action écologique'!$A$761=CS21, 'Eval-Avant action écologique'!$G$761=""),AND('Eval-Avant action écologique'!$A$762=CS21, 'Eval-Avant action écologique'!$G$762=""),AND('Eval-Avant action écologique'!$A$763=CS21, 'Eval-Avant action écologique'!$G$763=""),AND('Eval-Avant action écologique'!$A$764=CS21, 'Eval-Avant action écologique'!$G$764=""),AND('Eval-Avant action écologique'!$A$765=CS21, 'Eval-Avant action écologique'!$G$765=""),AND('Eval-Avant action écologique'!$A$766=CS21, 'Eval-Avant action écologique'!$G$766=""),AND('Eval-Avant action écologique'!$A$767=CS21, 'Eval-Avant action écologique'!$G$767=""),AND('Eval-Avant action écologique'!$A$768=CS21, 'Eval-Avant action écologique'!$G$768=""),AND('Eval-Avant action écologique'!$A$769=CS21, 'Eval-Avant action écologique'!$G$769=""),AND('Eval-Avant action écologique'!$A$770=CS21, 'Eval-Avant action écologique'!$G$770=""),AND('Eval-Avant action écologique'!$A$771=CS21, 'Eval-Avant action écologique'!$G$771=""),AND('Eval-Avant action écologique'!$A$772=CS21, 'Eval-Avant action écologique'!$G$772=""),AND('Eval-Avant action écologique'!$A$773=CS21, 'Eval-Avant action écologique'!$G$773=""),AND('Eval-Avant action écologique'!$A$774=CS21, 'Eval-Avant action écologique'!$G$774=""),AND('Eval-Avant action écologique'!$A$775=CS21, 'Eval-Avant action écologique'!$G$775=""),AND('Eval-Avant action écologique'!$A$776=CS21, 'Eval-Avant action écologique'!$G$776=""),AND('Eval-Avant action écologique'!$A$777=CS21, 'Eval-Avant action écologique'!$G$777=""),AND('Eval-Avant action écologique'!$A$778=CS21, 'Eval-Avant action écologique'!$G$778=""),AND('Eval-Avant action écologique'!$A$779=CS21, 'Eval-Avant action écologique'!$G$779=""),AND('Eval-Avant action écologique'!$A$780=CS21, 'Eval-Avant action écologique'!$G$780="")),"",SUM(IF('Eval-Avant action écologique'!$A$761=CS21,'Eval-Avant action écologique'!$G$761,0),IF('Eval-Avant action écologique'!$A$762=CS21,'Eval-Avant action écologique'!$G$762,0),IF('Eval-Avant action écologique'!$A$763=CS21,'Eval-Avant action écologique'!$G$763,0),IF('Eval-Avant action écologique'!$A$764=CS21,'Eval-Avant action écologique'!$G$764,0),IF('Eval-Avant action écologique'!$A$765=CS21,'Eval-Avant action écologique'!$G$765,0),IF('Eval-Avant action écologique'!$A$766=CS21,'Eval-Avant action écologique'!$G$766,0),IF('Eval-Avant action écologique'!$A$767=CS21,'Eval-Avant action écologique'!$G$767,0),IF('Eval-Avant action écologique'!$A$768=CS21,'Eval-Avant action écologique'!$G$768,0),IF('Eval-Avant action écologique'!$A$769=CS21,'Eval-Avant action écologique'!$G$769,0),IF('Eval-Avant action écologique'!$A$770=CS21,'Eval-Avant action écologique'!$G$770,0),IF('Eval-Avant action écologique'!$A$771=CS21,'Eval-Avant action écologique'!$G$771,0),IF('Eval-Avant action écologique'!$A$772=CS21,'Eval-Avant action écologique'!$G$772,0),IF('Eval-Avant action écologique'!$A$773=CS21,'Eval-Avant action écologique'!$G$773,0),IF('Eval-Avant action écologique'!$A$774=CS21,'Eval-Avant action écologique'!$G$774,0),IF('Eval-Avant action écologique'!$A$775=CS21,'Eval-Avant action écologique'!$G$775,0), IF('Eval-Avant action écologique'!$A$776=CS21,'Eval-Avant action écologique'!$G$776,0), IF('Eval-Avant action écologique'!$A$777=CS21,'Eval-Avant action écologique'!$G$777,0), IF('Eval-Avant action écologique'!$A$778=CS21,'Eval-Avant action écologique'!$G$778,0), IF('Eval-Avant action écologique'!$A$779=CS21,'Eval-Avant action écologique'!$G$779,0), IF('Eval-Avant action écologique'!$A$780=CS21,'Eval-Avant action écologique'!$G$780,0))/ COUNTIF('Eval-Avant action écologique'!$A$761:$A$780,CS21)),"")</f>
        <v/>
      </c>
      <c r="CW21" s="212" t="str">
        <f>IF(COUNTIF('Eval-Avant action écologique'!$A$761:$A$780,CS21)&gt;0,IF(SUM(IF('Eval-Avant action écologique'!$A$761=CS21,COUNTA('Eval-Avant action écologique'!$H$761),0),IF('Eval-Avant action écologique'!$A$762=CS21,COUNTA('Eval-Avant action écologique'!$H$762),0),IF('Eval-Avant action écologique'!$A$763=CS21,COUNTA('Eval-Avant action écologique'!$H$763),0),IF('Eval-Avant action écologique'!$A$764=CS21,COUNTA('Eval-Avant action écologique'!$H$764),0),IF('Eval-Avant action écologique'!$A$765=CS21,COUNTA('Eval-Avant action écologique'!$H$765),0),IF('Eval-Avant action écologique'!$A$766=CS21,COUNTA('Eval-Avant action écologique'!$H$766),0),IF('Eval-Avant action écologique'!$A$767=CS21,COUNTA('Eval-Avant action écologique'!$H$767),0),IF('Eval-Avant action écologique'!$A$768=CS21,COUNTA('Eval-Avant action écologique'!$H$768),0),IF('Eval-Avant action écologique'!$A$769=CS21,COUNTA('Eval-Avant action écologique'!$H$769),0),IF('Eval-Avant action écologique'!$A$770=CS21,COUNTA('Eval-Avant action écologique'!$H$770),0),IF('Eval-Avant action écologique'!$A$771=CS21,COUNTA('Eval-Avant action écologique'!$H$771),0),IF('Eval-Avant action écologique'!$A$772=CS21,COUNTA('Eval-Avant action écologique'!$H$772),0),IF('Eval-Avant action écologique'!$A$773=CS21,COUNTA('Eval-Avant action écologique'!$H$773),0),IF('Eval-Avant action écologique'!$A$774=CS21,COUNTA('Eval-Avant action écologique'!$H$774),0),IF('Eval-Avant action écologique'!$A$775=CS21,COUNTA('Eval-Avant action écologique'!$H$775),0),IF('Eval-Avant action écologique'!$A$776=CS21,COUNTA('Eval-Avant action écologique'!$H$776),0),IF('Eval-Avant action écologique'!$A$777=CS21,COUNTA('Eval-Avant action écologique'!$H$777),0),IF('Eval-Avant action écologique'!$A$778=CS21,COUNTA('Eval-Avant action écologique'!$H$778),0),IF('Eval-Avant action écologique'!$A$779=CS21,COUNTA('Eval-Avant action écologique'!$H$779),0),IF('Eval-Avant action écologique'!$A$780=CS21,COUNTA('Eval-Avant action écologique'!$H$780),0))&gt;0,"X",0),"")</f>
        <v/>
      </c>
      <c r="CX21" s="213" t="str">
        <f>IF(COUNTIF('Eval-Avant action écologique'!$A$761:$A$780,CS21)&gt;0,IF(SUM(IF('Eval-Avant action écologique'!$A$761=CS21,COUNTA('Eval-Avant action écologique'!$I$761),0),IF('Eval-Avant action écologique'!$A$762=CS21,COUNTA('Eval-Avant action écologique'!$I$762),0),IF('Eval-Avant action écologique'!$A$763=CS21,COUNTA('Eval-Avant action écologique'!$I$763),0),IF('Eval-Avant action écologique'!$A$764=CS21,COUNTA('Eval-Avant action écologique'!$I$764),0),IF('Eval-Avant action écologique'!$A$765=CS21,COUNTA('Eval-Avant action écologique'!$I$765),0),IF('Eval-Avant action écologique'!$A$766=CS21,COUNTA('Eval-Avant action écologique'!$I$766),0),IF('Eval-Avant action écologique'!$A$767=CS21,COUNTA('Eval-Avant action écologique'!$I$767),0),IF('Eval-Avant action écologique'!$A$768=CS21,COUNTA('Eval-Avant action écologique'!$I$768),0),IF('Eval-Avant action écologique'!$A$769=CS21,COUNTA('Eval-Avant action écologique'!$I$769),0),IF('Eval-Avant action écologique'!$A$770=CS21,COUNTA('Eval-Avant action écologique'!$I$770),0),IF('Eval-Avant action écologique'!$A$771=CS21,COUNTA('Eval-Avant action écologique'!$I$771),0),IF('Eval-Avant action écologique'!$A$772=CS21,COUNTA('Eval-Avant action écologique'!$I$772),0),IF('Eval-Avant action écologique'!$A$773=CS21,COUNTA('Eval-Avant action écologique'!$I$773),0),IF('Eval-Avant action écologique'!$A$774=CS21,COUNTA('Eval-Avant action écologique'!$I$774),0),IF('Eval-Avant action écologique'!$A$775=CS21,COUNTA('Eval-Avant action écologique'!$I$775),0),IF('Eval-Avant action écologique'!$A$776=CS21,COUNTA('Eval-Avant action écologique'!$I$776),0),IF('Eval-Avant action écologique'!$A$777=CS21,COUNTA('Eval-Avant action écologique'!$I$777),0),IF('Eval-Avant action écologique'!$A$778=CS21,COUNTA('Eval-Avant action écologique'!$I$778),0),IF('Eval-Avant action écologique'!$A$779=CS21,COUNTA('Eval-Avant action écologique'!$I$779),0),IF('Eval-Avant action écologique'!$A$780=CS21,COUNTA('Eval-Avant action écologique'!$I$780),0))&gt;0,"X",0),"")</f>
        <v/>
      </c>
      <c r="CY21" s="213" t="str">
        <f>IF(COUNTIF('Eval-Avant action écologique'!$A$761:$A$780,CS21)&gt;0,IF(SUM(IF('Eval-Avant action écologique'!$A$761=CS21,COUNTA('Eval-Avant action écologique'!$J$761),0),IF('Eval-Avant action écologique'!$A$762=CS21,COUNTA('Eval-Avant action écologique'!$J$762),0),IF('Eval-Avant action écologique'!$A$763=CS21,COUNTA('Eval-Avant action écologique'!$J$763),0),IF('Eval-Avant action écologique'!$A$764=CS21,COUNTA('Eval-Avant action écologique'!$J$764),0),IF('Eval-Avant action écologique'!$A$765=CS21,COUNTA('Eval-Avant action écologique'!$J$765),0),IF('Eval-Avant action écologique'!$A$766=CS21,COUNTA('Eval-Avant action écologique'!$J$766),0),IF('Eval-Avant action écologique'!$A$767=CS21,COUNTA('Eval-Avant action écologique'!$J$767),0),IF('Eval-Avant action écologique'!$A$768=CS21,COUNTA('Eval-Avant action écologique'!$J$768),0),IF('Eval-Avant action écologique'!$A$769=CS21,COUNTA('Eval-Avant action écologique'!$J$769),0),IF('Eval-Avant action écologique'!$A$770=CS21,COUNTA('Eval-Avant action écologique'!$J$770),0),IF('Eval-Avant action écologique'!$A$771=CS21,COUNTA('Eval-Avant action écologique'!$J$771),0),IF('Eval-Avant action écologique'!$A$772=CS21,COUNTA('Eval-Avant action écologique'!$J$772),0),IF('Eval-Avant action écologique'!$A$773=CS21,COUNTA('Eval-Avant action écologique'!$J$773),0),IF('Eval-Avant action écologique'!$A$774=CS21,COUNTA('Eval-Avant action écologique'!$J$774),0),IF('Eval-Avant action écologique'!$A$775=CS21,COUNTA('Eval-Avant action écologique'!$J$775),0),IF('Eval-Avant action écologique'!$A$776=CS21,COUNTA('Eval-Avant action écologique'!$J$776),0),IF('Eval-Avant action écologique'!$A$777=CS21,COUNTA('Eval-Avant action écologique'!$J$777),0),IF('Eval-Avant action écologique'!$A$778=CS21,COUNTA('Eval-Avant action écologique'!$J$778),0),IF('Eval-Avant action écologique'!$A$779=CS21,COUNTA('Eval-Avant action écologique'!$J$779),0),IF('Eval-Avant action écologique'!$A$780=CS21,COUNTA('Eval-Avant action écologique'!$J$780),0))&gt;0,"X",0),"")</f>
        <v/>
      </c>
      <c r="CZ21" s="213" t="str">
        <f>IF(COUNTIF('Eval-Avant action écologique'!$A$761:$A$780,CS21)&gt;0,IF(SUM(IF('Eval-Avant action écologique'!$A$761=CS21,COUNTA('Eval-Avant action écologique'!$K$761),0),IF('Eval-Avant action écologique'!$A$762=CS21,COUNTA('Eval-Avant action écologique'!$K$762),0),IF('Eval-Avant action écologique'!$A$763=CS21,COUNTA('Eval-Avant action écologique'!$K$763),0),IF('Eval-Avant action écologique'!$A$764=CS21,COUNTA('Eval-Avant action écologique'!$K$764),0),IF('Eval-Avant action écologique'!$A$765=CS21,COUNTA('Eval-Avant action écologique'!$K$765),0),IF('Eval-Avant action écologique'!$A$766=CS21,COUNTA('Eval-Avant action écologique'!$K$766),0),IF('Eval-Avant action écologique'!$A$767=CS21,COUNTA('Eval-Avant action écologique'!$K$767),0),IF('Eval-Avant action écologique'!$A$768=CS21,COUNTA('Eval-Avant action écologique'!$K$768),0),IF('Eval-Avant action écologique'!$A$769=CS21,COUNTA('Eval-Avant action écologique'!$K$769),0),IF('Eval-Avant action écologique'!$A$770=CS21,COUNTA('Eval-Avant action écologique'!$K$770),0),IF('Eval-Avant action écologique'!$A$771=CS21,COUNTA('Eval-Avant action écologique'!$K$771),0),IF('Eval-Avant action écologique'!$A$772=CS21,COUNTA('Eval-Avant action écologique'!$K$772),0),IF('Eval-Avant action écologique'!$A$773=CS21,COUNTA('Eval-Avant action écologique'!$K$773),0),IF('Eval-Avant action écologique'!$A$774=CS21,COUNTA('Eval-Avant action écologique'!$K$774),0),IF('Eval-Avant action écologique'!$A$775=CS21,COUNTA('Eval-Avant action écologique'!$K$775),0),IF('Eval-Avant action écologique'!$A$776=CS21,COUNTA('Eval-Avant action écologique'!$K$776),0),IF('Eval-Avant action écologique'!$A$777=CS21,COUNTA('Eval-Avant action écologique'!$K$777),0),IF('Eval-Avant action écologique'!$A$778=CS21,COUNTA('Eval-Avant action écologique'!$K$778),0),IF('Eval-Avant action écologique'!$A$779=CS21,COUNTA('Eval-Avant action écologique'!$K$779),0),IF('Eval-Avant action écologique'!$A$780=CS21,COUNTA('Eval-Avant action écologique'!$K$780),0))&gt;0,"X",0),"")</f>
        <v/>
      </c>
      <c r="DA21" s="211" t="str">
        <f>IF(COUNTIF('Eval-Avant action écologique'!$A$761:$A$780,CS21)&gt;0,IF(OR(AND('Eval-Avant action écologique'!$A$761=CS21,'Eval-Avant action écologique'!$L$761&lt;120,'Eval-Avant action écologique'!$L$761&gt;=DP9),AND('Eval-Avant action écologique'!$A$762=CS21,'Eval-Avant action écologique'!$L$762&lt;120,'Eval-Avant action écologique'!$L$762&gt;=DP10),AND('Eval-Avant action écologique'!$A$763=CS21,'Eval-Avant action écologique'!$L$763&lt;120,'Eval-Avant action écologique'!$L$763&gt;=DP11),AND('Eval-Avant action écologique'!$A$764=CS21,'Eval-Avant action écologique'!$L$764&lt;120,'Eval-Avant action écologique'!$L$764&gt;=DP12),AND('Eval-Avant action écologique'!$A$765=CS21,'Eval-Avant action écologique'!$L$765&lt;120,'Eval-Avant action écologique'!$L$765&gt;=DP13),AND('Eval-Avant action écologique'!$A$766=CS21,'Eval-Avant action écologique'!$L$766&lt;120,'Eval-Avant action écologique'!$L$766&gt;=DP14),AND('Eval-Avant action écologique'!$A$767=CS21,'Eval-Avant action écologique'!$L$767&lt;120,'Eval-Avant action écologique'!$L$767&gt;=DP15),AND('Eval-Avant action écologique'!$A$768=CS21,'Eval-Avant action écologique'!$L$768&lt;120,'Eval-Avant action écologique'!$L$768&gt;=DP16),AND('Eval-Avant action écologique'!$A$769=CS21,'Eval-Avant action écologique'!$L$769&lt;120,'Eval-Avant action écologique'!$L$769&gt;=DP17),AND('Eval-Avant action écologique'!$A$770=CS21,'Eval-Avant action écologique'!$L$770&lt;120,'Eval-Avant action écologique'!$L$770&gt;=DP18),AND('Eval-Avant action écologique'!$A$771=CS21,'Eval-Avant action écologique'!$L$771&lt;120,'Eval-Avant action écologique'!$L$771&gt;=DP19),AND('Eval-Avant action écologique'!$A$772=CS21,'Eval-Avant action écologique'!$L$772&lt;120,'Eval-Avant action écologique'!$L$772&gt;=DP20),AND('Eval-Avant action écologique'!$A$773=CS21,'Eval-Avant action écologique'!$L$773&lt;120,'Eval-Avant action écologique'!$L$773&gt;=DP21),AND('Eval-Avant action écologique'!$A$774=CS21,'Eval-Avant action écologique'!$L$774&lt;120,'Eval-Avant action écologique'!$L$774&gt;=DP22),AND('Eval-Avant action écologique'!$A$775=CS21,'Eval-Avant action écologique'!$L$775&lt;120,'Eval-Avant action écologique'!$L$775&gt;=DP23),AND('Eval-Avant action écologique'!$A$776=CS21,'Eval-Avant action écologique'!$L$776&lt;120,'Eval-Avant action écologique'!$L$776&gt;=DP24),AND('Eval-Avant action écologique'!$A$777=CS21,'Eval-Avant action écologique'!$L$777&lt;120,'Eval-Avant action écologique'!$L$777&gt;=DP25),AND('Eval-Avant action écologique'!$A$778=CS21,'Eval-Avant action écologique'!$L$778&lt;120,'Eval-Avant action écologique'!$L$778&gt;=DP26),AND('Eval-Avant action écologique'!$A$779=CS21,'Eval-Avant action écologique'!$L$779&lt;120,'Eval-Avant action écologique'!$L$779&gt;=DP27),AND('Eval-Avant action écologique'!$A$780=CS21,'Eval-Avant action écologique'!$L$780&lt;120,'Eval-Avant action écologique'!$L$780&gt;=DP28)),"",SUM(IF('Eval-Avant action écologique'!$A$761=CS21,'Eval-Avant action écologique'!$L$761,0),IF('Eval-Avant action écologique'!$A$762=CS21,'Eval-Avant action écologique'!$L$762,0),IF('Eval-Avant action écologique'!$A$763=CS21,'Eval-Avant action écologique'!$L$763,0),IF('Eval-Avant action écologique'!$A$764=CS21,'Eval-Avant action écologique'!$L$764,0),IF('Eval-Avant action écologique'!$A$765=CS21,'Eval-Avant action écologique'!$L$765,0),IF('Eval-Avant action écologique'!$A$766=CS21,'Eval-Avant action écologique'!$L$766,0),IF('Eval-Avant action écologique'!$A$767=CS21,'Eval-Avant action écologique'!$L$767,0),IF('Eval-Avant action écologique'!$A$768=CS21,'Eval-Avant action écologique'!$L$768,0),IF('Eval-Avant action écologique'!$A$769=CS21,'Eval-Avant action écologique'!$L$769,0),IF('Eval-Avant action écologique'!$A$770=CS21,'Eval-Avant action écologique'!$L$770,0),IF('Eval-Avant action écologique'!$A$771=CS21,'Eval-Avant action écologique'!$L$771,0),IF('Eval-Avant action écologique'!$A$772=CS21,'Eval-Avant action écologique'!$L$772,0),IF('Eval-Avant action écologique'!$A$773=CS21,'Eval-Avant action écologique'!$L$773,0),IF('Eval-Avant action écologique'!$A$774=CS21,'Eval-Avant action écologique'!$L$774,0),IF('Eval-Avant action écologique'!$A$775=CS21,'Eval-Avant action écologique'!$L$775,0),IF('Eval-Avant action écologique'!$A$776=CS21,'Eval-Avant action écologique'!$L$776,0),IF('Eval-Avant action écologique'!$A$777=CS21,'Eval-Avant action écologique'!$L$777,0),IF('Eval-Avant action écologique'!$A$778=CS21,'Eval-Avant action écologique'!$L$778,0),IF('Eval-Avant action écologique'!$A$779=CS21,'Eval-Avant action écologique'!$L$779,0),IF('Eval-Avant action écologique'!$A$780=CS21,'Eval-Avant action écologique'!$L$780,0))/ COUNTIF('Eval-Avant action écologique'!$A$761:$A$780,CS21)),"")</f>
        <v/>
      </c>
      <c r="DB21" s="211" t="str">
        <f>IF(COUNTIF('Eval-Avant action écologique'!$A$761:$A$780,CS21)&gt;0,IF(OR(AND('Eval-Avant action écologique'!$A$761=CS21, DP9&lt;120),AND(DP10&lt;120),AND(DP11&lt;120),AND(DP12&lt;120),AND(DP13&lt;120),AND(DP14&lt;120),AND(DP15&lt;120),AND(DP16&lt;120),AND(DP17&lt;120),AND(DP18&lt;120),AND(DP19&lt;120),AND(DP20&lt;120),AND(DP21&lt;120),AND(DP22&lt;120),AND(DP23&lt;120),AND(DP24&lt;120),AND(DP25&lt;120),AND(DP26&lt;120),AND(DP27&lt;120),AND(DP28&lt;120)),"",SUM(IF('Eval-Avant action écologique'!$A$761=CS21,'Eval-Avant action écologique'!$M$761,0),IF('Eval-Avant action écologique'!$A$762=CS21,'Eval-Avant action écologique'!$M$762,0),IF('Eval-Avant action écologique'!$A$763=CS21,'Eval-Avant action écologique'!$M$763,0),IF('Eval-Avant action écologique'!$A$764=CS21,'Eval-Avant action écologique'!$M$764,0),IF('Eval-Avant action écologique'!$A$765=CS21,'Eval-Avant action écologique'!$M$765,0),IF('Eval-Avant action écologique'!$A$766=CS21,'Eval-Avant action écologique'!$M$766,0),IF('Eval-Avant action écologique'!$A$767=CS21,'Eval-Avant action écologique'!$M$767,0),IF('Eval-Avant action écologique'!$A$768=CS21,'Eval-Avant action écologique'!$M$768,0),IF('Eval-Avant action écologique'!$A$769=CS21,'Eval-Avant action écologique'!$M$769,0),IF('Eval-Avant action écologique'!$A$770=CS21,'Eval-Avant action écologique'!$M$770,0),IF('Eval-Avant action écologique'!$A$771=CS21,'Eval-Avant action écologique'!$M$771,0),IF('Eval-Avant action écologique'!$A$772=CS21,'Eval-Avant action écologique'!$M$772,0),IF('Eval-Avant action écologique'!$A$773=CS21,'Eval-Avant action écologique'!$M$773,0),IF('Eval-Avant action écologique'!$A$774=CS21,'Eval-Avant action écologique'!$M$774,0),IF('Eval-Avant action écologique'!$A$775=CS21,'Eval-Avant action écologique'!$M$775,0), IF('Eval-Avant action écologique'!$A$776=CS21,'Eval-Avant action écologique'!$M$776,0), IF('Eval-Avant action écologique'!$A$777=CS21,'Eval-Avant action écologique'!$M$777,0), IF('Eval-Avant action écologique'!$A$778=CS21,'Eval-Avant action écologique'!$M$778,0), IF('Eval-Avant action écologique'!$A$779=CS21,'Eval-Avant action écologique'!$M$779,0), IF('Eval-Avant action écologique'!$A$780=CS21,'Eval-Avant action écologique'!$M$780,0))/COUNTIF('Eval-Avant action écologique'!$A$761:$A$780,CS21)),"")</f>
        <v/>
      </c>
      <c r="DC21" s="211" t="str">
        <f>IF(COUNTIF('Eval-Avant action écologique'!$A$761:$A$780,CS21)&gt;0,SUM(IF('Eval-Avant action écologique'!$A$761=CS21,LEN(SUBSTITUTE((SUBSTITUTE(DR9,"TM","")),"TS",""))*10/2,0),IF('Eval-Avant action écologique'!$A$762=CS21,LEN(SUBSTITUTE((SUBSTITUTE(DR10,"TM","")),"TS",""))*10/2,0),IF('Eval-Avant action écologique'!$A$763=CS21,LEN(SUBSTITUTE((SUBSTITUTE(DR11,"TM","")),"TS",""))*10/2,0),IF('Eval-Avant action écologique'!$A$764=CS21,LEN(SUBSTITUTE((SUBSTITUTE(DR12,"TM","")),"TS",""))*10/2,0),IF('Eval-Avant action écologique'!$A$765=CS21,LEN(SUBSTITUTE((SUBSTITUTE(DR13,"TM","")),"TS",""))*10/2,0),IF('Eval-Avant action écologique'!$A$766=CS21,LEN(SUBSTITUTE((SUBSTITUTE(DR14,"TM","")),"TS",""))*10/2,0),IF('Eval-Avant action écologique'!$A$767=CS21,LEN(SUBSTITUTE((SUBSTITUTE(DR15,"TM","")),"TS",""))*10/2,0),IF('Eval-Avant action écologique'!$A$768=CS21,LEN(SUBSTITUTE((SUBSTITUTE(DR16,"TM","")),"TS",""))*10/2,0),IF('Eval-Avant action écologique'!$A$769=CS21,LEN(SUBSTITUTE((SUBSTITUTE(DR17,"TM","")),"TS",""))*10/2,0),IF('Eval-Avant action écologique'!$A$770=CS21,LEN(SUBSTITUTE((SUBSTITUTE(DR18,"TM","")),"TS",""))*10/2,0),IF('Eval-Avant action écologique'!$A$771=CS21,LEN(SUBSTITUTE((SUBSTITUTE(DR19,"TM","")),"TS",""))*10/2,0),IF('Eval-Avant action écologique'!$A$772=CS21,LEN(SUBSTITUTE((SUBSTITUTE(DR20,"TM","")),"TS",""))*10/2,0),IF('Eval-Avant action écologique'!$A$773=CS21,LEN(SUBSTITUTE((SUBSTITUTE(DR21,"TM","")),"TS",""))*10/2,0),IF('Eval-Avant action écologique'!$A$774=CS21,LEN(SUBSTITUTE((SUBSTITUTE(DR22,"TM","")),"TS",""))*10/2,0),IF('Eval-Avant action écologique'!$A$775=CS21,LEN(SUBSTITUTE((SUBSTITUTE(DR23,"TM","")),"TS",""))*10/2,0),IF('Eval-Avant action écologique'!$A$776=CS21,LEN(SUBSTITUTE((SUBSTITUTE(DR24,"TM","")),"TS",""))*10/2,0),IF('Eval-Avant action écologique'!$A$777=CS21,LEN(SUBSTITUTE((SUBSTITUTE(DR25,"TM","")),"TS",""))*10/2,0),IF('Eval-Avant action écologique'!$A$778=CS21,LEN(SUBSTITUTE((SUBSTITUTE(DR26,"TM","")),"TS",""))*10/2,0),IF('Eval-Avant action écologique'!$A$779=CS21,LEN(SUBSTITUTE((SUBSTITUTE(DR27,"TM","")),"TS",""))*10/2,0),IF('Eval-Avant action écologique'!$A$780=CS21,LEN(SUBSTITUTE((SUBSTITUTE(DR28,"TM","")),"TS",""))*10/2,0))/COUNTIF('Eval-Avant action écologique'!$A$761:$A$780,CS21),"")</f>
        <v/>
      </c>
      <c r="DD21" s="211" t="str">
        <f>IF(COUNTIF('Eval-Avant action écologique'!$A$761:$A$780,CS21)&gt;0,SUM(IF('Eval-Avant action écologique'!$A$761=CS21,LEN(SUBSTITUTE((SUBSTITUTE(DR9,"TF","")),"TS",""))*10/2,0),IF('Eval-Avant action écologique'!$A$762=CS21,LEN(SUBSTITUTE((SUBSTITUTE(DR10,"TF","")),"TS",""))*10/2,0),IF('Eval-Avant action écologique'!$A$763=CS21,LEN(SUBSTITUTE((SUBSTITUTE(DR11,"TF","")),"TS",""))*10/2,0),IF('Eval-Avant action écologique'!$A$764=CS21,LEN(SUBSTITUTE((SUBSTITUTE(DR12,"TF","")),"TS",""))*10/2,0),IF('Eval-Avant action écologique'!$A$765=CS21,LEN(SUBSTITUTE((SUBSTITUTE(DR13,"TF","")),"TS",""))*10/2,0),IF('Eval-Avant action écologique'!$A$766=CS21,LEN(SUBSTITUTE((SUBSTITUTE(DR14,"TF","")),"TS",""))*10/2,0),IF('Eval-Avant action écologique'!$A$767=CS21,LEN(SUBSTITUTE((SUBSTITUTE(DR15,"TF","")),"TS",""))*10/2,0),IF('Eval-Avant action écologique'!$A$768=CS21,LEN(SUBSTITUTE((SUBSTITUTE(DR16,"TF","")),"TS",""))*10/2,0),IF('Eval-Avant action écologique'!$A$769=CS21,LEN(SUBSTITUTE((SUBSTITUTE(DR17,"TF","")),"TS",""))*10/2,0),IF('Eval-Avant action écologique'!$A$770=CS21,LEN(SUBSTITUTE((SUBSTITUTE(DR18,"TF","")),"TS",""))*10/2,0),IF('Eval-Avant action écologique'!$A$771=CS21,LEN(SUBSTITUTE((SUBSTITUTE(DR19,"TF","")),"TS",""))*10/2,0),IF('Eval-Avant action écologique'!$A$772=CS21,LEN(SUBSTITUTE((SUBSTITUTE(DR20,"TF","")),"TS",""))*10/2,0),IF('Eval-Avant action écologique'!$A$773=CS21,LEN(SUBSTITUTE((SUBSTITUTE(DR21,"TF","")),"TS",""))*10/2,0),IF('Eval-Avant action écologique'!$A$774=CS21,LEN(SUBSTITUTE((SUBSTITUTE(DR22,"TF","")),"TS",""))*10/2,0),IF('Eval-Avant action écologique'!$A$775=CS21,LEN(SUBSTITUTE((SUBSTITUTE(DR23,"TF","")),"TS",""))*10/2,0),IF('Eval-Avant action écologique'!$A$776=CS21,LEN(SUBSTITUTE((SUBSTITUTE(DR24,"TF","")),"TS",""))*10/2,0),IF('Eval-Avant action écologique'!$A$777=CS21,LEN(SUBSTITUTE((SUBSTITUTE(DR25,"TF","")),"TS",""))*10/2,0),IF('Eval-Avant action écologique'!$A$778=CS21,LEN(SUBSTITUTE((SUBSTITUTE(DR26,"TF","")),"TS",""))*10/2,0),IF('Eval-Avant action écologique'!$A$779=CS21,LEN(SUBSTITUTE((SUBSTITUTE(DR27,"TF","")),"TS",""))*10/2,0),IF('Eval-Avant action écologique'!$A$780=CS21,LEN(SUBSTITUTE((SUBSTITUTE(DR28,"TF","")),"TS",""))*10/2,0))/COUNTIF('Eval-Avant action écologique'!$A$761:$A$780,CS21),"")</f>
        <v/>
      </c>
      <c r="DE21" s="211" t="str">
        <f>IF(COUNTIF('Eval-Avant action écologique'!$A$761:$A$780,CS21)&gt;0,SUM(IF('Eval-Avant action écologique'!$A$761=CS21,LEN(SUBSTITUTE((SUBSTITUTE(DR9,"TF","")),"TM",""))*10/2,0),IF('Eval-Avant action écologique'!$A$762=CS21,LEN(SUBSTITUTE((SUBSTITUTE(DR10,"TF","")),"TM",""))*10/2,0),IF('Eval-Avant action écologique'!$A$763=CS21,LEN(SUBSTITUTE((SUBSTITUTE(DR11,"TF","")),"TM",""))*10/2,0),IF('Eval-Avant action écologique'!$A$764=CS21,LEN(SUBSTITUTE((SUBSTITUTE(DR12,"TF","")),"TM",""))*10/2,0),IF('Eval-Avant action écologique'!$A$765=CS21,LEN(SUBSTITUTE((SUBSTITUTE(DR13,"TF","")),"TM",""))*10/2,0),IF('Eval-Avant action écologique'!$A$766=CS21,LEN(SUBSTITUTE((SUBSTITUTE(DR14,"TF","")),"TM",""))*10/2,0),IF('Eval-Avant action écologique'!$A$767=CS21,LEN(SUBSTITUTE((SUBSTITUTE(DR15,"TF","")),"TM",""))*10/2,0),IF('Eval-Avant action écologique'!$A$768=CS21,LEN(SUBSTITUTE((SUBSTITUTE(DR16,"TF","")),"TM",""))*10/2,0),IF('Eval-Avant action écologique'!$A$769=CS21,LEN(SUBSTITUTE((SUBSTITUTE(DR17,"TF","")),"TM",""))*10/2,0),IF('Eval-Avant action écologique'!$A$770=CS21,LEN(SUBSTITUTE((SUBSTITUTE(DR18,"TF","")),"TM",""))*10/2,0),IF('Eval-Avant action écologique'!$A$771=CS21,LEN(SUBSTITUTE((SUBSTITUTE(DR19,"TF","")),"TM",""))*10/2,0),IF('Eval-Avant action écologique'!$A$772=CS21,LEN(SUBSTITUTE((SUBSTITUTE(DR20,"TF","")),"TM",""))*10/2,0),IF('Eval-Avant action écologique'!$A$773=CS21,LEN(SUBSTITUTE((SUBSTITUTE(DR21,"TF","")),"TM",""))*10/2,0),IF('Eval-Avant action écologique'!$A$774=CS21,LEN(SUBSTITUTE((SUBSTITUTE(DR22,"TF","")),"TM",""))*10/2,0),IF('Eval-Avant action écologique'!$A$775=CS21,LEN(SUBSTITUTE((SUBSTITUTE(DR23,"TF","")),"TM",""))*10/2,0),IF('Eval-Avant action écologique'!$A$776=CS21,LEN(SUBSTITUTE((SUBSTITUTE(DR24,"TF","")),"TM",""))*10/2,0),IF('Eval-Avant action écologique'!$A$777=CS21,LEN(SUBSTITUTE((SUBSTITUTE(DR25,"TF","")),"TM",""))*10/2,0),IF('Eval-Avant action écologique'!$A$778=CS21,LEN(SUBSTITUTE((SUBSTITUTE(DR26,"TF","")),"TM",""))*10/2,0),IF('Eval-Avant action écologique'!$A$779=CS21,LEN(SUBSTITUTE((SUBSTITUTE(DR27,"TF","")),"TM",""))*10/2,0),IF('Eval-Avant action écologique'!$A$780=CS21,LEN(SUBSTITUTE((SUBSTITUTE(DR28,"TF","")),"TM",""))*10/2,0))/COUNTIF('Eval-Avant action écologique'!$A$761:$A$780,CS21),"")</f>
        <v/>
      </c>
      <c r="DF21" s="211" t="str">
        <f>IF(COUNTIF('Eval-Avant action écologique'!$A$761:$A$780,CS21)&gt;0,SUM(IF('Eval-Avant action écologique'!$A$761=CS21,LEN(SUBSTITUTE((SUBSTITUTE(DS9,"TM","")),"TS",""))*10/2,0),IF('Eval-Avant action écologique'!$A$762=CS21,LEN(SUBSTITUTE((SUBSTITUTE(DS10,"TM","")),"TS",""))*10/2,0),IF('Eval-Avant action écologique'!$A$763=CS21,LEN(SUBSTITUTE((SUBSTITUTE(DS11,"TM","")),"TS",""))*10/2,0),IF('Eval-Avant action écologique'!$A$764=CS21,LEN(SUBSTITUTE((SUBSTITUTE(DS12,"TM","")),"TS",""))*10/2,0),IF('Eval-Avant action écologique'!$A$765=CS21,LEN(SUBSTITUTE((SUBSTITUTE(DS13,"TM","")),"TS",""))*10/2,0),IF('Eval-Avant action écologique'!$A$766=CS21,LEN(SUBSTITUTE((SUBSTITUTE(DS14,"TM","")),"TS",""))*10/2,0),IF('Eval-Avant action écologique'!$A$767=CS21,LEN(SUBSTITUTE((SUBSTITUTE(DS15,"TM","")),"TS",""))*10/2,0),IF('Eval-Avant action écologique'!$A$768=CS21,LEN(SUBSTITUTE((SUBSTITUTE(DS16,"TM","")),"TS",""))*10/2,0),IF('Eval-Avant action écologique'!$A$769=CS21,LEN(SUBSTITUTE((SUBSTITUTE(DS17,"TM","")),"TS",""))*10/2,0),IF('Eval-Avant action écologique'!$A$770=CS21,LEN(SUBSTITUTE((SUBSTITUTE(DS18,"TM","")),"TS",""))*10/2,0),IF('Eval-Avant action écologique'!$A$771=CS21,LEN(SUBSTITUTE((SUBSTITUTE(DS19,"TM","")),"TS",""))*10/2,0),IF('Eval-Avant action écologique'!$A$772=CS21,LEN(SUBSTITUTE((SUBSTITUTE(DS20,"TM","")),"TS",""))*10/2,0),IF('Eval-Avant action écologique'!$A$773=CS21,LEN(SUBSTITUTE((SUBSTITUTE(DS21,"TM","")),"TS",""))*10/2,0),IF('Eval-Avant action écologique'!$A$774=CS21,LEN(SUBSTITUTE((SUBSTITUTE(DS22,"TM","")),"TS",""))*10/2,0),IF('Eval-Avant action écologique'!$A$775=CS21,LEN(SUBSTITUTE((SUBSTITUTE(DS23,"TM","")),"TS",""))*10/2,0),IF('Eval-Avant action écologique'!$A$776=CS21,LEN(SUBSTITUTE((SUBSTITUTE(DS24,"TM","")),"TS",""))*10/2,0),IF('Eval-Avant action écologique'!$A$777=CS21,LEN(SUBSTITUTE((SUBSTITUTE(DS25,"TM","")),"TS",""))*10/2,0),IF('Eval-Avant action écologique'!$A$778=CS21,LEN(SUBSTITUTE((SUBSTITUTE(DS26,"TM","")),"TS",""))*10/2,0),IF('Eval-Avant action écologique'!$A$779=CS21,LEN(SUBSTITUTE((SUBSTITUTE(DS27,"TM","")),"TS",""))*10/2,0),IF('Eval-Avant action écologique'!$A$780=CS21,LEN(SUBSTITUTE((SUBSTITUTE(DS28,"TM","")),"TS",""))*10/2,0))/COUNTIF('Eval-Avant action écologique'!$A$761:$A$780,CS21),"")</f>
        <v/>
      </c>
      <c r="DG21" s="211" t="str">
        <f>IF(COUNTIF('Eval-Avant action écologique'!$A$761:$A$780,CS21)&gt;0,SUM(IF('Eval-Avant action écologique'!$A$761=CS21,LEN(SUBSTITUTE((SUBSTITUTE(DS9,"TF","")),"TS",""))*10/2,0),IF('Eval-Avant action écologique'!$A$762=CS21,LEN(SUBSTITUTE((SUBSTITUTE(DS10,"TF","")),"TS",""))*10/2,0),IF('Eval-Avant action écologique'!$A$763=CS21,LEN(SUBSTITUTE((SUBSTITUTE(DS11,"TF","")),"TS",""))*10/2,0),IF('Eval-Avant action écologique'!$A$764=CS21,LEN(SUBSTITUTE((SUBSTITUTE(DS12,"TF","")),"TS",""))*10/2,0),IF('Eval-Avant action écologique'!$A$765=CS21,LEN(SUBSTITUTE((SUBSTITUTE(DS13,"TF","")),"TS",""))*10/2,0),IF('Eval-Avant action écologique'!$A$766=CS21,LEN(SUBSTITUTE((SUBSTITUTE(DS14,"TF","")),"TS",""))*10/2,0),IF('Eval-Avant action écologique'!$A$767=CS21,LEN(SUBSTITUTE((SUBSTITUTE(DS15,"TF","")),"TS",""))*10/2,0),IF('Eval-Avant action écologique'!$A$768=CS21,LEN(SUBSTITUTE((SUBSTITUTE(DS16,"TF","")),"TS",""))*10/2,0),IF('Eval-Avant action écologique'!$A$769=CS21,LEN(SUBSTITUTE((SUBSTITUTE(DS17,"TF","")),"TS",""))*10/2,0),IF('Eval-Avant action écologique'!$A$770=CS21,LEN(SUBSTITUTE((SUBSTITUTE(DS18,"TF","")),"TS",""))*10/2,0),IF('Eval-Avant action écologique'!$A$771=CS21,LEN(SUBSTITUTE((SUBSTITUTE(DS19,"TF","")),"TS",""))*10/2,0),IF('Eval-Avant action écologique'!$A$772=CS21,LEN(SUBSTITUTE((SUBSTITUTE(DS20,"TF","")),"TS",""))*10/2,0),IF('Eval-Avant action écologique'!$A$773=CS21,LEN(SUBSTITUTE((SUBSTITUTE(DS21,"TF","")),"TS",""))*10/2,0),IF('Eval-Avant action écologique'!$A$774=CS21,LEN(SUBSTITUTE((SUBSTITUTE(DS22,"TF","")),"TS",""))*10/2,0),IF('Eval-Avant action écologique'!$A$775=CS21,LEN(SUBSTITUTE((SUBSTITUTE(DS23,"TF","")),"TS",""))*10/2,0),IF('Eval-Avant action écologique'!$A$776=CS21,LEN(SUBSTITUTE((SUBSTITUTE(DS24,"TF","")),"TS",""))*10/2,0),IF('Eval-Avant action écologique'!$A$777=CS21,LEN(SUBSTITUTE((SUBSTITUTE(DS25,"TF","")),"TS",""))*10/2,0),IF('Eval-Avant action écologique'!$A$778=CS21,LEN(SUBSTITUTE((SUBSTITUTE(DS26,"TF","")),"TS",""))*10/2,0),IF('Eval-Avant action écologique'!$A$779=CS21,LEN(SUBSTITUTE((SUBSTITUTE(DS27,"TF","")),"TS",""))*10/2,0),IF('Eval-Avant action écologique'!$A$780=CS21,LEN(SUBSTITUTE((SUBSTITUTE(DS28,"TF","")),"TS",""))*10/2,0))/COUNTIF('Eval-Avant action écologique'!$A$761:$A$780,CS21),"")</f>
        <v/>
      </c>
      <c r="DH21" s="211" t="str">
        <f>IF(COUNTIF('Eval-Avant action écologique'!$A$761:$A$780,CS21)&gt;0,SUM(IF('Eval-Avant action écologique'!$A$761=CS21,LEN(SUBSTITUTE((SUBSTITUTE(DS9,"TF","")),"TM",""))*10/2,0),IF('Eval-Avant action écologique'!$A$762=CS21,LEN(SUBSTITUTE((SUBSTITUTE(DS10,"TF","")),"TM",""))*10/2,0),IF('Eval-Avant action écologique'!$A$763=CS21,LEN(SUBSTITUTE((SUBSTITUTE(DS11,"TF","")),"TM",""))*10/2,0),IF('Eval-Avant action écologique'!$A$764=CS21,LEN(SUBSTITUTE((SUBSTITUTE(DS12,"TF","")),"TM",""))*10/2,0),IF('Eval-Avant action écologique'!$A$765=CS21,LEN(SUBSTITUTE((SUBSTITUTE(DS13,"TF","")),"TM",""))*10/2,0),IF('Eval-Avant action écologique'!$A$766=CS21,LEN(SUBSTITUTE((SUBSTITUTE(DS14,"TF","")),"TM",""))*10/2,0),IF('Eval-Avant action écologique'!$A$767=CS21,LEN(SUBSTITUTE((SUBSTITUTE(DS15,"TF","")),"TM",""))*10/2,0),IF('Eval-Avant action écologique'!$A$768=CS21,LEN(SUBSTITUTE((SUBSTITUTE(DS16,"TF","")),"TM",""))*10/2,0),IF('Eval-Avant action écologique'!$A$769=CS21,LEN(SUBSTITUTE((SUBSTITUTE(DS17,"TF","")),"TM",""))*10/2,0),IF('Eval-Avant action écologique'!$A$770=CS21,LEN(SUBSTITUTE((SUBSTITUTE(DS18,"TF","")),"TM",""))*10/2,0),IF('Eval-Avant action écologique'!$A$771=CS21,LEN(SUBSTITUTE((SUBSTITUTE(DS19,"TF","")),"TM",""))*10/2,0),IF('Eval-Avant action écologique'!$A$772=CS21,LEN(SUBSTITUTE((SUBSTITUTE(DS20,"TF","")),"TM",""))*10/2,0),IF('Eval-Avant action écologique'!$A$773=CS21,LEN(SUBSTITUTE((SUBSTITUTE(DS21,"TF","")),"TM",""))*10/2,0),IF('Eval-Avant action écologique'!$A$774=CS21,LEN(SUBSTITUTE((SUBSTITUTE(DS22,"TF","")),"TM",""))*10/2,0),IF('Eval-Avant action écologique'!$A$775=CS21,LEN(SUBSTITUTE((SUBSTITUTE(DS23,"TF","")),"TM",""))*10/2,0),IF('Eval-Avant action écologique'!$A$776=CS21,LEN(SUBSTITUTE((SUBSTITUTE(DS24,"TF","")),"TM",""))*10/2,0),IF('Eval-Avant action écologique'!$A$777=CS21,LEN(SUBSTITUTE((SUBSTITUTE(DS25,"TF","")),"TM",""))*10/2,0),IF('Eval-Avant action écologique'!$A$778=CS21,LEN(SUBSTITUTE((SUBSTITUTE(DS26,"TF","")),"TM",""))*10/2,0),IF('Eval-Avant action écologique'!$A$779=CS21,LEN(SUBSTITUTE((SUBSTITUTE(DS27,"TF","")),"TM",""))*10/2,0),IF('Eval-Avant action écologique'!$A$780=CS21,LEN(SUBSTITUTE((SUBSTITUTE(DS28,"TF","")),"TM",""))*10/2,0))/COUNTIF('Eval-Avant action écologique'!$A$761:$A$780,CS21),"")</f>
        <v/>
      </c>
      <c r="DI21" s="211" t="str">
        <f>IF(COUNTIF('Eval-Avant action écologique'!$A$761:$A$780,CS21)&gt;0,IF(OR(AND('Eval-Avant action écologique'!$A$761=CS21,DP9&lt;30),AND('Eval-Avant action écologique'!$A$762=CS21,DP10&lt;30),AND('Eval-Avant action écologique'!$A$763=CS21,DP11&lt;30),AND('Eval-Avant action écologique'!$A$764=CS21,DP12&lt;30),AND('Eval-Avant action écologique'!$A$765=CS21,DP13&lt;30),AND('Eval-Avant action écologique'!$A$766=CS21,DP14&lt;30),AND('Eval-Avant action écologique'!$A$767=CS21,DP15&lt;30),AND('Eval-Avant action écologique'!$A$768=CS21,DP16&lt;30),AND('Eval-Avant action écologique'!$A$769=CS21,DP17&lt;30),AND('Eval-Avant action écologique'!$A$770=CS21,DP18&lt;30),AND('Eval-Avant action écologique'!$A$771=CS21,DP19&lt;30),AND('Eval-Avant action écologique'!$A$772=CS21,DP20&lt;30),AND('Eval-Avant action écologique'!$A$773=CS21,DP21&lt;30),AND('Eval-Avant action écologique'!$A$774=CS21,DP22&lt;30),AND('Eval-Avant action écologique'!$A$775=CS21,DP23&lt;30),AND('Eval-Avant action écologique'!$A$776=CS21,DP24&lt;30),AND('Eval-Avant action écologique'!$A$777=CS21,DP25&lt;30),AND('Eval-Avant action écologique'!$A$778=CS21,DP26&lt;30),AND('Eval-Avant action écologique'!$A$779=CS21,DP27&lt;30),AND('Eval-Avant action écologique'!$A$780=CS21,DP28&lt;30)),"",SUM(0.1*(SUMPRODUCT(('Eval-Avant action écologique'!$A$761:$A$780=CS21)*('Eval-Avant action écologique'!$N$761:$P$780="A"))+ SUMPRODUCT(('Eval-Avant action écologique'!$A$761:$A$780=CS21)*('Eval-Avant action écologique'!$N$761:$P$780="AL"))),0.7*(SUMPRODUCT(('Eval-Avant action écologique'!$A$761:$A$780=CS21)*('Eval-Avant action écologique'!$N$761:$P$780="TF"))+SUMPRODUCT(('Eval-Avant action écologique'!$A$761:$A$780=CS21)*('Eval-Avant action écologique'!$N$761:$P$780="TM"))+SUMPRODUCT(('Eval-Avant action écologique'!$A$761:$A$780=CS21)*('Eval-Avant action écologique'!$N$761:$P$780="TS"))),0.4*(SUMPRODUCT(('Eval-Avant action écologique'!$A$761:$A$780=CS21)*('Eval-Avant action écologique'!$N$761:$P$780="LA"))+SUMPRODUCT(('Eval-Avant action écologique'!$A$761:$A$780=CS21)*('Eval-Avant action écologique'!$N$761:$P$780="L"))+SUMPRODUCT(('Eval-Avant action écologique'!$A$761:$A$780=CS21)*('Eval-Avant action écologique'!$N$761:$P$780="LS"))),1*(SUMPRODUCT(('Eval-Avant action écologique'!$A$761:$A$780=CS21)*('Eval-Avant action écologique'!$N$761:$P$780="SL"))+ SUMPRODUCT(('Eval-Avant action écologique'!$A$761:$A$780=CS21)*('Eval-Avant action écologique'!$N$761:$P$780="S"))))/(3*COUNTIF('Eval-Avant action écologique'!$A$761:$A$780,CS21))),"")</f>
        <v/>
      </c>
      <c r="DJ21" s="211" t="str">
        <f>IF(COUNTIF('Eval-Avant action écologique'!$A$761:$A$780,CS21)&gt;0,IF(OR(AND('Eval-Avant action écologique'!$A$761=CS21,DP9&lt;120),AND('Eval-Avant action écologique'!$A$762=CS21,DP10&lt;120),AND('Eval-Avant action écologique'!$A$763=CS21,DP11&lt;120),AND('Eval-Avant action écologique'!$A$764=CS21,DP12&lt;120),AND('Eval-Avant action écologique'!$A$765=CS21,DP13&lt;120),AND('Eval-Avant action écologique'!$A$766=CS21,DP14&lt;120),AND('Eval-Avant action écologique'!$A$767=CS21,DP15&lt;120),AND('Eval-Avant action écologique'!$A$768=CS21,DP16&lt;120),AND('Eval-Avant action écologique'!$A$769=CS21,DP17&lt;120),AND('Eval-Avant action écologique'!$A$770=CS21,DP18&lt;120),AND('Eval-Avant action écologique'!$A$771=CS21,DP19&lt;120),AND('Eval-Avant action écologique'!$A$772=CS21,DP20&lt;120),AND('Eval-Avant action écologique'!$A$773=CS21,DP21&lt;120),AND('Eval-Avant action écologique'!$A$774=CS21,DP22&lt;120),AND('Eval-Avant action écologique'!$A$775=CS21,DP23&lt;120),AND('Eval-Avant action écologique'!$A$776=CS21,DP24&lt;120),AND('Eval-Avant action écologique'!$A$777=CS21,DP25&lt;120),AND('Eval-Avant action écologique'!$A$778=CS21,DP26&lt;120),AND('Eval-Avant action écologique'!$A$779=CS21,DP27&lt;120),AND('Eval-Avant action écologique'!$A$780=CS21,DP28&lt;120)),"",SUM(0.1*(SUMPRODUCT(('Eval-Avant action écologique'!$A$761:$A$780=CS21)*('Eval-Avant action écologique'!$Q$761:$Y$780="A"))+ SUMPRODUCT(('Eval-Avant action écologique'!$A$761:$A$780=CS21)*('Eval-Avant action écologique'!$Q$761:$Y$780="AL"))),0.7*(SUMPRODUCT(('Eval-Avant action écologique'!$A$761:$A$780=CS21)*('Eval-Avant action écologique'!$Q$761:$Y$780="TF"))+SUMPRODUCT(('Eval-Avant action écologique'!$A$761:$A$780=CS21)*('Eval-Avant action écologique'!$Q$761:$Y$780="TM"))+SUMPRODUCT(('Eval-Avant action écologique'!$A$761:$A$780=CS21)*('Eval-Avant action écologique'!$Q$761:$Y$780="TS"))),0.4*(SUMPRODUCT(('Eval-Avant action écologique'!$A$761:$A$780=CS21)*('Eval-Avant action écologique'!$Q$761:$Y$780="LA"))+SUMPRODUCT(('Eval-Avant action écologique'!$A$761:$A$780=CS21)*('Eval-Avant action écologique'!$Q$761:$Y$780="L"))+SUMPRODUCT(('Eval-Avant action écologique'!$A$761:$A$780=CS21)*('Eval-Avant action écologique'!$Q$761:$Y$780="LS"))),1*(SUMPRODUCT(('Eval-Avant action écologique'!$A$761:$A$780=CS21)*('Eval-Avant action écologique'!$Q$761:$Y$780="SL"))+ SUMPRODUCT(('Eval-Avant action écologique'!$A$761:$A$780=CS21)*('Eval-Avant action écologique'!$Q$761:$Y$780="S"))))/(9*COUNTIF('Eval-Avant action écologique'!$A$761:$A$780,CS21))),"")</f>
        <v/>
      </c>
      <c r="DK21" s="211" t="str">
        <f>IF(COUNTIF('Eval-Avant action écologique'!$A$761:$A$780,CS21)&gt;0,IF(OR(AND('Eval-Avant action écologique'!$A$761=CS21,OR(COUNTIF('Eval-Avant action écologique'!$N$761:$P$761,"*T*")&gt;0,DP9&lt;30)),AND('Eval-Avant action écologique'!$A$762=CS21,OR(COUNTIF('Eval-Avant action écologique'!$N$762:$P$762,"*T*")&gt;0,DP10&lt;30)),AND('Eval-Avant action écologique'!$A$763=CS21,OR(COUNTIF('Eval-Avant action écologique'!$N$763:$P$763,"*T*")&gt;0,DP11&lt;30)),AND('Eval-Avant action écologique'!$A$764=CS21,OR(COUNTIF('Eval-Avant action écologique'!$N$764:$P$764,"*T*")&gt;0,DP12&lt;30)),AND('Eval-Avant action écologique'!$A$765=CS21,OR(COUNTIF('Eval-Avant action écologique'!$N$765:$P$765,"*T*")&gt;0,DP13&lt;30)),AND('Eval-Avant action écologique'!$A$766=CS21,OR(COUNTIF('Eval-Avant action écologique'!$N$766:$P$766,"*T*")&gt;0,DP14&lt;30)),AND('Eval-Avant action écologique'!$A$767=CS21,OR(COUNTIF('Eval-Avant action écologique'!$N$767:$P$767,"*T*")&gt;0,DP15&lt;30)),AND('Eval-Avant action écologique'!$A$768=CS21,OR(COUNTIF('Eval-Avant action écologique'!$N$768:$P$768,"*T*")&gt;0,DP16&lt;30)),AND('Eval-Avant action écologique'!$A$769=CS21,OR(COUNTIF('Eval-Avant action écologique'!$N$769:$P$769,"*T*")&gt;0,DP17&lt;30)),AND('Eval-Avant action écologique'!$A$770=CS21,OR(COUNTIF('Eval-Avant action écologique'!$N$770:$P$770,"*T*")&gt;0,DP18&lt;30)),AND('Eval-Avant action écologique'!$A$771=CS21,OR(COUNTIF('Eval-Avant action écologique'!$N$771:$P$771,"*T*")&gt;0,DP19&lt;30)),AND('Eval-Avant action écologique'!$A$772=CS21,OR(COUNTIF('Eval-Avant action écologique'!$N$772:$P$772,"*T*")&gt;0,DP20&lt;30)),AND('Eval-Avant action écologique'!$A$773=CS21,OR(COUNTIF('Eval-Avant action écologique'!$N$773:$P$773,"*T*")&gt;0,DP21&lt;30)),AND('Eval-Avant action écologique'!$A$774=CS21,OR(COUNTIF('Eval-Avant action écologique'!$N$774:$P$774,"*T*")&gt;0,DP22&lt;30)),AND('Eval-Avant action écologique'!$A$775=CS21,OR(COUNTIF('Eval-Avant action écologique'!$N$775:$P$775,"*T*")&gt;0,DP23&lt;30)),AND('Eval-Avant action écologique'!$A$776=CS21,OR(COUNTIF('Eval-Avant action écologique'!$N$776:$P$776,"*T*")&gt;0,DP24&lt;30)),AND('Eval-Avant action écologique'!$A$777=CS21,OR(COUNTIF('Eval-Avant action écologique'!$N$777:$P$777,"*T*")&gt;0,DP25&lt;30)),AND('Eval-Avant action écologique'!$A$778=CS21,OR(COUNTIF('Eval-Avant action écologique'!$N$778:$P$778,"*T*")&gt;0,DP26&lt;30)),AND('Eval-Avant action écologique'!$A$779=CS21,OR(COUNTIF('Eval-Avant action écologique'!$N$779:$P$779,"*T*")&gt;0,DP27&lt;30)),AND('Eval-Avant action écologique'!$A$780=CS21,OR(COUNTIF('Eval-Avant action écologique'!$N$780:$P$780,"*T*")&gt;0,DP28&lt;30))),"",SUM(0.1*(SUMPRODUCT(('Eval-Avant action écologique'!$A$761:$A$780=CS21)*('Eval-Avant action écologique'!$N$761:$P$780="L"))),0.4*(SUMPRODUCT(('Eval-Avant action écologique'!$A$761:$A$780=CS21)*('Eval-Avant action écologique'!$N$761:$P$780="LA"))+SUMPRODUCT(('Eval-Avant action écologique'!$A$761:$A$780=CS21)*('Eval-Avant action écologique'!$N$761:$P$780="LS"))),0.7*(SUMPRODUCT(('Eval-Avant action écologique'!$A$761:$A$780=CS21)*('Eval-Avant action écologique'!$N$761:$P$780="AL"))+SUMPRODUCT(('Eval-Avant action écologique'!$A$761:$A$780=CS21)*('Eval-Avant action écologique'!$N$761:$P$780="SL"))),1*(SUMPRODUCT(('Eval-Avant action écologique'!$A$761:$A$780=CS21)*('Eval-Avant action écologique'!$N$761:$P$780="S"))+ SUMPRODUCT(('Eval-Avant action écologique'!$A$761:$A$780=CS21)*('Eval-Avant action écologique'!$N$761:$P$780="A"))))/(3*COUNTIF('Eval-Avant action écologique'!$A$761:$A$780,CS21))),"")</f>
        <v/>
      </c>
      <c r="DL21" s="211" t="str">
        <f>IF(COUNTIF('Eval-Avant action écologique'!$A$761:$A$780,CS21)&gt;0,IF(OR(AND('Eval-Avant action écologique'!$A$761=CS21,OR(COUNTIF('Eval-Avant action écologique'!$N$761:$P$761,"*T*")&gt;0,DP9&lt;30)),AND('Eval-Avant action écologique'!$A$762=CS21,OR(COUNTIF('Eval-Avant action écologique'!$N$762:$P$762,"*T*")&gt;0,DP10&lt;30)),AND('Eval-Avant action écologique'!$A$763=CS21,OR(COUNTIF('Eval-Avant action écologique'!$N$763:$P$763,"*T*")&gt;0,DP11&lt;30)),AND('Eval-Avant action écologique'!$A$764=CS21,OR(COUNTIF('Eval-Avant action écologique'!$N$764:$P$764,"*T*")&gt;0,DP12&lt;30)),AND('Eval-Avant action écologique'!$A$765=CS21,OR(COUNTIF('Eval-Avant action écologique'!$N$765:$P$765,"*T*")&gt;0,DP13&lt;30)),AND('Eval-Avant action écologique'!$A$766=CS21,OR(COUNTIF('Eval-Avant action écologique'!$N$766:$P$766,"*T*")&gt;0,DP14&lt;30)),AND('Eval-Avant action écologique'!$A$767=CS21,OR(COUNTIF('Eval-Avant action écologique'!$N$767:$P$767,"*T*")&gt;0,DP15&lt;30)),AND('Eval-Avant action écologique'!$A$768=CS21,OR(COUNTIF('Eval-Avant action écologique'!$N$768:$P$768,"*T*")&gt;0,DP16&lt;30)),AND('Eval-Avant action écologique'!$A$769=CS21,OR(COUNTIF('Eval-Avant action écologique'!$N$769:$P$769,"*T*")&gt;0,DP17&lt;30)),AND('Eval-Avant action écologique'!$A$770=CS21,OR(COUNTIF('Eval-Avant action écologique'!$N$770:$P$770,"*T*")&gt;0,DP18&lt;30)),AND('Eval-Avant action écologique'!$A$771=CS21,OR(COUNTIF('Eval-Avant action écologique'!$N$771:$P$771,"*T*")&gt;0,DP19&lt;30)),AND('Eval-Avant action écologique'!$A$772=CS21,OR(COUNTIF('Eval-Avant action écologique'!$N$772:$P$772,"*T*")&gt;0,DP20&lt;30)),AND('Eval-Avant action écologique'!$A$773=CS21,OR(COUNTIF('Eval-Avant action écologique'!$N$773:$P$773,"*T*")&gt;0,DP21&lt;30)),AND('Eval-Avant action écologique'!$A$774=CS21,OR(COUNTIF('Eval-Avant action écologique'!$N$774:$P$774,"*T*")&gt;0,DP22&lt;30)),AND('Eval-Avant action écologique'!$A$775=CS21,OR(COUNTIF('Eval-Avant action écologique'!$N$775:$P$775,"*T*")&gt;0,DP23&lt;30)),AND('Eval-Avant action écologique'!$A$776=CS21,OR(COUNTIF('Eval-Avant action écologique'!$N$776:$P$776,"*T*")&gt;0,DP24&lt;30)),AND('Eval-Avant action écologique'!$A$777=CS21,OR(COUNTIF('Eval-Avant action écologique'!$N$777:$P$777,"*T*")&gt;0,DP25&lt;30)),AND('Eval-Avant action écologique'!$A$778=CS21,OR(COUNTIF('Eval-Avant action écologique'!$N$778:$P$778,"*T*")&gt;0,DP26&lt;30)),AND('Eval-Avant action écologique'!$A$779=CS21,OR(COUNTIF('Eval-Avant action écologique'!$N$779:$P$779,"*T*")&gt;0,DP27&lt;30)),AND('Eval-Avant action écologique'!$A$780=CS21,OR(COUNTIF('Eval-Avant action écologique'!$N$780:$P$780,"*T*")&gt;0,DP28&lt;30))),"",SUM(1*(SUMPRODUCT(('Eval-Avant action écologique'!$A$761:$A$780=CS21)*('Eval-Avant action écologique'!$N$761:$P$780="A"))),0.85*(SUMPRODUCT(('Eval-Avant action écologique'!$A$761:$A$780=CS21)*('Eval-Avant action écologique'!$N$761:$P$780="AL"))),0.7*(SUMPRODUCT(('Eval-Avant action écologique'!$A$761:$A$780=CS21)*('Eval-Avant action écologique'!$N$761:$P$780="LA"))),0.55*(SUMPRODUCT(('Eval-Avant action écologique'!$A$761:$A$780=CS21)*('Eval-Avant action écologique'!$N$761:$P$780="L"))),0.4*(SUMPRODUCT(('Eval-Avant action écologique'!$A$761:$A$780=CS21)*('Eval-Avant action écologique'!$N$761:$P$780="LS"))),0.25*(SUMPRODUCT(('Eval-Avant action écologique'!$A$761:$A$780=CS21)*('Eval-Avant action écologique'!$N$761:$P$780="SL"))),0.1*(SUMPRODUCT(('Eval-Avant action écologique'!$A$761:$A$780=CS21)*('Eval-Avant action écologique'!$N$761:$P$780="S"))))/(3*COUNTIF('Eval-Avant action écologique'!$A$761:$A$780,CS21))),"")</f>
        <v/>
      </c>
      <c r="DM21" s="214" t="str">
        <f>IF(COUNTIF('Eval-Avant action écologique'!$A$761:$A$780,CS21)&gt;0,IF(OR(AND('Eval-Avant action écologique'!$A$761=CS21,OR(COUNTIF('Eval-Avant action écologique'!$Q$761:$Y$761,"*T*")&gt;0,DP9&lt;120)),AND('Eval-Avant action écologique'!$A$762=CS21,OR(COUNTIF('Eval-Avant action écologique'!$Q$762:$Y$762,"*T*")&gt;0,DP10&lt;120)),AND('Eval-Avant action écologique'!$A$763=CS21,OR(COUNTIF('Eval-Avant action écologique'!$Q$763:$Y$763,"*T*")&gt;0,DP11&lt;120)),AND('Eval-Avant action écologique'!$A$764=CS21,OR(COUNTIF('Eval-Avant action écologique'!$Q$764:$Y$764,"*T*")&gt;0,DP12&lt;120)),AND('Eval-Avant action écologique'!$A$765=CS21,OR(COUNTIF('Eval-Avant action écologique'!$Q$765:$Y$765,"*T*")&gt;0,DP13&lt;120)),AND('Eval-Avant action écologique'!$A$766=CS21,OR(COUNTIF('Eval-Avant action écologique'!$Q$766:$Y$766,"*T*")&gt;0,DP14&lt;120)),AND('Eval-Avant action écologique'!$A$767=CS21,OR(COUNTIF('Eval-Avant action écologique'!$Q$767:$Y$767,"*T*")&gt;0,DP15&lt;120)),AND('Eval-Avant action écologique'!$A$768=CS21,OR(COUNTIF('Eval-Avant action écologique'!$Q$768:$Y$768,"*T*")&gt;0,DP16&lt;120)),AND('Eval-Avant action écologique'!$A$769=CS21,OR(COUNTIF('Eval-Avant action écologique'!$Q$769:$Y$769,"*T*")&gt;0,DP17&lt;120)),AND('Eval-Avant action écologique'!$A$770=CS21,OR(COUNTIF('Eval-Avant action écologique'!$Q$770:$Y$770,"*T*")&gt;0,DP18&lt;120)),AND('Eval-Avant action écologique'!$A$771=CS21,OR(COUNTIF('Eval-Avant action écologique'!$Q$771:$Y$771,"*T*")&gt;0,DP19&lt;120)),AND('Eval-Avant action écologique'!$A$772=CS21,OR(COUNTIF('Eval-Avant action écologique'!$Q$772:$Y$772,"*T*")&gt;0,DP20&lt;120)),AND('Eval-Avant action écologique'!$A$773=CS21,OR(COUNTIF('Eval-Avant action écologique'!$Q$773:$Y$773,"*T*")&gt;0,DP21&lt;120)),AND('Eval-Avant action écologique'!$A$774=CS21,OR(COUNTIF('Eval-Avant action écologique'!$Q$774:$Y$774,"*T*")&gt;0,DP22&lt;120)),AND('Eval-Avant action écologique'!$A$775=CS21,OR(COUNTIF('Eval-Avant action écologique'!$Q$775:$Y$775,"*T*")&gt;0,DP23&lt;120)),AND('Eval-Avant action écologique'!$A$776=CS21,OR(COUNTIF('Eval-Avant action écologique'!$Q$776:$Y$776,"*T*")&gt;0,DP24&lt;120)),AND('Eval-Avant action écologique'!$A$777=CS21,OR(COUNTIF('Eval-Avant action écologique'!$Q$777:$Y$777,"*T*")&gt;0,DP25&lt;120)),AND('Eval-Avant action écologique'!$A$778=CS21,OR(COUNTIF('Eval-Avant action écologique'!$Q$778:$Y$778,"*T*")&gt;0,DP26&lt;120)),AND('Eval-Avant action écologique'!$A$779=CS21,OR(COUNTIF('Eval-Avant action écologique'!$Q$779:$Y$779,"*T*")&gt;0,DP27&lt;120)),AND('Eval-Avant action écologique'!$A$780=CS21,OR(COUNTIF('Eval-Avant action écologique'!$Q$780:$Y$780,"*T*")&gt;0,DP28&lt;120))),"",SUM(1*(SUMPRODUCT(('Eval-Avant action écologique'!$A$761:$A$780=CS21)*('Eval-Avant action écologique'!$Q$761:$Y$780="A"))),0.85*(SUMPRODUCT(('Eval-Avant action écologique'!$A$761:$A$780=CS21)*('Eval-Avant action écologique'!$Q$761:$Y$780="AL"))),0.7*(SUMPRODUCT(('Eval-Avant action écologique'!$A$761:$A$780=CS21)*('Eval-Avant action écologique'!$Q$761:$Y$780="LA"))),0.55*(SUMPRODUCT(('Eval-Avant action écologique'!$A$761:$A$780=CS21)*('Eval-Avant action écologique'!$Q$761:$Y$780="L"))),0.4*(SUMPRODUCT(('Eval-Avant action écologique'!$A$761:$A$780=CS21)*('Eval-Avant action écologique'!$Q$761:$Y$780="LS"))),0.25*(SUMPRODUCT(('Eval-Avant action écologique'!$A$761:$A$780=CS21)*('Eval-Avant action écologique'!$Q$761:$Y$780="SL"))),0.1*(SUMPRODUCT(('Eval-Avant action écologique'!$A$761:$A$780=CS21)*('Eval-Avant action écologique'!$Q$761:$Y$780="S"))))/(9*COUNTIF('Eval-Avant action écologique'!$A$761:$A$780,CS21))),"")</f>
        <v/>
      </c>
      <c r="DN21" s="215"/>
      <c r="DO21" s="216">
        <f>'Eval-Avant action écologique'!$D$773</f>
        <v>13</v>
      </c>
      <c r="DP21" s="217" t="str">
        <f>IF(DQ21="C",0,IF(IF(COUNTIF('Eval-Avant action écologique'!$N$773:$Y$773,"=C")&gt;0,(COUNTA('Eval-Avant action écologique'!$N$773:$Y$773)-1)*10,COUNTA('Eval-Avant action écologique'!$N$773:$Y$773)*10)=0,"",IF(COUNTIF('Eval-Avant action écologique'!$N$773:$Y$773,"=C")&gt;0,(COUNTA('Eval-Avant action écologique'!$N$773:$Y$773)-1)*10,COUNTA('Eval-Avant action écologique'!$N$773:$Y$773)*10)))</f>
        <v/>
      </c>
      <c r="DQ21" s="217" t="str">
        <f>CONCATENATE('Eval-Avant action écologique'!$N$773,'Eval-Avant action écologique'!$O$773,'Eval-Avant action écologique'!$P$773,'Eval-Avant action écologique'!$Q$773,'Eval-Avant action écologique'!$R$773,'Eval-Avant action écologique'!$S$773,'Eval-Avant action écologique'!$T$773,'Eval-Avant action écologique'!$U$773,'Eval-Avant action écologique'!$V$773,'Eval-Avant action écologique'!$W$773,'Eval-Avant action écologique'!$X$773,'Eval-Avant action écologique'!$Y$773)</f>
        <v/>
      </c>
      <c r="DR21" s="217" t="str">
        <f t="shared" si="12"/>
        <v/>
      </c>
      <c r="DS21" s="217" t="str">
        <f t="shared" si="13"/>
        <v/>
      </c>
      <c r="DT21" s="217" t="str">
        <f>IF(COUNTIF('Eval-Avant action écologique'!$N$773:$Y$773,"=C")&gt;0,"X","")</f>
        <v/>
      </c>
      <c r="DU21" s="217" t="str">
        <f t="shared" si="14"/>
        <v/>
      </c>
      <c r="DV21" s="218" t="str">
        <f t="shared" si="15"/>
        <v/>
      </c>
      <c r="DW21" s="197"/>
      <c r="DY21" s="210">
        <v>13</v>
      </c>
      <c r="DZ21" s="211" t="str">
        <f>IF(COUNTIF('Eval-Avec act. écol. envisagée'!$A$761:$A$780,DY21)&gt;0,SUM(IF('Eval-Avec act. écol. envisagée'!$A$761=DY21,'Eval-Avec act. écol. envisagée'!$B$761,0),IF('Eval-Avec act. écol. envisagée'!$A$762=DY21, 'Eval-Avec act. écol. envisagée'!$B$762,0),IF('Eval-Avec act. écol. envisagée'!$A$763=DY21, 'Eval-Avec act. écol. envisagée'!$B$763,0),IF('Eval-Avec act. écol. envisagée'!$A$764=DY21, 'Eval-Avec act. écol. envisagée'!$B$764,0),IF('Eval-Avec act. écol. envisagée'!$A$765=DY21, 'Eval-Avec act. écol. envisagée'!$B$765,0),IF('Eval-Avec act. écol. envisagée'!$A$766=DY21, 'Eval-Avec act. écol. envisagée'!$B$766,0),IF('Eval-Avec act. écol. envisagée'!$A$767=DY21, 'Eval-Avec act. écol. envisagée'!$B$767,0),IF('Eval-Avec act. écol. envisagée'!$A$768=DY21, 'Eval-Avec act. écol. envisagée'!$B$768,0),IF('Eval-Avec act. écol. envisagée'!$A$769=DY21, 'Eval-Avec act. écol. envisagée'!$B$769,0),IF('Eval-Avec act. écol. envisagée'!$A$770=DY21, 'Eval-Avec act. écol. envisagée'!$B$770,0),IF('Eval-Avec act. écol. envisagée'!$A$771=DY21, 'Eval-Avec act. écol. envisagée'!$B$771,0),IF('Eval-Avec act. écol. envisagée'!$A$772=DY21, 'Eval-Avec act. écol. envisagée'!$B$772,0),IF('Eval-Avec act. écol. envisagée'!$A$773=DY21, 'Eval-Avec act. écol. envisagée'!$B$773,0),IF('Eval-Avec act. écol. envisagée'!$A$774=DY21, 'Eval-Avec act. écol. envisagée'!$B$774,0),IF('Eval-Avec act. écol. envisagée'!$A$775=DY21, 'Eval-Avec act. écol. envisagée'!$B$775,0),IF('Eval-Avec act. écol. envisagée'!$A$776=DY21, 'Eval-Avec act. écol. envisagée'!$B$776,0),IF('Eval-Avec act. écol. envisagée'!$A$777=DY21, 'Eval-Avec act. écol. envisagée'!$B$777,0),IF('Eval-Avec act. écol. envisagée'!$A$778=DY21, 'Eval-Avec act. écol. envisagée'!$B$778,0),IF('Eval-Avec act. écol. envisagée'!$A$779=DY21, 'Eval-Avec act. écol. envisagée'!$B$779,0),IF('Eval-Avec act. écol. envisagée'!$A$780=DY21, 'Eval-Avec act. écol. envisagée'!$B$780,0))/COUNTIF('Eval-Avec act. écol. envisagée'!$A$761:$A$780,DY21),"")</f>
        <v/>
      </c>
      <c r="EA21" s="212" t="str">
        <f>IF(COUNTIF('Eval-Avec act. écol. envisagée'!$A$761:$A$780,DY21)&gt;0,COUNTIF('Eval-Avec act. écol. envisagée'!$A$761:$A$780,DY21),"")</f>
        <v/>
      </c>
      <c r="EB21" s="211" t="str">
        <f>IF(COUNTIF('Eval-Avec act. écol. envisagée'!$A$761:$A$780,DY21)&gt;0,IF(OR(AND('Eval-Avec act. écol. envisagée'!$A$761=DY21, 'Eval-Avec act. écol. envisagée'!$G$761=""),AND('Eval-Avec act. écol. envisagée'!$A$762=DY21, 'Eval-Avec act. écol. envisagée'!$G$762=""),AND('Eval-Avec act. écol. envisagée'!$A$763=DY21, 'Eval-Avec act. écol. envisagée'!$G$763=""),AND('Eval-Avec act. écol. envisagée'!$A$764=DY21, 'Eval-Avec act. écol. envisagée'!$G$764=""),AND('Eval-Avec act. écol. envisagée'!$A$765=DY21, 'Eval-Avec act. écol. envisagée'!$G$765=""),AND('Eval-Avec act. écol. envisagée'!$A$766=DY21, 'Eval-Avec act. écol. envisagée'!$G$766=""),AND('Eval-Avec act. écol. envisagée'!$A$767=DY21, 'Eval-Avec act. écol. envisagée'!$G$767=""),AND('Eval-Avec act. écol. envisagée'!$A$768=DY21, 'Eval-Avec act. écol. envisagée'!$G$768=""),AND('Eval-Avec act. écol. envisagée'!$A$769=DY21, 'Eval-Avec act. écol. envisagée'!$G$769=""),AND('Eval-Avec act. écol. envisagée'!$A$770=DY21, 'Eval-Avec act. écol. envisagée'!$G$770=""),AND('Eval-Avec act. écol. envisagée'!$A$771=DY21, 'Eval-Avec act. écol. envisagée'!$G$771=""),AND('Eval-Avec act. écol. envisagée'!$A$772=DY21, 'Eval-Avec act. écol. envisagée'!$G$772=""),AND('Eval-Avec act. écol. envisagée'!$A$773=DY21, 'Eval-Avec act. écol. envisagée'!$G$773=""),AND('Eval-Avec act. écol. envisagée'!$A$774=DY21, 'Eval-Avec act. écol. envisagée'!$G$774=""),AND('Eval-Avec act. écol. envisagée'!$A$775=DY21, 'Eval-Avec act. écol. envisagée'!$G$775=""),AND('Eval-Avec act. écol. envisagée'!$A$776=DY21, 'Eval-Avec act. écol. envisagée'!$G$776=""),AND('Eval-Avec act. écol. envisagée'!$A$777=DY21, 'Eval-Avec act. écol. envisagée'!$G$777=""),AND('Eval-Avec act. écol. envisagée'!$A$778=DY21, 'Eval-Avec act. écol. envisagée'!$G$778=""),AND('Eval-Avec act. écol. envisagée'!$A$779=DY21, 'Eval-Avec act. écol. envisagée'!$G$779=""),AND('Eval-Avec act. écol. envisagée'!$A$780=DY21, 'Eval-Avec act. écol. envisagée'!$G$780="")),"",SUM(IF('Eval-Avec act. écol. envisagée'!$A$761=DY21,'Eval-Avec act. écol. envisagée'!$G$761,0),IF('Eval-Avec act. écol. envisagée'!$A$762=DY21,'Eval-Avec act. écol. envisagée'!$G$762,0),IF('Eval-Avec act. écol. envisagée'!$A$763=DY21,'Eval-Avec act. écol. envisagée'!$G$763,0),IF('Eval-Avec act. écol. envisagée'!$A$764=DY21,'Eval-Avec act. écol. envisagée'!$G$764,0),IF('Eval-Avec act. écol. envisagée'!$A$765=DY21,'Eval-Avec act. écol. envisagée'!$G$765,0),IF('Eval-Avec act. écol. envisagée'!$A$766=DY21,'Eval-Avec act. écol. envisagée'!$G$766,0),IF('Eval-Avec act. écol. envisagée'!$A$767=DY21,'Eval-Avec act. écol. envisagée'!$G$767,0),IF('Eval-Avec act. écol. envisagée'!$A$768=DY21,'Eval-Avec act. écol. envisagée'!$G$768,0),IF('Eval-Avec act. écol. envisagée'!$A$769=DY21,'Eval-Avec act. écol. envisagée'!$G$769,0),IF('Eval-Avec act. écol. envisagée'!$A$770=DY21,'Eval-Avec act. écol. envisagée'!$G$770,0),IF('Eval-Avec act. écol. envisagée'!$A$771=DY21,'Eval-Avec act. écol. envisagée'!$G$771,0),IF('Eval-Avec act. écol. envisagée'!$A$772=DY21,'Eval-Avec act. écol. envisagée'!$G$772,0),IF('Eval-Avec act. écol. envisagée'!$A$773=DY21,'Eval-Avec act. écol. envisagée'!$G$773,0),IF('Eval-Avec act. écol. envisagée'!$A$774=DY21,'Eval-Avec act. écol. envisagée'!$G$774,0),IF('Eval-Avec act. écol. envisagée'!$A$775=DY21,'Eval-Avec act. écol. envisagée'!$G$775,0), IF('Eval-Avec act. écol. envisagée'!$A$776=DY21,'Eval-Avec act. écol. envisagée'!$G$776,0), IF('Eval-Avec act. écol. envisagée'!$A$777=DY21,'Eval-Avec act. écol. envisagée'!$G$777,0), IF('Eval-Avec act. écol. envisagée'!$A$778=DY21,'Eval-Avec act. écol. envisagée'!$G$778,0), IF('Eval-Avec act. écol. envisagée'!$A$779=DY21,'Eval-Avec act. écol. envisagée'!$G$779,0), IF('Eval-Avec act. écol. envisagée'!$A$780=DY21,'Eval-Avec act. écol. envisagée'!$G$780,0))/ COUNTIF('Eval-Avec act. écol. envisagée'!$A$761:$A$780,DY21)),"")</f>
        <v/>
      </c>
      <c r="EC21" s="212" t="str">
        <f>IF(COUNTIF('Eval-Avec act. écol. envisagée'!$A$761:$A$780,DY21)&gt;0,IF(SUM(IF('Eval-Avec act. écol. envisagée'!$A$761=DY21,COUNTA('Eval-Avec act. écol. envisagée'!$H$761),0),IF('Eval-Avec act. écol. envisagée'!$A$762=DY21,COUNTA('Eval-Avec act. écol. envisagée'!$H$762),0),IF('Eval-Avec act. écol. envisagée'!$A$763=DY21,COUNTA('Eval-Avec act. écol. envisagée'!$H$763),0),IF('Eval-Avec act. écol. envisagée'!$A$764=DY21,COUNTA('Eval-Avec act. écol. envisagée'!$H$764),0),IF('Eval-Avec act. écol. envisagée'!$A$765=DY21,COUNTA('Eval-Avec act. écol. envisagée'!$H$765),0),IF('Eval-Avec act. écol. envisagée'!$A$766=DY21,COUNTA('Eval-Avec act. écol. envisagée'!$H$766),0),IF('Eval-Avec act. écol. envisagée'!$A$767=DY21,COUNTA('Eval-Avec act. écol. envisagée'!$H$767),0),IF('Eval-Avec act. écol. envisagée'!$A$768=DY21,COUNTA('Eval-Avec act. écol. envisagée'!$H$768),0),IF('Eval-Avec act. écol. envisagée'!$A$769=DY21,COUNTA('Eval-Avec act. écol. envisagée'!$H$769),0),IF('Eval-Avec act. écol. envisagée'!$A$770=DY21,COUNTA('Eval-Avec act. écol. envisagée'!$H$770),0),IF('Eval-Avec act. écol. envisagée'!$A$771=DY21,COUNTA('Eval-Avec act. écol. envisagée'!$H$771),0),IF('Eval-Avec act. écol. envisagée'!$A$772=DY21,COUNTA('Eval-Avec act. écol. envisagée'!$H$772),0),IF('Eval-Avec act. écol. envisagée'!$A$773=DY21,COUNTA('Eval-Avec act. écol. envisagée'!$H$773),0),IF('Eval-Avec act. écol. envisagée'!$A$774=DY21,COUNTA('Eval-Avec act. écol. envisagée'!$H$774),0),IF('Eval-Avec act. écol. envisagée'!$A$775=DY21,COUNTA('Eval-Avec act. écol. envisagée'!$H$775),0),IF('Eval-Avec act. écol. envisagée'!$A$776=DY21,COUNTA('Eval-Avec act. écol. envisagée'!$H$776),0),IF('Eval-Avec act. écol. envisagée'!$A$777=DY21,COUNTA('Eval-Avec act. écol. envisagée'!$H$777),0),IF('Eval-Avec act. écol. envisagée'!$A$778=DY21,COUNTA('Eval-Avec act. écol. envisagée'!$H$778),0),IF('Eval-Avec act. écol. envisagée'!$A$779=DY21,COUNTA('Eval-Avec act. écol. envisagée'!$H$779),0),IF('Eval-Avec act. écol. envisagée'!$A$780=DY21,COUNTA('Eval-Avec act. écol. envisagée'!$H$780),0))&gt;0,"X",0),"")</f>
        <v/>
      </c>
      <c r="ED21" s="213" t="str">
        <f>IF(COUNTIF('Eval-Avec act. écol. envisagée'!$A$761:$A$780,DY21)&gt;0,IF(SUM(IF('Eval-Avec act. écol. envisagée'!$A$761=DY21,COUNTA('Eval-Avec act. écol. envisagée'!$I$761),0),IF('Eval-Avec act. écol. envisagée'!$A$762=DY21,COUNTA('Eval-Avec act. écol. envisagée'!$I$762),0),IF('Eval-Avec act. écol. envisagée'!$A$763=DY21,COUNTA('Eval-Avec act. écol. envisagée'!$I$763),0),IF('Eval-Avec act. écol. envisagée'!$A$764=DY21,COUNTA('Eval-Avec act. écol. envisagée'!$I$764),0),IF('Eval-Avec act. écol. envisagée'!$A$765=DY21,COUNTA('Eval-Avec act. écol. envisagée'!$I$765),0),IF('Eval-Avec act. écol. envisagée'!$A$766=DY21,COUNTA('Eval-Avec act. écol. envisagée'!$I$766),0),IF('Eval-Avec act. écol. envisagée'!$A$767=DY21,COUNTA('Eval-Avec act. écol. envisagée'!$I$767),0),IF('Eval-Avec act. écol. envisagée'!$A$768=DY21,COUNTA('Eval-Avec act. écol. envisagée'!$I$768),0),IF('Eval-Avec act. écol. envisagée'!$A$769=DY21,COUNTA('Eval-Avec act. écol. envisagée'!$I$769),0),IF('Eval-Avec act. écol. envisagée'!$A$770=DY21,COUNTA('Eval-Avec act. écol. envisagée'!$I$770),0),IF('Eval-Avec act. écol. envisagée'!$A$771=DY21,COUNTA('Eval-Avec act. écol. envisagée'!$I$771),0),IF('Eval-Avec act. écol. envisagée'!$A$772=DY21,COUNTA('Eval-Avec act. écol. envisagée'!$I$772),0),IF('Eval-Avec act. écol. envisagée'!$A$773=DY21,COUNTA('Eval-Avec act. écol. envisagée'!$I$773),0),IF('Eval-Avec act. écol. envisagée'!$A$774=DY21,COUNTA('Eval-Avec act. écol. envisagée'!$I$774),0),IF('Eval-Avec act. écol. envisagée'!$A$775=DY21,COUNTA('Eval-Avec act. écol. envisagée'!$I$775),0),IF('Eval-Avec act. écol. envisagée'!$A$776=DY21,COUNTA('Eval-Avec act. écol. envisagée'!$I$776),0),IF('Eval-Avec act. écol. envisagée'!$A$777=DY21,COUNTA('Eval-Avec act. écol. envisagée'!$I$777),0),IF('Eval-Avec act. écol. envisagée'!$A$778=DY21,COUNTA('Eval-Avec act. écol. envisagée'!$I$778),0),IF('Eval-Avec act. écol. envisagée'!$A$779=DY21,COUNTA('Eval-Avec act. écol. envisagée'!$I$779),0),IF('Eval-Avec act. écol. envisagée'!$A$780=DY21,COUNTA('Eval-Avec act. écol. envisagée'!$I$780),0))&gt;0,"X",0),"")</f>
        <v/>
      </c>
      <c r="EE21" s="213" t="str">
        <f>IF(COUNTIF('Eval-Avec act. écol. envisagée'!$A$761:$A$780,DY21)&gt;0,IF(SUM(IF('Eval-Avec act. écol. envisagée'!$A$761=DY21,COUNTA('Eval-Avec act. écol. envisagée'!$J$761),0),IF('Eval-Avec act. écol. envisagée'!$A$762=DY21,COUNTA('Eval-Avec act. écol. envisagée'!$J$762),0),IF('Eval-Avec act. écol. envisagée'!$A$763=DY21,COUNTA('Eval-Avec act. écol. envisagée'!$J$763),0),IF('Eval-Avec act. écol. envisagée'!$A$764=DY21,COUNTA('Eval-Avec act. écol. envisagée'!$J$764),0),IF('Eval-Avec act. écol. envisagée'!$A$765=DY21,COUNTA('Eval-Avec act. écol. envisagée'!$J$765),0),IF('Eval-Avec act. écol. envisagée'!$A$766=DY21,COUNTA('Eval-Avec act. écol. envisagée'!$J$766),0),IF('Eval-Avec act. écol. envisagée'!$A$767=DY21,COUNTA('Eval-Avec act. écol. envisagée'!$J$767),0),IF('Eval-Avec act. écol. envisagée'!$A$768=DY21,COUNTA('Eval-Avec act. écol. envisagée'!$J$768),0),IF('Eval-Avec act. écol. envisagée'!$A$769=DY21,COUNTA('Eval-Avec act. écol. envisagée'!$J$769),0),IF('Eval-Avec act. écol. envisagée'!$A$770=DY21,COUNTA('Eval-Avec act. écol. envisagée'!$J$770),0),IF('Eval-Avec act. écol. envisagée'!$A$771=DY21,COUNTA('Eval-Avec act. écol. envisagée'!$J$771),0),IF('Eval-Avec act. écol. envisagée'!$A$772=DY21,COUNTA('Eval-Avec act. écol. envisagée'!$J$772),0),IF('Eval-Avec act. écol. envisagée'!$A$773=DY21,COUNTA('Eval-Avec act. écol. envisagée'!$J$773),0),IF('Eval-Avec act. écol. envisagée'!$A$774=DY21,COUNTA('Eval-Avec act. écol. envisagée'!$J$774),0),IF('Eval-Avec act. écol. envisagée'!$A$775=DY21,COUNTA('Eval-Avec act. écol. envisagée'!$J$775),0),IF('Eval-Avec act. écol. envisagée'!$A$776=DY21,COUNTA('Eval-Avec act. écol. envisagée'!$J$776),0),IF('Eval-Avec act. écol. envisagée'!$A$777=DY21,COUNTA('Eval-Avec act. écol. envisagée'!$J$777),0),IF('Eval-Avec act. écol. envisagée'!$A$778=DY21,COUNTA('Eval-Avec act. écol. envisagée'!$J$778),0),IF('Eval-Avec act. écol. envisagée'!$A$779=DY21,COUNTA('Eval-Avec act. écol. envisagée'!$J$779),0),IF('Eval-Avec act. écol. envisagée'!$A$780=DY21,COUNTA('Eval-Avec act. écol. envisagée'!$J$780),0))&gt;0,"X",0),"")</f>
        <v/>
      </c>
      <c r="EF21" s="213" t="str">
        <f>IF(COUNTIF('Eval-Avec act. écol. envisagée'!$A$761:$A$780,DY21)&gt;0,IF(SUM(IF('Eval-Avec act. écol. envisagée'!$A$761=DY21,COUNTA('Eval-Avec act. écol. envisagée'!$K$761),0),IF('Eval-Avec act. écol. envisagée'!$A$762=DY21,COUNTA('Eval-Avec act. écol. envisagée'!$K$762),0),IF('Eval-Avec act. écol. envisagée'!$A$763=DY21,COUNTA('Eval-Avec act. écol. envisagée'!$K$763),0),IF('Eval-Avec act. écol. envisagée'!$A$764=DY21,COUNTA('Eval-Avec act. écol. envisagée'!$K$764),0),IF('Eval-Avec act. écol. envisagée'!$A$765=DY21,COUNTA('Eval-Avec act. écol. envisagée'!$K$765),0),IF('Eval-Avec act. écol. envisagée'!$A$766=DY21,COUNTA('Eval-Avec act. écol. envisagée'!$K$766),0),IF('Eval-Avec act. écol. envisagée'!$A$767=DY21,COUNTA('Eval-Avec act. écol. envisagée'!$K$767),0),IF('Eval-Avec act. écol. envisagée'!$A$768=DY21,COUNTA('Eval-Avec act. écol. envisagée'!$K$768),0),IF('Eval-Avec act. écol. envisagée'!$A$769=DY21,COUNTA('Eval-Avec act. écol. envisagée'!$K$769),0),IF('Eval-Avec act. écol. envisagée'!$A$770=DY21,COUNTA('Eval-Avec act. écol. envisagée'!$K$770),0),IF('Eval-Avec act. écol. envisagée'!$A$771=DY21,COUNTA('Eval-Avec act. écol. envisagée'!$K$771),0),IF('Eval-Avec act. écol. envisagée'!$A$772=DY21,COUNTA('Eval-Avec act. écol. envisagée'!$K$772),0),IF('Eval-Avec act. écol. envisagée'!$A$773=DY21,COUNTA('Eval-Avec act. écol. envisagée'!$K$773),0),IF('Eval-Avec act. écol. envisagée'!$A$774=DY21,COUNTA('Eval-Avec act. écol. envisagée'!$K$774),0),IF('Eval-Avec act. écol. envisagée'!$A$775=DY21,COUNTA('Eval-Avec act. écol. envisagée'!$K$775),0),IF('Eval-Avec act. écol. envisagée'!$A$776=DY21,COUNTA('Eval-Avec act. écol. envisagée'!$K$776),0),IF('Eval-Avec act. écol. envisagée'!$A$777=DY21,COUNTA('Eval-Avec act. écol. envisagée'!$K$777),0),IF('Eval-Avec act. écol. envisagée'!$A$778=DY21,COUNTA('Eval-Avec act. écol. envisagée'!$K$778),0),IF('Eval-Avec act. écol. envisagée'!$A$779=DY21,COUNTA('Eval-Avec act. écol. envisagée'!$K$779),0),IF('Eval-Avec act. écol. envisagée'!$A$780=DY21,COUNTA('Eval-Avec act. écol. envisagée'!$K$780),0))&gt;0,"X",0),"")</f>
        <v/>
      </c>
      <c r="EG21" s="211" t="str">
        <f>IF(COUNTIF('Eval-Avec act. écol. envisagée'!$A$761:$A$780,DY21)&gt;0,IF(OR(AND('Eval-Avec act. écol. envisagée'!$A$761=DY21,'Eval-Avec act. écol. envisagée'!$L$761&lt;120,'Eval-Avec act. écol. envisagée'!$L$761&gt;=EV9),AND('Eval-Avec act. écol. envisagée'!$A$762=DY21,'Eval-Avec act. écol. envisagée'!$L$762&lt;120,'Eval-Avec act. écol. envisagée'!$L$762&gt;=EV10),AND('Eval-Avec act. écol. envisagée'!$A$763=DY21,'Eval-Avec act. écol. envisagée'!$L$763&lt;120,'Eval-Avec act. écol. envisagée'!$L$763&gt;=EV11),AND('Eval-Avec act. écol. envisagée'!$A$764=DY21,'Eval-Avec act. écol. envisagée'!$L$764&lt;120,'Eval-Avec act. écol. envisagée'!$L$764&gt;=EV12),AND('Eval-Avec act. écol. envisagée'!$A$765=DY21,'Eval-Avec act. écol. envisagée'!$L$765&lt;120,'Eval-Avec act. écol. envisagée'!$L$765&gt;=EV13),AND('Eval-Avec act. écol. envisagée'!$A$766=DY21,'Eval-Avec act. écol. envisagée'!$L$766&lt;120,'Eval-Avec act. écol. envisagée'!$L$766&gt;=EV14),AND('Eval-Avec act. écol. envisagée'!$A$767=DY21,'Eval-Avec act. écol. envisagée'!$L$767&lt;120,'Eval-Avec act. écol. envisagée'!$L$767&gt;=EV15),AND('Eval-Avec act. écol. envisagée'!$A$768=DY21,'Eval-Avec act. écol. envisagée'!$L$768&lt;120,'Eval-Avec act. écol. envisagée'!$L$768&gt;=EV16),AND('Eval-Avec act. écol. envisagée'!$A$769=DY21,'Eval-Avec act. écol. envisagée'!$L$769&lt;120,'Eval-Avec act. écol. envisagée'!$L$769&gt;=EV17),AND('Eval-Avec act. écol. envisagée'!$A$770=DY21,'Eval-Avec act. écol. envisagée'!$L$770&lt;120,'Eval-Avec act. écol. envisagée'!$L$770&gt;=EV18),AND('Eval-Avec act. écol. envisagée'!$A$771=DY21,'Eval-Avec act. écol. envisagée'!$L$771&lt;120,'Eval-Avec act. écol. envisagée'!$L$771&gt;=EV19),AND('Eval-Avec act. écol. envisagée'!$A$772=DY21,'Eval-Avec act. écol. envisagée'!$L$772&lt;120,'Eval-Avec act. écol. envisagée'!$L$772&gt;=EV20),AND('Eval-Avec act. écol. envisagée'!$A$773=DY21,'Eval-Avec act. écol. envisagée'!$L$773&lt;120,'Eval-Avec act. écol. envisagée'!$L$773&gt;=EV21),AND('Eval-Avec act. écol. envisagée'!$A$774=DY21,'Eval-Avec act. écol. envisagée'!$L$774&lt;120,'Eval-Avec act. écol. envisagée'!$L$774&gt;=EV22),AND('Eval-Avec act. écol. envisagée'!$A$775=DY21,'Eval-Avec act. écol. envisagée'!$L$775&lt;120,'Eval-Avec act. écol. envisagée'!$L$775&gt;=EV23),AND('Eval-Avec act. écol. envisagée'!$A$776=DY21,'Eval-Avec act. écol. envisagée'!$L$776&lt;120,'Eval-Avec act. écol. envisagée'!$L$776&gt;=EV24),AND('Eval-Avec act. écol. envisagée'!$A$777=DY21,'Eval-Avec act. écol. envisagée'!$L$777&lt;120,'Eval-Avec act. écol. envisagée'!$L$777&gt;=EV25),AND('Eval-Avec act. écol. envisagée'!$A$778=DY21,'Eval-Avec act. écol. envisagée'!$L$778&lt;120,'Eval-Avec act. écol. envisagée'!$L$778&gt;=EV26),AND('Eval-Avec act. écol. envisagée'!$A$779=DY21,'Eval-Avec act. écol. envisagée'!$L$779&lt;120,'Eval-Avec act. écol. envisagée'!$L$779&gt;=EV27),AND('Eval-Avec act. écol. envisagée'!$A$780=DY21,'Eval-Avec act. écol. envisagée'!$L$780&lt;120,'Eval-Avec act. écol. envisagée'!$L$780&gt;=EV28)),"",SUM(IF('Eval-Avec act. écol. envisagée'!$A$761=DY21,'Eval-Avec act. écol. envisagée'!$L$761,0),IF('Eval-Avec act. écol. envisagée'!$A$762=DY21,'Eval-Avec act. écol. envisagée'!$L$762,0),IF('Eval-Avec act. écol. envisagée'!$A$763=DY21,'Eval-Avec act. écol. envisagée'!$L$763,0),IF('Eval-Avec act. écol. envisagée'!$A$764=DY21,'Eval-Avec act. écol. envisagée'!$L$764,0),IF('Eval-Avec act. écol. envisagée'!$A$765=DY21,'Eval-Avec act. écol. envisagée'!$L$765,0),IF('Eval-Avec act. écol. envisagée'!$A$766=DY21,'Eval-Avec act. écol. envisagée'!$L$766,0),IF('Eval-Avec act. écol. envisagée'!$A$767=DY21,'Eval-Avec act. écol. envisagée'!$L$767,0),IF('Eval-Avec act. écol. envisagée'!$A$768=DY21,'Eval-Avec act. écol. envisagée'!$L$768,0),IF('Eval-Avec act. écol. envisagée'!$A$769=DY21,'Eval-Avec act. écol. envisagée'!$L$769,0),IF('Eval-Avec act. écol. envisagée'!$A$770=DY21,'Eval-Avec act. écol. envisagée'!$L$770,0),IF('Eval-Avec act. écol. envisagée'!$A$771=DY21,'Eval-Avec act. écol. envisagée'!$L$771,0),IF('Eval-Avec act. écol. envisagée'!$A$772=DY21,'Eval-Avec act. écol. envisagée'!$L$772,0),IF('Eval-Avec act. écol. envisagée'!$A$773=DY21,'Eval-Avec act. écol. envisagée'!$L$773,0),IF('Eval-Avec act. écol. envisagée'!$A$774=DY21,'Eval-Avec act. écol. envisagée'!$L$774,0),IF('Eval-Avec act. écol. envisagée'!$A$775=DY21,'Eval-Avec act. écol. envisagée'!$L$775,0),IF('Eval-Avec act. écol. envisagée'!$A$776=DY21,'Eval-Avec act. écol. envisagée'!$L$776,0),IF('Eval-Avec act. écol. envisagée'!$A$777=DY21,'Eval-Avec act. écol. envisagée'!$L$777,0),IF('Eval-Avec act. écol. envisagée'!$A$778=DY21,'Eval-Avec act. écol. envisagée'!$L$778,0),IF('Eval-Avec act. écol. envisagée'!$A$779=DY21,'Eval-Avec act. écol. envisagée'!$L$779,0),IF('Eval-Avec act. écol. envisagée'!$A$780=DY21,'Eval-Avec act. écol. envisagée'!$L$780,0))/ COUNTIF('Eval-Avec act. écol. envisagée'!$A$761:$A$780,DY21)),"")</f>
        <v/>
      </c>
      <c r="EH21" s="211" t="str">
        <f>IF(COUNTIF('Eval-Avec act. écol. envisagée'!$A$761:$A$780,DY21)&gt;0,IF(OR(AND('Eval-Avec act. écol. envisagée'!$A$761=DY21, EV9&lt;120),AND(EV10&lt;120),AND(EV11&lt;120),AND(EV12&lt;120),AND(EV13&lt;120),AND(EV14&lt;120),AND(EV15&lt;120),AND(EV16&lt;120),AND(EV17&lt;120),AND(EV18&lt;120),AND(EV19&lt;120),AND(EV20&lt;120),AND(EV21&lt;120),AND(EV22&lt;120),AND(EV23&lt;120),AND(EV24&lt;120),AND(EV25&lt;120),AND(EV26&lt;120),AND(EV27&lt;120),AND(EV28&lt;120)),"",SUM(IF('Eval-Avec act. écol. envisagée'!$A$761=DY21,'Eval-Avec act. écol. envisagée'!$M$761,0),IF('Eval-Avec act. écol. envisagée'!$A$762=DY21,'Eval-Avec act. écol. envisagée'!$M$762,0),IF('Eval-Avec act. écol. envisagée'!$A$763=DY21,'Eval-Avec act. écol. envisagée'!$M$763,0),IF('Eval-Avec act. écol. envisagée'!$A$764=DY21,'Eval-Avec act. écol. envisagée'!$M$764,0),IF('Eval-Avec act. écol. envisagée'!$A$765=DY21,'Eval-Avec act. écol. envisagée'!$M$765,0),IF('Eval-Avec act. écol. envisagée'!$A$766=DY21,'Eval-Avec act. écol. envisagée'!$M$766,0),IF('Eval-Avec act. écol. envisagée'!$A$767=DY21,'Eval-Avec act. écol. envisagée'!$M$767,0),IF('Eval-Avec act. écol. envisagée'!$A$768=DY21,'Eval-Avec act. écol. envisagée'!$M$768,0),IF('Eval-Avec act. écol. envisagée'!$A$769=DY21,'Eval-Avec act. écol. envisagée'!$M$769,0),IF('Eval-Avec act. écol. envisagée'!$A$770=DY21,'Eval-Avec act. écol. envisagée'!$M$770,0),IF('Eval-Avec act. écol. envisagée'!$A$771=DY21,'Eval-Avec act. écol. envisagée'!$M$771,0),IF('Eval-Avec act. écol. envisagée'!$A$772=DY21,'Eval-Avec act. écol. envisagée'!$M$772,0),IF('Eval-Avec act. écol. envisagée'!$A$773=DY21,'Eval-Avec act. écol. envisagée'!$M$773,0),IF('Eval-Avec act. écol. envisagée'!$A$774=DY21,'Eval-Avec act. écol. envisagée'!$M$774,0),IF('Eval-Avec act. écol. envisagée'!$A$775=DY21,'Eval-Avec act. écol. envisagée'!$M$775,0), IF('Eval-Avec act. écol. envisagée'!$A$776=DY21,'Eval-Avec act. écol. envisagée'!$M$776,0), IF('Eval-Avec act. écol. envisagée'!$A$777=DY21,'Eval-Avec act. écol. envisagée'!$M$777,0), IF('Eval-Avec act. écol. envisagée'!$A$778=DY21,'Eval-Avec act. écol. envisagée'!$M$778,0), IF('Eval-Avec act. écol. envisagée'!$A$779=DY21,'Eval-Avec act. écol. envisagée'!$M$779,0), IF('Eval-Avec act. écol. envisagée'!$A$780=DY21,'Eval-Avec act. écol. envisagée'!$M$780,0))/COUNTIF('Eval-Avec act. écol. envisagée'!$A$761:$A$780,DY21)),"")</f>
        <v/>
      </c>
      <c r="EI21" s="211" t="str">
        <f>IF(COUNTIF('Eval-Avec act. écol. envisagée'!$A$761:$A$780,DY21)&gt;0,SUM(IF('Eval-Avec act. écol. envisagée'!$A$761=DY21,LEN(SUBSTITUTE((SUBSTITUTE(EX9,"TM","")),"TS",""))*10/2,0),IF('Eval-Avec act. écol. envisagée'!$A$762=DY21,LEN(SUBSTITUTE((SUBSTITUTE(EX10,"TM","")),"TS",""))*10/2,0),IF('Eval-Avec act. écol. envisagée'!$A$763=DY21,LEN(SUBSTITUTE((SUBSTITUTE(EX11,"TM","")),"TS",""))*10/2,0),IF('Eval-Avec act. écol. envisagée'!$A$764=DY21,LEN(SUBSTITUTE((SUBSTITUTE(EX12,"TM","")),"TS",""))*10/2,0),IF('Eval-Avec act. écol. envisagée'!$A$765=DY21,LEN(SUBSTITUTE((SUBSTITUTE(EX13,"TM","")),"TS",""))*10/2,0),IF('Eval-Avec act. écol. envisagée'!$A$766=DY21,LEN(SUBSTITUTE((SUBSTITUTE(EX14,"TM","")),"TS",""))*10/2,0),IF('Eval-Avec act. écol. envisagée'!$A$767=DY21,LEN(SUBSTITUTE((SUBSTITUTE(EX15,"TM","")),"TS",""))*10/2,0),IF('Eval-Avec act. écol. envisagée'!$A$768=DY21,LEN(SUBSTITUTE((SUBSTITUTE(EX16,"TM","")),"TS",""))*10/2,0),IF('Eval-Avec act. écol. envisagée'!$A$769=DY21,LEN(SUBSTITUTE((SUBSTITUTE(EX17,"TM","")),"TS",""))*10/2,0),IF('Eval-Avec act. écol. envisagée'!$A$770=DY21,LEN(SUBSTITUTE((SUBSTITUTE(EX18,"TM","")),"TS",""))*10/2,0),IF('Eval-Avec act. écol. envisagée'!$A$771=DY21,LEN(SUBSTITUTE((SUBSTITUTE(EX19,"TM","")),"TS",""))*10/2,0),IF('Eval-Avec act. écol. envisagée'!$A$772=DY21,LEN(SUBSTITUTE((SUBSTITUTE(EX20,"TM","")),"TS",""))*10/2,0),IF('Eval-Avec act. écol. envisagée'!$A$773=DY21,LEN(SUBSTITUTE((SUBSTITUTE(EX21,"TM","")),"TS",""))*10/2,0),IF('Eval-Avec act. écol. envisagée'!$A$774=DY21,LEN(SUBSTITUTE((SUBSTITUTE(EX22,"TM","")),"TS",""))*10/2,0),IF('Eval-Avec act. écol. envisagée'!$A$775=DY21,LEN(SUBSTITUTE((SUBSTITUTE(EX23,"TM","")),"TS",""))*10/2,0),IF('Eval-Avec act. écol. envisagée'!$A$776=DY21,LEN(SUBSTITUTE((SUBSTITUTE(EX24,"TM","")),"TS",""))*10/2,0),IF('Eval-Avec act. écol. envisagée'!$A$777=DY21,LEN(SUBSTITUTE((SUBSTITUTE(EX25,"TM","")),"TS",""))*10/2,0),IF('Eval-Avec act. écol. envisagée'!$A$778=DY21,LEN(SUBSTITUTE((SUBSTITUTE(EX26,"TM","")),"TS",""))*10/2,0),IF('Eval-Avec act. écol. envisagée'!$A$779=DY21,LEN(SUBSTITUTE((SUBSTITUTE(EX27,"TM","")),"TS",""))*10/2,0),IF('Eval-Avec act. écol. envisagée'!$A$780=DY21,LEN(SUBSTITUTE((SUBSTITUTE(EX28,"TM","")),"TS",""))*10/2,0))/COUNTIF('Eval-Avec act. écol. envisagée'!$A$761:$A$780,DY21),"")</f>
        <v/>
      </c>
      <c r="EJ21" s="211" t="str">
        <f>IF(COUNTIF('Eval-Avec act. écol. envisagée'!$A$761:$A$780,DY21)&gt;0,SUM(IF('Eval-Avec act. écol. envisagée'!$A$761=DY21,LEN(SUBSTITUTE((SUBSTITUTE(EX9,"TF","")),"TS",""))*10/2,0),IF('Eval-Avec act. écol. envisagée'!$A$762=DY21,LEN(SUBSTITUTE((SUBSTITUTE(EX10,"TF","")),"TS",""))*10/2,0),IF('Eval-Avec act. écol. envisagée'!$A$763=DY21,LEN(SUBSTITUTE((SUBSTITUTE(EX11,"TF","")),"TS",""))*10/2,0),IF('Eval-Avec act. écol. envisagée'!$A$764=DY21,LEN(SUBSTITUTE((SUBSTITUTE(EX12,"TF","")),"TS",""))*10/2,0),IF('Eval-Avec act. écol. envisagée'!$A$765=DY21,LEN(SUBSTITUTE((SUBSTITUTE(EX13,"TF","")),"TS",""))*10/2,0),IF('Eval-Avec act. écol. envisagée'!$A$766=DY21,LEN(SUBSTITUTE((SUBSTITUTE(EX14,"TF","")),"TS",""))*10/2,0),IF('Eval-Avec act. écol. envisagée'!$A$767=DY21,LEN(SUBSTITUTE((SUBSTITUTE(EX15,"TF","")),"TS",""))*10/2,0),IF('Eval-Avec act. écol. envisagée'!$A$768=DY21,LEN(SUBSTITUTE((SUBSTITUTE(EX16,"TF","")),"TS",""))*10/2,0),IF('Eval-Avec act. écol. envisagée'!$A$769=DY21,LEN(SUBSTITUTE((SUBSTITUTE(EX17,"TF","")),"TS",""))*10/2,0),IF('Eval-Avec act. écol. envisagée'!$A$770=DY21,LEN(SUBSTITUTE((SUBSTITUTE(EX18,"TF","")),"TS",""))*10/2,0),IF('Eval-Avec act. écol. envisagée'!$A$771=DY21,LEN(SUBSTITUTE((SUBSTITUTE(EX19,"TF","")),"TS",""))*10/2,0),IF('Eval-Avec act. écol. envisagée'!$A$772=DY21,LEN(SUBSTITUTE((SUBSTITUTE(EX20,"TF","")),"TS",""))*10/2,0),IF('Eval-Avec act. écol. envisagée'!$A$773=DY21,LEN(SUBSTITUTE((SUBSTITUTE(EX21,"TF","")),"TS",""))*10/2,0),IF('Eval-Avec act. écol. envisagée'!$A$774=DY21,LEN(SUBSTITUTE((SUBSTITUTE(EX22,"TF","")),"TS",""))*10/2,0),IF('Eval-Avec act. écol. envisagée'!$A$775=DY21,LEN(SUBSTITUTE((SUBSTITUTE(EX23,"TF","")),"TS",""))*10/2,0),IF('Eval-Avec act. écol. envisagée'!$A$776=DY21,LEN(SUBSTITUTE((SUBSTITUTE(EX24,"TF","")),"TS",""))*10/2,0),IF('Eval-Avec act. écol. envisagée'!$A$777=DY21,LEN(SUBSTITUTE((SUBSTITUTE(EX25,"TF","")),"TS",""))*10/2,0),IF('Eval-Avec act. écol. envisagée'!$A$778=DY21,LEN(SUBSTITUTE((SUBSTITUTE(EX26,"TF","")),"TS",""))*10/2,0),IF('Eval-Avec act. écol. envisagée'!$A$779=DY21,LEN(SUBSTITUTE((SUBSTITUTE(EX27,"TF","")),"TS",""))*10/2,0),IF('Eval-Avec act. écol. envisagée'!$A$780=DY21,LEN(SUBSTITUTE((SUBSTITUTE(EX28,"TF","")),"TS",""))*10/2,0))/COUNTIF('Eval-Avec act. écol. envisagée'!$A$761:$A$780,DY21),"")</f>
        <v/>
      </c>
      <c r="EK21" s="211" t="str">
        <f>IF(COUNTIF('Eval-Avec act. écol. envisagée'!$A$761:$A$780,DY21)&gt;0,SUM(IF('Eval-Avec act. écol. envisagée'!$A$761=DY21,LEN(SUBSTITUTE((SUBSTITUTE(EX9,"TF","")),"TM",""))*10/2,0),IF('Eval-Avec act. écol. envisagée'!$A$762=DY21,LEN(SUBSTITUTE((SUBSTITUTE(EX10,"TF","")),"TM",""))*10/2,0),IF('Eval-Avec act. écol. envisagée'!$A$763=DY21,LEN(SUBSTITUTE((SUBSTITUTE(EX11,"TF","")),"TM",""))*10/2,0),IF('Eval-Avec act. écol. envisagée'!$A$764=DY21,LEN(SUBSTITUTE((SUBSTITUTE(EX12,"TF","")),"TM",""))*10/2,0),IF('Eval-Avec act. écol. envisagée'!$A$765=DY21,LEN(SUBSTITUTE((SUBSTITUTE(EX13,"TF","")),"TM",""))*10/2,0),IF('Eval-Avec act. écol. envisagée'!$A$766=DY21,LEN(SUBSTITUTE((SUBSTITUTE(EX14,"TF","")),"TM",""))*10/2,0),IF('Eval-Avec act. écol. envisagée'!$A$767=DY21,LEN(SUBSTITUTE((SUBSTITUTE(EX15,"TF","")),"TM",""))*10/2,0),IF('Eval-Avec act. écol. envisagée'!$A$768=DY21,LEN(SUBSTITUTE((SUBSTITUTE(EX16,"TF","")),"TM",""))*10/2,0),IF('Eval-Avec act. écol. envisagée'!$A$769=DY21,LEN(SUBSTITUTE((SUBSTITUTE(EX17,"TF","")),"TM",""))*10/2,0),IF('Eval-Avec act. écol. envisagée'!$A$770=DY21,LEN(SUBSTITUTE((SUBSTITUTE(EX18,"TF","")),"TM",""))*10/2,0),IF('Eval-Avec act. écol. envisagée'!$A$771=DY21,LEN(SUBSTITUTE((SUBSTITUTE(EX19,"TF","")),"TM",""))*10/2,0),IF('Eval-Avec act. écol. envisagée'!$A$772=DY21,LEN(SUBSTITUTE((SUBSTITUTE(EX20,"TF","")),"TM",""))*10/2,0),IF('Eval-Avec act. écol. envisagée'!$A$773=DY21,LEN(SUBSTITUTE((SUBSTITUTE(EX21,"TF","")),"TM",""))*10/2,0),IF('Eval-Avec act. écol. envisagée'!$A$774=DY21,LEN(SUBSTITUTE((SUBSTITUTE(EX22,"TF","")),"TM",""))*10/2,0),IF('Eval-Avec act. écol. envisagée'!$A$775=DY21,LEN(SUBSTITUTE((SUBSTITUTE(EX23,"TF","")),"TM",""))*10/2,0),IF('Eval-Avec act. écol. envisagée'!$A$776=DY21,LEN(SUBSTITUTE((SUBSTITUTE(EX24,"TF","")),"TM",""))*10/2,0),IF('Eval-Avec act. écol. envisagée'!$A$777=DY21,LEN(SUBSTITUTE((SUBSTITUTE(EX25,"TF","")),"TM",""))*10/2,0),IF('Eval-Avec act. écol. envisagée'!$A$778=DY21,LEN(SUBSTITUTE((SUBSTITUTE(EX26,"TF","")),"TM",""))*10/2,0),IF('Eval-Avec act. écol. envisagée'!$A$779=DY21,LEN(SUBSTITUTE((SUBSTITUTE(EX27,"TF","")),"TM",""))*10/2,0),IF('Eval-Avec act. écol. envisagée'!$A$780=DY21,LEN(SUBSTITUTE((SUBSTITUTE(EX28,"TF","")),"TM",""))*10/2,0))/COUNTIF('Eval-Avec act. écol. envisagée'!$A$761:$A$780,DY21),"")</f>
        <v/>
      </c>
      <c r="EL21" s="211" t="str">
        <f>IF(COUNTIF('Eval-Avec act. écol. envisagée'!$A$761:$A$780,DY21)&gt;0,SUM(IF('Eval-Avec act. écol. envisagée'!$A$761=DY21,LEN(SUBSTITUTE((SUBSTITUTE(EY9,"TM","")),"TS",""))*10/2,0),IF('Eval-Avec act. écol. envisagée'!$A$762=DY21,LEN(SUBSTITUTE((SUBSTITUTE(EY10,"TM","")),"TS",""))*10/2,0),IF('Eval-Avec act. écol. envisagée'!$A$763=DY21,LEN(SUBSTITUTE((SUBSTITUTE(EY11,"TM","")),"TS",""))*10/2,0),IF('Eval-Avec act. écol. envisagée'!$A$764=DY21,LEN(SUBSTITUTE((SUBSTITUTE(EY12,"TM","")),"TS",""))*10/2,0),IF('Eval-Avec act. écol. envisagée'!$A$765=DY21,LEN(SUBSTITUTE((SUBSTITUTE(EY13,"TM","")),"TS",""))*10/2,0),IF('Eval-Avec act. écol. envisagée'!$A$766=DY21,LEN(SUBSTITUTE((SUBSTITUTE(EY14,"TM","")),"TS",""))*10/2,0),IF('Eval-Avec act. écol. envisagée'!$A$767=DY21,LEN(SUBSTITUTE((SUBSTITUTE(EY15,"TM","")),"TS",""))*10/2,0),IF('Eval-Avec act. écol. envisagée'!$A$768=DY21,LEN(SUBSTITUTE((SUBSTITUTE(EY16,"TM","")),"TS",""))*10/2,0),IF('Eval-Avec act. écol. envisagée'!$A$769=DY21,LEN(SUBSTITUTE((SUBSTITUTE(EY17,"TM","")),"TS",""))*10/2,0),IF('Eval-Avec act. écol. envisagée'!$A$770=DY21,LEN(SUBSTITUTE((SUBSTITUTE(EY18,"TM","")),"TS",""))*10/2,0),IF('Eval-Avec act. écol. envisagée'!$A$771=DY21,LEN(SUBSTITUTE((SUBSTITUTE(EY19,"TM","")),"TS",""))*10/2,0),IF('Eval-Avec act. écol. envisagée'!$A$772=DY21,LEN(SUBSTITUTE((SUBSTITUTE(EY20,"TM","")),"TS",""))*10/2,0),IF('Eval-Avec act. écol. envisagée'!$A$773=DY21,LEN(SUBSTITUTE((SUBSTITUTE(EY21,"TM","")),"TS",""))*10/2,0),IF('Eval-Avec act. écol. envisagée'!$A$774=DY21,LEN(SUBSTITUTE((SUBSTITUTE(EY22,"TM","")),"TS",""))*10/2,0),IF('Eval-Avec act. écol. envisagée'!$A$775=DY21,LEN(SUBSTITUTE((SUBSTITUTE(EY23,"TM","")),"TS",""))*10/2,0),IF('Eval-Avec act. écol. envisagée'!$A$776=DY21,LEN(SUBSTITUTE((SUBSTITUTE(EY24,"TM","")),"TS",""))*10/2,0),IF('Eval-Avec act. écol. envisagée'!$A$777=DY21,LEN(SUBSTITUTE((SUBSTITUTE(EY25,"TM","")),"TS",""))*10/2,0),IF('Eval-Avec act. écol. envisagée'!$A$778=DY21,LEN(SUBSTITUTE((SUBSTITUTE(EY26,"TM","")),"TS",""))*10/2,0),IF('Eval-Avec act. écol. envisagée'!$A$779=DY21,LEN(SUBSTITUTE((SUBSTITUTE(EY27,"TM","")),"TS",""))*10/2,0),IF('Eval-Avec act. écol. envisagée'!$A$780=DY21,LEN(SUBSTITUTE((SUBSTITUTE(EY28,"TM","")),"TS",""))*10/2,0))/COUNTIF('Eval-Avec act. écol. envisagée'!$A$761:$A$780,DY21),"")</f>
        <v/>
      </c>
      <c r="EM21" s="211" t="str">
        <f>IF(COUNTIF('Eval-Avec act. écol. envisagée'!$A$761:$A$780,DY21)&gt;0,SUM(IF('Eval-Avec act. écol. envisagée'!$A$761=DY21,LEN(SUBSTITUTE((SUBSTITUTE(EY9,"TF","")),"TS",""))*10/2,0),IF('Eval-Avec act. écol. envisagée'!$A$762=DY21,LEN(SUBSTITUTE((SUBSTITUTE(EY10,"TF","")),"TS",""))*10/2,0),IF('Eval-Avec act. écol. envisagée'!$A$763=DY21,LEN(SUBSTITUTE((SUBSTITUTE(EY11,"TF","")),"TS",""))*10/2,0),IF('Eval-Avec act. écol. envisagée'!$A$764=DY21,LEN(SUBSTITUTE((SUBSTITUTE(EY12,"TF","")),"TS",""))*10/2,0),IF('Eval-Avec act. écol. envisagée'!$A$765=DY21,LEN(SUBSTITUTE((SUBSTITUTE(EY13,"TF","")),"TS",""))*10/2,0),IF('Eval-Avec act. écol. envisagée'!$A$766=DY21,LEN(SUBSTITUTE((SUBSTITUTE(EY14,"TF","")),"TS",""))*10/2,0),IF('Eval-Avec act. écol. envisagée'!$A$767=DY21,LEN(SUBSTITUTE((SUBSTITUTE(EY15,"TF","")),"TS",""))*10/2,0),IF('Eval-Avec act. écol. envisagée'!$A$768=DY21,LEN(SUBSTITUTE((SUBSTITUTE(EY16,"TF","")),"TS",""))*10/2,0),IF('Eval-Avec act. écol. envisagée'!$A$769=DY21,LEN(SUBSTITUTE((SUBSTITUTE(EY17,"TF","")),"TS",""))*10/2,0),IF('Eval-Avec act. écol. envisagée'!$A$770=DY21,LEN(SUBSTITUTE((SUBSTITUTE(EY18,"TF","")),"TS",""))*10/2,0),IF('Eval-Avec act. écol. envisagée'!$A$771=DY21,LEN(SUBSTITUTE((SUBSTITUTE(EY19,"TF","")),"TS",""))*10/2,0),IF('Eval-Avec act. écol. envisagée'!$A$772=DY21,LEN(SUBSTITUTE((SUBSTITUTE(EY20,"TF","")),"TS",""))*10/2,0),IF('Eval-Avec act. écol. envisagée'!$A$773=DY21,LEN(SUBSTITUTE((SUBSTITUTE(EY21,"TF","")),"TS",""))*10/2,0),IF('Eval-Avec act. écol. envisagée'!$A$774=DY21,LEN(SUBSTITUTE((SUBSTITUTE(EY22,"TF","")),"TS",""))*10/2,0),IF('Eval-Avec act. écol. envisagée'!$A$775=DY21,LEN(SUBSTITUTE((SUBSTITUTE(EY23,"TF","")),"TS",""))*10/2,0),IF('Eval-Avec act. écol. envisagée'!$A$776=DY21,LEN(SUBSTITUTE((SUBSTITUTE(EY24,"TF","")),"TS",""))*10/2,0),IF('Eval-Avec act. écol. envisagée'!$A$777=DY21,LEN(SUBSTITUTE((SUBSTITUTE(EY25,"TF","")),"TS",""))*10/2,0),IF('Eval-Avec act. écol. envisagée'!$A$778=DY21,LEN(SUBSTITUTE((SUBSTITUTE(EY26,"TF","")),"TS",""))*10/2,0),IF('Eval-Avec act. écol. envisagée'!$A$779=DY21,LEN(SUBSTITUTE((SUBSTITUTE(EY27,"TF","")),"TS",""))*10/2,0),IF('Eval-Avec act. écol. envisagée'!$A$780=DY21,LEN(SUBSTITUTE((SUBSTITUTE(EY28,"TF","")),"TS",""))*10/2,0))/COUNTIF('Eval-Avec act. écol. envisagée'!$A$761:$A$780,DY21),"")</f>
        <v/>
      </c>
      <c r="EN21" s="211" t="str">
        <f>IF(COUNTIF('Eval-Avec act. écol. envisagée'!$A$761:$A$780,DY21)&gt;0,SUM(IF('Eval-Avec act. écol. envisagée'!$A$761=DY21,LEN(SUBSTITUTE((SUBSTITUTE(EY9,"TF","")),"TM",""))*10/2,0),IF('Eval-Avec act. écol. envisagée'!$A$762=DY21,LEN(SUBSTITUTE((SUBSTITUTE(EY10,"TF","")),"TM",""))*10/2,0),IF('Eval-Avec act. écol. envisagée'!$A$763=DY21,LEN(SUBSTITUTE((SUBSTITUTE(EY11,"TF","")),"TM",""))*10/2,0),IF('Eval-Avec act. écol. envisagée'!$A$764=DY21,LEN(SUBSTITUTE((SUBSTITUTE(EY12,"TF","")),"TM",""))*10/2,0),IF('Eval-Avec act. écol. envisagée'!$A$765=DY21,LEN(SUBSTITUTE((SUBSTITUTE(EY13,"TF","")),"TM",""))*10/2,0),IF('Eval-Avec act. écol. envisagée'!$A$766=DY21,LEN(SUBSTITUTE((SUBSTITUTE(EY14,"TF","")),"TM",""))*10/2,0),IF('Eval-Avec act. écol. envisagée'!$A$767=DY21,LEN(SUBSTITUTE((SUBSTITUTE(EY15,"TF","")),"TM",""))*10/2,0),IF('Eval-Avec act. écol. envisagée'!$A$768=DY21,LEN(SUBSTITUTE((SUBSTITUTE(EY16,"TF","")),"TM",""))*10/2,0),IF('Eval-Avec act. écol. envisagée'!$A$769=DY21,LEN(SUBSTITUTE((SUBSTITUTE(EY17,"TF","")),"TM",""))*10/2,0),IF('Eval-Avec act. écol. envisagée'!$A$770=DY21,LEN(SUBSTITUTE((SUBSTITUTE(EY18,"TF","")),"TM",""))*10/2,0),IF('Eval-Avec act. écol. envisagée'!$A$771=DY21,LEN(SUBSTITUTE((SUBSTITUTE(EY19,"TF","")),"TM",""))*10/2,0),IF('Eval-Avec act. écol. envisagée'!$A$772=DY21,LEN(SUBSTITUTE((SUBSTITUTE(EY20,"TF","")),"TM",""))*10/2,0),IF('Eval-Avec act. écol. envisagée'!$A$773=DY21,LEN(SUBSTITUTE((SUBSTITUTE(EY21,"TF","")),"TM",""))*10/2,0),IF('Eval-Avec act. écol. envisagée'!$A$774=DY21,LEN(SUBSTITUTE((SUBSTITUTE(EY22,"TF","")),"TM",""))*10/2,0),IF('Eval-Avec act. écol. envisagée'!$A$775=DY21,LEN(SUBSTITUTE((SUBSTITUTE(EY23,"TF","")),"TM",""))*10/2,0),IF('Eval-Avec act. écol. envisagée'!$A$776=DY21,LEN(SUBSTITUTE((SUBSTITUTE(EY24,"TF","")),"TM",""))*10/2,0),IF('Eval-Avec act. écol. envisagée'!$A$777=DY21,LEN(SUBSTITUTE((SUBSTITUTE(EY25,"TF","")),"TM",""))*10/2,0),IF('Eval-Avec act. écol. envisagée'!$A$778=DY21,LEN(SUBSTITUTE((SUBSTITUTE(EY26,"TF","")),"TM",""))*10/2,0),IF('Eval-Avec act. écol. envisagée'!$A$779=DY21,LEN(SUBSTITUTE((SUBSTITUTE(EY27,"TF","")),"TM",""))*10/2,0),IF('Eval-Avec act. écol. envisagée'!$A$780=DY21,LEN(SUBSTITUTE((SUBSTITUTE(EY28,"TF","")),"TM",""))*10/2,0))/COUNTIF('Eval-Avec act. écol. envisagée'!$A$761:$A$780,DY21),"")</f>
        <v/>
      </c>
      <c r="EO21" s="211" t="str">
        <f>IF(COUNTIF('Eval-Avec act. écol. envisagée'!$A$761:$A$780,DY21)&gt;0,IF(OR(AND('Eval-Avec act. écol. envisagée'!$A$761=DY21,EV9&lt;30),AND('Eval-Avec act. écol. envisagée'!$A$762=DY21,EV10&lt;30),AND('Eval-Avec act. écol. envisagée'!$A$763=DY21,EV11&lt;30),AND('Eval-Avec act. écol. envisagée'!$A$764=DY21,EV12&lt;30),AND('Eval-Avec act. écol. envisagée'!$A$765=DY21,EV13&lt;30),AND('Eval-Avec act. écol. envisagée'!$A$766=DY21,EV14&lt;30),AND('Eval-Avec act. écol. envisagée'!$A$767=DY21,EV15&lt;30),AND('Eval-Avec act. écol. envisagée'!$A$768=DY21,EV16&lt;30),AND('Eval-Avec act. écol. envisagée'!$A$769=DY21,EV17&lt;30),AND('Eval-Avec act. écol. envisagée'!$A$770=DY21,EV18&lt;30),AND('Eval-Avec act. écol. envisagée'!$A$771=DY21,EV19&lt;30),AND('Eval-Avec act. écol. envisagée'!$A$772=DY21,EV20&lt;30),AND('Eval-Avec act. écol. envisagée'!$A$773=DY21,EV21&lt;30),AND('Eval-Avec act. écol. envisagée'!$A$774=DY21,EV22&lt;30),AND('Eval-Avec act. écol. envisagée'!$A$775=DY21,EV23&lt;30),AND('Eval-Avec act. écol. envisagée'!$A$776=DY21,EV24&lt;30),AND('Eval-Avec act. écol. envisagée'!$A$777=DY21,EV25&lt;30),AND('Eval-Avec act. écol. envisagée'!$A$778=DY21,EV26&lt;30),AND('Eval-Avec act. écol. envisagée'!$A$779=DY21,EV27&lt;30),AND('Eval-Avec act. écol. envisagée'!$A$780=DY21,EV28&lt;30)),"",SUM(0.1*(SUMPRODUCT(('Eval-Avec act. écol. envisagée'!$A$761:$A$780=DY21)*('Eval-Avec act. écol. envisagée'!$N$761:$P$780="A"))+ SUMPRODUCT(('Eval-Avec act. écol. envisagée'!$A$761:$A$780=DY21)*('Eval-Avec act. écol. envisagée'!$N$761:$P$780="AL"))),0.7*(SUMPRODUCT(('Eval-Avec act. écol. envisagée'!$A$761:$A$780=DY21)*('Eval-Avec act. écol. envisagée'!$N$761:$P$780="TF"))+SUMPRODUCT(('Eval-Avec act. écol. envisagée'!$A$761:$A$780=DY21)*('Eval-Avec act. écol. envisagée'!$N$761:$P$780="TM"))+SUMPRODUCT(('Eval-Avec act. écol. envisagée'!$A$761:$A$780=DY21)*('Eval-Avec act. écol. envisagée'!$N$761:$P$780="TS"))),0.4*(SUMPRODUCT(('Eval-Avec act. écol. envisagée'!$A$761:$A$780=DY21)*('Eval-Avec act. écol. envisagée'!$N$761:$P$780="LA"))+SUMPRODUCT(('Eval-Avec act. écol. envisagée'!$A$761:$A$780=DY21)*('Eval-Avec act. écol. envisagée'!$N$761:$P$780="L"))+SUMPRODUCT(('Eval-Avec act. écol. envisagée'!$A$761:$A$780=DY21)*('Eval-Avec act. écol. envisagée'!$N$761:$P$780="LS"))),1*(SUMPRODUCT(('Eval-Avec act. écol. envisagée'!$A$761:$A$780=DY21)*('Eval-Avec act. écol. envisagée'!$N$761:$P$780="SL"))+ SUMPRODUCT(('Eval-Avec act. écol. envisagée'!$A$761:$A$780=DY21)*('Eval-Avec act. écol. envisagée'!$N$761:$P$780="S"))))/(3*COUNTIF('Eval-Avec act. écol. envisagée'!$A$761:$A$780,DY21))),"")</f>
        <v/>
      </c>
      <c r="EP21" s="211" t="str">
        <f>IF(COUNTIF('Eval-Avec act. écol. envisagée'!$A$761:$A$780,DY21)&gt;0,IF(OR(AND('Eval-Avec act. écol. envisagée'!$A$761=DY21,EV9&lt;120),AND('Eval-Avec act. écol. envisagée'!$A$762=DY21,EV10&lt;120),AND('Eval-Avec act. écol. envisagée'!$A$763=DY21,EV11&lt;120),AND('Eval-Avec act. écol. envisagée'!$A$764=DY21,EV12&lt;120),AND('Eval-Avec act. écol. envisagée'!$A$765=DY21,EV13&lt;120),AND('Eval-Avec act. écol. envisagée'!$A$766=DY21,EV14&lt;120),AND('Eval-Avec act. écol. envisagée'!$A$767=DY21,EV15&lt;120),AND('Eval-Avec act. écol. envisagée'!$A$768=DY21,EV16&lt;120),AND('Eval-Avec act. écol. envisagée'!$A$769=DY21,EV17&lt;120),AND('Eval-Avec act. écol. envisagée'!$A$770=DY21,EV18&lt;120),AND('Eval-Avec act. écol. envisagée'!$A$771=DY21,EV19&lt;120),AND('Eval-Avec act. écol. envisagée'!$A$772=DY21,EV20&lt;120),AND('Eval-Avec act. écol. envisagée'!$A$773=DY21,EV21&lt;120),AND('Eval-Avec act. écol. envisagée'!$A$774=DY21,EV22&lt;120),AND('Eval-Avec act. écol. envisagée'!$A$775=DY21,EV23&lt;120),AND('Eval-Avec act. écol. envisagée'!$A$776=DY21,EV24&lt;120),AND('Eval-Avec act. écol. envisagée'!$A$777=DY21,EV25&lt;120),AND('Eval-Avec act. écol. envisagée'!$A$778=DY21,EV26&lt;120),AND('Eval-Avec act. écol. envisagée'!$A$779=DY21,EV27&lt;120),AND('Eval-Avec act. écol. envisagée'!$A$780=DY21,EV28&lt;120)),"",SUM(0.1*(SUMPRODUCT(('Eval-Avec act. écol. envisagée'!$A$761:$A$780=DY21)*('Eval-Avec act. écol. envisagée'!$Q$761:$Y$780="A"))+ SUMPRODUCT(('Eval-Avec act. écol. envisagée'!$A$761:$A$780=DY21)*('Eval-Avec act. écol. envisagée'!$Q$761:$Y$780="AL"))),0.7*(SUMPRODUCT(('Eval-Avec act. écol. envisagée'!$A$761:$A$780=DY21)*('Eval-Avec act. écol. envisagée'!$Q$761:$Y$780="TF"))+SUMPRODUCT(('Eval-Avec act. écol. envisagée'!$A$761:$A$780=DY21)*('Eval-Avec act. écol. envisagée'!$Q$761:$Y$780="TM"))+SUMPRODUCT(('Eval-Avec act. écol. envisagée'!$A$761:$A$780=DY21)*('Eval-Avec act. écol. envisagée'!$Q$761:$Y$780="TS"))),0.4*(SUMPRODUCT(('Eval-Avec act. écol. envisagée'!$A$761:$A$780=DY21)*('Eval-Avec act. écol. envisagée'!$Q$761:$Y$780="LA"))+SUMPRODUCT(('Eval-Avec act. écol. envisagée'!$A$761:$A$780=DY21)*('Eval-Avec act. écol. envisagée'!$Q$761:$Y$780="L"))+SUMPRODUCT(('Eval-Avec act. écol. envisagée'!$A$761:$A$780=DY21)*('Eval-Avec act. écol. envisagée'!$Q$761:$Y$780="LS"))),1*(SUMPRODUCT(('Eval-Avec act. écol. envisagée'!$A$761:$A$780=DY21)*('Eval-Avec act. écol. envisagée'!$Q$761:$Y$780="SL"))+ SUMPRODUCT(('Eval-Avec act. écol. envisagée'!$A$761:$A$780=DY21)*('Eval-Avec act. écol. envisagée'!$Q$761:$Y$780="S"))))/(9*COUNTIF('Eval-Avec act. écol. envisagée'!$A$761:$A$780,DY21))),"")</f>
        <v/>
      </c>
      <c r="EQ21" s="211" t="str">
        <f>IF(COUNTIF('Eval-Avec act. écol. envisagée'!$A$761:$A$780,DY21)&gt;0,IF(OR(AND('Eval-Avec act. écol. envisagée'!$A$761=DY21,OR(COUNTIF('Eval-Avec act. écol. envisagée'!$N$761:$P$761,"*T*")&gt;0,EV9&lt;30)),AND('Eval-Avec act. écol. envisagée'!$A$762=DY21,OR(COUNTIF('Eval-Avec act. écol. envisagée'!$N$762:$P$762,"*T*")&gt;0,EV10&lt;30)),AND('Eval-Avec act. écol. envisagée'!$A$763=DY21,OR(COUNTIF('Eval-Avec act. écol. envisagée'!$N$763:$P$763,"*T*")&gt;0,EV11&lt;30)),AND('Eval-Avec act. écol. envisagée'!$A$764=DY21,OR(COUNTIF('Eval-Avec act. écol. envisagée'!$N$764:$P$764,"*T*")&gt;0,EV12&lt;30)),AND('Eval-Avec act. écol. envisagée'!$A$765=DY21,OR(COUNTIF('Eval-Avec act. écol. envisagée'!$N$765:$P$765,"*T*")&gt;0,EV13&lt;30)),AND('Eval-Avec act. écol. envisagée'!$A$766=DY21,OR(COUNTIF('Eval-Avec act. écol. envisagée'!$N$766:$P$766,"*T*")&gt;0,EV14&lt;30)),AND('Eval-Avec act. écol. envisagée'!$A$767=DY21,OR(COUNTIF('Eval-Avec act. écol. envisagée'!$N$767:$P$767,"*T*")&gt;0,EV15&lt;30)),AND('Eval-Avec act. écol. envisagée'!$A$768=DY21,OR(COUNTIF('Eval-Avec act. écol. envisagée'!$N$768:$P$768,"*T*")&gt;0,EV16&lt;30)),AND('Eval-Avec act. écol. envisagée'!$A$769=DY21,OR(COUNTIF('Eval-Avec act. écol. envisagée'!$N$769:$P$769,"*T*")&gt;0,EV17&lt;30)),AND('Eval-Avec act. écol. envisagée'!$A$770=DY21,OR(COUNTIF('Eval-Avec act. écol. envisagée'!$N$770:$P$770,"*T*")&gt;0,EV18&lt;30)),AND('Eval-Avec act. écol. envisagée'!$A$771=DY21,OR(COUNTIF('Eval-Avec act. écol. envisagée'!$N$771:$P$771,"*T*")&gt;0,EV19&lt;30)),AND('Eval-Avec act. écol. envisagée'!$A$772=DY21,OR(COUNTIF('Eval-Avec act. écol. envisagée'!$N$772:$P$772,"*T*")&gt;0,EV20&lt;30)),AND('Eval-Avec act. écol. envisagée'!$A$773=DY21,OR(COUNTIF('Eval-Avec act. écol. envisagée'!$N$773:$P$773,"*T*")&gt;0,EV21&lt;30)),AND('Eval-Avec act. écol. envisagée'!$A$774=DY21,OR(COUNTIF('Eval-Avec act. écol. envisagée'!$N$774:$P$774,"*T*")&gt;0,EV22&lt;30)),AND('Eval-Avec act. écol. envisagée'!$A$775=DY21,OR(COUNTIF('Eval-Avec act. écol. envisagée'!$N$775:$P$775,"*T*")&gt;0,EV23&lt;30)),AND('Eval-Avec act. écol. envisagée'!$A$776=DY21,OR(COUNTIF('Eval-Avec act. écol. envisagée'!$N$776:$P$776,"*T*")&gt;0,EV24&lt;30)),AND('Eval-Avec act. écol. envisagée'!$A$777=DY21,OR(COUNTIF('Eval-Avec act. écol. envisagée'!$N$777:$P$777,"*T*")&gt;0,EV25&lt;30)),AND('Eval-Avec act. écol. envisagée'!$A$778=DY21,OR(COUNTIF('Eval-Avec act. écol. envisagée'!$N$778:$P$778,"*T*")&gt;0,EV26&lt;30)),AND('Eval-Avec act. écol. envisagée'!$A$779=DY21,OR(COUNTIF('Eval-Avec act. écol. envisagée'!$N$779:$P$779,"*T*")&gt;0,EV27&lt;30)),AND('Eval-Avec act. écol. envisagée'!$A$780=DY21,OR(COUNTIF('Eval-Avec act. écol. envisagée'!$N$780:$P$780,"*T*")&gt;0,EV28&lt;30))),"",SUM(0.1*(SUMPRODUCT(('Eval-Avec act. écol. envisagée'!$A$761:$A$780=DY21)*('Eval-Avec act. écol. envisagée'!$N$761:$P$780="L"))),0.4*(SUMPRODUCT(('Eval-Avec act. écol. envisagée'!$A$761:$A$780=DY21)*('Eval-Avec act. écol. envisagée'!$N$761:$P$780="LA"))+SUMPRODUCT(('Eval-Avec act. écol. envisagée'!$A$761:$A$780=DY21)*('Eval-Avec act. écol. envisagée'!$N$761:$P$780="LS"))),0.7*(SUMPRODUCT(('Eval-Avec act. écol. envisagée'!$A$761:$A$780=DY21)*('Eval-Avec act. écol. envisagée'!$N$761:$P$780="AL"))+SUMPRODUCT(('Eval-Avec act. écol. envisagée'!$A$761:$A$780=DY21)*('Eval-Avec act. écol. envisagée'!$N$761:$P$780="SL"))),1*(SUMPRODUCT(('Eval-Avec act. écol. envisagée'!$A$761:$A$780=DY21)*('Eval-Avec act. écol. envisagée'!$N$761:$P$780="S"))+ SUMPRODUCT(('Eval-Avec act. écol. envisagée'!$A$761:$A$780=DY21)*('Eval-Avec act. écol. envisagée'!$N$761:$P$780="A"))))/(3*COUNTIF('Eval-Avec act. écol. envisagée'!$A$761:$A$780,DY21))),"")</f>
        <v/>
      </c>
      <c r="ER21" s="211" t="str">
        <f>IF(COUNTIF('Eval-Avec act. écol. envisagée'!$A$761:$A$780,DY21)&gt;0,IF(OR(AND('Eval-Avec act. écol. envisagée'!$A$761=DY21,OR(COUNTIF('Eval-Avec act. écol. envisagée'!$N$761:$P$761,"*T*")&gt;0,EV9&lt;30)),AND('Eval-Avec act. écol. envisagée'!$A$762=DY21,OR(COUNTIF('Eval-Avec act. écol. envisagée'!$N$762:$P$762,"*T*")&gt;0,EV10&lt;30)),AND('Eval-Avec act. écol. envisagée'!$A$763=DY21,OR(COUNTIF('Eval-Avec act. écol. envisagée'!$N$763:$P$763,"*T*")&gt;0,EV11&lt;30)),AND('Eval-Avec act. écol. envisagée'!$A$764=DY21,OR(COUNTIF('Eval-Avec act. écol. envisagée'!$N$764:$P$764,"*T*")&gt;0,EV12&lt;30)),AND('Eval-Avec act. écol. envisagée'!$A$765=DY21,OR(COUNTIF('Eval-Avec act. écol. envisagée'!$N$765:$P$765,"*T*")&gt;0,EV13&lt;30)),AND('Eval-Avec act. écol. envisagée'!$A$766=DY21,OR(COUNTIF('Eval-Avec act. écol. envisagée'!$N$766:$P$766,"*T*")&gt;0,EV14&lt;30)),AND('Eval-Avec act. écol. envisagée'!$A$767=DY21,OR(COUNTIF('Eval-Avec act. écol. envisagée'!$N$767:$P$767,"*T*")&gt;0,EV15&lt;30)),AND('Eval-Avec act. écol. envisagée'!$A$768=DY21,OR(COUNTIF('Eval-Avec act. écol. envisagée'!$N$768:$P$768,"*T*")&gt;0,EV16&lt;30)),AND('Eval-Avec act. écol. envisagée'!$A$769=DY21,OR(COUNTIF('Eval-Avec act. écol. envisagée'!$N$769:$P$769,"*T*")&gt;0,EV17&lt;30)),AND('Eval-Avec act. écol. envisagée'!$A$770=DY21,OR(COUNTIF('Eval-Avec act. écol. envisagée'!$N$770:$P$770,"*T*")&gt;0,EV18&lt;30)),AND('Eval-Avec act. écol. envisagée'!$A$771=DY21,OR(COUNTIF('Eval-Avec act. écol. envisagée'!$N$771:$P$771,"*T*")&gt;0,EV19&lt;30)),AND('Eval-Avec act. écol. envisagée'!$A$772=DY21,OR(COUNTIF('Eval-Avec act. écol. envisagée'!$N$772:$P$772,"*T*")&gt;0,EV20&lt;30)),AND('Eval-Avec act. écol. envisagée'!$A$773=DY21,OR(COUNTIF('Eval-Avec act. écol. envisagée'!$N$773:$P$773,"*T*")&gt;0,EV21&lt;30)),AND('Eval-Avec act. écol. envisagée'!$A$774=DY21,OR(COUNTIF('Eval-Avec act. écol. envisagée'!$N$774:$P$774,"*T*")&gt;0,EV22&lt;30)),AND('Eval-Avec act. écol. envisagée'!$A$775=DY21,OR(COUNTIF('Eval-Avec act. écol. envisagée'!$N$775:$P$775,"*T*")&gt;0,EV23&lt;30)),AND('Eval-Avec act. écol. envisagée'!$A$776=DY21,OR(COUNTIF('Eval-Avec act. écol. envisagée'!$N$776:$P$776,"*T*")&gt;0,EV24&lt;30)),AND('Eval-Avec act. écol. envisagée'!$A$777=DY21,OR(COUNTIF('Eval-Avec act. écol. envisagée'!$N$777:$P$777,"*T*")&gt;0,EV25&lt;30)),AND('Eval-Avec act. écol. envisagée'!$A$778=DY21,OR(COUNTIF('Eval-Avec act. écol. envisagée'!$N$778:$P$778,"*T*")&gt;0,EV26&lt;30)),AND('Eval-Avec act. écol. envisagée'!$A$779=DY21,OR(COUNTIF('Eval-Avec act. écol. envisagée'!$N$779:$P$779,"*T*")&gt;0,EV27&lt;30)),AND('Eval-Avec act. écol. envisagée'!$A$780=DY21,OR(COUNTIF('Eval-Avec act. écol. envisagée'!$N$780:$P$780,"*T*")&gt;0,EV28&lt;30))),"",SUM(1*(SUMPRODUCT(('Eval-Avec act. écol. envisagée'!$A$761:$A$780=DY21)*('Eval-Avec act. écol. envisagée'!$N$761:$P$780="A"))),0.85*(SUMPRODUCT(('Eval-Avec act. écol. envisagée'!$A$761:$A$780=DY21)*('Eval-Avec act. écol. envisagée'!$N$761:$P$780="AL"))),0.7*(SUMPRODUCT(('Eval-Avec act. écol. envisagée'!$A$761:$A$780=DY21)*('Eval-Avec act. écol. envisagée'!$N$761:$P$780="LA"))),0.55*(SUMPRODUCT(('Eval-Avec act. écol. envisagée'!$A$761:$A$780=DY21)*('Eval-Avec act. écol. envisagée'!$N$761:$P$780="L"))),0.4*(SUMPRODUCT(('Eval-Avec act. écol. envisagée'!$A$761:$A$780=DY21)*('Eval-Avec act. écol. envisagée'!$N$761:$P$780="LS"))),0.25*(SUMPRODUCT(('Eval-Avec act. écol. envisagée'!$A$761:$A$780=DY21)*('Eval-Avec act. écol. envisagée'!$N$761:$P$780="SL"))),0.1*(SUMPRODUCT(('Eval-Avec act. écol. envisagée'!$A$761:$A$780=DY21)*('Eval-Avec act. écol. envisagée'!$N$761:$P$780="S"))))/(3*COUNTIF('Eval-Avec act. écol. envisagée'!$A$761:$A$780,DY21))),"")</f>
        <v/>
      </c>
      <c r="ES21" s="214" t="str">
        <f>IF(COUNTIF('Eval-Avec act. écol. envisagée'!$A$761:$A$780,DY21)&gt;0,IF(OR(AND('Eval-Avec act. écol. envisagée'!$A$761=DY21,OR(COUNTIF('Eval-Avec act. écol. envisagée'!$Q$761:$Y$761,"*T*")&gt;0,EV9&lt;120)),AND('Eval-Avec act. écol. envisagée'!$A$762=DY21,OR(COUNTIF('Eval-Avec act. écol. envisagée'!$Q$762:$Y$762,"*T*")&gt;0,EV10&lt;120)),AND('Eval-Avec act. écol. envisagée'!$A$763=DY21,OR(COUNTIF('Eval-Avec act. écol. envisagée'!$Q$763:$Y$763,"*T*")&gt;0,EV11&lt;120)),AND('Eval-Avec act. écol. envisagée'!$A$764=DY21,OR(COUNTIF('Eval-Avec act. écol. envisagée'!$Q$764:$Y$764,"*T*")&gt;0,EV12&lt;120)),AND('Eval-Avec act. écol. envisagée'!$A$765=DY21,OR(COUNTIF('Eval-Avec act. écol. envisagée'!$Q$765:$Y$765,"*T*")&gt;0,EV13&lt;120)),AND('Eval-Avec act. écol. envisagée'!$A$766=DY21,OR(COUNTIF('Eval-Avec act. écol. envisagée'!$Q$766:$Y$766,"*T*")&gt;0,EV14&lt;120)),AND('Eval-Avec act. écol. envisagée'!$A$767=DY21,OR(COUNTIF('Eval-Avec act. écol. envisagée'!$Q$767:$Y$767,"*T*")&gt;0,EV15&lt;120)),AND('Eval-Avec act. écol. envisagée'!$A$768=DY21,OR(COUNTIF('Eval-Avec act. écol. envisagée'!$Q$768:$Y$768,"*T*")&gt;0,EV16&lt;120)),AND('Eval-Avec act. écol. envisagée'!$A$769=DY21,OR(COUNTIF('Eval-Avec act. écol. envisagée'!$Q$769:$Y$769,"*T*")&gt;0,EV17&lt;120)),AND('Eval-Avec act. écol. envisagée'!$A$770=DY21,OR(COUNTIF('Eval-Avec act. écol. envisagée'!$Q$770:$Y$770,"*T*")&gt;0,EV18&lt;120)),AND('Eval-Avec act. écol. envisagée'!$A$771=DY21,OR(COUNTIF('Eval-Avec act. écol. envisagée'!$Q$771:$Y$771,"*T*")&gt;0,EV19&lt;120)),AND('Eval-Avec act. écol. envisagée'!$A$772=DY21,OR(COUNTIF('Eval-Avec act. écol. envisagée'!$Q$772:$Y$772,"*T*")&gt;0,EV20&lt;120)),AND('Eval-Avec act. écol. envisagée'!$A$773=DY21,OR(COUNTIF('Eval-Avec act. écol. envisagée'!$Q$773:$Y$773,"*T*")&gt;0,EV21&lt;120)),AND('Eval-Avec act. écol. envisagée'!$A$774=DY21,OR(COUNTIF('Eval-Avec act. écol. envisagée'!$Q$774:$Y$774,"*T*")&gt;0,EV22&lt;120)),AND('Eval-Avec act. écol. envisagée'!$A$775=DY21,OR(COUNTIF('Eval-Avec act. écol. envisagée'!$Q$775:$Y$775,"*T*")&gt;0,EV23&lt;120)),AND('Eval-Avec act. écol. envisagée'!$A$776=DY21,OR(COUNTIF('Eval-Avec act. écol. envisagée'!$Q$776:$Y$776,"*T*")&gt;0,EV24&lt;120)),AND('Eval-Avec act. écol. envisagée'!$A$777=DY21,OR(COUNTIF('Eval-Avec act. écol. envisagée'!$Q$777:$Y$777,"*T*")&gt;0,EV25&lt;120)),AND('Eval-Avec act. écol. envisagée'!$A$778=DY21,OR(COUNTIF('Eval-Avec act. écol. envisagée'!$Q$778:$Y$778,"*T*")&gt;0,EV26&lt;120)),AND('Eval-Avec act. écol. envisagée'!$A$779=DY21,OR(COUNTIF('Eval-Avec act. écol. envisagée'!$Q$779:$Y$779,"*T*")&gt;0,EV27&lt;120)),AND('Eval-Avec act. écol. envisagée'!$A$780=DY21,OR(COUNTIF('Eval-Avec act. écol. envisagée'!$Q$780:$Y$780,"*T*")&gt;0,EV28&lt;120))),"",SUM(1*(SUMPRODUCT(('Eval-Avec act. écol. envisagée'!$A$761:$A$780=DY21)*('Eval-Avec act. écol. envisagée'!$Q$761:$Y$780="A"))),0.85*(SUMPRODUCT(('Eval-Avec act. écol. envisagée'!$A$761:$A$780=DY21)*('Eval-Avec act. écol. envisagée'!$Q$761:$Y$780="AL"))),0.7*(SUMPRODUCT(('Eval-Avec act. écol. envisagée'!$A$761:$A$780=DY21)*('Eval-Avec act. écol. envisagée'!$Q$761:$Y$780="LA"))),0.55*(SUMPRODUCT(('Eval-Avec act. écol. envisagée'!$A$761:$A$780=DY21)*('Eval-Avec act. écol. envisagée'!$Q$761:$Y$780="L"))),0.4*(SUMPRODUCT(('Eval-Avec act. écol. envisagée'!$A$761:$A$780=DY21)*('Eval-Avec act. écol. envisagée'!$Q$761:$Y$780="LS"))),0.25*(SUMPRODUCT(('Eval-Avec act. écol. envisagée'!$A$761:$A$780=DY21)*('Eval-Avec act. écol. envisagée'!$Q$761:$Y$780="SL"))),0.1*(SUMPRODUCT(('Eval-Avec act. écol. envisagée'!$A$761:$A$780=DY21)*('Eval-Avec act. écol. envisagée'!$Q$761:$Y$780="S"))))/(9*COUNTIF('Eval-Avec act. écol. envisagée'!$A$761:$A$780,DY21))),"")</f>
        <v/>
      </c>
      <c r="ET21" s="215"/>
      <c r="EU21" s="216">
        <f>'Eval-Avec act. écol. envisagée'!$D$773</f>
        <v>13</v>
      </c>
      <c r="EV21" s="217" t="str">
        <f>IF(EW21="C",0,IF(IF(COUNTIF('Eval-Avec act. écol. envisagée'!$N$773:$Y$773,"=C")&gt;0,(COUNTA('Eval-Avec act. écol. envisagée'!$N$773:$Y$773)-1)*10,COUNTA('Eval-Avec act. écol. envisagée'!$N$773:$Y$773)*10)=0,"",IF(COUNTIF('Eval-Avec act. écol. envisagée'!$N$773:$Y$773,"=C")&gt;0,(COUNTA('Eval-Avec act. écol. envisagée'!$N$773:$Y$773)-1)*10,COUNTA('Eval-Avec act. écol. envisagée'!$N$773:$Y$773)*10)))</f>
        <v/>
      </c>
      <c r="EW21" s="217" t="str">
        <f>CONCATENATE('Eval-Avec act. écol. envisagée'!$N$773,'Eval-Avec act. écol. envisagée'!$O$773,'Eval-Avec act. écol. envisagée'!$P$773,'Eval-Avec act. écol. envisagée'!$Q$773,'Eval-Avec act. écol. envisagée'!$R$773,'Eval-Avec act. écol. envisagée'!$S$773,'Eval-Avec act. écol. envisagée'!$T$773,'Eval-Avec act. écol. envisagée'!$U$773,'Eval-Avec act. écol. envisagée'!$V$773,'Eval-Avec act. écol. envisagée'!$W$773,'Eval-Avec act. écol. envisagée'!$X$773,'Eval-Avec act. écol. envisagée'!$Y$773)</f>
        <v/>
      </c>
      <c r="EX21" s="217" t="str">
        <f t="shared" si="16"/>
        <v/>
      </c>
      <c r="EY21" s="217" t="str">
        <f t="shared" si="17"/>
        <v/>
      </c>
      <c r="EZ21" s="217" t="str">
        <f>IF(COUNTIF('Eval-Avec act. écol. envisagée'!$N$773:$Y$773,"=C")&gt;0,"X","")</f>
        <v/>
      </c>
      <c r="FA21" s="217" t="str">
        <f t="shared" si="18"/>
        <v/>
      </c>
      <c r="FB21" s="218" t="str">
        <f t="shared" si="19"/>
        <v/>
      </c>
      <c r="FC21" s="197"/>
      <c r="FE21" s="210">
        <v>13</v>
      </c>
      <c r="FF21" s="211" t="str">
        <f>IF(COUNTIF('Eval-Après action écologique'!$A$761:$A$780,FE21)&gt;0,SUM(IF('Eval-Après action écologique'!$A$761=FE21,'Eval-Après action écologique'!$B$761,0),IF('Eval-Après action écologique'!$A$762=FE21, 'Eval-Après action écologique'!$B$762,0),IF('Eval-Après action écologique'!$A$763=FE21, 'Eval-Après action écologique'!$B$763,0),IF('Eval-Après action écologique'!$A$764=FE21, 'Eval-Après action écologique'!$B$764,0),IF('Eval-Après action écologique'!$A$765=FE21, 'Eval-Après action écologique'!$B$765,0),IF('Eval-Après action écologique'!$A$766=FE21, 'Eval-Après action écologique'!$B$766,0),IF('Eval-Après action écologique'!$A$767=FE21, 'Eval-Après action écologique'!$B$767,0),IF('Eval-Après action écologique'!$A$768=FE21, 'Eval-Après action écologique'!$B$768,0),IF('Eval-Après action écologique'!$A$769=FE21, 'Eval-Après action écologique'!$B$769,0),IF('Eval-Après action écologique'!$A$770=FE21, 'Eval-Après action écologique'!$B$770,0),IF('Eval-Après action écologique'!$A$771=FE21, 'Eval-Après action écologique'!$B$771,0),IF('Eval-Après action écologique'!$A$772=FE21, 'Eval-Après action écologique'!$B$772,0),IF('Eval-Après action écologique'!$A$773=FE21, 'Eval-Après action écologique'!$B$773,0),IF('Eval-Après action écologique'!$A$774=FE21, 'Eval-Après action écologique'!$B$774,0),IF('Eval-Après action écologique'!$A$775=FE21, 'Eval-Après action écologique'!$B$775,0),IF('Eval-Après action écologique'!$A$776=FE21, 'Eval-Après action écologique'!$B$776,0),IF('Eval-Après action écologique'!$A$777=FE21, 'Eval-Après action écologique'!$B$777,0),IF('Eval-Après action écologique'!$A$778=FE21, 'Eval-Après action écologique'!$B$778,0),IF('Eval-Après action écologique'!$A$779=FE21, 'Eval-Après action écologique'!$B$779,0),IF('Eval-Après action écologique'!$A$780=FE21, 'Eval-Après action écologique'!$B$780,0))/COUNTIF('Eval-Après action écologique'!$A$761:$A$780,FE21),"")</f>
        <v/>
      </c>
      <c r="FG21" s="212" t="str">
        <f>IF(COUNTIF('Eval-Après action écologique'!$A$761:$A$780,FE21)&gt;0,COUNTIF('Eval-Après action écologique'!$A$761:$A$780,FE21),"")</f>
        <v/>
      </c>
      <c r="FH21" s="211" t="str">
        <f>IF(COUNTIF('Eval-Après action écologique'!$A$761:$A$780,FE21)&gt;0,IF(OR(AND('Eval-Après action écologique'!$A$761=FE21, 'Eval-Après action écologique'!$G$761=""),AND('Eval-Après action écologique'!$A$762=FE21, 'Eval-Après action écologique'!$G$762=""),AND('Eval-Après action écologique'!$A$763=FE21, 'Eval-Après action écologique'!$G$763=""),AND('Eval-Après action écologique'!$A$764=FE21, 'Eval-Après action écologique'!$G$764=""),AND('Eval-Après action écologique'!$A$765=FE21, 'Eval-Après action écologique'!$G$765=""),AND('Eval-Après action écologique'!$A$766=FE21, 'Eval-Après action écologique'!$G$766=""),AND('Eval-Après action écologique'!$A$767=FE21, 'Eval-Après action écologique'!$G$767=""),AND('Eval-Après action écologique'!$A$768=FE21, 'Eval-Après action écologique'!$G$768=""),AND('Eval-Après action écologique'!$A$769=FE21, 'Eval-Après action écologique'!$G$769=""),AND('Eval-Après action écologique'!$A$770=FE21, 'Eval-Après action écologique'!$G$770=""),AND('Eval-Après action écologique'!$A$771=FE21, 'Eval-Après action écologique'!$G$771=""),AND('Eval-Après action écologique'!$A$772=FE21, 'Eval-Après action écologique'!$G$772=""),AND('Eval-Après action écologique'!$A$773=FE21, 'Eval-Après action écologique'!$G$773=""),AND('Eval-Après action écologique'!$A$774=FE21, 'Eval-Après action écologique'!$G$774=""),AND('Eval-Après action écologique'!$A$775=FE21, 'Eval-Après action écologique'!$G$775=""),AND('Eval-Après action écologique'!$A$776=FE21, 'Eval-Après action écologique'!$G$776=""),AND('Eval-Après action écologique'!$A$777=FE21, 'Eval-Après action écologique'!$G$777=""),AND('Eval-Après action écologique'!$A$778=FE21, 'Eval-Après action écologique'!$G$778=""),AND('Eval-Après action écologique'!$A$779=FE21, 'Eval-Après action écologique'!$G$779=""),AND('Eval-Après action écologique'!$A$780=FE21, 'Eval-Après action écologique'!$G$780="")),"",SUM(IF('Eval-Après action écologique'!$A$761=FE21,'Eval-Après action écologique'!$G$761,0),IF('Eval-Après action écologique'!$A$762=FE21,'Eval-Après action écologique'!$G$762,0),IF('Eval-Après action écologique'!$A$763=FE21,'Eval-Après action écologique'!$G$763,0),IF('Eval-Après action écologique'!$A$764=FE21,'Eval-Après action écologique'!$G$764,0),IF('Eval-Après action écologique'!$A$765=FE21,'Eval-Après action écologique'!$G$765,0),IF('Eval-Après action écologique'!$A$766=FE21,'Eval-Après action écologique'!$G$766,0),IF('Eval-Après action écologique'!$A$767=FE21,'Eval-Après action écologique'!$G$767,0),IF('Eval-Après action écologique'!$A$768=FE21,'Eval-Après action écologique'!$G$768,0),IF('Eval-Après action écologique'!$A$769=FE21,'Eval-Après action écologique'!$G$769,0),IF('Eval-Après action écologique'!$A$770=FE21,'Eval-Après action écologique'!$G$770,0),IF('Eval-Après action écologique'!$A$771=FE21,'Eval-Après action écologique'!$G$771,0),IF('Eval-Après action écologique'!$A$772=FE21,'Eval-Après action écologique'!$G$772,0),IF('Eval-Après action écologique'!$A$773=FE21,'Eval-Après action écologique'!$G$773,0),IF('Eval-Après action écologique'!$A$774=FE21,'Eval-Après action écologique'!$G$774,0),IF('Eval-Après action écologique'!$A$775=FE21,'Eval-Après action écologique'!$G$775,0), IF('Eval-Après action écologique'!$A$776=FE21,'Eval-Après action écologique'!$G$776,0), IF('Eval-Après action écologique'!$A$777=FE21,'Eval-Après action écologique'!$G$777,0), IF('Eval-Après action écologique'!$A$778=FE21,'Eval-Après action écologique'!$G$778,0), IF('Eval-Après action écologique'!$A$779=FE21,'Eval-Après action écologique'!$G$779,0), IF('Eval-Après action écologique'!$A$780=FE21,'Eval-Après action écologique'!$G$780,0))/ COUNTIF('Eval-Après action écologique'!$A$761:$A$780,FE21)),"")</f>
        <v/>
      </c>
      <c r="FI21" s="212" t="str">
        <f>IF(COUNTIF('Eval-Après action écologique'!$A$761:$A$780,FE21)&gt;0,IF(SUM(IF('Eval-Après action écologique'!$A$761=FE21,COUNTA('Eval-Après action écologique'!$H$761),0),IF('Eval-Après action écologique'!$A$762=FE21,COUNTA('Eval-Après action écologique'!$H$762),0),IF('Eval-Après action écologique'!$A$763=FE21,COUNTA('Eval-Après action écologique'!$H$763),0),IF('Eval-Après action écologique'!$A$764=FE21,COUNTA('Eval-Après action écologique'!$H$764),0),IF('Eval-Après action écologique'!$A$765=FE21,COUNTA('Eval-Après action écologique'!$H$765),0),IF('Eval-Après action écologique'!$A$766=FE21,COUNTA('Eval-Après action écologique'!$H$766),0),IF('Eval-Après action écologique'!$A$767=FE21,COUNTA('Eval-Après action écologique'!$H$767),0),IF('Eval-Après action écologique'!$A$768=FE21,COUNTA('Eval-Après action écologique'!$H$768),0),IF('Eval-Après action écologique'!$A$769=FE21,COUNTA('Eval-Après action écologique'!$H$769),0),IF('Eval-Après action écologique'!$A$770=FE21,COUNTA('Eval-Après action écologique'!$H$770),0),IF('Eval-Après action écologique'!$A$771=FE21,COUNTA('Eval-Après action écologique'!$H$771),0),IF('Eval-Après action écologique'!$A$772=FE21,COUNTA('Eval-Après action écologique'!$H$772),0),IF('Eval-Après action écologique'!$A$773=FE21,COUNTA('Eval-Après action écologique'!$H$773),0),IF('Eval-Après action écologique'!$A$774=FE21,COUNTA('Eval-Après action écologique'!$H$774),0),IF('Eval-Après action écologique'!$A$775=FE21,COUNTA('Eval-Après action écologique'!$H$775),0),IF('Eval-Après action écologique'!$A$776=FE21,COUNTA('Eval-Après action écologique'!$H$776),0),IF('Eval-Après action écologique'!$A$777=FE21,COUNTA('Eval-Après action écologique'!$H$777),0),IF('Eval-Après action écologique'!$A$778=FE21,COUNTA('Eval-Après action écologique'!$H$778),0),IF('Eval-Après action écologique'!$A$779=FE21,COUNTA('Eval-Après action écologique'!$H$779),0),IF('Eval-Après action écologique'!$A$780=FE21,COUNTA('Eval-Après action écologique'!$H$780),0))&gt;0,"X",0),"")</f>
        <v/>
      </c>
      <c r="FJ21" s="213" t="str">
        <f>IF(COUNTIF('Eval-Après action écologique'!$A$761:$A$780,FE21)&gt;0,IF(SUM(IF('Eval-Après action écologique'!$A$761=FE21,COUNTA('Eval-Après action écologique'!$I$761),0),IF('Eval-Après action écologique'!$A$762=FE21,COUNTA('Eval-Après action écologique'!$I$762),0),IF('Eval-Après action écologique'!$A$763=FE21,COUNTA('Eval-Après action écologique'!$I$763),0),IF('Eval-Après action écologique'!$A$764=FE21,COUNTA('Eval-Après action écologique'!$I$764),0),IF('Eval-Après action écologique'!$A$765=FE21,COUNTA('Eval-Après action écologique'!$I$765),0),IF('Eval-Après action écologique'!$A$766=FE21,COUNTA('Eval-Après action écologique'!$I$766),0),IF('Eval-Après action écologique'!$A$767=FE21,COUNTA('Eval-Après action écologique'!$I$767),0),IF('Eval-Après action écologique'!$A$768=FE21,COUNTA('Eval-Après action écologique'!$I$768),0),IF('Eval-Après action écologique'!$A$769=FE21,COUNTA('Eval-Après action écologique'!$I$769),0),IF('Eval-Après action écologique'!$A$770=FE21,COUNTA('Eval-Après action écologique'!$I$770),0),IF('Eval-Après action écologique'!$A$771=FE21,COUNTA('Eval-Après action écologique'!$I$771),0),IF('Eval-Après action écologique'!$A$772=FE21,COUNTA('Eval-Après action écologique'!$I$772),0),IF('Eval-Après action écologique'!$A$773=FE21,COUNTA('Eval-Après action écologique'!$I$773),0),IF('Eval-Après action écologique'!$A$774=FE21,COUNTA('Eval-Après action écologique'!$I$774),0),IF('Eval-Après action écologique'!$A$775=FE21,COUNTA('Eval-Après action écologique'!$I$775),0),IF('Eval-Après action écologique'!$A$776=FE21,COUNTA('Eval-Après action écologique'!$I$776),0),IF('Eval-Après action écologique'!$A$777=FE21,COUNTA('Eval-Après action écologique'!$I$777),0),IF('Eval-Après action écologique'!$A$778=FE21,COUNTA('Eval-Après action écologique'!$I$778),0),IF('Eval-Après action écologique'!$A$779=FE21,COUNTA('Eval-Après action écologique'!$I$779),0),IF('Eval-Après action écologique'!$A$780=FE21,COUNTA('Eval-Après action écologique'!$I$780),0))&gt;0,"X",0),"")</f>
        <v/>
      </c>
      <c r="FK21" s="213" t="str">
        <f>IF(COUNTIF('Eval-Après action écologique'!$A$761:$A$780,FE21)&gt;0,IF(SUM(IF('Eval-Après action écologique'!$A$761=FE21,COUNTA('Eval-Après action écologique'!$J$761),0),IF('Eval-Après action écologique'!$A$762=FE21,COUNTA('Eval-Après action écologique'!$J$762),0),IF('Eval-Après action écologique'!$A$763=FE21,COUNTA('Eval-Après action écologique'!$J$763),0),IF('Eval-Après action écologique'!$A$764=FE21,COUNTA('Eval-Après action écologique'!$J$764),0),IF('Eval-Après action écologique'!$A$765=FE21,COUNTA('Eval-Après action écologique'!$J$765),0),IF('Eval-Après action écologique'!$A$766=FE21,COUNTA('Eval-Après action écologique'!$J$766),0),IF('Eval-Après action écologique'!$A$767=FE21,COUNTA('Eval-Après action écologique'!$J$767),0),IF('Eval-Après action écologique'!$A$768=FE21,COUNTA('Eval-Après action écologique'!$J$768),0),IF('Eval-Après action écologique'!$A$769=FE21,COUNTA('Eval-Après action écologique'!$J$769),0),IF('Eval-Après action écologique'!$A$770=FE21,COUNTA('Eval-Après action écologique'!$J$770),0),IF('Eval-Après action écologique'!$A$771=FE21,COUNTA('Eval-Après action écologique'!$J$771),0),IF('Eval-Après action écologique'!$A$772=FE21,COUNTA('Eval-Après action écologique'!$J$772),0),IF('Eval-Après action écologique'!$A$773=FE21,COUNTA('Eval-Après action écologique'!$J$773),0),IF('Eval-Après action écologique'!$A$774=FE21,COUNTA('Eval-Après action écologique'!$J$774),0),IF('Eval-Après action écologique'!$A$775=FE21,COUNTA('Eval-Après action écologique'!$J$775),0),IF('Eval-Après action écologique'!$A$776=FE21,COUNTA('Eval-Après action écologique'!$J$776),0),IF('Eval-Après action écologique'!$A$777=FE21,COUNTA('Eval-Après action écologique'!$J$777),0),IF('Eval-Après action écologique'!$A$778=FE21,COUNTA('Eval-Après action écologique'!$J$778),0),IF('Eval-Après action écologique'!$A$779=FE21,COUNTA('Eval-Après action écologique'!$J$779),0),IF('Eval-Après action écologique'!$A$780=FE21,COUNTA('Eval-Après action écologique'!$J$780),0))&gt;0,"X",0),"")</f>
        <v/>
      </c>
      <c r="FL21" s="213" t="str">
        <f>IF(COUNTIF('Eval-Après action écologique'!$A$761:$A$780,FE21)&gt;0,IF(SUM(IF('Eval-Après action écologique'!$A$761=FE21,COUNTA('Eval-Après action écologique'!$K$761),0),IF('Eval-Après action écologique'!$A$762=FE21,COUNTA('Eval-Après action écologique'!$K$762),0),IF('Eval-Après action écologique'!$A$763=FE21,COUNTA('Eval-Après action écologique'!$K$763),0),IF('Eval-Après action écologique'!$A$764=FE21,COUNTA('Eval-Après action écologique'!$K$764),0),IF('Eval-Après action écologique'!$A$765=FE21,COUNTA('Eval-Après action écologique'!$K$765),0),IF('Eval-Après action écologique'!$A$766=FE21,COUNTA('Eval-Après action écologique'!$K$766),0),IF('Eval-Après action écologique'!$A$767=FE21,COUNTA('Eval-Après action écologique'!$K$767),0),IF('Eval-Après action écologique'!$A$768=FE21,COUNTA('Eval-Après action écologique'!$K$768),0),IF('Eval-Après action écologique'!$A$769=FE21,COUNTA('Eval-Après action écologique'!$K$769),0),IF('Eval-Après action écologique'!$A$770=FE21,COUNTA('Eval-Après action écologique'!$K$770),0),IF('Eval-Après action écologique'!$A$771=FE21,COUNTA('Eval-Après action écologique'!$K$771),0),IF('Eval-Après action écologique'!$A$772=FE21,COUNTA('Eval-Après action écologique'!$K$772),0),IF('Eval-Après action écologique'!$A$773=FE21,COUNTA('Eval-Après action écologique'!$K$773),0),IF('Eval-Après action écologique'!$A$774=FE21,COUNTA('Eval-Après action écologique'!$K$774),0),IF('Eval-Après action écologique'!$A$775=FE21,COUNTA('Eval-Après action écologique'!$K$775),0),IF('Eval-Après action écologique'!$A$776=FE21,COUNTA('Eval-Après action écologique'!$K$776),0),IF('Eval-Après action écologique'!$A$777=FE21,COUNTA('Eval-Après action écologique'!$K$777),0),IF('Eval-Après action écologique'!$A$778=FE21,COUNTA('Eval-Après action écologique'!$K$778),0),IF('Eval-Après action écologique'!$A$779=FE21,COUNTA('Eval-Après action écologique'!$K$779),0),IF('Eval-Après action écologique'!$A$780=FE21,COUNTA('Eval-Après action écologique'!$K$780),0))&gt;0,"X",0),"")</f>
        <v/>
      </c>
      <c r="FM21" s="211" t="str">
        <f>IF(COUNTIF('Eval-Après action écologique'!$A$761:$A$780,FE21)&gt;0,IF(OR(AND('Eval-Après action écologique'!$A$761=FE21,'Eval-Après action écologique'!$L$761&lt;120,'Eval-Après action écologique'!$L$761&gt;=GB9),AND('Eval-Après action écologique'!$A$762=FE21,'Eval-Après action écologique'!$L$762&lt;120,'Eval-Après action écologique'!$L$762&gt;=GB10),AND('Eval-Après action écologique'!$A$763=FE21,'Eval-Après action écologique'!$L$763&lt;120,'Eval-Après action écologique'!$L$763&gt;=GB11),AND('Eval-Après action écologique'!$A$764=FE21,'Eval-Après action écologique'!$L$764&lt;120,'Eval-Après action écologique'!$L$764&gt;=GB12),AND('Eval-Après action écologique'!$A$765=FE21,'Eval-Après action écologique'!$L$765&lt;120,'Eval-Après action écologique'!$L$765&gt;=GB13),AND('Eval-Après action écologique'!$A$766=FE21,'Eval-Après action écologique'!$L$766&lt;120,'Eval-Après action écologique'!$L$766&gt;=GB14),AND('Eval-Après action écologique'!$A$767=FE21,'Eval-Après action écologique'!$L$767&lt;120,'Eval-Après action écologique'!$L$767&gt;=GB15),AND('Eval-Après action écologique'!$A$768=FE21,'Eval-Après action écologique'!$L$768&lt;120,'Eval-Après action écologique'!$L$768&gt;=GB16),AND('Eval-Après action écologique'!$A$769=FE21,'Eval-Après action écologique'!$L$769&lt;120,'Eval-Après action écologique'!$L$769&gt;=GB17),AND('Eval-Après action écologique'!$A$770=FE21,'Eval-Après action écologique'!$L$770&lt;120,'Eval-Après action écologique'!$L$770&gt;=GB18),AND('Eval-Après action écologique'!$A$771=FE21,'Eval-Après action écologique'!$L$771&lt;120,'Eval-Après action écologique'!$L$771&gt;=GB19),AND('Eval-Après action écologique'!$A$772=FE21,'Eval-Après action écologique'!$L$772&lt;120,'Eval-Après action écologique'!$L$772&gt;=GB20),AND('Eval-Après action écologique'!$A$773=FE21,'Eval-Après action écologique'!$L$773&lt;120,'Eval-Après action écologique'!$L$773&gt;=GB21),AND('Eval-Après action écologique'!$A$774=FE21,'Eval-Après action écologique'!$L$774&lt;120,'Eval-Après action écologique'!$L$774&gt;=GB22),AND('Eval-Après action écologique'!$A$775=FE21,'Eval-Après action écologique'!$L$775&lt;120,'Eval-Après action écologique'!$L$775&gt;=GB23),AND('Eval-Après action écologique'!$A$776=FE21,'Eval-Après action écologique'!$L$776&lt;120,'Eval-Après action écologique'!$L$776&gt;=GB24),AND('Eval-Après action écologique'!$A$777=FE21,'Eval-Après action écologique'!$L$777&lt;120,'Eval-Après action écologique'!$L$777&gt;=GB25),AND('Eval-Après action écologique'!$A$778=FE21,'Eval-Après action écologique'!$L$778&lt;120,'Eval-Après action écologique'!$L$778&gt;=GB26),AND('Eval-Après action écologique'!$A$779=FE21,'Eval-Après action écologique'!$L$779&lt;120,'Eval-Après action écologique'!$L$779&gt;=GB27),AND('Eval-Après action écologique'!$A$780=FE21,'Eval-Après action écologique'!$L$780&lt;120,'Eval-Après action écologique'!$L$780&gt;=GB28)),"",SUM(IF('Eval-Après action écologique'!$A$761=FE21,'Eval-Après action écologique'!$L$761,0),IF('Eval-Après action écologique'!$A$762=FE21,'Eval-Après action écologique'!$L$762,0),IF('Eval-Après action écologique'!$A$763=FE21,'Eval-Après action écologique'!$L$763,0),IF('Eval-Après action écologique'!$A$764=FE21,'Eval-Après action écologique'!$L$764,0),IF('Eval-Après action écologique'!$A$765=FE21,'Eval-Après action écologique'!$L$765,0),IF('Eval-Après action écologique'!$A$766=FE21,'Eval-Après action écologique'!$L$766,0),IF('Eval-Après action écologique'!$A$767=FE21,'Eval-Après action écologique'!$L$767,0),IF('Eval-Après action écologique'!$A$768=FE21,'Eval-Après action écologique'!$L$768,0),IF('Eval-Après action écologique'!$A$769=FE21,'Eval-Après action écologique'!$L$769,0),IF('Eval-Après action écologique'!$A$770=FE21,'Eval-Après action écologique'!$L$770,0),IF('Eval-Après action écologique'!$A$771=FE21,'Eval-Après action écologique'!$L$771,0),IF('Eval-Après action écologique'!$A$772=FE21,'Eval-Après action écologique'!$L$772,0),IF('Eval-Après action écologique'!$A$773=FE21,'Eval-Après action écologique'!$L$773,0),IF('Eval-Après action écologique'!$A$774=FE21,'Eval-Après action écologique'!$L$774,0),IF('Eval-Après action écologique'!$A$775=FE21,'Eval-Après action écologique'!$L$775,0),IF('Eval-Après action écologique'!$A$776=FE21,'Eval-Après action écologique'!$L$776,0),IF('Eval-Après action écologique'!$A$777=FE21,'Eval-Après action écologique'!$L$777,0),IF('Eval-Après action écologique'!$A$778=FE21,'Eval-Après action écologique'!$L$778,0),IF('Eval-Après action écologique'!$A$779=FE21,'Eval-Après action écologique'!$L$779,0),IF('Eval-Après action écologique'!$A$780=FE21,'Eval-Après action écologique'!$L$780,0))/ COUNTIF('Eval-Après action écologique'!$A$761:$A$780,FE21)),"")</f>
        <v/>
      </c>
      <c r="FN21" s="211" t="str">
        <f>IF(COUNTIF('Eval-Après action écologique'!$A$761:$A$780,FE21)&gt;0,IF(OR(AND('Eval-Après action écologique'!$A$761=FE21, GB9&lt;120),AND(GB10&lt;120),AND(GB11&lt;120),AND(GB12&lt;120),AND(GB13&lt;120),AND(GB14&lt;120),AND(GB15&lt;120),AND(GB16&lt;120),AND(GB17&lt;120),AND(GB18&lt;120),AND(GB19&lt;120),AND(GB20&lt;120),AND(GB21&lt;120),AND(GB22&lt;120),AND(GB23&lt;120),AND(GB24&lt;120),AND(GB25&lt;120),AND(GB26&lt;120),AND(GB27&lt;120),AND(GB28&lt;120)),"",SUM(IF('Eval-Après action écologique'!$A$761=FE21,'Eval-Après action écologique'!$M$761,0),IF('Eval-Après action écologique'!$A$762=FE21,'Eval-Après action écologique'!$M$762,0),IF('Eval-Après action écologique'!$A$763=FE21,'Eval-Après action écologique'!$M$763,0),IF('Eval-Après action écologique'!$A$764=FE21,'Eval-Après action écologique'!$M$764,0),IF('Eval-Après action écologique'!$A$765=FE21,'Eval-Après action écologique'!$M$765,0),IF('Eval-Après action écologique'!$A$766=FE21,'Eval-Après action écologique'!$M$766,0),IF('Eval-Après action écologique'!$A$767=FE21,'Eval-Après action écologique'!$M$767,0),IF('Eval-Après action écologique'!$A$768=FE21,'Eval-Après action écologique'!$M$768,0),IF('Eval-Après action écologique'!$A$769=FE21,'Eval-Après action écologique'!$M$769,0),IF('Eval-Après action écologique'!$A$770=FE21,'Eval-Après action écologique'!$M$770,0),IF('Eval-Après action écologique'!$A$771=FE21,'Eval-Après action écologique'!$M$771,0),IF('Eval-Après action écologique'!$A$772=FE21,'Eval-Après action écologique'!$M$772,0),IF('Eval-Après action écologique'!$A$773=FE21,'Eval-Après action écologique'!$M$773,0),IF('Eval-Après action écologique'!$A$774=FE21,'Eval-Après action écologique'!$M$774,0),IF('Eval-Après action écologique'!$A$775=FE21,'Eval-Après action écologique'!$M$775,0), IF('Eval-Après action écologique'!$A$776=FE21,'Eval-Après action écologique'!$M$776,0), IF('Eval-Après action écologique'!$A$777=FE21,'Eval-Après action écologique'!$M$777,0), IF('Eval-Après action écologique'!$A$778=FE21,'Eval-Après action écologique'!$M$778,0), IF('Eval-Après action écologique'!$A$779=FE21,'Eval-Après action écologique'!$M$779,0), IF('Eval-Après action écologique'!$A$780=FE21,'Eval-Après action écologique'!$M$780,0))/COUNTIF('Eval-Après action écologique'!$A$761:$A$780,FE21)),"")</f>
        <v/>
      </c>
      <c r="FO21" s="211" t="str">
        <f>IF(COUNTIF('Eval-Après action écologique'!$A$761:$A$780,FE21)&gt;0,SUM(IF('Eval-Après action écologique'!$A$761=FE21,LEN(SUBSTITUTE((SUBSTITUTE(GD9,"TM","")),"TS",""))*10/2,0),IF('Eval-Après action écologique'!$A$762=FE21,LEN(SUBSTITUTE((SUBSTITUTE(GD10,"TM","")),"TS",""))*10/2,0),IF('Eval-Après action écologique'!$A$763=FE21,LEN(SUBSTITUTE((SUBSTITUTE(GD11,"TM","")),"TS",""))*10/2,0),IF('Eval-Après action écologique'!$A$764=FE21,LEN(SUBSTITUTE((SUBSTITUTE(GD12,"TM","")),"TS",""))*10/2,0),IF('Eval-Après action écologique'!$A$765=FE21,LEN(SUBSTITUTE((SUBSTITUTE(GD13,"TM","")),"TS",""))*10/2,0),IF('Eval-Après action écologique'!$A$766=FE21,LEN(SUBSTITUTE((SUBSTITUTE(GD14,"TM","")),"TS",""))*10/2,0),IF('Eval-Après action écologique'!$A$767=FE21,LEN(SUBSTITUTE((SUBSTITUTE(GD15,"TM","")),"TS",""))*10/2,0),IF('Eval-Après action écologique'!$A$768=FE21,LEN(SUBSTITUTE((SUBSTITUTE(GD16,"TM","")),"TS",""))*10/2,0),IF('Eval-Après action écologique'!$A$769=FE21,LEN(SUBSTITUTE((SUBSTITUTE(GD17,"TM","")),"TS",""))*10/2,0),IF('Eval-Après action écologique'!$A$770=FE21,LEN(SUBSTITUTE((SUBSTITUTE(GD18,"TM","")),"TS",""))*10/2,0),IF('Eval-Après action écologique'!$A$771=FE21,LEN(SUBSTITUTE((SUBSTITUTE(GD19,"TM","")),"TS",""))*10/2,0),IF('Eval-Après action écologique'!$A$772=FE21,LEN(SUBSTITUTE((SUBSTITUTE(GD20,"TM","")),"TS",""))*10/2,0),IF('Eval-Après action écologique'!$A$773=FE21,LEN(SUBSTITUTE((SUBSTITUTE(GD21,"TM","")),"TS",""))*10/2,0),IF('Eval-Après action écologique'!$A$774=FE21,LEN(SUBSTITUTE((SUBSTITUTE(GD22,"TM","")),"TS",""))*10/2,0),IF('Eval-Après action écologique'!$A$775=FE21,LEN(SUBSTITUTE((SUBSTITUTE(GD23,"TM","")),"TS",""))*10/2,0),IF('Eval-Après action écologique'!$A$776=FE21,LEN(SUBSTITUTE((SUBSTITUTE(GD24,"TM","")),"TS",""))*10/2,0),IF('Eval-Après action écologique'!$A$777=FE21,LEN(SUBSTITUTE((SUBSTITUTE(GD25,"TM","")),"TS",""))*10/2,0),IF('Eval-Après action écologique'!$A$778=FE21,LEN(SUBSTITUTE((SUBSTITUTE(GD26,"TM","")),"TS",""))*10/2,0),IF('Eval-Après action écologique'!$A$779=FE21,LEN(SUBSTITUTE((SUBSTITUTE(GD27,"TM","")),"TS",""))*10/2,0),IF('Eval-Après action écologique'!$A$780=FE21,LEN(SUBSTITUTE((SUBSTITUTE(GD28,"TM","")),"TS",""))*10/2,0))/COUNTIF('Eval-Après action écologique'!$A$761:$A$780,FE21),"")</f>
        <v/>
      </c>
      <c r="FP21" s="211" t="str">
        <f>IF(COUNTIF('Eval-Après action écologique'!$A$761:$A$780,FE21)&gt;0,SUM(IF('Eval-Après action écologique'!$A$761=FE21,LEN(SUBSTITUTE((SUBSTITUTE(GD9,"TF","")),"TS",""))*10/2,0),IF('Eval-Après action écologique'!$A$762=FE21,LEN(SUBSTITUTE((SUBSTITUTE(GD10,"TF","")),"TS",""))*10/2,0),IF('Eval-Après action écologique'!$A$763=FE21,LEN(SUBSTITUTE((SUBSTITUTE(GD11,"TF","")),"TS",""))*10/2,0),IF('Eval-Après action écologique'!$A$764=FE21,LEN(SUBSTITUTE((SUBSTITUTE(GD12,"TF","")),"TS",""))*10/2,0),IF('Eval-Après action écologique'!$A$765=FE21,LEN(SUBSTITUTE((SUBSTITUTE(GD13,"TF","")),"TS",""))*10/2,0),IF('Eval-Après action écologique'!$A$766=FE21,LEN(SUBSTITUTE((SUBSTITUTE(GD14,"TF","")),"TS",""))*10/2,0),IF('Eval-Après action écologique'!$A$767=FE21,LEN(SUBSTITUTE((SUBSTITUTE(GD15,"TF","")),"TS",""))*10/2,0),IF('Eval-Après action écologique'!$A$768=FE21,LEN(SUBSTITUTE((SUBSTITUTE(GD16,"TF","")),"TS",""))*10/2,0),IF('Eval-Après action écologique'!$A$769=FE21,LEN(SUBSTITUTE((SUBSTITUTE(GD17,"TF","")),"TS",""))*10/2,0),IF('Eval-Après action écologique'!$A$770=FE21,LEN(SUBSTITUTE((SUBSTITUTE(GD18,"TF","")),"TS",""))*10/2,0),IF('Eval-Après action écologique'!$A$771=FE21,LEN(SUBSTITUTE((SUBSTITUTE(GD19,"TF","")),"TS",""))*10/2,0),IF('Eval-Après action écologique'!$A$772=FE21,LEN(SUBSTITUTE((SUBSTITUTE(GD20,"TF","")),"TS",""))*10/2,0),IF('Eval-Après action écologique'!$A$773=FE21,LEN(SUBSTITUTE((SUBSTITUTE(GD21,"TF","")),"TS",""))*10/2,0),IF('Eval-Après action écologique'!$A$774=FE21,LEN(SUBSTITUTE((SUBSTITUTE(GD22,"TF","")),"TS",""))*10/2,0),IF('Eval-Après action écologique'!$A$775=FE21,LEN(SUBSTITUTE((SUBSTITUTE(GD23,"TF","")),"TS",""))*10/2,0),IF('Eval-Après action écologique'!$A$776=FE21,LEN(SUBSTITUTE((SUBSTITUTE(GD24,"TF","")),"TS",""))*10/2,0),IF('Eval-Après action écologique'!$A$777=FE21,LEN(SUBSTITUTE((SUBSTITUTE(GD25,"TF","")),"TS",""))*10/2,0),IF('Eval-Après action écologique'!$A$778=FE21,LEN(SUBSTITUTE((SUBSTITUTE(GD26,"TF","")),"TS",""))*10/2,0),IF('Eval-Après action écologique'!$A$779=FE21,LEN(SUBSTITUTE((SUBSTITUTE(GD27,"TF","")),"TS",""))*10/2,0),IF('Eval-Après action écologique'!$A$780=FE21,LEN(SUBSTITUTE((SUBSTITUTE(GD28,"TF","")),"TS",""))*10/2,0))/COUNTIF('Eval-Après action écologique'!$A$761:$A$780,FE21),"")</f>
        <v/>
      </c>
      <c r="FQ21" s="211" t="str">
        <f>IF(COUNTIF('Eval-Après action écologique'!$A$761:$A$780,FE21)&gt;0,SUM(IF('Eval-Après action écologique'!$A$761=FE21,LEN(SUBSTITUTE((SUBSTITUTE(GD9,"TF","")),"TM",""))*10/2,0),IF('Eval-Après action écologique'!$A$762=FE21,LEN(SUBSTITUTE((SUBSTITUTE(GD10,"TF","")),"TM",""))*10/2,0),IF('Eval-Après action écologique'!$A$763=FE21,LEN(SUBSTITUTE((SUBSTITUTE(GD11,"TF","")),"TM",""))*10/2,0),IF('Eval-Après action écologique'!$A$764=FE21,LEN(SUBSTITUTE((SUBSTITUTE(GD12,"TF","")),"TM",""))*10/2,0),IF('Eval-Après action écologique'!$A$765=FE21,LEN(SUBSTITUTE((SUBSTITUTE(GD13,"TF","")),"TM",""))*10/2,0),IF('Eval-Après action écologique'!$A$766=FE21,LEN(SUBSTITUTE((SUBSTITUTE(GD14,"TF","")),"TM",""))*10/2,0),IF('Eval-Après action écologique'!$A$767=FE21,LEN(SUBSTITUTE((SUBSTITUTE(GD15,"TF","")),"TM",""))*10/2,0),IF('Eval-Après action écologique'!$A$768=FE21,LEN(SUBSTITUTE((SUBSTITUTE(GD16,"TF","")),"TM",""))*10/2,0),IF('Eval-Après action écologique'!$A$769=FE21,LEN(SUBSTITUTE((SUBSTITUTE(GD17,"TF","")),"TM",""))*10/2,0),IF('Eval-Après action écologique'!$A$770=FE21,LEN(SUBSTITUTE((SUBSTITUTE(GD18,"TF","")),"TM",""))*10/2,0),IF('Eval-Après action écologique'!$A$771=FE21,LEN(SUBSTITUTE((SUBSTITUTE(GD19,"TF","")),"TM",""))*10/2,0),IF('Eval-Après action écologique'!$A$772=FE21,LEN(SUBSTITUTE((SUBSTITUTE(GD20,"TF","")),"TM",""))*10/2,0),IF('Eval-Après action écologique'!$A$773=FE21,LEN(SUBSTITUTE((SUBSTITUTE(GD21,"TF","")),"TM",""))*10/2,0),IF('Eval-Après action écologique'!$A$774=FE21,LEN(SUBSTITUTE((SUBSTITUTE(GD22,"TF","")),"TM",""))*10/2,0),IF('Eval-Après action écologique'!$A$775=FE21,LEN(SUBSTITUTE((SUBSTITUTE(GD23,"TF","")),"TM",""))*10/2,0),IF('Eval-Après action écologique'!$A$776=FE21,LEN(SUBSTITUTE((SUBSTITUTE(GD24,"TF","")),"TM",""))*10/2,0),IF('Eval-Après action écologique'!$A$777=FE21,LEN(SUBSTITUTE((SUBSTITUTE(GD25,"TF","")),"TM",""))*10/2,0),IF('Eval-Après action écologique'!$A$778=FE21,LEN(SUBSTITUTE((SUBSTITUTE(GD26,"TF","")),"TM",""))*10/2,0),IF('Eval-Après action écologique'!$A$779=FE21,LEN(SUBSTITUTE((SUBSTITUTE(GD27,"TF","")),"TM",""))*10/2,0),IF('Eval-Après action écologique'!$A$780=FE21,LEN(SUBSTITUTE((SUBSTITUTE(GD28,"TF","")),"TM",""))*10/2,0))/COUNTIF('Eval-Après action écologique'!$A$761:$A$780,FE21),"")</f>
        <v/>
      </c>
      <c r="FR21" s="211" t="str">
        <f>IF(COUNTIF('Eval-Après action écologique'!$A$761:$A$780,FE21)&gt;0,SUM(IF('Eval-Après action écologique'!$A$761=FE21,LEN(SUBSTITUTE((SUBSTITUTE(GE9,"TM","")),"TS",""))*10/2,0),IF('Eval-Après action écologique'!$A$762=FE21,LEN(SUBSTITUTE((SUBSTITUTE(GE10,"TM","")),"TS",""))*10/2,0),IF('Eval-Après action écologique'!$A$763=FE21,LEN(SUBSTITUTE((SUBSTITUTE(GE11,"TM","")),"TS",""))*10/2,0),IF('Eval-Après action écologique'!$A$764=FE21,LEN(SUBSTITUTE((SUBSTITUTE(GE12,"TM","")),"TS",""))*10/2,0),IF('Eval-Après action écologique'!$A$765=FE21,LEN(SUBSTITUTE((SUBSTITUTE(GE13,"TM","")),"TS",""))*10/2,0),IF('Eval-Après action écologique'!$A$766=FE21,LEN(SUBSTITUTE((SUBSTITUTE(GE14,"TM","")),"TS",""))*10/2,0),IF('Eval-Après action écologique'!$A$767=FE21,LEN(SUBSTITUTE((SUBSTITUTE(GE15,"TM","")),"TS",""))*10/2,0),IF('Eval-Après action écologique'!$A$768=FE21,LEN(SUBSTITUTE((SUBSTITUTE(GE16,"TM","")),"TS",""))*10/2,0),IF('Eval-Après action écologique'!$A$769=FE21,LEN(SUBSTITUTE((SUBSTITUTE(GE17,"TM","")),"TS",""))*10/2,0),IF('Eval-Après action écologique'!$A$770=FE21,LEN(SUBSTITUTE((SUBSTITUTE(GE18,"TM","")),"TS",""))*10/2,0),IF('Eval-Après action écologique'!$A$771=FE21,LEN(SUBSTITUTE((SUBSTITUTE(GE19,"TM","")),"TS",""))*10/2,0),IF('Eval-Après action écologique'!$A$772=FE21,LEN(SUBSTITUTE((SUBSTITUTE(GE20,"TM","")),"TS",""))*10/2,0),IF('Eval-Après action écologique'!$A$773=FE21,LEN(SUBSTITUTE((SUBSTITUTE(GE21,"TM","")),"TS",""))*10/2,0),IF('Eval-Après action écologique'!$A$774=FE21,LEN(SUBSTITUTE((SUBSTITUTE(GE22,"TM","")),"TS",""))*10/2,0),IF('Eval-Après action écologique'!$A$775=FE21,LEN(SUBSTITUTE((SUBSTITUTE(GE23,"TM","")),"TS",""))*10/2,0),IF('Eval-Après action écologique'!$A$776=FE21,LEN(SUBSTITUTE((SUBSTITUTE(GE24,"TM","")),"TS",""))*10/2,0),IF('Eval-Après action écologique'!$A$777=FE21,LEN(SUBSTITUTE((SUBSTITUTE(GE25,"TM","")),"TS",""))*10/2,0),IF('Eval-Après action écologique'!$A$778=FE21,LEN(SUBSTITUTE((SUBSTITUTE(GE26,"TM","")),"TS",""))*10/2,0),IF('Eval-Après action écologique'!$A$779=FE21,LEN(SUBSTITUTE((SUBSTITUTE(GE27,"TM","")),"TS",""))*10/2,0),IF('Eval-Après action écologique'!$A$780=FE21,LEN(SUBSTITUTE((SUBSTITUTE(GE28,"TM","")),"TS",""))*10/2,0))/COUNTIF('Eval-Après action écologique'!$A$761:$A$780,FE21),"")</f>
        <v/>
      </c>
      <c r="FS21" s="211" t="str">
        <f>IF(COUNTIF('Eval-Après action écologique'!$A$761:$A$780,FE21)&gt;0,SUM(IF('Eval-Après action écologique'!$A$761=FE21,LEN(SUBSTITUTE((SUBSTITUTE(GE9,"TF","")),"TS",""))*10/2,0),IF('Eval-Après action écologique'!$A$762=FE21,LEN(SUBSTITUTE((SUBSTITUTE(GE10,"TF","")),"TS",""))*10/2,0),IF('Eval-Après action écologique'!$A$763=FE21,LEN(SUBSTITUTE((SUBSTITUTE(GE11,"TF","")),"TS",""))*10/2,0),IF('Eval-Après action écologique'!$A$764=FE21,LEN(SUBSTITUTE((SUBSTITUTE(GE12,"TF","")),"TS",""))*10/2,0),IF('Eval-Après action écologique'!$A$765=FE21,LEN(SUBSTITUTE((SUBSTITUTE(GE13,"TF","")),"TS",""))*10/2,0),IF('Eval-Après action écologique'!$A$766=FE21,LEN(SUBSTITUTE((SUBSTITUTE(GE14,"TF","")),"TS",""))*10/2,0),IF('Eval-Après action écologique'!$A$767=FE21,LEN(SUBSTITUTE((SUBSTITUTE(GE15,"TF","")),"TS",""))*10/2,0),IF('Eval-Après action écologique'!$A$768=FE21,LEN(SUBSTITUTE((SUBSTITUTE(GE16,"TF","")),"TS",""))*10/2,0),IF('Eval-Après action écologique'!$A$769=FE21,LEN(SUBSTITUTE((SUBSTITUTE(GE17,"TF","")),"TS",""))*10/2,0),IF('Eval-Après action écologique'!$A$770=FE21,LEN(SUBSTITUTE((SUBSTITUTE(GE18,"TF","")),"TS",""))*10/2,0),IF('Eval-Après action écologique'!$A$771=FE21,LEN(SUBSTITUTE((SUBSTITUTE(GE19,"TF","")),"TS",""))*10/2,0),IF('Eval-Après action écologique'!$A$772=FE21,LEN(SUBSTITUTE((SUBSTITUTE(GE20,"TF","")),"TS",""))*10/2,0),IF('Eval-Après action écologique'!$A$773=FE21,LEN(SUBSTITUTE((SUBSTITUTE(GE21,"TF","")),"TS",""))*10/2,0),IF('Eval-Après action écologique'!$A$774=FE21,LEN(SUBSTITUTE((SUBSTITUTE(GE22,"TF","")),"TS",""))*10/2,0),IF('Eval-Après action écologique'!$A$775=FE21,LEN(SUBSTITUTE((SUBSTITUTE(GE23,"TF","")),"TS",""))*10/2,0),IF('Eval-Après action écologique'!$A$776=FE21,LEN(SUBSTITUTE((SUBSTITUTE(GE24,"TF","")),"TS",""))*10/2,0),IF('Eval-Après action écologique'!$A$777=FE21,LEN(SUBSTITUTE((SUBSTITUTE(GE25,"TF","")),"TS",""))*10/2,0),IF('Eval-Après action écologique'!$A$778=FE21,LEN(SUBSTITUTE((SUBSTITUTE(GE26,"TF","")),"TS",""))*10/2,0),IF('Eval-Après action écologique'!$A$779=FE21,LEN(SUBSTITUTE((SUBSTITUTE(GE27,"TF","")),"TS",""))*10/2,0),IF('Eval-Après action écologique'!$A$780=FE21,LEN(SUBSTITUTE((SUBSTITUTE(GE28,"TF","")),"TS",""))*10/2,0))/COUNTIF('Eval-Après action écologique'!$A$761:$A$780,FE21),"")</f>
        <v/>
      </c>
      <c r="FT21" s="211" t="str">
        <f>IF(COUNTIF('Eval-Après action écologique'!$A$761:$A$780,FE21)&gt;0,SUM(IF('Eval-Après action écologique'!$A$761=FE21,LEN(SUBSTITUTE((SUBSTITUTE(GE9,"TF","")),"TM",""))*10/2,0),IF('Eval-Après action écologique'!$A$762=FE21,LEN(SUBSTITUTE((SUBSTITUTE(GE10,"TF","")),"TM",""))*10/2,0),IF('Eval-Après action écologique'!$A$763=FE21,LEN(SUBSTITUTE((SUBSTITUTE(GE11,"TF","")),"TM",""))*10/2,0),IF('Eval-Après action écologique'!$A$764=FE21,LEN(SUBSTITUTE((SUBSTITUTE(GE12,"TF","")),"TM",""))*10/2,0),IF('Eval-Après action écologique'!$A$765=FE21,LEN(SUBSTITUTE((SUBSTITUTE(GE13,"TF","")),"TM",""))*10/2,0),IF('Eval-Après action écologique'!$A$766=FE21,LEN(SUBSTITUTE((SUBSTITUTE(GE14,"TF","")),"TM",""))*10/2,0),IF('Eval-Après action écologique'!$A$767=FE21,LEN(SUBSTITUTE((SUBSTITUTE(GE15,"TF","")),"TM",""))*10/2,0),IF('Eval-Après action écologique'!$A$768=FE21,LEN(SUBSTITUTE((SUBSTITUTE(GE16,"TF","")),"TM",""))*10/2,0),IF('Eval-Après action écologique'!$A$769=FE21,LEN(SUBSTITUTE((SUBSTITUTE(GE17,"TF","")),"TM",""))*10/2,0),IF('Eval-Après action écologique'!$A$770=FE21,LEN(SUBSTITUTE((SUBSTITUTE(GE18,"TF","")),"TM",""))*10/2,0),IF('Eval-Après action écologique'!$A$771=FE21,LEN(SUBSTITUTE((SUBSTITUTE(GE19,"TF","")),"TM",""))*10/2,0),IF('Eval-Après action écologique'!$A$772=FE21,LEN(SUBSTITUTE((SUBSTITUTE(GE20,"TF","")),"TM",""))*10/2,0),IF('Eval-Après action écologique'!$A$773=FE21,LEN(SUBSTITUTE((SUBSTITUTE(GE21,"TF","")),"TM",""))*10/2,0),IF('Eval-Après action écologique'!$A$774=FE21,LEN(SUBSTITUTE((SUBSTITUTE(GE22,"TF","")),"TM",""))*10/2,0),IF('Eval-Après action écologique'!$A$775=FE21,LEN(SUBSTITUTE((SUBSTITUTE(GE23,"TF","")),"TM",""))*10/2,0),IF('Eval-Après action écologique'!$A$776=FE21,LEN(SUBSTITUTE((SUBSTITUTE(GE24,"TF","")),"TM",""))*10/2,0),IF('Eval-Après action écologique'!$A$777=FE21,LEN(SUBSTITUTE((SUBSTITUTE(GE25,"TF","")),"TM",""))*10/2,0),IF('Eval-Après action écologique'!$A$778=FE21,LEN(SUBSTITUTE((SUBSTITUTE(GE26,"TF","")),"TM",""))*10/2,0),IF('Eval-Après action écologique'!$A$779=FE21,LEN(SUBSTITUTE((SUBSTITUTE(GE27,"TF","")),"TM",""))*10/2,0),IF('Eval-Après action écologique'!$A$780=FE21,LEN(SUBSTITUTE((SUBSTITUTE(GE28,"TF","")),"TM",""))*10/2,0))/COUNTIF('Eval-Après action écologique'!$A$761:$A$780,FE21),"")</f>
        <v/>
      </c>
      <c r="FU21" s="211" t="str">
        <f>IF(COUNTIF('Eval-Après action écologique'!$A$761:$A$780,FE21)&gt;0,IF(OR(AND('Eval-Après action écologique'!$A$761=FE21,GB9&lt;30),AND('Eval-Après action écologique'!$A$762=FE21,GB10&lt;30),AND('Eval-Après action écologique'!$A$763=FE21,GB11&lt;30),AND('Eval-Après action écologique'!$A$764=FE21,GB12&lt;30),AND('Eval-Après action écologique'!$A$765=FE21,GB13&lt;30),AND('Eval-Après action écologique'!$A$766=FE21,GB14&lt;30),AND('Eval-Après action écologique'!$A$767=FE21,GB15&lt;30),AND('Eval-Après action écologique'!$A$768=FE21,GB16&lt;30),AND('Eval-Après action écologique'!$A$769=FE21,GB17&lt;30),AND('Eval-Après action écologique'!$A$770=FE21,GB18&lt;30),AND('Eval-Après action écologique'!$A$771=FE21,GB19&lt;30),AND('Eval-Après action écologique'!$A$772=FE21,GB20&lt;30),AND('Eval-Après action écologique'!$A$773=FE21,GB21&lt;30),AND('Eval-Après action écologique'!$A$774=FE21,GB22&lt;30),AND('Eval-Après action écologique'!$A$775=FE21,GB23&lt;30),AND('Eval-Après action écologique'!$A$776=FE21,GB24&lt;30),AND('Eval-Après action écologique'!$A$777=FE21,GB25&lt;30),AND('Eval-Après action écologique'!$A$778=FE21,GB26&lt;30),AND('Eval-Après action écologique'!$A$779=FE21,GB27&lt;30),AND('Eval-Après action écologique'!$A$780=FE21,GB28&lt;30)),"",SUM(0.1*(SUMPRODUCT(('Eval-Après action écologique'!$A$761:$A$780=FE21)*('Eval-Après action écologique'!$N$761:$P$780="A"))+ SUMPRODUCT(('Eval-Après action écologique'!$A$761:$A$780=FE21)*('Eval-Après action écologique'!$N$761:$P$780="AL"))),0.7*(SUMPRODUCT(('Eval-Après action écologique'!$A$761:$A$780=FE21)*('Eval-Après action écologique'!$N$761:$P$780="TF"))+SUMPRODUCT(('Eval-Après action écologique'!$A$761:$A$780=FE21)*('Eval-Après action écologique'!$N$761:$P$780="TM"))+SUMPRODUCT(('Eval-Après action écologique'!$A$761:$A$780=FE21)*('Eval-Après action écologique'!$N$761:$P$780="TS"))),0.4*(SUMPRODUCT(('Eval-Après action écologique'!$A$761:$A$780=FE21)*('Eval-Après action écologique'!$N$761:$P$780="LA"))+SUMPRODUCT(('Eval-Après action écologique'!$A$761:$A$780=FE21)*('Eval-Après action écologique'!$N$761:$P$780="L"))+SUMPRODUCT(('Eval-Après action écologique'!$A$761:$A$780=FE21)*('Eval-Après action écologique'!$N$761:$P$780="LS"))),1*(SUMPRODUCT(('Eval-Après action écologique'!$A$761:$A$780=FE21)*('Eval-Après action écologique'!$N$761:$P$780="SL"))+ SUMPRODUCT(('Eval-Après action écologique'!$A$761:$A$780=FE21)*('Eval-Après action écologique'!$N$761:$P$780="S"))))/(3*COUNTIF('Eval-Après action écologique'!$A$761:$A$780,FE21))),"")</f>
        <v/>
      </c>
      <c r="FV21" s="211" t="str">
        <f>IF(COUNTIF('Eval-Après action écologique'!$A$761:$A$780,FE21)&gt;0,IF(OR(AND('Eval-Après action écologique'!$A$761=FE21,GB9&lt;120),AND('Eval-Après action écologique'!$A$762=FE21,GB10&lt;120),AND('Eval-Après action écologique'!$A$763=FE21,GB11&lt;120),AND('Eval-Après action écologique'!$A$764=FE21,GB12&lt;120),AND('Eval-Après action écologique'!$A$765=FE21,GB13&lt;120),AND('Eval-Après action écologique'!$A$766=FE21,GB14&lt;120),AND('Eval-Après action écologique'!$A$767=FE21,GB15&lt;120),AND('Eval-Après action écologique'!$A$768=FE21,GB16&lt;120),AND('Eval-Après action écologique'!$A$769=FE21,GB17&lt;120),AND('Eval-Après action écologique'!$A$770=FE21,GB18&lt;120),AND('Eval-Après action écologique'!$A$771=FE21,GB19&lt;120),AND('Eval-Après action écologique'!$A$772=FE21,GB20&lt;120),AND('Eval-Après action écologique'!$A$773=FE21,GB21&lt;120),AND('Eval-Après action écologique'!$A$774=FE21,GB22&lt;120),AND('Eval-Après action écologique'!$A$775=FE21,GB23&lt;120),AND('Eval-Après action écologique'!$A$776=FE21,GB24&lt;120),AND('Eval-Après action écologique'!$A$777=FE21,GB25&lt;120),AND('Eval-Après action écologique'!$A$778=FE21,GB26&lt;120),AND('Eval-Après action écologique'!$A$779=FE21,GB27&lt;120),AND('Eval-Après action écologique'!$A$780=FE21,GB28&lt;120)),"",SUM(0.1*(SUMPRODUCT(('Eval-Après action écologique'!$A$761:$A$780=FE21)*('Eval-Après action écologique'!$Q$761:$Y$780="A"))+ SUMPRODUCT(('Eval-Après action écologique'!$A$761:$A$780=FE21)*('Eval-Après action écologique'!$Q$761:$Y$780="AL"))),0.7*(SUMPRODUCT(('Eval-Après action écologique'!$A$761:$A$780=FE21)*('Eval-Après action écologique'!$Q$761:$Y$780="TF"))+SUMPRODUCT(('Eval-Après action écologique'!$A$761:$A$780=FE21)*('Eval-Après action écologique'!$Q$761:$Y$780="TM"))+SUMPRODUCT(('Eval-Après action écologique'!$A$761:$A$780=FE21)*('Eval-Après action écologique'!$Q$761:$Y$780="TS"))),0.4*(SUMPRODUCT(('Eval-Après action écologique'!$A$761:$A$780=FE21)*('Eval-Après action écologique'!$Q$761:$Y$780="LA"))+SUMPRODUCT(('Eval-Après action écologique'!$A$761:$A$780=FE21)*('Eval-Après action écologique'!$Q$761:$Y$780="L"))+SUMPRODUCT(('Eval-Après action écologique'!$A$761:$A$780=FE21)*('Eval-Après action écologique'!$Q$761:$Y$780="LS"))),1*(SUMPRODUCT(('Eval-Après action écologique'!$A$761:$A$780=FE21)*('Eval-Après action écologique'!$Q$761:$Y$780="SL"))+ SUMPRODUCT(('Eval-Après action écologique'!$A$761:$A$780=FE21)*('Eval-Après action écologique'!$Q$761:$Y$780="S"))))/(9*COUNTIF('Eval-Après action écologique'!$A$761:$A$780,FE21))),"")</f>
        <v/>
      </c>
      <c r="FW21" s="211" t="str">
        <f>IF(COUNTIF('Eval-Après action écologique'!$A$761:$A$780,FE21)&gt;0,IF(OR(AND('Eval-Après action écologique'!$A$761=FE21,OR(COUNTIF('Eval-Après action écologique'!$N$761:$P$761,"*T*")&gt;0,GB9&lt;30)),AND('Eval-Après action écologique'!$A$762=FE21,OR(COUNTIF('Eval-Après action écologique'!$N$762:$P$762,"*T*")&gt;0,GB10&lt;30)),AND('Eval-Après action écologique'!$A$763=FE21,OR(COUNTIF('Eval-Après action écologique'!$N$763:$P$763,"*T*")&gt;0,GB11&lt;30)),AND('Eval-Après action écologique'!$A$764=FE21,OR(COUNTIF('Eval-Après action écologique'!$N$764:$P$764,"*T*")&gt;0,GB12&lt;30)),AND('Eval-Après action écologique'!$A$765=FE21,OR(COUNTIF('Eval-Après action écologique'!$N$765:$P$765,"*T*")&gt;0,GB13&lt;30)),AND('Eval-Après action écologique'!$A$766=FE21,OR(COUNTIF('Eval-Après action écologique'!$N$766:$P$766,"*T*")&gt;0,GB14&lt;30)),AND('Eval-Après action écologique'!$A$767=FE21,OR(COUNTIF('Eval-Après action écologique'!$N$767:$P$767,"*T*")&gt;0,GB15&lt;30)),AND('Eval-Après action écologique'!$A$768=FE21,OR(COUNTIF('Eval-Après action écologique'!$N$768:$P$768,"*T*")&gt;0,GB16&lt;30)),AND('Eval-Après action écologique'!$A$769=FE21,OR(COUNTIF('Eval-Après action écologique'!$N$769:$P$769,"*T*")&gt;0,GB17&lt;30)),AND('Eval-Après action écologique'!$A$770=FE21,OR(COUNTIF('Eval-Après action écologique'!$N$770:$P$770,"*T*")&gt;0,GB18&lt;30)),AND('Eval-Après action écologique'!$A$771=FE21,OR(COUNTIF('Eval-Après action écologique'!$N$771:$P$771,"*T*")&gt;0,GB19&lt;30)),AND('Eval-Après action écologique'!$A$772=FE21,OR(COUNTIF('Eval-Après action écologique'!$N$772:$P$772,"*T*")&gt;0,GB20&lt;30)),AND('Eval-Après action écologique'!$A$773=FE21,OR(COUNTIF('Eval-Après action écologique'!$N$773:$P$773,"*T*")&gt;0,GB21&lt;30)),AND('Eval-Après action écologique'!$A$774=FE21,OR(COUNTIF('Eval-Après action écologique'!$N$774:$P$774,"*T*")&gt;0,GB22&lt;30)),AND('Eval-Après action écologique'!$A$775=FE21,OR(COUNTIF('Eval-Après action écologique'!$N$775:$P$775,"*T*")&gt;0,GB23&lt;30)),AND('Eval-Après action écologique'!$A$776=FE21,OR(COUNTIF('Eval-Après action écologique'!$N$776:$P$776,"*T*")&gt;0,GB24&lt;30)),AND('Eval-Après action écologique'!$A$777=FE21,OR(COUNTIF('Eval-Après action écologique'!$N$777:$P$777,"*T*")&gt;0,GB25&lt;30)),AND('Eval-Après action écologique'!$A$778=FE21,OR(COUNTIF('Eval-Après action écologique'!$N$778:$P$778,"*T*")&gt;0,GB26&lt;30)),AND('Eval-Après action écologique'!$A$779=FE21,OR(COUNTIF('Eval-Après action écologique'!$N$779:$P$779,"*T*")&gt;0,GB27&lt;30)),AND('Eval-Après action écologique'!$A$780=FE21,OR(COUNTIF('Eval-Après action écologique'!$N$780:$P$780,"*T*")&gt;0,GB28&lt;30))),"",SUM(0.1*(SUMPRODUCT(('Eval-Après action écologique'!$A$761:$A$780=FE21)*('Eval-Après action écologique'!$N$761:$P$780="L"))),0.4*(SUMPRODUCT(('Eval-Après action écologique'!$A$761:$A$780=FE21)*('Eval-Après action écologique'!$N$761:$P$780="LA"))+SUMPRODUCT(('Eval-Après action écologique'!$A$761:$A$780=FE21)*('Eval-Après action écologique'!$N$761:$P$780="LS"))),0.7*(SUMPRODUCT(('Eval-Après action écologique'!$A$761:$A$780=FE21)*('Eval-Après action écologique'!$N$761:$P$780="AL"))+SUMPRODUCT(('Eval-Après action écologique'!$A$761:$A$780=FE21)*('Eval-Après action écologique'!$N$761:$P$780="SL"))),1*(SUMPRODUCT(('Eval-Après action écologique'!$A$761:$A$780=FE21)*('Eval-Après action écologique'!$N$761:$P$780="S"))+ SUMPRODUCT(('Eval-Après action écologique'!$A$761:$A$780=FE21)*('Eval-Après action écologique'!$N$761:$P$780="A"))))/(3*COUNTIF('Eval-Après action écologique'!$A$761:$A$780,FE21))),"")</f>
        <v/>
      </c>
      <c r="FX21" s="211" t="str">
        <f>IF(COUNTIF('Eval-Après action écologique'!$A$761:$A$780,FE21)&gt;0,IF(OR(AND('Eval-Après action écologique'!$A$761=FE21,OR(COUNTIF('Eval-Après action écologique'!$N$761:$P$761,"*T*")&gt;0,GB9&lt;30)),AND('Eval-Après action écologique'!$A$762=FE21,OR(COUNTIF('Eval-Après action écologique'!$N$762:$P$762,"*T*")&gt;0,GB10&lt;30)),AND('Eval-Après action écologique'!$A$763=FE21,OR(COUNTIF('Eval-Après action écologique'!$N$763:$P$763,"*T*")&gt;0,GB11&lt;30)),AND('Eval-Après action écologique'!$A$764=FE21,OR(COUNTIF('Eval-Après action écologique'!$N$764:$P$764,"*T*")&gt;0,GB12&lt;30)),AND('Eval-Après action écologique'!$A$765=FE21,OR(COUNTIF('Eval-Après action écologique'!$N$765:$P$765,"*T*")&gt;0,GB13&lt;30)),AND('Eval-Après action écologique'!$A$766=FE21,OR(COUNTIF('Eval-Après action écologique'!$N$766:$P$766,"*T*")&gt;0,GB14&lt;30)),AND('Eval-Après action écologique'!$A$767=FE21,OR(COUNTIF('Eval-Après action écologique'!$N$767:$P$767,"*T*")&gt;0,GB15&lt;30)),AND('Eval-Après action écologique'!$A$768=FE21,OR(COUNTIF('Eval-Après action écologique'!$N$768:$P$768,"*T*")&gt;0,GB16&lt;30)),AND('Eval-Après action écologique'!$A$769=FE21,OR(COUNTIF('Eval-Après action écologique'!$N$769:$P$769,"*T*")&gt;0,GB17&lt;30)),AND('Eval-Après action écologique'!$A$770=FE21,OR(COUNTIF('Eval-Après action écologique'!$N$770:$P$770,"*T*")&gt;0,GB18&lt;30)),AND('Eval-Après action écologique'!$A$771=FE21,OR(COUNTIF('Eval-Après action écologique'!$N$771:$P$771,"*T*")&gt;0,GB19&lt;30)),AND('Eval-Après action écologique'!$A$772=FE21,OR(COUNTIF('Eval-Après action écologique'!$N$772:$P$772,"*T*")&gt;0,GB20&lt;30)),AND('Eval-Après action écologique'!$A$773=FE21,OR(COUNTIF('Eval-Après action écologique'!$N$773:$P$773,"*T*")&gt;0,GB21&lt;30)),AND('Eval-Après action écologique'!$A$774=FE21,OR(COUNTIF('Eval-Après action écologique'!$N$774:$P$774,"*T*")&gt;0,GB22&lt;30)),AND('Eval-Après action écologique'!$A$775=FE21,OR(COUNTIF('Eval-Après action écologique'!$N$775:$P$775,"*T*")&gt;0,GB23&lt;30)),AND('Eval-Après action écologique'!$A$776=FE21,OR(COUNTIF('Eval-Après action écologique'!$N$776:$P$776,"*T*")&gt;0,GB24&lt;30)),AND('Eval-Après action écologique'!$A$777=FE21,OR(COUNTIF('Eval-Après action écologique'!$N$777:$P$777,"*T*")&gt;0,GB25&lt;30)),AND('Eval-Après action écologique'!$A$778=FE21,OR(COUNTIF('Eval-Après action écologique'!$N$778:$P$778,"*T*")&gt;0,GB26&lt;30)),AND('Eval-Après action écologique'!$A$779=FE21,OR(COUNTIF('Eval-Après action écologique'!$N$779:$P$779,"*T*")&gt;0,GB27&lt;30)),AND('Eval-Après action écologique'!$A$780=FE21,OR(COUNTIF('Eval-Après action écologique'!$N$780:$P$780,"*T*")&gt;0,GB28&lt;30))),"",SUM(1*(SUMPRODUCT(('Eval-Après action écologique'!$A$761:$A$780=FE21)*('Eval-Après action écologique'!$N$761:$P$780="A"))),0.85*(SUMPRODUCT(('Eval-Après action écologique'!$A$761:$A$780=FE21)*('Eval-Après action écologique'!$N$761:$P$780="AL"))),0.7*(SUMPRODUCT(('Eval-Après action écologique'!$A$761:$A$780=FE21)*('Eval-Après action écologique'!$N$761:$P$780="LA"))),0.55*(SUMPRODUCT(('Eval-Après action écologique'!$A$761:$A$780=FE21)*('Eval-Après action écologique'!$N$761:$P$780="L"))),0.4*(SUMPRODUCT(('Eval-Après action écologique'!$A$761:$A$780=FE21)*('Eval-Après action écologique'!$N$761:$P$780="LS"))),0.25*(SUMPRODUCT(('Eval-Après action écologique'!$A$761:$A$780=FE21)*('Eval-Après action écologique'!$N$761:$P$780="SL"))),0.1*(SUMPRODUCT(('Eval-Après action écologique'!$A$761:$A$780=FE21)*('Eval-Après action écologique'!$N$761:$P$780="S"))))/(3*COUNTIF('Eval-Après action écologique'!$A$761:$A$780,FE21))),"")</f>
        <v/>
      </c>
      <c r="FY21" s="214" t="str">
        <f>IF(COUNTIF('Eval-Après action écologique'!$A$761:$A$780,FE21)&gt;0,IF(OR(AND('Eval-Après action écologique'!$A$761=FE21,OR(COUNTIF('Eval-Après action écologique'!$Q$761:$Y$761,"*T*")&gt;0,GB9&lt;120)),AND('Eval-Après action écologique'!$A$762=FE21,OR(COUNTIF('Eval-Après action écologique'!$Q$762:$Y$762,"*T*")&gt;0,GB10&lt;120)),AND('Eval-Après action écologique'!$A$763=FE21,OR(COUNTIF('Eval-Après action écologique'!$Q$763:$Y$763,"*T*")&gt;0,GB11&lt;120)),AND('Eval-Après action écologique'!$A$764=FE21,OR(COUNTIF('Eval-Après action écologique'!$Q$764:$Y$764,"*T*")&gt;0,GB12&lt;120)),AND('Eval-Après action écologique'!$A$765=FE21,OR(COUNTIF('Eval-Après action écologique'!$Q$765:$Y$765,"*T*")&gt;0,GB13&lt;120)),AND('Eval-Après action écologique'!$A$766=FE21,OR(COUNTIF('Eval-Après action écologique'!$Q$766:$Y$766,"*T*")&gt;0,GB14&lt;120)),AND('Eval-Après action écologique'!$A$767=FE21,OR(COUNTIF('Eval-Après action écologique'!$Q$767:$Y$767,"*T*")&gt;0,GB15&lt;120)),AND('Eval-Après action écologique'!$A$768=FE21,OR(COUNTIF('Eval-Après action écologique'!$Q$768:$Y$768,"*T*")&gt;0,GB16&lt;120)),AND('Eval-Après action écologique'!$A$769=FE21,OR(COUNTIF('Eval-Après action écologique'!$Q$769:$Y$769,"*T*")&gt;0,GB17&lt;120)),AND('Eval-Après action écologique'!$A$770=FE21,OR(COUNTIF('Eval-Après action écologique'!$Q$770:$Y$770,"*T*")&gt;0,GB18&lt;120)),AND('Eval-Après action écologique'!$A$771=FE21,OR(COUNTIF('Eval-Après action écologique'!$Q$771:$Y$771,"*T*")&gt;0,GB19&lt;120)),AND('Eval-Après action écologique'!$A$772=FE21,OR(COUNTIF('Eval-Après action écologique'!$Q$772:$Y$772,"*T*")&gt;0,GB20&lt;120)),AND('Eval-Après action écologique'!$A$773=FE21,OR(COUNTIF('Eval-Après action écologique'!$Q$773:$Y$773,"*T*")&gt;0,GB21&lt;120)),AND('Eval-Après action écologique'!$A$774=FE21,OR(COUNTIF('Eval-Après action écologique'!$Q$774:$Y$774,"*T*")&gt;0,GB22&lt;120)),AND('Eval-Après action écologique'!$A$775=FE21,OR(COUNTIF('Eval-Après action écologique'!$Q$775:$Y$775,"*T*")&gt;0,GB23&lt;120)),AND('Eval-Après action écologique'!$A$776=FE21,OR(COUNTIF('Eval-Après action écologique'!$Q$776:$Y$776,"*T*")&gt;0,GB24&lt;120)),AND('Eval-Après action écologique'!$A$777=FE21,OR(COUNTIF('Eval-Après action écologique'!$Q$777:$Y$777,"*T*")&gt;0,GB25&lt;120)),AND('Eval-Après action écologique'!$A$778=FE21,OR(COUNTIF('Eval-Après action écologique'!$Q$778:$Y$778,"*T*")&gt;0,GB26&lt;120)),AND('Eval-Après action écologique'!$A$779=FE21,OR(COUNTIF('Eval-Après action écologique'!$Q$779:$Y$779,"*T*")&gt;0,GB27&lt;120)),AND('Eval-Après action écologique'!$A$780=FE21,OR(COUNTIF('Eval-Après action écologique'!$Q$780:$Y$780,"*T*")&gt;0,GB28&lt;120))),"",SUM(1*(SUMPRODUCT(('Eval-Après action écologique'!$A$761:$A$780=FE21)*('Eval-Après action écologique'!$Q$761:$Y$780="A"))),0.85*(SUMPRODUCT(('Eval-Après action écologique'!$A$761:$A$780=FE21)*('Eval-Après action écologique'!$Q$761:$Y$780="AL"))),0.7*(SUMPRODUCT(('Eval-Après action écologique'!$A$761:$A$780=FE21)*('Eval-Après action écologique'!$Q$761:$Y$780="LA"))),0.55*(SUMPRODUCT(('Eval-Après action écologique'!$A$761:$A$780=FE21)*('Eval-Après action écologique'!$Q$761:$Y$780="L"))),0.4*(SUMPRODUCT(('Eval-Après action écologique'!$A$761:$A$780=FE21)*('Eval-Après action écologique'!$Q$761:$Y$780="LS"))),0.25*(SUMPRODUCT(('Eval-Après action écologique'!$A$761:$A$780=FE21)*('Eval-Après action écologique'!$Q$761:$Y$780="SL"))),0.1*(SUMPRODUCT(('Eval-Après action écologique'!$A$761:$A$780=FE21)*('Eval-Après action écologique'!$Q$761:$Y$780="S"))))/(9*COUNTIF('Eval-Après action écologique'!$A$761:$A$780,FE21))),"")</f>
        <v/>
      </c>
      <c r="FZ21" s="215"/>
      <c r="GA21" s="216">
        <f>'Eval-Après action écologique'!$D$773</f>
        <v>13</v>
      </c>
      <c r="GB21" s="217" t="str">
        <f>IF(GC21="C",0,IF(IF(COUNTIF('Eval-Après action écologique'!$N$773:$Y$773,"=C")&gt;0,(COUNTA('Eval-Après action écologique'!$N$773:$Y$773)-1)*10,COUNTA('Eval-Après action écologique'!$N$773:$Y$773)*10)=0,"",IF(COUNTIF('Eval-Après action écologique'!$N$773:$Y$773,"=C")&gt;0,(COUNTA('Eval-Après action écologique'!$N$773:$Y$773)-1)*10,COUNTA('Eval-Après action écologique'!$N$773:$Y$773)*10)))</f>
        <v/>
      </c>
      <c r="GC21" s="217" t="str">
        <f>CONCATENATE('Eval-Après action écologique'!$N$773,'Eval-Après action écologique'!$O$773,'Eval-Après action écologique'!$P$773,'Eval-Après action écologique'!$Q$773,'Eval-Après action écologique'!$R$773,'Eval-Après action écologique'!$S$773,'Eval-Après action écologique'!$T$773,'Eval-Après action écologique'!$U$773,'Eval-Après action écologique'!$V$773,'Eval-Après action écologique'!$W$773,'Eval-Après action écologique'!$X$773,'Eval-Après action écologique'!$Y$773)</f>
        <v/>
      </c>
      <c r="GD21" s="217" t="str">
        <f t="shared" si="20"/>
        <v/>
      </c>
      <c r="GE21" s="217" t="str">
        <f t="shared" si="21"/>
        <v/>
      </c>
      <c r="GF21" s="217" t="str">
        <f>IF(COUNTIF('Eval-Après action écologique'!$N$773:$Y$773,"=C")&gt;0,"X","")</f>
        <v/>
      </c>
      <c r="GG21" s="217" t="str">
        <f t="shared" si="22"/>
        <v/>
      </c>
      <c r="GH21" s="218" t="str">
        <f t="shared" si="23"/>
        <v/>
      </c>
      <c r="GI21" s="197"/>
    </row>
    <row r="22" spans="1:191" ht="18" customHeight="1" x14ac:dyDescent="0.2">
      <c r="A22" s="210">
        <v>14</v>
      </c>
      <c r="B22" s="211" t="str">
        <f>IF(COUNTIF('Eval-Avant impact'!$A$761:$A$780,A22)&gt;0,SUM(IF('Eval-Avant impact'!$A$761=A22,'Eval-Avant impact'!$B$761,0),IF('Eval-Avant impact'!$A$762=A22, 'Eval-Avant impact'!$B$762,0),IF('Eval-Avant impact'!$A$763=A22, 'Eval-Avant impact'!$B$763,0),IF('Eval-Avant impact'!$A$764=A22, 'Eval-Avant impact'!$B$764,0),IF('Eval-Avant impact'!$A$765=A22, 'Eval-Avant impact'!$B$765,0),IF('Eval-Avant impact'!$A$766=A22, 'Eval-Avant impact'!$B$766,0),IF('Eval-Avant impact'!$A$767=A22, 'Eval-Avant impact'!$B$767,0),IF('Eval-Avant impact'!$A$768=A22, 'Eval-Avant impact'!$B$768,0),IF('Eval-Avant impact'!$A$769=A22, 'Eval-Avant impact'!$B$769,0),IF('Eval-Avant impact'!$A$770=A22, 'Eval-Avant impact'!$B$770,0),IF('Eval-Avant impact'!$A$771=A22, 'Eval-Avant impact'!$B$771,0),IF('Eval-Avant impact'!$A$772=A22, 'Eval-Avant impact'!$B$772,0),IF('Eval-Avant impact'!$A$773=A22, 'Eval-Avant impact'!$B$773,0),IF('Eval-Avant impact'!$A$774=A22, 'Eval-Avant impact'!$B$774,0),IF('Eval-Avant impact'!$A$775=A22, 'Eval-Avant impact'!$B$775,0),IF('Eval-Avant impact'!$A$776=A22, 'Eval-Avant impact'!$B$776,0),IF('Eval-Avant impact'!$A$777=A22, 'Eval-Avant impact'!$B$777,0),IF('Eval-Avant impact'!$A$778=A22, 'Eval-Avant impact'!$B$778,0),IF('Eval-Avant impact'!$A$779=A22, 'Eval-Avant impact'!$B$779,0),IF('Eval-Avant impact'!$A$780=A22, 'Eval-Avant impact'!$B$780,0))/COUNTIF('Eval-Avant impact'!$A$761:$A$780,A22),"")</f>
        <v/>
      </c>
      <c r="C22" s="212" t="str">
        <f>IF(COUNTIF('Eval-Avant impact'!$A$761:$A$780,A22)&gt;0,COUNTIF('Eval-Avant impact'!$A$761:$A$780,A22),"")</f>
        <v/>
      </c>
      <c r="D22" s="211" t="str">
        <f>IF(COUNTIF('Eval-Avant impact'!$A$761:$A$780,A22)&gt;0,IF(OR(AND('Eval-Avant impact'!$A$761=A22, 'Eval-Avant impact'!$G$761=""),AND('Eval-Avant impact'!$A$762=A22, 'Eval-Avant impact'!$G$762=""),AND('Eval-Avant impact'!$A$763=A22, 'Eval-Avant impact'!$G$763=""),AND('Eval-Avant impact'!$A$764=A22, 'Eval-Avant impact'!$G$764=""),AND('Eval-Avant impact'!$A$765=A22, 'Eval-Avant impact'!$G$765=""),AND('Eval-Avant impact'!$A$766=A22, 'Eval-Avant impact'!$G$766=""),AND('Eval-Avant impact'!$A$767=A22, 'Eval-Avant impact'!$G$767=""),AND('Eval-Avant impact'!$A$768=A22, 'Eval-Avant impact'!$G$768=""),AND('Eval-Avant impact'!$A$769=A22, 'Eval-Avant impact'!$G$769=""),AND('Eval-Avant impact'!$A$770=A22, 'Eval-Avant impact'!$G$770=""),AND('Eval-Avant impact'!$A$771=A22, 'Eval-Avant impact'!$G$771=""),AND('Eval-Avant impact'!$A$772=A22, 'Eval-Avant impact'!$G$772=""),AND('Eval-Avant impact'!$A$773=A22, 'Eval-Avant impact'!$G$773=""),AND('Eval-Avant impact'!$A$774=A22, 'Eval-Avant impact'!$G$774=""),AND('Eval-Avant impact'!$A$775=A22, 'Eval-Avant impact'!$G$775=""),AND('Eval-Avant impact'!$A$776=A22, 'Eval-Avant impact'!$G$776=""),AND('Eval-Avant impact'!$A$777=A22, 'Eval-Avant impact'!$G$777=""),AND('Eval-Avant impact'!$A$778=A22, 'Eval-Avant impact'!$G$778=""),AND('Eval-Avant impact'!$A$779=A22, 'Eval-Avant impact'!$G$779=""),AND('Eval-Avant impact'!$A$780=A22, 'Eval-Avant impact'!$G$780="")),"",SUM(IF('Eval-Avant impact'!$A$761=A22,'Eval-Avant impact'!$G$761,0),IF('Eval-Avant impact'!$A$762=A22,'Eval-Avant impact'!$G$762,0),IF('Eval-Avant impact'!$A$763=A22,'Eval-Avant impact'!$G$763,0),IF('Eval-Avant impact'!$A$764=A22,'Eval-Avant impact'!$G$764,0),IF('Eval-Avant impact'!$A$765=A22,'Eval-Avant impact'!$G$765,0),IF('Eval-Avant impact'!$A$766=A22,'Eval-Avant impact'!$G$766,0),IF('Eval-Avant impact'!$A$767=A22,'Eval-Avant impact'!$G$767,0),IF('Eval-Avant impact'!$A$768=A22,'Eval-Avant impact'!$G$768,0),IF('Eval-Avant impact'!$A$769=A22,'Eval-Avant impact'!$G$769,0),IF('Eval-Avant impact'!$A$770=A22,'Eval-Avant impact'!$G$770,0),IF('Eval-Avant impact'!$A$771=A22,'Eval-Avant impact'!$G$771,0),IF('Eval-Avant impact'!$A$772=A22,'Eval-Avant impact'!$G$772,0),IF('Eval-Avant impact'!$A$773=A22,'Eval-Avant impact'!$G$773,0),IF('Eval-Avant impact'!$A$774=A22,'Eval-Avant impact'!$G$774,0),IF('Eval-Avant impact'!$A$775=A22,'Eval-Avant impact'!$G$775,0), IF('Eval-Avant impact'!$A$776=A22,'Eval-Avant impact'!$G$776,0), IF('Eval-Avant impact'!$A$777=A22,'Eval-Avant impact'!$G$777,0), IF('Eval-Avant impact'!$A$778=A22,'Eval-Avant impact'!$G$778,0), IF('Eval-Avant impact'!$A$779=A22,'Eval-Avant impact'!$G$779,0), IF('Eval-Avant impact'!$A$780=A22,'Eval-Avant impact'!$G$780,0))/ COUNTIF('Eval-Avant impact'!$A$761:$A$780,A22)),"")</f>
        <v/>
      </c>
      <c r="E22" s="212" t="str">
        <f>IF(COUNTIF('Eval-Avant impact'!$A$761:$A$780,A22)&gt;0,IF(SUM(IF('Eval-Avant impact'!$A$761=A22,COUNTA('Eval-Avant impact'!$H$761),0),IF('Eval-Avant impact'!$A$762=A22,COUNTA('Eval-Avant impact'!$H$762),0),IF('Eval-Avant impact'!$A$763=A22,COUNTA('Eval-Avant impact'!$H$763),0),IF('Eval-Avant impact'!$A$764=A22,COUNTA('Eval-Avant impact'!$H$764),0),IF('Eval-Avant impact'!$A$765=A22,COUNTA('Eval-Avant impact'!$H$765),0),IF('Eval-Avant impact'!$A$766=A22,COUNTA('Eval-Avant impact'!$H$766),0),IF('Eval-Avant impact'!$A$767=A22,COUNTA('Eval-Avant impact'!$H$767),0),IF('Eval-Avant impact'!$A$768=A22,COUNTA('Eval-Avant impact'!$H$768),0),IF('Eval-Avant impact'!$A$769=A22,COUNTA('Eval-Avant impact'!$H$769),0),IF('Eval-Avant impact'!$A$770=A22,COUNTA('Eval-Avant impact'!$H$770),0),IF('Eval-Avant impact'!$A$771=A22,COUNTA('Eval-Avant impact'!$H$771),0),IF('Eval-Avant impact'!$A$772=A22,COUNTA('Eval-Avant impact'!$H$772),0),IF('Eval-Avant impact'!$A$773=A22,COUNTA('Eval-Avant impact'!$H$773),0),IF('Eval-Avant impact'!$A$774=A22,COUNTA('Eval-Avant impact'!$H$774),0),IF('Eval-Avant impact'!$A$775=A22,COUNTA('Eval-Avant impact'!$H$775),0),IF('Eval-Avant impact'!$A$776=A22,COUNTA('Eval-Avant impact'!$H$776),0),IF('Eval-Avant impact'!$A$777=A22,COUNTA('Eval-Avant impact'!$H$777),0),IF('Eval-Avant impact'!$A$778=A22,COUNTA('Eval-Avant impact'!$H$778),0),IF('Eval-Avant impact'!$A$779=A22,COUNTA('Eval-Avant impact'!$H$779),0),IF('Eval-Avant impact'!$A$780=A22,COUNTA('Eval-Avant impact'!$H$780),0))&gt;0,"X",0),"")</f>
        <v/>
      </c>
      <c r="F22" s="213" t="str">
        <f>IF(COUNTIF('Eval-Avant impact'!$A$761:$A$780,A22)&gt;0,IF(SUM(IF('Eval-Avant impact'!$A$761=A22,COUNTA('Eval-Avant impact'!$I$761),0),IF('Eval-Avant impact'!$A$762=A22,COUNTA('Eval-Avant impact'!$I$762),0),IF('Eval-Avant impact'!$A$763=A22,COUNTA('Eval-Avant impact'!$I$763),0),IF('Eval-Avant impact'!$A$764=A22,COUNTA('Eval-Avant impact'!$I$764),0),IF('Eval-Avant impact'!$A$765=A22,COUNTA('Eval-Avant impact'!$I$765),0),IF('Eval-Avant impact'!$A$766=A22,COUNTA('Eval-Avant impact'!$I$766),0),IF('Eval-Avant impact'!$A$767=A22,COUNTA('Eval-Avant impact'!$I$767),0),IF('Eval-Avant impact'!$A$768=A22,COUNTA('Eval-Avant impact'!$I$768),0),IF('Eval-Avant impact'!$A$769=A22,COUNTA('Eval-Avant impact'!$I$769),0),IF('Eval-Avant impact'!$A$770=A22,COUNTA('Eval-Avant impact'!$I$770),0),IF('Eval-Avant impact'!$A$771=A22,COUNTA('Eval-Avant impact'!$I$771),0),IF('Eval-Avant impact'!$A$772=A22,COUNTA('Eval-Avant impact'!$I$772),0),IF('Eval-Avant impact'!$A$773=A22,COUNTA('Eval-Avant impact'!$I$773),0),IF('Eval-Avant impact'!$A$774=A22,COUNTA('Eval-Avant impact'!$I$774),0),IF('Eval-Avant impact'!$A$775=A22,COUNTA('Eval-Avant impact'!$I$775),0),IF('Eval-Avant impact'!$A$776=A22,COUNTA('Eval-Avant impact'!$I$776),0),IF('Eval-Avant impact'!$A$777=A22,COUNTA('Eval-Avant impact'!$I$777),0),IF('Eval-Avant impact'!$A$778=A22,COUNTA('Eval-Avant impact'!$I$778),0),IF('Eval-Avant impact'!$A$779=A22,COUNTA('Eval-Avant impact'!$I$779),0),IF('Eval-Avant impact'!$A$780=A22,COUNTA('Eval-Avant impact'!$I$780),0))&gt;0,"X",0),"")</f>
        <v/>
      </c>
      <c r="G22" s="213" t="str">
        <f>IF(COUNTIF('Eval-Avant impact'!$A$761:$A$780,A22)&gt;0,IF(SUM(IF('Eval-Avant impact'!$A$761=A22,COUNTA('Eval-Avant impact'!$J$761),0),IF('Eval-Avant impact'!$A$762=A22,COUNTA('Eval-Avant impact'!$J$762),0),IF('Eval-Avant impact'!$A$763=A22,COUNTA('Eval-Avant impact'!$J$763),0),IF('Eval-Avant impact'!$A$764=A22,COUNTA('Eval-Avant impact'!$J$764),0),IF('Eval-Avant impact'!$A$765=A22,COUNTA('Eval-Avant impact'!$J$765),0),IF('Eval-Avant impact'!$A$766=A22,COUNTA('Eval-Avant impact'!$J$766),0),IF('Eval-Avant impact'!$A$767=A22,COUNTA('Eval-Avant impact'!$J$767),0),IF('Eval-Avant impact'!$A$768=A22,COUNTA('Eval-Avant impact'!$J$768),0),IF('Eval-Avant impact'!$A$769=A22,COUNTA('Eval-Avant impact'!$J$769),0),IF('Eval-Avant impact'!$A$770=A22,COUNTA('Eval-Avant impact'!$J$770),0),IF('Eval-Avant impact'!$A$771=A22,COUNTA('Eval-Avant impact'!$J$771),0),IF('Eval-Avant impact'!$A$772=A22,COUNTA('Eval-Avant impact'!$J$772),0),IF('Eval-Avant impact'!$A$773=A22,COUNTA('Eval-Avant impact'!$J$773),0),IF('Eval-Avant impact'!$A$774=A22,COUNTA('Eval-Avant impact'!$J$774),0),IF('Eval-Avant impact'!$A$775=A22,COUNTA('Eval-Avant impact'!$J$775),0),IF('Eval-Avant impact'!$A$776=A22,COUNTA('Eval-Avant impact'!$J$776),0),IF('Eval-Avant impact'!$A$777=A22,COUNTA('Eval-Avant impact'!$J$777),0),IF('Eval-Avant impact'!$A$778=A22,COUNTA('Eval-Avant impact'!$J$778),0),IF('Eval-Avant impact'!$A$779=A22,COUNTA('Eval-Avant impact'!$J$779),0),IF('Eval-Avant impact'!$A$780=A22,COUNTA('Eval-Avant impact'!$J$780),0))&gt;0,"X",0),"")</f>
        <v/>
      </c>
      <c r="H22" s="213" t="str">
        <f>IF(COUNTIF('Eval-Avant impact'!$A$761:$A$780,A22)&gt;0,IF(SUM(IF('Eval-Avant impact'!$A$761=A22,COUNTA('Eval-Avant impact'!$K$761),0),IF('Eval-Avant impact'!$A$762=A22,COUNTA('Eval-Avant impact'!$K$762),0),IF('Eval-Avant impact'!$A$763=A22,COUNTA('Eval-Avant impact'!$K$763),0),IF('Eval-Avant impact'!$A$764=A22,COUNTA('Eval-Avant impact'!$K$764),0),IF('Eval-Avant impact'!$A$765=A22,COUNTA('Eval-Avant impact'!$K$765),0),IF('Eval-Avant impact'!$A$766=A22,COUNTA('Eval-Avant impact'!$K$766),0),IF('Eval-Avant impact'!$A$767=A22,COUNTA('Eval-Avant impact'!$K$767),0),IF('Eval-Avant impact'!$A$768=A22,COUNTA('Eval-Avant impact'!$K$768),0),IF('Eval-Avant impact'!$A$769=A22,COUNTA('Eval-Avant impact'!$K$769),0),IF('Eval-Avant impact'!$A$770=A22,COUNTA('Eval-Avant impact'!$K$770),0),IF('Eval-Avant impact'!$A$771=A22,COUNTA('Eval-Avant impact'!$K$771),0),IF('Eval-Avant impact'!$A$772=A22,COUNTA('Eval-Avant impact'!$K$772),0),IF('Eval-Avant impact'!$A$773=A22,COUNTA('Eval-Avant impact'!$K$773),0),IF('Eval-Avant impact'!$A$774=A22,COUNTA('Eval-Avant impact'!$K$774),0),IF('Eval-Avant impact'!$A$775=A22,COUNTA('Eval-Avant impact'!$K$775),0),IF('Eval-Avant impact'!$A$776=A22,COUNTA('Eval-Avant impact'!$K$776),0),IF('Eval-Avant impact'!$A$777=A22,COUNTA('Eval-Avant impact'!$K$777),0),IF('Eval-Avant impact'!$A$778=A22,COUNTA('Eval-Avant impact'!$K$778),0),IF('Eval-Avant impact'!$A$779=A22,COUNTA('Eval-Avant impact'!$K$779),0),IF('Eval-Avant impact'!$A$780=A22,COUNTA('Eval-Avant impact'!$K$780),0))&gt;0,"X",0),"")</f>
        <v/>
      </c>
      <c r="I22" s="211" t="str">
        <f>IF(COUNTIF('Eval-Avant impact'!$A$761:$A$780,A22)&gt;0,IF(OR(AND('Eval-Avant impact'!$A$761=A22,'Eval-Avant impact'!$L$761&lt;120,'Eval-Avant impact'!$L$761&gt;=X9),AND('Eval-Avant impact'!$A$762=A22,'Eval-Avant impact'!$L$762&lt;120,'Eval-Avant impact'!$L$762&gt;=X10),AND('Eval-Avant impact'!$A$763=A22,'Eval-Avant impact'!$L$763&lt;120,'Eval-Avant impact'!$L$763&gt;=X11),AND('Eval-Avant impact'!$A$764=A22,'Eval-Avant impact'!$L$764&lt;120,'Eval-Avant impact'!$L$764&gt;=X12),AND('Eval-Avant impact'!$A$765=A22,'Eval-Avant impact'!$L$765&lt;120,'Eval-Avant impact'!$L$765&gt;=X13),AND('Eval-Avant impact'!$A$766=A22,'Eval-Avant impact'!$L$766&lt;120,'Eval-Avant impact'!$L$766&gt;=X14),AND('Eval-Avant impact'!$A$767=A22,'Eval-Avant impact'!$L$767&lt;120,'Eval-Avant impact'!$L$767&gt;=X15),AND('Eval-Avant impact'!$A$768=A22,'Eval-Avant impact'!$L$768&lt;120,'Eval-Avant impact'!$L$768&gt;=X16),AND('Eval-Avant impact'!$A$769=A22,'Eval-Avant impact'!$L$769&lt;120,'Eval-Avant impact'!$L$769&gt;=X17),AND('Eval-Avant impact'!$A$770=A22,'Eval-Avant impact'!$L$770&lt;120,'Eval-Avant impact'!$L$770&gt;=X18),AND('Eval-Avant impact'!$A$771=A22,'Eval-Avant impact'!$L$771&lt;120,'Eval-Avant impact'!$L$771&gt;=X19),AND('Eval-Avant impact'!$A$772=A22,'Eval-Avant impact'!$L$772&lt;120,'Eval-Avant impact'!$L$772&gt;=X20),AND('Eval-Avant impact'!$A$773=A22,'Eval-Avant impact'!$L$773&lt;120,'Eval-Avant impact'!$L$773&gt;=X21),AND('Eval-Avant impact'!$A$774=A22,'Eval-Avant impact'!$L$774&lt;120,'Eval-Avant impact'!$L$774&gt;=X22),AND('Eval-Avant impact'!$A$775=A22,'Eval-Avant impact'!$L$775&lt;120,'Eval-Avant impact'!$L$775&gt;=X23),AND('Eval-Avant impact'!$A$776=A22,'Eval-Avant impact'!$L$776&lt;120,'Eval-Avant impact'!$L$776&gt;=X24),AND('Eval-Avant impact'!$A$777=A22,'Eval-Avant impact'!$L$777&lt;120,'Eval-Avant impact'!$L$777&gt;=X25),AND('Eval-Avant impact'!$A$778=A22,'Eval-Avant impact'!$L$778&lt;120,'Eval-Avant impact'!$L$778&gt;=X26),AND('Eval-Avant impact'!$A$779=A22,'Eval-Avant impact'!$L$779&lt;120,'Eval-Avant impact'!$L$779&gt;=X27),AND('Eval-Avant impact'!$A$780=A22,'Eval-Avant impact'!$L$780&lt;120,'Eval-Avant impact'!$L$780&gt;=X28)),"",SUM(IF('Eval-Avant impact'!$A$761=A22,'Eval-Avant impact'!$L$761,0),IF('Eval-Avant impact'!$A$762=A22,'Eval-Avant impact'!$L$762,0),IF('Eval-Avant impact'!$A$763=A22,'Eval-Avant impact'!$L$763,0),IF('Eval-Avant impact'!$A$764=A22,'Eval-Avant impact'!$L$764,0),IF('Eval-Avant impact'!$A$765=A22,'Eval-Avant impact'!$L$765,0),IF('Eval-Avant impact'!$A$766=A22,'Eval-Avant impact'!$L$766,0),IF('Eval-Avant impact'!$A$767=A22,'Eval-Avant impact'!$L$767,0),IF('Eval-Avant impact'!$A$768=A22,'Eval-Avant impact'!$L$768,0),IF('Eval-Avant impact'!$A$769=A22,'Eval-Avant impact'!$L$769,0),IF('Eval-Avant impact'!$A$770=A22,'Eval-Avant impact'!$L$770,0),IF('Eval-Avant impact'!$A$771=A22,'Eval-Avant impact'!$L$771,0),IF('Eval-Avant impact'!$A$772=A22,'Eval-Avant impact'!$L$772,0),IF('Eval-Avant impact'!$A$773=A22,'Eval-Avant impact'!$L$773,0),IF('Eval-Avant impact'!$A$774=A22,'Eval-Avant impact'!$L$774,0),IF('Eval-Avant impact'!$A$775=A22,'Eval-Avant impact'!$L$775,0),IF('Eval-Avant impact'!$A$776=A22,'Eval-Avant impact'!$L$776,0),IF('Eval-Avant impact'!$A$777=A22,'Eval-Avant impact'!$L$777,0),IF('Eval-Avant impact'!$A$778=A22,'Eval-Avant impact'!$L$778,0),IF('Eval-Avant impact'!$A$779=A22,'Eval-Avant impact'!$L$779,0),IF('Eval-Avant impact'!$A$780=A22,'Eval-Avant impact'!$L$780,0))/ COUNTIF('Eval-Avant impact'!$A$761:$A$780,A22)),"")</f>
        <v/>
      </c>
      <c r="J22" s="211" t="str">
        <f>IF(COUNTIF('Eval-Avant impact'!$A$761:$A$780,A22)&gt;0,IF(OR(AND('Eval-Avant impact'!$A$761=A22, X9&lt;120),AND(X10&lt;120),AND(X11&lt;120),AND(X12&lt;120),AND(X13&lt;120),AND(X14&lt;120),AND(X15&lt;120),AND(X16&lt;120),AND(X17&lt;120),AND(X18&lt;120),AND(X19&lt;120),AND(X20&lt;120),AND(X21&lt;120),AND(X22&lt;120),AND(X23&lt;120),AND(X24&lt;120),AND(X25&lt;120),AND(X26&lt;120),AND(X27&lt;120),AND(X28&lt;120)),"",SUM(IF('Eval-Avant impact'!$A$761=A22,'Eval-Avant impact'!$M$761,0),IF('Eval-Avant impact'!$A$762=A22,'Eval-Avant impact'!$M$762,0),IF('Eval-Avant impact'!$A$763=A22,'Eval-Avant impact'!$M$763,0),IF('Eval-Avant impact'!$A$764=A22,'Eval-Avant impact'!$M$764,0),IF('Eval-Avant impact'!$A$765=A22,'Eval-Avant impact'!$M$765,0),IF('Eval-Avant impact'!$A$766=A22,'Eval-Avant impact'!$M$766,0),IF('Eval-Avant impact'!$A$767=A22,'Eval-Avant impact'!$M$767,0),IF('Eval-Avant impact'!$A$768=A22,'Eval-Avant impact'!$M$768,0),IF('Eval-Avant impact'!$A$769=A22,'Eval-Avant impact'!$M$769,0),IF('Eval-Avant impact'!$A$770=A22,'Eval-Avant impact'!$M$770,0),IF('Eval-Avant impact'!$A$771=A22,'Eval-Avant impact'!$M$771,0),IF('Eval-Avant impact'!$A$772=A22,'Eval-Avant impact'!$M$772,0),IF('Eval-Avant impact'!$A$773=A22,'Eval-Avant impact'!$M$773,0),IF('Eval-Avant impact'!$A$774=A22,'Eval-Avant impact'!$M$774,0),IF('Eval-Avant impact'!$A$775=A22,'Eval-Avant impact'!$M$775,0), IF('Eval-Avant impact'!$A$776=A22,'Eval-Avant impact'!$M$776,0), IF('Eval-Avant impact'!$A$777=A22,'Eval-Avant impact'!$M$777,0), IF('Eval-Avant impact'!$A$778=A22,'Eval-Avant impact'!$M$778,0), IF('Eval-Avant impact'!$A$779=A22,'Eval-Avant impact'!$M$779,0), IF('Eval-Avant impact'!$A$780=A22,'Eval-Avant impact'!$M$780,0))/COUNTIF('Eval-Avant impact'!$A$761:$A$780,A22)),"")</f>
        <v/>
      </c>
      <c r="K22" s="211" t="str">
        <f>IF(COUNTIF('Eval-Avant impact'!$A$761:$A$780,A22)&gt;0,SUM(IF('Eval-Avant impact'!$A$761=A22,LEN(SUBSTITUTE((SUBSTITUTE(Z9,"TM","")),"TS",""))*10/2,0),IF('Eval-Avant impact'!$A$762=A22,LEN(SUBSTITUTE((SUBSTITUTE(Z10,"TM","")),"TS",""))*10/2,0),IF('Eval-Avant impact'!$A$763=A22,LEN(SUBSTITUTE((SUBSTITUTE(Z11,"TM","")),"TS",""))*10/2,0),IF('Eval-Avant impact'!$A$764=A22,LEN(SUBSTITUTE((SUBSTITUTE(Z12,"TM","")),"TS",""))*10/2,0),IF('Eval-Avant impact'!$A$765=A22,LEN(SUBSTITUTE((SUBSTITUTE(Z13,"TM","")),"TS",""))*10/2,0),IF('Eval-Avant impact'!$A$766=A22,LEN(SUBSTITUTE((SUBSTITUTE(Z14,"TM","")),"TS",""))*10/2,0),IF('Eval-Avant impact'!$A$767=A22,LEN(SUBSTITUTE((SUBSTITUTE(Z15,"TM","")),"TS",""))*10/2,0),IF('Eval-Avant impact'!$A$768=A22,LEN(SUBSTITUTE((SUBSTITUTE(Z16,"TM","")),"TS",""))*10/2,0),IF('Eval-Avant impact'!$A$769=A22,LEN(SUBSTITUTE((SUBSTITUTE(Z17,"TM","")),"TS",""))*10/2,0),IF('Eval-Avant impact'!$A$770=A22,LEN(SUBSTITUTE((SUBSTITUTE(Z18,"TM","")),"TS",""))*10/2,0),IF('Eval-Avant impact'!$A$771=A22,LEN(SUBSTITUTE((SUBSTITUTE(Z19,"TM","")),"TS",""))*10/2,0),IF('Eval-Avant impact'!$A$772=A22,LEN(SUBSTITUTE((SUBSTITUTE(Z20,"TM","")),"TS",""))*10/2,0),IF('Eval-Avant impact'!$A$773=A22,LEN(SUBSTITUTE((SUBSTITUTE(Z21,"TM","")),"TS",""))*10/2,0),IF('Eval-Avant impact'!$A$774=A22,LEN(SUBSTITUTE((SUBSTITUTE(Z22,"TM","")),"TS",""))*10/2,0),IF('Eval-Avant impact'!$A$775=A22,LEN(SUBSTITUTE((SUBSTITUTE(Z23,"TM","")),"TS",""))*10/2,0),IF('Eval-Avant impact'!$A$776=A22,LEN(SUBSTITUTE((SUBSTITUTE(Z24,"TM","")),"TS",""))*10/2,0),IF('Eval-Avant impact'!$A$777=A22,LEN(SUBSTITUTE((SUBSTITUTE(Z25,"TM","")),"TS",""))*10/2,0),IF('Eval-Avant impact'!$A$778=A22,LEN(SUBSTITUTE((SUBSTITUTE(Z26,"TM","")),"TS",""))*10/2,0),IF('Eval-Avant impact'!$A$779=A22,LEN(SUBSTITUTE((SUBSTITUTE(Z27,"TM","")),"TS",""))*10/2,0),IF('Eval-Avant impact'!$A$780=A22,LEN(SUBSTITUTE((SUBSTITUTE(Z28,"TM","")),"TS",""))*10/2,0))/COUNTIF('Eval-Avant impact'!$A$761:$A$780,A22),"")</f>
        <v/>
      </c>
      <c r="L22" s="211" t="str">
        <f>IF(COUNTIF('Eval-Avant impact'!$A$761:$A$780,A22)&gt;0,SUM(IF('Eval-Avant impact'!$A$761=A22,LEN(SUBSTITUTE((SUBSTITUTE(Z9,"TF","")),"TS",""))*10/2,0),IF('Eval-Avant impact'!$A$762=A22,LEN(SUBSTITUTE((SUBSTITUTE(Z10,"TF","")),"TS",""))*10/2,0),IF('Eval-Avant impact'!$A$763=A22,LEN(SUBSTITUTE((SUBSTITUTE(Z11,"TF","")),"TS",""))*10/2,0),IF('Eval-Avant impact'!$A$764=A22,LEN(SUBSTITUTE((SUBSTITUTE(Z12,"TF","")),"TS",""))*10/2,0),IF('Eval-Avant impact'!$A$765=A22,LEN(SUBSTITUTE((SUBSTITUTE(Z13,"TF","")),"TS",""))*10/2,0),IF('Eval-Avant impact'!$A$766=A22,LEN(SUBSTITUTE((SUBSTITUTE(Z14,"TF","")),"TS",""))*10/2,0),IF('Eval-Avant impact'!$A$767=A22,LEN(SUBSTITUTE((SUBSTITUTE(Z15,"TF","")),"TS",""))*10/2,0),IF('Eval-Avant impact'!$A$768=A22,LEN(SUBSTITUTE((SUBSTITUTE(Z16,"TF","")),"TS",""))*10/2,0),IF('Eval-Avant impact'!$A$769=A22,LEN(SUBSTITUTE((SUBSTITUTE(Z17,"TF","")),"TS",""))*10/2,0),IF('Eval-Avant impact'!$A$770=A22,LEN(SUBSTITUTE((SUBSTITUTE(Z18,"TF","")),"TS",""))*10/2,0),IF('Eval-Avant impact'!$A$771=A22,LEN(SUBSTITUTE((SUBSTITUTE(Z19,"TF","")),"TS",""))*10/2,0),IF('Eval-Avant impact'!$A$772=A22,LEN(SUBSTITUTE((SUBSTITUTE(Z20,"TF","")),"TS",""))*10/2,0),IF('Eval-Avant impact'!$A$773=A22,LEN(SUBSTITUTE((SUBSTITUTE(Z21,"TF","")),"TS",""))*10/2,0),IF('Eval-Avant impact'!$A$774=A22,LEN(SUBSTITUTE((SUBSTITUTE(Z22,"TF","")),"TS",""))*10/2,0),IF('Eval-Avant impact'!$A$775=A22,LEN(SUBSTITUTE((SUBSTITUTE(Z23,"TF","")),"TS",""))*10/2,0),IF('Eval-Avant impact'!$A$776=A22,LEN(SUBSTITUTE((SUBSTITUTE(Z24,"TF","")),"TS",""))*10/2,0),IF('Eval-Avant impact'!$A$777=A22,LEN(SUBSTITUTE((SUBSTITUTE(Z25,"TF","")),"TS",""))*10/2,0),IF('Eval-Avant impact'!$A$778=A22,LEN(SUBSTITUTE((SUBSTITUTE(Z26,"TF","")),"TS",""))*10/2,0),IF('Eval-Avant impact'!$A$779=A22,LEN(SUBSTITUTE((SUBSTITUTE(Z27,"TF","")),"TS",""))*10/2,0),IF('Eval-Avant impact'!$A$780=A22,LEN(SUBSTITUTE((SUBSTITUTE(Z28,"TF","")),"TS",""))*10/2,0))/COUNTIF('Eval-Avant impact'!$A$761:$A$780,A22),"")</f>
        <v/>
      </c>
      <c r="M22" s="211" t="str">
        <f>IF(COUNTIF('Eval-Avant impact'!$A$761:$A$780,A22)&gt;0,SUM(IF('Eval-Avant impact'!$A$761=A22,LEN(SUBSTITUTE((SUBSTITUTE(Z9,"TF","")),"TM",""))*10/2,0),IF('Eval-Avant impact'!$A$762=A22,LEN(SUBSTITUTE((SUBSTITUTE(Z10,"TF","")),"TM",""))*10/2,0),IF('Eval-Avant impact'!$A$763=A22,LEN(SUBSTITUTE((SUBSTITUTE(Z11,"TF","")),"TM",""))*10/2,0),IF('Eval-Avant impact'!$A$764=A22,LEN(SUBSTITUTE((SUBSTITUTE(Z12,"TF","")),"TM",""))*10/2,0),IF('Eval-Avant impact'!$A$765=A22,LEN(SUBSTITUTE((SUBSTITUTE(Z13,"TF","")),"TM",""))*10/2,0),IF('Eval-Avant impact'!$A$766=A22,LEN(SUBSTITUTE((SUBSTITUTE(Z14,"TF","")),"TM",""))*10/2,0),IF('Eval-Avant impact'!$A$767=A22,LEN(SUBSTITUTE((SUBSTITUTE(Z15,"TF","")),"TM",""))*10/2,0),IF('Eval-Avant impact'!$A$768=A22,LEN(SUBSTITUTE((SUBSTITUTE(Z16,"TF","")),"TM",""))*10/2,0),IF('Eval-Avant impact'!$A$769=A22,LEN(SUBSTITUTE((SUBSTITUTE(Z17,"TF","")),"TM",""))*10/2,0),IF('Eval-Avant impact'!$A$770=A22,LEN(SUBSTITUTE((SUBSTITUTE(Z18,"TF","")),"TM",""))*10/2,0),IF('Eval-Avant impact'!$A$771=A22,LEN(SUBSTITUTE((SUBSTITUTE(Z19,"TF","")),"TM",""))*10/2,0),IF('Eval-Avant impact'!$A$772=A22,LEN(SUBSTITUTE((SUBSTITUTE(Z20,"TF","")),"TM",""))*10/2,0),IF('Eval-Avant impact'!$A$773=A22,LEN(SUBSTITUTE((SUBSTITUTE(Z21,"TF","")),"TM",""))*10/2,0),IF('Eval-Avant impact'!$A$774=A22,LEN(SUBSTITUTE((SUBSTITUTE(Z22,"TF","")),"TM",""))*10/2,0),IF('Eval-Avant impact'!$A$775=A22,LEN(SUBSTITUTE((SUBSTITUTE(Z23,"TF","")),"TM",""))*10/2,0),IF('Eval-Avant impact'!$A$776=A22,LEN(SUBSTITUTE((SUBSTITUTE(Z24,"TF","")),"TM",""))*10/2,0),IF('Eval-Avant impact'!$A$777=A22,LEN(SUBSTITUTE((SUBSTITUTE(Z25,"TF","")),"TM",""))*10/2,0),IF('Eval-Avant impact'!$A$778=A22,LEN(SUBSTITUTE((SUBSTITUTE(Z26,"TF","")),"TM",""))*10/2,0),IF('Eval-Avant impact'!$A$779=A22,LEN(SUBSTITUTE((SUBSTITUTE(Z27,"TF","")),"TM",""))*10/2,0),IF('Eval-Avant impact'!$A$780=A22,LEN(SUBSTITUTE((SUBSTITUTE(Z28,"TF","")),"TM",""))*10/2,0))/COUNTIF('Eval-Avant impact'!$A$761:$A$780,A22),"")</f>
        <v/>
      </c>
      <c r="N22" s="211" t="str">
        <f>IF(COUNTIF('Eval-Avant impact'!$A$761:$A$780,A22)&gt;0,SUM(IF('Eval-Avant impact'!$A$761=A22,LEN(SUBSTITUTE((SUBSTITUTE(AA9,"TM","")),"TS",""))*10/2,0),IF('Eval-Avant impact'!$A$762=A22,LEN(SUBSTITUTE((SUBSTITUTE(AA10,"TM","")),"TS",""))*10/2,0),IF('Eval-Avant impact'!$A$763=A22,LEN(SUBSTITUTE((SUBSTITUTE(AA11,"TM","")),"TS",""))*10/2,0),IF('Eval-Avant impact'!$A$764=A22,LEN(SUBSTITUTE((SUBSTITUTE(AA12,"TM","")),"TS",""))*10/2,0),IF('Eval-Avant impact'!$A$765=A22,LEN(SUBSTITUTE((SUBSTITUTE(AA13,"TM","")),"TS",""))*10/2,0),IF('Eval-Avant impact'!$A$766=A22,LEN(SUBSTITUTE((SUBSTITUTE(AA14,"TM","")),"TS",""))*10/2,0),IF('Eval-Avant impact'!$A$767=A22,LEN(SUBSTITUTE((SUBSTITUTE(AA15,"TM","")),"TS",""))*10/2,0),IF('Eval-Avant impact'!$A$768=A22,LEN(SUBSTITUTE((SUBSTITUTE(AA16,"TM","")),"TS",""))*10/2,0),IF('Eval-Avant impact'!$A$769=A22,LEN(SUBSTITUTE((SUBSTITUTE(AA17,"TM","")),"TS",""))*10/2,0),IF('Eval-Avant impact'!$A$770=A22,LEN(SUBSTITUTE((SUBSTITUTE(AA18,"TM","")),"TS",""))*10/2,0),IF('Eval-Avant impact'!$A$771=A22,LEN(SUBSTITUTE((SUBSTITUTE(AA19,"TM","")),"TS",""))*10/2,0),IF('Eval-Avant impact'!$A$772=A22,LEN(SUBSTITUTE((SUBSTITUTE(AA20,"TM","")),"TS",""))*10/2,0),IF('Eval-Avant impact'!$A$773=A22,LEN(SUBSTITUTE((SUBSTITUTE(AA21,"TM","")),"TS",""))*10/2,0),IF('Eval-Avant impact'!$A$774=A22,LEN(SUBSTITUTE((SUBSTITUTE(AA22,"TM","")),"TS",""))*10/2,0),IF('Eval-Avant impact'!$A$775=A22,LEN(SUBSTITUTE((SUBSTITUTE(AA23,"TM","")),"TS",""))*10/2,0),IF('Eval-Avant impact'!$A$776=A22,LEN(SUBSTITUTE((SUBSTITUTE(AA24,"TM","")),"TS",""))*10/2,0),IF('Eval-Avant impact'!$A$777=A22,LEN(SUBSTITUTE((SUBSTITUTE(AA25,"TM","")),"TS",""))*10/2,0),IF('Eval-Avant impact'!$A$778=A22,LEN(SUBSTITUTE((SUBSTITUTE(AA26,"TM","")),"TS",""))*10/2,0),IF('Eval-Avant impact'!$A$779=A22,LEN(SUBSTITUTE((SUBSTITUTE(AA27,"TM","")),"TS",""))*10/2,0),IF('Eval-Avant impact'!$A$780=A22,LEN(SUBSTITUTE((SUBSTITUTE(AA28,"TM","")),"TS",""))*10/2,0))/COUNTIF('Eval-Avant impact'!$A$761:$A$780,A22),"")</f>
        <v/>
      </c>
      <c r="O22" s="211" t="str">
        <f>IF(COUNTIF('Eval-Avant impact'!$A$761:$A$780,A22)&gt;0,SUM(IF('Eval-Avant impact'!$A$761=A22,LEN(SUBSTITUTE((SUBSTITUTE(AA9,"TF","")),"TS",""))*10/2,0),IF('Eval-Avant impact'!$A$762=A22,LEN(SUBSTITUTE((SUBSTITUTE(AA10,"TF","")),"TS",""))*10/2,0),IF('Eval-Avant impact'!$A$763=A22,LEN(SUBSTITUTE((SUBSTITUTE(AA11,"TF","")),"TS",""))*10/2,0),IF('Eval-Avant impact'!$A$764=A22,LEN(SUBSTITUTE((SUBSTITUTE(AA12,"TF","")),"TS",""))*10/2,0),IF('Eval-Avant impact'!$A$765=A22,LEN(SUBSTITUTE((SUBSTITUTE(AA13,"TF","")),"TS",""))*10/2,0),IF('Eval-Avant impact'!$A$766=A22,LEN(SUBSTITUTE((SUBSTITUTE(AA14,"TF","")),"TS",""))*10/2,0),IF('Eval-Avant impact'!$A$767=A22,LEN(SUBSTITUTE((SUBSTITUTE(AA15,"TF","")),"TS",""))*10/2,0),IF('Eval-Avant impact'!$A$768=A22,LEN(SUBSTITUTE((SUBSTITUTE(AA16,"TF","")),"TS",""))*10/2,0),IF('Eval-Avant impact'!$A$769=A22,LEN(SUBSTITUTE((SUBSTITUTE(AA17,"TF","")),"TS",""))*10/2,0),IF('Eval-Avant impact'!$A$770=A22,LEN(SUBSTITUTE((SUBSTITUTE(AA18,"TF","")),"TS",""))*10/2,0),IF('Eval-Avant impact'!$A$771=A22,LEN(SUBSTITUTE((SUBSTITUTE(AA19,"TF","")),"TS",""))*10/2,0),IF('Eval-Avant impact'!$A$772=A22,LEN(SUBSTITUTE((SUBSTITUTE(AA20,"TF","")),"TS",""))*10/2,0),IF('Eval-Avant impact'!$A$773=A22,LEN(SUBSTITUTE((SUBSTITUTE(AA21,"TF","")),"TS",""))*10/2,0),IF('Eval-Avant impact'!$A$774=A22,LEN(SUBSTITUTE((SUBSTITUTE(AA22,"TF","")),"TS",""))*10/2,0),IF('Eval-Avant impact'!$A$775=A22,LEN(SUBSTITUTE((SUBSTITUTE(AA23,"TF","")),"TS",""))*10/2,0),IF('Eval-Avant impact'!$A$776=A22,LEN(SUBSTITUTE((SUBSTITUTE(AA24,"TF","")),"TS",""))*10/2,0),IF('Eval-Avant impact'!$A$777=A22,LEN(SUBSTITUTE((SUBSTITUTE(AA25,"TF","")),"TS",""))*10/2,0),IF('Eval-Avant impact'!$A$778=A22,LEN(SUBSTITUTE((SUBSTITUTE(AA26,"TF","")),"TS",""))*10/2,0),IF('Eval-Avant impact'!$A$779=A22,LEN(SUBSTITUTE((SUBSTITUTE(AA27,"TF","")),"TS",""))*10/2,0),IF('Eval-Avant impact'!$A$780=A22,LEN(SUBSTITUTE((SUBSTITUTE(AA28,"TF","")),"TS",""))*10/2,0))/COUNTIF('Eval-Avant impact'!$A$761:$A$780,A22),"")</f>
        <v/>
      </c>
      <c r="P22" s="211" t="str">
        <f>IF(COUNTIF('Eval-Avant impact'!$A$761:$A$780,A22)&gt;0,SUM(IF('Eval-Avant impact'!$A$761=A22,LEN(SUBSTITUTE((SUBSTITUTE(AA9,"TF","")),"TM",""))*10/2,0),IF('Eval-Avant impact'!$A$762=A22,LEN(SUBSTITUTE((SUBSTITUTE(AA10,"TF","")),"TM",""))*10/2,0),IF('Eval-Avant impact'!$A$763=A22,LEN(SUBSTITUTE((SUBSTITUTE(AA11,"TF","")),"TM",""))*10/2,0),IF('Eval-Avant impact'!$A$764=A22,LEN(SUBSTITUTE((SUBSTITUTE(AA12,"TF","")),"TM",""))*10/2,0),IF('Eval-Avant impact'!$A$765=A22,LEN(SUBSTITUTE((SUBSTITUTE(AA13,"TF","")),"TM",""))*10/2,0),IF('Eval-Avant impact'!$A$766=A22,LEN(SUBSTITUTE((SUBSTITUTE(AA14,"TF","")),"TM",""))*10/2,0),IF('Eval-Avant impact'!$A$767=A22,LEN(SUBSTITUTE((SUBSTITUTE(AA15,"TF","")),"TM",""))*10/2,0),IF('Eval-Avant impact'!$A$768=A22,LEN(SUBSTITUTE((SUBSTITUTE(AA16,"TF","")),"TM",""))*10/2,0),IF('Eval-Avant impact'!$A$769=A22,LEN(SUBSTITUTE((SUBSTITUTE(AA17,"TF","")),"TM",""))*10/2,0),IF('Eval-Avant impact'!$A$770=A22,LEN(SUBSTITUTE((SUBSTITUTE(AA18,"TF","")),"TM",""))*10/2,0),IF('Eval-Avant impact'!$A$771=A22,LEN(SUBSTITUTE((SUBSTITUTE(AA19,"TF","")),"TM",""))*10/2,0),IF('Eval-Avant impact'!$A$772=A22,LEN(SUBSTITUTE((SUBSTITUTE(AA20,"TF","")),"TM",""))*10/2,0),IF('Eval-Avant impact'!$A$773=A22,LEN(SUBSTITUTE((SUBSTITUTE(AA21,"TF","")),"TM",""))*10/2,0),IF('Eval-Avant impact'!$A$774=A22,LEN(SUBSTITUTE((SUBSTITUTE(AA22,"TF","")),"TM",""))*10/2,0),IF('Eval-Avant impact'!$A$775=A22,LEN(SUBSTITUTE((SUBSTITUTE(AA23,"TF","")),"TM",""))*10/2,0),IF('Eval-Avant impact'!$A$776=A22,LEN(SUBSTITUTE((SUBSTITUTE(AA24,"TF","")),"TM",""))*10/2,0),IF('Eval-Avant impact'!$A$777=A22,LEN(SUBSTITUTE((SUBSTITUTE(AA25,"TF","")),"TM",""))*10/2,0),IF('Eval-Avant impact'!$A$778=A22,LEN(SUBSTITUTE((SUBSTITUTE(AA26,"TF","")),"TM",""))*10/2,0),IF('Eval-Avant impact'!$A$779=A22,LEN(SUBSTITUTE((SUBSTITUTE(AA27,"TF","")),"TM",""))*10/2,0),IF('Eval-Avant impact'!$A$780=A22,LEN(SUBSTITUTE((SUBSTITUTE(AA28,"TF","")),"TM",""))*10/2,0))/COUNTIF('Eval-Avant impact'!$A$761:$A$780,A22),"")</f>
        <v/>
      </c>
      <c r="Q22" s="211" t="str">
        <f>IF(COUNTIF('Eval-Avant impact'!$A$761:$A$780,A22)&gt;0,IF(OR(AND('Eval-Avant impact'!$A$761=A22,X9&lt;30),AND('Eval-Avant impact'!$A$762=A22,X10&lt;30),AND('Eval-Avant impact'!$A$763=A22,X11&lt;30),AND('Eval-Avant impact'!$A$764=A22,X12&lt;30),AND('Eval-Avant impact'!$A$765=A22,X13&lt;30),AND('Eval-Avant impact'!$A$766=A22,X14&lt;30),AND('Eval-Avant impact'!$A$767=A22,X15&lt;30),AND('Eval-Avant impact'!$A$768=A22,X16&lt;30),AND('Eval-Avant impact'!$A$769=A22,X17&lt;30),AND('Eval-Avant impact'!$A$770=A22,X18&lt;30),AND('Eval-Avant impact'!$A$771=A22,X19&lt;30),AND('Eval-Avant impact'!$A$772=A22,X20&lt;30),AND('Eval-Avant impact'!$A$773=A22,X21&lt;30),AND('Eval-Avant impact'!$A$774=A22,X22&lt;30),AND('Eval-Avant impact'!$A$775=A22,X23&lt;30),AND('Eval-Avant impact'!$A$776=A22,X24&lt;30),AND('Eval-Avant impact'!$A$777=A22,X25&lt;30),AND('Eval-Avant impact'!$A$778=A22,X26&lt;30),AND('Eval-Avant impact'!$A$779=A22,X27&lt;30),AND('Eval-Avant impact'!$A$780=A22,X28&lt;30)),"",SUM(0.1*(SUMPRODUCT(('Eval-Avant impact'!$A$761:$A$780=A22)*('Eval-Avant impact'!$N$761:$P$780="A"))+ SUMPRODUCT(('Eval-Avant impact'!$A$761:$A$780=A22)*('Eval-Avant impact'!$N$761:$P$780="AL"))),0.7*(SUMPRODUCT(('Eval-Avant impact'!$A$761:$A$780=A22)*('Eval-Avant impact'!$N$761:$P$780="TF"))+SUMPRODUCT(('Eval-Avant impact'!$A$761:$A$780=A22)*('Eval-Avant impact'!$N$761:$P$780="TM"))+SUMPRODUCT(('Eval-Avant impact'!$A$761:$A$780=A22)*('Eval-Avant impact'!$N$761:$P$780="TS"))),0.4*(SUMPRODUCT(('Eval-Avant impact'!$A$761:$A$780=A22)*('Eval-Avant impact'!$N$761:$P$780="LA"))+SUMPRODUCT(('Eval-Avant impact'!$A$761:$A$780=A22)*('Eval-Avant impact'!$N$761:$P$780="L"))+SUMPRODUCT(('Eval-Avant impact'!$A$761:$A$780=A22)*('Eval-Avant impact'!$N$761:$P$780="LS"))),1*(SUMPRODUCT(('Eval-Avant impact'!$A$761:$A$780=A22)*('Eval-Avant impact'!$N$761:$P$780="SL"))+ SUMPRODUCT(('Eval-Avant impact'!$A$761:$A$780=A22)*('Eval-Avant impact'!$N$761:$P$780="S"))))/(3*COUNTIF('Eval-Avant impact'!$A$761:$A$780,A22))),"")</f>
        <v/>
      </c>
      <c r="R22" s="211" t="str">
        <f>IF(COUNTIF('Eval-Avant impact'!$A$761:$A$780,A22)&gt;0,IF(OR(AND('Eval-Avant impact'!$A$761=A22,X9&lt;120),AND('Eval-Avant impact'!$A$762=A22,X10&lt;120),AND('Eval-Avant impact'!$A$763=A22,X11&lt;120),AND('Eval-Avant impact'!$A$764=A22,X12&lt;120),AND('Eval-Avant impact'!$A$765=A22,X13&lt;120),AND('Eval-Avant impact'!$A$766=A22,X14&lt;120),AND('Eval-Avant impact'!$A$767=A22,X15&lt;120),AND('Eval-Avant impact'!$A$768=A22,X16&lt;120),AND('Eval-Avant impact'!$A$769=A22,X17&lt;120),AND('Eval-Avant impact'!$A$770=A22,X18&lt;120),AND('Eval-Avant impact'!$A$771=A22,X19&lt;120),AND('Eval-Avant impact'!$A$772=A22,X20&lt;120),AND('Eval-Avant impact'!$A$773=A22,X21&lt;120),AND('Eval-Avant impact'!$A$774=A22,X22&lt;120),AND('Eval-Avant impact'!$A$775=A22,X23&lt;120),AND('Eval-Avant impact'!$A$776=A22,X24&lt;120),AND('Eval-Avant impact'!$A$777=A22,X25&lt;120),AND('Eval-Avant impact'!$A$778=A22,X26&lt;120),AND('Eval-Avant impact'!$A$779=A22,X27&lt;120),AND('Eval-Avant impact'!$A$780=A22,X28&lt;120)),"",SUM(0.1*(SUMPRODUCT(('Eval-Avant impact'!$A$761:$A$780=A22)*('Eval-Avant impact'!$Q$761:$Y$780="A"))+ SUMPRODUCT(('Eval-Avant impact'!$A$761:$A$780=A22)*('Eval-Avant impact'!$Q$761:$Y$780="AL"))),0.7*(SUMPRODUCT(('Eval-Avant impact'!$A$761:$A$780=A22)*('Eval-Avant impact'!$Q$761:$Y$780="TF"))+SUMPRODUCT(('Eval-Avant impact'!$A$761:$A$780=A22)*('Eval-Avant impact'!$Q$761:$Y$780="TM"))+SUMPRODUCT(('Eval-Avant impact'!$A$761:$A$780=A22)*('Eval-Avant impact'!$Q$761:$Y$780="TS"))),0.4*(SUMPRODUCT(('Eval-Avant impact'!$A$761:$A$780=A22)*('Eval-Avant impact'!$Q$761:$Y$780="LA"))+SUMPRODUCT(('Eval-Avant impact'!$A$761:$A$780=A22)*('Eval-Avant impact'!$Q$761:$Y$780="L"))+SUMPRODUCT(('Eval-Avant impact'!$A$761:$A$780=A22)*('Eval-Avant impact'!$Q$761:$Y$780="LS"))),1*(SUMPRODUCT(('Eval-Avant impact'!$A$761:$A$780=A22)*('Eval-Avant impact'!$Q$761:$Y$780="SL"))+ SUMPRODUCT(('Eval-Avant impact'!$A$761:$A$780=A22)*('Eval-Avant impact'!$Q$761:$Y$780="S"))))/(9*COUNTIF('Eval-Avant impact'!$A$761:$A$780,A22))),"")</f>
        <v/>
      </c>
      <c r="S22" s="211" t="str">
        <f>IF(COUNTIF('Eval-Avant impact'!$A$761:$A$780,A22)&gt;0,IF(OR(AND('Eval-Avant impact'!$A$761=A22,OR(COUNTIF('Eval-Avant impact'!$N$761:$P$761,"*T*")&gt;0,X9&lt;30)),AND('Eval-Avant impact'!$A$762=A22,OR(COUNTIF('Eval-Avant impact'!$N$762:$P$762,"*T*")&gt;0,X10&lt;30)),AND('Eval-Avant impact'!$A$763=A22,OR(COUNTIF('Eval-Avant impact'!$N$763:$P$763,"*T*")&gt;0,X11&lt;30)),AND('Eval-Avant impact'!$A$764=A22,OR(COUNTIF('Eval-Avant impact'!$N$764:$P$764,"*T*")&gt;0,X12&lt;30)),AND('Eval-Avant impact'!$A$765=A22,OR(COUNTIF('Eval-Avant impact'!$N$765:$P$765,"*T*")&gt;0,X13&lt;30)),AND('Eval-Avant impact'!$A$766=A22,OR(COUNTIF('Eval-Avant impact'!$N$766:$P$766,"*T*")&gt;0,X14&lt;30)),AND('Eval-Avant impact'!$A$767=A22,OR(COUNTIF('Eval-Avant impact'!$N$767:$P$767,"*T*")&gt;0,X15&lt;30)),AND('Eval-Avant impact'!$A$768=A22,OR(COUNTIF('Eval-Avant impact'!$N$768:$P$768,"*T*")&gt;0,X16&lt;30)),AND('Eval-Avant impact'!$A$769=A22,OR(COUNTIF('Eval-Avant impact'!$N$769:$P$769,"*T*")&gt;0,X17&lt;30)),AND('Eval-Avant impact'!$A$770=A22,OR(COUNTIF('Eval-Avant impact'!$N$770:$P$770,"*T*")&gt;0,X18&lt;30)),AND('Eval-Avant impact'!$A$771=A22,OR(COUNTIF('Eval-Avant impact'!$N$771:$P$771,"*T*")&gt;0,X19&lt;30)),AND('Eval-Avant impact'!$A$772=A22,OR(COUNTIF('Eval-Avant impact'!$N$772:$P$772,"*T*")&gt;0,X20&lt;30)),AND('Eval-Avant impact'!$A$773=A22,OR(COUNTIF('Eval-Avant impact'!$N$773:$P$773,"*T*")&gt;0,X21&lt;30)),AND('Eval-Avant impact'!$A$774=A22,OR(COUNTIF('Eval-Avant impact'!$N$774:$P$774,"*T*")&gt;0,X22&lt;30)),AND('Eval-Avant impact'!$A$775=A22,OR(COUNTIF('Eval-Avant impact'!$N$775:$P$775,"*T*")&gt;0,X23&lt;30)),AND('Eval-Avant impact'!$A$776=A22,OR(COUNTIF('Eval-Avant impact'!$N$776:$P$776,"*T*")&gt;0,X24&lt;30)),AND('Eval-Avant impact'!$A$777=A22,OR(COUNTIF('Eval-Avant impact'!$N$777:$P$777,"*T*")&gt;0,X25&lt;30)),AND('Eval-Avant impact'!$A$778=A22,OR(COUNTIF('Eval-Avant impact'!$N$778:$P$778,"*T*")&gt;0,X26&lt;30)),AND('Eval-Avant impact'!$A$779=A22,OR(COUNTIF('Eval-Avant impact'!$N$779:$P$779,"*T*")&gt;0,X27&lt;30)),AND('Eval-Avant impact'!$A$780=A22,OR(COUNTIF('Eval-Avant impact'!$N$780:$P$780,"*T*")&gt;0,X28&lt;30))),"",SUM(0.1*(SUMPRODUCT(('Eval-Avant impact'!$A$761:$A$780=A22)*('Eval-Avant impact'!$N$761:$P$780="L"))),0.4*(SUMPRODUCT(('Eval-Avant impact'!$A$761:$A$780=A22)*('Eval-Avant impact'!$N$761:$P$780="LA"))+SUMPRODUCT(('Eval-Avant impact'!$A$761:$A$780=A22)*('Eval-Avant impact'!$N$761:$P$780="LS"))),0.7*(SUMPRODUCT(('Eval-Avant impact'!$A$761:$A$780=A22)*('Eval-Avant impact'!$N$761:$P$780="AL"))+SUMPRODUCT(('Eval-Avant impact'!$A$761:$A$780=A22)*('Eval-Avant impact'!$N$761:$P$780="SL"))),1*(SUMPRODUCT(('Eval-Avant impact'!$A$761:$A$780=A22)*('Eval-Avant impact'!$N$761:$P$780="S"))+ SUMPRODUCT(('Eval-Avant impact'!$A$761:$A$780=A22)*('Eval-Avant impact'!$N$761:$P$780="A"))))/(3*COUNTIF('Eval-Avant impact'!$A$761:$A$780,A22))),"")</f>
        <v/>
      </c>
      <c r="T22" s="211" t="str">
        <f>IF(COUNTIF('Eval-Avant impact'!$A$761:$A$780,A22)&gt;0,IF(OR(AND('Eval-Avant impact'!$A$761=A22,OR(COUNTIF('Eval-Avant impact'!$N$761:$P$761,"*T*")&gt;0,X9&lt;30)),AND('Eval-Avant impact'!$A$762=A22,OR(COUNTIF('Eval-Avant impact'!$N$762:$P$762,"*T*")&gt;0,X10&lt;30)),AND('Eval-Avant impact'!$A$763=A22,OR(COUNTIF('Eval-Avant impact'!$N$763:$P$763,"*T*")&gt;0,X11&lt;30)),AND('Eval-Avant impact'!$A$764=A22,OR(COUNTIF('Eval-Avant impact'!$N$764:$P$764,"*T*")&gt;0,X12&lt;30)),AND('Eval-Avant impact'!$A$765=A22,OR(COUNTIF('Eval-Avant impact'!$N$765:$P$765,"*T*")&gt;0,X13&lt;30)),AND('Eval-Avant impact'!$A$766=A22,OR(COUNTIF('Eval-Avant impact'!$N$766:$P$766,"*T*")&gt;0,X14&lt;30)),AND('Eval-Avant impact'!$A$767=A22,OR(COUNTIF('Eval-Avant impact'!$N$767:$P$767,"*T*")&gt;0,X15&lt;30)),AND('Eval-Avant impact'!$A$768=A22,OR(COUNTIF('Eval-Avant impact'!$N$768:$P$768,"*T*")&gt;0,X16&lt;30)),AND('Eval-Avant impact'!$A$769=A22,OR(COUNTIF('Eval-Avant impact'!$N$769:$P$769,"*T*")&gt;0,X17&lt;30)),AND('Eval-Avant impact'!$A$770=A22,OR(COUNTIF('Eval-Avant impact'!$N$770:$P$770,"*T*")&gt;0,X18&lt;30)),AND('Eval-Avant impact'!$A$771=A22,OR(COUNTIF('Eval-Avant impact'!$N$771:$P$771,"*T*")&gt;0,X19&lt;30)),AND('Eval-Avant impact'!$A$772=A22,OR(COUNTIF('Eval-Avant impact'!$N$772:$P$772,"*T*")&gt;0,X20&lt;30)),AND('Eval-Avant impact'!$A$773=A22,OR(COUNTIF('Eval-Avant impact'!$N$773:$P$773,"*T*")&gt;0,X21&lt;30)),AND('Eval-Avant impact'!$A$774=A22,OR(COUNTIF('Eval-Avant impact'!$N$774:$P$774,"*T*")&gt;0,X22&lt;30)),AND('Eval-Avant impact'!$A$775=A22,OR(COUNTIF('Eval-Avant impact'!$N$775:$P$775,"*T*")&gt;0,X23&lt;30)),AND('Eval-Avant impact'!$A$776=A22,OR(COUNTIF('Eval-Avant impact'!$N$776:$P$776,"*T*")&gt;0,X24&lt;30)),AND('Eval-Avant impact'!$A$777=A22,OR(COUNTIF('Eval-Avant impact'!$N$777:$P$777,"*T*")&gt;0,X25&lt;30)),AND('Eval-Avant impact'!$A$778=A22,OR(COUNTIF('Eval-Avant impact'!$N$778:$P$778,"*T*")&gt;0,X26&lt;30)),AND('Eval-Avant impact'!$A$779=A22,OR(COUNTIF('Eval-Avant impact'!$N$779:$P$779,"*T*")&gt;0,X27&lt;30)),AND('Eval-Avant impact'!$A$780=A22,OR(COUNTIF('Eval-Avant impact'!$N$780:$P$780,"*T*")&gt;0,X28&lt;30))),"",SUM(1*(SUMPRODUCT(('Eval-Avant impact'!$A$761:$A$780=A22)*('Eval-Avant impact'!$N$761:$P$780="A"))),0.85*(SUMPRODUCT(('Eval-Avant impact'!$A$761:$A$780=A22)*('Eval-Avant impact'!$N$761:$P$780="AL"))),0.7*(SUMPRODUCT(('Eval-Avant impact'!$A$761:$A$780=A22)*('Eval-Avant impact'!$N$761:$P$780="LA"))),0.55*(SUMPRODUCT(('Eval-Avant impact'!$A$761:$A$780=A22)*('Eval-Avant impact'!$N$761:$P$780="L"))),0.4*(SUMPRODUCT(('Eval-Avant impact'!$A$761:$A$780=A22)*('Eval-Avant impact'!$N$761:$P$780="LS"))),0.25*(SUMPRODUCT(('Eval-Avant impact'!$A$761:$A$780=A22)*('Eval-Avant impact'!$N$761:$P$780="SL"))),0.1*(SUMPRODUCT(('Eval-Avant impact'!$A$761:$A$780=A22)*('Eval-Avant impact'!$N$761:$P$780="S"))))/(3*COUNTIF('Eval-Avant impact'!$A$761:$A$780,A22))),"")</f>
        <v/>
      </c>
      <c r="U22" s="214" t="str">
        <f>IF(COUNTIF('Eval-Avant impact'!$A$761:$A$780,A22)&gt;0,IF(OR(AND('Eval-Avant impact'!$A$761=A22,OR(COUNTIF('Eval-Avant impact'!$Q$761:$Y$761,"*T*")&gt;0,X9&lt;120)),AND('Eval-Avant impact'!$A$762=A22,OR(COUNTIF('Eval-Avant impact'!$Q$762:$Y$762,"*T*")&gt;0,X10&lt;120)),AND('Eval-Avant impact'!$A$763=A22,OR(COUNTIF('Eval-Avant impact'!$Q$763:$Y$763,"*T*")&gt;0,X11&lt;120)),AND('Eval-Avant impact'!$A$764=A22,OR(COUNTIF('Eval-Avant impact'!$Q$764:$Y$764,"*T*")&gt;0,X12&lt;120)),AND('Eval-Avant impact'!$A$765=A22,OR(COUNTIF('Eval-Avant impact'!$Q$765:$Y$765,"*T*")&gt;0,X13&lt;120)),AND('Eval-Avant impact'!$A$766=A22,OR(COUNTIF('Eval-Avant impact'!$Q$766:$Y$766,"*T*")&gt;0,X14&lt;120)),AND('Eval-Avant impact'!$A$767=A22,OR(COUNTIF('Eval-Avant impact'!$Q$767:$Y$767,"*T*")&gt;0,X15&lt;120)),AND('Eval-Avant impact'!$A$768=A22,OR(COUNTIF('Eval-Avant impact'!$Q$768:$Y$768,"*T*")&gt;0,X16&lt;120)),AND('Eval-Avant impact'!$A$769=A22,OR(COUNTIF('Eval-Avant impact'!$Q$769:$Y$769,"*T*")&gt;0,X17&lt;120)),AND('Eval-Avant impact'!$A$770=A22,OR(COUNTIF('Eval-Avant impact'!$Q$770:$Y$770,"*T*")&gt;0,X18&lt;120)),AND('Eval-Avant impact'!$A$771=A22,OR(COUNTIF('Eval-Avant impact'!$Q$771:$Y$771,"*T*")&gt;0,X19&lt;120)),AND('Eval-Avant impact'!$A$772=A22,OR(COUNTIF('Eval-Avant impact'!$Q$772:$Y$772,"*T*")&gt;0,X20&lt;120)),AND('Eval-Avant impact'!$A$773=A22,OR(COUNTIF('Eval-Avant impact'!$Q$773:$Y$773,"*T*")&gt;0,X21&lt;120)),AND('Eval-Avant impact'!$A$774=A22,OR(COUNTIF('Eval-Avant impact'!$Q$774:$Y$774,"*T*")&gt;0,X22&lt;120)),AND('Eval-Avant impact'!$A$775=A22,OR(COUNTIF('Eval-Avant impact'!$Q$775:$Y$775,"*T*")&gt;0,X23&lt;120)),AND('Eval-Avant impact'!$A$776=A22,OR(COUNTIF('Eval-Avant impact'!$Q$776:$Y$776,"*T*")&gt;0,X24&lt;120)),AND('Eval-Avant impact'!$A$777=A22,OR(COUNTIF('Eval-Avant impact'!$Q$777:$Y$777,"*T*")&gt;0,X25&lt;120)),AND('Eval-Avant impact'!$A$778=A22,OR(COUNTIF('Eval-Avant impact'!$Q$778:$Y$778,"*T*")&gt;0,X26&lt;120)),AND('Eval-Avant impact'!$A$779=A22,OR(COUNTIF('Eval-Avant impact'!$Q$779:$Y$779,"*T*")&gt;0,X27&lt;120)),AND('Eval-Avant impact'!$A$780=A22,OR(COUNTIF('Eval-Avant impact'!$Q$780:$Y$780,"*T*")&gt;0,X28&lt;120))),"",SUM(1*(SUMPRODUCT(('Eval-Avant impact'!$A$761:$A$780=A22)*('Eval-Avant impact'!$Q$761:$Y$780="A"))),0.85*(SUMPRODUCT(('Eval-Avant impact'!$A$761:$A$780=A22)*('Eval-Avant impact'!$Q$761:$Y$780="AL"))),0.7*(SUMPRODUCT(('Eval-Avant impact'!$A$761:$A$780=A22)*('Eval-Avant impact'!$Q$761:$Y$780="LA"))),0.55*(SUMPRODUCT(('Eval-Avant impact'!$A$761:$A$780=A22)*('Eval-Avant impact'!$Q$761:$Y$780="L"))),0.4*(SUMPRODUCT(('Eval-Avant impact'!$A$761:$A$780=A22)*('Eval-Avant impact'!$Q$761:$Y$780="LS"))),0.25*(SUMPRODUCT(('Eval-Avant impact'!$A$761:$A$780=A22)*('Eval-Avant impact'!$Q$761:$Y$780="SL"))),0.1*(SUMPRODUCT(('Eval-Avant impact'!$A$761:$A$780=A22)*('Eval-Avant impact'!$Q$761:$Y$780="S"))))/(9*COUNTIF('Eval-Avant impact'!$A$761:$A$780,A22))),"")</f>
        <v/>
      </c>
      <c r="V22" s="215"/>
      <c r="W22" s="216">
        <f>'Eval-Avant impact'!$D$774</f>
        <v>14</v>
      </c>
      <c r="X22" s="217" t="str">
        <f>IF(Y22="C",0,IF(IF(COUNTIF('Eval-Avant impact'!$N$774:$Y$774,"=C")&gt;0,(COUNTA('Eval-Avant impact'!$N$774:$Y$774)-1)*10,COUNTA('Eval-Avant impact'!$N$774:$Y$774)*10)=0,"",IF(COUNTIF('Eval-Avant impact'!$N$774:$Y$774,"=C")&gt;0,(COUNTA('Eval-Avant impact'!$N$774:$Y$774)-1)*10,COUNTA('Eval-Avant impact'!$N$774:$Y$774)*10)))</f>
        <v/>
      </c>
      <c r="Y22" s="217" t="str">
        <f>CONCATENATE('Eval-Avant impact'!$N$774,'Eval-Avant impact'!$O$774,'Eval-Avant impact'!$P$774,'Eval-Avant impact'!$Q$774,'Eval-Avant impact'!$R$774,'Eval-Avant impact'!$S$774,'Eval-Avant impact'!$T$774,'Eval-Avant impact'!$U$774,'Eval-Avant impact'!$V$774,'Eval-Avant impact'!$W$774,'Eval-Avant impact'!$X$774,'Eval-Avant impact'!$Y$774)</f>
        <v/>
      </c>
      <c r="Z22" s="217" t="str">
        <f t="shared" si="0"/>
        <v/>
      </c>
      <c r="AA22" s="217" t="str">
        <f t="shared" si="1"/>
        <v/>
      </c>
      <c r="AB22" s="217" t="str">
        <f>IF(COUNTIF('Eval-Avant impact'!$N$774:$Y$774,"=C")&gt;0,"X","")</f>
        <v/>
      </c>
      <c r="AC22" s="217" t="str">
        <f t="shared" si="2"/>
        <v/>
      </c>
      <c r="AD22" s="218" t="str">
        <f t="shared" si="3"/>
        <v/>
      </c>
      <c r="AE22" s="197"/>
      <c r="AG22" s="210">
        <v>14</v>
      </c>
      <c r="AH22" s="211" t="str">
        <f>IF(COUNTIF('Eval-Avec impact envisagé'!$A$761:$A$780,AG22)&gt;0,SUM(IF('Eval-Avec impact envisagé'!$A$761=AG22,'Eval-Avec impact envisagé'!$B$761,0),IF('Eval-Avec impact envisagé'!$A$762=AG22, 'Eval-Avec impact envisagé'!$B$762,0),IF('Eval-Avec impact envisagé'!$A$763=AG22, 'Eval-Avec impact envisagé'!$B$763,0),IF('Eval-Avec impact envisagé'!$A$764=AG22, 'Eval-Avec impact envisagé'!$B$764,0),IF('Eval-Avec impact envisagé'!$A$765=AG22, 'Eval-Avec impact envisagé'!$B$765,0),IF('Eval-Avec impact envisagé'!$A$766=AG22, 'Eval-Avec impact envisagé'!$B$766,0),IF('Eval-Avec impact envisagé'!$A$767=AG22, 'Eval-Avec impact envisagé'!$B$767,0),IF('Eval-Avec impact envisagé'!$A$768=AG22, 'Eval-Avec impact envisagé'!$B$768,0),IF('Eval-Avec impact envisagé'!$A$769=AG22, 'Eval-Avec impact envisagé'!$B$769,0),IF('Eval-Avec impact envisagé'!$A$770=AG22, 'Eval-Avec impact envisagé'!$B$770,0),IF('Eval-Avec impact envisagé'!$A$771=AG22, 'Eval-Avec impact envisagé'!$B$771,0),IF('Eval-Avec impact envisagé'!$A$772=AG22, 'Eval-Avec impact envisagé'!$B$772,0),IF('Eval-Avec impact envisagé'!$A$773=AG22, 'Eval-Avec impact envisagé'!$B$773,0),IF('Eval-Avec impact envisagé'!$A$774=AG22, 'Eval-Avec impact envisagé'!$B$774,0),IF('Eval-Avec impact envisagé'!$A$775=AG22, 'Eval-Avec impact envisagé'!$B$775,0),IF('Eval-Avec impact envisagé'!$A$776=AG22, 'Eval-Avec impact envisagé'!$B$776,0),IF('Eval-Avec impact envisagé'!$A$777=AG22, 'Eval-Avec impact envisagé'!$B$777,0),IF('Eval-Avec impact envisagé'!$A$778=AG22, 'Eval-Avec impact envisagé'!$B$778,0),IF('Eval-Avec impact envisagé'!$A$779=AG22, 'Eval-Avec impact envisagé'!$B$779,0),IF('Eval-Avec impact envisagé'!$A$780=AG22, 'Eval-Avec impact envisagé'!$B$780,0))/COUNTIF('Eval-Avec impact envisagé'!$A$761:$A$780,AG22),"")</f>
        <v/>
      </c>
      <c r="AI22" s="212" t="str">
        <f>IF(COUNTIF('Eval-Avec impact envisagé'!$A$761:$A$780,AG22)&gt;0,COUNTIF('Eval-Avec impact envisagé'!$A$761:$A$780,AG22),"")</f>
        <v/>
      </c>
      <c r="AJ22" s="211" t="str">
        <f>IF(COUNTIF('Eval-Avec impact envisagé'!$A$761:$A$780,AG22)&gt;0,IF(OR(AND('Eval-Avec impact envisagé'!$A$761=AG22, 'Eval-Avec impact envisagé'!$G$761=""),AND('Eval-Avec impact envisagé'!$A$762=AG22, 'Eval-Avec impact envisagé'!$G$762=""),AND('Eval-Avec impact envisagé'!$A$763=AG22, 'Eval-Avec impact envisagé'!$G$763=""),AND('Eval-Avec impact envisagé'!$A$764=AG22, 'Eval-Avec impact envisagé'!$G$764=""),AND('Eval-Avec impact envisagé'!$A$765=AG22, 'Eval-Avec impact envisagé'!$G$765=""),AND('Eval-Avec impact envisagé'!$A$766=AG22, 'Eval-Avec impact envisagé'!$G$766=""),AND('Eval-Avec impact envisagé'!$A$767=AG22, 'Eval-Avec impact envisagé'!$G$767=""),AND('Eval-Avec impact envisagé'!$A$768=AG22, 'Eval-Avec impact envisagé'!$G$768=""),AND('Eval-Avec impact envisagé'!$A$769=AG22, 'Eval-Avec impact envisagé'!$G$769=""),AND('Eval-Avec impact envisagé'!$A$770=AG22, 'Eval-Avec impact envisagé'!$G$770=""),AND('Eval-Avec impact envisagé'!$A$771=AG22, 'Eval-Avec impact envisagé'!$G$771=""),AND('Eval-Avec impact envisagé'!$A$772=AG22, 'Eval-Avec impact envisagé'!$G$772=""),AND('Eval-Avec impact envisagé'!$A$773=AG22, 'Eval-Avec impact envisagé'!$G$773=""),AND('Eval-Avec impact envisagé'!$A$774=AG22, 'Eval-Avec impact envisagé'!$G$774=""),AND('Eval-Avec impact envisagé'!$A$775=AG22, 'Eval-Avec impact envisagé'!$G$775=""),AND('Eval-Avec impact envisagé'!$A$776=AG22, 'Eval-Avec impact envisagé'!$G$776=""),AND('Eval-Avec impact envisagé'!$A$777=AG22, 'Eval-Avec impact envisagé'!$G$777=""),AND('Eval-Avec impact envisagé'!$A$778=AG22, 'Eval-Avec impact envisagé'!$G$778=""),AND('Eval-Avec impact envisagé'!$A$779=AG22, 'Eval-Avec impact envisagé'!$G$779=""),AND('Eval-Avec impact envisagé'!$A$780=AG22, 'Eval-Avec impact envisagé'!$G$780="")),"",SUM(IF('Eval-Avec impact envisagé'!$A$761=AG22,'Eval-Avec impact envisagé'!$G$761,0),IF('Eval-Avec impact envisagé'!$A$762=AG22,'Eval-Avec impact envisagé'!$G$762,0),IF('Eval-Avec impact envisagé'!$A$763=AG22,'Eval-Avec impact envisagé'!$G$763,0),IF('Eval-Avec impact envisagé'!$A$764=AG22,'Eval-Avec impact envisagé'!$G$764,0),IF('Eval-Avec impact envisagé'!$A$765=AG22,'Eval-Avec impact envisagé'!$G$765,0),IF('Eval-Avec impact envisagé'!$A$766=AG22,'Eval-Avec impact envisagé'!$G$766,0),IF('Eval-Avec impact envisagé'!$A$767=AG22,'Eval-Avec impact envisagé'!$G$767,0),IF('Eval-Avec impact envisagé'!$A$768=AG22,'Eval-Avec impact envisagé'!$G$768,0),IF('Eval-Avec impact envisagé'!$A$769=AG22,'Eval-Avec impact envisagé'!$G$769,0),IF('Eval-Avec impact envisagé'!$A$770=AG22,'Eval-Avec impact envisagé'!$G$770,0),IF('Eval-Avec impact envisagé'!$A$771=AG22,'Eval-Avec impact envisagé'!$G$771,0),IF('Eval-Avec impact envisagé'!$A$772=AG22,'Eval-Avec impact envisagé'!$G$772,0),IF('Eval-Avec impact envisagé'!$A$773=AG22,'Eval-Avec impact envisagé'!$G$773,0),IF('Eval-Avec impact envisagé'!$A$774=AG22,'Eval-Avec impact envisagé'!$G$774,0),IF('Eval-Avec impact envisagé'!$A$775=AG22,'Eval-Avec impact envisagé'!$G$775,0), IF('Eval-Avec impact envisagé'!$A$776=AG22,'Eval-Avec impact envisagé'!$G$776,0), IF('Eval-Avec impact envisagé'!$A$777=AG22,'Eval-Avec impact envisagé'!$G$777,0), IF('Eval-Avec impact envisagé'!$A$778=AG22,'Eval-Avec impact envisagé'!$G$778,0), IF('Eval-Avec impact envisagé'!$A$779=AG22,'Eval-Avec impact envisagé'!$G$779,0), IF('Eval-Avec impact envisagé'!$A$780=AG22,'Eval-Avec impact envisagé'!$G$780,0))/ COUNTIF('Eval-Avec impact envisagé'!$A$761:$A$780,AG22)),"")</f>
        <v/>
      </c>
      <c r="AK22" s="212" t="str">
        <f>IF(COUNTIF('Eval-Avec impact envisagé'!$A$761:$A$780,AG22)&gt;0,IF(SUM(IF('Eval-Avec impact envisagé'!$A$761=AG22,COUNTA('Eval-Avec impact envisagé'!$H$761),0),IF('Eval-Avec impact envisagé'!$A$762=AG22,COUNTA('Eval-Avec impact envisagé'!$H$762),0),IF('Eval-Avec impact envisagé'!$A$763=AG22,COUNTA('Eval-Avec impact envisagé'!$H$763),0),IF('Eval-Avec impact envisagé'!$A$764=AG22,COUNTA('Eval-Avec impact envisagé'!$H$764),0),IF('Eval-Avec impact envisagé'!$A$765=AG22,COUNTA('Eval-Avec impact envisagé'!$H$765),0),IF('Eval-Avec impact envisagé'!$A$766=AG22,COUNTA('Eval-Avec impact envisagé'!$H$766),0),IF('Eval-Avec impact envisagé'!$A$767=AG22,COUNTA('Eval-Avec impact envisagé'!$H$767),0),IF('Eval-Avec impact envisagé'!$A$768=AG22,COUNTA('Eval-Avec impact envisagé'!$H$768),0),IF('Eval-Avec impact envisagé'!$A$769=AG22,COUNTA('Eval-Avec impact envisagé'!$H$769),0),IF('Eval-Avec impact envisagé'!$A$770=AG22,COUNTA('Eval-Avec impact envisagé'!$H$770),0),IF('Eval-Avec impact envisagé'!$A$771=AG22,COUNTA('Eval-Avec impact envisagé'!$H$771),0),IF('Eval-Avec impact envisagé'!$A$772=AG22,COUNTA('Eval-Avec impact envisagé'!$H$772),0),IF('Eval-Avec impact envisagé'!$A$773=AG22,COUNTA('Eval-Avec impact envisagé'!$H$773),0),IF('Eval-Avec impact envisagé'!$A$774=AG22,COUNTA('Eval-Avec impact envisagé'!$H$774),0),IF('Eval-Avec impact envisagé'!$A$775=AG22,COUNTA('Eval-Avec impact envisagé'!$H$775),0),IF('Eval-Avec impact envisagé'!$A$776=AG22,COUNTA('Eval-Avec impact envisagé'!$H$776),0),IF('Eval-Avec impact envisagé'!$A$777=AG22,COUNTA('Eval-Avec impact envisagé'!$H$777),0),IF('Eval-Avec impact envisagé'!$A$778=AG22,COUNTA('Eval-Avec impact envisagé'!$H$778),0),IF('Eval-Avec impact envisagé'!$A$779=AG22,COUNTA('Eval-Avec impact envisagé'!$H$779),0),IF('Eval-Avec impact envisagé'!$A$780=AG22,COUNTA('Eval-Avec impact envisagé'!$H$780),0))&gt;0,"X",0),"")</f>
        <v/>
      </c>
      <c r="AL22" s="213" t="str">
        <f>IF(COUNTIF('Eval-Avec impact envisagé'!$A$761:$A$780,AG22)&gt;0,IF(SUM(IF('Eval-Avec impact envisagé'!$A$761=AG22,COUNTA('Eval-Avec impact envisagé'!$I$761),0),IF('Eval-Avec impact envisagé'!$A$762=AG22,COUNTA('Eval-Avec impact envisagé'!$I$762),0),IF('Eval-Avec impact envisagé'!$A$763=AG22,COUNTA('Eval-Avec impact envisagé'!$I$763),0),IF('Eval-Avec impact envisagé'!$A$764=AG22,COUNTA('Eval-Avec impact envisagé'!$I$764),0),IF('Eval-Avec impact envisagé'!$A$765=AG22,COUNTA('Eval-Avec impact envisagé'!$I$765),0),IF('Eval-Avec impact envisagé'!$A$766=AG22,COUNTA('Eval-Avec impact envisagé'!$I$766),0),IF('Eval-Avec impact envisagé'!$A$767=AG22,COUNTA('Eval-Avec impact envisagé'!$I$767),0),IF('Eval-Avec impact envisagé'!$A$768=AG22,COUNTA('Eval-Avec impact envisagé'!$I$768),0),IF('Eval-Avec impact envisagé'!$A$769=AG22,COUNTA('Eval-Avec impact envisagé'!$I$769),0),IF('Eval-Avec impact envisagé'!$A$770=AG22,COUNTA('Eval-Avec impact envisagé'!$I$770),0),IF('Eval-Avec impact envisagé'!$A$771=AG22,COUNTA('Eval-Avec impact envisagé'!$I$771),0),IF('Eval-Avec impact envisagé'!$A$772=AG22,COUNTA('Eval-Avec impact envisagé'!$I$772),0),IF('Eval-Avec impact envisagé'!$A$773=AG22,COUNTA('Eval-Avec impact envisagé'!$I$773),0),IF('Eval-Avec impact envisagé'!$A$774=AG22,COUNTA('Eval-Avec impact envisagé'!$I$774),0),IF('Eval-Avec impact envisagé'!$A$775=AG22,COUNTA('Eval-Avec impact envisagé'!$I$775),0),IF('Eval-Avec impact envisagé'!$A$776=AG22,COUNTA('Eval-Avec impact envisagé'!$I$776),0),IF('Eval-Avec impact envisagé'!$A$777=AG22,COUNTA('Eval-Avec impact envisagé'!$I$777),0),IF('Eval-Avec impact envisagé'!$A$778=AG22,COUNTA('Eval-Avec impact envisagé'!$I$778),0),IF('Eval-Avec impact envisagé'!$A$779=AG22,COUNTA('Eval-Avec impact envisagé'!$I$779),0),IF('Eval-Avec impact envisagé'!$A$780=AG22,COUNTA('Eval-Avec impact envisagé'!$I$780),0))&gt;0,"X",0),"")</f>
        <v/>
      </c>
      <c r="AM22" s="213" t="str">
        <f>IF(COUNTIF('Eval-Avec impact envisagé'!$A$761:$A$780,AG22)&gt;0,IF(SUM(IF('Eval-Avec impact envisagé'!$A$761=AG22,COUNTA('Eval-Avec impact envisagé'!$J$761),0),IF('Eval-Avec impact envisagé'!$A$762=AG22,COUNTA('Eval-Avec impact envisagé'!$J$762),0),IF('Eval-Avec impact envisagé'!$A$763=AG22,COUNTA('Eval-Avec impact envisagé'!$J$763),0),IF('Eval-Avec impact envisagé'!$A$764=AG22,COUNTA('Eval-Avec impact envisagé'!$J$764),0),IF('Eval-Avec impact envisagé'!$A$765=AG22,COUNTA('Eval-Avec impact envisagé'!$J$765),0),IF('Eval-Avec impact envisagé'!$A$766=AG22,COUNTA('Eval-Avec impact envisagé'!$J$766),0),IF('Eval-Avec impact envisagé'!$A$767=AG22,COUNTA('Eval-Avec impact envisagé'!$J$767),0),IF('Eval-Avec impact envisagé'!$A$768=AG22,COUNTA('Eval-Avec impact envisagé'!$J$768),0),IF('Eval-Avec impact envisagé'!$A$769=AG22,COUNTA('Eval-Avec impact envisagé'!$J$769),0),IF('Eval-Avec impact envisagé'!$A$770=AG22,COUNTA('Eval-Avec impact envisagé'!$J$770),0),IF('Eval-Avec impact envisagé'!$A$771=AG22,COUNTA('Eval-Avec impact envisagé'!$J$771),0),IF('Eval-Avec impact envisagé'!$A$772=AG22,COUNTA('Eval-Avec impact envisagé'!$J$772),0),IF('Eval-Avec impact envisagé'!$A$773=AG22,COUNTA('Eval-Avec impact envisagé'!$J$773),0),IF('Eval-Avec impact envisagé'!$A$774=AG22,COUNTA('Eval-Avec impact envisagé'!$J$774),0),IF('Eval-Avec impact envisagé'!$A$775=AG22,COUNTA('Eval-Avec impact envisagé'!$J$775),0),IF('Eval-Avec impact envisagé'!$A$776=AG22,COUNTA('Eval-Avec impact envisagé'!$J$776),0),IF('Eval-Avec impact envisagé'!$A$777=AG22,COUNTA('Eval-Avec impact envisagé'!$J$777),0),IF('Eval-Avec impact envisagé'!$A$778=AG22,COUNTA('Eval-Avec impact envisagé'!$J$778),0),IF('Eval-Avec impact envisagé'!$A$779=AG22,COUNTA('Eval-Avec impact envisagé'!$J$779),0),IF('Eval-Avec impact envisagé'!$A$780=AG22,COUNTA('Eval-Avec impact envisagé'!$J$780),0))&gt;0,"X",0),"")</f>
        <v/>
      </c>
      <c r="AN22" s="213" t="str">
        <f>IF(COUNTIF('Eval-Avec impact envisagé'!$A$761:$A$780,AG22)&gt;0,IF(SUM(IF('Eval-Avec impact envisagé'!$A$761=AG22,COUNTA('Eval-Avec impact envisagé'!$K$761),0),IF('Eval-Avec impact envisagé'!$A$762=AG22,COUNTA('Eval-Avec impact envisagé'!$K$762),0),IF('Eval-Avec impact envisagé'!$A$763=AG22,COUNTA('Eval-Avec impact envisagé'!$K$763),0),IF('Eval-Avec impact envisagé'!$A$764=AG22,COUNTA('Eval-Avec impact envisagé'!$K$764),0),IF('Eval-Avec impact envisagé'!$A$765=AG22,COUNTA('Eval-Avec impact envisagé'!$K$765),0),IF('Eval-Avec impact envisagé'!$A$766=AG22,COUNTA('Eval-Avec impact envisagé'!$K$766),0),IF('Eval-Avec impact envisagé'!$A$767=AG22,COUNTA('Eval-Avec impact envisagé'!$K$767),0),IF('Eval-Avec impact envisagé'!$A$768=AG22,COUNTA('Eval-Avec impact envisagé'!$K$768),0),IF('Eval-Avec impact envisagé'!$A$769=AG22,COUNTA('Eval-Avec impact envisagé'!$K$769),0),IF('Eval-Avec impact envisagé'!$A$770=AG22,COUNTA('Eval-Avec impact envisagé'!$K$770),0),IF('Eval-Avec impact envisagé'!$A$771=AG22,COUNTA('Eval-Avec impact envisagé'!$K$771),0),IF('Eval-Avec impact envisagé'!$A$772=AG22,COUNTA('Eval-Avec impact envisagé'!$K$772),0),IF('Eval-Avec impact envisagé'!$A$773=AG22,COUNTA('Eval-Avec impact envisagé'!$K$773),0),IF('Eval-Avec impact envisagé'!$A$774=AG22,COUNTA('Eval-Avec impact envisagé'!$K$774),0),IF('Eval-Avec impact envisagé'!$A$775=AG22,COUNTA('Eval-Avec impact envisagé'!$K$775),0),IF('Eval-Avec impact envisagé'!$A$776=AG22,COUNTA('Eval-Avec impact envisagé'!$K$776),0),IF('Eval-Avec impact envisagé'!$A$777=AG22,COUNTA('Eval-Avec impact envisagé'!$K$777),0),IF('Eval-Avec impact envisagé'!$A$778=AG22,COUNTA('Eval-Avec impact envisagé'!$K$778),0),IF('Eval-Avec impact envisagé'!$A$779=AG22,COUNTA('Eval-Avec impact envisagé'!$K$779),0),IF('Eval-Avec impact envisagé'!$A$780=AG22,COUNTA('Eval-Avec impact envisagé'!$K$780),0))&gt;0,"X",0),"")</f>
        <v/>
      </c>
      <c r="AO22" s="211" t="str">
        <f>IF(COUNTIF('Eval-Avec impact envisagé'!$A$761:$A$780,AG22)&gt;0,IF(OR(AND('Eval-Avec impact envisagé'!$A$761=AG22,'Eval-Avec impact envisagé'!$L$761&lt;120,'Eval-Avec impact envisagé'!$L$761&gt;=BD9),AND('Eval-Avec impact envisagé'!$A$762=AG22,'Eval-Avec impact envisagé'!$L$762&lt;120,'Eval-Avec impact envisagé'!$L$762&gt;=BD10),AND('Eval-Avec impact envisagé'!$A$763=AG22,'Eval-Avec impact envisagé'!$L$763&lt;120,'Eval-Avec impact envisagé'!$L$763&gt;=BD11),AND('Eval-Avec impact envisagé'!$A$764=AG22,'Eval-Avec impact envisagé'!$L$764&lt;120,'Eval-Avec impact envisagé'!$L$764&gt;=BD12),AND('Eval-Avec impact envisagé'!$A$765=AG22,'Eval-Avec impact envisagé'!$L$765&lt;120,'Eval-Avec impact envisagé'!$L$765&gt;=BD13),AND('Eval-Avec impact envisagé'!$A$766=AG22,'Eval-Avec impact envisagé'!$L$766&lt;120,'Eval-Avec impact envisagé'!$L$766&gt;=BD14),AND('Eval-Avec impact envisagé'!$A$767=AG22,'Eval-Avec impact envisagé'!$L$767&lt;120,'Eval-Avec impact envisagé'!$L$767&gt;=BD15),AND('Eval-Avec impact envisagé'!$A$768=AG22,'Eval-Avec impact envisagé'!$L$768&lt;120,'Eval-Avec impact envisagé'!$L$768&gt;=BD16),AND('Eval-Avec impact envisagé'!$A$769=AG22,'Eval-Avec impact envisagé'!$L$769&lt;120,'Eval-Avec impact envisagé'!$L$769&gt;=BD17),AND('Eval-Avec impact envisagé'!$A$770=AG22,'Eval-Avec impact envisagé'!$L$770&lt;120,'Eval-Avec impact envisagé'!$L$770&gt;=BD18),AND('Eval-Avec impact envisagé'!$A$771=AG22,'Eval-Avec impact envisagé'!$L$771&lt;120,'Eval-Avec impact envisagé'!$L$771&gt;=BD19),AND('Eval-Avec impact envisagé'!$A$772=AG22,'Eval-Avec impact envisagé'!$L$772&lt;120,'Eval-Avec impact envisagé'!$L$772&gt;=BD20),AND('Eval-Avec impact envisagé'!$A$773=AG22,'Eval-Avec impact envisagé'!$L$773&lt;120,'Eval-Avec impact envisagé'!$L$773&gt;=BD21),AND('Eval-Avec impact envisagé'!$A$774=AG22,'Eval-Avec impact envisagé'!$L$774&lt;120,'Eval-Avec impact envisagé'!$L$774&gt;=BD22),AND('Eval-Avec impact envisagé'!$A$775=AG22,'Eval-Avec impact envisagé'!$L$775&lt;120,'Eval-Avec impact envisagé'!$L$775&gt;=BD23),AND('Eval-Avec impact envisagé'!$A$776=AG22,'Eval-Avec impact envisagé'!$L$776&lt;120,'Eval-Avec impact envisagé'!$L$776&gt;=BD24),AND('Eval-Avec impact envisagé'!$A$777=AG22,'Eval-Avec impact envisagé'!$L$777&lt;120,'Eval-Avec impact envisagé'!$L$777&gt;=BD25),AND('Eval-Avec impact envisagé'!$A$778=AG22,'Eval-Avec impact envisagé'!$L$778&lt;120,'Eval-Avec impact envisagé'!$L$778&gt;=BD26),AND('Eval-Avec impact envisagé'!$A$779=AG22,'Eval-Avec impact envisagé'!$L$779&lt;120,'Eval-Avec impact envisagé'!$L$779&gt;=BD27),AND('Eval-Avec impact envisagé'!$A$780=AG22,'Eval-Avec impact envisagé'!$L$780&lt;120,'Eval-Avec impact envisagé'!$L$780&gt;=BD28)),"",SUM(IF('Eval-Avec impact envisagé'!$A$761=AG22,'Eval-Avec impact envisagé'!$L$761,0),IF('Eval-Avec impact envisagé'!$A$762=AG22,'Eval-Avec impact envisagé'!$L$762,0),IF('Eval-Avec impact envisagé'!$A$763=AG22,'Eval-Avec impact envisagé'!$L$763,0),IF('Eval-Avec impact envisagé'!$A$764=AG22,'Eval-Avec impact envisagé'!$L$764,0),IF('Eval-Avec impact envisagé'!$A$765=AG22,'Eval-Avec impact envisagé'!$L$765,0),IF('Eval-Avec impact envisagé'!$A$766=AG22,'Eval-Avec impact envisagé'!$L$766,0),IF('Eval-Avec impact envisagé'!$A$767=AG22,'Eval-Avec impact envisagé'!$L$767,0),IF('Eval-Avec impact envisagé'!$A$768=AG22,'Eval-Avec impact envisagé'!$L$768,0),IF('Eval-Avec impact envisagé'!$A$769=AG22,'Eval-Avec impact envisagé'!$L$769,0),IF('Eval-Avec impact envisagé'!$A$770=AG22,'Eval-Avec impact envisagé'!$L$770,0),IF('Eval-Avec impact envisagé'!$A$771=AG22,'Eval-Avec impact envisagé'!$L$771,0),IF('Eval-Avec impact envisagé'!$A$772=AG22,'Eval-Avec impact envisagé'!$L$772,0),IF('Eval-Avec impact envisagé'!$A$773=AG22,'Eval-Avec impact envisagé'!$L$773,0),IF('Eval-Avec impact envisagé'!$A$774=AG22,'Eval-Avec impact envisagé'!$L$774,0),IF('Eval-Avec impact envisagé'!$A$775=AG22,'Eval-Avec impact envisagé'!$L$775,0),IF('Eval-Avec impact envisagé'!$A$776=AG22,'Eval-Avec impact envisagé'!$L$776,0),IF('Eval-Avec impact envisagé'!$A$777=AG22,'Eval-Avec impact envisagé'!$L$777,0),IF('Eval-Avec impact envisagé'!$A$778=AG22,'Eval-Avec impact envisagé'!$L$778,0),IF('Eval-Avec impact envisagé'!$A$779=AG22,'Eval-Avec impact envisagé'!$L$779,0),IF('Eval-Avec impact envisagé'!$A$780=AG22,'Eval-Avec impact envisagé'!$L$780,0))/ COUNTIF('Eval-Avec impact envisagé'!$A$761:$A$780,AG22)),"")</f>
        <v/>
      </c>
      <c r="AP22" s="211" t="str">
        <f>IF(COUNTIF('Eval-Avec impact envisagé'!$A$761:$A$780,AG22)&gt;0,IF(OR(AND('Eval-Avec impact envisagé'!$A$761=AG22, BD9&lt;120),AND(BD10&lt;120),AND(BD11&lt;120),AND(BD12&lt;120),AND(BD13&lt;120),AND(BD14&lt;120),AND(BD15&lt;120),AND(BD16&lt;120),AND(BD17&lt;120),AND(BD18&lt;120),AND(BD19&lt;120),AND(BD20&lt;120),AND(BD21&lt;120),AND(BD22&lt;120),AND(BD23&lt;120),AND(BD24&lt;120),AND(BD25&lt;120),AND(BD26&lt;120),AND(BD27&lt;120),AND(BD28&lt;120)),"",SUM(IF('Eval-Avec impact envisagé'!$A$761=AG22,'Eval-Avec impact envisagé'!$M$761,0),IF('Eval-Avec impact envisagé'!$A$762=AG22,'Eval-Avec impact envisagé'!$M$762,0),IF('Eval-Avec impact envisagé'!$A$763=AG22,'Eval-Avec impact envisagé'!$M$763,0),IF('Eval-Avec impact envisagé'!$A$764=AG22,'Eval-Avec impact envisagé'!$M$764,0),IF('Eval-Avec impact envisagé'!$A$765=AG22,'Eval-Avec impact envisagé'!$M$765,0),IF('Eval-Avec impact envisagé'!$A$766=AG22,'Eval-Avec impact envisagé'!$M$766,0),IF('Eval-Avec impact envisagé'!$A$767=AG22,'Eval-Avec impact envisagé'!$M$767,0),IF('Eval-Avec impact envisagé'!$A$768=AG22,'Eval-Avec impact envisagé'!$M$768,0),IF('Eval-Avec impact envisagé'!$A$769=AG22,'Eval-Avec impact envisagé'!$M$769,0),IF('Eval-Avec impact envisagé'!$A$770=AG22,'Eval-Avec impact envisagé'!$M$770,0),IF('Eval-Avec impact envisagé'!$A$771=AG22,'Eval-Avec impact envisagé'!$M$771,0),IF('Eval-Avec impact envisagé'!$A$772=AG22,'Eval-Avec impact envisagé'!$M$772,0),IF('Eval-Avec impact envisagé'!$A$773=AG22,'Eval-Avec impact envisagé'!$M$773,0),IF('Eval-Avec impact envisagé'!$A$774=AG22,'Eval-Avec impact envisagé'!$M$774,0),IF('Eval-Avec impact envisagé'!$A$775=AG22,'Eval-Avec impact envisagé'!$M$775,0), IF('Eval-Avec impact envisagé'!$A$776=AG22,'Eval-Avec impact envisagé'!$M$776,0), IF('Eval-Avec impact envisagé'!$A$777=AG22,'Eval-Avec impact envisagé'!$M$777,0), IF('Eval-Avec impact envisagé'!$A$778=AG22,'Eval-Avec impact envisagé'!$M$778,0), IF('Eval-Avec impact envisagé'!$A$779=AG22,'Eval-Avec impact envisagé'!$M$779,0), IF('Eval-Avec impact envisagé'!$A$780=AG22,'Eval-Avec impact envisagé'!$M$780,0))/COUNTIF('Eval-Avec impact envisagé'!$A$761:$A$780,AG22)),"")</f>
        <v/>
      </c>
      <c r="AQ22" s="211" t="str">
        <f>IF(COUNTIF('Eval-Avec impact envisagé'!$A$761:$A$780,AG22)&gt;0,SUM(IF('Eval-Avec impact envisagé'!$A$761=AG22,LEN(SUBSTITUTE((SUBSTITUTE(BF9,"TM","")),"TS",""))*10/2,0),IF('Eval-Avec impact envisagé'!$A$762=AG22,LEN(SUBSTITUTE((SUBSTITUTE(BF10,"TM","")),"TS",""))*10/2,0),IF('Eval-Avec impact envisagé'!$A$763=AG22,LEN(SUBSTITUTE((SUBSTITUTE(BF11,"TM","")),"TS",""))*10/2,0),IF('Eval-Avec impact envisagé'!$A$764=AG22,LEN(SUBSTITUTE((SUBSTITUTE(BF12,"TM","")),"TS",""))*10/2,0),IF('Eval-Avec impact envisagé'!$A$765=AG22,LEN(SUBSTITUTE((SUBSTITUTE(BF13,"TM","")),"TS",""))*10/2,0),IF('Eval-Avec impact envisagé'!$A$766=AG22,LEN(SUBSTITUTE((SUBSTITUTE(BF14,"TM","")),"TS",""))*10/2,0),IF('Eval-Avec impact envisagé'!$A$767=AG22,LEN(SUBSTITUTE((SUBSTITUTE(BF15,"TM","")),"TS",""))*10/2,0),IF('Eval-Avec impact envisagé'!$A$768=AG22,LEN(SUBSTITUTE((SUBSTITUTE(BF16,"TM","")),"TS",""))*10/2,0),IF('Eval-Avec impact envisagé'!$A$769=AG22,LEN(SUBSTITUTE((SUBSTITUTE(BF17,"TM","")),"TS",""))*10/2,0),IF('Eval-Avec impact envisagé'!$A$770=AG22,LEN(SUBSTITUTE((SUBSTITUTE(BF18,"TM","")),"TS",""))*10/2,0),IF('Eval-Avec impact envisagé'!$A$771=AG22,LEN(SUBSTITUTE((SUBSTITUTE(BF19,"TM","")),"TS",""))*10/2,0),IF('Eval-Avec impact envisagé'!$A$772=AG22,LEN(SUBSTITUTE((SUBSTITUTE(BF20,"TM","")),"TS",""))*10/2,0),IF('Eval-Avec impact envisagé'!$A$773=AG22,LEN(SUBSTITUTE((SUBSTITUTE(BF21,"TM","")),"TS",""))*10/2,0),IF('Eval-Avec impact envisagé'!$A$774=AG22,LEN(SUBSTITUTE((SUBSTITUTE(BF22,"TM","")),"TS",""))*10/2,0),IF('Eval-Avec impact envisagé'!$A$775=AG22,LEN(SUBSTITUTE((SUBSTITUTE(BF23,"TM","")),"TS",""))*10/2,0),IF('Eval-Avec impact envisagé'!$A$776=AG22,LEN(SUBSTITUTE((SUBSTITUTE(BF24,"TM","")),"TS",""))*10/2,0),IF('Eval-Avec impact envisagé'!$A$777=AG22,LEN(SUBSTITUTE((SUBSTITUTE(BF25,"TM","")),"TS",""))*10/2,0),IF('Eval-Avec impact envisagé'!$A$778=AG22,LEN(SUBSTITUTE((SUBSTITUTE(BF26,"TM","")),"TS",""))*10/2,0),IF('Eval-Avec impact envisagé'!$A$779=AG22,LEN(SUBSTITUTE((SUBSTITUTE(BF27,"TM","")),"TS",""))*10/2,0),IF('Eval-Avec impact envisagé'!$A$780=AG22,LEN(SUBSTITUTE((SUBSTITUTE(BF28,"TM","")),"TS",""))*10/2,0))/COUNTIF('Eval-Avec impact envisagé'!$A$761:$A$780,AG22),"")</f>
        <v/>
      </c>
      <c r="AR22" s="211" t="str">
        <f>IF(COUNTIF('Eval-Avec impact envisagé'!$A$761:$A$780,AG22)&gt;0,SUM(IF('Eval-Avec impact envisagé'!$A$761=AG22,LEN(SUBSTITUTE((SUBSTITUTE(BF9,"TF","")),"TS",""))*10/2,0),IF('Eval-Avec impact envisagé'!$A$762=AG22,LEN(SUBSTITUTE((SUBSTITUTE(BF10,"TF","")),"TS",""))*10/2,0),IF('Eval-Avec impact envisagé'!$A$763=AG22,LEN(SUBSTITUTE((SUBSTITUTE(BF11,"TF","")),"TS",""))*10/2,0),IF('Eval-Avec impact envisagé'!$A$764=AG22,LEN(SUBSTITUTE((SUBSTITUTE(BF12,"TF","")),"TS",""))*10/2,0),IF('Eval-Avec impact envisagé'!$A$765=AG22,LEN(SUBSTITUTE((SUBSTITUTE(BF13,"TF","")),"TS",""))*10/2,0),IF('Eval-Avec impact envisagé'!$A$766=AG22,LEN(SUBSTITUTE((SUBSTITUTE(BF14,"TF","")),"TS",""))*10/2,0),IF('Eval-Avec impact envisagé'!$A$767=AG22,LEN(SUBSTITUTE((SUBSTITUTE(BF15,"TF","")),"TS",""))*10/2,0),IF('Eval-Avec impact envisagé'!$A$768=AG22,LEN(SUBSTITUTE((SUBSTITUTE(BF16,"TF","")),"TS",""))*10/2,0),IF('Eval-Avec impact envisagé'!$A$769=AG22,LEN(SUBSTITUTE((SUBSTITUTE(BF17,"TF","")),"TS",""))*10/2,0),IF('Eval-Avec impact envisagé'!$A$770=AG22,LEN(SUBSTITUTE((SUBSTITUTE(BF18,"TF","")),"TS",""))*10/2,0),IF('Eval-Avec impact envisagé'!$A$771=AG22,LEN(SUBSTITUTE((SUBSTITUTE(BF19,"TF","")),"TS",""))*10/2,0),IF('Eval-Avec impact envisagé'!$A$772=AG22,LEN(SUBSTITUTE((SUBSTITUTE(BF20,"TF","")),"TS",""))*10/2,0),IF('Eval-Avec impact envisagé'!$A$773=AG22,LEN(SUBSTITUTE((SUBSTITUTE(BF21,"TF","")),"TS",""))*10/2,0),IF('Eval-Avec impact envisagé'!$A$774=AG22,LEN(SUBSTITUTE((SUBSTITUTE(BF22,"TF","")),"TS",""))*10/2,0),IF('Eval-Avec impact envisagé'!$A$775=AG22,LEN(SUBSTITUTE((SUBSTITUTE(BF23,"TF","")),"TS",""))*10/2,0),IF('Eval-Avec impact envisagé'!$A$776=AG22,LEN(SUBSTITUTE((SUBSTITUTE(BF24,"TF","")),"TS",""))*10/2,0),IF('Eval-Avec impact envisagé'!$A$777=AG22,LEN(SUBSTITUTE((SUBSTITUTE(BF25,"TF","")),"TS",""))*10/2,0),IF('Eval-Avec impact envisagé'!$A$778=AG22,LEN(SUBSTITUTE((SUBSTITUTE(BF26,"TF","")),"TS",""))*10/2,0),IF('Eval-Avec impact envisagé'!$A$779=AG22,LEN(SUBSTITUTE((SUBSTITUTE(BF27,"TF","")),"TS",""))*10/2,0),IF('Eval-Avec impact envisagé'!$A$780=AG22,LEN(SUBSTITUTE((SUBSTITUTE(BF28,"TF","")),"TS",""))*10/2,0))/COUNTIF('Eval-Avec impact envisagé'!$A$761:$A$780,AG22),"")</f>
        <v/>
      </c>
      <c r="AS22" s="211" t="str">
        <f>IF(COUNTIF('Eval-Avec impact envisagé'!$A$761:$A$780,AG22)&gt;0,SUM(IF('Eval-Avec impact envisagé'!$A$761=AG22,LEN(SUBSTITUTE((SUBSTITUTE(BF9,"TF","")),"TM",""))*10/2,0),IF('Eval-Avec impact envisagé'!$A$762=AG22,LEN(SUBSTITUTE((SUBSTITUTE(BF10,"TF","")),"TM",""))*10/2,0),IF('Eval-Avec impact envisagé'!$A$763=AG22,LEN(SUBSTITUTE((SUBSTITUTE(BF11,"TF","")),"TM",""))*10/2,0),IF('Eval-Avec impact envisagé'!$A$764=AG22,LEN(SUBSTITUTE((SUBSTITUTE(BF12,"TF","")),"TM",""))*10/2,0),IF('Eval-Avec impact envisagé'!$A$765=AG22,LEN(SUBSTITUTE((SUBSTITUTE(BF13,"TF","")),"TM",""))*10/2,0),IF('Eval-Avec impact envisagé'!$A$766=AG22,LEN(SUBSTITUTE((SUBSTITUTE(BF14,"TF","")),"TM",""))*10/2,0),IF('Eval-Avec impact envisagé'!$A$767=AG22,LEN(SUBSTITUTE((SUBSTITUTE(BF15,"TF","")),"TM",""))*10/2,0),IF('Eval-Avec impact envisagé'!$A$768=AG22,LEN(SUBSTITUTE((SUBSTITUTE(BF16,"TF","")),"TM",""))*10/2,0),IF('Eval-Avec impact envisagé'!$A$769=AG22,LEN(SUBSTITUTE((SUBSTITUTE(BF17,"TF","")),"TM",""))*10/2,0),IF('Eval-Avec impact envisagé'!$A$770=AG22,LEN(SUBSTITUTE((SUBSTITUTE(BF18,"TF","")),"TM",""))*10/2,0),IF('Eval-Avec impact envisagé'!$A$771=AG22,LEN(SUBSTITUTE((SUBSTITUTE(BF19,"TF","")),"TM",""))*10/2,0),IF('Eval-Avec impact envisagé'!$A$772=AG22,LEN(SUBSTITUTE((SUBSTITUTE(BF20,"TF","")),"TM",""))*10/2,0),IF('Eval-Avec impact envisagé'!$A$773=AG22,LEN(SUBSTITUTE((SUBSTITUTE(BF21,"TF","")),"TM",""))*10/2,0),IF('Eval-Avec impact envisagé'!$A$774=AG22,LEN(SUBSTITUTE((SUBSTITUTE(BF22,"TF","")),"TM",""))*10/2,0),IF('Eval-Avec impact envisagé'!$A$775=AG22,LEN(SUBSTITUTE((SUBSTITUTE(BF23,"TF","")),"TM",""))*10/2,0),IF('Eval-Avec impact envisagé'!$A$776=AG22,LEN(SUBSTITUTE((SUBSTITUTE(BF24,"TF","")),"TM",""))*10/2,0),IF('Eval-Avec impact envisagé'!$A$777=AG22,LEN(SUBSTITUTE((SUBSTITUTE(BF25,"TF","")),"TM",""))*10/2,0),IF('Eval-Avec impact envisagé'!$A$778=AG22,LEN(SUBSTITUTE((SUBSTITUTE(BF26,"TF","")),"TM",""))*10/2,0),IF('Eval-Avec impact envisagé'!$A$779=AG22,LEN(SUBSTITUTE((SUBSTITUTE(BF27,"TF","")),"TM",""))*10/2,0),IF('Eval-Avec impact envisagé'!$A$780=AG22,LEN(SUBSTITUTE((SUBSTITUTE(BF28,"TF","")),"TM",""))*10/2,0))/COUNTIF('Eval-Avec impact envisagé'!$A$761:$A$780,AG22),"")</f>
        <v/>
      </c>
      <c r="AT22" s="211" t="str">
        <f>IF(COUNTIF('Eval-Avec impact envisagé'!$A$761:$A$780,AG22)&gt;0,SUM(IF('Eval-Avec impact envisagé'!$A$761=AG22,LEN(SUBSTITUTE((SUBSTITUTE(BG9,"TM","")),"TS",""))*10/2,0),IF('Eval-Avec impact envisagé'!$A$762=AG22,LEN(SUBSTITUTE((SUBSTITUTE(BG10,"TM","")),"TS",""))*10/2,0),IF('Eval-Avec impact envisagé'!$A$763=AG22,LEN(SUBSTITUTE((SUBSTITUTE(BG11,"TM","")),"TS",""))*10/2,0),IF('Eval-Avec impact envisagé'!$A$764=AG22,LEN(SUBSTITUTE((SUBSTITUTE(BG12,"TM","")),"TS",""))*10/2,0),IF('Eval-Avec impact envisagé'!$A$765=AG22,LEN(SUBSTITUTE((SUBSTITUTE(BG13,"TM","")),"TS",""))*10/2,0),IF('Eval-Avec impact envisagé'!$A$766=AG22,LEN(SUBSTITUTE((SUBSTITUTE(BG14,"TM","")),"TS",""))*10/2,0),IF('Eval-Avec impact envisagé'!$A$767=AG22,LEN(SUBSTITUTE((SUBSTITUTE(BG15,"TM","")),"TS",""))*10/2,0),IF('Eval-Avec impact envisagé'!$A$768=AG22,LEN(SUBSTITUTE((SUBSTITUTE(BG16,"TM","")),"TS",""))*10/2,0),IF('Eval-Avec impact envisagé'!$A$769=AG22,LEN(SUBSTITUTE((SUBSTITUTE(BG17,"TM","")),"TS",""))*10/2,0),IF('Eval-Avec impact envisagé'!$A$770=AG22,LEN(SUBSTITUTE((SUBSTITUTE(BG18,"TM","")),"TS",""))*10/2,0),IF('Eval-Avec impact envisagé'!$A$771=AG22,LEN(SUBSTITUTE((SUBSTITUTE(BG19,"TM","")),"TS",""))*10/2,0),IF('Eval-Avec impact envisagé'!$A$772=AG22,LEN(SUBSTITUTE((SUBSTITUTE(BG20,"TM","")),"TS",""))*10/2,0),IF('Eval-Avec impact envisagé'!$A$773=AG22,LEN(SUBSTITUTE((SUBSTITUTE(BG21,"TM","")),"TS",""))*10/2,0),IF('Eval-Avec impact envisagé'!$A$774=AG22,LEN(SUBSTITUTE((SUBSTITUTE(BG22,"TM","")),"TS",""))*10/2,0),IF('Eval-Avec impact envisagé'!$A$775=AG22,LEN(SUBSTITUTE((SUBSTITUTE(BG23,"TM","")),"TS",""))*10/2,0),IF('Eval-Avec impact envisagé'!$A$776=AG22,LEN(SUBSTITUTE((SUBSTITUTE(BG24,"TM","")),"TS",""))*10/2,0),IF('Eval-Avec impact envisagé'!$A$777=AG22,LEN(SUBSTITUTE((SUBSTITUTE(BG25,"TM","")),"TS",""))*10/2,0),IF('Eval-Avec impact envisagé'!$A$778=AG22,LEN(SUBSTITUTE((SUBSTITUTE(BG26,"TM","")),"TS",""))*10/2,0),IF('Eval-Avec impact envisagé'!$A$779=AG22,LEN(SUBSTITUTE((SUBSTITUTE(BG27,"TM","")),"TS",""))*10/2,0),IF('Eval-Avec impact envisagé'!$A$780=AG22,LEN(SUBSTITUTE((SUBSTITUTE(BG28,"TM","")),"TS",""))*10/2,0))/COUNTIF('Eval-Avec impact envisagé'!$A$761:$A$780,AG22),"")</f>
        <v/>
      </c>
      <c r="AU22" s="211" t="str">
        <f>IF(COUNTIF('Eval-Avec impact envisagé'!$A$761:$A$780,AG22)&gt;0,SUM(IF('Eval-Avec impact envisagé'!$A$761=AG22,LEN(SUBSTITUTE((SUBSTITUTE(BG9,"TF","")),"TS",""))*10/2,0),IF('Eval-Avec impact envisagé'!$A$762=AG22,LEN(SUBSTITUTE((SUBSTITUTE(BG10,"TF","")),"TS",""))*10/2,0),IF('Eval-Avec impact envisagé'!$A$763=AG22,LEN(SUBSTITUTE((SUBSTITUTE(BG11,"TF","")),"TS",""))*10/2,0),IF('Eval-Avec impact envisagé'!$A$764=AG22,LEN(SUBSTITUTE((SUBSTITUTE(BG12,"TF","")),"TS",""))*10/2,0),IF('Eval-Avec impact envisagé'!$A$765=AG22,LEN(SUBSTITUTE((SUBSTITUTE(BG13,"TF","")),"TS",""))*10/2,0),IF('Eval-Avec impact envisagé'!$A$766=AG22,LEN(SUBSTITUTE((SUBSTITUTE(BG14,"TF","")),"TS",""))*10/2,0),IF('Eval-Avec impact envisagé'!$A$767=AG22,LEN(SUBSTITUTE((SUBSTITUTE(BG15,"TF","")),"TS",""))*10/2,0),IF('Eval-Avec impact envisagé'!$A$768=AG22,LEN(SUBSTITUTE((SUBSTITUTE(BG16,"TF","")),"TS",""))*10/2,0),IF('Eval-Avec impact envisagé'!$A$769=AG22,LEN(SUBSTITUTE((SUBSTITUTE(BG17,"TF","")),"TS",""))*10/2,0),IF('Eval-Avec impact envisagé'!$A$770=AG22,LEN(SUBSTITUTE((SUBSTITUTE(BG18,"TF","")),"TS",""))*10/2,0),IF('Eval-Avec impact envisagé'!$A$771=AG22,LEN(SUBSTITUTE((SUBSTITUTE(BG19,"TF","")),"TS",""))*10/2,0),IF('Eval-Avec impact envisagé'!$A$772=AG22,LEN(SUBSTITUTE((SUBSTITUTE(BG20,"TF","")),"TS",""))*10/2,0),IF('Eval-Avec impact envisagé'!$A$773=AG22,LEN(SUBSTITUTE((SUBSTITUTE(BG21,"TF","")),"TS",""))*10/2,0),IF('Eval-Avec impact envisagé'!$A$774=AG22,LEN(SUBSTITUTE((SUBSTITUTE(BG22,"TF","")),"TS",""))*10/2,0),IF('Eval-Avec impact envisagé'!$A$775=AG22,LEN(SUBSTITUTE((SUBSTITUTE(BG23,"TF","")),"TS",""))*10/2,0),IF('Eval-Avec impact envisagé'!$A$776=AG22,LEN(SUBSTITUTE((SUBSTITUTE(BG24,"TF","")),"TS",""))*10/2,0),IF('Eval-Avec impact envisagé'!$A$777=AG22,LEN(SUBSTITUTE((SUBSTITUTE(BG25,"TF","")),"TS",""))*10/2,0),IF('Eval-Avec impact envisagé'!$A$778=AG22,LEN(SUBSTITUTE((SUBSTITUTE(BG26,"TF","")),"TS",""))*10/2,0),IF('Eval-Avec impact envisagé'!$A$779=AG22,LEN(SUBSTITUTE((SUBSTITUTE(BG27,"TF","")),"TS",""))*10/2,0),IF('Eval-Avec impact envisagé'!$A$780=AG22,LEN(SUBSTITUTE((SUBSTITUTE(BG28,"TF","")),"TS",""))*10/2,0))/COUNTIF('Eval-Avec impact envisagé'!$A$761:$A$780,AG22),"")</f>
        <v/>
      </c>
      <c r="AV22" s="211" t="str">
        <f>IF(COUNTIF('Eval-Avec impact envisagé'!$A$761:$A$780,AG22)&gt;0,SUM(IF('Eval-Avec impact envisagé'!$A$761=AG22,LEN(SUBSTITUTE((SUBSTITUTE(BG9,"TF","")),"TM",""))*10/2,0),IF('Eval-Avec impact envisagé'!$A$762=AG22,LEN(SUBSTITUTE((SUBSTITUTE(BG10,"TF","")),"TM",""))*10/2,0),IF('Eval-Avec impact envisagé'!$A$763=AG22,LEN(SUBSTITUTE((SUBSTITUTE(BG11,"TF","")),"TM",""))*10/2,0),IF('Eval-Avec impact envisagé'!$A$764=AG22,LEN(SUBSTITUTE((SUBSTITUTE(BG12,"TF","")),"TM",""))*10/2,0),IF('Eval-Avec impact envisagé'!$A$765=AG22,LEN(SUBSTITUTE((SUBSTITUTE(BG13,"TF","")),"TM",""))*10/2,0),IF('Eval-Avec impact envisagé'!$A$766=AG22,LEN(SUBSTITUTE((SUBSTITUTE(BG14,"TF","")),"TM",""))*10/2,0),IF('Eval-Avec impact envisagé'!$A$767=AG22,LEN(SUBSTITUTE((SUBSTITUTE(BG15,"TF","")),"TM",""))*10/2,0),IF('Eval-Avec impact envisagé'!$A$768=AG22,LEN(SUBSTITUTE((SUBSTITUTE(BG16,"TF","")),"TM",""))*10/2,0),IF('Eval-Avec impact envisagé'!$A$769=AG22,LEN(SUBSTITUTE((SUBSTITUTE(BG17,"TF","")),"TM",""))*10/2,0),IF('Eval-Avec impact envisagé'!$A$770=AG22,LEN(SUBSTITUTE((SUBSTITUTE(BG18,"TF","")),"TM",""))*10/2,0),IF('Eval-Avec impact envisagé'!$A$771=AG22,LEN(SUBSTITUTE((SUBSTITUTE(BG19,"TF","")),"TM",""))*10/2,0),IF('Eval-Avec impact envisagé'!$A$772=AG22,LEN(SUBSTITUTE((SUBSTITUTE(BG20,"TF","")),"TM",""))*10/2,0),IF('Eval-Avec impact envisagé'!$A$773=AG22,LEN(SUBSTITUTE((SUBSTITUTE(BG21,"TF","")),"TM",""))*10/2,0),IF('Eval-Avec impact envisagé'!$A$774=AG22,LEN(SUBSTITUTE((SUBSTITUTE(BG22,"TF","")),"TM",""))*10/2,0),IF('Eval-Avec impact envisagé'!$A$775=AG22,LEN(SUBSTITUTE((SUBSTITUTE(BG23,"TF","")),"TM",""))*10/2,0),IF('Eval-Avec impact envisagé'!$A$776=AG22,LEN(SUBSTITUTE((SUBSTITUTE(BG24,"TF","")),"TM",""))*10/2,0),IF('Eval-Avec impact envisagé'!$A$777=AG22,LEN(SUBSTITUTE((SUBSTITUTE(BG25,"TF","")),"TM",""))*10/2,0),IF('Eval-Avec impact envisagé'!$A$778=AG22,LEN(SUBSTITUTE((SUBSTITUTE(BG26,"TF","")),"TM",""))*10/2,0),IF('Eval-Avec impact envisagé'!$A$779=AG22,LEN(SUBSTITUTE((SUBSTITUTE(BG27,"TF","")),"TM",""))*10/2,0),IF('Eval-Avec impact envisagé'!$A$780=AG22,LEN(SUBSTITUTE((SUBSTITUTE(BG28,"TF","")),"TM",""))*10/2,0))/COUNTIF('Eval-Avec impact envisagé'!$A$761:$A$780,AG22),"")</f>
        <v/>
      </c>
      <c r="AW22" s="211" t="str">
        <f>IF(COUNTIF('Eval-Avec impact envisagé'!$A$761:$A$780,AG22)&gt;0,IF(OR(AND('Eval-Avec impact envisagé'!$A$761=AG22,BD9&lt;30),AND('Eval-Avec impact envisagé'!$A$762=AG22,BD10&lt;30),AND('Eval-Avec impact envisagé'!$A$763=AG22,BD11&lt;30),AND('Eval-Avec impact envisagé'!$A$764=AG22,BD12&lt;30),AND('Eval-Avec impact envisagé'!$A$765=AG22,BD13&lt;30),AND('Eval-Avec impact envisagé'!$A$766=AG22,BD14&lt;30),AND('Eval-Avec impact envisagé'!$A$767=AG22,BD15&lt;30),AND('Eval-Avec impact envisagé'!$A$768=AG22,BD16&lt;30),AND('Eval-Avec impact envisagé'!$A$769=AG22,BD17&lt;30),AND('Eval-Avec impact envisagé'!$A$770=AG22,BD18&lt;30),AND('Eval-Avec impact envisagé'!$A$771=AG22,BD19&lt;30),AND('Eval-Avec impact envisagé'!$A$772=AG22,BD20&lt;30),AND('Eval-Avec impact envisagé'!$A$773=AG22,BD21&lt;30),AND('Eval-Avec impact envisagé'!$A$774=AG22,BD22&lt;30),AND('Eval-Avec impact envisagé'!$A$775=AG22,BD23&lt;30),AND('Eval-Avec impact envisagé'!$A$776=AG22,BD24&lt;30),AND('Eval-Avec impact envisagé'!$A$777=AG22,BD25&lt;30),AND('Eval-Avec impact envisagé'!$A$778=AG22,BD26&lt;30),AND('Eval-Avec impact envisagé'!$A$779=AG22,BD27&lt;30),AND('Eval-Avec impact envisagé'!$A$780=AG22,BD28&lt;30)),"",SUM(0.1*(SUMPRODUCT(('Eval-Avec impact envisagé'!$A$761:$A$780=AG22)*('Eval-Avec impact envisagé'!$N$761:$P$780="A"))+ SUMPRODUCT(('Eval-Avec impact envisagé'!$A$761:$A$780=AG22)*('Eval-Avec impact envisagé'!$N$761:$P$780="AL"))),0.7*(SUMPRODUCT(('Eval-Avec impact envisagé'!$A$761:$A$780=AG22)*('Eval-Avec impact envisagé'!$N$761:$P$780="TF"))+SUMPRODUCT(('Eval-Avec impact envisagé'!$A$761:$A$780=AG22)*('Eval-Avec impact envisagé'!$N$761:$P$780="TM"))+SUMPRODUCT(('Eval-Avec impact envisagé'!$A$761:$A$780=AG22)*('Eval-Avec impact envisagé'!$N$761:$P$780="TS"))),0.4*(SUMPRODUCT(('Eval-Avec impact envisagé'!$A$761:$A$780=AG22)*('Eval-Avec impact envisagé'!$N$761:$P$780="LA"))+SUMPRODUCT(('Eval-Avec impact envisagé'!$A$761:$A$780=AG22)*('Eval-Avec impact envisagé'!$N$761:$P$780="L"))+SUMPRODUCT(('Eval-Avec impact envisagé'!$A$761:$A$780=AG22)*('Eval-Avec impact envisagé'!$N$761:$P$780="LS"))),1*(SUMPRODUCT(('Eval-Avec impact envisagé'!$A$761:$A$780=AG22)*('Eval-Avec impact envisagé'!$N$761:$P$780="SL"))+ SUMPRODUCT(('Eval-Avec impact envisagé'!$A$761:$A$780=AG22)*('Eval-Avec impact envisagé'!$N$761:$P$780="S"))))/(3*COUNTIF('Eval-Avec impact envisagé'!$A$761:$A$780,AG22))),"")</f>
        <v/>
      </c>
      <c r="AX22" s="211" t="str">
        <f>IF(COUNTIF('Eval-Avec impact envisagé'!$A$761:$A$780,AG22)&gt;0,IF(OR(AND('Eval-Avec impact envisagé'!$A$761=AG22,BD9&lt;120),AND('Eval-Avec impact envisagé'!$A$762=AG22,BD10&lt;120),AND('Eval-Avec impact envisagé'!$A$763=AG22,BD11&lt;120),AND('Eval-Avec impact envisagé'!$A$764=AG22,BD12&lt;120),AND('Eval-Avec impact envisagé'!$A$765=AG22,BD13&lt;120),AND('Eval-Avec impact envisagé'!$A$766=AG22,BD14&lt;120),AND('Eval-Avec impact envisagé'!$A$767=AG22,BD15&lt;120),AND('Eval-Avec impact envisagé'!$A$768=AG22,BD16&lt;120),AND('Eval-Avec impact envisagé'!$A$769=AG22,BD17&lt;120),AND('Eval-Avec impact envisagé'!$A$770=AG22,BD18&lt;120),AND('Eval-Avec impact envisagé'!$A$771=AG22,BD19&lt;120),AND('Eval-Avec impact envisagé'!$A$772=AG22,BD20&lt;120),AND('Eval-Avec impact envisagé'!$A$773=AG22,BD21&lt;120),AND('Eval-Avec impact envisagé'!$A$774=AG22,BD22&lt;120),AND('Eval-Avec impact envisagé'!$A$775=AG22,BD23&lt;120),AND('Eval-Avec impact envisagé'!$A$776=AG22,BD24&lt;120),AND('Eval-Avec impact envisagé'!$A$777=AG22,BD25&lt;120),AND('Eval-Avec impact envisagé'!$A$778=AG22,BD26&lt;120),AND('Eval-Avec impact envisagé'!$A$779=AG22,BD27&lt;120),AND('Eval-Avec impact envisagé'!$A$780=AG22,BD28&lt;120)),"",SUM(0.1*(SUMPRODUCT(('Eval-Avec impact envisagé'!$A$761:$A$780=AG22)*('Eval-Avec impact envisagé'!$Q$761:$Y$780="A"))+ SUMPRODUCT(('Eval-Avec impact envisagé'!$A$761:$A$780=AG22)*('Eval-Avec impact envisagé'!$Q$761:$Y$780="AL"))),0.7*(SUMPRODUCT(('Eval-Avec impact envisagé'!$A$761:$A$780=AG22)*('Eval-Avec impact envisagé'!$Q$761:$Y$780="TF"))+SUMPRODUCT(('Eval-Avec impact envisagé'!$A$761:$A$780=AG22)*('Eval-Avec impact envisagé'!$Q$761:$Y$780="TM"))+SUMPRODUCT(('Eval-Avec impact envisagé'!$A$761:$A$780=AG22)*('Eval-Avec impact envisagé'!$Q$761:$Y$780="TS"))),0.4*(SUMPRODUCT(('Eval-Avec impact envisagé'!$A$761:$A$780=AG22)*('Eval-Avec impact envisagé'!$Q$761:$Y$780="LA"))+SUMPRODUCT(('Eval-Avec impact envisagé'!$A$761:$A$780=AG22)*('Eval-Avec impact envisagé'!$Q$761:$Y$780="L"))+SUMPRODUCT(('Eval-Avec impact envisagé'!$A$761:$A$780=AG22)*('Eval-Avec impact envisagé'!$Q$761:$Y$780="LS"))),1*(SUMPRODUCT(('Eval-Avec impact envisagé'!$A$761:$A$780=AG22)*('Eval-Avec impact envisagé'!$Q$761:$Y$780="SL"))+ SUMPRODUCT(('Eval-Avec impact envisagé'!$A$761:$A$780=AG22)*('Eval-Avec impact envisagé'!$Q$761:$Y$780="S"))))/(9*COUNTIF('Eval-Avec impact envisagé'!$A$761:$A$780,AG22))),"")</f>
        <v/>
      </c>
      <c r="AY22" s="211" t="str">
        <f>IF(COUNTIF('Eval-Avec impact envisagé'!$A$761:$A$780,AG22)&gt;0,IF(OR(AND('Eval-Avec impact envisagé'!$A$761=AG22,OR(COUNTIF('Eval-Avec impact envisagé'!$N$761:$P$761,"*T*")&gt;0,BD9&lt;30)),AND('Eval-Avec impact envisagé'!$A$762=AG22,OR(COUNTIF('Eval-Avec impact envisagé'!$N$762:$P$762,"*T*")&gt;0,BD10&lt;30)),AND('Eval-Avec impact envisagé'!$A$763=AG22,OR(COUNTIF('Eval-Avec impact envisagé'!$N$763:$P$763,"*T*")&gt;0,BD11&lt;30)),AND('Eval-Avec impact envisagé'!$A$764=AG22,OR(COUNTIF('Eval-Avec impact envisagé'!$N$764:$P$764,"*T*")&gt;0,BD12&lt;30)),AND('Eval-Avec impact envisagé'!$A$765=AG22,OR(COUNTIF('Eval-Avec impact envisagé'!$N$765:$P$765,"*T*")&gt;0,BD13&lt;30)),AND('Eval-Avec impact envisagé'!$A$766=AG22,OR(COUNTIF('Eval-Avec impact envisagé'!$N$766:$P$766,"*T*")&gt;0,BD14&lt;30)),AND('Eval-Avec impact envisagé'!$A$767=AG22,OR(COUNTIF('Eval-Avec impact envisagé'!$N$767:$P$767,"*T*")&gt;0,BD15&lt;30)),AND('Eval-Avec impact envisagé'!$A$768=AG22,OR(COUNTIF('Eval-Avec impact envisagé'!$N$768:$P$768,"*T*")&gt;0,BD16&lt;30)),AND('Eval-Avec impact envisagé'!$A$769=AG22,OR(COUNTIF('Eval-Avec impact envisagé'!$N$769:$P$769,"*T*")&gt;0,BD17&lt;30)),AND('Eval-Avec impact envisagé'!$A$770=AG22,OR(COUNTIF('Eval-Avec impact envisagé'!$N$770:$P$770,"*T*")&gt;0,BD18&lt;30)),AND('Eval-Avec impact envisagé'!$A$771=AG22,OR(COUNTIF('Eval-Avec impact envisagé'!$N$771:$P$771,"*T*")&gt;0,BD19&lt;30)),AND('Eval-Avec impact envisagé'!$A$772=AG22,OR(COUNTIF('Eval-Avec impact envisagé'!$N$772:$P$772,"*T*")&gt;0,BD20&lt;30)),AND('Eval-Avec impact envisagé'!$A$773=AG22,OR(COUNTIF('Eval-Avec impact envisagé'!$N$773:$P$773,"*T*")&gt;0,BD21&lt;30)),AND('Eval-Avec impact envisagé'!$A$774=AG22,OR(COUNTIF('Eval-Avec impact envisagé'!$N$774:$P$774,"*T*")&gt;0,BD22&lt;30)),AND('Eval-Avec impact envisagé'!$A$775=AG22,OR(COUNTIF('Eval-Avec impact envisagé'!$N$775:$P$775,"*T*")&gt;0,BD23&lt;30)),AND('Eval-Avec impact envisagé'!$A$776=AG22,OR(COUNTIF('Eval-Avec impact envisagé'!$N$776:$P$776,"*T*")&gt;0,BD24&lt;30)),AND('Eval-Avec impact envisagé'!$A$777=AG22,OR(COUNTIF('Eval-Avec impact envisagé'!$N$777:$P$777,"*T*")&gt;0,BD25&lt;30)),AND('Eval-Avec impact envisagé'!$A$778=AG22,OR(COUNTIF('Eval-Avec impact envisagé'!$N$778:$P$778,"*T*")&gt;0,BD26&lt;30)),AND('Eval-Avec impact envisagé'!$A$779=AG22,OR(COUNTIF('Eval-Avec impact envisagé'!$N$779:$P$779,"*T*")&gt;0,BD27&lt;30)),AND('Eval-Avec impact envisagé'!$A$780=AG22,OR(COUNTIF('Eval-Avec impact envisagé'!$N$780:$P$780,"*T*")&gt;0,BD28&lt;30))),"",SUM(0.1*(SUMPRODUCT(('Eval-Avec impact envisagé'!$A$761:$A$780=AG22)*('Eval-Avec impact envisagé'!$N$761:$P$780="L"))),0.4*(SUMPRODUCT(('Eval-Avec impact envisagé'!$A$761:$A$780=AG22)*('Eval-Avec impact envisagé'!$N$761:$P$780="LA"))+SUMPRODUCT(('Eval-Avec impact envisagé'!$A$761:$A$780=AG22)*('Eval-Avec impact envisagé'!$N$761:$P$780="LS"))),0.7*(SUMPRODUCT(('Eval-Avec impact envisagé'!$A$761:$A$780=AG22)*('Eval-Avec impact envisagé'!$N$761:$P$780="AL"))+SUMPRODUCT(('Eval-Avec impact envisagé'!$A$761:$A$780=AG22)*('Eval-Avec impact envisagé'!$N$761:$P$780="SL"))),1*(SUMPRODUCT(('Eval-Avec impact envisagé'!$A$761:$A$780=AG22)*('Eval-Avec impact envisagé'!$N$761:$P$780="S"))+ SUMPRODUCT(('Eval-Avec impact envisagé'!$A$761:$A$780=AG22)*('Eval-Avec impact envisagé'!$N$761:$P$780="A"))))/(3*COUNTIF('Eval-Avec impact envisagé'!$A$761:$A$780,AG22))),"")</f>
        <v/>
      </c>
      <c r="AZ22" s="211" t="str">
        <f>IF(COUNTIF('Eval-Avec impact envisagé'!$A$761:$A$780,AG22)&gt;0,IF(OR(AND('Eval-Avec impact envisagé'!$A$761=AG22,OR(COUNTIF('Eval-Avec impact envisagé'!$N$761:$P$761,"*T*")&gt;0,BD9&lt;30)),AND('Eval-Avec impact envisagé'!$A$762=AG22,OR(COUNTIF('Eval-Avec impact envisagé'!$N$762:$P$762,"*T*")&gt;0,BD10&lt;30)),AND('Eval-Avec impact envisagé'!$A$763=AG22,OR(COUNTIF('Eval-Avec impact envisagé'!$N$763:$P$763,"*T*")&gt;0,BD11&lt;30)),AND('Eval-Avec impact envisagé'!$A$764=AG22,OR(COUNTIF('Eval-Avec impact envisagé'!$N$764:$P$764,"*T*")&gt;0,BD12&lt;30)),AND('Eval-Avec impact envisagé'!$A$765=AG22,OR(COUNTIF('Eval-Avec impact envisagé'!$N$765:$P$765,"*T*")&gt;0,BD13&lt;30)),AND('Eval-Avec impact envisagé'!$A$766=AG22,OR(COUNTIF('Eval-Avec impact envisagé'!$N$766:$P$766,"*T*")&gt;0,BD14&lt;30)),AND('Eval-Avec impact envisagé'!$A$767=AG22,OR(COUNTIF('Eval-Avec impact envisagé'!$N$767:$P$767,"*T*")&gt;0,BD15&lt;30)),AND('Eval-Avec impact envisagé'!$A$768=AG22,OR(COUNTIF('Eval-Avec impact envisagé'!$N$768:$P$768,"*T*")&gt;0,BD16&lt;30)),AND('Eval-Avec impact envisagé'!$A$769=AG22,OR(COUNTIF('Eval-Avec impact envisagé'!$N$769:$P$769,"*T*")&gt;0,BD17&lt;30)),AND('Eval-Avec impact envisagé'!$A$770=AG22,OR(COUNTIF('Eval-Avec impact envisagé'!$N$770:$P$770,"*T*")&gt;0,BD18&lt;30)),AND('Eval-Avec impact envisagé'!$A$771=AG22,OR(COUNTIF('Eval-Avec impact envisagé'!$N$771:$P$771,"*T*")&gt;0,BD19&lt;30)),AND('Eval-Avec impact envisagé'!$A$772=AG22,OR(COUNTIF('Eval-Avec impact envisagé'!$N$772:$P$772,"*T*")&gt;0,BD20&lt;30)),AND('Eval-Avec impact envisagé'!$A$773=AG22,OR(COUNTIF('Eval-Avec impact envisagé'!$N$773:$P$773,"*T*")&gt;0,BD21&lt;30)),AND('Eval-Avec impact envisagé'!$A$774=AG22,OR(COUNTIF('Eval-Avec impact envisagé'!$N$774:$P$774,"*T*")&gt;0,BD22&lt;30)),AND('Eval-Avec impact envisagé'!$A$775=AG22,OR(COUNTIF('Eval-Avec impact envisagé'!$N$775:$P$775,"*T*")&gt;0,BD23&lt;30)),AND('Eval-Avec impact envisagé'!$A$776=AG22,OR(COUNTIF('Eval-Avec impact envisagé'!$N$776:$P$776,"*T*")&gt;0,BD24&lt;30)),AND('Eval-Avec impact envisagé'!$A$777=AG22,OR(COUNTIF('Eval-Avec impact envisagé'!$N$777:$P$777,"*T*")&gt;0,BD25&lt;30)),AND('Eval-Avec impact envisagé'!$A$778=AG22,OR(COUNTIF('Eval-Avec impact envisagé'!$N$778:$P$778,"*T*")&gt;0,BD26&lt;30)),AND('Eval-Avec impact envisagé'!$A$779=AG22,OR(COUNTIF('Eval-Avec impact envisagé'!$N$779:$P$779,"*T*")&gt;0,BD27&lt;30)),AND('Eval-Avec impact envisagé'!$A$780=AG22,OR(COUNTIF('Eval-Avec impact envisagé'!$N$780:$P$780,"*T*")&gt;0,BD28&lt;30))),"",SUM(1*(SUMPRODUCT(('Eval-Avec impact envisagé'!$A$761:$A$780=AG22)*('Eval-Avec impact envisagé'!$N$761:$P$780="A"))),0.85*(SUMPRODUCT(('Eval-Avec impact envisagé'!$A$761:$A$780=AG22)*('Eval-Avec impact envisagé'!$N$761:$P$780="AL"))),0.7*(SUMPRODUCT(('Eval-Avec impact envisagé'!$A$761:$A$780=AG22)*('Eval-Avec impact envisagé'!$N$761:$P$780="LA"))),0.55*(SUMPRODUCT(('Eval-Avec impact envisagé'!$A$761:$A$780=AG22)*('Eval-Avec impact envisagé'!$N$761:$P$780="L"))),0.4*(SUMPRODUCT(('Eval-Avec impact envisagé'!$A$761:$A$780=AG22)*('Eval-Avec impact envisagé'!$N$761:$P$780="LS"))),0.25*(SUMPRODUCT(('Eval-Avec impact envisagé'!$A$761:$A$780=AG22)*('Eval-Avec impact envisagé'!$N$761:$P$780="SL"))),0.1*(SUMPRODUCT(('Eval-Avec impact envisagé'!$A$761:$A$780=AG22)*('Eval-Avec impact envisagé'!$N$761:$P$780="S"))))/(3*COUNTIF('Eval-Avec impact envisagé'!$A$761:$A$780,AG22))),"")</f>
        <v/>
      </c>
      <c r="BA22" s="214" t="str">
        <f>IF(COUNTIF('Eval-Avec impact envisagé'!$A$761:$A$780,AG22)&gt;0,IF(OR(AND('Eval-Avec impact envisagé'!$A$761=AG22,OR(COUNTIF('Eval-Avec impact envisagé'!$Q$761:$Y$761,"*T*")&gt;0,BD9&lt;120)),AND('Eval-Avec impact envisagé'!$A$762=AG22,OR(COUNTIF('Eval-Avec impact envisagé'!$Q$762:$Y$762,"*T*")&gt;0,BD10&lt;120)),AND('Eval-Avec impact envisagé'!$A$763=AG22,OR(COUNTIF('Eval-Avec impact envisagé'!$Q$763:$Y$763,"*T*")&gt;0,BD11&lt;120)),AND('Eval-Avec impact envisagé'!$A$764=AG22,OR(COUNTIF('Eval-Avec impact envisagé'!$Q$764:$Y$764,"*T*")&gt;0,BD12&lt;120)),AND('Eval-Avec impact envisagé'!$A$765=AG22,OR(COUNTIF('Eval-Avec impact envisagé'!$Q$765:$Y$765,"*T*")&gt;0,BD13&lt;120)),AND('Eval-Avec impact envisagé'!$A$766=AG22,OR(COUNTIF('Eval-Avec impact envisagé'!$Q$766:$Y$766,"*T*")&gt;0,BD14&lt;120)),AND('Eval-Avec impact envisagé'!$A$767=AG22,OR(COUNTIF('Eval-Avec impact envisagé'!$Q$767:$Y$767,"*T*")&gt;0,BD15&lt;120)),AND('Eval-Avec impact envisagé'!$A$768=AG22,OR(COUNTIF('Eval-Avec impact envisagé'!$Q$768:$Y$768,"*T*")&gt;0,BD16&lt;120)),AND('Eval-Avec impact envisagé'!$A$769=AG22,OR(COUNTIF('Eval-Avec impact envisagé'!$Q$769:$Y$769,"*T*")&gt;0,BD17&lt;120)),AND('Eval-Avec impact envisagé'!$A$770=AG22,OR(COUNTIF('Eval-Avec impact envisagé'!$Q$770:$Y$770,"*T*")&gt;0,BD18&lt;120)),AND('Eval-Avec impact envisagé'!$A$771=AG22,OR(COUNTIF('Eval-Avec impact envisagé'!$Q$771:$Y$771,"*T*")&gt;0,BD19&lt;120)),AND('Eval-Avec impact envisagé'!$A$772=AG22,OR(COUNTIF('Eval-Avec impact envisagé'!$Q$772:$Y$772,"*T*")&gt;0,BD20&lt;120)),AND('Eval-Avec impact envisagé'!$A$773=AG22,OR(COUNTIF('Eval-Avec impact envisagé'!$Q$773:$Y$773,"*T*")&gt;0,BD21&lt;120)),AND('Eval-Avec impact envisagé'!$A$774=AG22,OR(COUNTIF('Eval-Avec impact envisagé'!$Q$774:$Y$774,"*T*")&gt;0,BD22&lt;120)),AND('Eval-Avec impact envisagé'!$A$775=AG22,OR(COUNTIF('Eval-Avec impact envisagé'!$Q$775:$Y$775,"*T*")&gt;0,BD23&lt;120)),AND('Eval-Avec impact envisagé'!$A$776=AG22,OR(COUNTIF('Eval-Avec impact envisagé'!$Q$776:$Y$776,"*T*")&gt;0,BD24&lt;120)),AND('Eval-Avec impact envisagé'!$A$777=AG22,OR(COUNTIF('Eval-Avec impact envisagé'!$Q$777:$Y$777,"*T*")&gt;0,BD25&lt;120)),AND('Eval-Avec impact envisagé'!$A$778=AG22,OR(COUNTIF('Eval-Avec impact envisagé'!$Q$778:$Y$778,"*T*")&gt;0,BD26&lt;120)),AND('Eval-Avec impact envisagé'!$A$779=AG22,OR(COUNTIF('Eval-Avec impact envisagé'!$Q$779:$Y$779,"*T*")&gt;0,BD27&lt;120)),AND('Eval-Avec impact envisagé'!$A$780=AG22,OR(COUNTIF('Eval-Avec impact envisagé'!$Q$780:$Y$780,"*T*")&gt;0,BD28&lt;120))),"",SUM(1*(SUMPRODUCT(('Eval-Avec impact envisagé'!$A$761:$A$780=AG22)*('Eval-Avec impact envisagé'!$Q$761:$Y$780="A"))),0.85*(SUMPRODUCT(('Eval-Avec impact envisagé'!$A$761:$A$780=AG22)*('Eval-Avec impact envisagé'!$Q$761:$Y$780="AL"))),0.7*(SUMPRODUCT(('Eval-Avec impact envisagé'!$A$761:$A$780=AG22)*('Eval-Avec impact envisagé'!$Q$761:$Y$780="LA"))),0.55*(SUMPRODUCT(('Eval-Avec impact envisagé'!$A$761:$A$780=AG22)*('Eval-Avec impact envisagé'!$Q$761:$Y$780="L"))),0.4*(SUMPRODUCT(('Eval-Avec impact envisagé'!$A$761:$A$780=AG22)*('Eval-Avec impact envisagé'!$Q$761:$Y$780="LS"))),0.25*(SUMPRODUCT(('Eval-Avec impact envisagé'!$A$761:$A$780=AG22)*('Eval-Avec impact envisagé'!$Q$761:$Y$780="SL"))),0.1*(SUMPRODUCT(('Eval-Avec impact envisagé'!$A$761:$A$780=AG22)*('Eval-Avec impact envisagé'!$Q$761:$Y$780="S"))))/(9*COUNTIF('Eval-Avec impact envisagé'!$A$761:$A$780,AG22))),"")</f>
        <v/>
      </c>
      <c r="BB22" s="215"/>
      <c r="BC22" s="216">
        <f>'Eval-Avec impact envisagé'!$D$774</f>
        <v>14</v>
      </c>
      <c r="BD22" s="217" t="str">
        <f>IF(BE22="C",0,IF(IF(COUNTIF('Eval-Avec impact envisagé'!$N$774:$Y$774,"=C")&gt;0,(COUNTA('Eval-Avec impact envisagé'!$N$774:$Y$774)-1)*10,COUNTA('Eval-Avec impact envisagé'!$N$774:$Y$774)*10)=0,"",IF(COUNTIF('Eval-Avec impact envisagé'!$N$774:$Y$774,"=C")&gt;0,(COUNTA('Eval-Avec impact envisagé'!$N$774:$Y$774)-1)*10,COUNTA('Eval-Avec impact envisagé'!$N$774:$Y$774)*10)))</f>
        <v/>
      </c>
      <c r="BE22" s="217" t="str">
        <f>CONCATENATE('Eval-Avec impact envisagé'!$N$774,'Eval-Avec impact envisagé'!$O$774,'Eval-Avec impact envisagé'!$P$774,'Eval-Avec impact envisagé'!$Q$774,'Eval-Avec impact envisagé'!$R$774,'Eval-Avec impact envisagé'!$S$774,'Eval-Avec impact envisagé'!$T$774,'Eval-Avec impact envisagé'!$U$774,'Eval-Avec impact envisagé'!$V$774,'Eval-Avec impact envisagé'!$W$774,'Eval-Avec impact envisagé'!$X$774,'Eval-Avec impact envisagé'!$Y$774)</f>
        <v/>
      </c>
      <c r="BF22" s="217" t="str">
        <f t="shared" si="4"/>
        <v/>
      </c>
      <c r="BG22" s="217" t="str">
        <f t="shared" si="5"/>
        <v/>
      </c>
      <c r="BH22" s="217" t="str">
        <f>IF(COUNTIF('Eval-Avec impact envisagé'!$N$774:$Y$774,"=C")&gt;0,"X","")</f>
        <v/>
      </c>
      <c r="BI22" s="217" t="str">
        <f t="shared" si="6"/>
        <v/>
      </c>
      <c r="BJ22" s="218" t="str">
        <f t="shared" si="7"/>
        <v/>
      </c>
      <c r="BK22" s="197"/>
      <c r="BM22" s="210">
        <v>14</v>
      </c>
      <c r="BN22" s="211" t="str">
        <f>IF(COUNTIF('Eval-Après impact'!$A$761:$A$780,BM22)&gt;0,SUM(IF('Eval-Après impact'!$A$761=BM22,'Eval-Après impact'!$B$761,0),IF('Eval-Après impact'!$A$762=BM22, 'Eval-Après impact'!$B$762,0),IF('Eval-Après impact'!$A$763=BM22, 'Eval-Après impact'!$B$763,0),IF('Eval-Après impact'!$A$764=BM22, 'Eval-Après impact'!$B$764,0),IF('Eval-Après impact'!$A$765=BM22, 'Eval-Après impact'!$B$765,0),IF('Eval-Après impact'!$A$766=BM22, 'Eval-Après impact'!$B$766,0),IF('Eval-Après impact'!$A$767=BM22, 'Eval-Après impact'!$B$767,0),IF('Eval-Après impact'!$A$768=BM22, 'Eval-Après impact'!$B$768,0),IF('Eval-Après impact'!$A$769=BM22, 'Eval-Après impact'!$B$769,0),IF('Eval-Après impact'!$A$770=BM22, 'Eval-Après impact'!$B$770,0),IF('Eval-Après impact'!$A$771=BM22, 'Eval-Après impact'!$B$771,0),IF('Eval-Après impact'!$A$772=BM22, 'Eval-Après impact'!$B$772,0),IF('Eval-Après impact'!$A$773=BM22, 'Eval-Après impact'!$B$773,0),IF('Eval-Après impact'!$A$774=BM22, 'Eval-Après impact'!$B$774,0),IF('Eval-Après impact'!$A$775=BM22, 'Eval-Après impact'!$B$775,0),IF('Eval-Après impact'!$A$776=BM22, 'Eval-Après impact'!$B$776,0),IF('Eval-Après impact'!$A$777=BM22, 'Eval-Après impact'!$B$777,0),IF('Eval-Après impact'!$A$778=BM22, 'Eval-Après impact'!$B$778,0),IF('Eval-Après impact'!$A$779=BM22, 'Eval-Après impact'!$B$779,0),IF('Eval-Après impact'!$A$780=BM22, 'Eval-Après impact'!$B$780,0))/COUNTIF('Eval-Après impact'!$A$761:$A$780,BM22),"")</f>
        <v/>
      </c>
      <c r="BO22" s="212" t="str">
        <f>IF(COUNTIF('Eval-Après impact'!$A$761:$A$780,BM22)&gt;0,COUNTIF('Eval-Après impact'!$A$761:$A$780,BM22),"")</f>
        <v/>
      </c>
      <c r="BP22" s="211" t="str">
        <f>IF(COUNTIF('Eval-Après impact'!$A$761:$A$780,BM22)&gt;0,IF(OR(AND('Eval-Après impact'!$A$761=BM22, 'Eval-Après impact'!$G$761=""),AND('Eval-Après impact'!$A$762=BM22, 'Eval-Après impact'!$G$762=""),AND('Eval-Après impact'!$A$763=BM22, 'Eval-Après impact'!$G$763=""),AND('Eval-Après impact'!$A$764=BM22, 'Eval-Après impact'!$G$764=""),AND('Eval-Après impact'!$A$765=BM22, 'Eval-Après impact'!$G$765=""),AND('Eval-Après impact'!$A$766=BM22, 'Eval-Après impact'!$G$766=""),AND('Eval-Après impact'!$A$767=BM22, 'Eval-Après impact'!$G$767=""),AND('Eval-Après impact'!$A$768=BM22, 'Eval-Après impact'!$G$768=""),AND('Eval-Après impact'!$A$769=BM22, 'Eval-Après impact'!$G$769=""),AND('Eval-Après impact'!$A$770=BM22, 'Eval-Après impact'!$G$770=""),AND('Eval-Après impact'!$A$771=BM22, 'Eval-Après impact'!$G$771=""),AND('Eval-Après impact'!$A$772=BM22, 'Eval-Après impact'!$G$772=""),AND('Eval-Après impact'!$A$773=BM22, 'Eval-Après impact'!$G$773=""),AND('Eval-Après impact'!$A$774=BM22, 'Eval-Après impact'!$G$774=""),AND('Eval-Après impact'!$A$775=BM22, 'Eval-Après impact'!$G$775=""),AND('Eval-Après impact'!$A$776=BM22, 'Eval-Après impact'!$G$776=""),AND('Eval-Après impact'!$A$777=BM22, 'Eval-Après impact'!$G$777=""),AND('Eval-Après impact'!$A$778=BM22, 'Eval-Après impact'!$G$778=""),AND('Eval-Après impact'!$A$779=BM22, 'Eval-Après impact'!$G$779=""),AND('Eval-Après impact'!$A$780=BM22, 'Eval-Après impact'!$G$780="")),"",SUM(IF('Eval-Après impact'!$A$761=BM22,'Eval-Après impact'!$G$761,0),IF('Eval-Après impact'!$A$762=BM22,'Eval-Après impact'!$G$762,0),IF('Eval-Après impact'!$A$763=BM22,'Eval-Après impact'!$G$763,0),IF('Eval-Après impact'!$A$764=BM22,'Eval-Après impact'!$G$764,0),IF('Eval-Après impact'!$A$765=BM22,'Eval-Après impact'!$G$765,0),IF('Eval-Après impact'!$A$766=BM22,'Eval-Après impact'!$G$766,0),IF('Eval-Après impact'!$A$767=BM22,'Eval-Après impact'!$G$767,0),IF('Eval-Après impact'!$A$768=BM22,'Eval-Après impact'!$G$768,0),IF('Eval-Après impact'!$A$769=BM22,'Eval-Après impact'!$G$769,0),IF('Eval-Après impact'!$A$770=BM22,'Eval-Après impact'!$G$770,0),IF('Eval-Après impact'!$A$771=BM22,'Eval-Après impact'!$G$771,0),IF('Eval-Après impact'!$A$772=BM22,'Eval-Après impact'!$G$772,0),IF('Eval-Après impact'!$A$773=BM22,'Eval-Après impact'!$G$773,0),IF('Eval-Après impact'!$A$774=BM22,'Eval-Après impact'!$G$774,0),IF('Eval-Après impact'!$A$775=BM22,'Eval-Après impact'!$G$775,0), IF('Eval-Après impact'!$A$776=BM22,'Eval-Après impact'!$G$776,0), IF('Eval-Après impact'!$A$777=BM22,'Eval-Après impact'!$G$777,0), IF('Eval-Après impact'!$A$778=BM22,'Eval-Après impact'!$G$778,0), IF('Eval-Après impact'!$A$779=BM22,'Eval-Après impact'!$G$779,0), IF('Eval-Après impact'!$A$780=BM22,'Eval-Après impact'!$G$780,0))/ COUNTIF('Eval-Après impact'!$A$761:$A$780,BM22)),"")</f>
        <v/>
      </c>
      <c r="BQ22" s="212" t="str">
        <f>IF(COUNTIF('Eval-Après impact'!$A$761:$A$780,BM22)&gt;0,IF(SUM(IF('Eval-Après impact'!$A$761=BM22,COUNTA('Eval-Après impact'!$H$761),0),IF('Eval-Après impact'!$A$762=BM22,COUNTA('Eval-Après impact'!$H$762),0),IF('Eval-Après impact'!$A$763=BM22,COUNTA('Eval-Après impact'!$H$763),0),IF('Eval-Après impact'!$A$764=BM22,COUNTA('Eval-Après impact'!$H$764),0),IF('Eval-Après impact'!$A$765=BM22,COUNTA('Eval-Après impact'!$H$765),0),IF('Eval-Après impact'!$A$766=BM22,COUNTA('Eval-Après impact'!$H$766),0),IF('Eval-Après impact'!$A$767=BM22,COUNTA('Eval-Après impact'!$H$767),0),IF('Eval-Après impact'!$A$768=BM22,COUNTA('Eval-Après impact'!$H$768),0),IF('Eval-Après impact'!$A$769=BM22,COUNTA('Eval-Après impact'!$H$769),0),IF('Eval-Après impact'!$A$770=BM22,COUNTA('Eval-Après impact'!$H$770),0),IF('Eval-Après impact'!$A$771=BM22,COUNTA('Eval-Après impact'!$H$771),0),IF('Eval-Après impact'!$A$772=BM22,COUNTA('Eval-Après impact'!$H$772),0),IF('Eval-Après impact'!$A$773=BM22,COUNTA('Eval-Après impact'!$H$773),0),IF('Eval-Après impact'!$A$774=BM22,COUNTA('Eval-Après impact'!$H$774),0),IF('Eval-Après impact'!$A$775=BM22,COUNTA('Eval-Après impact'!$H$775),0),IF('Eval-Après impact'!$A$776=BM22,COUNTA('Eval-Après impact'!$H$776),0),IF('Eval-Après impact'!$A$777=BM22,COUNTA('Eval-Après impact'!$H$777),0),IF('Eval-Après impact'!$A$778=BM22,COUNTA('Eval-Après impact'!$H$778),0),IF('Eval-Après impact'!$A$779=BM22,COUNTA('Eval-Après impact'!$H$779),0),IF('Eval-Après impact'!$A$780=BM22,COUNTA('Eval-Après impact'!$H$780),0))&gt;0,"X",0),"")</f>
        <v/>
      </c>
      <c r="BR22" s="213" t="str">
        <f>IF(COUNTIF('Eval-Après impact'!$A$761:$A$780,BM22)&gt;0,IF(SUM(IF('Eval-Après impact'!$A$761=BM22,COUNTA('Eval-Après impact'!$I$761),0),IF('Eval-Après impact'!$A$762=BM22,COUNTA('Eval-Après impact'!$I$762),0),IF('Eval-Après impact'!$A$763=BM22,COUNTA('Eval-Après impact'!$I$763),0),IF('Eval-Après impact'!$A$764=BM22,COUNTA('Eval-Après impact'!$I$764),0),IF('Eval-Après impact'!$A$765=BM22,COUNTA('Eval-Après impact'!$I$765),0),IF('Eval-Après impact'!$A$766=BM22,COUNTA('Eval-Après impact'!$I$766),0),IF('Eval-Après impact'!$A$767=BM22,COUNTA('Eval-Après impact'!$I$767),0),IF('Eval-Après impact'!$A$768=BM22,COUNTA('Eval-Après impact'!$I$768),0),IF('Eval-Après impact'!$A$769=BM22,COUNTA('Eval-Après impact'!$I$769),0),IF('Eval-Après impact'!$A$770=BM22,COUNTA('Eval-Après impact'!$I$770),0),IF('Eval-Après impact'!$A$771=BM22,COUNTA('Eval-Après impact'!$I$771),0),IF('Eval-Après impact'!$A$772=BM22,COUNTA('Eval-Après impact'!$I$772),0),IF('Eval-Après impact'!$A$773=BM22,COUNTA('Eval-Après impact'!$I$773),0),IF('Eval-Après impact'!$A$774=BM22,COUNTA('Eval-Après impact'!$I$774),0),IF('Eval-Après impact'!$A$775=BM22,COUNTA('Eval-Après impact'!$I$775),0),IF('Eval-Après impact'!$A$776=BM22,COUNTA('Eval-Après impact'!$I$776),0),IF('Eval-Après impact'!$A$777=BM22,COUNTA('Eval-Après impact'!$I$777),0),IF('Eval-Après impact'!$A$778=BM22,COUNTA('Eval-Après impact'!$I$778),0),IF('Eval-Après impact'!$A$779=BM22,COUNTA('Eval-Après impact'!$I$779),0),IF('Eval-Après impact'!$A$780=BM22,COUNTA('Eval-Après impact'!$I$780),0))&gt;0,"X",0),"")</f>
        <v/>
      </c>
      <c r="BS22" s="213" t="str">
        <f>IF(COUNTIF('Eval-Après impact'!$A$761:$A$780,BM22)&gt;0,IF(SUM(IF('Eval-Après impact'!$A$761=BM22,COUNTA('Eval-Après impact'!$J$761),0),IF('Eval-Après impact'!$A$762=BM22,COUNTA('Eval-Après impact'!$J$762),0),IF('Eval-Après impact'!$A$763=BM22,COUNTA('Eval-Après impact'!$J$763),0),IF('Eval-Après impact'!$A$764=BM22,COUNTA('Eval-Après impact'!$J$764),0),IF('Eval-Après impact'!$A$765=BM22,COUNTA('Eval-Après impact'!$J$765),0),IF('Eval-Après impact'!$A$766=BM22,COUNTA('Eval-Après impact'!$J$766),0),IF('Eval-Après impact'!$A$767=BM22,COUNTA('Eval-Après impact'!$J$767),0),IF('Eval-Après impact'!$A$768=BM22,COUNTA('Eval-Après impact'!$J$768),0),IF('Eval-Après impact'!$A$769=BM22,COUNTA('Eval-Après impact'!$J$769),0),IF('Eval-Après impact'!$A$770=BM22,COUNTA('Eval-Après impact'!$J$770),0),IF('Eval-Après impact'!$A$771=BM22,COUNTA('Eval-Après impact'!$J$771),0),IF('Eval-Après impact'!$A$772=BM22,COUNTA('Eval-Après impact'!$J$772),0),IF('Eval-Après impact'!$A$773=BM22,COUNTA('Eval-Après impact'!$J$773),0),IF('Eval-Après impact'!$A$774=BM22,COUNTA('Eval-Après impact'!$J$774),0),IF('Eval-Après impact'!$A$775=BM22,COUNTA('Eval-Après impact'!$J$775),0),IF('Eval-Après impact'!$A$776=BM22,COUNTA('Eval-Après impact'!$J$776),0),IF('Eval-Après impact'!$A$777=BM22,COUNTA('Eval-Après impact'!$J$777),0),IF('Eval-Après impact'!$A$778=BM22,COUNTA('Eval-Après impact'!$J$778),0),IF('Eval-Après impact'!$A$779=BM22,COUNTA('Eval-Après impact'!$J$779),0),IF('Eval-Après impact'!$A$780=BM22,COUNTA('Eval-Après impact'!$J$780),0))&gt;0,"X",0),"")</f>
        <v/>
      </c>
      <c r="BT22" s="213" t="str">
        <f>IF(COUNTIF('Eval-Après impact'!$A$761:$A$780,BM22)&gt;0,IF(SUM(IF('Eval-Après impact'!$A$761=BM22,COUNTA('Eval-Après impact'!$K$761),0),IF('Eval-Après impact'!$A$762=BM22,COUNTA('Eval-Après impact'!$K$762),0),IF('Eval-Après impact'!$A$763=BM22,COUNTA('Eval-Après impact'!$K$763),0),IF('Eval-Après impact'!$A$764=BM22,COUNTA('Eval-Après impact'!$K$764),0),IF('Eval-Après impact'!$A$765=BM22,COUNTA('Eval-Après impact'!$K$765),0),IF('Eval-Après impact'!$A$766=BM22,COUNTA('Eval-Après impact'!$K$766),0),IF('Eval-Après impact'!$A$767=BM22,COUNTA('Eval-Après impact'!$K$767),0),IF('Eval-Après impact'!$A$768=BM22,COUNTA('Eval-Après impact'!$K$768),0),IF('Eval-Après impact'!$A$769=BM22,COUNTA('Eval-Après impact'!$K$769),0),IF('Eval-Après impact'!$A$770=BM22,COUNTA('Eval-Après impact'!$K$770),0),IF('Eval-Après impact'!$A$771=BM22,COUNTA('Eval-Après impact'!$K$771),0),IF('Eval-Après impact'!$A$772=BM22,COUNTA('Eval-Après impact'!$K$772),0),IF('Eval-Après impact'!$A$773=BM22,COUNTA('Eval-Après impact'!$K$773),0),IF('Eval-Après impact'!$A$774=BM22,COUNTA('Eval-Après impact'!$K$774),0),IF('Eval-Après impact'!$A$775=BM22,COUNTA('Eval-Après impact'!$K$775),0),IF('Eval-Après impact'!$A$776=BM22,COUNTA('Eval-Après impact'!$K$776),0),IF('Eval-Après impact'!$A$777=BM22,COUNTA('Eval-Après impact'!$K$777),0),IF('Eval-Après impact'!$A$778=BM22,COUNTA('Eval-Après impact'!$K$778),0),IF('Eval-Après impact'!$A$779=BM22,COUNTA('Eval-Après impact'!$K$779),0),IF('Eval-Après impact'!$A$780=BM22,COUNTA('Eval-Après impact'!$K$780),0))&gt;0,"X",0),"")</f>
        <v/>
      </c>
      <c r="BU22" s="211" t="str">
        <f>IF(COUNTIF('Eval-Après impact'!$A$761:$A$780,BM22)&gt;0,IF(OR(AND('Eval-Après impact'!$A$761=BM22,'Eval-Après impact'!$L$761&lt;120,'Eval-Après impact'!$L$761&gt;=CJ9),AND('Eval-Après impact'!$A$762=BM22,'Eval-Après impact'!$L$762&lt;120,'Eval-Après impact'!$L$762&gt;=CJ10),AND('Eval-Après impact'!$A$763=BM22,'Eval-Après impact'!$L$763&lt;120,'Eval-Après impact'!$L$763&gt;=CJ11),AND('Eval-Après impact'!$A$764=BM22,'Eval-Après impact'!$L$764&lt;120,'Eval-Après impact'!$L$764&gt;=CJ12),AND('Eval-Après impact'!$A$765=BM22,'Eval-Après impact'!$L$765&lt;120,'Eval-Après impact'!$L$765&gt;=CJ13),AND('Eval-Après impact'!$A$766=BM22,'Eval-Après impact'!$L$766&lt;120,'Eval-Après impact'!$L$766&gt;=CJ14),AND('Eval-Après impact'!$A$767=BM22,'Eval-Après impact'!$L$767&lt;120,'Eval-Après impact'!$L$767&gt;=CJ15),AND('Eval-Après impact'!$A$768=BM22,'Eval-Après impact'!$L$768&lt;120,'Eval-Après impact'!$L$768&gt;=CJ16),AND('Eval-Après impact'!$A$769=BM22,'Eval-Après impact'!$L$769&lt;120,'Eval-Après impact'!$L$769&gt;=CJ17),AND('Eval-Après impact'!$A$770=BM22,'Eval-Après impact'!$L$770&lt;120,'Eval-Après impact'!$L$770&gt;=CJ18),AND('Eval-Après impact'!$A$771=BM22,'Eval-Après impact'!$L$771&lt;120,'Eval-Après impact'!$L$771&gt;=CJ19),AND('Eval-Après impact'!$A$772=BM22,'Eval-Après impact'!$L$772&lt;120,'Eval-Après impact'!$L$772&gt;=CJ20),AND('Eval-Après impact'!$A$773=BM22,'Eval-Après impact'!$L$773&lt;120,'Eval-Après impact'!$L$773&gt;=CJ21),AND('Eval-Après impact'!$A$774=BM22,'Eval-Après impact'!$L$774&lt;120,'Eval-Après impact'!$L$774&gt;=CJ22),AND('Eval-Après impact'!$A$775=BM22,'Eval-Après impact'!$L$775&lt;120,'Eval-Après impact'!$L$775&gt;=CJ23),AND('Eval-Après impact'!$A$776=BM22,'Eval-Après impact'!$L$776&lt;120,'Eval-Après impact'!$L$776&gt;=CJ24),AND('Eval-Après impact'!$A$777=BM22,'Eval-Après impact'!$L$777&lt;120,'Eval-Après impact'!$L$777&gt;=CJ25),AND('Eval-Après impact'!$A$778=BM22,'Eval-Après impact'!$L$778&lt;120,'Eval-Après impact'!$L$778&gt;=CJ26),AND('Eval-Après impact'!$A$779=BM22,'Eval-Après impact'!$L$779&lt;120,'Eval-Après impact'!$L$779&gt;=CJ27),AND('Eval-Après impact'!$A$780=BM22,'Eval-Après impact'!$L$780&lt;120,'Eval-Après impact'!$L$780&gt;=CJ28)),"",SUM(IF('Eval-Après impact'!$A$761=BM22,'Eval-Après impact'!$L$761,0),IF('Eval-Après impact'!$A$762=BM22,'Eval-Après impact'!$L$762,0),IF('Eval-Après impact'!$A$763=BM22,'Eval-Après impact'!$L$763,0),IF('Eval-Après impact'!$A$764=BM22,'Eval-Après impact'!$L$764,0),IF('Eval-Après impact'!$A$765=BM22,'Eval-Après impact'!$L$765,0),IF('Eval-Après impact'!$A$766=BM22,'Eval-Après impact'!$L$766,0),IF('Eval-Après impact'!$A$767=BM22,'Eval-Après impact'!$L$767,0),IF('Eval-Après impact'!$A$768=BM22,'Eval-Après impact'!$L$768,0),IF('Eval-Après impact'!$A$769=BM22,'Eval-Après impact'!$L$769,0),IF('Eval-Après impact'!$A$770=BM22,'Eval-Après impact'!$L$770,0),IF('Eval-Après impact'!$A$771=BM22,'Eval-Après impact'!$L$771,0),IF('Eval-Après impact'!$A$772=BM22,'Eval-Après impact'!$L$772,0),IF('Eval-Après impact'!$A$773=BM22,'Eval-Après impact'!$L$773,0),IF('Eval-Après impact'!$A$774=BM22,'Eval-Après impact'!$L$774,0),IF('Eval-Après impact'!$A$775=BM22,'Eval-Après impact'!$L$775,0),IF('Eval-Après impact'!$A$776=BM22,'Eval-Après impact'!$L$776,0),IF('Eval-Après impact'!$A$777=BM22,'Eval-Après impact'!$L$777,0),IF('Eval-Après impact'!$A$778=BM22,'Eval-Après impact'!$L$778,0),IF('Eval-Après impact'!$A$779=BM22,'Eval-Après impact'!$L$779,0),IF('Eval-Après impact'!$A$780=BM22,'Eval-Après impact'!$L$780,0))/ COUNTIF('Eval-Après impact'!$A$761:$A$780,BM22)),"")</f>
        <v/>
      </c>
      <c r="BV22" s="211" t="str">
        <f>IF(COUNTIF('Eval-Après impact'!$A$761:$A$780,BM22)&gt;0,IF(OR(AND('Eval-Après impact'!$A$761=BM22, CJ9&lt;120),AND(CJ10&lt;120),AND(CJ11&lt;120),AND(CJ12&lt;120),AND(CJ13&lt;120),AND(CJ14&lt;120),AND(CJ15&lt;120),AND(CJ16&lt;120),AND(CJ17&lt;120),AND(CJ18&lt;120),AND(CJ19&lt;120),AND(CJ20&lt;120),AND(CJ21&lt;120),AND(CJ22&lt;120),AND(CJ23&lt;120),AND(CJ24&lt;120),AND(CJ25&lt;120),AND(CJ26&lt;120),AND(CJ27&lt;120),AND(CJ28&lt;120)),"",SUM(IF('Eval-Après impact'!$A$761=BM22,'Eval-Après impact'!$M$761,0),IF('Eval-Après impact'!$A$762=BM22,'Eval-Après impact'!$M$762,0),IF('Eval-Après impact'!$A$763=BM22,'Eval-Après impact'!$M$763,0),IF('Eval-Après impact'!$A$764=BM22,'Eval-Après impact'!$M$764,0),IF('Eval-Après impact'!$A$765=BM22,'Eval-Après impact'!$M$765,0),IF('Eval-Après impact'!$A$766=BM22,'Eval-Après impact'!$M$766,0),IF('Eval-Après impact'!$A$767=BM22,'Eval-Après impact'!$M$767,0),IF('Eval-Après impact'!$A$768=BM22,'Eval-Après impact'!$M$768,0),IF('Eval-Après impact'!$A$769=BM22,'Eval-Après impact'!$M$769,0),IF('Eval-Après impact'!$A$770=BM22,'Eval-Après impact'!$M$770,0),IF('Eval-Après impact'!$A$771=BM22,'Eval-Après impact'!$M$771,0),IF('Eval-Après impact'!$A$772=BM22,'Eval-Après impact'!$M$772,0),IF('Eval-Après impact'!$A$773=BM22,'Eval-Après impact'!$M$773,0),IF('Eval-Après impact'!$A$774=BM22,'Eval-Après impact'!$M$774,0),IF('Eval-Après impact'!$A$775=BM22,'Eval-Après impact'!$M$775,0), IF('Eval-Après impact'!$A$776=BM22,'Eval-Après impact'!$M$776,0), IF('Eval-Après impact'!$A$777=BM22,'Eval-Après impact'!$M$777,0), IF('Eval-Après impact'!$A$778=BM22,'Eval-Après impact'!$M$778,0), IF('Eval-Après impact'!$A$779=BM22,'Eval-Après impact'!$M$779,0), IF('Eval-Après impact'!$A$780=BM22,'Eval-Après impact'!$M$780,0))/COUNTIF('Eval-Après impact'!$A$761:$A$780,BM22)),"")</f>
        <v/>
      </c>
      <c r="BW22" s="211" t="str">
        <f>IF(COUNTIF('Eval-Après impact'!$A$761:$A$780,BM22)&gt;0,SUM(IF('Eval-Après impact'!$A$761=BM22,LEN(SUBSTITUTE((SUBSTITUTE(CL9,"TM","")),"TS",""))*10/2,0),IF('Eval-Après impact'!$A$762=BM22,LEN(SUBSTITUTE((SUBSTITUTE(CL10,"TM","")),"TS",""))*10/2,0),IF('Eval-Après impact'!$A$763=BM22,LEN(SUBSTITUTE((SUBSTITUTE(CL11,"TM","")),"TS",""))*10/2,0),IF('Eval-Après impact'!$A$764=BM22,LEN(SUBSTITUTE((SUBSTITUTE(CL12,"TM","")),"TS",""))*10/2,0),IF('Eval-Après impact'!$A$765=BM22,LEN(SUBSTITUTE((SUBSTITUTE(CL13,"TM","")),"TS",""))*10/2,0),IF('Eval-Après impact'!$A$766=BM22,LEN(SUBSTITUTE((SUBSTITUTE(CL14,"TM","")),"TS",""))*10/2,0),IF('Eval-Après impact'!$A$767=BM22,LEN(SUBSTITUTE((SUBSTITUTE(CL15,"TM","")),"TS",""))*10/2,0),IF('Eval-Après impact'!$A$768=BM22,LEN(SUBSTITUTE((SUBSTITUTE(CL16,"TM","")),"TS",""))*10/2,0),IF('Eval-Après impact'!$A$769=BM22,LEN(SUBSTITUTE((SUBSTITUTE(CL17,"TM","")),"TS",""))*10/2,0),IF('Eval-Après impact'!$A$770=BM22,LEN(SUBSTITUTE((SUBSTITUTE(CL18,"TM","")),"TS",""))*10/2,0),IF('Eval-Après impact'!$A$771=BM22,LEN(SUBSTITUTE((SUBSTITUTE(CL19,"TM","")),"TS",""))*10/2,0),IF('Eval-Après impact'!$A$772=BM22,LEN(SUBSTITUTE((SUBSTITUTE(CL20,"TM","")),"TS",""))*10/2,0),IF('Eval-Après impact'!$A$773=BM22,LEN(SUBSTITUTE((SUBSTITUTE(CL21,"TM","")),"TS",""))*10/2,0),IF('Eval-Après impact'!$A$774=BM22,LEN(SUBSTITUTE((SUBSTITUTE(CL22,"TM","")),"TS",""))*10/2,0),IF('Eval-Après impact'!$A$775=BM22,LEN(SUBSTITUTE((SUBSTITUTE(CL23,"TM","")),"TS",""))*10/2,0),IF('Eval-Après impact'!$A$776=BM22,LEN(SUBSTITUTE((SUBSTITUTE(CL24,"TM","")),"TS",""))*10/2,0),IF('Eval-Après impact'!$A$777=BM22,LEN(SUBSTITUTE((SUBSTITUTE(CL25,"TM","")),"TS",""))*10/2,0),IF('Eval-Après impact'!$A$778=BM22,LEN(SUBSTITUTE((SUBSTITUTE(CL26,"TM","")),"TS",""))*10/2,0),IF('Eval-Après impact'!$A$779=BM22,LEN(SUBSTITUTE((SUBSTITUTE(CL27,"TM","")),"TS",""))*10/2,0),IF('Eval-Après impact'!$A$780=BM22,LEN(SUBSTITUTE((SUBSTITUTE(CL28,"TM","")),"TS",""))*10/2,0))/COUNTIF('Eval-Après impact'!$A$761:$A$780,BM22),"")</f>
        <v/>
      </c>
      <c r="BX22" s="211" t="str">
        <f>IF(COUNTIF('Eval-Après impact'!$A$761:$A$780,BM22)&gt;0,SUM(IF('Eval-Après impact'!$A$761=BM22,LEN(SUBSTITUTE((SUBSTITUTE(CL9,"TF","")),"TS",""))*10/2,0),IF('Eval-Après impact'!$A$762=BM22,LEN(SUBSTITUTE((SUBSTITUTE(CL10,"TF","")),"TS",""))*10/2,0),IF('Eval-Après impact'!$A$763=BM22,LEN(SUBSTITUTE((SUBSTITUTE(CL11,"TF","")),"TS",""))*10/2,0),IF('Eval-Après impact'!$A$764=BM22,LEN(SUBSTITUTE((SUBSTITUTE(CL12,"TF","")),"TS",""))*10/2,0),IF('Eval-Après impact'!$A$765=BM22,LEN(SUBSTITUTE((SUBSTITUTE(CL13,"TF","")),"TS",""))*10/2,0),IF('Eval-Après impact'!$A$766=BM22,LEN(SUBSTITUTE((SUBSTITUTE(CL14,"TF","")),"TS",""))*10/2,0),IF('Eval-Après impact'!$A$767=BM22,LEN(SUBSTITUTE((SUBSTITUTE(CL15,"TF","")),"TS",""))*10/2,0),IF('Eval-Après impact'!$A$768=BM22,LEN(SUBSTITUTE((SUBSTITUTE(CL16,"TF","")),"TS",""))*10/2,0),IF('Eval-Après impact'!$A$769=BM22,LEN(SUBSTITUTE((SUBSTITUTE(CL17,"TF","")),"TS",""))*10/2,0),IF('Eval-Après impact'!$A$770=BM22,LEN(SUBSTITUTE((SUBSTITUTE(CL18,"TF","")),"TS",""))*10/2,0),IF('Eval-Après impact'!$A$771=BM22,LEN(SUBSTITUTE((SUBSTITUTE(CL19,"TF","")),"TS",""))*10/2,0),IF('Eval-Après impact'!$A$772=BM22,LEN(SUBSTITUTE((SUBSTITUTE(CL20,"TF","")),"TS",""))*10/2,0),IF('Eval-Après impact'!$A$773=BM22,LEN(SUBSTITUTE((SUBSTITUTE(CL21,"TF","")),"TS",""))*10/2,0),IF('Eval-Après impact'!$A$774=BM22,LEN(SUBSTITUTE((SUBSTITUTE(CL22,"TF","")),"TS",""))*10/2,0),IF('Eval-Après impact'!$A$775=BM22,LEN(SUBSTITUTE((SUBSTITUTE(CL23,"TF","")),"TS",""))*10/2,0),IF('Eval-Après impact'!$A$776=BM22,LEN(SUBSTITUTE((SUBSTITUTE(CL24,"TF","")),"TS",""))*10/2,0),IF('Eval-Après impact'!$A$777=BM22,LEN(SUBSTITUTE((SUBSTITUTE(CL25,"TF","")),"TS",""))*10/2,0),IF('Eval-Après impact'!$A$778=BM22,LEN(SUBSTITUTE((SUBSTITUTE(CL26,"TF","")),"TS",""))*10/2,0),IF('Eval-Après impact'!$A$779=BM22,LEN(SUBSTITUTE((SUBSTITUTE(CL27,"TF","")),"TS",""))*10/2,0),IF('Eval-Après impact'!$A$780=BM22,LEN(SUBSTITUTE((SUBSTITUTE(CL28,"TF","")),"TS",""))*10/2,0))/COUNTIF('Eval-Après impact'!$A$761:$A$780,BM22),"")</f>
        <v/>
      </c>
      <c r="BY22" s="211" t="str">
        <f>IF(COUNTIF('Eval-Après impact'!$A$761:$A$780,BM22)&gt;0,SUM(IF('Eval-Après impact'!$A$761=BM22,LEN(SUBSTITUTE((SUBSTITUTE(CL9,"TF","")),"TM",""))*10/2,0),IF('Eval-Après impact'!$A$762=BM22,LEN(SUBSTITUTE((SUBSTITUTE(CL10,"TF","")),"TM",""))*10/2,0),IF('Eval-Après impact'!$A$763=BM22,LEN(SUBSTITUTE((SUBSTITUTE(CL11,"TF","")),"TM",""))*10/2,0),IF('Eval-Après impact'!$A$764=BM22,LEN(SUBSTITUTE((SUBSTITUTE(CL12,"TF","")),"TM",""))*10/2,0),IF('Eval-Après impact'!$A$765=BM22,LEN(SUBSTITUTE((SUBSTITUTE(CL13,"TF","")),"TM",""))*10/2,0),IF('Eval-Après impact'!$A$766=BM22,LEN(SUBSTITUTE((SUBSTITUTE(CL14,"TF","")),"TM",""))*10/2,0),IF('Eval-Après impact'!$A$767=BM22,LEN(SUBSTITUTE((SUBSTITUTE(CL15,"TF","")),"TM",""))*10/2,0),IF('Eval-Après impact'!$A$768=BM22,LEN(SUBSTITUTE((SUBSTITUTE(CL16,"TF","")),"TM",""))*10/2,0),IF('Eval-Après impact'!$A$769=BM22,LEN(SUBSTITUTE((SUBSTITUTE(CL17,"TF","")),"TM",""))*10/2,0),IF('Eval-Après impact'!$A$770=BM22,LEN(SUBSTITUTE((SUBSTITUTE(CL18,"TF","")),"TM",""))*10/2,0),IF('Eval-Après impact'!$A$771=BM22,LEN(SUBSTITUTE((SUBSTITUTE(CL19,"TF","")),"TM",""))*10/2,0),IF('Eval-Après impact'!$A$772=BM22,LEN(SUBSTITUTE((SUBSTITUTE(CL20,"TF","")),"TM",""))*10/2,0),IF('Eval-Après impact'!$A$773=BM22,LEN(SUBSTITUTE((SUBSTITUTE(CL21,"TF","")),"TM",""))*10/2,0),IF('Eval-Après impact'!$A$774=BM22,LEN(SUBSTITUTE((SUBSTITUTE(CL22,"TF","")),"TM",""))*10/2,0),IF('Eval-Après impact'!$A$775=BM22,LEN(SUBSTITUTE((SUBSTITUTE(CL23,"TF","")),"TM",""))*10/2,0),IF('Eval-Après impact'!$A$776=BM22,LEN(SUBSTITUTE((SUBSTITUTE(CL24,"TF","")),"TM",""))*10/2,0),IF('Eval-Après impact'!$A$777=BM22,LEN(SUBSTITUTE((SUBSTITUTE(CL25,"TF","")),"TM",""))*10/2,0),IF('Eval-Après impact'!$A$778=BM22,LEN(SUBSTITUTE((SUBSTITUTE(CL26,"TF","")),"TM",""))*10/2,0),IF('Eval-Après impact'!$A$779=BM22,LEN(SUBSTITUTE((SUBSTITUTE(CL27,"TF","")),"TM",""))*10/2,0),IF('Eval-Après impact'!$A$780=BM22,LEN(SUBSTITUTE((SUBSTITUTE(CL28,"TF","")),"TM",""))*10/2,0))/COUNTIF('Eval-Après impact'!$A$761:$A$780,BM22),"")</f>
        <v/>
      </c>
      <c r="BZ22" s="211" t="str">
        <f>IF(COUNTIF('Eval-Après impact'!$A$761:$A$780,BM22)&gt;0,SUM(IF('Eval-Après impact'!$A$761=BM22,LEN(SUBSTITUTE((SUBSTITUTE(CM9,"TM","")),"TS",""))*10/2,0),IF('Eval-Après impact'!$A$762=BM22,LEN(SUBSTITUTE((SUBSTITUTE(CM10,"TM","")),"TS",""))*10/2,0),IF('Eval-Après impact'!$A$763=BM22,LEN(SUBSTITUTE((SUBSTITUTE(CM11,"TM","")),"TS",""))*10/2,0),IF('Eval-Après impact'!$A$764=BM22,LEN(SUBSTITUTE((SUBSTITUTE(CM12,"TM","")),"TS",""))*10/2,0),IF('Eval-Après impact'!$A$765=BM22,LEN(SUBSTITUTE((SUBSTITUTE(CM13,"TM","")),"TS",""))*10/2,0),IF('Eval-Après impact'!$A$766=BM22,LEN(SUBSTITUTE((SUBSTITUTE(CM14,"TM","")),"TS",""))*10/2,0),IF('Eval-Après impact'!$A$767=BM22,LEN(SUBSTITUTE((SUBSTITUTE(CM15,"TM","")),"TS",""))*10/2,0),IF('Eval-Après impact'!$A$768=BM22,LEN(SUBSTITUTE((SUBSTITUTE(CM16,"TM","")),"TS",""))*10/2,0),IF('Eval-Après impact'!$A$769=BM22,LEN(SUBSTITUTE((SUBSTITUTE(CM17,"TM","")),"TS",""))*10/2,0),IF('Eval-Après impact'!$A$770=BM22,LEN(SUBSTITUTE((SUBSTITUTE(CM18,"TM","")),"TS",""))*10/2,0),IF('Eval-Après impact'!$A$771=BM22,LEN(SUBSTITUTE((SUBSTITUTE(CM19,"TM","")),"TS",""))*10/2,0),IF('Eval-Après impact'!$A$772=BM22,LEN(SUBSTITUTE((SUBSTITUTE(CM20,"TM","")),"TS",""))*10/2,0),IF('Eval-Après impact'!$A$773=BM22,LEN(SUBSTITUTE((SUBSTITUTE(CM21,"TM","")),"TS",""))*10/2,0),IF('Eval-Après impact'!$A$774=BM22,LEN(SUBSTITUTE((SUBSTITUTE(CM22,"TM","")),"TS",""))*10/2,0),IF('Eval-Après impact'!$A$775=BM22,LEN(SUBSTITUTE((SUBSTITUTE(CM23,"TM","")),"TS",""))*10/2,0),IF('Eval-Après impact'!$A$776=BM22,LEN(SUBSTITUTE((SUBSTITUTE(CM24,"TM","")),"TS",""))*10/2,0),IF('Eval-Après impact'!$A$777=BM22,LEN(SUBSTITUTE((SUBSTITUTE(CM25,"TM","")),"TS",""))*10/2,0),IF('Eval-Après impact'!$A$778=BM22,LEN(SUBSTITUTE((SUBSTITUTE(CM26,"TM","")),"TS",""))*10/2,0),IF('Eval-Après impact'!$A$779=BM22,LEN(SUBSTITUTE((SUBSTITUTE(CM27,"TM","")),"TS",""))*10/2,0),IF('Eval-Après impact'!$A$780=BM22,LEN(SUBSTITUTE((SUBSTITUTE(CM28,"TM","")),"TS",""))*10/2,0))/COUNTIF('Eval-Après impact'!$A$761:$A$780,BM22),"")</f>
        <v/>
      </c>
      <c r="CA22" s="211" t="str">
        <f>IF(COUNTIF('Eval-Après impact'!$A$761:$A$780,BM22)&gt;0,SUM(IF('Eval-Après impact'!$A$761=BM22,LEN(SUBSTITUTE((SUBSTITUTE(CM9,"TF","")),"TS",""))*10/2,0),IF('Eval-Après impact'!$A$762=BM22,LEN(SUBSTITUTE((SUBSTITUTE(CM10,"TF","")),"TS",""))*10/2,0),IF('Eval-Après impact'!$A$763=BM22,LEN(SUBSTITUTE((SUBSTITUTE(CM11,"TF","")),"TS",""))*10/2,0),IF('Eval-Après impact'!$A$764=BM22,LEN(SUBSTITUTE((SUBSTITUTE(CM12,"TF","")),"TS",""))*10/2,0),IF('Eval-Après impact'!$A$765=BM22,LEN(SUBSTITUTE((SUBSTITUTE(CM13,"TF","")),"TS",""))*10/2,0),IF('Eval-Après impact'!$A$766=BM22,LEN(SUBSTITUTE((SUBSTITUTE(CM14,"TF","")),"TS",""))*10/2,0),IF('Eval-Après impact'!$A$767=BM22,LEN(SUBSTITUTE((SUBSTITUTE(CM15,"TF","")),"TS",""))*10/2,0),IF('Eval-Après impact'!$A$768=BM22,LEN(SUBSTITUTE((SUBSTITUTE(CM16,"TF","")),"TS",""))*10/2,0),IF('Eval-Après impact'!$A$769=BM22,LEN(SUBSTITUTE((SUBSTITUTE(CM17,"TF","")),"TS",""))*10/2,0),IF('Eval-Après impact'!$A$770=BM22,LEN(SUBSTITUTE((SUBSTITUTE(CM18,"TF","")),"TS",""))*10/2,0),IF('Eval-Après impact'!$A$771=BM22,LEN(SUBSTITUTE((SUBSTITUTE(CM19,"TF","")),"TS",""))*10/2,0),IF('Eval-Après impact'!$A$772=BM22,LEN(SUBSTITUTE((SUBSTITUTE(CM20,"TF","")),"TS",""))*10/2,0),IF('Eval-Après impact'!$A$773=BM22,LEN(SUBSTITUTE((SUBSTITUTE(CM21,"TF","")),"TS",""))*10/2,0),IF('Eval-Après impact'!$A$774=BM22,LEN(SUBSTITUTE((SUBSTITUTE(CM22,"TF","")),"TS",""))*10/2,0),IF('Eval-Après impact'!$A$775=BM22,LEN(SUBSTITUTE((SUBSTITUTE(CM23,"TF","")),"TS",""))*10/2,0),IF('Eval-Après impact'!$A$776=BM22,LEN(SUBSTITUTE((SUBSTITUTE(CM24,"TF","")),"TS",""))*10/2,0),IF('Eval-Après impact'!$A$777=BM22,LEN(SUBSTITUTE((SUBSTITUTE(CM25,"TF","")),"TS",""))*10/2,0),IF('Eval-Après impact'!$A$778=BM22,LEN(SUBSTITUTE((SUBSTITUTE(CM26,"TF","")),"TS",""))*10/2,0),IF('Eval-Après impact'!$A$779=BM22,LEN(SUBSTITUTE((SUBSTITUTE(CM27,"TF","")),"TS",""))*10/2,0),IF('Eval-Après impact'!$A$780=BM22,LEN(SUBSTITUTE((SUBSTITUTE(CM28,"TF","")),"TS",""))*10/2,0))/COUNTIF('Eval-Après impact'!$A$761:$A$780,BM22),"")</f>
        <v/>
      </c>
      <c r="CB22" s="211" t="str">
        <f>IF(COUNTIF('Eval-Après impact'!$A$761:$A$780,BM22)&gt;0,SUM(IF('Eval-Après impact'!$A$761=BM22,LEN(SUBSTITUTE((SUBSTITUTE(CM9,"TF","")),"TM",""))*10/2,0),IF('Eval-Après impact'!$A$762=BM22,LEN(SUBSTITUTE((SUBSTITUTE(CM10,"TF","")),"TM",""))*10/2,0),IF('Eval-Après impact'!$A$763=BM22,LEN(SUBSTITUTE((SUBSTITUTE(CM11,"TF","")),"TM",""))*10/2,0),IF('Eval-Après impact'!$A$764=BM22,LEN(SUBSTITUTE((SUBSTITUTE(CM12,"TF","")),"TM",""))*10/2,0),IF('Eval-Après impact'!$A$765=BM22,LEN(SUBSTITUTE((SUBSTITUTE(CM13,"TF","")),"TM",""))*10/2,0),IF('Eval-Après impact'!$A$766=BM22,LEN(SUBSTITUTE((SUBSTITUTE(CM14,"TF","")),"TM",""))*10/2,0),IF('Eval-Après impact'!$A$767=BM22,LEN(SUBSTITUTE((SUBSTITUTE(CM15,"TF","")),"TM",""))*10/2,0),IF('Eval-Après impact'!$A$768=BM22,LEN(SUBSTITUTE((SUBSTITUTE(CM16,"TF","")),"TM",""))*10/2,0),IF('Eval-Après impact'!$A$769=BM22,LEN(SUBSTITUTE((SUBSTITUTE(CM17,"TF","")),"TM",""))*10/2,0),IF('Eval-Après impact'!$A$770=BM22,LEN(SUBSTITUTE((SUBSTITUTE(CM18,"TF","")),"TM",""))*10/2,0),IF('Eval-Après impact'!$A$771=BM22,LEN(SUBSTITUTE((SUBSTITUTE(CM19,"TF","")),"TM",""))*10/2,0),IF('Eval-Après impact'!$A$772=BM22,LEN(SUBSTITUTE((SUBSTITUTE(CM20,"TF","")),"TM",""))*10/2,0),IF('Eval-Après impact'!$A$773=BM22,LEN(SUBSTITUTE((SUBSTITUTE(CM21,"TF","")),"TM",""))*10/2,0),IF('Eval-Après impact'!$A$774=BM22,LEN(SUBSTITUTE((SUBSTITUTE(CM22,"TF","")),"TM",""))*10/2,0),IF('Eval-Après impact'!$A$775=BM22,LEN(SUBSTITUTE((SUBSTITUTE(CM23,"TF","")),"TM",""))*10/2,0),IF('Eval-Après impact'!$A$776=BM22,LEN(SUBSTITUTE((SUBSTITUTE(CM24,"TF","")),"TM",""))*10/2,0),IF('Eval-Après impact'!$A$777=BM22,LEN(SUBSTITUTE((SUBSTITUTE(CM25,"TF","")),"TM",""))*10/2,0),IF('Eval-Après impact'!$A$778=BM22,LEN(SUBSTITUTE((SUBSTITUTE(CM26,"TF","")),"TM",""))*10/2,0),IF('Eval-Après impact'!$A$779=BM22,LEN(SUBSTITUTE((SUBSTITUTE(CM27,"TF","")),"TM",""))*10/2,0),IF('Eval-Après impact'!$A$780=BM22,LEN(SUBSTITUTE((SUBSTITUTE(CM28,"TF","")),"TM",""))*10/2,0))/COUNTIF('Eval-Après impact'!$A$761:$A$780,BM22),"")</f>
        <v/>
      </c>
      <c r="CC22" s="211" t="str">
        <f>IF(COUNTIF('Eval-Après impact'!$A$761:$A$780,BM22)&gt;0,IF(OR(AND('Eval-Après impact'!$A$761=BM22,CJ9&lt;30),AND('Eval-Après impact'!$A$762=BM22,CJ10&lt;30),AND('Eval-Après impact'!$A$763=BM22,CJ11&lt;30),AND('Eval-Après impact'!$A$764=BM22,CJ12&lt;30),AND('Eval-Après impact'!$A$765=BM22,CJ13&lt;30),AND('Eval-Après impact'!$A$766=BM22,CJ14&lt;30),AND('Eval-Après impact'!$A$767=BM22,CJ15&lt;30),AND('Eval-Après impact'!$A$768=BM22,CJ16&lt;30),AND('Eval-Après impact'!$A$769=BM22,CJ17&lt;30),AND('Eval-Après impact'!$A$770=BM22,CJ18&lt;30),AND('Eval-Après impact'!$A$771=BM22,CJ19&lt;30),AND('Eval-Après impact'!$A$772=BM22,CJ20&lt;30),AND('Eval-Après impact'!$A$773=BM22,CJ21&lt;30),AND('Eval-Après impact'!$A$774=BM22,CJ22&lt;30),AND('Eval-Après impact'!$A$775=BM22,CJ23&lt;30),AND('Eval-Après impact'!$A$776=BM22,CJ24&lt;30),AND('Eval-Après impact'!$A$777=BM22,CJ25&lt;30),AND('Eval-Après impact'!$A$778=BM22,CJ26&lt;30),AND('Eval-Après impact'!$A$779=BM22,CJ27&lt;30),AND('Eval-Après impact'!$A$780=BM22,CJ28&lt;30)),"",SUM(0.1*(SUMPRODUCT(('Eval-Après impact'!$A$761:$A$780=BM22)*('Eval-Après impact'!$N$761:$P$780="A"))+ SUMPRODUCT(('Eval-Après impact'!$A$761:$A$780=BM22)*('Eval-Après impact'!$N$761:$P$780="AL"))),0.7*(SUMPRODUCT(('Eval-Après impact'!$A$761:$A$780=BM22)*('Eval-Après impact'!$N$761:$P$780="TF"))+SUMPRODUCT(('Eval-Après impact'!$A$761:$A$780=BM22)*('Eval-Après impact'!$N$761:$P$780="TM"))+SUMPRODUCT(('Eval-Après impact'!$A$761:$A$780=BM22)*('Eval-Après impact'!$N$761:$P$780="TS"))),0.4*(SUMPRODUCT(('Eval-Après impact'!$A$761:$A$780=BM22)*('Eval-Après impact'!$N$761:$P$780="LA"))+SUMPRODUCT(('Eval-Après impact'!$A$761:$A$780=BM22)*('Eval-Après impact'!$N$761:$P$780="L"))+SUMPRODUCT(('Eval-Après impact'!$A$761:$A$780=BM22)*('Eval-Après impact'!$N$761:$P$780="LS"))),1*(SUMPRODUCT(('Eval-Après impact'!$A$761:$A$780=BM22)*('Eval-Après impact'!$N$761:$P$780="SL"))+ SUMPRODUCT(('Eval-Après impact'!$A$761:$A$780=BM22)*('Eval-Après impact'!$N$761:$P$780="S"))))/(3*COUNTIF('Eval-Après impact'!$A$761:$A$780,BM22))),"")</f>
        <v/>
      </c>
      <c r="CD22" s="211" t="str">
        <f>IF(COUNTIF('Eval-Après impact'!$A$761:$A$780,BM22)&gt;0,IF(OR(AND('Eval-Après impact'!$A$761=BM22,CJ9&lt;120),AND('Eval-Après impact'!$A$762=BM22,CJ10&lt;120),AND('Eval-Après impact'!$A$763=BM22,CJ11&lt;120),AND('Eval-Après impact'!$A$764=BM22,CJ12&lt;120),AND('Eval-Après impact'!$A$765=BM22,CJ13&lt;120),AND('Eval-Après impact'!$A$766=BM22,CJ14&lt;120),AND('Eval-Après impact'!$A$767=BM22,CJ15&lt;120),AND('Eval-Après impact'!$A$768=BM22,CJ16&lt;120),AND('Eval-Après impact'!$A$769=BM22,CJ17&lt;120),AND('Eval-Après impact'!$A$770=BM22,CJ18&lt;120),AND('Eval-Après impact'!$A$771=BM22,CJ19&lt;120),AND('Eval-Après impact'!$A$772=BM22,CJ20&lt;120),AND('Eval-Après impact'!$A$773=BM22,CJ21&lt;120),AND('Eval-Après impact'!$A$774=BM22,CJ22&lt;120),AND('Eval-Après impact'!$A$775=BM22,CJ23&lt;120),AND('Eval-Après impact'!$A$776=BM22,CJ24&lt;120),AND('Eval-Après impact'!$A$777=BM22,CJ25&lt;120),AND('Eval-Après impact'!$A$778=BM22,CJ26&lt;120),AND('Eval-Après impact'!$A$779=BM22,CJ27&lt;120),AND('Eval-Après impact'!$A$780=BM22,CJ28&lt;120)),"",SUM(0.1*(SUMPRODUCT(('Eval-Après impact'!$A$761:$A$780=BM22)*('Eval-Après impact'!$Q$761:$Y$780="A"))+ SUMPRODUCT(('Eval-Après impact'!$A$761:$A$780=BM22)*('Eval-Après impact'!$Q$761:$Y$780="AL"))),0.7*(SUMPRODUCT(('Eval-Après impact'!$A$761:$A$780=BM22)*('Eval-Après impact'!$Q$761:$Y$780="TF"))+SUMPRODUCT(('Eval-Après impact'!$A$761:$A$780=BM22)*('Eval-Après impact'!$Q$761:$Y$780="TM"))+SUMPRODUCT(('Eval-Après impact'!$A$761:$A$780=BM22)*('Eval-Après impact'!$Q$761:$Y$780="TS"))),0.4*(SUMPRODUCT(('Eval-Après impact'!$A$761:$A$780=BM22)*('Eval-Après impact'!$Q$761:$Y$780="LA"))+SUMPRODUCT(('Eval-Après impact'!$A$761:$A$780=BM22)*('Eval-Après impact'!$Q$761:$Y$780="L"))+SUMPRODUCT(('Eval-Après impact'!$A$761:$A$780=BM22)*('Eval-Après impact'!$Q$761:$Y$780="LS"))),1*(SUMPRODUCT(('Eval-Après impact'!$A$761:$A$780=BM22)*('Eval-Après impact'!$Q$761:$Y$780="SL"))+ SUMPRODUCT(('Eval-Après impact'!$A$761:$A$780=BM22)*('Eval-Après impact'!$Q$761:$Y$780="S"))))/(9*COUNTIF('Eval-Après impact'!$A$761:$A$780,BM22))),"")</f>
        <v/>
      </c>
      <c r="CE22" s="211" t="str">
        <f>IF(COUNTIF('Eval-Après impact'!$A$761:$A$780,BM22)&gt;0,IF(OR(AND('Eval-Après impact'!$A$761=BM22,OR(COUNTIF('Eval-Après impact'!$N$761:$P$761,"*T*")&gt;0,CJ9&lt;30)),AND('Eval-Après impact'!$A$762=BM22,OR(COUNTIF('Eval-Après impact'!$N$762:$P$762,"*T*")&gt;0,CJ10&lt;30)),AND('Eval-Après impact'!$A$763=BM22,OR(COUNTIF('Eval-Après impact'!$N$763:$P$763,"*T*")&gt;0,CJ11&lt;30)),AND('Eval-Après impact'!$A$764=BM22,OR(COUNTIF('Eval-Après impact'!$N$764:$P$764,"*T*")&gt;0,CJ12&lt;30)),AND('Eval-Après impact'!$A$765=BM22,OR(COUNTIF('Eval-Après impact'!$N$765:$P$765,"*T*")&gt;0,CJ13&lt;30)),AND('Eval-Après impact'!$A$766=BM22,OR(COUNTIF('Eval-Après impact'!$N$766:$P$766,"*T*")&gt;0,CJ14&lt;30)),AND('Eval-Après impact'!$A$767=BM22,OR(COUNTIF('Eval-Après impact'!$N$767:$P$767,"*T*")&gt;0,CJ15&lt;30)),AND('Eval-Après impact'!$A$768=BM22,OR(COUNTIF('Eval-Après impact'!$N$768:$P$768,"*T*")&gt;0,CJ16&lt;30)),AND('Eval-Après impact'!$A$769=BM22,OR(COUNTIF('Eval-Après impact'!$N$769:$P$769,"*T*")&gt;0,CJ17&lt;30)),AND('Eval-Après impact'!$A$770=BM22,OR(COUNTIF('Eval-Après impact'!$N$770:$P$770,"*T*")&gt;0,CJ18&lt;30)),AND('Eval-Après impact'!$A$771=BM22,OR(COUNTIF('Eval-Après impact'!$N$771:$P$771,"*T*")&gt;0,CJ19&lt;30)),AND('Eval-Après impact'!$A$772=BM22,OR(COUNTIF('Eval-Après impact'!$N$772:$P$772,"*T*")&gt;0,CJ20&lt;30)),AND('Eval-Après impact'!$A$773=BM22,OR(COUNTIF('Eval-Après impact'!$N$773:$P$773,"*T*")&gt;0,CJ21&lt;30)),AND('Eval-Après impact'!$A$774=BM22,OR(COUNTIF('Eval-Après impact'!$N$774:$P$774,"*T*")&gt;0,CJ22&lt;30)),AND('Eval-Après impact'!$A$775=BM22,OR(COUNTIF('Eval-Après impact'!$N$775:$P$775,"*T*")&gt;0,CJ23&lt;30)),AND('Eval-Après impact'!$A$776=BM22,OR(COUNTIF('Eval-Après impact'!$N$776:$P$776,"*T*")&gt;0,CJ24&lt;30)),AND('Eval-Après impact'!$A$777=BM22,OR(COUNTIF('Eval-Après impact'!$N$777:$P$777,"*T*")&gt;0,CJ25&lt;30)),AND('Eval-Après impact'!$A$778=BM22,OR(COUNTIF('Eval-Après impact'!$N$778:$P$778,"*T*")&gt;0,CJ26&lt;30)),AND('Eval-Après impact'!$A$779=BM22,OR(COUNTIF('Eval-Après impact'!$N$779:$P$779,"*T*")&gt;0,CJ27&lt;30)),AND('Eval-Après impact'!$A$780=BM22,OR(COUNTIF('Eval-Après impact'!$N$780:$P$780,"*T*")&gt;0,CJ28&lt;30))),"",SUM(0.1*(SUMPRODUCT(('Eval-Après impact'!$A$761:$A$780=BM22)*('Eval-Après impact'!$N$761:$P$780="L"))),0.4*(SUMPRODUCT(('Eval-Après impact'!$A$761:$A$780=BM22)*('Eval-Après impact'!$N$761:$P$780="LA"))+SUMPRODUCT(('Eval-Après impact'!$A$761:$A$780=BM22)*('Eval-Après impact'!$N$761:$P$780="LS"))),0.7*(SUMPRODUCT(('Eval-Après impact'!$A$761:$A$780=BM22)*('Eval-Après impact'!$N$761:$P$780="AL"))+SUMPRODUCT(('Eval-Après impact'!$A$761:$A$780=BM22)*('Eval-Après impact'!$N$761:$P$780="SL"))),1*(SUMPRODUCT(('Eval-Après impact'!$A$761:$A$780=BM22)*('Eval-Après impact'!$N$761:$P$780="S"))+ SUMPRODUCT(('Eval-Après impact'!$A$761:$A$780=BM22)*('Eval-Après impact'!$N$761:$P$780="A"))))/(3*COUNTIF('Eval-Après impact'!$A$761:$A$780,BM22))),"")</f>
        <v/>
      </c>
      <c r="CF22" s="211" t="str">
        <f>IF(COUNTIF('Eval-Après impact'!$A$761:$A$780,BM22)&gt;0,IF(OR(AND('Eval-Après impact'!$A$761=BM22,OR(COUNTIF('Eval-Après impact'!$N$761:$P$761,"*T*")&gt;0,CJ9&lt;30)),AND('Eval-Après impact'!$A$762=BM22,OR(COUNTIF('Eval-Après impact'!$N$762:$P$762,"*T*")&gt;0,CJ10&lt;30)),AND('Eval-Après impact'!$A$763=BM22,OR(COUNTIF('Eval-Après impact'!$N$763:$P$763,"*T*")&gt;0,CJ11&lt;30)),AND('Eval-Après impact'!$A$764=BM22,OR(COUNTIF('Eval-Après impact'!$N$764:$P$764,"*T*")&gt;0,CJ12&lt;30)),AND('Eval-Après impact'!$A$765=BM22,OR(COUNTIF('Eval-Après impact'!$N$765:$P$765,"*T*")&gt;0,CJ13&lt;30)),AND('Eval-Après impact'!$A$766=BM22,OR(COUNTIF('Eval-Après impact'!$N$766:$P$766,"*T*")&gt;0,CJ14&lt;30)),AND('Eval-Après impact'!$A$767=BM22,OR(COUNTIF('Eval-Après impact'!$N$767:$P$767,"*T*")&gt;0,CJ15&lt;30)),AND('Eval-Après impact'!$A$768=BM22,OR(COUNTIF('Eval-Après impact'!$N$768:$P$768,"*T*")&gt;0,CJ16&lt;30)),AND('Eval-Après impact'!$A$769=BM22,OR(COUNTIF('Eval-Après impact'!$N$769:$P$769,"*T*")&gt;0,CJ17&lt;30)),AND('Eval-Après impact'!$A$770=BM22,OR(COUNTIF('Eval-Après impact'!$N$770:$P$770,"*T*")&gt;0,CJ18&lt;30)),AND('Eval-Après impact'!$A$771=BM22,OR(COUNTIF('Eval-Après impact'!$N$771:$P$771,"*T*")&gt;0,CJ19&lt;30)),AND('Eval-Après impact'!$A$772=BM22,OR(COUNTIF('Eval-Après impact'!$N$772:$P$772,"*T*")&gt;0,CJ20&lt;30)),AND('Eval-Après impact'!$A$773=BM22,OR(COUNTIF('Eval-Après impact'!$N$773:$P$773,"*T*")&gt;0,CJ21&lt;30)),AND('Eval-Après impact'!$A$774=BM22,OR(COUNTIF('Eval-Après impact'!$N$774:$P$774,"*T*")&gt;0,CJ22&lt;30)),AND('Eval-Après impact'!$A$775=BM22,OR(COUNTIF('Eval-Après impact'!$N$775:$P$775,"*T*")&gt;0,CJ23&lt;30)),AND('Eval-Après impact'!$A$776=BM22,OR(COUNTIF('Eval-Après impact'!$N$776:$P$776,"*T*")&gt;0,CJ24&lt;30)),AND('Eval-Après impact'!$A$777=BM22,OR(COUNTIF('Eval-Après impact'!$N$777:$P$777,"*T*")&gt;0,CJ25&lt;30)),AND('Eval-Après impact'!$A$778=BM22,OR(COUNTIF('Eval-Après impact'!$N$778:$P$778,"*T*")&gt;0,CJ26&lt;30)),AND('Eval-Après impact'!$A$779=BM22,OR(COUNTIF('Eval-Après impact'!$N$779:$P$779,"*T*")&gt;0,CJ27&lt;30)),AND('Eval-Après impact'!$A$780=BM22,OR(COUNTIF('Eval-Après impact'!$N$780:$P$780,"*T*")&gt;0,CJ28&lt;30))),"",SUM(1*(SUMPRODUCT(('Eval-Après impact'!$A$761:$A$780=BM22)*('Eval-Après impact'!$N$761:$P$780="A"))),0.85*(SUMPRODUCT(('Eval-Après impact'!$A$761:$A$780=BM22)*('Eval-Après impact'!$N$761:$P$780="AL"))),0.7*(SUMPRODUCT(('Eval-Après impact'!$A$761:$A$780=BM22)*('Eval-Après impact'!$N$761:$P$780="LA"))),0.55*(SUMPRODUCT(('Eval-Après impact'!$A$761:$A$780=BM22)*('Eval-Après impact'!$N$761:$P$780="L"))),0.4*(SUMPRODUCT(('Eval-Après impact'!$A$761:$A$780=BM22)*('Eval-Après impact'!$N$761:$P$780="LS"))),0.25*(SUMPRODUCT(('Eval-Après impact'!$A$761:$A$780=BM22)*('Eval-Après impact'!$N$761:$P$780="SL"))),0.1*(SUMPRODUCT(('Eval-Après impact'!$A$761:$A$780=BM22)*('Eval-Après impact'!$N$761:$P$780="S"))))/(3*COUNTIF('Eval-Après impact'!$A$761:$A$780,BM22))),"")</f>
        <v/>
      </c>
      <c r="CG22" s="214" t="str">
        <f>IF(COUNTIF('Eval-Après impact'!$A$761:$A$780,BM22)&gt;0,IF(OR(AND('Eval-Après impact'!$A$761=BM22,OR(COUNTIF('Eval-Après impact'!$Q$761:$Y$761,"*T*")&gt;0,CJ9&lt;120)),AND('Eval-Après impact'!$A$762=BM22,OR(COUNTIF('Eval-Après impact'!$Q$762:$Y$762,"*T*")&gt;0,CJ10&lt;120)),AND('Eval-Après impact'!$A$763=BM22,OR(COUNTIF('Eval-Après impact'!$Q$763:$Y$763,"*T*")&gt;0,CJ11&lt;120)),AND('Eval-Après impact'!$A$764=BM22,OR(COUNTIF('Eval-Après impact'!$Q$764:$Y$764,"*T*")&gt;0,CJ12&lt;120)),AND('Eval-Après impact'!$A$765=BM22,OR(COUNTIF('Eval-Après impact'!$Q$765:$Y$765,"*T*")&gt;0,CJ13&lt;120)),AND('Eval-Après impact'!$A$766=BM22,OR(COUNTIF('Eval-Après impact'!$Q$766:$Y$766,"*T*")&gt;0,CJ14&lt;120)),AND('Eval-Après impact'!$A$767=BM22,OR(COUNTIF('Eval-Après impact'!$Q$767:$Y$767,"*T*")&gt;0,CJ15&lt;120)),AND('Eval-Après impact'!$A$768=BM22,OR(COUNTIF('Eval-Après impact'!$Q$768:$Y$768,"*T*")&gt;0,CJ16&lt;120)),AND('Eval-Après impact'!$A$769=BM22,OR(COUNTIF('Eval-Après impact'!$Q$769:$Y$769,"*T*")&gt;0,CJ17&lt;120)),AND('Eval-Après impact'!$A$770=BM22,OR(COUNTIF('Eval-Après impact'!$Q$770:$Y$770,"*T*")&gt;0,CJ18&lt;120)),AND('Eval-Après impact'!$A$771=BM22,OR(COUNTIF('Eval-Après impact'!$Q$771:$Y$771,"*T*")&gt;0,CJ19&lt;120)),AND('Eval-Après impact'!$A$772=BM22,OR(COUNTIF('Eval-Après impact'!$Q$772:$Y$772,"*T*")&gt;0,CJ20&lt;120)),AND('Eval-Après impact'!$A$773=BM22,OR(COUNTIF('Eval-Après impact'!$Q$773:$Y$773,"*T*")&gt;0,CJ21&lt;120)),AND('Eval-Après impact'!$A$774=BM22,OR(COUNTIF('Eval-Après impact'!$Q$774:$Y$774,"*T*")&gt;0,CJ22&lt;120)),AND('Eval-Après impact'!$A$775=BM22,OR(COUNTIF('Eval-Après impact'!$Q$775:$Y$775,"*T*")&gt;0,CJ23&lt;120)),AND('Eval-Après impact'!$A$776=BM22,OR(COUNTIF('Eval-Après impact'!$Q$776:$Y$776,"*T*")&gt;0,CJ24&lt;120)),AND('Eval-Après impact'!$A$777=BM22,OR(COUNTIF('Eval-Après impact'!$Q$777:$Y$777,"*T*")&gt;0,CJ25&lt;120)),AND('Eval-Après impact'!$A$778=BM22,OR(COUNTIF('Eval-Après impact'!$Q$778:$Y$778,"*T*")&gt;0,CJ26&lt;120)),AND('Eval-Après impact'!$A$779=BM22,OR(COUNTIF('Eval-Après impact'!$Q$779:$Y$779,"*T*")&gt;0,CJ27&lt;120)),AND('Eval-Après impact'!$A$780=BM22,OR(COUNTIF('Eval-Après impact'!$Q$780:$Y$780,"*T*")&gt;0,CJ28&lt;120))),"",SUM(1*(SUMPRODUCT(('Eval-Après impact'!$A$761:$A$780=BM22)*('Eval-Après impact'!$Q$761:$Y$780="A"))),0.85*(SUMPRODUCT(('Eval-Après impact'!$A$761:$A$780=BM22)*('Eval-Après impact'!$Q$761:$Y$780="AL"))),0.7*(SUMPRODUCT(('Eval-Après impact'!$A$761:$A$780=BM22)*('Eval-Après impact'!$Q$761:$Y$780="LA"))),0.55*(SUMPRODUCT(('Eval-Après impact'!$A$761:$A$780=BM22)*('Eval-Après impact'!$Q$761:$Y$780="L"))),0.4*(SUMPRODUCT(('Eval-Après impact'!$A$761:$A$780=BM22)*('Eval-Après impact'!$Q$761:$Y$780="LS"))),0.25*(SUMPRODUCT(('Eval-Après impact'!$A$761:$A$780=BM22)*('Eval-Après impact'!$Q$761:$Y$780="SL"))),0.1*(SUMPRODUCT(('Eval-Après impact'!$A$761:$A$780=BM22)*('Eval-Après impact'!$Q$761:$Y$780="S"))))/(9*COUNTIF('Eval-Après impact'!$A$761:$A$780,BM22))),"")</f>
        <v/>
      </c>
      <c r="CH22" s="215"/>
      <c r="CI22" s="216">
        <f>'Eval-Après impact'!$D$774</f>
        <v>14</v>
      </c>
      <c r="CJ22" s="217" t="str">
        <f>IF(CK22="C",0,IF(IF(COUNTIF('Eval-Après impact'!$N$774:$Y$774,"=C")&gt;0,(COUNTA('Eval-Après impact'!$N$774:$Y$774)-1)*10,COUNTA('Eval-Après impact'!$N$774:$Y$774)*10)=0,"",IF(COUNTIF('Eval-Après impact'!$N$774:$Y$774,"=C")&gt;0,(COUNTA('Eval-Après impact'!$N$774:$Y$774)-1)*10,COUNTA('Eval-Après impact'!$N$774:$Y$774)*10)))</f>
        <v/>
      </c>
      <c r="CK22" s="217" t="str">
        <f>CONCATENATE('Eval-Après impact'!$N$774,'Eval-Après impact'!$O$774,'Eval-Après impact'!$P$774,'Eval-Après impact'!$Q$774,'Eval-Après impact'!$R$774,'Eval-Après impact'!$S$774,'Eval-Après impact'!$T$774,'Eval-Après impact'!$U$774,'Eval-Après impact'!$V$774,'Eval-Après impact'!$W$774,'Eval-Après impact'!$X$774,'Eval-Après impact'!$Y$774)</f>
        <v/>
      </c>
      <c r="CL22" s="217" t="str">
        <f t="shared" si="8"/>
        <v/>
      </c>
      <c r="CM22" s="217" t="str">
        <f t="shared" si="9"/>
        <v/>
      </c>
      <c r="CN22" s="217" t="str">
        <f>IF(COUNTIF('Eval-Après impact'!$N$774:$Y$774,"=C")&gt;0,"X","")</f>
        <v/>
      </c>
      <c r="CO22" s="217" t="str">
        <f t="shared" si="10"/>
        <v/>
      </c>
      <c r="CP22" s="218" t="str">
        <f t="shared" si="11"/>
        <v/>
      </c>
      <c r="CQ22" s="197"/>
      <c r="CS22" s="210">
        <v>14</v>
      </c>
      <c r="CT22" s="211" t="str">
        <f>IF(COUNTIF('Eval-Avant action écologique'!$A$761:$A$780,CS22)&gt;0,SUM(IF('Eval-Avant action écologique'!$A$761=CS22,'Eval-Avant action écologique'!$B$761,0),IF('Eval-Avant action écologique'!$A$762=CS22, 'Eval-Avant action écologique'!$B$762,0),IF('Eval-Avant action écologique'!$A$763=CS22, 'Eval-Avant action écologique'!$B$763,0),IF('Eval-Avant action écologique'!$A$764=CS22, 'Eval-Avant action écologique'!$B$764,0),IF('Eval-Avant action écologique'!$A$765=CS22, 'Eval-Avant action écologique'!$B$765,0),IF('Eval-Avant action écologique'!$A$766=CS22, 'Eval-Avant action écologique'!$B$766,0),IF('Eval-Avant action écologique'!$A$767=CS22, 'Eval-Avant action écologique'!$B$767,0),IF('Eval-Avant action écologique'!$A$768=CS22, 'Eval-Avant action écologique'!$B$768,0),IF('Eval-Avant action écologique'!$A$769=CS22, 'Eval-Avant action écologique'!$B$769,0),IF('Eval-Avant action écologique'!$A$770=CS22, 'Eval-Avant action écologique'!$B$770,0),IF('Eval-Avant action écologique'!$A$771=CS22, 'Eval-Avant action écologique'!$B$771,0),IF('Eval-Avant action écologique'!$A$772=CS22, 'Eval-Avant action écologique'!$B$772,0),IF('Eval-Avant action écologique'!$A$773=CS22, 'Eval-Avant action écologique'!$B$773,0),IF('Eval-Avant action écologique'!$A$774=CS22, 'Eval-Avant action écologique'!$B$774,0),IF('Eval-Avant action écologique'!$A$775=CS22, 'Eval-Avant action écologique'!$B$775,0),IF('Eval-Avant action écologique'!$A$776=CS22, 'Eval-Avant action écologique'!$B$776,0),IF('Eval-Avant action écologique'!$A$777=CS22, 'Eval-Avant action écologique'!$B$777,0),IF('Eval-Avant action écologique'!$A$778=CS22, 'Eval-Avant action écologique'!$B$778,0),IF('Eval-Avant action écologique'!$A$779=CS22, 'Eval-Avant action écologique'!$B$779,0),IF('Eval-Avant action écologique'!$A$780=CS22, 'Eval-Avant action écologique'!$B$780,0))/COUNTIF('Eval-Avant action écologique'!$A$761:$A$780,CS22),"")</f>
        <v/>
      </c>
      <c r="CU22" s="212" t="str">
        <f>IF(COUNTIF('Eval-Avant action écologique'!$A$761:$A$780,CS22)&gt;0,COUNTIF('Eval-Avant action écologique'!$A$761:$A$780,CS22),"")</f>
        <v/>
      </c>
      <c r="CV22" s="211" t="str">
        <f>IF(COUNTIF('Eval-Avant action écologique'!$A$761:$A$780,CS22)&gt;0,IF(OR(AND('Eval-Avant action écologique'!$A$761=CS22, 'Eval-Avant action écologique'!$G$761=""),AND('Eval-Avant action écologique'!$A$762=CS22, 'Eval-Avant action écologique'!$G$762=""),AND('Eval-Avant action écologique'!$A$763=CS22, 'Eval-Avant action écologique'!$G$763=""),AND('Eval-Avant action écologique'!$A$764=CS22, 'Eval-Avant action écologique'!$G$764=""),AND('Eval-Avant action écologique'!$A$765=CS22, 'Eval-Avant action écologique'!$G$765=""),AND('Eval-Avant action écologique'!$A$766=CS22, 'Eval-Avant action écologique'!$G$766=""),AND('Eval-Avant action écologique'!$A$767=CS22, 'Eval-Avant action écologique'!$G$767=""),AND('Eval-Avant action écologique'!$A$768=CS22, 'Eval-Avant action écologique'!$G$768=""),AND('Eval-Avant action écologique'!$A$769=CS22, 'Eval-Avant action écologique'!$G$769=""),AND('Eval-Avant action écologique'!$A$770=CS22, 'Eval-Avant action écologique'!$G$770=""),AND('Eval-Avant action écologique'!$A$771=CS22, 'Eval-Avant action écologique'!$G$771=""),AND('Eval-Avant action écologique'!$A$772=CS22, 'Eval-Avant action écologique'!$G$772=""),AND('Eval-Avant action écologique'!$A$773=CS22, 'Eval-Avant action écologique'!$G$773=""),AND('Eval-Avant action écologique'!$A$774=CS22, 'Eval-Avant action écologique'!$G$774=""),AND('Eval-Avant action écologique'!$A$775=CS22, 'Eval-Avant action écologique'!$G$775=""),AND('Eval-Avant action écologique'!$A$776=CS22, 'Eval-Avant action écologique'!$G$776=""),AND('Eval-Avant action écologique'!$A$777=CS22, 'Eval-Avant action écologique'!$G$777=""),AND('Eval-Avant action écologique'!$A$778=CS22, 'Eval-Avant action écologique'!$G$778=""),AND('Eval-Avant action écologique'!$A$779=CS22, 'Eval-Avant action écologique'!$G$779=""),AND('Eval-Avant action écologique'!$A$780=CS22, 'Eval-Avant action écologique'!$G$780="")),"",SUM(IF('Eval-Avant action écologique'!$A$761=CS22,'Eval-Avant action écologique'!$G$761,0),IF('Eval-Avant action écologique'!$A$762=CS22,'Eval-Avant action écologique'!$G$762,0),IF('Eval-Avant action écologique'!$A$763=CS22,'Eval-Avant action écologique'!$G$763,0),IF('Eval-Avant action écologique'!$A$764=CS22,'Eval-Avant action écologique'!$G$764,0),IF('Eval-Avant action écologique'!$A$765=CS22,'Eval-Avant action écologique'!$G$765,0),IF('Eval-Avant action écologique'!$A$766=CS22,'Eval-Avant action écologique'!$G$766,0),IF('Eval-Avant action écologique'!$A$767=CS22,'Eval-Avant action écologique'!$G$767,0),IF('Eval-Avant action écologique'!$A$768=CS22,'Eval-Avant action écologique'!$G$768,0),IF('Eval-Avant action écologique'!$A$769=CS22,'Eval-Avant action écologique'!$G$769,0),IF('Eval-Avant action écologique'!$A$770=CS22,'Eval-Avant action écologique'!$G$770,0),IF('Eval-Avant action écologique'!$A$771=CS22,'Eval-Avant action écologique'!$G$771,0),IF('Eval-Avant action écologique'!$A$772=CS22,'Eval-Avant action écologique'!$G$772,0),IF('Eval-Avant action écologique'!$A$773=CS22,'Eval-Avant action écologique'!$G$773,0),IF('Eval-Avant action écologique'!$A$774=CS22,'Eval-Avant action écologique'!$G$774,0),IF('Eval-Avant action écologique'!$A$775=CS22,'Eval-Avant action écologique'!$G$775,0), IF('Eval-Avant action écologique'!$A$776=CS22,'Eval-Avant action écologique'!$G$776,0), IF('Eval-Avant action écologique'!$A$777=CS22,'Eval-Avant action écologique'!$G$777,0), IF('Eval-Avant action écologique'!$A$778=CS22,'Eval-Avant action écologique'!$G$778,0), IF('Eval-Avant action écologique'!$A$779=CS22,'Eval-Avant action écologique'!$G$779,0), IF('Eval-Avant action écologique'!$A$780=CS22,'Eval-Avant action écologique'!$G$780,0))/ COUNTIF('Eval-Avant action écologique'!$A$761:$A$780,CS22)),"")</f>
        <v/>
      </c>
      <c r="CW22" s="212" t="str">
        <f>IF(COUNTIF('Eval-Avant action écologique'!$A$761:$A$780,CS22)&gt;0,IF(SUM(IF('Eval-Avant action écologique'!$A$761=CS22,COUNTA('Eval-Avant action écologique'!$H$761),0),IF('Eval-Avant action écologique'!$A$762=CS22,COUNTA('Eval-Avant action écologique'!$H$762),0),IF('Eval-Avant action écologique'!$A$763=CS22,COUNTA('Eval-Avant action écologique'!$H$763),0),IF('Eval-Avant action écologique'!$A$764=CS22,COUNTA('Eval-Avant action écologique'!$H$764),0),IF('Eval-Avant action écologique'!$A$765=CS22,COUNTA('Eval-Avant action écologique'!$H$765),0),IF('Eval-Avant action écologique'!$A$766=CS22,COUNTA('Eval-Avant action écologique'!$H$766),0),IF('Eval-Avant action écologique'!$A$767=CS22,COUNTA('Eval-Avant action écologique'!$H$767),0),IF('Eval-Avant action écologique'!$A$768=CS22,COUNTA('Eval-Avant action écologique'!$H$768),0),IF('Eval-Avant action écologique'!$A$769=CS22,COUNTA('Eval-Avant action écologique'!$H$769),0),IF('Eval-Avant action écologique'!$A$770=CS22,COUNTA('Eval-Avant action écologique'!$H$770),0),IF('Eval-Avant action écologique'!$A$771=CS22,COUNTA('Eval-Avant action écologique'!$H$771),0),IF('Eval-Avant action écologique'!$A$772=CS22,COUNTA('Eval-Avant action écologique'!$H$772),0),IF('Eval-Avant action écologique'!$A$773=CS22,COUNTA('Eval-Avant action écologique'!$H$773),0),IF('Eval-Avant action écologique'!$A$774=CS22,COUNTA('Eval-Avant action écologique'!$H$774),0),IF('Eval-Avant action écologique'!$A$775=CS22,COUNTA('Eval-Avant action écologique'!$H$775),0),IF('Eval-Avant action écologique'!$A$776=CS22,COUNTA('Eval-Avant action écologique'!$H$776),0),IF('Eval-Avant action écologique'!$A$777=CS22,COUNTA('Eval-Avant action écologique'!$H$777),0),IF('Eval-Avant action écologique'!$A$778=CS22,COUNTA('Eval-Avant action écologique'!$H$778),0),IF('Eval-Avant action écologique'!$A$779=CS22,COUNTA('Eval-Avant action écologique'!$H$779),0),IF('Eval-Avant action écologique'!$A$780=CS22,COUNTA('Eval-Avant action écologique'!$H$780),0))&gt;0,"X",0),"")</f>
        <v/>
      </c>
      <c r="CX22" s="213" t="str">
        <f>IF(COUNTIF('Eval-Avant action écologique'!$A$761:$A$780,CS22)&gt;0,IF(SUM(IF('Eval-Avant action écologique'!$A$761=CS22,COUNTA('Eval-Avant action écologique'!$I$761),0),IF('Eval-Avant action écologique'!$A$762=CS22,COUNTA('Eval-Avant action écologique'!$I$762),0),IF('Eval-Avant action écologique'!$A$763=CS22,COUNTA('Eval-Avant action écologique'!$I$763),0),IF('Eval-Avant action écologique'!$A$764=CS22,COUNTA('Eval-Avant action écologique'!$I$764),0),IF('Eval-Avant action écologique'!$A$765=CS22,COUNTA('Eval-Avant action écologique'!$I$765),0),IF('Eval-Avant action écologique'!$A$766=CS22,COUNTA('Eval-Avant action écologique'!$I$766),0),IF('Eval-Avant action écologique'!$A$767=CS22,COUNTA('Eval-Avant action écologique'!$I$767),0),IF('Eval-Avant action écologique'!$A$768=CS22,COUNTA('Eval-Avant action écologique'!$I$768),0),IF('Eval-Avant action écologique'!$A$769=CS22,COUNTA('Eval-Avant action écologique'!$I$769),0),IF('Eval-Avant action écologique'!$A$770=CS22,COUNTA('Eval-Avant action écologique'!$I$770),0),IF('Eval-Avant action écologique'!$A$771=CS22,COUNTA('Eval-Avant action écologique'!$I$771),0),IF('Eval-Avant action écologique'!$A$772=CS22,COUNTA('Eval-Avant action écologique'!$I$772),0),IF('Eval-Avant action écologique'!$A$773=CS22,COUNTA('Eval-Avant action écologique'!$I$773),0),IF('Eval-Avant action écologique'!$A$774=CS22,COUNTA('Eval-Avant action écologique'!$I$774),0),IF('Eval-Avant action écologique'!$A$775=CS22,COUNTA('Eval-Avant action écologique'!$I$775),0),IF('Eval-Avant action écologique'!$A$776=CS22,COUNTA('Eval-Avant action écologique'!$I$776),0),IF('Eval-Avant action écologique'!$A$777=CS22,COUNTA('Eval-Avant action écologique'!$I$777),0),IF('Eval-Avant action écologique'!$A$778=CS22,COUNTA('Eval-Avant action écologique'!$I$778),0),IF('Eval-Avant action écologique'!$A$779=CS22,COUNTA('Eval-Avant action écologique'!$I$779),0),IF('Eval-Avant action écologique'!$A$780=CS22,COUNTA('Eval-Avant action écologique'!$I$780),0))&gt;0,"X",0),"")</f>
        <v/>
      </c>
      <c r="CY22" s="213" t="str">
        <f>IF(COUNTIF('Eval-Avant action écologique'!$A$761:$A$780,CS22)&gt;0,IF(SUM(IF('Eval-Avant action écologique'!$A$761=CS22,COUNTA('Eval-Avant action écologique'!$J$761),0),IF('Eval-Avant action écologique'!$A$762=CS22,COUNTA('Eval-Avant action écologique'!$J$762),0),IF('Eval-Avant action écologique'!$A$763=CS22,COUNTA('Eval-Avant action écologique'!$J$763),0),IF('Eval-Avant action écologique'!$A$764=CS22,COUNTA('Eval-Avant action écologique'!$J$764),0),IF('Eval-Avant action écologique'!$A$765=CS22,COUNTA('Eval-Avant action écologique'!$J$765),0),IF('Eval-Avant action écologique'!$A$766=CS22,COUNTA('Eval-Avant action écologique'!$J$766),0),IF('Eval-Avant action écologique'!$A$767=CS22,COUNTA('Eval-Avant action écologique'!$J$767),0),IF('Eval-Avant action écologique'!$A$768=CS22,COUNTA('Eval-Avant action écologique'!$J$768),0),IF('Eval-Avant action écologique'!$A$769=CS22,COUNTA('Eval-Avant action écologique'!$J$769),0),IF('Eval-Avant action écologique'!$A$770=CS22,COUNTA('Eval-Avant action écologique'!$J$770),0),IF('Eval-Avant action écologique'!$A$771=CS22,COUNTA('Eval-Avant action écologique'!$J$771),0),IF('Eval-Avant action écologique'!$A$772=CS22,COUNTA('Eval-Avant action écologique'!$J$772),0),IF('Eval-Avant action écologique'!$A$773=CS22,COUNTA('Eval-Avant action écologique'!$J$773),0),IF('Eval-Avant action écologique'!$A$774=CS22,COUNTA('Eval-Avant action écologique'!$J$774),0),IF('Eval-Avant action écologique'!$A$775=CS22,COUNTA('Eval-Avant action écologique'!$J$775),0),IF('Eval-Avant action écologique'!$A$776=CS22,COUNTA('Eval-Avant action écologique'!$J$776),0),IF('Eval-Avant action écologique'!$A$777=CS22,COUNTA('Eval-Avant action écologique'!$J$777),0),IF('Eval-Avant action écologique'!$A$778=CS22,COUNTA('Eval-Avant action écologique'!$J$778),0),IF('Eval-Avant action écologique'!$A$779=CS22,COUNTA('Eval-Avant action écologique'!$J$779),0),IF('Eval-Avant action écologique'!$A$780=CS22,COUNTA('Eval-Avant action écologique'!$J$780),0))&gt;0,"X",0),"")</f>
        <v/>
      </c>
      <c r="CZ22" s="213" t="str">
        <f>IF(COUNTIF('Eval-Avant action écologique'!$A$761:$A$780,CS22)&gt;0,IF(SUM(IF('Eval-Avant action écologique'!$A$761=CS22,COUNTA('Eval-Avant action écologique'!$K$761),0),IF('Eval-Avant action écologique'!$A$762=CS22,COUNTA('Eval-Avant action écologique'!$K$762),0),IF('Eval-Avant action écologique'!$A$763=CS22,COUNTA('Eval-Avant action écologique'!$K$763),0),IF('Eval-Avant action écologique'!$A$764=CS22,COUNTA('Eval-Avant action écologique'!$K$764),0),IF('Eval-Avant action écologique'!$A$765=CS22,COUNTA('Eval-Avant action écologique'!$K$765),0),IF('Eval-Avant action écologique'!$A$766=CS22,COUNTA('Eval-Avant action écologique'!$K$766),0),IF('Eval-Avant action écologique'!$A$767=CS22,COUNTA('Eval-Avant action écologique'!$K$767),0),IF('Eval-Avant action écologique'!$A$768=CS22,COUNTA('Eval-Avant action écologique'!$K$768),0),IF('Eval-Avant action écologique'!$A$769=CS22,COUNTA('Eval-Avant action écologique'!$K$769),0),IF('Eval-Avant action écologique'!$A$770=CS22,COUNTA('Eval-Avant action écologique'!$K$770),0),IF('Eval-Avant action écologique'!$A$771=CS22,COUNTA('Eval-Avant action écologique'!$K$771),0),IF('Eval-Avant action écologique'!$A$772=CS22,COUNTA('Eval-Avant action écologique'!$K$772),0),IF('Eval-Avant action écologique'!$A$773=CS22,COUNTA('Eval-Avant action écologique'!$K$773),0),IF('Eval-Avant action écologique'!$A$774=CS22,COUNTA('Eval-Avant action écologique'!$K$774),0),IF('Eval-Avant action écologique'!$A$775=CS22,COUNTA('Eval-Avant action écologique'!$K$775),0),IF('Eval-Avant action écologique'!$A$776=CS22,COUNTA('Eval-Avant action écologique'!$K$776),0),IF('Eval-Avant action écologique'!$A$777=CS22,COUNTA('Eval-Avant action écologique'!$K$777),0),IF('Eval-Avant action écologique'!$A$778=CS22,COUNTA('Eval-Avant action écologique'!$K$778),0),IF('Eval-Avant action écologique'!$A$779=CS22,COUNTA('Eval-Avant action écologique'!$K$779),0),IF('Eval-Avant action écologique'!$A$780=CS22,COUNTA('Eval-Avant action écologique'!$K$780),0))&gt;0,"X",0),"")</f>
        <v/>
      </c>
      <c r="DA22" s="211" t="str">
        <f>IF(COUNTIF('Eval-Avant action écologique'!$A$761:$A$780,CS22)&gt;0,IF(OR(AND('Eval-Avant action écologique'!$A$761=CS22,'Eval-Avant action écologique'!$L$761&lt;120,'Eval-Avant action écologique'!$L$761&gt;=DP9),AND('Eval-Avant action écologique'!$A$762=CS22,'Eval-Avant action écologique'!$L$762&lt;120,'Eval-Avant action écologique'!$L$762&gt;=DP10),AND('Eval-Avant action écologique'!$A$763=CS22,'Eval-Avant action écologique'!$L$763&lt;120,'Eval-Avant action écologique'!$L$763&gt;=DP11),AND('Eval-Avant action écologique'!$A$764=CS22,'Eval-Avant action écologique'!$L$764&lt;120,'Eval-Avant action écologique'!$L$764&gt;=DP12),AND('Eval-Avant action écologique'!$A$765=CS22,'Eval-Avant action écologique'!$L$765&lt;120,'Eval-Avant action écologique'!$L$765&gt;=DP13),AND('Eval-Avant action écologique'!$A$766=CS22,'Eval-Avant action écologique'!$L$766&lt;120,'Eval-Avant action écologique'!$L$766&gt;=DP14),AND('Eval-Avant action écologique'!$A$767=CS22,'Eval-Avant action écologique'!$L$767&lt;120,'Eval-Avant action écologique'!$L$767&gt;=DP15),AND('Eval-Avant action écologique'!$A$768=CS22,'Eval-Avant action écologique'!$L$768&lt;120,'Eval-Avant action écologique'!$L$768&gt;=DP16),AND('Eval-Avant action écologique'!$A$769=CS22,'Eval-Avant action écologique'!$L$769&lt;120,'Eval-Avant action écologique'!$L$769&gt;=DP17),AND('Eval-Avant action écologique'!$A$770=CS22,'Eval-Avant action écologique'!$L$770&lt;120,'Eval-Avant action écologique'!$L$770&gt;=DP18),AND('Eval-Avant action écologique'!$A$771=CS22,'Eval-Avant action écologique'!$L$771&lt;120,'Eval-Avant action écologique'!$L$771&gt;=DP19),AND('Eval-Avant action écologique'!$A$772=CS22,'Eval-Avant action écologique'!$L$772&lt;120,'Eval-Avant action écologique'!$L$772&gt;=DP20),AND('Eval-Avant action écologique'!$A$773=CS22,'Eval-Avant action écologique'!$L$773&lt;120,'Eval-Avant action écologique'!$L$773&gt;=DP21),AND('Eval-Avant action écologique'!$A$774=CS22,'Eval-Avant action écologique'!$L$774&lt;120,'Eval-Avant action écologique'!$L$774&gt;=DP22),AND('Eval-Avant action écologique'!$A$775=CS22,'Eval-Avant action écologique'!$L$775&lt;120,'Eval-Avant action écologique'!$L$775&gt;=DP23),AND('Eval-Avant action écologique'!$A$776=CS22,'Eval-Avant action écologique'!$L$776&lt;120,'Eval-Avant action écologique'!$L$776&gt;=DP24),AND('Eval-Avant action écologique'!$A$777=CS22,'Eval-Avant action écologique'!$L$777&lt;120,'Eval-Avant action écologique'!$L$777&gt;=DP25),AND('Eval-Avant action écologique'!$A$778=CS22,'Eval-Avant action écologique'!$L$778&lt;120,'Eval-Avant action écologique'!$L$778&gt;=DP26),AND('Eval-Avant action écologique'!$A$779=CS22,'Eval-Avant action écologique'!$L$779&lt;120,'Eval-Avant action écologique'!$L$779&gt;=DP27),AND('Eval-Avant action écologique'!$A$780=CS22,'Eval-Avant action écologique'!$L$780&lt;120,'Eval-Avant action écologique'!$L$780&gt;=DP28)),"",SUM(IF('Eval-Avant action écologique'!$A$761=CS22,'Eval-Avant action écologique'!$L$761,0),IF('Eval-Avant action écologique'!$A$762=CS22,'Eval-Avant action écologique'!$L$762,0),IF('Eval-Avant action écologique'!$A$763=CS22,'Eval-Avant action écologique'!$L$763,0),IF('Eval-Avant action écologique'!$A$764=CS22,'Eval-Avant action écologique'!$L$764,0),IF('Eval-Avant action écologique'!$A$765=CS22,'Eval-Avant action écologique'!$L$765,0),IF('Eval-Avant action écologique'!$A$766=CS22,'Eval-Avant action écologique'!$L$766,0),IF('Eval-Avant action écologique'!$A$767=CS22,'Eval-Avant action écologique'!$L$767,0),IF('Eval-Avant action écologique'!$A$768=CS22,'Eval-Avant action écologique'!$L$768,0),IF('Eval-Avant action écologique'!$A$769=CS22,'Eval-Avant action écologique'!$L$769,0),IF('Eval-Avant action écologique'!$A$770=CS22,'Eval-Avant action écologique'!$L$770,0),IF('Eval-Avant action écologique'!$A$771=CS22,'Eval-Avant action écologique'!$L$771,0),IF('Eval-Avant action écologique'!$A$772=CS22,'Eval-Avant action écologique'!$L$772,0),IF('Eval-Avant action écologique'!$A$773=CS22,'Eval-Avant action écologique'!$L$773,0),IF('Eval-Avant action écologique'!$A$774=CS22,'Eval-Avant action écologique'!$L$774,0),IF('Eval-Avant action écologique'!$A$775=CS22,'Eval-Avant action écologique'!$L$775,0),IF('Eval-Avant action écologique'!$A$776=CS22,'Eval-Avant action écologique'!$L$776,0),IF('Eval-Avant action écologique'!$A$777=CS22,'Eval-Avant action écologique'!$L$777,0),IF('Eval-Avant action écologique'!$A$778=CS22,'Eval-Avant action écologique'!$L$778,0),IF('Eval-Avant action écologique'!$A$779=CS22,'Eval-Avant action écologique'!$L$779,0),IF('Eval-Avant action écologique'!$A$780=CS22,'Eval-Avant action écologique'!$L$780,0))/ COUNTIF('Eval-Avant action écologique'!$A$761:$A$780,CS22)),"")</f>
        <v/>
      </c>
      <c r="DB22" s="211" t="str">
        <f>IF(COUNTIF('Eval-Avant action écologique'!$A$761:$A$780,CS22)&gt;0,IF(OR(AND('Eval-Avant action écologique'!$A$761=CS22, DP9&lt;120),AND(DP10&lt;120),AND(DP11&lt;120),AND(DP12&lt;120),AND(DP13&lt;120),AND(DP14&lt;120),AND(DP15&lt;120),AND(DP16&lt;120),AND(DP17&lt;120),AND(DP18&lt;120),AND(DP19&lt;120),AND(DP20&lt;120),AND(DP21&lt;120),AND(DP22&lt;120),AND(DP23&lt;120),AND(DP24&lt;120),AND(DP25&lt;120),AND(DP26&lt;120),AND(DP27&lt;120),AND(DP28&lt;120)),"",SUM(IF('Eval-Avant action écologique'!$A$761=CS22,'Eval-Avant action écologique'!$M$761,0),IF('Eval-Avant action écologique'!$A$762=CS22,'Eval-Avant action écologique'!$M$762,0),IF('Eval-Avant action écologique'!$A$763=CS22,'Eval-Avant action écologique'!$M$763,0),IF('Eval-Avant action écologique'!$A$764=CS22,'Eval-Avant action écologique'!$M$764,0),IF('Eval-Avant action écologique'!$A$765=CS22,'Eval-Avant action écologique'!$M$765,0),IF('Eval-Avant action écologique'!$A$766=CS22,'Eval-Avant action écologique'!$M$766,0),IF('Eval-Avant action écologique'!$A$767=CS22,'Eval-Avant action écologique'!$M$767,0),IF('Eval-Avant action écologique'!$A$768=CS22,'Eval-Avant action écologique'!$M$768,0),IF('Eval-Avant action écologique'!$A$769=CS22,'Eval-Avant action écologique'!$M$769,0),IF('Eval-Avant action écologique'!$A$770=CS22,'Eval-Avant action écologique'!$M$770,0),IF('Eval-Avant action écologique'!$A$771=CS22,'Eval-Avant action écologique'!$M$771,0),IF('Eval-Avant action écologique'!$A$772=CS22,'Eval-Avant action écologique'!$M$772,0),IF('Eval-Avant action écologique'!$A$773=CS22,'Eval-Avant action écologique'!$M$773,0),IF('Eval-Avant action écologique'!$A$774=CS22,'Eval-Avant action écologique'!$M$774,0),IF('Eval-Avant action écologique'!$A$775=CS22,'Eval-Avant action écologique'!$M$775,0), IF('Eval-Avant action écologique'!$A$776=CS22,'Eval-Avant action écologique'!$M$776,0), IF('Eval-Avant action écologique'!$A$777=CS22,'Eval-Avant action écologique'!$M$777,0), IF('Eval-Avant action écologique'!$A$778=CS22,'Eval-Avant action écologique'!$M$778,0), IF('Eval-Avant action écologique'!$A$779=CS22,'Eval-Avant action écologique'!$M$779,0), IF('Eval-Avant action écologique'!$A$780=CS22,'Eval-Avant action écologique'!$M$780,0))/COUNTIF('Eval-Avant action écologique'!$A$761:$A$780,CS22)),"")</f>
        <v/>
      </c>
      <c r="DC22" s="211" t="str">
        <f>IF(COUNTIF('Eval-Avant action écologique'!$A$761:$A$780,CS22)&gt;0,SUM(IF('Eval-Avant action écologique'!$A$761=CS22,LEN(SUBSTITUTE((SUBSTITUTE(DR9,"TM","")),"TS",""))*10/2,0),IF('Eval-Avant action écologique'!$A$762=CS22,LEN(SUBSTITUTE((SUBSTITUTE(DR10,"TM","")),"TS",""))*10/2,0),IF('Eval-Avant action écologique'!$A$763=CS22,LEN(SUBSTITUTE((SUBSTITUTE(DR11,"TM","")),"TS",""))*10/2,0),IF('Eval-Avant action écologique'!$A$764=CS22,LEN(SUBSTITUTE((SUBSTITUTE(DR12,"TM","")),"TS",""))*10/2,0),IF('Eval-Avant action écologique'!$A$765=CS22,LEN(SUBSTITUTE((SUBSTITUTE(DR13,"TM","")),"TS",""))*10/2,0),IF('Eval-Avant action écologique'!$A$766=CS22,LEN(SUBSTITUTE((SUBSTITUTE(DR14,"TM","")),"TS",""))*10/2,0),IF('Eval-Avant action écologique'!$A$767=CS22,LEN(SUBSTITUTE((SUBSTITUTE(DR15,"TM","")),"TS",""))*10/2,0),IF('Eval-Avant action écologique'!$A$768=CS22,LEN(SUBSTITUTE((SUBSTITUTE(DR16,"TM","")),"TS",""))*10/2,0),IF('Eval-Avant action écologique'!$A$769=CS22,LEN(SUBSTITUTE((SUBSTITUTE(DR17,"TM","")),"TS",""))*10/2,0),IF('Eval-Avant action écologique'!$A$770=CS22,LEN(SUBSTITUTE((SUBSTITUTE(DR18,"TM","")),"TS",""))*10/2,0),IF('Eval-Avant action écologique'!$A$771=CS22,LEN(SUBSTITUTE((SUBSTITUTE(DR19,"TM","")),"TS",""))*10/2,0),IF('Eval-Avant action écologique'!$A$772=CS22,LEN(SUBSTITUTE((SUBSTITUTE(DR20,"TM","")),"TS",""))*10/2,0),IF('Eval-Avant action écologique'!$A$773=CS22,LEN(SUBSTITUTE((SUBSTITUTE(DR21,"TM","")),"TS",""))*10/2,0),IF('Eval-Avant action écologique'!$A$774=CS22,LEN(SUBSTITUTE((SUBSTITUTE(DR22,"TM","")),"TS",""))*10/2,0),IF('Eval-Avant action écologique'!$A$775=CS22,LEN(SUBSTITUTE((SUBSTITUTE(DR23,"TM","")),"TS",""))*10/2,0),IF('Eval-Avant action écologique'!$A$776=CS22,LEN(SUBSTITUTE((SUBSTITUTE(DR24,"TM","")),"TS",""))*10/2,0),IF('Eval-Avant action écologique'!$A$777=CS22,LEN(SUBSTITUTE((SUBSTITUTE(DR25,"TM","")),"TS",""))*10/2,0),IF('Eval-Avant action écologique'!$A$778=CS22,LEN(SUBSTITUTE((SUBSTITUTE(DR26,"TM","")),"TS",""))*10/2,0),IF('Eval-Avant action écologique'!$A$779=CS22,LEN(SUBSTITUTE((SUBSTITUTE(DR27,"TM","")),"TS",""))*10/2,0),IF('Eval-Avant action écologique'!$A$780=CS22,LEN(SUBSTITUTE((SUBSTITUTE(DR28,"TM","")),"TS",""))*10/2,0))/COUNTIF('Eval-Avant action écologique'!$A$761:$A$780,CS22),"")</f>
        <v/>
      </c>
      <c r="DD22" s="211" t="str">
        <f>IF(COUNTIF('Eval-Avant action écologique'!$A$761:$A$780,CS22)&gt;0,SUM(IF('Eval-Avant action écologique'!$A$761=CS22,LEN(SUBSTITUTE((SUBSTITUTE(DR9,"TF","")),"TS",""))*10/2,0),IF('Eval-Avant action écologique'!$A$762=CS22,LEN(SUBSTITUTE((SUBSTITUTE(DR10,"TF","")),"TS",""))*10/2,0),IF('Eval-Avant action écologique'!$A$763=CS22,LEN(SUBSTITUTE((SUBSTITUTE(DR11,"TF","")),"TS",""))*10/2,0),IF('Eval-Avant action écologique'!$A$764=CS22,LEN(SUBSTITUTE((SUBSTITUTE(DR12,"TF","")),"TS",""))*10/2,0),IF('Eval-Avant action écologique'!$A$765=CS22,LEN(SUBSTITUTE((SUBSTITUTE(DR13,"TF","")),"TS",""))*10/2,0),IF('Eval-Avant action écologique'!$A$766=CS22,LEN(SUBSTITUTE((SUBSTITUTE(DR14,"TF","")),"TS",""))*10/2,0),IF('Eval-Avant action écologique'!$A$767=CS22,LEN(SUBSTITUTE((SUBSTITUTE(DR15,"TF","")),"TS",""))*10/2,0),IF('Eval-Avant action écologique'!$A$768=CS22,LEN(SUBSTITUTE((SUBSTITUTE(DR16,"TF","")),"TS",""))*10/2,0),IF('Eval-Avant action écologique'!$A$769=CS22,LEN(SUBSTITUTE((SUBSTITUTE(DR17,"TF","")),"TS",""))*10/2,0),IF('Eval-Avant action écologique'!$A$770=CS22,LEN(SUBSTITUTE((SUBSTITUTE(DR18,"TF","")),"TS",""))*10/2,0),IF('Eval-Avant action écologique'!$A$771=CS22,LEN(SUBSTITUTE((SUBSTITUTE(DR19,"TF","")),"TS",""))*10/2,0),IF('Eval-Avant action écologique'!$A$772=CS22,LEN(SUBSTITUTE((SUBSTITUTE(DR20,"TF","")),"TS",""))*10/2,0),IF('Eval-Avant action écologique'!$A$773=CS22,LEN(SUBSTITUTE((SUBSTITUTE(DR21,"TF","")),"TS",""))*10/2,0),IF('Eval-Avant action écologique'!$A$774=CS22,LEN(SUBSTITUTE((SUBSTITUTE(DR22,"TF","")),"TS",""))*10/2,0),IF('Eval-Avant action écologique'!$A$775=CS22,LEN(SUBSTITUTE((SUBSTITUTE(DR23,"TF","")),"TS",""))*10/2,0),IF('Eval-Avant action écologique'!$A$776=CS22,LEN(SUBSTITUTE((SUBSTITUTE(DR24,"TF","")),"TS",""))*10/2,0),IF('Eval-Avant action écologique'!$A$777=CS22,LEN(SUBSTITUTE((SUBSTITUTE(DR25,"TF","")),"TS",""))*10/2,0),IF('Eval-Avant action écologique'!$A$778=CS22,LEN(SUBSTITUTE((SUBSTITUTE(DR26,"TF","")),"TS",""))*10/2,0),IF('Eval-Avant action écologique'!$A$779=CS22,LEN(SUBSTITUTE((SUBSTITUTE(DR27,"TF","")),"TS",""))*10/2,0),IF('Eval-Avant action écologique'!$A$780=CS22,LEN(SUBSTITUTE((SUBSTITUTE(DR28,"TF","")),"TS",""))*10/2,0))/COUNTIF('Eval-Avant action écologique'!$A$761:$A$780,CS22),"")</f>
        <v/>
      </c>
      <c r="DE22" s="211" t="str">
        <f>IF(COUNTIF('Eval-Avant action écologique'!$A$761:$A$780,CS22)&gt;0,SUM(IF('Eval-Avant action écologique'!$A$761=CS22,LEN(SUBSTITUTE((SUBSTITUTE(DR9,"TF","")),"TM",""))*10/2,0),IF('Eval-Avant action écologique'!$A$762=CS22,LEN(SUBSTITUTE((SUBSTITUTE(DR10,"TF","")),"TM",""))*10/2,0),IF('Eval-Avant action écologique'!$A$763=CS22,LEN(SUBSTITUTE((SUBSTITUTE(DR11,"TF","")),"TM",""))*10/2,0),IF('Eval-Avant action écologique'!$A$764=CS22,LEN(SUBSTITUTE((SUBSTITUTE(DR12,"TF","")),"TM",""))*10/2,0),IF('Eval-Avant action écologique'!$A$765=CS22,LEN(SUBSTITUTE((SUBSTITUTE(DR13,"TF","")),"TM",""))*10/2,0),IF('Eval-Avant action écologique'!$A$766=CS22,LEN(SUBSTITUTE((SUBSTITUTE(DR14,"TF","")),"TM",""))*10/2,0),IF('Eval-Avant action écologique'!$A$767=CS22,LEN(SUBSTITUTE((SUBSTITUTE(DR15,"TF","")),"TM",""))*10/2,0),IF('Eval-Avant action écologique'!$A$768=CS22,LEN(SUBSTITUTE((SUBSTITUTE(DR16,"TF","")),"TM",""))*10/2,0),IF('Eval-Avant action écologique'!$A$769=CS22,LEN(SUBSTITUTE((SUBSTITUTE(DR17,"TF","")),"TM",""))*10/2,0),IF('Eval-Avant action écologique'!$A$770=CS22,LEN(SUBSTITUTE((SUBSTITUTE(DR18,"TF","")),"TM",""))*10/2,0),IF('Eval-Avant action écologique'!$A$771=CS22,LEN(SUBSTITUTE((SUBSTITUTE(DR19,"TF","")),"TM",""))*10/2,0),IF('Eval-Avant action écologique'!$A$772=CS22,LEN(SUBSTITUTE((SUBSTITUTE(DR20,"TF","")),"TM",""))*10/2,0),IF('Eval-Avant action écologique'!$A$773=CS22,LEN(SUBSTITUTE((SUBSTITUTE(DR21,"TF","")),"TM",""))*10/2,0),IF('Eval-Avant action écologique'!$A$774=CS22,LEN(SUBSTITUTE((SUBSTITUTE(DR22,"TF","")),"TM",""))*10/2,0),IF('Eval-Avant action écologique'!$A$775=CS22,LEN(SUBSTITUTE((SUBSTITUTE(DR23,"TF","")),"TM",""))*10/2,0),IF('Eval-Avant action écologique'!$A$776=CS22,LEN(SUBSTITUTE((SUBSTITUTE(DR24,"TF","")),"TM",""))*10/2,0),IF('Eval-Avant action écologique'!$A$777=CS22,LEN(SUBSTITUTE((SUBSTITUTE(DR25,"TF","")),"TM",""))*10/2,0),IF('Eval-Avant action écologique'!$A$778=CS22,LEN(SUBSTITUTE((SUBSTITUTE(DR26,"TF","")),"TM",""))*10/2,0),IF('Eval-Avant action écologique'!$A$779=CS22,LEN(SUBSTITUTE((SUBSTITUTE(DR27,"TF","")),"TM",""))*10/2,0),IF('Eval-Avant action écologique'!$A$780=CS22,LEN(SUBSTITUTE((SUBSTITUTE(DR28,"TF","")),"TM",""))*10/2,0))/COUNTIF('Eval-Avant action écologique'!$A$761:$A$780,CS22),"")</f>
        <v/>
      </c>
      <c r="DF22" s="211" t="str">
        <f>IF(COUNTIF('Eval-Avant action écologique'!$A$761:$A$780,CS22)&gt;0,SUM(IF('Eval-Avant action écologique'!$A$761=CS22,LEN(SUBSTITUTE((SUBSTITUTE(DS9,"TM","")),"TS",""))*10/2,0),IF('Eval-Avant action écologique'!$A$762=CS22,LEN(SUBSTITUTE((SUBSTITUTE(DS10,"TM","")),"TS",""))*10/2,0),IF('Eval-Avant action écologique'!$A$763=CS22,LEN(SUBSTITUTE((SUBSTITUTE(DS11,"TM","")),"TS",""))*10/2,0),IF('Eval-Avant action écologique'!$A$764=CS22,LEN(SUBSTITUTE((SUBSTITUTE(DS12,"TM","")),"TS",""))*10/2,0),IF('Eval-Avant action écologique'!$A$765=CS22,LEN(SUBSTITUTE((SUBSTITUTE(DS13,"TM","")),"TS",""))*10/2,0),IF('Eval-Avant action écologique'!$A$766=CS22,LEN(SUBSTITUTE((SUBSTITUTE(DS14,"TM","")),"TS",""))*10/2,0),IF('Eval-Avant action écologique'!$A$767=CS22,LEN(SUBSTITUTE((SUBSTITUTE(DS15,"TM","")),"TS",""))*10/2,0),IF('Eval-Avant action écologique'!$A$768=CS22,LEN(SUBSTITUTE((SUBSTITUTE(DS16,"TM","")),"TS",""))*10/2,0),IF('Eval-Avant action écologique'!$A$769=CS22,LEN(SUBSTITUTE((SUBSTITUTE(DS17,"TM","")),"TS",""))*10/2,0),IF('Eval-Avant action écologique'!$A$770=CS22,LEN(SUBSTITUTE((SUBSTITUTE(DS18,"TM","")),"TS",""))*10/2,0),IF('Eval-Avant action écologique'!$A$771=CS22,LEN(SUBSTITUTE((SUBSTITUTE(DS19,"TM","")),"TS",""))*10/2,0),IF('Eval-Avant action écologique'!$A$772=CS22,LEN(SUBSTITUTE((SUBSTITUTE(DS20,"TM","")),"TS",""))*10/2,0),IF('Eval-Avant action écologique'!$A$773=CS22,LEN(SUBSTITUTE((SUBSTITUTE(DS21,"TM","")),"TS",""))*10/2,0),IF('Eval-Avant action écologique'!$A$774=CS22,LEN(SUBSTITUTE((SUBSTITUTE(DS22,"TM","")),"TS",""))*10/2,0),IF('Eval-Avant action écologique'!$A$775=CS22,LEN(SUBSTITUTE((SUBSTITUTE(DS23,"TM","")),"TS",""))*10/2,0),IF('Eval-Avant action écologique'!$A$776=CS22,LEN(SUBSTITUTE((SUBSTITUTE(DS24,"TM","")),"TS",""))*10/2,0),IF('Eval-Avant action écologique'!$A$777=CS22,LEN(SUBSTITUTE((SUBSTITUTE(DS25,"TM","")),"TS",""))*10/2,0),IF('Eval-Avant action écologique'!$A$778=CS22,LEN(SUBSTITUTE((SUBSTITUTE(DS26,"TM","")),"TS",""))*10/2,0),IF('Eval-Avant action écologique'!$A$779=CS22,LEN(SUBSTITUTE((SUBSTITUTE(DS27,"TM","")),"TS",""))*10/2,0),IF('Eval-Avant action écologique'!$A$780=CS22,LEN(SUBSTITUTE((SUBSTITUTE(DS28,"TM","")),"TS",""))*10/2,0))/COUNTIF('Eval-Avant action écologique'!$A$761:$A$780,CS22),"")</f>
        <v/>
      </c>
      <c r="DG22" s="211" t="str">
        <f>IF(COUNTIF('Eval-Avant action écologique'!$A$761:$A$780,CS22)&gt;0,SUM(IF('Eval-Avant action écologique'!$A$761=CS22,LEN(SUBSTITUTE((SUBSTITUTE(DS9,"TF","")),"TS",""))*10/2,0),IF('Eval-Avant action écologique'!$A$762=CS22,LEN(SUBSTITUTE((SUBSTITUTE(DS10,"TF","")),"TS",""))*10/2,0),IF('Eval-Avant action écologique'!$A$763=CS22,LEN(SUBSTITUTE((SUBSTITUTE(DS11,"TF","")),"TS",""))*10/2,0),IF('Eval-Avant action écologique'!$A$764=CS22,LEN(SUBSTITUTE((SUBSTITUTE(DS12,"TF","")),"TS",""))*10/2,0),IF('Eval-Avant action écologique'!$A$765=CS22,LEN(SUBSTITUTE((SUBSTITUTE(DS13,"TF","")),"TS",""))*10/2,0),IF('Eval-Avant action écologique'!$A$766=CS22,LEN(SUBSTITUTE((SUBSTITUTE(DS14,"TF","")),"TS",""))*10/2,0),IF('Eval-Avant action écologique'!$A$767=CS22,LEN(SUBSTITUTE((SUBSTITUTE(DS15,"TF","")),"TS",""))*10/2,0),IF('Eval-Avant action écologique'!$A$768=CS22,LEN(SUBSTITUTE((SUBSTITUTE(DS16,"TF","")),"TS",""))*10/2,0),IF('Eval-Avant action écologique'!$A$769=CS22,LEN(SUBSTITUTE((SUBSTITUTE(DS17,"TF","")),"TS",""))*10/2,0),IF('Eval-Avant action écologique'!$A$770=CS22,LEN(SUBSTITUTE((SUBSTITUTE(DS18,"TF","")),"TS",""))*10/2,0),IF('Eval-Avant action écologique'!$A$771=CS22,LEN(SUBSTITUTE((SUBSTITUTE(DS19,"TF","")),"TS",""))*10/2,0),IF('Eval-Avant action écologique'!$A$772=CS22,LEN(SUBSTITUTE((SUBSTITUTE(DS20,"TF","")),"TS",""))*10/2,0),IF('Eval-Avant action écologique'!$A$773=CS22,LEN(SUBSTITUTE((SUBSTITUTE(DS21,"TF","")),"TS",""))*10/2,0),IF('Eval-Avant action écologique'!$A$774=CS22,LEN(SUBSTITUTE((SUBSTITUTE(DS22,"TF","")),"TS",""))*10/2,0),IF('Eval-Avant action écologique'!$A$775=CS22,LEN(SUBSTITUTE((SUBSTITUTE(DS23,"TF","")),"TS",""))*10/2,0),IF('Eval-Avant action écologique'!$A$776=CS22,LEN(SUBSTITUTE((SUBSTITUTE(DS24,"TF","")),"TS",""))*10/2,0),IF('Eval-Avant action écologique'!$A$777=CS22,LEN(SUBSTITUTE((SUBSTITUTE(DS25,"TF","")),"TS",""))*10/2,0),IF('Eval-Avant action écologique'!$A$778=CS22,LEN(SUBSTITUTE((SUBSTITUTE(DS26,"TF","")),"TS",""))*10/2,0),IF('Eval-Avant action écologique'!$A$779=CS22,LEN(SUBSTITUTE((SUBSTITUTE(DS27,"TF","")),"TS",""))*10/2,0),IF('Eval-Avant action écologique'!$A$780=CS22,LEN(SUBSTITUTE((SUBSTITUTE(DS28,"TF","")),"TS",""))*10/2,0))/COUNTIF('Eval-Avant action écologique'!$A$761:$A$780,CS22),"")</f>
        <v/>
      </c>
      <c r="DH22" s="211" t="str">
        <f>IF(COUNTIF('Eval-Avant action écologique'!$A$761:$A$780,CS22)&gt;0,SUM(IF('Eval-Avant action écologique'!$A$761=CS22,LEN(SUBSTITUTE((SUBSTITUTE(DS9,"TF","")),"TM",""))*10/2,0),IF('Eval-Avant action écologique'!$A$762=CS22,LEN(SUBSTITUTE((SUBSTITUTE(DS10,"TF","")),"TM",""))*10/2,0),IF('Eval-Avant action écologique'!$A$763=CS22,LEN(SUBSTITUTE((SUBSTITUTE(DS11,"TF","")),"TM",""))*10/2,0),IF('Eval-Avant action écologique'!$A$764=CS22,LEN(SUBSTITUTE((SUBSTITUTE(DS12,"TF","")),"TM",""))*10/2,0),IF('Eval-Avant action écologique'!$A$765=CS22,LEN(SUBSTITUTE((SUBSTITUTE(DS13,"TF","")),"TM",""))*10/2,0),IF('Eval-Avant action écologique'!$A$766=CS22,LEN(SUBSTITUTE((SUBSTITUTE(DS14,"TF","")),"TM",""))*10/2,0),IF('Eval-Avant action écologique'!$A$767=CS22,LEN(SUBSTITUTE((SUBSTITUTE(DS15,"TF","")),"TM",""))*10/2,0),IF('Eval-Avant action écologique'!$A$768=CS22,LEN(SUBSTITUTE((SUBSTITUTE(DS16,"TF","")),"TM",""))*10/2,0),IF('Eval-Avant action écologique'!$A$769=CS22,LEN(SUBSTITUTE((SUBSTITUTE(DS17,"TF","")),"TM",""))*10/2,0),IF('Eval-Avant action écologique'!$A$770=CS22,LEN(SUBSTITUTE((SUBSTITUTE(DS18,"TF","")),"TM",""))*10/2,0),IF('Eval-Avant action écologique'!$A$771=CS22,LEN(SUBSTITUTE((SUBSTITUTE(DS19,"TF","")),"TM",""))*10/2,0),IF('Eval-Avant action écologique'!$A$772=CS22,LEN(SUBSTITUTE((SUBSTITUTE(DS20,"TF","")),"TM",""))*10/2,0),IF('Eval-Avant action écologique'!$A$773=CS22,LEN(SUBSTITUTE((SUBSTITUTE(DS21,"TF","")),"TM",""))*10/2,0),IF('Eval-Avant action écologique'!$A$774=CS22,LEN(SUBSTITUTE((SUBSTITUTE(DS22,"TF","")),"TM",""))*10/2,0),IF('Eval-Avant action écologique'!$A$775=CS22,LEN(SUBSTITUTE((SUBSTITUTE(DS23,"TF","")),"TM",""))*10/2,0),IF('Eval-Avant action écologique'!$A$776=CS22,LEN(SUBSTITUTE((SUBSTITUTE(DS24,"TF","")),"TM",""))*10/2,0),IF('Eval-Avant action écologique'!$A$777=CS22,LEN(SUBSTITUTE((SUBSTITUTE(DS25,"TF","")),"TM",""))*10/2,0),IF('Eval-Avant action écologique'!$A$778=CS22,LEN(SUBSTITUTE((SUBSTITUTE(DS26,"TF","")),"TM",""))*10/2,0),IF('Eval-Avant action écologique'!$A$779=CS22,LEN(SUBSTITUTE((SUBSTITUTE(DS27,"TF","")),"TM",""))*10/2,0),IF('Eval-Avant action écologique'!$A$780=CS22,LEN(SUBSTITUTE((SUBSTITUTE(DS28,"TF","")),"TM",""))*10/2,0))/COUNTIF('Eval-Avant action écologique'!$A$761:$A$780,CS22),"")</f>
        <v/>
      </c>
      <c r="DI22" s="211" t="str">
        <f>IF(COUNTIF('Eval-Avant action écologique'!$A$761:$A$780,CS22)&gt;0,IF(OR(AND('Eval-Avant action écologique'!$A$761=CS22,DP9&lt;30),AND('Eval-Avant action écologique'!$A$762=CS22,DP10&lt;30),AND('Eval-Avant action écologique'!$A$763=CS22,DP11&lt;30),AND('Eval-Avant action écologique'!$A$764=CS22,DP12&lt;30),AND('Eval-Avant action écologique'!$A$765=CS22,DP13&lt;30),AND('Eval-Avant action écologique'!$A$766=CS22,DP14&lt;30),AND('Eval-Avant action écologique'!$A$767=CS22,DP15&lt;30),AND('Eval-Avant action écologique'!$A$768=CS22,DP16&lt;30),AND('Eval-Avant action écologique'!$A$769=CS22,DP17&lt;30),AND('Eval-Avant action écologique'!$A$770=CS22,DP18&lt;30),AND('Eval-Avant action écologique'!$A$771=CS22,DP19&lt;30),AND('Eval-Avant action écologique'!$A$772=CS22,DP20&lt;30),AND('Eval-Avant action écologique'!$A$773=CS22,DP21&lt;30),AND('Eval-Avant action écologique'!$A$774=CS22,DP22&lt;30),AND('Eval-Avant action écologique'!$A$775=CS22,DP23&lt;30),AND('Eval-Avant action écologique'!$A$776=CS22,DP24&lt;30),AND('Eval-Avant action écologique'!$A$777=CS22,DP25&lt;30),AND('Eval-Avant action écologique'!$A$778=CS22,DP26&lt;30),AND('Eval-Avant action écologique'!$A$779=CS22,DP27&lt;30),AND('Eval-Avant action écologique'!$A$780=CS22,DP28&lt;30)),"",SUM(0.1*(SUMPRODUCT(('Eval-Avant action écologique'!$A$761:$A$780=CS22)*('Eval-Avant action écologique'!$N$761:$P$780="A"))+ SUMPRODUCT(('Eval-Avant action écologique'!$A$761:$A$780=CS22)*('Eval-Avant action écologique'!$N$761:$P$780="AL"))),0.7*(SUMPRODUCT(('Eval-Avant action écologique'!$A$761:$A$780=CS22)*('Eval-Avant action écologique'!$N$761:$P$780="TF"))+SUMPRODUCT(('Eval-Avant action écologique'!$A$761:$A$780=CS22)*('Eval-Avant action écologique'!$N$761:$P$780="TM"))+SUMPRODUCT(('Eval-Avant action écologique'!$A$761:$A$780=CS22)*('Eval-Avant action écologique'!$N$761:$P$780="TS"))),0.4*(SUMPRODUCT(('Eval-Avant action écologique'!$A$761:$A$780=CS22)*('Eval-Avant action écologique'!$N$761:$P$780="LA"))+SUMPRODUCT(('Eval-Avant action écologique'!$A$761:$A$780=CS22)*('Eval-Avant action écologique'!$N$761:$P$780="L"))+SUMPRODUCT(('Eval-Avant action écologique'!$A$761:$A$780=CS22)*('Eval-Avant action écologique'!$N$761:$P$780="LS"))),1*(SUMPRODUCT(('Eval-Avant action écologique'!$A$761:$A$780=CS22)*('Eval-Avant action écologique'!$N$761:$P$780="SL"))+ SUMPRODUCT(('Eval-Avant action écologique'!$A$761:$A$780=CS22)*('Eval-Avant action écologique'!$N$761:$P$780="S"))))/(3*COUNTIF('Eval-Avant action écologique'!$A$761:$A$780,CS22))),"")</f>
        <v/>
      </c>
      <c r="DJ22" s="211" t="str">
        <f>IF(COUNTIF('Eval-Avant action écologique'!$A$761:$A$780,CS22)&gt;0,IF(OR(AND('Eval-Avant action écologique'!$A$761=CS22,DP9&lt;120),AND('Eval-Avant action écologique'!$A$762=CS22,DP10&lt;120),AND('Eval-Avant action écologique'!$A$763=CS22,DP11&lt;120),AND('Eval-Avant action écologique'!$A$764=CS22,DP12&lt;120),AND('Eval-Avant action écologique'!$A$765=CS22,DP13&lt;120),AND('Eval-Avant action écologique'!$A$766=CS22,DP14&lt;120),AND('Eval-Avant action écologique'!$A$767=CS22,DP15&lt;120),AND('Eval-Avant action écologique'!$A$768=CS22,DP16&lt;120),AND('Eval-Avant action écologique'!$A$769=CS22,DP17&lt;120),AND('Eval-Avant action écologique'!$A$770=CS22,DP18&lt;120),AND('Eval-Avant action écologique'!$A$771=CS22,DP19&lt;120),AND('Eval-Avant action écologique'!$A$772=CS22,DP20&lt;120),AND('Eval-Avant action écologique'!$A$773=CS22,DP21&lt;120),AND('Eval-Avant action écologique'!$A$774=CS22,DP22&lt;120),AND('Eval-Avant action écologique'!$A$775=CS22,DP23&lt;120),AND('Eval-Avant action écologique'!$A$776=CS22,DP24&lt;120),AND('Eval-Avant action écologique'!$A$777=CS22,DP25&lt;120),AND('Eval-Avant action écologique'!$A$778=CS22,DP26&lt;120),AND('Eval-Avant action écologique'!$A$779=CS22,DP27&lt;120),AND('Eval-Avant action écologique'!$A$780=CS22,DP28&lt;120)),"",SUM(0.1*(SUMPRODUCT(('Eval-Avant action écologique'!$A$761:$A$780=CS22)*('Eval-Avant action écologique'!$Q$761:$Y$780="A"))+ SUMPRODUCT(('Eval-Avant action écologique'!$A$761:$A$780=CS22)*('Eval-Avant action écologique'!$Q$761:$Y$780="AL"))),0.7*(SUMPRODUCT(('Eval-Avant action écologique'!$A$761:$A$780=CS22)*('Eval-Avant action écologique'!$Q$761:$Y$780="TF"))+SUMPRODUCT(('Eval-Avant action écologique'!$A$761:$A$780=CS22)*('Eval-Avant action écologique'!$Q$761:$Y$780="TM"))+SUMPRODUCT(('Eval-Avant action écologique'!$A$761:$A$780=CS22)*('Eval-Avant action écologique'!$Q$761:$Y$780="TS"))),0.4*(SUMPRODUCT(('Eval-Avant action écologique'!$A$761:$A$780=CS22)*('Eval-Avant action écologique'!$Q$761:$Y$780="LA"))+SUMPRODUCT(('Eval-Avant action écologique'!$A$761:$A$780=CS22)*('Eval-Avant action écologique'!$Q$761:$Y$780="L"))+SUMPRODUCT(('Eval-Avant action écologique'!$A$761:$A$780=CS22)*('Eval-Avant action écologique'!$Q$761:$Y$780="LS"))),1*(SUMPRODUCT(('Eval-Avant action écologique'!$A$761:$A$780=CS22)*('Eval-Avant action écologique'!$Q$761:$Y$780="SL"))+ SUMPRODUCT(('Eval-Avant action écologique'!$A$761:$A$780=CS22)*('Eval-Avant action écologique'!$Q$761:$Y$780="S"))))/(9*COUNTIF('Eval-Avant action écologique'!$A$761:$A$780,CS22))),"")</f>
        <v/>
      </c>
      <c r="DK22" s="211" t="str">
        <f>IF(COUNTIF('Eval-Avant action écologique'!$A$761:$A$780,CS22)&gt;0,IF(OR(AND('Eval-Avant action écologique'!$A$761=CS22,OR(COUNTIF('Eval-Avant action écologique'!$N$761:$P$761,"*T*")&gt;0,DP9&lt;30)),AND('Eval-Avant action écologique'!$A$762=CS22,OR(COUNTIF('Eval-Avant action écologique'!$N$762:$P$762,"*T*")&gt;0,DP10&lt;30)),AND('Eval-Avant action écologique'!$A$763=CS22,OR(COUNTIF('Eval-Avant action écologique'!$N$763:$P$763,"*T*")&gt;0,DP11&lt;30)),AND('Eval-Avant action écologique'!$A$764=CS22,OR(COUNTIF('Eval-Avant action écologique'!$N$764:$P$764,"*T*")&gt;0,DP12&lt;30)),AND('Eval-Avant action écologique'!$A$765=CS22,OR(COUNTIF('Eval-Avant action écologique'!$N$765:$P$765,"*T*")&gt;0,DP13&lt;30)),AND('Eval-Avant action écologique'!$A$766=CS22,OR(COUNTIF('Eval-Avant action écologique'!$N$766:$P$766,"*T*")&gt;0,DP14&lt;30)),AND('Eval-Avant action écologique'!$A$767=CS22,OR(COUNTIF('Eval-Avant action écologique'!$N$767:$P$767,"*T*")&gt;0,DP15&lt;30)),AND('Eval-Avant action écologique'!$A$768=CS22,OR(COUNTIF('Eval-Avant action écologique'!$N$768:$P$768,"*T*")&gt;0,DP16&lt;30)),AND('Eval-Avant action écologique'!$A$769=CS22,OR(COUNTIF('Eval-Avant action écologique'!$N$769:$P$769,"*T*")&gt;0,DP17&lt;30)),AND('Eval-Avant action écologique'!$A$770=CS22,OR(COUNTIF('Eval-Avant action écologique'!$N$770:$P$770,"*T*")&gt;0,DP18&lt;30)),AND('Eval-Avant action écologique'!$A$771=CS22,OR(COUNTIF('Eval-Avant action écologique'!$N$771:$P$771,"*T*")&gt;0,DP19&lt;30)),AND('Eval-Avant action écologique'!$A$772=CS22,OR(COUNTIF('Eval-Avant action écologique'!$N$772:$P$772,"*T*")&gt;0,DP20&lt;30)),AND('Eval-Avant action écologique'!$A$773=CS22,OR(COUNTIF('Eval-Avant action écologique'!$N$773:$P$773,"*T*")&gt;0,DP21&lt;30)),AND('Eval-Avant action écologique'!$A$774=CS22,OR(COUNTIF('Eval-Avant action écologique'!$N$774:$P$774,"*T*")&gt;0,DP22&lt;30)),AND('Eval-Avant action écologique'!$A$775=CS22,OR(COUNTIF('Eval-Avant action écologique'!$N$775:$P$775,"*T*")&gt;0,DP23&lt;30)),AND('Eval-Avant action écologique'!$A$776=CS22,OR(COUNTIF('Eval-Avant action écologique'!$N$776:$P$776,"*T*")&gt;0,DP24&lt;30)),AND('Eval-Avant action écologique'!$A$777=CS22,OR(COUNTIF('Eval-Avant action écologique'!$N$777:$P$777,"*T*")&gt;0,DP25&lt;30)),AND('Eval-Avant action écologique'!$A$778=CS22,OR(COUNTIF('Eval-Avant action écologique'!$N$778:$P$778,"*T*")&gt;0,DP26&lt;30)),AND('Eval-Avant action écologique'!$A$779=CS22,OR(COUNTIF('Eval-Avant action écologique'!$N$779:$P$779,"*T*")&gt;0,DP27&lt;30)),AND('Eval-Avant action écologique'!$A$780=CS22,OR(COUNTIF('Eval-Avant action écologique'!$N$780:$P$780,"*T*")&gt;0,DP28&lt;30))),"",SUM(0.1*(SUMPRODUCT(('Eval-Avant action écologique'!$A$761:$A$780=CS22)*('Eval-Avant action écologique'!$N$761:$P$780="L"))),0.4*(SUMPRODUCT(('Eval-Avant action écologique'!$A$761:$A$780=CS22)*('Eval-Avant action écologique'!$N$761:$P$780="LA"))+SUMPRODUCT(('Eval-Avant action écologique'!$A$761:$A$780=CS22)*('Eval-Avant action écologique'!$N$761:$P$780="LS"))),0.7*(SUMPRODUCT(('Eval-Avant action écologique'!$A$761:$A$780=CS22)*('Eval-Avant action écologique'!$N$761:$P$780="AL"))+SUMPRODUCT(('Eval-Avant action écologique'!$A$761:$A$780=CS22)*('Eval-Avant action écologique'!$N$761:$P$780="SL"))),1*(SUMPRODUCT(('Eval-Avant action écologique'!$A$761:$A$780=CS22)*('Eval-Avant action écologique'!$N$761:$P$780="S"))+ SUMPRODUCT(('Eval-Avant action écologique'!$A$761:$A$780=CS22)*('Eval-Avant action écologique'!$N$761:$P$780="A"))))/(3*COUNTIF('Eval-Avant action écologique'!$A$761:$A$780,CS22))),"")</f>
        <v/>
      </c>
      <c r="DL22" s="211" t="str">
        <f>IF(COUNTIF('Eval-Avant action écologique'!$A$761:$A$780,CS22)&gt;0,IF(OR(AND('Eval-Avant action écologique'!$A$761=CS22,OR(COUNTIF('Eval-Avant action écologique'!$N$761:$P$761,"*T*")&gt;0,DP9&lt;30)),AND('Eval-Avant action écologique'!$A$762=CS22,OR(COUNTIF('Eval-Avant action écologique'!$N$762:$P$762,"*T*")&gt;0,DP10&lt;30)),AND('Eval-Avant action écologique'!$A$763=CS22,OR(COUNTIF('Eval-Avant action écologique'!$N$763:$P$763,"*T*")&gt;0,DP11&lt;30)),AND('Eval-Avant action écologique'!$A$764=CS22,OR(COUNTIF('Eval-Avant action écologique'!$N$764:$P$764,"*T*")&gt;0,DP12&lt;30)),AND('Eval-Avant action écologique'!$A$765=CS22,OR(COUNTIF('Eval-Avant action écologique'!$N$765:$P$765,"*T*")&gt;0,DP13&lt;30)),AND('Eval-Avant action écologique'!$A$766=CS22,OR(COUNTIF('Eval-Avant action écologique'!$N$766:$P$766,"*T*")&gt;0,DP14&lt;30)),AND('Eval-Avant action écologique'!$A$767=CS22,OR(COUNTIF('Eval-Avant action écologique'!$N$767:$P$767,"*T*")&gt;0,DP15&lt;30)),AND('Eval-Avant action écologique'!$A$768=CS22,OR(COUNTIF('Eval-Avant action écologique'!$N$768:$P$768,"*T*")&gt;0,DP16&lt;30)),AND('Eval-Avant action écologique'!$A$769=CS22,OR(COUNTIF('Eval-Avant action écologique'!$N$769:$P$769,"*T*")&gt;0,DP17&lt;30)),AND('Eval-Avant action écologique'!$A$770=CS22,OR(COUNTIF('Eval-Avant action écologique'!$N$770:$P$770,"*T*")&gt;0,DP18&lt;30)),AND('Eval-Avant action écologique'!$A$771=CS22,OR(COUNTIF('Eval-Avant action écologique'!$N$771:$P$771,"*T*")&gt;0,DP19&lt;30)),AND('Eval-Avant action écologique'!$A$772=CS22,OR(COUNTIF('Eval-Avant action écologique'!$N$772:$P$772,"*T*")&gt;0,DP20&lt;30)),AND('Eval-Avant action écologique'!$A$773=CS22,OR(COUNTIF('Eval-Avant action écologique'!$N$773:$P$773,"*T*")&gt;0,DP21&lt;30)),AND('Eval-Avant action écologique'!$A$774=CS22,OR(COUNTIF('Eval-Avant action écologique'!$N$774:$P$774,"*T*")&gt;0,DP22&lt;30)),AND('Eval-Avant action écologique'!$A$775=CS22,OR(COUNTIF('Eval-Avant action écologique'!$N$775:$P$775,"*T*")&gt;0,DP23&lt;30)),AND('Eval-Avant action écologique'!$A$776=CS22,OR(COUNTIF('Eval-Avant action écologique'!$N$776:$P$776,"*T*")&gt;0,DP24&lt;30)),AND('Eval-Avant action écologique'!$A$777=CS22,OR(COUNTIF('Eval-Avant action écologique'!$N$777:$P$777,"*T*")&gt;0,DP25&lt;30)),AND('Eval-Avant action écologique'!$A$778=CS22,OR(COUNTIF('Eval-Avant action écologique'!$N$778:$P$778,"*T*")&gt;0,DP26&lt;30)),AND('Eval-Avant action écologique'!$A$779=CS22,OR(COUNTIF('Eval-Avant action écologique'!$N$779:$P$779,"*T*")&gt;0,DP27&lt;30)),AND('Eval-Avant action écologique'!$A$780=CS22,OR(COUNTIF('Eval-Avant action écologique'!$N$780:$P$780,"*T*")&gt;0,DP28&lt;30))),"",SUM(1*(SUMPRODUCT(('Eval-Avant action écologique'!$A$761:$A$780=CS22)*('Eval-Avant action écologique'!$N$761:$P$780="A"))),0.85*(SUMPRODUCT(('Eval-Avant action écologique'!$A$761:$A$780=CS22)*('Eval-Avant action écologique'!$N$761:$P$780="AL"))),0.7*(SUMPRODUCT(('Eval-Avant action écologique'!$A$761:$A$780=CS22)*('Eval-Avant action écologique'!$N$761:$P$780="LA"))),0.55*(SUMPRODUCT(('Eval-Avant action écologique'!$A$761:$A$780=CS22)*('Eval-Avant action écologique'!$N$761:$P$780="L"))),0.4*(SUMPRODUCT(('Eval-Avant action écologique'!$A$761:$A$780=CS22)*('Eval-Avant action écologique'!$N$761:$P$780="LS"))),0.25*(SUMPRODUCT(('Eval-Avant action écologique'!$A$761:$A$780=CS22)*('Eval-Avant action écologique'!$N$761:$P$780="SL"))),0.1*(SUMPRODUCT(('Eval-Avant action écologique'!$A$761:$A$780=CS22)*('Eval-Avant action écologique'!$N$761:$P$780="S"))))/(3*COUNTIF('Eval-Avant action écologique'!$A$761:$A$780,CS22))),"")</f>
        <v/>
      </c>
      <c r="DM22" s="214" t="str">
        <f>IF(COUNTIF('Eval-Avant action écologique'!$A$761:$A$780,CS22)&gt;0,IF(OR(AND('Eval-Avant action écologique'!$A$761=CS22,OR(COUNTIF('Eval-Avant action écologique'!$Q$761:$Y$761,"*T*")&gt;0,DP9&lt;120)),AND('Eval-Avant action écologique'!$A$762=CS22,OR(COUNTIF('Eval-Avant action écologique'!$Q$762:$Y$762,"*T*")&gt;0,DP10&lt;120)),AND('Eval-Avant action écologique'!$A$763=CS22,OR(COUNTIF('Eval-Avant action écologique'!$Q$763:$Y$763,"*T*")&gt;0,DP11&lt;120)),AND('Eval-Avant action écologique'!$A$764=CS22,OR(COUNTIF('Eval-Avant action écologique'!$Q$764:$Y$764,"*T*")&gt;0,DP12&lt;120)),AND('Eval-Avant action écologique'!$A$765=CS22,OR(COUNTIF('Eval-Avant action écologique'!$Q$765:$Y$765,"*T*")&gt;0,DP13&lt;120)),AND('Eval-Avant action écologique'!$A$766=CS22,OR(COUNTIF('Eval-Avant action écologique'!$Q$766:$Y$766,"*T*")&gt;0,DP14&lt;120)),AND('Eval-Avant action écologique'!$A$767=CS22,OR(COUNTIF('Eval-Avant action écologique'!$Q$767:$Y$767,"*T*")&gt;0,DP15&lt;120)),AND('Eval-Avant action écologique'!$A$768=CS22,OR(COUNTIF('Eval-Avant action écologique'!$Q$768:$Y$768,"*T*")&gt;0,DP16&lt;120)),AND('Eval-Avant action écologique'!$A$769=CS22,OR(COUNTIF('Eval-Avant action écologique'!$Q$769:$Y$769,"*T*")&gt;0,DP17&lt;120)),AND('Eval-Avant action écologique'!$A$770=CS22,OR(COUNTIF('Eval-Avant action écologique'!$Q$770:$Y$770,"*T*")&gt;0,DP18&lt;120)),AND('Eval-Avant action écologique'!$A$771=CS22,OR(COUNTIF('Eval-Avant action écologique'!$Q$771:$Y$771,"*T*")&gt;0,DP19&lt;120)),AND('Eval-Avant action écologique'!$A$772=CS22,OR(COUNTIF('Eval-Avant action écologique'!$Q$772:$Y$772,"*T*")&gt;0,DP20&lt;120)),AND('Eval-Avant action écologique'!$A$773=CS22,OR(COUNTIF('Eval-Avant action écologique'!$Q$773:$Y$773,"*T*")&gt;0,DP21&lt;120)),AND('Eval-Avant action écologique'!$A$774=CS22,OR(COUNTIF('Eval-Avant action écologique'!$Q$774:$Y$774,"*T*")&gt;0,DP22&lt;120)),AND('Eval-Avant action écologique'!$A$775=CS22,OR(COUNTIF('Eval-Avant action écologique'!$Q$775:$Y$775,"*T*")&gt;0,DP23&lt;120)),AND('Eval-Avant action écologique'!$A$776=CS22,OR(COUNTIF('Eval-Avant action écologique'!$Q$776:$Y$776,"*T*")&gt;0,DP24&lt;120)),AND('Eval-Avant action écologique'!$A$777=CS22,OR(COUNTIF('Eval-Avant action écologique'!$Q$777:$Y$777,"*T*")&gt;0,DP25&lt;120)),AND('Eval-Avant action écologique'!$A$778=CS22,OR(COUNTIF('Eval-Avant action écologique'!$Q$778:$Y$778,"*T*")&gt;0,DP26&lt;120)),AND('Eval-Avant action écologique'!$A$779=CS22,OR(COUNTIF('Eval-Avant action écologique'!$Q$779:$Y$779,"*T*")&gt;0,DP27&lt;120)),AND('Eval-Avant action écologique'!$A$780=CS22,OR(COUNTIF('Eval-Avant action écologique'!$Q$780:$Y$780,"*T*")&gt;0,DP28&lt;120))),"",SUM(1*(SUMPRODUCT(('Eval-Avant action écologique'!$A$761:$A$780=CS22)*('Eval-Avant action écologique'!$Q$761:$Y$780="A"))),0.85*(SUMPRODUCT(('Eval-Avant action écologique'!$A$761:$A$780=CS22)*('Eval-Avant action écologique'!$Q$761:$Y$780="AL"))),0.7*(SUMPRODUCT(('Eval-Avant action écologique'!$A$761:$A$780=CS22)*('Eval-Avant action écologique'!$Q$761:$Y$780="LA"))),0.55*(SUMPRODUCT(('Eval-Avant action écologique'!$A$761:$A$780=CS22)*('Eval-Avant action écologique'!$Q$761:$Y$780="L"))),0.4*(SUMPRODUCT(('Eval-Avant action écologique'!$A$761:$A$780=CS22)*('Eval-Avant action écologique'!$Q$761:$Y$780="LS"))),0.25*(SUMPRODUCT(('Eval-Avant action écologique'!$A$761:$A$780=CS22)*('Eval-Avant action écologique'!$Q$761:$Y$780="SL"))),0.1*(SUMPRODUCT(('Eval-Avant action écologique'!$A$761:$A$780=CS22)*('Eval-Avant action écologique'!$Q$761:$Y$780="S"))))/(9*COUNTIF('Eval-Avant action écologique'!$A$761:$A$780,CS22))),"")</f>
        <v/>
      </c>
      <c r="DN22" s="215"/>
      <c r="DO22" s="216">
        <f>'Eval-Avant action écologique'!$D$774</f>
        <v>14</v>
      </c>
      <c r="DP22" s="217" t="str">
        <f>IF(DQ22="C",0,IF(IF(COUNTIF('Eval-Avant action écologique'!$N$774:$Y$774,"=C")&gt;0,(COUNTA('Eval-Avant action écologique'!$N$774:$Y$774)-1)*10,COUNTA('Eval-Avant action écologique'!$N$774:$Y$774)*10)=0,"",IF(COUNTIF('Eval-Avant action écologique'!$N$774:$Y$774,"=C")&gt;0,(COUNTA('Eval-Avant action écologique'!$N$774:$Y$774)-1)*10,COUNTA('Eval-Avant action écologique'!$N$774:$Y$774)*10)))</f>
        <v/>
      </c>
      <c r="DQ22" s="217" t="str">
        <f>CONCATENATE('Eval-Avant action écologique'!$N$774,'Eval-Avant action écologique'!$O$774,'Eval-Avant action écologique'!$P$774,'Eval-Avant action écologique'!$Q$774,'Eval-Avant action écologique'!$R$774,'Eval-Avant action écologique'!$S$774,'Eval-Avant action écologique'!$T$774,'Eval-Avant action écologique'!$U$774,'Eval-Avant action écologique'!$V$774,'Eval-Avant action écologique'!$W$774,'Eval-Avant action écologique'!$X$774,'Eval-Avant action écologique'!$Y$774)</f>
        <v/>
      </c>
      <c r="DR22" s="217" t="str">
        <f t="shared" si="12"/>
        <v/>
      </c>
      <c r="DS22" s="217" t="str">
        <f t="shared" si="13"/>
        <v/>
      </c>
      <c r="DT22" s="217" t="str">
        <f>IF(COUNTIF('Eval-Avant action écologique'!$N$774:$Y$774,"=C")&gt;0,"X","")</f>
        <v/>
      </c>
      <c r="DU22" s="217" t="str">
        <f t="shared" si="14"/>
        <v/>
      </c>
      <c r="DV22" s="218" t="str">
        <f t="shared" si="15"/>
        <v/>
      </c>
      <c r="DW22" s="197"/>
      <c r="DY22" s="210">
        <v>14</v>
      </c>
      <c r="DZ22" s="211" t="str">
        <f>IF(COUNTIF('Eval-Avec act. écol. envisagée'!$A$761:$A$780,DY22)&gt;0,SUM(IF('Eval-Avec act. écol. envisagée'!$A$761=DY22,'Eval-Avec act. écol. envisagée'!$B$761,0),IF('Eval-Avec act. écol. envisagée'!$A$762=DY22, 'Eval-Avec act. écol. envisagée'!$B$762,0),IF('Eval-Avec act. écol. envisagée'!$A$763=DY22, 'Eval-Avec act. écol. envisagée'!$B$763,0),IF('Eval-Avec act. écol. envisagée'!$A$764=DY22, 'Eval-Avec act. écol. envisagée'!$B$764,0),IF('Eval-Avec act. écol. envisagée'!$A$765=DY22, 'Eval-Avec act. écol. envisagée'!$B$765,0),IF('Eval-Avec act. écol. envisagée'!$A$766=DY22, 'Eval-Avec act. écol. envisagée'!$B$766,0),IF('Eval-Avec act. écol. envisagée'!$A$767=DY22, 'Eval-Avec act. écol. envisagée'!$B$767,0),IF('Eval-Avec act. écol. envisagée'!$A$768=DY22, 'Eval-Avec act. écol. envisagée'!$B$768,0),IF('Eval-Avec act. écol. envisagée'!$A$769=DY22, 'Eval-Avec act. écol. envisagée'!$B$769,0),IF('Eval-Avec act. écol. envisagée'!$A$770=DY22, 'Eval-Avec act. écol. envisagée'!$B$770,0),IF('Eval-Avec act. écol. envisagée'!$A$771=DY22, 'Eval-Avec act. écol. envisagée'!$B$771,0),IF('Eval-Avec act. écol. envisagée'!$A$772=DY22, 'Eval-Avec act. écol. envisagée'!$B$772,0),IF('Eval-Avec act. écol. envisagée'!$A$773=DY22, 'Eval-Avec act. écol. envisagée'!$B$773,0),IF('Eval-Avec act. écol. envisagée'!$A$774=DY22, 'Eval-Avec act. écol. envisagée'!$B$774,0),IF('Eval-Avec act. écol. envisagée'!$A$775=DY22, 'Eval-Avec act. écol. envisagée'!$B$775,0),IF('Eval-Avec act. écol. envisagée'!$A$776=DY22, 'Eval-Avec act. écol. envisagée'!$B$776,0),IF('Eval-Avec act. écol. envisagée'!$A$777=DY22, 'Eval-Avec act. écol. envisagée'!$B$777,0),IF('Eval-Avec act. écol. envisagée'!$A$778=DY22, 'Eval-Avec act. écol. envisagée'!$B$778,0),IF('Eval-Avec act. écol. envisagée'!$A$779=DY22, 'Eval-Avec act. écol. envisagée'!$B$779,0),IF('Eval-Avec act. écol. envisagée'!$A$780=DY22, 'Eval-Avec act. écol. envisagée'!$B$780,0))/COUNTIF('Eval-Avec act. écol. envisagée'!$A$761:$A$780,DY22),"")</f>
        <v/>
      </c>
      <c r="EA22" s="212" t="str">
        <f>IF(COUNTIF('Eval-Avec act. écol. envisagée'!$A$761:$A$780,DY22)&gt;0,COUNTIF('Eval-Avec act. écol. envisagée'!$A$761:$A$780,DY22),"")</f>
        <v/>
      </c>
      <c r="EB22" s="211" t="str">
        <f>IF(COUNTIF('Eval-Avec act. écol. envisagée'!$A$761:$A$780,DY22)&gt;0,IF(OR(AND('Eval-Avec act. écol. envisagée'!$A$761=DY22, 'Eval-Avec act. écol. envisagée'!$G$761=""),AND('Eval-Avec act. écol. envisagée'!$A$762=DY22, 'Eval-Avec act. écol. envisagée'!$G$762=""),AND('Eval-Avec act. écol. envisagée'!$A$763=DY22, 'Eval-Avec act. écol. envisagée'!$G$763=""),AND('Eval-Avec act. écol. envisagée'!$A$764=DY22, 'Eval-Avec act. écol. envisagée'!$G$764=""),AND('Eval-Avec act. écol. envisagée'!$A$765=DY22, 'Eval-Avec act. écol. envisagée'!$G$765=""),AND('Eval-Avec act. écol. envisagée'!$A$766=DY22, 'Eval-Avec act. écol. envisagée'!$G$766=""),AND('Eval-Avec act. écol. envisagée'!$A$767=DY22, 'Eval-Avec act. écol. envisagée'!$G$767=""),AND('Eval-Avec act. écol. envisagée'!$A$768=DY22, 'Eval-Avec act. écol. envisagée'!$G$768=""),AND('Eval-Avec act. écol. envisagée'!$A$769=DY22, 'Eval-Avec act. écol. envisagée'!$G$769=""),AND('Eval-Avec act. écol. envisagée'!$A$770=DY22, 'Eval-Avec act. écol. envisagée'!$G$770=""),AND('Eval-Avec act. écol. envisagée'!$A$771=DY22, 'Eval-Avec act. écol. envisagée'!$G$771=""),AND('Eval-Avec act. écol. envisagée'!$A$772=DY22, 'Eval-Avec act. écol. envisagée'!$G$772=""),AND('Eval-Avec act. écol. envisagée'!$A$773=DY22, 'Eval-Avec act. écol. envisagée'!$G$773=""),AND('Eval-Avec act. écol. envisagée'!$A$774=DY22, 'Eval-Avec act. écol. envisagée'!$G$774=""),AND('Eval-Avec act. écol. envisagée'!$A$775=DY22, 'Eval-Avec act. écol. envisagée'!$G$775=""),AND('Eval-Avec act. écol. envisagée'!$A$776=DY22, 'Eval-Avec act. écol. envisagée'!$G$776=""),AND('Eval-Avec act. écol. envisagée'!$A$777=DY22, 'Eval-Avec act. écol. envisagée'!$G$777=""),AND('Eval-Avec act. écol. envisagée'!$A$778=DY22, 'Eval-Avec act. écol. envisagée'!$G$778=""),AND('Eval-Avec act. écol. envisagée'!$A$779=DY22, 'Eval-Avec act. écol. envisagée'!$G$779=""),AND('Eval-Avec act. écol. envisagée'!$A$780=DY22, 'Eval-Avec act. écol. envisagée'!$G$780="")),"",SUM(IF('Eval-Avec act. écol. envisagée'!$A$761=DY22,'Eval-Avec act. écol. envisagée'!$G$761,0),IF('Eval-Avec act. écol. envisagée'!$A$762=DY22,'Eval-Avec act. écol. envisagée'!$G$762,0),IF('Eval-Avec act. écol. envisagée'!$A$763=DY22,'Eval-Avec act. écol. envisagée'!$G$763,0),IF('Eval-Avec act. écol. envisagée'!$A$764=DY22,'Eval-Avec act. écol. envisagée'!$G$764,0),IF('Eval-Avec act. écol. envisagée'!$A$765=DY22,'Eval-Avec act. écol. envisagée'!$G$765,0),IF('Eval-Avec act. écol. envisagée'!$A$766=DY22,'Eval-Avec act. écol. envisagée'!$G$766,0),IF('Eval-Avec act. écol. envisagée'!$A$767=DY22,'Eval-Avec act. écol. envisagée'!$G$767,0),IF('Eval-Avec act. écol. envisagée'!$A$768=DY22,'Eval-Avec act. écol. envisagée'!$G$768,0),IF('Eval-Avec act. écol. envisagée'!$A$769=DY22,'Eval-Avec act. écol. envisagée'!$G$769,0),IF('Eval-Avec act. écol. envisagée'!$A$770=DY22,'Eval-Avec act. écol. envisagée'!$G$770,0),IF('Eval-Avec act. écol. envisagée'!$A$771=DY22,'Eval-Avec act. écol. envisagée'!$G$771,0),IF('Eval-Avec act. écol. envisagée'!$A$772=DY22,'Eval-Avec act. écol. envisagée'!$G$772,0),IF('Eval-Avec act. écol. envisagée'!$A$773=DY22,'Eval-Avec act. écol. envisagée'!$G$773,0),IF('Eval-Avec act. écol. envisagée'!$A$774=DY22,'Eval-Avec act. écol. envisagée'!$G$774,0),IF('Eval-Avec act. écol. envisagée'!$A$775=DY22,'Eval-Avec act. écol. envisagée'!$G$775,0), IF('Eval-Avec act. écol. envisagée'!$A$776=DY22,'Eval-Avec act. écol. envisagée'!$G$776,0), IF('Eval-Avec act. écol. envisagée'!$A$777=DY22,'Eval-Avec act. écol. envisagée'!$G$777,0), IF('Eval-Avec act. écol. envisagée'!$A$778=DY22,'Eval-Avec act. écol. envisagée'!$G$778,0), IF('Eval-Avec act. écol. envisagée'!$A$779=DY22,'Eval-Avec act. écol. envisagée'!$G$779,0), IF('Eval-Avec act. écol. envisagée'!$A$780=DY22,'Eval-Avec act. écol. envisagée'!$G$780,0))/ COUNTIF('Eval-Avec act. écol. envisagée'!$A$761:$A$780,DY22)),"")</f>
        <v/>
      </c>
      <c r="EC22" s="212" t="str">
        <f>IF(COUNTIF('Eval-Avec act. écol. envisagée'!$A$761:$A$780,DY22)&gt;0,IF(SUM(IF('Eval-Avec act. écol. envisagée'!$A$761=DY22,COUNTA('Eval-Avec act. écol. envisagée'!$H$761),0),IF('Eval-Avec act. écol. envisagée'!$A$762=DY22,COUNTA('Eval-Avec act. écol. envisagée'!$H$762),0),IF('Eval-Avec act. écol. envisagée'!$A$763=DY22,COUNTA('Eval-Avec act. écol. envisagée'!$H$763),0),IF('Eval-Avec act. écol. envisagée'!$A$764=DY22,COUNTA('Eval-Avec act. écol. envisagée'!$H$764),0),IF('Eval-Avec act. écol. envisagée'!$A$765=DY22,COUNTA('Eval-Avec act. écol. envisagée'!$H$765),0),IF('Eval-Avec act. écol. envisagée'!$A$766=DY22,COUNTA('Eval-Avec act. écol. envisagée'!$H$766),0),IF('Eval-Avec act. écol. envisagée'!$A$767=DY22,COUNTA('Eval-Avec act. écol. envisagée'!$H$767),0),IF('Eval-Avec act. écol. envisagée'!$A$768=DY22,COUNTA('Eval-Avec act. écol. envisagée'!$H$768),0),IF('Eval-Avec act. écol. envisagée'!$A$769=DY22,COUNTA('Eval-Avec act. écol. envisagée'!$H$769),0),IF('Eval-Avec act. écol. envisagée'!$A$770=DY22,COUNTA('Eval-Avec act. écol. envisagée'!$H$770),0),IF('Eval-Avec act. écol. envisagée'!$A$771=DY22,COUNTA('Eval-Avec act. écol. envisagée'!$H$771),0),IF('Eval-Avec act. écol. envisagée'!$A$772=DY22,COUNTA('Eval-Avec act. écol. envisagée'!$H$772),0),IF('Eval-Avec act. écol. envisagée'!$A$773=DY22,COUNTA('Eval-Avec act. écol. envisagée'!$H$773),0),IF('Eval-Avec act. écol. envisagée'!$A$774=DY22,COUNTA('Eval-Avec act. écol. envisagée'!$H$774),0),IF('Eval-Avec act. écol. envisagée'!$A$775=DY22,COUNTA('Eval-Avec act. écol. envisagée'!$H$775),0),IF('Eval-Avec act. écol. envisagée'!$A$776=DY22,COUNTA('Eval-Avec act. écol. envisagée'!$H$776),0),IF('Eval-Avec act. écol. envisagée'!$A$777=DY22,COUNTA('Eval-Avec act. écol. envisagée'!$H$777),0),IF('Eval-Avec act. écol. envisagée'!$A$778=DY22,COUNTA('Eval-Avec act. écol. envisagée'!$H$778),0),IF('Eval-Avec act. écol. envisagée'!$A$779=DY22,COUNTA('Eval-Avec act. écol. envisagée'!$H$779),0),IF('Eval-Avec act. écol. envisagée'!$A$780=DY22,COUNTA('Eval-Avec act. écol. envisagée'!$H$780),0))&gt;0,"X",0),"")</f>
        <v/>
      </c>
      <c r="ED22" s="213" t="str">
        <f>IF(COUNTIF('Eval-Avec act. écol. envisagée'!$A$761:$A$780,DY22)&gt;0,IF(SUM(IF('Eval-Avec act. écol. envisagée'!$A$761=DY22,COUNTA('Eval-Avec act. écol. envisagée'!$I$761),0),IF('Eval-Avec act. écol. envisagée'!$A$762=DY22,COUNTA('Eval-Avec act. écol. envisagée'!$I$762),0),IF('Eval-Avec act. écol. envisagée'!$A$763=DY22,COUNTA('Eval-Avec act. écol. envisagée'!$I$763),0),IF('Eval-Avec act. écol. envisagée'!$A$764=DY22,COUNTA('Eval-Avec act. écol. envisagée'!$I$764),0),IF('Eval-Avec act. écol. envisagée'!$A$765=DY22,COUNTA('Eval-Avec act. écol. envisagée'!$I$765),0),IF('Eval-Avec act. écol. envisagée'!$A$766=DY22,COUNTA('Eval-Avec act. écol. envisagée'!$I$766),0),IF('Eval-Avec act. écol. envisagée'!$A$767=DY22,COUNTA('Eval-Avec act. écol. envisagée'!$I$767),0),IF('Eval-Avec act. écol. envisagée'!$A$768=DY22,COUNTA('Eval-Avec act. écol. envisagée'!$I$768),0),IF('Eval-Avec act. écol. envisagée'!$A$769=DY22,COUNTA('Eval-Avec act. écol. envisagée'!$I$769),0),IF('Eval-Avec act. écol. envisagée'!$A$770=DY22,COUNTA('Eval-Avec act. écol. envisagée'!$I$770),0),IF('Eval-Avec act. écol. envisagée'!$A$771=DY22,COUNTA('Eval-Avec act. écol. envisagée'!$I$771),0),IF('Eval-Avec act. écol. envisagée'!$A$772=DY22,COUNTA('Eval-Avec act. écol. envisagée'!$I$772),0),IF('Eval-Avec act. écol. envisagée'!$A$773=DY22,COUNTA('Eval-Avec act. écol. envisagée'!$I$773),0),IF('Eval-Avec act. écol. envisagée'!$A$774=DY22,COUNTA('Eval-Avec act. écol. envisagée'!$I$774),0),IF('Eval-Avec act. écol. envisagée'!$A$775=DY22,COUNTA('Eval-Avec act. écol. envisagée'!$I$775),0),IF('Eval-Avec act. écol. envisagée'!$A$776=DY22,COUNTA('Eval-Avec act. écol. envisagée'!$I$776),0),IF('Eval-Avec act. écol. envisagée'!$A$777=DY22,COUNTA('Eval-Avec act. écol. envisagée'!$I$777),0),IF('Eval-Avec act. écol. envisagée'!$A$778=DY22,COUNTA('Eval-Avec act. écol. envisagée'!$I$778),0),IF('Eval-Avec act. écol. envisagée'!$A$779=DY22,COUNTA('Eval-Avec act. écol. envisagée'!$I$779),0),IF('Eval-Avec act. écol. envisagée'!$A$780=DY22,COUNTA('Eval-Avec act. écol. envisagée'!$I$780),0))&gt;0,"X",0),"")</f>
        <v/>
      </c>
      <c r="EE22" s="213" t="str">
        <f>IF(COUNTIF('Eval-Avec act. écol. envisagée'!$A$761:$A$780,DY22)&gt;0,IF(SUM(IF('Eval-Avec act. écol. envisagée'!$A$761=DY22,COUNTA('Eval-Avec act. écol. envisagée'!$J$761),0),IF('Eval-Avec act. écol. envisagée'!$A$762=DY22,COUNTA('Eval-Avec act. écol. envisagée'!$J$762),0),IF('Eval-Avec act. écol. envisagée'!$A$763=DY22,COUNTA('Eval-Avec act. écol. envisagée'!$J$763),0),IF('Eval-Avec act. écol. envisagée'!$A$764=DY22,COUNTA('Eval-Avec act. écol. envisagée'!$J$764),0),IF('Eval-Avec act. écol. envisagée'!$A$765=DY22,COUNTA('Eval-Avec act. écol. envisagée'!$J$765),0),IF('Eval-Avec act. écol. envisagée'!$A$766=DY22,COUNTA('Eval-Avec act. écol. envisagée'!$J$766),0),IF('Eval-Avec act. écol. envisagée'!$A$767=DY22,COUNTA('Eval-Avec act. écol. envisagée'!$J$767),0),IF('Eval-Avec act. écol. envisagée'!$A$768=DY22,COUNTA('Eval-Avec act. écol. envisagée'!$J$768),0),IF('Eval-Avec act. écol. envisagée'!$A$769=DY22,COUNTA('Eval-Avec act. écol. envisagée'!$J$769),0),IF('Eval-Avec act. écol. envisagée'!$A$770=DY22,COUNTA('Eval-Avec act. écol. envisagée'!$J$770),0),IF('Eval-Avec act. écol. envisagée'!$A$771=DY22,COUNTA('Eval-Avec act. écol. envisagée'!$J$771),0),IF('Eval-Avec act. écol. envisagée'!$A$772=DY22,COUNTA('Eval-Avec act. écol. envisagée'!$J$772),0),IF('Eval-Avec act. écol. envisagée'!$A$773=DY22,COUNTA('Eval-Avec act. écol. envisagée'!$J$773),0),IF('Eval-Avec act. écol. envisagée'!$A$774=DY22,COUNTA('Eval-Avec act. écol. envisagée'!$J$774),0),IF('Eval-Avec act. écol. envisagée'!$A$775=DY22,COUNTA('Eval-Avec act. écol. envisagée'!$J$775),0),IF('Eval-Avec act. écol. envisagée'!$A$776=DY22,COUNTA('Eval-Avec act. écol. envisagée'!$J$776),0),IF('Eval-Avec act. écol. envisagée'!$A$777=DY22,COUNTA('Eval-Avec act. écol. envisagée'!$J$777),0),IF('Eval-Avec act. écol. envisagée'!$A$778=DY22,COUNTA('Eval-Avec act. écol. envisagée'!$J$778),0),IF('Eval-Avec act. écol. envisagée'!$A$779=DY22,COUNTA('Eval-Avec act. écol. envisagée'!$J$779),0),IF('Eval-Avec act. écol. envisagée'!$A$780=DY22,COUNTA('Eval-Avec act. écol. envisagée'!$J$780),0))&gt;0,"X",0),"")</f>
        <v/>
      </c>
      <c r="EF22" s="213" t="str">
        <f>IF(COUNTIF('Eval-Avec act. écol. envisagée'!$A$761:$A$780,DY22)&gt;0,IF(SUM(IF('Eval-Avec act. écol. envisagée'!$A$761=DY22,COUNTA('Eval-Avec act. écol. envisagée'!$K$761),0),IF('Eval-Avec act. écol. envisagée'!$A$762=DY22,COUNTA('Eval-Avec act. écol. envisagée'!$K$762),0),IF('Eval-Avec act. écol. envisagée'!$A$763=DY22,COUNTA('Eval-Avec act. écol. envisagée'!$K$763),0),IF('Eval-Avec act. écol. envisagée'!$A$764=DY22,COUNTA('Eval-Avec act. écol. envisagée'!$K$764),0),IF('Eval-Avec act. écol. envisagée'!$A$765=DY22,COUNTA('Eval-Avec act. écol. envisagée'!$K$765),0),IF('Eval-Avec act. écol. envisagée'!$A$766=DY22,COUNTA('Eval-Avec act. écol. envisagée'!$K$766),0),IF('Eval-Avec act. écol. envisagée'!$A$767=DY22,COUNTA('Eval-Avec act. écol. envisagée'!$K$767),0),IF('Eval-Avec act. écol. envisagée'!$A$768=DY22,COUNTA('Eval-Avec act. écol. envisagée'!$K$768),0),IF('Eval-Avec act. écol. envisagée'!$A$769=DY22,COUNTA('Eval-Avec act. écol. envisagée'!$K$769),0),IF('Eval-Avec act. écol. envisagée'!$A$770=DY22,COUNTA('Eval-Avec act. écol. envisagée'!$K$770),0),IF('Eval-Avec act. écol. envisagée'!$A$771=DY22,COUNTA('Eval-Avec act. écol. envisagée'!$K$771),0),IF('Eval-Avec act. écol. envisagée'!$A$772=DY22,COUNTA('Eval-Avec act. écol. envisagée'!$K$772),0),IF('Eval-Avec act. écol. envisagée'!$A$773=DY22,COUNTA('Eval-Avec act. écol. envisagée'!$K$773),0),IF('Eval-Avec act. écol. envisagée'!$A$774=DY22,COUNTA('Eval-Avec act. écol. envisagée'!$K$774),0),IF('Eval-Avec act. écol. envisagée'!$A$775=DY22,COUNTA('Eval-Avec act. écol. envisagée'!$K$775),0),IF('Eval-Avec act. écol. envisagée'!$A$776=DY22,COUNTA('Eval-Avec act. écol. envisagée'!$K$776),0),IF('Eval-Avec act. écol. envisagée'!$A$777=DY22,COUNTA('Eval-Avec act. écol. envisagée'!$K$777),0),IF('Eval-Avec act. écol. envisagée'!$A$778=DY22,COUNTA('Eval-Avec act. écol. envisagée'!$K$778),0),IF('Eval-Avec act. écol. envisagée'!$A$779=DY22,COUNTA('Eval-Avec act. écol. envisagée'!$K$779),0),IF('Eval-Avec act. écol. envisagée'!$A$780=DY22,COUNTA('Eval-Avec act. écol. envisagée'!$K$780),0))&gt;0,"X",0),"")</f>
        <v/>
      </c>
      <c r="EG22" s="211" t="str">
        <f>IF(COUNTIF('Eval-Avec act. écol. envisagée'!$A$761:$A$780,DY22)&gt;0,IF(OR(AND('Eval-Avec act. écol. envisagée'!$A$761=DY22,'Eval-Avec act. écol. envisagée'!$L$761&lt;120,'Eval-Avec act. écol. envisagée'!$L$761&gt;=EV9),AND('Eval-Avec act. écol. envisagée'!$A$762=DY22,'Eval-Avec act. écol. envisagée'!$L$762&lt;120,'Eval-Avec act. écol. envisagée'!$L$762&gt;=EV10),AND('Eval-Avec act. écol. envisagée'!$A$763=DY22,'Eval-Avec act. écol. envisagée'!$L$763&lt;120,'Eval-Avec act. écol. envisagée'!$L$763&gt;=EV11),AND('Eval-Avec act. écol. envisagée'!$A$764=DY22,'Eval-Avec act. écol. envisagée'!$L$764&lt;120,'Eval-Avec act. écol. envisagée'!$L$764&gt;=EV12),AND('Eval-Avec act. écol. envisagée'!$A$765=DY22,'Eval-Avec act. écol. envisagée'!$L$765&lt;120,'Eval-Avec act. écol. envisagée'!$L$765&gt;=EV13),AND('Eval-Avec act. écol. envisagée'!$A$766=DY22,'Eval-Avec act. écol. envisagée'!$L$766&lt;120,'Eval-Avec act. écol. envisagée'!$L$766&gt;=EV14),AND('Eval-Avec act. écol. envisagée'!$A$767=DY22,'Eval-Avec act. écol. envisagée'!$L$767&lt;120,'Eval-Avec act. écol. envisagée'!$L$767&gt;=EV15),AND('Eval-Avec act. écol. envisagée'!$A$768=DY22,'Eval-Avec act. écol. envisagée'!$L$768&lt;120,'Eval-Avec act. écol. envisagée'!$L$768&gt;=EV16),AND('Eval-Avec act. écol. envisagée'!$A$769=DY22,'Eval-Avec act. écol. envisagée'!$L$769&lt;120,'Eval-Avec act. écol. envisagée'!$L$769&gt;=EV17),AND('Eval-Avec act. écol. envisagée'!$A$770=DY22,'Eval-Avec act. écol. envisagée'!$L$770&lt;120,'Eval-Avec act. écol. envisagée'!$L$770&gt;=EV18),AND('Eval-Avec act. écol. envisagée'!$A$771=DY22,'Eval-Avec act. écol. envisagée'!$L$771&lt;120,'Eval-Avec act. écol. envisagée'!$L$771&gt;=EV19),AND('Eval-Avec act. écol. envisagée'!$A$772=DY22,'Eval-Avec act. écol. envisagée'!$L$772&lt;120,'Eval-Avec act. écol. envisagée'!$L$772&gt;=EV20),AND('Eval-Avec act. écol. envisagée'!$A$773=DY22,'Eval-Avec act. écol. envisagée'!$L$773&lt;120,'Eval-Avec act. écol. envisagée'!$L$773&gt;=EV21),AND('Eval-Avec act. écol. envisagée'!$A$774=DY22,'Eval-Avec act. écol. envisagée'!$L$774&lt;120,'Eval-Avec act. écol. envisagée'!$L$774&gt;=EV22),AND('Eval-Avec act. écol. envisagée'!$A$775=DY22,'Eval-Avec act. écol. envisagée'!$L$775&lt;120,'Eval-Avec act. écol. envisagée'!$L$775&gt;=EV23),AND('Eval-Avec act. écol. envisagée'!$A$776=DY22,'Eval-Avec act. écol. envisagée'!$L$776&lt;120,'Eval-Avec act. écol. envisagée'!$L$776&gt;=EV24),AND('Eval-Avec act. écol. envisagée'!$A$777=DY22,'Eval-Avec act. écol. envisagée'!$L$777&lt;120,'Eval-Avec act. écol. envisagée'!$L$777&gt;=EV25),AND('Eval-Avec act. écol. envisagée'!$A$778=DY22,'Eval-Avec act. écol. envisagée'!$L$778&lt;120,'Eval-Avec act. écol. envisagée'!$L$778&gt;=EV26),AND('Eval-Avec act. écol. envisagée'!$A$779=DY22,'Eval-Avec act. écol. envisagée'!$L$779&lt;120,'Eval-Avec act. écol. envisagée'!$L$779&gt;=EV27),AND('Eval-Avec act. écol. envisagée'!$A$780=DY22,'Eval-Avec act. écol. envisagée'!$L$780&lt;120,'Eval-Avec act. écol. envisagée'!$L$780&gt;=EV28)),"",SUM(IF('Eval-Avec act. écol. envisagée'!$A$761=DY22,'Eval-Avec act. écol. envisagée'!$L$761,0),IF('Eval-Avec act. écol. envisagée'!$A$762=DY22,'Eval-Avec act. écol. envisagée'!$L$762,0),IF('Eval-Avec act. écol. envisagée'!$A$763=DY22,'Eval-Avec act. écol. envisagée'!$L$763,0),IF('Eval-Avec act. écol. envisagée'!$A$764=DY22,'Eval-Avec act. écol. envisagée'!$L$764,0),IF('Eval-Avec act. écol. envisagée'!$A$765=DY22,'Eval-Avec act. écol. envisagée'!$L$765,0),IF('Eval-Avec act. écol. envisagée'!$A$766=DY22,'Eval-Avec act. écol. envisagée'!$L$766,0),IF('Eval-Avec act. écol. envisagée'!$A$767=DY22,'Eval-Avec act. écol. envisagée'!$L$767,0),IF('Eval-Avec act. écol. envisagée'!$A$768=DY22,'Eval-Avec act. écol. envisagée'!$L$768,0),IF('Eval-Avec act. écol. envisagée'!$A$769=DY22,'Eval-Avec act. écol. envisagée'!$L$769,0),IF('Eval-Avec act. écol. envisagée'!$A$770=DY22,'Eval-Avec act. écol. envisagée'!$L$770,0),IF('Eval-Avec act. écol. envisagée'!$A$771=DY22,'Eval-Avec act. écol. envisagée'!$L$771,0),IF('Eval-Avec act. écol. envisagée'!$A$772=DY22,'Eval-Avec act. écol. envisagée'!$L$772,0),IF('Eval-Avec act. écol. envisagée'!$A$773=DY22,'Eval-Avec act. écol. envisagée'!$L$773,0),IF('Eval-Avec act. écol. envisagée'!$A$774=DY22,'Eval-Avec act. écol. envisagée'!$L$774,0),IF('Eval-Avec act. écol. envisagée'!$A$775=DY22,'Eval-Avec act. écol. envisagée'!$L$775,0),IF('Eval-Avec act. écol. envisagée'!$A$776=DY22,'Eval-Avec act. écol. envisagée'!$L$776,0),IF('Eval-Avec act. écol. envisagée'!$A$777=DY22,'Eval-Avec act. écol. envisagée'!$L$777,0),IF('Eval-Avec act. écol. envisagée'!$A$778=DY22,'Eval-Avec act. écol. envisagée'!$L$778,0),IF('Eval-Avec act. écol. envisagée'!$A$779=DY22,'Eval-Avec act. écol. envisagée'!$L$779,0),IF('Eval-Avec act. écol. envisagée'!$A$780=DY22,'Eval-Avec act. écol. envisagée'!$L$780,0))/ COUNTIF('Eval-Avec act. écol. envisagée'!$A$761:$A$780,DY22)),"")</f>
        <v/>
      </c>
      <c r="EH22" s="211" t="str">
        <f>IF(COUNTIF('Eval-Avec act. écol. envisagée'!$A$761:$A$780,DY22)&gt;0,IF(OR(AND('Eval-Avec act. écol. envisagée'!$A$761=DY22, EV9&lt;120),AND(EV10&lt;120),AND(EV11&lt;120),AND(EV12&lt;120),AND(EV13&lt;120),AND(EV14&lt;120),AND(EV15&lt;120),AND(EV16&lt;120),AND(EV17&lt;120),AND(EV18&lt;120),AND(EV19&lt;120),AND(EV20&lt;120),AND(EV21&lt;120),AND(EV22&lt;120),AND(EV23&lt;120),AND(EV24&lt;120),AND(EV25&lt;120),AND(EV26&lt;120),AND(EV27&lt;120),AND(EV28&lt;120)),"",SUM(IF('Eval-Avec act. écol. envisagée'!$A$761=DY22,'Eval-Avec act. écol. envisagée'!$M$761,0),IF('Eval-Avec act. écol. envisagée'!$A$762=DY22,'Eval-Avec act. écol. envisagée'!$M$762,0),IF('Eval-Avec act. écol. envisagée'!$A$763=DY22,'Eval-Avec act. écol. envisagée'!$M$763,0),IF('Eval-Avec act. écol. envisagée'!$A$764=DY22,'Eval-Avec act. écol. envisagée'!$M$764,0),IF('Eval-Avec act. écol. envisagée'!$A$765=DY22,'Eval-Avec act. écol. envisagée'!$M$765,0),IF('Eval-Avec act. écol. envisagée'!$A$766=DY22,'Eval-Avec act. écol. envisagée'!$M$766,0),IF('Eval-Avec act. écol. envisagée'!$A$767=DY22,'Eval-Avec act. écol. envisagée'!$M$767,0),IF('Eval-Avec act. écol. envisagée'!$A$768=DY22,'Eval-Avec act. écol. envisagée'!$M$768,0),IF('Eval-Avec act. écol. envisagée'!$A$769=DY22,'Eval-Avec act. écol. envisagée'!$M$769,0),IF('Eval-Avec act. écol. envisagée'!$A$770=DY22,'Eval-Avec act. écol. envisagée'!$M$770,0),IF('Eval-Avec act. écol. envisagée'!$A$771=DY22,'Eval-Avec act. écol. envisagée'!$M$771,0),IF('Eval-Avec act. écol. envisagée'!$A$772=DY22,'Eval-Avec act. écol. envisagée'!$M$772,0),IF('Eval-Avec act. écol. envisagée'!$A$773=DY22,'Eval-Avec act. écol. envisagée'!$M$773,0),IF('Eval-Avec act. écol. envisagée'!$A$774=DY22,'Eval-Avec act. écol. envisagée'!$M$774,0),IF('Eval-Avec act. écol. envisagée'!$A$775=DY22,'Eval-Avec act. écol. envisagée'!$M$775,0), IF('Eval-Avec act. écol. envisagée'!$A$776=DY22,'Eval-Avec act. écol. envisagée'!$M$776,0), IF('Eval-Avec act. écol. envisagée'!$A$777=DY22,'Eval-Avec act. écol. envisagée'!$M$777,0), IF('Eval-Avec act. écol. envisagée'!$A$778=DY22,'Eval-Avec act. écol. envisagée'!$M$778,0), IF('Eval-Avec act. écol. envisagée'!$A$779=DY22,'Eval-Avec act. écol. envisagée'!$M$779,0), IF('Eval-Avec act. écol. envisagée'!$A$780=DY22,'Eval-Avec act. écol. envisagée'!$M$780,0))/COUNTIF('Eval-Avec act. écol. envisagée'!$A$761:$A$780,DY22)),"")</f>
        <v/>
      </c>
      <c r="EI22" s="211" t="str">
        <f>IF(COUNTIF('Eval-Avec act. écol. envisagée'!$A$761:$A$780,DY22)&gt;0,SUM(IF('Eval-Avec act. écol. envisagée'!$A$761=DY22,LEN(SUBSTITUTE((SUBSTITUTE(EX9,"TM","")),"TS",""))*10/2,0),IF('Eval-Avec act. écol. envisagée'!$A$762=DY22,LEN(SUBSTITUTE((SUBSTITUTE(EX10,"TM","")),"TS",""))*10/2,0),IF('Eval-Avec act. écol. envisagée'!$A$763=DY22,LEN(SUBSTITUTE((SUBSTITUTE(EX11,"TM","")),"TS",""))*10/2,0),IF('Eval-Avec act. écol. envisagée'!$A$764=DY22,LEN(SUBSTITUTE((SUBSTITUTE(EX12,"TM","")),"TS",""))*10/2,0),IF('Eval-Avec act. écol. envisagée'!$A$765=DY22,LEN(SUBSTITUTE((SUBSTITUTE(EX13,"TM","")),"TS",""))*10/2,0),IF('Eval-Avec act. écol. envisagée'!$A$766=DY22,LEN(SUBSTITUTE((SUBSTITUTE(EX14,"TM","")),"TS",""))*10/2,0),IF('Eval-Avec act. écol. envisagée'!$A$767=DY22,LEN(SUBSTITUTE((SUBSTITUTE(EX15,"TM","")),"TS",""))*10/2,0),IF('Eval-Avec act. écol. envisagée'!$A$768=DY22,LEN(SUBSTITUTE((SUBSTITUTE(EX16,"TM","")),"TS",""))*10/2,0),IF('Eval-Avec act. écol. envisagée'!$A$769=DY22,LEN(SUBSTITUTE((SUBSTITUTE(EX17,"TM","")),"TS",""))*10/2,0),IF('Eval-Avec act. écol. envisagée'!$A$770=DY22,LEN(SUBSTITUTE((SUBSTITUTE(EX18,"TM","")),"TS",""))*10/2,0),IF('Eval-Avec act. écol. envisagée'!$A$771=DY22,LEN(SUBSTITUTE((SUBSTITUTE(EX19,"TM","")),"TS",""))*10/2,0),IF('Eval-Avec act. écol. envisagée'!$A$772=DY22,LEN(SUBSTITUTE((SUBSTITUTE(EX20,"TM","")),"TS",""))*10/2,0),IF('Eval-Avec act. écol. envisagée'!$A$773=DY22,LEN(SUBSTITUTE((SUBSTITUTE(EX21,"TM","")),"TS",""))*10/2,0),IF('Eval-Avec act. écol. envisagée'!$A$774=DY22,LEN(SUBSTITUTE((SUBSTITUTE(EX22,"TM","")),"TS",""))*10/2,0),IF('Eval-Avec act. écol. envisagée'!$A$775=DY22,LEN(SUBSTITUTE((SUBSTITUTE(EX23,"TM","")),"TS",""))*10/2,0),IF('Eval-Avec act. écol. envisagée'!$A$776=DY22,LEN(SUBSTITUTE((SUBSTITUTE(EX24,"TM","")),"TS",""))*10/2,0),IF('Eval-Avec act. écol. envisagée'!$A$777=DY22,LEN(SUBSTITUTE((SUBSTITUTE(EX25,"TM","")),"TS",""))*10/2,0),IF('Eval-Avec act. écol. envisagée'!$A$778=DY22,LEN(SUBSTITUTE((SUBSTITUTE(EX26,"TM","")),"TS",""))*10/2,0),IF('Eval-Avec act. écol. envisagée'!$A$779=DY22,LEN(SUBSTITUTE((SUBSTITUTE(EX27,"TM","")),"TS",""))*10/2,0),IF('Eval-Avec act. écol. envisagée'!$A$780=DY22,LEN(SUBSTITUTE((SUBSTITUTE(EX28,"TM","")),"TS",""))*10/2,0))/COUNTIF('Eval-Avec act. écol. envisagée'!$A$761:$A$780,DY22),"")</f>
        <v/>
      </c>
      <c r="EJ22" s="211" t="str">
        <f>IF(COUNTIF('Eval-Avec act. écol. envisagée'!$A$761:$A$780,DY22)&gt;0,SUM(IF('Eval-Avec act. écol. envisagée'!$A$761=DY22,LEN(SUBSTITUTE((SUBSTITUTE(EX9,"TF","")),"TS",""))*10/2,0),IF('Eval-Avec act. écol. envisagée'!$A$762=DY22,LEN(SUBSTITUTE((SUBSTITUTE(EX10,"TF","")),"TS",""))*10/2,0),IF('Eval-Avec act. écol. envisagée'!$A$763=DY22,LEN(SUBSTITUTE((SUBSTITUTE(EX11,"TF","")),"TS",""))*10/2,0),IF('Eval-Avec act. écol. envisagée'!$A$764=DY22,LEN(SUBSTITUTE((SUBSTITUTE(EX12,"TF","")),"TS",""))*10/2,0),IF('Eval-Avec act. écol. envisagée'!$A$765=DY22,LEN(SUBSTITUTE((SUBSTITUTE(EX13,"TF","")),"TS",""))*10/2,0),IF('Eval-Avec act. écol. envisagée'!$A$766=DY22,LEN(SUBSTITUTE((SUBSTITUTE(EX14,"TF","")),"TS",""))*10/2,0),IF('Eval-Avec act. écol. envisagée'!$A$767=DY22,LEN(SUBSTITUTE((SUBSTITUTE(EX15,"TF","")),"TS",""))*10/2,0),IF('Eval-Avec act. écol. envisagée'!$A$768=DY22,LEN(SUBSTITUTE((SUBSTITUTE(EX16,"TF","")),"TS",""))*10/2,0),IF('Eval-Avec act. écol. envisagée'!$A$769=DY22,LEN(SUBSTITUTE((SUBSTITUTE(EX17,"TF","")),"TS",""))*10/2,0),IF('Eval-Avec act. écol. envisagée'!$A$770=DY22,LEN(SUBSTITUTE((SUBSTITUTE(EX18,"TF","")),"TS",""))*10/2,0),IF('Eval-Avec act. écol. envisagée'!$A$771=DY22,LEN(SUBSTITUTE((SUBSTITUTE(EX19,"TF","")),"TS",""))*10/2,0),IF('Eval-Avec act. écol. envisagée'!$A$772=DY22,LEN(SUBSTITUTE((SUBSTITUTE(EX20,"TF","")),"TS",""))*10/2,0),IF('Eval-Avec act. écol. envisagée'!$A$773=DY22,LEN(SUBSTITUTE((SUBSTITUTE(EX21,"TF","")),"TS",""))*10/2,0),IF('Eval-Avec act. écol. envisagée'!$A$774=DY22,LEN(SUBSTITUTE((SUBSTITUTE(EX22,"TF","")),"TS",""))*10/2,0),IF('Eval-Avec act. écol. envisagée'!$A$775=DY22,LEN(SUBSTITUTE((SUBSTITUTE(EX23,"TF","")),"TS",""))*10/2,0),IF('Eval-Avec act. écol. envisagée'!$A$776=DY22,LEN(SUBSTITUTE((SUBSTITUTE(EX24,"TF","")),"TS",""))*10/2,0),IF('Eval-Avec act. écol. envisagée'!$A$777=DY22,LEN(SUBSTITUTE((SUBSTITUTE(EX25,"TF","")),"TS",""))*10/2,0),IF('Eval-Avec act. écol. envisagée'!$A$778=DY22,LEN(SUBSTITUTE((SUBSTITUTE(EX26,"TF","")),"TS",""))*10/2,0),IF('Eval-Avec act. écol. envisagée'!$A$779=DY22,LEN(SUBSTITUTE((SUBSTITUTE(EX27,"TF","")),"TS",""))*10/2,0),IF('Eval-Avec act. écol. envisagée'!$A$780=DY22,LEN(SUBSTITUTE((SUBSTITUTE(EX28,"TF","")),"TS",""))*10/2,0))/COUNTIF('Eval-Avec act. écol. envisagée'!$A$761:$A$780,DY22),"")</f>
        <v/>
      </c>
      <c r="EK22" s="211" t="str">
        <f>IF(COUNTIF('Eval-Avec act. écol. envisagée'!$A$761:$A$780,DY22)&gt;0,SUM(IF('Eval-Avec act. écol. envisagée'!$A$761=DY22,LEN(SUBSTITUTE((SUBSTITUTE(EX9,"TF","")),"TM",""))*10/2,0),IF('Eval-Avec act. écol. envisagée'!$A$762=DY22,LEN(SUBSTITUTE((SUBSTITUTE(EX10,"TF","")),"TM",""))*10/2,0),IF('Eval-Avec act. écol. envisagée'!$A$763=DY22,LEN(SUBSTITUTE((SUBSTITUTE(EX11,"TF","")),"TM",""))*10/2,0),IF('Eval-Avec act. écol. envisagée'!$A$764=DY22,LEN(SUBSTITUTE((SUBSTITUTE(EX12,"TF","")),"TM",""))*10/2,0),IF('Eval-Avec act. écol. envisagée'!$A$765=DY22,LEN(SUBSTITUTE((SUBSTITUTE(EX13,"TF","")),"TM",""))*10/2,0),IF('Eval-Avec act. écol. envisagée'!$A$766=DY22,LEN(SUBSTITUTE((SUBSTITUTE(EX14,"TF","")),"TM",""))*10/2,0),IF('Eval-Avec act. écol. envisagée'!$A$767=DY22,LEN(SUBSTITUTE((SUBSTITUTE(EX15,"TF","")),"TM",""))*10/2,0),IF('Eval-Avec act. écol. envisagée'!$A$768=DY22,LEN(SUBSTITUTE((SUBSTITUTE(EX16,"TF","")),"TM",""))*10/2,0),IF('Eval-Avec act. écol. envisagée'!$A$769=DY22,LEN(SUBSTITUTE((SUBSTITUTE(EX17,"TF","")),"TM",""))*10/2,0),IF('Eval-Avec act. écol. envisagée'!$A$770=DY22,LEN(SUBSTITUTE((SUBSTITUTE(EX18,"TF","")),"TM",""))*10/2,0),IF('Eval-Avec act. écol. envisagée'!$A$771=DY22,LEN(SUBSTITUTE((SUBSTITUTE(EX19,"TF","")),"TM",""))*10/2,0),IF('Eval-Avec act. écol. envisagée'!$A$772=DY22,LEN(SUBSTITUTE((SUBSTITUTE(EX20,"TF","")),"TM",""))*10/2,0),IF('Eval-Avec act. écol. envisagée'!$A$773=DY22,LEN(SUBSTITUTE((SUBSTITUTE(EX21,"TF","")),"TM",""))*10/2,0),IF('Eval-Avec act. écol. envisagée'!$A$774=DY22,LEN(SUBSTITUTE((SUBSTITUTE(EX22,"TF","")),"TM",""))*10/2,0),IF('Eval-Avec act. écol. envisagée'!$A$775=DY22,LEN(SUBSTITUTE((SUBSTITUTE(EX23,"TF","")),"TM",""))*10/2,0),IF('Eval-Avec act. écol. envisagée'!$A$776=DY22,LEN(SUBSTITUTE((SUBSTITUTE(EX24,"TF","")),"TM",""))*10/2,0),IF('Eval-Avec act. écol. envisagée'!$A$777=DY22,LEN(SUBSTITUTE((SUBSTITUTE(EX25,"TF","")),"TM",""))*10/2,0),IF('Eval-Avec act. écol. envisagée'!$A$778=DY22,LEN(SUBSTITUTE((SUBSTITUTE(EX26,"TF","")),"TM",""))*10/2,0),IF('Eval-Avec act. écol. envisagée'!$A$779=DY22,LEN(SUBSTITUTE((SUBSTITUTE(EX27,"TF","")),"TM",""))*10/2,0),IF('Eval-Avec act. écol. envisagée'!$A$780=DY22,LEN(SUBSTITUTE((SUBSTITUTE(EX28,"TF","")),"TM",""))*10/2,0))/COUNTIF('Eval-Avec act. écol. envisagée'!$A$761:$A$780,DY22),"")</f>
        <v/>
      </c>
      <c r="EL22" s="211" t="str">
        <f>IF(COUNTIF('Eval-Avec act. écol. envisagée'!$A$761:$A$780,DY22)&gt;0,SUM(IF('Eval-Avec act. écol. envisagée'!$A$761=DY22,LEN(SUBSTITUTE((SUBSTITUTE(EY9,"TM","")),"TS",""))*10/2,0),IF('Eval-Avec act. écol. envisagée'!$A$762=DY22,LEN(SUBSTITUTE((SUBSTITUTE(EY10,"TM","")),"TS",""))*10/2,0),IF('Eval-Avec act. écol. envisagée'!$A$763=DY22,LEN(SUBSTITUTE((SUBSTITUTE(EY11,"TM","")),"TS",""))*10/2,0),IF('Eval-Avec act. écol. envisagée'!$A$764=DY22,LEN(SUBSTITUTE((SUBSTITUTE(EY12,"TM","")),"TS",""))*10/2,0),IF('Eval-Avec act. écol. envisagée'!$A$765=DY22,LEN(SUBSTITUTE((SUBSTITUTE(EY13,"TM","")),"TS",""))*10/2,0),IF('Eval-Avec act. écol. envisagée'!$A$766=DY22,LEN(SUBSTITUTE((SUBSTITUTE(EY14,"TM","")),"TS",""))*10/2,0),IF('Eval-Avec act. écol. envisagée'!$A$767=DY22,LEN(SUBSTITUTE((SUBSTITUTE(EY15,"TM","")),"TS",""))*10/2,0),IF('Eval-Avec act. écol. envisagée'!$A$768=DY22,LEN(SUBSTITUTE((SUBSTITUTE(EY16,"TM","")),"TS",""))*10/2,0),IF('Eval-Avec act. écol. envisagée'!$A$769=DY22,LEN(SUBSTITUTE((SUBSTITUTE(EY17,"TM","")),"TS",""))*10/2,0),IF('Eval-Avec act. écol. envisagée'!$A$770=DY22,LEN(SUBSTITUTE((SUBSTITUTE(EY18,"TM","")),"TS",""))*10/2,0),IF('Eval-Avec act. écol. envisagée'!$A$771=DY22,LEN(SUBSTITUTE((SUBSTITUTE(EY19,"TM","")),"TS",""))*10/2,0),IF('Eval-Avec act. écol. envisagée'!$A$772=DY22,LEN(SUBSTITUTE((SUBSTITUTE(EY20,"TM","")),"TS",""))*10/2,0),IF('Eval-Avec act. écol. envisagée'!$A$773=DY22,LEN(SUBSTITUTE((SUBSTITUTE(EY21,"TM","")),"TS",""))*10/2,0),IF('Eval-Avec act. écol. envisagée'!$A$774=DY22,LEN(SUBSTITUTE((SUBSTITUTE(EY22,"TM","")),"TS",""))*10/2,0),IF('Eval-Avec act. écol. envisagée'!$A$775=DY22,LEN(SUBSTITUTE((SUBSTITUTE(EY23,"TM","")),"TS",""))*10/2,0),IF('Eval-Avec act. écol. envisagée'!$A$776=DY22,LEN(SUBSTITUTE((SUBSTITUTE(EY24,"TM","")),"TS",""))*10/2,0),IF('Eval-Avec act. écol. envisagée'!$A$777=DY22,LEN(SUBSTITUTE((SUBSTITUTE(EY25,"TM","")),"TS",""))*10/2,0),IF('Eval-Avec act. écol. envisagée'!$A$778=DY22,LEN(SUBSTITUTE((SUBSTITUTE(EY26,"TM","")),"TS",""))*10/2,0),IF('Eval-Avec act. écol. envisagée'!$A$779=DY22,LEN(SUBSTITUTE((SUBSTITUTE(EY27,"TM","")),"TS",""))*10/2,0),IF('Eval-Avec act. écol. envisagée'!$A$780=DY22,LEN(SUBSTITUTE((SUBSTITUTE(EY28,"TM","")),"TS",""))*10/2,0))/COUNTIF('Eval-Avec act. écol. envisagée'!$A$761:$A$780,DY22),"")</f>
        <v/>
      </c>
      <c r="EM22" s="211" t="str">
        <f>IF(COUNTIF('Eval-Avec act. écol. envisagée'!$A$761:$A$780,DY22)&gt;0,SUM(IF('Eval-Avec act. écol. envisagée'!$A$761=DY22,LEN(SUBSTITUTE((SUBSTITUTE(EY9,"TF","")),"TS",""))*10/2,0),IF('Eval-Avec act. écol. envisagée'!$A$762=DY22,LEN(SUBSTITUTE((SUBSTITUTE(EY10,"TF","")),"TS",""))*10/2,0),IF('Eval-Avec act. écol. envisagée'!$A$763=DY22,LEN(SUBSTITUTE((SUBSTITUTE(EY11,"TF","")),"TS",""))*10/2,0),IF('Eval-Avec act. écol. envisagée'!$A$764=DY22,LEN(SUBSTITUTE((SUBSTITUTE(EY12,"TF","")),"TS",""))*10/2,0),IF('Eval-Avec act. écol. envisagée'!$A$765=DY22,LEN(SUBSTITUTE((SUBSTITUTE(EY13,"TF","")),"TS",""))*10/2,0),IF('Eval-Avec act. écol. envisagée'!$A$766=DY22,LEN(SUBSTITUTE((SUBSTITUTE(EY14,"TF","")),"TS",""))*10/2,0),IF('Eval-Avec act. écol. envisagée'!$A$767=DY22,LEN(SUBSTITUTE((SUBSTITUTE(EY15,"TF","")),"TS",""))*10/2,0),IF('Eval-Avec act. écol. envisagée'!$A$768=DY22,LEN(SUBSTITUTE((SUBSTITUTE(EY16,"TF","")),"TS",""))*10/2,0),IF('Eval-Avec act. écol. envisagée'!$A$769=DY22,LEN(SUBSTITUTE((SUBSTITUTE(EY17,"TF","")),"TS",""))*10/2,0),IF('Eval-Avec act. écol. envisagée'!$A$770=DY22,LEN(SUBSTITUTE((SUBSTITUTE(EY18,"TF","")),"TS",""))*10/2,0),IF('Eval-Avec act. écol. envisagée'!$A$771=DY22,LEN(SUBSTITUTE((SUBSTITUTE(EY19,"TF","")),"TS",""))*10/2,0),IF('Eval-Avec act. écol. envisagée'!$A$772=DY22,LEN(SUBSTITUTE((SUBSTITUTE(EY20,"TF","")),"TS",""))*10/2,0),IF('Eval-Avec act. écol. envisagée'!$A$773=DY22,LEN(SUBSTITUTE((SUBSTITUTE(EY21,"TF","")),"TS",""))*10/2,0),IF('Eval-Avec act. écol. envisagée'!$A$774=DY22,LEN(SUBSTITUTE((SUBSTITUTE(EY22,"TF","")),"TS",""))*10/2,0),IF('Eval-Avec act. écol. envisagée'!$A$775=DY22,LEN(SUBSTITUTE((SUBSTITUTE(EY23,"TF","")),"TS",""))*10/2,0),IF('Eval-Avec act. écol. envisagée'!$A$776=DY22,LEN(SUBSTITUTE((SUBSTITUTE(EY24,"TF","")),"TS",""))*10/2,0),IF('Eval-Avec act. écol. envisagée'!$A$777=DY22,LEN(SUBSTITUTE((SUBSTITUTE(EY25,"TF","")),"TS",""))*10/2,0),IF('Eval-Avec act. écol. envisagée'!$A$778=DY22,LEN(SUBSTITUTE((SUBSTITUTE(EY26,"TF","")),"TS",""))*10/2,0),IF('Eval-Avec act. écol. envisagée'!$A$779=DY22,LEN(SUBSTITUTE((SUBSTITUTE(EY27,"TF","")),"TS",""))*10/2,0),IF('Eval-Avec act. écol. envisagée'!$A$780=DY22,LEN(SUBSTITUTE((SUBSTITUTE(EY28,"TF","")),"TS",""))*10/2,0))/COUNTIF('Eval-Avec act. écol. envisagée'!$A$761:$A$780,DY22),"")</f>
        <v/>
      </c>
      <c r="EN22" s="211" t="str">
        <f>IF(COUNTIF('Eval-Avec act. écol. envisagée'!$A$761:$A$780,DY22)&gt;0,SUM(IF('Eval-Avec act. écol. envisagée'!$A$761=DY22,LEN(SUBSTITUTE((SUBSTITUTE(EY9,"TF","")),"TM",""))*10/2,0),IF('Eval-Avec act. écol. envisagée'!$A$762=DY22,LEN(SUBSTITUTE((SUBSTITUTE(EY10,"TF","")),"TM",""))*10/2,0),IF('Eval-Avec act. écol. envisagée'!$A$763=DY22,LEN(SUBSTITUTE((SUBSTITUTE(EY11,"TF","")),"TM",""))*10/2,0),IF('Eval-Avec act. écol. envisagée'!$A$764=DY22,LEN(SUBSTITUTE((SUBSTITUTE(EY12,"TF","")),"TM",""))*10/2,0),IF('Eval-Avec act. écol. envisagée'!$A$765=DY22,LEN(SUBSTITUTE((SUBSTITUTE(EY13,"TF","")),"TM",""))*10/2,0),IF('Eval-Avec act. écol. envisagée'!$A$766=DY22,LEN(SUBSTITUTE((SUBSTITUTE(EY14,"TF","")),"TM",""))*10/2,0),IF('Eval-Avec act. écol. envisagée'!$A$767=DY22,LEN(SUBSTITUTE((SUBSTITUTE(EY15,"TF","")),"TM",""))*10/2,0),IF('Eval-Avec act. écol. envisagée'!$A$768=DY22,LEN(SUBSTITUTE((SUBSTITUTE(EY16,"TF","")),"TM",""))*10/2,0),IF('Eval-Avec act. écol. envisagée'!$A$769=DY22,LEN(SUBSTITUTE((SUBSTITUTE(EY17,"TF","")),"TM",""))*10/2,0),IF('Eval-Avec act. écol. envisagée'!$A$770=DY22,LEN(SUBSTITUTE((SUBSTITUTE(EY18,"TF","")),"TM",""))*10/2,0),IF('Eval-Avec act. écol. envisagée'!$A$771=DY22,LEN(SUBSTITUTE((SUBSTITUTE(EY19,"TF","")),"TM",""))*10/2,0),IF('Eval-Avec act. écol. envisagée'!$A$772=DY22,LEN(SUBSTITUTE((SUBSTITUTE(EY20,"TF","")),"TM",""))*10/2,0),IF('Eval-Avec act. écol. envisagée'!$A$773=DY22,LEN(SUBSTITUTE((SUBSTITUTE(EY21,"TF","")),"TM",""))*10/2,0),IF('Eval-Avec act. écol. envisagée'!$A$774=DY22,LEN(SUBSTITUTE((SUBSTITUTE(EY22,"TF","")),"TM",""))*10/2,0),IF('Eval-Avec act. écol. envisagée'!$A$775=DY22,LEN(SUBSTITUTE((SUBSTITUTE(EY23,"TF","")),"TM",""))*10/2,0),IF('Eval-Avec act. écol. envisagée'!$A$776=DY22,LEN(SUBSTITUTE((SUBSTITUTE(EY24,"TF","")),"TM",""))*10/2,0),IF('Eval-Avec act. écol. envisagée'!$A$777=DY22,LEN(SUBSTITUTE((SUBSTITUTE(EY25,"TF","")),"TM",""))*10/2,0),IF('Eval-Avec act. écol. envisagée'!$A$778=DY22,LEN(SUBSTITUTE((SUBSTITUTE(EY26,"TF","")),"TM",""))*10/2,0),IF('Eval-Avec act. écol. envisagée'!$A$779=DY22,LEN(SUBSTITUTE((SUBSTITUTE(EY27,"TF","")),"TM",""))*10/2,0),IF('Eval-Avec act. écol. envisagée'!$A$780=DY22,LEN(SUBSTITUTE((SUBSTITUTE(EY28,"TF","")),"TM",""))*10/2,0))/COUNTIF('Eval-Avec act. écol. envisagée'!$A$761:$A$780,DY22),"")</f>
        <v/>
      </c>
      <c r="EO22" s="211" t="str">
        <f>IF(COUNTIF('Eval-Avec act. écol. envisagée'!$A$761:$A$780,DY22)&gt;0,IF(OR(AND('Eval-Avec act. écol. envisagée'!$A$761=DY22,EV9&lt;30),AND('Eval-Avec act. écol. envisagée'!$A$762=DY22,EV10&lt;30),AND('Eval-Avec act. écol. envisagée'!$A$763=DY22,EV11&lt;30),AND('Eval-Avec act. écol. envisagée'!$A$764=DY22,EV12&lt;30),AND('Eval-Avec act. écol. envisagée'!$A$765=DY22,EV13&lt;30),AND('Eval-Avec act. écol. envisagée'!$A$766=DY22,EV14&lt;30),AND('Eval-Avec act. écol. envisagée'!$A$767=DY22,EV15&lt;30),AND('Eval-Avec act. écol. envisagée'!$A$768=DY22,EV16&lt;30),AND('Eval-Avec act. écol. envisagée'!$A$769=DY22,EV17&lt;30),AND('Eval-Avec act. écol. envisagée'!$A$770=DY22,EV18&lt;30),AND('Eval-Avec act. écol. envisagée'!$A$771=DY22,EV19&lt;30),AND('Eval-Avec act. écol. envisagée'!$A$772=DY22,EV20&lt;30),AND('Eval-Avec act. écol. envisagée'!$A$773=DY22,EV21&lt;30),AND('Eval-Avec act. écol. envisagée'!$A$774=DY22,EV22&lt;30),AND('Eval-Avec act. écol. envisagée'!$A$775=DY22,EV23&lt;30),AND('Eval-Avec act. écol. envisagée'!$A$776=DY22,EV24&lt;30),AND('Eval-Avec act. écol. envisagée'!$A$777=DY22,EV25&lt;30),AND('Eval-Avec act. écol. envisagée'!$A$778=DY22,EV26&lt;30),AND('Eval-Avec act. écol. envisagée'!$A$779=DY22,EV27&lt;30),AND('Eval-Avec act. écol. envisagée'!$A$780=DY22,EV28&lt;30)),"",SUM(0.1*(SUMPRODUCT(('Eval-Avec act. écol. envisagée'!$A$761:$A$780=DY22)*('Eval-Avec act. écol. envisagée'!$N$761:$P$780="A"))+ SUMPRODUCT(('Eval-Avec act. écol. envisagée'!$A$761:$A$780=DY22)*('Eval-Avec act. écol. envisagée'!$N$761:$P$780="AL"))),0.7*(SUMPRODUCT(('Eval-Avec act. écol. envisagée'!$A$761:$A$780=DY22)*('Eval-Avec act. écol. envisagée'!$N$761:$P$780="TF"))+SUMPRODUCT(('Eval-Avec act. écol. envisagée'!$A$761:$A$780=DY22)*('Eval-Avec act. écol. envisagée'!$N$761:$P$780="TM"))+SUMPRODUCT(('Eval-Avec act. écol. envisagée'!$A$761:$A$780=DY22)*('Eval-Avec act. écol. envisagée'!$N$761:$P$780="TS"))),0.4*(SUMPRODUCT(('Eval-Avec act. écol. envisagée'!$A$761:$A$780=DY22)*('Eval-Avec act. écol. envisagée'!$N$761:$P$780="LA"))+SUMPRODUCT(('Eval-Avec act. écol. envisagée'!$A$761:$A$780=DY22)*('Eval-Avec act. écol. envisagée'!$N$761:$P$780="L"))+SUMPRODUCT(('Eval-Avec act. écol. envisagée'!$A$761:$A$780=DY22)*('Eval-Avec act. écol. envisagée'!$N$761:$P$780="LS"))),1*(SUMPRODUCT(('Eval-Avec act. écol. envisagée'!$A$761:$A$780=DY22)*('Eval-Avec act. écol. envisagée'!$N$761:$P$780="SL"))+ SUMPRODUCT(('Eval-Avec act. écol. envisagée'!$A$761:$A$780=DY22)*('Eval-Avec act. écol. envisagée'!$N$761:$P$780="S"))))/(3*COUNTIF('Eval-Avec act. écol. envisagée'!$A$761:$A$780,DY22))),"")</f>
        <v/>
      </c>
      <c r="EP22" s="211" t="str">
        <f>IF(COUNTIF('Eval-Avec act. écol. envisagée'!$A$761:$A$780,DY22)&gt;0,IF(OR(AND('Eval-Avec act. écol. envisagée'!$A$761=DY22,EV9&lt;120),AND('Eval-Avec act. écol. envisagée'!$A$762=DY22,EV10&lt;120),AND('Eval-Avec act. écol. envisagée'!$A$763=DY22,EV11&lt;120),AND('Eval-Avec act. écol. envisagée'!$A$764=DY22,EV12&lt;120),AND('Eval-Avec act. écol. envisagée'!$A$765=DY22,EV13&lt;120),AND('Eval-Avec act. écol. envisagée'!$A$766=DY22,EV14&lt;120),AND('Eval-Avec act. écol. envisagée'!$A$767=DY22,EV15&lt;120),AND('Eval-Avec act. écol. envisagée'!$A$768=DY22,EV16&lt;120),AND('Eval-Avec act. écol. envisagée'!$A$769=DY22,EV17&lt;120),AND('Eval-Avec act. écol. envisagée'!$A$770=DY22,EV18&lt;120),AND('Eval-Avec act. écol. envisagée'!$A$771=DY22,EV19&lt;120),AND('Eval-Avec act. écol. envisagée'!$A$772=DY22,EV20&lt;120),AND('Eval-Avec act. écol. envisagée'!$A$773=DY22,EV21&lt;120),AND('Eval-Avec act. écol. envisagée'!$A$774=DY22,EV22&lt;120),AND('Eval-Avec act. écol. envisagée'!$A$775=DY22,EV23&lt;120),AND('Eval-Avec act. écol. envisagée'!$A$776=DY22,EV24&lt;120),AND('Eval-Avec act. écol. envisagée'!$A$777=DY22,EV25&lt;120),AND('Eval-Avec act. écol. envisagée'!$A$778=DY22,EV26&lt;120),AND('Eval-Avec act. écol. envisagée'!$A$779=DY22,EV27&lt;120),AND('Eval-Avec act. écol. envisagée'!$A$780=DY22,EV28&lt;120)),"",SUM(0.1*(SUMPRODUCT(('Eval-Avec act. écol. envisagée'!$A$761:$A$780=DY22)*('Eval-Avec act. écol. envisagée'!$Q$761:$Y$780="A"))+ SUMPRODUCT(('Eval-Avec act. écol. envisagée'!$A$761:$A$780=DY22)*('Eval-Avec act. écol. envisagée'!$Q$761:$Y$780="AL"))),0.7*(SUMPRODUCT(('Eval-Avec act. écol. envisagée'!$A$761:$A$780=DY22)*('Eval-Avec act. écol. envisagée'!$Q$761:$Y$780="TF"))+SUMPRODUCT(('Eval-Avec act. écol. envisagée'!$A$761:$A$780=DY22)*('Eval-Avec act. écol. envisagée'!$Q$761:$Y$780="TM"))+SUMPRODUCT(('Eval-Avec act. écol. envisagée'!$A$761:$A$780=DY22)*('Eval-Avec act. écol. envisagée'!$Q$761:$Y$780="TS"))),0.4*(SUMPRODUCT(('Eval-Avec act. écol. envisagée'!$A$761:$A$780=DY22)*('Eval-Avec act. écol. envisagée'!$Q$761:$Y$780="LA"))+SUMPRODUCT(('Eval-Avec act. écol. envisagée'!$A$761:$A$780=DY22)*('Eval-Avec act. écol. envisagée'!$Q$761:$Y$780="L"))+SUMPRODUCT(('Eval-Avec act. écol. envisagée'!$A$761:$A$780=DY22)*('Eval-Avec act. écol. envisagée'!$Q$761:$Y$780="LS"))),1*(SUMPRODUCT(('Eval-Avec act. écol. envisagée'!$A$761:$A$780=DY22)*('Eval-Avec act. écol. envisagée'!$Q$761:$Y$780="SL"))+ SUMPRODUCT(('Eval-Avec act. écol. envisagée'!$A$761:$A$780=DY22)*('Eval-Avec act. écol. envisagée'!$Q$761:$Y$780="S"))))/(9*COUNTIF('Eval-Avec act. écol. envisagée'!$A$761:$A$780,DY22))),"")</f>
        <v/>
      </c>
      <c r="EQ22" s="211" t="str">
        <f>IF(COUNTIF('Eval-Avec act. écol. envisagée'!$A$761:$A$780,DY22)&gt;0,IF(OR(AND('Eval-Avec act. écol. envisagée'!$A$761=DY22,OR(COUNTIF('Eval-Avec act. écol. envisagée'!$N$761:$P$761,"*T*")&gt;0,EV9&lt;30)),AND('Eval-Avec act. écol. envisagée'!$A$762=DY22,OR(COUNTIF('Eval-Avec act. écol. envisagée'!$N$762:$P$762,"*T*")&gt;0,EV10&lt;30)),AND('Eval-Avec act. écol. envisagée'!$A$763=DY22,OR(COUNTIF('Eval-Avec act. écol. envisagée'!$N$763:$P$763,"*T*")&gt;0,EV11&lt;30)),AND('Eval-Avec act. écol. envisagée'!$A$764=DY22,OR(COUNTIF('Eval-Avec act. écol. envisagée'!$N$764:$P$764,"*T*")&gt;0,EV12&lt;30)),AND('Eval-Avec act. écol. envisagée'!$A$765=DY22,OR(COUNTIF('Eval-Avec act. écol. envisagée'!$N$765:$P$765,"*T*")&gt;0,EV13&lt;30)),AND('Eval-Avec act. écol. envisagée'!$A$766=DY22,OR(COUNTIF('Eval-Avec act. écol. envisagée'!$N$766:$P$766,"*T*")&gt;0,EV14&lt;30)),AND('Eval-Avec act. écol. envisagée'!$A$767=DY22,OR(COUNTIF('Eval-Avec act. écol. envisagée'!$N$767:$P$767,"*T*")&gt;0,EV15&lt;30)),AND('Eval-Avec act. écol. envisagée'!$A$768=DY22,OR(COUNTIF('Eval-Avec act. écol. envisagée'!$N$768:$P$768,"*T*")&gt;0,EV16&lt;30)),AND('Eval-Avec act. écol. envisagée'!$A$769=DY22,OR(COUNTIF('Eval-Avec act. écol. envisagée'!$N$769:$P$769,"*T*")&gt;0,EV17&lt;30)),AND('Eval-Avec act. écol. envisagée'!$A$770=DY22,OR(COUNTIF('Eval-Avec act. écol. envisagée'!$N$770:$P$770,"*T*")&gt;0,EV18&lt;30)),AND('Eval-Avec act. écol. envisagée'!$A$771=DY22,OR(COUNTIF('Eval-Avec act. écol. envisagée'!$N$771:$P$771,"*T*")&gt;0,EV19&lt;30)),AND('Eval-Avec act. écol. envisagée'!$A$772=DY22,OR(COUNTIF('Eval-Avec act. écol. envisagée'!$N$772:$P$772,"*T*")&gt;0,EV20&lt;30)),AND('Eval-Avec act. écol. envisagée'!$A$773=DY22,OR(COUNTIF('Eval-Avec act. écol. envisagée'!$N$773:$P$773,"*T*")&gt;0,EV21&lt;30)),AND('Eval-Avec act. écol. envisagée'!$A$774=DY22,OR(COUNTIF('Eval-Avec act. écol. envisagée'!$N$774:$P$774,"*T*")&gt;0,EV22&lt;30)),AND('Eval-Avec act. écol. envisagée'!$A$775=DY22,OR(COUNTIF('Eval-Avec act. écol. envisagée'!$N$775:$P$775,"*T*")&gt;0,EV23&lt;30)),AND('Eval-Avec act. écol. envisagée'!$A$776=DY22,OR(COUNTIF('Eval-Avec act. écol. envisagée'!$N$776:$P$776,"*T*")&gt;0,EV24&lt;30)),AND('Eval-Avec act. écol. envisagée'!$A$777=DY22,OR(COUNTIF('Eval-Avec act. écol. envisagée'!$N$777:$P$777,"*T*")&gt;0,EV25&lt;30)),AND('Eval-Avec act. écol. envisagée'!$A$778=DY22,OR(COUNTIF('Eval-Avec act. écol. envisagée'!$N$778:$P$778,"*T*")&gt;0,EV26&lt;30)),AND('Eval-Avec act. écol. envisagée'!$A$779=DY22,OR(COUNTIF('Eval-Avec act. écol. envisagée'!$N$779:$P$779,"*T*")&gt;0,EV27&lt;30)),AND('Eval-Avec act. écol. envisagée'!$A$780=DY22,OR(COUNTIF('Eval-Avec act. écol. envisagée'!$N$780:$P$780,"*T*")&gt;0,EV28&lt;30))),"",SUM(0.1*(SUMPRODUCT(('Eval-Avec act. écol. envisagée'!$A$761:$A$780=DY22)*('Eval-Avec act. écol. envisagée'!$N$761:$P$780="L"))),0.4*(SUMPRODUCT(('Eval-Avec act. écol. envisagée'!$A$761:$A$780=DY22)*('Eval-Avec act. écol. envisagée'!$N$761:$P$780="LA"))+SUMPRODUCT(('Eval-Avec act. écol. envisagée'!$A$761:$A$780=DY22)*('Eval-Avec act. écol. envisagée'!$N$761:$P$780="LS"))),0.7*(SUMPRODUCT(('Eval-Avec act. écol. envisagée'!$A$761:$A$780=DY22)*('Eval-Avec act. écol. envisagée'!$N$761:$P$780="AL"))+SUMPRODUCT(('Eval-Avec act. écol. envisagée'!$A$761:$A$780=DY22)*('Eval-Avec act. écol. envisagée'!$N$761:$P$780="SL"))),1*(SUMPRODUCT(('Eval-Avec act. écol. envisagée'!$A$761:$A$780=DY22)*('Eval-Avec act. écol. envisagée'!$N$761:$P$780="S"))+ SUMPRODUCT(('Eval-Avec act. écol. envisagée'!$A$761:$A$780=DY22)*('Eval-Avec act. écol. envisagée'!$N$761:$P$780="A"))))/(3*COUNTIF('Eval-Avec act. écol. envisagée'!$A$761:$A$780,DY22))),"")</f>
        <v/>
      </c>
      <c r="ER22" s="211" t="str">
        <f>IF(COUNTIF('Eval-Avec act. écol. envisagée'!$A$761:$A$780,DY22)&gt;0,IF(OR(AND('Eval-Avec act. écol. envisagée'!$A$761=DY22,OR(COUNTIF('Eval-Avec act. écol. envisagée'!$N$761:$P$761,"*T*")&gt;0,EV9&lt;30)),AND('Eval-Avec act. écol. envisagée'!$A$762=DY22,OR(COUNTIF('Eval-Avec act. écol. envisagée'!$N$762:$P$762,"*T*")&gt;0,EV10&lt;30)),AND('Eval-Avec act. écol. envisagée'!$A$763=DY22,OR(COUNTIF('Eval-Avec act. écol. envisagée'!$N$763:$P$763,"*T*")&gt;0,EV11&lt;30)),AND('Eval-Avec act. écol. envisagée'!$A$764=DY22,OR(COUNTIF('Eval-Avec act. écol. envisagée'!$N$764:$P$764,"*T*")&gt;0,EV12&lt;30)),AND('Eval-Avec act. écol. envisagée'!$A$765=DY22,OR(COUNTIF('Eval-Avec act. écol. envisagée'!$N$765:$P$765,"*T*")&gt;0,EV13&lt;30)),AND('Eval-Avec act. écol. envisagée'!$A$766=DY22,OR(COUNTIF('Eval-Avec act. écol. envisagée'!$N$766:$P$766,"*T*")&gt;0,EV14&lt;30)),AND('Eval-Avec act. écol. envisagée'!$A$767=DY22,OR(COUNTIF('Eval-Avec act. écol. envisagée'!$N$767:$P$767,"*T*")&gt;0,EV15&lt;30)),AND('Eval-Avec act. écol. envisagée'!$A$768=DY22,OR(COUNTIF('Eval-Avec act. écol. envisagée'!$N$768:$P$768,"*T*")&gt;0,EV16&lt;30)),AND('Eval-Avec act. écol. envisagée'!$A$769=DY22,OR(COUNTIF('Eval-Avec act. écol. envisagée'!$N$769:$P$769,"*T*")&gt;0,EV17&lt;30)),AND('Eval-Avec act. écol. envisagée'!$A$770=DY22,OR(COUNTIF('Eval-Avec act. écol. envisagée'!$N$770:$P$770,"*T*")&gt;0,EV18&lt;30)),AND('Eval-Avec act. écol. envisagée'!$A$771=DY22,OR(COUNTIF('Eval-Avec act. écol. envisagée'!$N$771:$P$771,"*T*")&gt;0,EV19&lt;30)),AND('Eval-Avec act. écol. envisagée'!$A$772=DY22,OR(COUNTIF('Eval-Avec act. écol. envisagée'!$N$772:$P$772,"*T*")&gt;0,EV20&lt;30)),AND('Eval-Avec act. écol. envisagée'!$A$773=DY22,OR(COUNTIF('Eval-Avec act. écol. envisagée'!$N$773:$P$773,"*T*")&gt;0,EV21&lt;30)),AND('Eval-Avec act. écol. envisagée'!$A$774=DY22,OR(COUNTIF('Eval-Avec act. écol. envisagée'!$N$774:$P$774,"*T*")&gt;0,EV22&lt;30)),AND('Eval-Avec act. écol. envisagée'!$A$775=DY22,OR(COUNTIF('Eval-Avec act. écol. envisagée'!$N$775:$P$775,"*T*")&gt;0,EV23&lt;30)),AND('Eval-Avec act. écol. envisagée'!$A$776=DY22,OR(COUNTIF('Eval-Avec act. écol. envisagée'!$N$776:$P$776,"*T*")&gt;0,EV24&lt;30)),AND('Eval-Avec act. écol. envisagée'!$A$777=DY22,OR(COUNTIF('Eval-Avec act. écol. envisagée'!$N$777:$P$777,"*T*")&gt;0,EV25&lt;30)),AND('Eval-Avec act. écol. envisagée'!$A$778=DY22,OR(COUNTIF('Eval-Avec act. écol. envisagée'!$N$778:$P$778,"*T*")&gt;0,EV26&lt;30)),AND('Eval-Avec act. écol. envisagée'!$A$779=DY22,OR(COUNTIF('Eval-Avec act. écol. envisagée'!$N$779:$P$779,"*T*")&gt;0,EV27&lt;30)),AND('Eval-Avec act. écol. envisagée'!$A$780=DY22,OR(COUNTIF('Eval-Avec act. écol. envisagée'!$N$780:$P$780,"*T*")&gt;0,EV28&lt;30))),"",SUM(1*(SUMPRODUCT(('Eval-Avec act. écol. envisagée'!$A$761:$A$780=DY22)*('Eval-Avec act. écol. envisagée'!$N$761:$P$780="A"))),0.85*(SUMPRODUCT(('Eval-Avec act. écol. envisagée'!$A$761:$A$780=DY22)*('Eval-Avec act. écol. envisagée'!$N$761:$P$780="AL"))),0.7*(SUMPRODUCT(('Eval-Avec act. écol. envisagée'!$A$761:$A$780=DY22)*('Eval-Avec act. écol. envisagée'!$N$761:$P$780="LA"))),0.55*(SUMPRODUCT(('Eval-Avec act. écol. envisagée'!$A$761:$A$780=DY22)*('Eval-Avec act. écol. envisagée'!$N$761:$P$780="L"))),0.4*(SUMPRODUCT(('Eval-Avec act. écol. envisagée'!$A$761:$A$780=DY22)*('Eval-Avec act. écol. envisagée'!$N$761:$P$780="LS"))),0.25*(SUMPRODUCT(('Eval-Avec act. écol. envisagée'!$A$761:$A$780=DY22)*('Eval-Avec act. écol. envisagée'!$N$761:$P$780="SL"))),0.1*(SUMPRODUCT(('Eval-Avec act. écol. envisagée'!$A$761:$A$780=DY22)*('Eval-Avec act. écol. envisagée'!$N$761:$P$780="S"))))/(3*COUNTIF('Eval-Avec act. écol. envisagée'!$A$761:$A$780,DY22))),"")</f>
        <v/>
      </c>
      <c r="ES22" s="214" t="str">
        <f>IF(COUNTIF('Eval-Avec act. écol. envisagée'!$A$761:$A$780,DY22)&gt;0,IF(OR(AND('Eval-Avec act. écol. envisagée'!$A$761=DY22,OR(COUNTIF('Eval-Avec act. écol. envisagée'!$Q$761:$Y$761,"*T*")&gt;0,EV9&lt;120)),AND('Eval-Avec act. écol. envisagée'!$A$762=DY22,OR(COUNTIF('Eval-Avec act. écol. envisagée'!$Q$762:$Y$762,"*T*")&gt;0,EV10&lt;120)),AND('Eval-Avec act. écol. envisagée'!$A$763=DY22,OR(COUNTIF('Eval-Avec act. écol. envisagée'!$Q$763:$Y$763,"*T*")&gt;0,EV11&lt;120)),AND('Eval-Avec act. écol. envisagée'!$A$764=DY22,OR(COUNTIF('Eval-Avec act. écol. envisagée'!$Q$764:$Y$764,"*T*")&gt;0,EV12&lt;120)),AND('Eval-Avec act. écol. envisagée'!$A$765=DY22,OR(COUNTIF('Eval-Avec act. écol. envisagée'!$Q$765:$Y$765,"*T*")&gt;0,EV13&lt;120)),AND('Eval-Avec act. écol. envisagée'!$A$766=DY22,OR(COUNTIF('Eval-Avec act. écol. envisagée'!$Q$766:$Y$766,"*T*")&gt;0,EV14&lt;120)),AND('Eval-Avec act. écol. envisagée'!$A$767=DY22,OR(COUNTIF('Eval-Avec act. écol. envisagée'!$Q$767:$Y$767,"*T*")&gt;0,EV15&lt;120)),AND('Eval-Avec act. écol. envisagée'!$A$768=DY22,OR(COUNTIF('Eval-Avec act. écol. envisagée'!$Q$768:$Y$768,"*T*")&gt;0,EV16&lt;120)),AND('Eval-Avec act. écol. envisagée'!$A$769=DY22,OR(COUNTIF('Eval-Avec act. écol. envisagée'!$Q$769:$Y$769,"*T*")&gt;0,EV17&lt;120)),AND('Eval-Avec act. écol. envisagée'!$A$770=DY22,OR(COUNTIF('Eval-Avec act. écol. envisagée'!$Q$770:$Y$770,"*T*")&gt;0,EV18&lt;120)),AND('Eval-Avec act. écol. envisagée'!$A$771=DY22,OR(COUNTIF('Eval-Avec act. écol. envisagée'!$Q$771:$Y$771,"*T*")&gt;0,EV19&lt;120)),AND('Eval-Avec act. écol. envisagée'!$A$772=DY22,OR(COUNTIF('Eval-Avec act. écol. envisagée'!$Q$772:$Y$772,"*T*")&gt;0,EV20&lt;120)),AND('Eval-Avec act. écol. envisagée'!$A$773=DY22,OR(COUNTIF('Eval-Avec act. écol. envisagée'!$Q$773:$Y$773,"*T*")&gt;0,EV21&lt;120)),AND('Eval-Avec act. écol. envisagée'!$A$774=DY22,OR(COUNTIF('Eval-Avec act. écol. envisagée'!$Q$774:$Y$774,"*T*")&gt;0,EV22&lt;120)),AND('Eval-Avec act. écol. envisagée'!$A$775=DY22,OR(COUNTIF('Eval-Avec act. écol. envisagée'!$Q$775:$Y$775,"*T*")&gt;0,EV23&lt;120)),AND('Eval-Avec act. écol. envisagée'!$A$776=DY22,OR(COUNTIF('Eval-Avec act. écol. envisagée'!$Q$776:$Y$776,"*T*")&gt;0,EV24&lt;120)),AND('Eval-Avec act. écol. envisagée'!$A$777=DY22,OR(COUNTIF('Eval-Avec act. écol. envisagée'!$Q$777:$Y$777,"*T*")&gt;0,EV25&lt;120)),AND('Eval-Avec act. écol. envisagée'!$A$778=DY22,OR(COUNTIF('Eval-Avec act. écol. envisagée'!$Q$778:$Y$778,"*T*")&gt;0,EV26&lt;120)),AND('Eval-Avec act. écol. envisagée'!$A$779=DY22,OR(COUNTIF('Eval-Avec act. écol. envisagée'!$Q$779:$Y$779,"*T*")&gt;0,EV27&lt;120)),AND('Eval-Avec act. écol. envisagée'!$A$780=DY22,OR(COUNTIF('Eval-Avec act. écol. envisagée'!$Q$780:$Y$780,"*T*")&gt;0,EV28&lt;120))),"",SUM(1*(SUMPRODUCT(('Eval-Avec act. écol. envisagée'!$A$761:$A$780=DY22)*('Eval-Avec act. écol. envisagée'!$Q$761:$Y$780="A"))),0.85*(SUMPRODUCT(('Eval-Avec act. écol. envisagée'!$A$761:$A$780=DY22)*('Eval-Avec act. écol. envisagée'!$Q$761:$Y$780="AL"))),0.7*(SUMPRODUCT(('Eval-Avec act. écol. envisagée'!$A$761:$A$780=DY22)*('Eval-Avec act. écol. envisagée'!$Q$761:$Y$780="LA"))),0.55*(SUMPRODUCT(('Eval-Avec act. écol. envisagée'!$A$761:$A$780=DY22)*('Eval-Avec act. écol. envisagée'!$Q$761:$Y$780="L"))),0.4*(SUMPRODUCT(('Eval-Avec act. écol. envisagée'!$A$761:$A$780=DY22)*('Eval-Avec act. écol. envisagée'!$Q$761:$Y$780="LS"))),0.25*(SUMPRODUCT(('Eval-Avec act. écol. envisagée'!$A$761:$A$780=DY22)*('Eval-Avec act. écol. envisagée'!$Q$761:$Y$780="SL"))),0.1*(SUMPRODUCT(('Eval-Avec act. écol. envisagée'!$A$761:$A$780=DY22)*('Eval-Avec act. écol. envisagée'!$Q$761:$Y$780="S"))))/(9*COUNTIF('Eval-Avec act. écol. envisagée'!$A$761:$A$780,DY22))),"")</f>
        <v/>
      </c>
      <c r="ET22" s="215"/>
      <c r="EU22" s="216">
        <f>'Eval-Avec act. écol. envisagée'!$D$774</f>
        <v>14</v>
      </c>
      <c r="EV22" s="217" t="str">
        <f>IF(EW22="C",0,IF(IF(COUNTIF('Eval-Avec act. écol. envisagée'!$N$774:$Y$774,"=C")&gt;0,(COUNTA('Eval-Avec act. écol. envisagée'!$N$774:$Y$774)-1)*10,COUNTA('Eval-Avec act. écol. envisagée'!$N$774:$Y$774)*10)=0,"",IF(COUNTIF('Eval-Avec act. écol. envisagée'!$N$774:$Y$774,"=C")&gt;0,(COUNTA('Eval-Avec act. écol. envisagée'!$N$774:$Y$774)-1)*10,COUNTA('Eval-Avec act. écol. envisagée'!$N$774:$Y$774)*10)))</f>
        <v/>
      </c>
      <c r="EW22" s="217" t="str">
        <f>CONCATENATE('Eval-Avec act. écol. envisagée'!$N$774,'Eval-Avec act. écol. envisagée'!$O$774,'Eval-Avec act. écol. envisagée'!$P$774,'Eval-Avec act. écol. envisagée'!$Q$774,'Eval-Avec act. écol. envisagée'!$R$774,'Eval-Avec act. écol. envisagée'!$S$774,'Eval-Avec act. écol. envisagée'!$T$774,'Eval-Avec act. écol. envisagée'!$U$774,'Eval-Avec act. écol. envisagée'!$V$774,'Eval-Avec act. écol. envisagée'!$W$774,'Eval-Avec act. écol. envisagée'!$X$774,'Eval-Avec act. écol. envisagée'!$Y$774)</f>
        <v/>
      </c>
      <c r="EX22" s="217" t="str">
        <f t="shared" si="16"/>
        <v/>
      </c>
      <c r="EY22" s="217" t="str">
        <f t="shared" si="17"/>
        <v/>
      </c>
      <c r="EZ22" s="217" t="str">
        <f>IF(COUNTIF('Eval-Avec act. écol. envisagée'!$N$774:$Y$774,"=C")&gt;0,"X","")</f>
        <v/>
      </c>
      <c r="FA22" s="217" t="str">
        <f t="shared" si="18"/>
        <v/>
      </c>
      <c r="FB22" s="218" t="str">
        <f t="shared" si="19"/>
        <v/>
      </c>
      <c r="FC22" s="197"/>
      <c r="FE22" s="210">
        <v>14</v>
      </c>
      <c r="FF22" s="211" t="str">
        <f>IF(COUNTIF('Eval-Après action écologique'!$A$761:$A$780,FE22)&gt;0,SUM(IF('Eval-Après action écologique'!$A$761=FE22,'Eval-Après action écologique'!$B$761,0),IF('Eval-Après action écologique'!$A$762=FE22, 'Eval-Après action écologique'!$B$762,0),IF('Eval-Après action écologique'!$A$763=FE22, 'Eval-Après action écologique'!$B$763,0),IF('Eval-Après action écologique'!$A$764=FE22, 'Eval-Après action écologique'!$B$764,0),IF('Eval-Après action écologique'!$A$765=FE22, 'Eval-Après action écologique'!$B$765,0),IF('Eval-Après action écologique'!$A$766=FE22, 'Eval-Après action écologique'!$B$766,0),IF('Eval-Après action écologique'!$A$767=FE22, 'Eval-Après action écologique'!$B$767,0),IF('Eval-Après action écologique'!$A$768=FE22, 'Eval-Après action écologique'!$B$768,0),IF('Eval-Après action écologique'!$A$769=FE22, 'Eval-Après action écologique'!$B$769,0),IF('Eval-Après action écologique'!$A$770=FE22, 'Eval-Après action écologique'!$B$770,0),IF('Eval-Après action écologique'!$A$771=FE22, 'Eval-Après action écologique'!$B$771,0),IF('Eval-Après action écologique'!$A$772=FE22, 'Eval-Après action écologique'!$B$772,0),IF('Eval-Après action écologique'!$A$773=FE22, 'Eval-Après action écologique'!$B$773,0),IF('Eval-Après action écologique'!$A$774=FE22, 'Eval-Après action écologique'!$B$774,0),IF('Eval-Après action écologique'!$A$775=FE22, 'Eval-Après action écologique'!$B$775,0),IF('Eval-Après action écologique'!$A$776=FE22, 'Eval-Après action écologique'!$B$776,0),IF('Eval-Après action écologique'!$A$777=FE22, 'Eval-Après action écologique'!$B$777,0),IF('Eval-Après action écologique'!$A$778=FE22, 'Eval-Après action écologique'!$B$778,0),IF('Eval-Après action écologique'!$A$779=FE22, 'Eval-Après action écologique'!$B$779,0),IF('Eval-Après action écologique'!$A$780=FE22, 'Eval-Après action écologique'!$B$780,0))/COUNTIF('Eval-Après action écologique'!$A$761:$A$780,FE22),"")</f>
        <v/>
      </c>
      <c r="FG22" s="212" t="str">
        <f>IF(COUNTIF('Eval-Après action écologique'!$A$761:$A$780,FE22)&gt;0,COUNTIF('Eval-Après action écologique'!$A$761:$A$780,FE22),"")</f>
        <v/>
      </c>
      <c r="FH22" s="211" t="str">
        <f>IF(COUNTIF('Eval-Après action écologique'!$A$761:$A$780,FE22)&gt;0,IF(OR(AND('Eval-Après action écologique'!$A$761=FE22, 'Eval-Après action écologique'!$G$761=""),AND('Eval-Après action écologique'!$A$762=FE22, 'Eval-Après action écologique'!$G$762=""),AND('Eval-Après action écologique'!$A$763=FE22, 'Eval-Après action écologique'!$G$763=""),AND('Eval-Après action écologique'!$A$764=FE22, 'Eval-Après action écologique'!$G$764=""),AND('Eval-Après action écologique'!$A$765=FE22, 'Eval-Après action écologique'!$G$765=""),AND('Eval-Après action écologique'!$A$766=FE22, 'Eval-Après action écologique'!$G$766=""),AND('Eval-Après action écologique'!$A$767=FE22, 'Eval-Après action écologique'!$G$767=""),AND('Eval-Après action écologique'!$A$768=FE22, 'Eval-Après action écologique'!$G$768=""),AND('Eval-Après action écologique'!$A$769=FE22, 'Eval-Après action écologique'!$G$769=""),AND('Eval-Après action écologique'!$A$770=FE22, 'Eval-Après action écologique'!$G$770=""),AND('Eval-Après action écologique'!$A$771=FE22, 'Eval-Après action écologique'!$G$771=""),AND('Eval-Après action écologique'!$A$772=FE22, 'Eval-Après action écologique'!$G$772=""),AND('Eval-Après action écologique'!$A$773=FE22, 'Eval-Après action écologique'!$G$773=""),AND('Eval-Après action écologique'!$A$774=FE22, 'Eval-Après action écologique'!$G$774=""),AND('Eval-Après action écologique'!$A$775=FE22, 'Eval-Après action écologique'!$G$775=""),AND('Eval-Après action écologique'!$A$776=FE22, 'Eval-Après action écologique'!$G$776=""),AND('Eval-Après action écologique'!$A$777=FE22, 'Eval-Après action écologique'!$G$777=""),AND('Eval-Après action écologique'!$A$778=FE22, 'Eval-Après action écologique'!$G$778=""),AND('Eval-Après action écologique'!$A$779=FE22, 'Eval-Après action écologique'!$G$779=""),AND('Eval-Après action écologique'!$A$780=FE22, 'Eval-Après action écologique'!$G$780="")),"",SUM(IF('Eval-Après action écologique'!$A$761=FE22,'Eval-Après action écologique'!$G$761,0),IF('Eval-Après action écologique'!$A$762=FE22,'Eval-Après action écologique'!$G$762,0),IF('Eval-Après action écologique'!$A$763=FE22,'Eval-Après action écologique'!$G$763,0),IF('Eval-Après action écologique'!$A$764=FE22,'Eval-Après action écologique'!$G$764,0),IF('Eval-Après action écologique'!$A$765=FE22,'Eval-Après action écologique'!$G$765,0),IF('Eval-Après action écologique'!$A$766=FE22,'Eval-Après action écologique'!$G$766,0),IF('Eval-Après action écologique'!$A$767=FE22,'Eval-Après action écologique'!$G$767,0),IF('Eval-Après action écologique'!$A$768=FE22,'Eval-Après action écologique'!$G$768,0),IF('Eval-Après action écologique'!$A$769=FE22,'Eval-Après action écologique'!$G$769,0),IF('Eval-Après action écologique'!$A$770=FE22,'Eval-Après action écologique'!$G$770,0),IF('Eval-Après action écologique'!$A$771=FE22,'Eval-Après action écologique'!$G$771,0),IF('Eval-Après action écologique'!$A$772=FE22,'Eval-Après action écologique'!$G$772,0),IF('Eval-Après action écologique'!$A$773=FE22,'Eval-Après action écologique'!$G$773,0),IF('Eval-Après action écologique'!$A$774=FE22,'Eval-Après action écologique'!$G$774,0),IF('Eval-Après action écologique'!$A$775=FE22,'Eval-Après action écologique'!$G$775,0), IF('Eval-Après action écologique'!$A$776=FE22,'Eval-Après action écologique'!$G$776,0), IF('Eval-Après action écologique'!$A$777=FE22,'Eval-Après action écologique'!$G$777,0), IF('Eval-Après action écologique'!$A$778=FE22,'Eval-Après action écologique'!$G$778,0), IF('Eval-Après action écologique'!$A$779=FE22,'Eval-Après action écologique'!$G$779,0), IF('Eval-Après action écologique'!$A$780=FE22,'Eval-Après action écologique'!$G$780,0))/ COUNTIF('Eval-Après action écologique'!$A$761:$A$780,FE22)),"")</f>
        <v/>
      </c>
      <c r="FI22" s="212" t="str">
        <f>IF(COUNTIF('Eval-Après action écologique'!$A$761:$A$780,FE22)&gt;0,IF(SUM(IF('Eval-Après action écologique'!$A$761=FE22,COUNTA('Eval-Après action écologique'!$H$761),0),IF('Eval-Après action écologique'!$A$762=FE22,COUNTA('Eval-Après action écologique'!$H$762),0),IF('Eval-Après action écologique'!$A$763=FE22,COUNTA('Eval-Après action écologique'!$H$763),0),IF('Eval-Après action écologique'!$A$764=FE22,COUNTA('Eval-Après action écologique'!$H$764),0),IF('Eval-Après action écologique'!$A$765=FE22,COUNTA('Eval-Après action écologique'!$H$765),0),IF('Eval-Après action écologique'!$A$766=FE22,COUNTA('Eval-Après action écologique'!$H$766),0),IF('Eval-Après action écologique'!$A$767=FE22,COUNTA('Eval-Après action écologique'!$H$767),0),IF('Eval-Après action écologique'!$A$768=FE22,COUNTA('Eval-Après action écologique'!$H$768),0),IF('Eval-Après action écologique'!$A$769=FE22,COUNTA('Eval-Après action écologique'!$H$769),0),IF('Eval-Après action écologique'!$A$770=FE22,COUNTA('Eval-Après action écologique'!$H$770),0),IF('Eval-Après action écologique'!$A$771=FE22,COUNTA('Eval-Après action écologique'!$H$771),0),IF('Eval-Après action écologique'!$A$772=FE22,COUNTA('Eval-Après action écologique'!$H$772),0),IF('Eval-Après action écologique'!$A$773=FE22,COUNTA('Eval-Après action écologique'!$H$773),0),IF('Eval-Après action écologique'!$A$774=FE22,COUNTA('Eval-Après action écologique'!$H$774),0),IF('Eval-Après action écologique'!$A$775=FE22,COUNTA('Eval-Après action écologique'!$H$775),0),IF('Eval-Après action écologique'!$A$776=FE22,COUNTA('Eval-Après action écologique'!$H$776),0),IF('Eval-Après action écologique'!$A$777=FE22,COUNTA('Eval-Après action écologique'!$H$777),0),IF('Eval-Après action écologique'!$A$778=FE22,COUNTA('Eval-Après action écologique'!$H$778),0),IF('Eval-Après action écologique'!$A$779=FE22,COUNTA('Eval-Après action écologique'!$H$779),0),IF('Eval-Après action écologique'!$A$780=FE22,COUNTA('Eval-Après action écologique'!$H$780),0))&gt;0,"X",0),"")</f>
        <v/>
      </c>
      <c r="FJ22" s="213" t="str">
        <f>IF(COUNTIF('Eval-Après action écologique'!$A$761:$A$780,FE22)&gt;0,IF(SUM(IF('Eval-Après action écologique'!$A$761=FE22,COUNTA('Eval-Après action écologique'!$I$761),0),IF('Eval-Après action écologique'!$A$762=FE22,COUNTA('Eval-Après action écologique'!$I$762),0),IF('Eval-Après action écologique'!$A$763=FE22,COUNTA('Eval-Après action écologique'!$I$763),0),IF('Eval-Après action écologique'!$A$764=FE22,COUNTA('Eval-Après action écologique'!$I$764),0),IF('Eval-Après action écologique'!$A$765=FE22,COUNTA('Eval-Après action écologique'!$I$765),0),IF('Eval-Après action écologique'!$A$766=FE22,COUNTA('Eval-Après action écologique'!$I$766),0),IF('Eval-Après action écologique'!$A$767=FE22,COUNTA('Eval-Après action écologique'!$I$767),0),IF('Eval-Après action écologique'!$A$768=FE22,COUNTA('Eval-Après action écologique'!$I$768),0),IF('Eval-Après action écologique'!$A$769=FE22,COUNTA('Eval-Après action écologique'!$I$769),0),IF('Eval-Après action écologique'!$A$770=FE22,COUNTA('Eval-Après action écologique'!$I$770),0),IF('Eval-Après action écologique'!$A$771=FE22,COUNTA('Eval-Après action écologique'!$I$771),0),IF('Eval-Après action écologique'!$A$772=FE22,COUNTA('Eval-Après action écologique'!$I$772),0),IF('Eval-Après action écologique'!$A$773=FE22,COUNTA('Eval-Après action écologique'!$I$773),0),IF('Eval-Après action écologique'!$A$774=FE22,COUNTA('Eval-Après action écologique'!$I$774),0),IF('Eval-Après action écologique'!$A$775=FE22,COUNTA('Eval-Après action écologique'!$I$775),0),IF('Eval-Après action écologique'!$A$776=FE22,COUNTA('Eval-Après action écologique'!$I$776),0),IF('Eval-Après action écologique'!$A$777=FE22,COUNTA('Eval-Après action écologique'!$I$777),0),IF('Eval-Après action écologique'!$A$778=FE22,COUNTA('Eval-Après action écologique'!$I$778),0),IF('Eval-Après action écologique'!$A$779=FE22,COUNTA('Eval-Après action écologique'!$I$779),0),IF('Eval-Après action écologique'!$A$780=FE22,COUNTA('Eval-Après action écologique'!$I$780),0))&gt;0,"X",0),"")</f>
        <v/>
      </c>
      <c r="FK22" s="213" t="str">
        <f>IF(COUNTIF('Eval-Après action écologique'!$A$761:$A$780,FE22)&gt;0,IF(SUM(IF('Eval-Après action écologique'!$A$761=FE22,COUNTA('Eval-Après action écologique'!$J$761),0),IF('Eval-Après action écologique'!$A$762=FE22,COUNTA('Eval-Après action écologique'!$J$762),0),IF('Eval-Après action écologique'!$A$763=FE22,COUNTA('Eval-Après action écologique'!$J$763),0),IF('Eval-Après action écologique'!$A$764=FE22,COUNTA('Eval-Après action écologique'!$J$764),0),IF('Eval-Après action écologique'!$A$765=FE22,COUNTA('Eval-Après action écologique'!$J$765),0),IF('Eval-Après action écologique'!$A$766=FE22,COUNTA('Eval-Après action écologique'!$J$766),0),IF('Eval-Après action écologique'!$A$767=FE22,COUNTA('Eval-Après action écologique'!$J$767),0),IF('Eval-Après action écologique'!$A$768=FE22,COUNTA('Eval-Après action écologique'!$J$768),0),IF('Eval-Après action écologique'!$A$769=FE22,COUNTA('Eval-Après action écologique'!$J$769),0),IF('Eval-Après action écologique'!$A$770=FE22,COUNTA('Eval-Après action écologique'!$J$770),0),IF('Eval-Après action écologique'!$A$771=FE22,COUNTA('Eval-Après action écologique'!$J$771),0),IF('Eval-Après action écologique'!$A$772=FE22,COUNTA('Eval-Après action écologique'!$J$772),0),IF('Eval-Après action écologique'!$A$773=FE22,COUNTA('Eval-Après action écologique'!$J$773),0),IF('Eval-Après action écologique'!$A$774=FE22,COUNTA('Eval-Après action écologique'!$J$774),0),IF('Eval-Après action écologique'!$A$775=FE22,COUNTA('Eval-Après action écologique'!$J$775),0),IF('Eval-Après action écologique'!$A$776=FE22,COUNTA('Eval-Après action écologique'!$J$776),0),IF('Eval-Après action écologique'!$A$777=FE22,COUNTA('Eval-Après action écologique'!$J$777),0),IF('Eval-Après action écologique'!$A$778=FE22,COUNTA('Eval-Après action écologique'!$J$778),0),IF('Eval-Après action écologique'!$A$779=FE22,COUNTA('Eval-Après action écologique'!$J$779),0),IF('Eval-Après action écologique'!$A$780=FE22,COUNTA('Eval-Après action écologique'!$J$780),0))&gt;0,"X",0),"")</f>
        <v/>
      </c>
      <c r="FL22" s="213" t="str">
        <f>IF(COUNTIF('Eval-Après action écologique'!$A$761:$A$780,FE22)&gt;0,IF(SUM(IF('Eval-Après action écologique'!$A$761=FE22,COUNTA('Eval-Après action écologique'!$K$761),0),IF('Eval-Après action écologique'!$A$762=FE22,COUNTA('Eval-Après action écologique'!$K$762),0),IF('Eval-Après action écologique'!$A$763=FE22,COUNTA('Eval-Après action écologique'!$K$763),0),IF('Eval-Après action écologique'!$A$764=FE22,COUNTA('Eval-Après action écologique'!$K$764),0),IF('Eval-Après action écologique'!$A$765=FE22,COUNTA('Eval-Après action écologique'!$K$765),0),IF('Eval-Après action écologique'!$A$766=FE22,COUNTA('Eval-Après action écologique'!$K$766),0),IF('Eval-Après action écologique'!$A$767=FE22,COUNTA('Eval-Après action écologique'!$K$767),0),IF('Eval-Après action écologique'!$A$768=FE22,COUNTA('Eval-Après action écologique'!$K$768),0),IF('Eval-Après action écologique'!$A$769=FE22,COUNTA('Eval-Après action écologique'!$K$769),0),IF('Eval-Après action écologique'!$A$770=FE22,COUNTA('Eval-Après action écologique'!$K$770),0),IF('Eval-Après action écologique'!$A$771=FE22,COUNTA('Eval-Après action écologique'!$K$771),0),IF('Eval-Après action écologique'!$A$772=FE22,COUNTA('Eval-Après action écologique'!$K$772),0),IF('Eval-Après action écologique'!$A$773=FE22,COUNTA('Eval-Après action écologique'!$K$773),0),IF('Eval-Après action écologique'!$A$774=FE22,COUNTA('Eval-Après action écologique'!$K$774),0),IF('Eval-Après action écologique'!$A$775=FE22,COUNTA('Eval-Après action écologique'!$K$775),0),IF('Eval-Après action écologique'!$A$776=FE22,COUNTA('Eval-Après action écologique'!$K$776),0),IF('Eval-Après action écologique'!$A$777=FE22,COUNTA('Eval-Après action écologique'!$K$777),0),IF('Eval-Après action écologique'!$A$778=FE22,COUNTA('Eval-Après action écologique'!$K$778),0),IF('Eval-Après action écologique'!$A$779=FE22,COUNTA('Eval-Après action écologique'!$K$779),0),IF('Eval-Après action écologique'!$A$780=FE22,COUNTA('Eval-Après action écologique'!$K$780),0))&gt;0,"X",0),"")</f>
        <v/>
      </c>
      <c r="FM22" s="211" t="str">
        <f>IF(COUNTIF('Eval-Après action écologique'!$A$761:$A$780,FE22)&gt;0,IF(OR(AND('Eval-Après action écologique'!$A$761=FE22,'Eval-Après action écologique'!$L$761&lt;120,'Eval-Après action écologique'!$L$761&gt;=GB9),AND('Eval-Après action écologique'!$A$762=FE22,'Eval-Après action écologique'!$L$762&lt;120,'Eval-Après action écologique'!$L$762&gt;=GB10),AND('Eval-Après action écologique'!$A$763=FE22,'Eval-Après action écologique'!$L$763&lt;120,'Eval-Après action écologique'!$L$763&gt;=GB11),AND('Eval-Après action écologique'!$A$764=FE22,'Eval-Après action écologique'!$L$764&lt;120,'Eval-Après action écologique'!$L$764&gt;=GB12),AND('Eval-Après action écologique'!$A$765=FE22,'Eval-Après action écologique'!$L$765&lt;120,'Eval-Après action écologique'!$L$765&gt;=GB13),AND('Eval-Après action écologique'!$A$766=FE22,'Eval-Après action écologique'!$L$766&lt;120,'Eval-Après action écologique'!$L$766&gt;=GB14),AND('Eval-Après action écologique'!$A$767=FE22,'Eval-Après action écologique'!$L$767&lt;120,'Eval-Après action écologique'!$L$767&gt;=GB15),AND('Eval-Après action écologique'!$A$768=FE22,'Eval-Après action écologique'!$L$768&lt;120,'Eval-Après action écologique'!$L$768&gt;=GB16),AND('Eval-Après action écologique'!$A$769=FE22,'Eval-Après action écologique'!$L$769&lt;120,'Eval-Après action écologique'!$L$769&gt;=GB17),AND('Eval-Après action écologique'!$A$770=FE22,'Eval-Après action écologique'!$L$770&lt;120,'Eval-Après action écologique'!$L$770&gt;=GB18),AND('Eval-Après action écologique'!$A$771=FE22,'Eval-Après action écologique'!$L$771&lt;120,'Eval-Après action écologique'!$L$771&gt;=GB19),AND('Eval-Après action écologique'!$A$772=FE22,'Eval-Après action écologique'!$L$772&lt;120,'Eval-Après action écologique'!$L$772&gt;=GB20),AND('Eval-Après action écologique'!$A$773=FE22,'Eval-Après action écologique'!$L$773&lt;120,'Eval-Après action écologique'!$L$773&gt;=GB21),AND('Eval-Après action écologique'!$A$774=FE22,'Eval-Après action écologique'!$L$774&lt;120,'Eval-Après action écologique'!$L$774&gt;=GB22),AND('Eval-Après action écologique'!$A$775=FE22,'Eval-Après action écologique'!$L$775&lt;120,'Eval-Après action écologique'!$L$775&gt;=GB23),AND('Eval-Après action écologique'!$A$776=FE22,'Eval-Après action écologique'!$L$776&lt;120,'Eval-Après action écologique'!$L$776&gt;=GB24),AND('Eval-Après action écologique'!$A$777=FE22,'Eval-Après action écologique'!$L$777&lt;120,'Eval-Après action écologique'!$L$777&gt;=GB25),AND('Eval-Après action écologique'!$A$778=FE22,'Eval-Après action écologique'!$L$778&lt;120,'Eval-Après action écologique'!$L$778&gt;=GB26),AND('Eval-Après action écologique'!$A$779=FE22,'Eval-Après action écologique'!$L$779&lt;120,'Eval-Après action écologique'!$L$779&gt;=GB27),AND('Eval-Après action écologique'!$A$780=FE22,'Eval-Après action écologique'!$L$780&lt;120,'Eval-Après action écologique'!$L$780&gt;=GB28)),"",SUM(IF('Eval-Après action écologique'!$A$761=FE22,'Eval-Après action écologique'!$L$761,0),IF('Eval-Après action écologique'!$A$762=FE22,'Eval-Après action écologique'!$L$762,0),IF('Eval-Après action écologique'!$A$763=FE22,'Eval-Après action écologique'!$L$763,0),IF('Eval-Après action écologique'!$A$764=FE22,'Eval-Après action écologique'!$L$764,0),IF('Eval-Après action écologique'!$A$765=FE22,'Eval-Après action écologique'!$L$765,0),IF('Eval-Après action écologique'!$A$766=FE22,'Eval-Après action écologique'!$L$766,0),IF('Eval-Après action écologique'!$A$767=FE22,'Eval-Après action écologique'!$L$767,0),IF('Eval-Après action écologique'!$A$768=FE22,'Eval-Après action écologique'!$L$768,0),IF('Eval-Après action écologique'!$A$769=FE22,'Eval-Après action écologique'!$L$769,0),IF('Eval-Après action écologique'!$A$770=FE22,'Eval-Après action écologique'!$L$770,0),IF('Eval-Après action écologique'!$A$771=FE22,'Eval-Après action écologique'!$L$771,0),IF('Eval-Après action écologique'!$A$772=FE22,'Eval-Après action écologique'!$L$772,0),IF('Eval-Après action écologique'!$A$773=FE22,'Eval-Après action écologique'!$L$773,0),IF('Eval-Après action écologique'!$A$774=FE22,'Eval-Après action écologique'!$L$774,0),IF('Eval-Après action écologique'!$A$775=FE22,'Eval-Après action écologique'!$L$775,0),IF('Eval-Après action écologique'!$A$776=FE22,'Eval-Après action écologique'!$L$776,0),IF('Eval-Après action écologique'!$A$777=FE22,'Eval-Après action écologique'!$L$777,0),IF('Eval-Après action écologique'!$A$778=FE22,'Eval-Après action écologique'!$L$778,0),IF('Eval-Après action écologique'!$A$779=FE22,'Eval-Après action écologique'!$L$779,0),IF('Eval-Après action écologique'!$A$780=FE22,'Eval-Après action écologique'!$L$780,0))/ COUNTIF('Eval-Après action écologique'!$A$761:$A$780,FE22)),"")</f>
        <v/>
      </c>
      <c r="FN22" s="211" t="str">
        <f>IF(COUNTIF('Eval-Après action écologique'!$A$761:$A$780,FE22)&gt;0,IF(OR(AND('Eval-Après action écologique'!$A$761=FE22, GB9&lt;120),AND(GB10&lt;120),AND(GB11&lt;120),AND(GB12&lt;120),AND(GB13&lt;120),AND(GB14&lt;120),AND(GB15&lt;120),AND(GB16&lt;120),AND(GB17&lt;120),AND(GB18&lt;120),AND(GB19&lt;120),AND(GB20&lt;120),AND(GB21&lt;120),AND(GB22&lt;120),AND(GB23&lt;120),AND(GB24&lt;120),AND(GB25&lt;120),AND(GB26&lt;120),AND(GB27&lt;120),AND(GB28&lt;120)),"",SUM(IF('Eval-Après action écologique'!$A$761=FE22,'Eval-Après action écologique'!$M$761,0),IF('Eval-Après action écologique'!$A$762=FE22,'Eval-Après action écologique'!$M$762,0),IF('Eval-Après action écologique'!$A$763=FE22,'Eval-Après action écologique'!$M$763,0),IF('Eval-Après action écologique'!$A$764=FE22,'Eval-Après action écologique'!$M$764,0),IF('Eval-Après action écologique'!$A$765=FE22,'Eval-Après action écologique'!$M$765,0),IF('Eval-Après action écologique'!$A$766=FE22,'Eval-Après action écologique'!$M$766,0),IF('Eval-Après action écologique'!$A$767=FE22,'Eval-Après action écologique'!$M$767,0),IF('Eval-Après action écologique'!$A$768=FE22,'Eval-Après action écologique'!$M$768,0),IF('Eval-Après action écologique'!$A$769=FE22,'Eval-Après action écologique'!$M$769,0),IF('Eval-Après action écologique'!$A$770=FE22,'Eval-Après action écologique'!$M$770,0),IF('Eval-Après action écologique'!$A$771=FE22,'Eval-Après action écologique'!$M$771,0),IF('Eval-Après action écologique'!$A$772=FE22,'Eval-Après action écologique'!$M$772,0),IF('Eval-Après action écologique'!$A$773=FE22,'Eval-Après action écologique'!$M$773,0),IF('Eval-Après action écologique'!$A$774=FE22,'Eval-Après action écologique'!$M$774,0),IF('Eval-Après action écologique'!$A$775=FE22,'Eval-Après action écologique'!$M$775,0), IF('Eval-Après action écologique'!$A$776=FE22,'Eval-Après action écologique'!$M$776,0), IF('Eval-Après action écologique'!$A$777=FE22,'Eval-Après action écologique'!$M$777,0), IF('Eval-Après action écologique'!$A$778=FE22,'Eval-Après action écologique'!$M$778,0), IF('Eval-Après action écologique'!$A$779=FE22,'Eval-Après action écologique'!$M$779,0), IF('Eval-Après action écologique'!$A$780=FE22,'Eval-Après action écologique'!$M$780,0))/COUNTIF('Eval-Après action écologique'!$A$761:$A$780,FE22)),"")</f>
        <v/>
      </c>
      <c r="FO22" s="211" t="str">
        <f>IF(COUNTIF('Eval-Après action écologique'!$A$761:$A$780,FE22)&gt;0,SUM(IF('Eval-Après action écologique'!$A$761=FE22,LEN(SUBSTITUTE((SUBSTITUTE(GD9,"TM","")),"TS",""))*10/2,0),IF('Eval-Après action écologique'!$A$762=FE22,LEN(SUBSTITUTE((SUBSTITUTE(GD10,"TM","")),"TS",""))*10/2,0),IF('Eval-Après action écologique'!$A$763=FE22,LEN(SUBSTITUTE((SUBSTITUTE(GD11,"TM","")),"TS",""))*10/2,0),IF('Eval-Après action écologique'!$A$764=FE22,LEN(SUBSTITUTE((SUBSTITUTE(GD12,"TM","")),"TS",""))*10/2,0),IF('Eval-Après action écologique'!$A$765=FE22,LEN(SUBSTITUTE((SUBSTITUTE(GD13,"TM","")),"TS",""))*10/2,0),IF('Eval-Après action écologique'!$A$766=FE22,LEN(SUBSTITUTE((SUBSTITUTE(GD14,"TM","")),"TS",""))*10/2,0),IF('Eval-Après action écologique'!$A$767=FE22,LEN(SUBSTITUTE((SUBSTITUTE(GD15,"TM","")),"TS",""))*10/2,0),IF('Eval-Après action écologique'!$A$768=FE22,LEN(SUBSTITUTE((SUBSTITUTE(GD16,"TM","")),"TS",""))*10/2,0),IF('Eval-Après action écologique'!$A$769=FE22,LEN(SUBSTITUTE((SUBSTITUTE(GD17,"TM","")),"TS",""))*10/2,0),IF('Eval-Après action écologique'!$A$770=FE22,LEN(SUBSTITUTE((SUBSTITUTE(GD18,"TM","")),"TS",""))*10/2,0),IF('Eval-Après action écologique'!$A$771=FE22,LEN(SUBSTITUTE((SUBSTITUTE(GD19,"TM","")),"TS",""))*10/2,0),IF('Eval-Après action écologique'!$A$772=FE22,LEN(SUBSTITUTE((SUBSTITUTE(GD20,"TM","")),"TS",""))*10/2,0),IF('Eval-Après action écologique'!$A$773=FE22,LEN(SUBSTITUTE((SUBSTITUTE(GD21,"TM","")),"TS",""))*10/2,0),IF('Eval-Après action écologique'!$A$774=FE22,LEN(SUBSTITUTE((SUBSTITUTE(GD22,"TM","")),"TS",""))*10/2,0),IF('Eval-Après action écologique'!$A$775=FE22,LEN(SUBSTITUTE((SUBSTITUTE(GD23,"TM","")),"TS",""))*10/2,0),IF('Eval-Après action écologique'!$A$776=FE22,LEN(SUBSTITUTE((SUBSTITUTE(GD24,"TM","")),"TS",""))*10/2,0),IF('Eval-Après action écologique'!$A$777=FE22,LEN(SUBSTITUTE((SUBSTITUTE(GD25,"TM","")),"TS",""))*10/2,0),IF('Eval-Après action écologique'!$A$778=FE22,LEN(SUBSTITUTE((SUBSTITUTE(GD26,"TM","")),"TS",""))*10/2,0),IF('Eval-Après action écologique'!$A$779=FE22,LEN(SUBSTITUTE((SUBSTITUTE(GD27,"TM","")),"TS",""))*10/2,0),IF('Eval-Après action écologique'!$A$780=FE22,LEN(SUBSTITUTE((SUBSTITUTE(GD28,"TM","")),"TS",""))*10/2,0))/COUNTIF('Eval-Après action écologique'!$A$761:$A$780,FE22),"")</f>
        <v/>
      </c>
      <c r="FP22" s="211" t="str">
        <f>IF(COUNTIF('Eval-Après action écologique'!$A$761:$A$780,FE22)&gt;0,SUM(IF('Eval-Après action écologique'!$A$761=FE22,LEN(SUBSTITUTE((SUBSTITUTE(GD9,"TF","")),"TS",""))*10/2,0),IF('Eval-Après action écologique'!$A$762=FE22,LEN(SUBSTITUTE((SUBSTITUTE(GD10,"TF","")),"TS",""))*10/2,0),IF('Eval-Après action écologique'!$A$763=FE22,LEN(SUBSTITUTE((SUBSTITUTE(GD11,"TF","")),"TS",""))*10/2,0),IF('Eval-Après action écologique'!$A$764=FE22,LEN(SUBSTITUTE((SUBSTITUTE(GD12,"TF","")),"TS",""))*10/2,0),IF('Eval-Après action écologique'!$A$765=FE22,LEN(SUBSTITUTE((SUBSTITUTE(GD13,"TF","")),"TS",""))*10/2,0),IF('Eval-Après action écologique'!$A$766=FE22,LEN(SUBSTITUTE((SUBSTITUTE(GD14,"TF","")),"TS",""))*10/2,0),IF('Eval-Après action écologique'!$A$767=FE22,LEN(SUBSTITUTE((SUBSTITUTE(GD15,"TF","")),"TS",""))*10/2,0),IF('Eval-Après action écologique'!$A$768=FE22,LEN(SUBSTITUTE((SUBSTITUTE(GD16,"TF","")),"TS",""))*10/2,0),IF('Eval-Après action écologique'!$A$769=FE22,LEN(SUBSTITUTE((SUBSTITUTE(GD17,"TF","")),"TS",""))*10/2,0),IF('Eval-Après action écologique'!$A$770=FE22,LEN(SUBSTITUTE((SUBSTITUTE(GD18,"TF","")),"TS",""))*10/2,0),IF('Eval-Après action écologique'!$A$771=FE22,LEN(SUBSTITUTE((SUBSTITUTE(GD19,"TF","")),"TS",""))*10/2,0),IF('Eval-Après action écologique'!$A$772=FE22,LEN(SUBSTITUTE((SUBSTITUTE(GD20,"TF","")),"TS",""))*10/2,0),IF('Eval-Après action écologique'!$A$773=FE22,LEN(SUBSTITUTE((SUBSTITUTE(GD21,"TF","")),"TS",""))*10/2,0),IF('Eval-Après action écologique'!$A$774=FE22,LEN(SUBSTITUTE((SUBSTITUTE(GD22,"TF","")),"TS",""))*10/2,0),IF('Eval-Après action écologique'!$A$775=FE22,LEN(SUBSTITUTE((SUBSTITUTE(GD23,"TF","")),"TS",""))*10/2,0),IF('Eval-Après action écologique'!$A$776=FE22,LEN(SUBSTITUTE((SUBSTITUTE(GD24,"TF","")),"TS",""))*10/2,0),IF('Eval-Après action écologique'!$A$777=FE22,LEN(SUBSTITUTE((SUBSTITUTE(GD25,"TF","")),"TS",""))*10/2,0),IF('Eval-Après action écologique'!$A$778=FE22,LEN(SUBSTITUTE((SUBSTITUTE(GD26,"TF","")),"TS",""))*10/2,0),IF('Eval-Après action écologique'!$A$779=FE22,LEN(SUBSTITUTE((SUBSTITUTE(GD27,"TF","")),"TS",""))*10/2,0),IF('Eval-Après action écologique'!$A$780=FE22,LEN(SUBSTITUTE((SUBSTITUTE(GD28,"TF","")),"TS",""))*10/2,0))/COUNTIF('Eval-Après action écologique'!$A$761:$A$780,FE22),"")</f>
        <v/>
      </c>
      <c r="FQ22" s="211" t="str">
        <f>IF(COUNTIF('Eval-Après action écologique'!$A$761:$A$780,FE22)&gt;0,SUM(IF('Eval-Après action écologique'!$A$761=FE22,LEN(SUBSTITUTE((SUBSTITUTE(GD9,"TF","")),"TM",""))*10/2,0),IF('Eval-Après action écologique'!$A$762=FE22,LEN(SUBSTITUTE((SUBSTITUTE(GD10,"TF","")),"TM",""))*10/2,0),IF('Eval-Après action écologique'!$A$763=FE22,LEN(SUBSTITUTE((SUBSTITUTE(GD11,"TF","")),"TM",""))*10/2,0),IF('Eval-Après action écologique'!$A$764=FE22,LEN(SUBSTITUTE((SUBSTITUTE(GD12,"TF","")),"TM",""))*10/2,0),IF('Eval-Après action écologique'!$A$765=FE22,LEN(SUBSTITUTE((SUBSTITUTE(GD13,"TF","")),"TM",""))*10/2,0),IF('Eval-Après action écologique'!$A$766=FE22,LEN(SUBSTITUTE((SUBSTITUTE(GD14,"TF","")),"TM",""))*10/2,0),IF('Eval-Après action écologique'!$A$767=FE22,LEN(SUBSTITUTE((SUBSTITUTE(GD15,"TF","")),"TM",""))*10/2,0),IF('Eval-Après action écologique'!$A$768=FE22,LEN(SUBSTITUTE((SUBSTITUTE(GD16,"TF","")),"TM",""))*10/2,0),IF('Eval-Après action écologique'!$A$769=FE22,LEN(SUBSTITUTE((SUBSTITUTE(GD17,"TF","")),"TM",""))*10/2,0),IF('Eval-Après action écologique'!$A$770=FE22,LEN(SUBSTITUTE((SUBSTITUTE(GD18,"TF","")),"TM",""))*10/2,0),IF('Eval-Après action écologique'!$A$771=FE22,LEN(SUBSTITUTE((SUBSTITUTE(GD19,"TF","")),"TM",""))*10/2,0),IF('Eval-Après action écologique'!$A$772=FE22,LEN(SUBSTITUTE((SUBSTITUTE(GD20,"TF","")),"TM",""))*10/2,0),IF('Eval-Après action écologique'!$A$773=FE22,LEN(SUBSTITUTE((SUBSTITUTE(GD21,"TF","")),"TM",""))*10/2,0),IF('Eval-Après action écologique'!$A$774=FE22,LEN(SUBSTITUTE((SUBSTITUTE(GD22,"TF","")),"TM",""))*10/2,0),IF('Eval-Après action écologique'!$A$775=FE22,LEN(SUBSTITUTE((SUBSTITUTE(GD23,"TF","")),"TM",""))*10/2,0),IF('Eval-Après action écologique'!$A$776=FE22,LEN(SUBSTITUTE((SUBSTITUTE(GD24,"TF","")),"TM",""))*10/2,0),IF('Eval-Après action écologique'!$A$777=FE22,LEN(SUBSTITUTE((SUBSTITUTE(GD25,"TF","")),"TM",""))*10/2,0),IF('Eval-Après action écologique'!$A$778=FE22,LEN(SUBSTITUTE((SUBSTITUTE(GD26,"TF","")),"TM",""))*10/2,0),IF('Eval-Après action écologique'!$A$779=FE22,LEN(SUBSTITUTE((SUBSTITUTE(GD27,"TF","")),"TM",""))*10/2,0),IF('Eval-Après action écologique'!$A$780=FE22,LEN(SUBSTITUTE((SUBSTITUTE(GD28,"TF","")),"TM",""))*10/2,0))/COUNTIF('Eval-Après action écologique'!$A$761:$A$780,FE22),"")</f>
        <v/>
      </c>
      <c r="FR22" s="211" t="str">
        <f>IF(COUNTIF('Eval-Après action écologique'!$A$761:$A$780,FE22)&gt;0,SUM(IF('Eval-Après action écologique'!$A$761=FE22,LEN(SUBSTITUTE((SUBSTITUTE(GE9,"TM","")),"TS",""))*10/2,0),IF('Eval-Après action écologique'!$A$762=FE22,LEN(SUBSTITUTE((SUBSTITUTE(GE10,"TM","")),"TS",""))*10/2,0),IF('Eval-Après action écologique'!$A$763=FE22,LEN(SUBSTITUTE((SUBSTITUTE(GE11,"TM","")),"TS",""))*10/2,0),IF('Eval-Après action écologique'!$A$764=FE22,LEN(SUBSTITUTE((SUBSTITUTE(GE12,"TM","")),"TS",""))*10/2,0),IF('Eval-Après action écologique'!$A$765=FE22,LEN(SUBSTITUTE((SUBSTITUTE(GE13,"TM","")),"TS",""))*10/2,0),IF('Eval-Après action écologique'!$A$766=FE22,LEN(SUBSTITUTE((SUBSTITUTE(GE14,"TM","")),"TS",""))*10/2,0),IF('Eval-Après action écologique'!$A$767=FE22,LEN(SUBSTITUTE((SUBSTITUTE(GE15,"TM","")),"TS",""))*10/2,0),IF('Eval-Après action écologique'!$A$768=FE22,LEN(SUBSTITUTE((SUBSTITUTE(GE16,"TM","")),"TS",""))*10/2,0),IF('Eval-Après action écologique'!$A$769=FE22,LEN(SUBSTITUTE((SUBSTITUTE(GE17,"TM","")),"TS",""))*10/2,0),IF('Eval-Après action écologique'!$A$770=FE22,LEN(SUBSTITUTE((SUBSTITUTE(GE18,"TM","")),"TS",""))*10/2,0),IF('Eval-Après action écologique'!$A$771=FE22,LEN(SUBSTITUTE((SUBSTITUTE(GE19,"TM","")),"TS",""))*10/2,0),IF('Eval-Après action écologique'!$A$772=FE22,LEN(SUBSTITUTE((SUBSTITUTE(GE20,"TM","")),"TS",""))*10/2,0),IF('Eval-Après action écologique'!$A$773=FE22,LEN(SUBSTITUTE((SUBSTITUTE(GE21,"TM","")),"TS",""))*10/2,0),IF('Eval-Après action écologique'!$A$774=FE22,LEN(SUBSTITUTE((SUBSTITUTE(GE22,"TM","")),"TS",""))*10/2,0),IF('Eval-Après action écologique'!$A$775=FE22,LEN(SUBSTITUTE((SUBSTITUTE(GE23,"TM","")),"TS",""))*10/2,0),IF('Eval-Après action écologique'!$A$776=FE22,LEN(SUBSTITUTE((SUBSTITUTE(GE24,"TM","")),"TS",""))*10/2,0),IF('Eval-Après action écologique'!$A$777=FE22,LEN(SUBSTITUTE((SUBSTITUTE(GE25,"TM","")),"TS",""))*10/2,0),IF('Eval-Après action écologique'!$A$778=FE22,LEN(SUBSTITUTE((SUBSTITUTE(GE26,"TM","")),"TS",""))*10/2,0),IF('Eval-Après action écologique'!$A$779=FE22,LEN(SUBSTITUTE((SUBSTITUTE(GE27,"TM","")),"TS",""))*10/2,0),IF('Eval-Après action écologique'!$A$780=FE22,LEN(SUBSTITUTE((SUBSTITUTE(GE28,"TM","")),"TS",""))*10/2,0))/COUNTIF('Eval-Après action écologique'!$A$761:$A$780,FE22),"")</f>
        <v/>
      </c>
      <c r="FS22" s="211" t="str">
        <f>IF(COUNTIF('Eval-Après action écologique'!$A$761:$A$780,FE22)&gt;0,SUM(IF('Eval-Après action écologique'!$A$761=FE22,LEN(SUBSTITUTE((SUBSTITUTE(GE9,"TF","")),"TS",""))*10/2,0),IF('Eval-Après action écologique'!$A$762=FE22,LEN(SUBSTITUTE((SUBSTITUTE(GE10,"TF","")),"TS",""))*10/2,0),IF('Eval-Après action écologique'!$A$763=FE22,LEN(SUBSTITUTE((SUBSTITUTE(GE11,"TF","")),"TS",""))*10/2,0),IF('Eval-Après action écologique'!$A$764=FE22,LEN(SUBSTITUTE((SUBSTITUTE(GE12,"TF","")),"TS",""))*10/2,0),IF('Eval-Après action écologique'!$A$765=FE22,LEN(SUBSTITUTE((SUBSTITUTE(GE13,"TF","")),"TS",""))*10/2,0),IF('Eval-Après action écologique'!$A$766=FE22,LEN(SUBSTITUTE((SUBSTITUTE(GE14,"TF","")),"TS",""))*10/2,0),IF('Eval-Après action écologique'!$A$767=FE22,LEN(SUBSTITUTE((SUBSTITUTE(GE15,"TF","")),"TS",""))*10/2,0),IF('Eval-Après action écologique'!$A$768=FE22,LEN(SUBSTITUTE((SUBSTITUTE(GE16,"TF","")),"TS",""))*10/2,0),IF('Eval-Après action écologique'!$A$769=FE22,LEN(SUBSTITUTE((SUBSTITUTE(GE17,"TF","")),"TS",""))*10/2,0),IF('Eval-Après action écologique'!$A$770=FE22,LEN(SUBSTITUTE((SUBSTITUTE(GE18,"TF","")),"TS",""))*10/2,0),IF('Eval-Après action écologique'!$A$771=FE22,LEN(SUBSTITUTE((SUBSTITUTE(GE19,"TF","")),"TS",""))*10/2,0),IF('Eval-Après action écologique'!$A$772=FE22,LEN(SUBSTITUTE((SUBSTITUTE(GE20,"TF","")),"TS",""))*10/2,0),IF('Eval-Après action écologique'!$A$773=FE22,LEN(SUBSTITUTE((SUBSTITUTE(GE21,"TF","")),"TS",""))*10/2,0),IF('Eval-Après action écologique'!$A$774=FE22,LEN(SUBSTITUTE((SUBSTITUTE(GE22,"TF","")),"TS",""))*10/2,0),IF('Eval-Après action écologique'!$A$775=FE22,LEN(SUBSTITUTE((SUBSTITUTE(GE23,"TF","")),"TS",""))*10/2,0),IF('Eval-Après action écologique'!$A$776=FE22,LEN(SUBSTITUTE((SUBSTITUTE(GE24,"TF","")),"TS",""))*10/2,0),IF('Eval-Après action écologique'!$A$777=FE22,LEN(SUBSTITUTE((SUBSTITUTE(GE25,"TF","")),"TS",""))*10/2,0),IF('Eval-Après action écologique'!$A$778=FE22,LEN(SUBSTITUTE((SUBSTITUTE(GE26,"TF","")),"TS",""))*10/2,0),IF('Eval-Après action écologique'!$A$779=FE22,LEN(SUBSTITUTE((SUBSTITUTE(GE27,"TF","")),"TS",""))*10/2,0),IF('Eval-Après action écologique'!$A$780=FE22,LEN(SUBSTITUTE((SUBSTITUTE(GE28,"TF","")),"TS",""))*10/2,0))/COUNTIF('Eval-Après action écologique'!$A$761:$A$780,FE22),"")</f>
        <v/>
      </c>
      <c r="FT22" s="211" t="str">
        <f>IF(COUNTIF('Eval-Après action écologique'!$A$761:$A$780,FE22)&gt;0,SUM(IF('Eval-Après action écologique'!$A$761=FE22,LEN(SUBSTITUTE((SUBSTITUTE(GE9,"TF","")),"TM",""))*10/2,0),IF('Eval-Après action écologique'!$A$762=FE22,LEN(SUBSTITUTE((SUBSTITUTE(GE10,"TF","")),"TM",""))*10/2,0),IF('Eval-Après action écologique'!$A$763=FE22,LEN(SUBSTITUTE((SUBSTITUTE(GE11,"TF","")),"TM",""))*10/2,0),IF('Eval-Après action écologique'!$A$764=FE22,LEN(SUBSTITUTE((SUBSTITUTE(GE12,"TF","")),"TM",""))*10/2,0),IF('Eval-Après action écologique'!$A$765=FE22,LEN(SUBSTITUTE((SUBSTITUTE(GE13,"TF","")),"TM",""))*10/2,0),IF('Eval-Après action écologique'!$A$766=FE22,LEN(SUBSTITUTE((SUBSTITUTE(GE14,"TF","")),"TM",""))*10/2,0),IF('Eval-Après action écologique'!$A$767=FE22,LEN(SUBSTITUTE((SUBSTITUTE(GE15,"TF","")),"TM",""))*10/2,0),IF('Eval-Après action écologique'!$A$768=FE22,LEN(SUBSTITUTE((SUBSTITUTE(GE16,"TF","")),"TM",""))*10/2,0),IF('Eval-Après action écologique'!$A$769=FE22,LEN(SUBSTITUTE((SUBSTITUTE(GE17,"TF","")),"TM",""))*10/2,0),IF('Eval-Après action écologique'!$A$770=FE22,LEN(SUBSTITUTE((SUBSTITUTE(GE18,"TF","")),"TM",""))*10/2,0),IF('Eval-Après action écologique'!$A$771=FE22,LEN(SUBSTITUTE((SUBSTITUTE(GE19,"TF","")),"TM",""))*10/2,0),IF('Eval-Après action écologique'!$A$772=FE22,LEN(SUBSTITUTE((SUBSTITUTE(GE20,"TF","")),"TM",""))*10/2,0),IF('Eval-Après action écologique'!$A$773=FE22,LEN(SUBSTITUTE((SUBSTITUTE(GE21,"TF","")),"TM",""))*10/2,0),IF('Eval-Après action écologique'!$A$774=FE22,LEN(SUBSTITUTE((SUBSTITUTE(GE22,"TF","")),"TM",""))*10/2,0),IF('Eval-Après action écologique'!$A$775=FE22,LEN(SUBSTITUTE((SUBSTITUTE(GE23,"TF","")),"TM",""))*10/2,0),IF('Eval-Après action écologique'!$A$776=FE22,LEN(SUBSTITUTE((SUBSTITUTE(GE24,"TF","")),"TM",""))*10/2,0),IF('Eval-Après action écologique'!$A$777=FE22,LEN(SUBSTITUTE((SUBSTITUTE(GE25,"TF","")),"TM",""))*10/2,0),IF('Eval-Après action écologique'!$A$778=FE22,LEN(SUBSTITUTE((SUBSTITUTE(GE26,"TF","")),"TM",""))*10/2,0),IF('Eval-Après action écologique'!$A$779=FE22,LEN(SUBSTITUTE((SUBSTITUTE(GE27,"TF","")),"TM",""))*10/2,0),IF('Eval-Après action écologique'!$A$780=FE22,LEN(SUBSTITUTE((SUBSTITUTE(GE28,"TF","")),"TM",""))*10/2,0))/COUNTIF('Eval-Après action écologique'!$A$761:$A$780,FE22),"")</f>
        <v/>
      </c>
      <c r="FU22" s="211" t="str">
        <f>IF(COUNTIF('Eval-Après action écologique'!$A$761:$A$780,FE22)&gt;0,IF(OR(AND('Eval-Après action écologique'!$A$761=FE22,GB9&lt;30),AND('Eval-Après action écologique'!$A$762=FE22,GB10&lt;30),AND('Eval-Après action écologique'!$A$763=FE22,GB11&lt;30),AND('Eval-Après action écologique'!$A$764=FE22,GB12&lt;30),AND('Eval-Après action écologique'!$A$765=FE22,GB13&lt;30),AND('Eval-Après action écologique'!$A$766=FE22,GB14&lt;30),AND('Eval-Après action écologique'!$A$767=FE22,GB15&lt;30),AND('Eval-Après action écologique'!$A$768=FE22,GB16&lt;30),AND('Eval-Après action écologique'!$A$769=FE22,GB17&lt;30),AND('Eval-Après action écologique'!$A$770=FE22,GB18&lt;30),AND('Eval-Après action écologique'!$A$771=FE22,GB19&lt;30),AND('Eval-Après action écologique'!$A$772=FE22,GB20&lt;30),AND('Eval-Après action écologique'!$A$773=FE22,GB21&lt;30),AND('Eval-Après action écologique'!$A$774=FE22,GB22&lt;30),AND('Eval-Après action écologique'!$A$775=FE22,GB23&lt;30),AND('Eval-Après action écologique'!$A$776=FE22,GB24&lt;30),AND('Eval-Après action écologique'!$A$777=FE22,GB25&lt;30),AND('Eval-Après action écologique'!$A$778=FE22,GB26&lt;30),AND('Eval-Après action écologique'!$A$779=FE22,GB27&lt;30),AND('Eval-Après action écologique'!$A$780=FE22,GB28&lt;30)),"",SUM(0.1*(SUMPRODUCT(('Eval-Après action écologique'!$A$761:$A$780=FE22)*('Eval-Après action écologique'!$N$761:$P$780="A"))+ SUMPRODUCT(('Eval-Après action écologique'!$A$761:$A$780=FE22)*('Eval-Après action écologique'!$N$761:$P$780="AL"))),0.7*(SUMPRODUCT(('Eval-Après action écologique'!$A$761:$A$780=FE22)*('Eval-Après action écologique'!$N$761:$P$780="TF"))+SUMPRODUCT(('Eval-Après action écologique'!$A$761:$A$780=FE22)*('Eval-Après action écologique'!$N$761:$P$780="TM"))+SUMPRODUCT(('Eval-Après action écologique'!$A$761:$A$780=FE22)*('Eval-Après action écologique'!$N$761:$P$780="TS"))),0.4*(SUMPRODUCT(('Eval-Après action écologique'!$A$761:$A$780=FE22)*('Eval-Après action écologique'!$N$761:$P$780="LA"))+SUMPRODUCT(('Eval-Après action écologique'!$A$761:$A$780=FE22)*('Eval-Après action écologique'!$N$761:$P$780="L"))+SUMPRODUCT(('Eval-Après action écologique'!$A$761:$A$780=FE22)*('Eval-Après action écologique'!$N$761:$P$780="LS"))),1*(SUMPRODUCT(('Eval-Après action écologique'!$A$761:$A$780=FE22)*('Eval-Après action écologique'!$N$761:$P$780="SL"))+ SUMPRODUCT(('Eval-Après action écologique'!$A$761:$A$780=FE22)*('Eval-Après action écologique'!$N$761:$P$780="S"))))/(3*COUNTIF('Eval-Après action écologique'!$A$761:$A$780,FE22))),"")</f>
        <v/>
      </c>
      <c r="FV22" s="211" t="str">
        <f>IF(COUNTIF('Eval-Après action écologique'!$A$761:$A$780,FE22)&gt;0,IF(OR(AND('Eval-Après action écologique'!$A$761=FE22,GB9&lt;120),AND('Eval-Après action écologique'!$A$762=FE22,GB10&lt;120),AND('Eval-Après action écologique'!$A$763=FE22,GB11&lt;120),AND('Eval-Après action écologique'!$A$764=FE22,GB12&lt;120),AND('Eval-Après action écologique'!$A$765=FE22,GB13&lt;120),AND('Eval-Après action écologique'!$A$766=FE22,GB14&lt;120),AND('Eval-Après action écologique'!$A$767=FE22,GB15&lt;120),AND('Eval-Après action écologique'!$A$768=FE22,GB16&lt;120),AND('Eval-Après action écologique'!$A$769=FE22,GB17&lt;120),AND('Eval-Après action écologique'!$A$770=FE22,GB18&lt;120),AND('Eval-Après action écologique'!$A$771=FE22,GB19&lt;120),AND('Eval-Après action écologique'!$A$772=FE22,GB20&lt;120),AND('Eval-Après action écologique'!$A$773=FE22,GB21&lt;120),AND('Eval-Après action écologique'!$A$774=FE22,GB22&lt;120),AND('Eval-Après action écologique'!$A$775=FE22,GB23&lt;120),AND('Eval-Après action écologique'!$A$776=FE22,GB24&lt;120),AND('Eval-Après action écologique'!$A$777=FE22,GB25&lt;120),AND('Eval-Après action écologique'!$A$778=FE22,GB26&lt;120),AND('Eval-Après action écologique'!$A$779=FE22,GB27&lt;120),AND('Eval-Après action écologique'!$A$780=FE22,GB28&lt;120)),"",SUM(0.1*(SUMPRODUCT(('Eval-Après action écologique'!$A$761:$A$780=FE22)*('Eval-Après action écologique'!$Q$761:$Y$780="A"))+ SUMPRODUCT(('Eval-Après action écologique'!$A$761:$A$780=FE22)*('Eval-Après action écologique'!$Q$761:$Y$780="AL"))),0.7*(SUMPRODUCT(('Eval-Après action écologique'!$A$761:$A$780=FE22)*('Eval-Après action écologique'!$Q$761:$Y$780="TF"))+SUMPRODUCT(('Eval-Après action écologique'!$A$761:$A$780=FE22)*('Eval-Après action écologique'!$Q$761:$Y$780="TM"))+SUMPRODUCT(('Eval-Après action écologique'!$A$761:$A$780=FE22)*('Eval-Après action écologique'!$Q$761:$Y$780="TS"))),0.4*(SUMPRODUCT(('Eval-Après action écologique'!$A$761:$A$780=FE22)*('Eval-Après action écologique'!$Q$761:$Y$780="LA"))+SUMPRODUCT(('Eval-Après action écologique'!$A$761:$A$780=FE22)*('Eval-Après action écologique'!$Q$761:$Y$780="L"))+SUMPRODUCT(('Eval-Après action écologique'!$A$761:$A$780=FE22)*('Eval-Après action écologique'!$Q$761:$Y$780="LS"))),1*(SUMPRODUCT(('Eval-Après action écologique'!$A$761:$A$780=FE22)*('Eval-Après action écologique'!$Q$761:$Y$780="SL"))+ SUMPRODUCT(('Eval-Après action écologique'!$A$761:$A$780=FE22)*('Eval-Après action écologique'!$Q$761:$Y$780="S"))))/(9*COUNTIF('Eval-Après action écologique'!$A$761:$A$780,FE22))),"")</f>
        <v/>
      </c>
      <c r="FW22" s="211" t="str">
        <f>IF(COUNTIF('Eval-Après action écologique'!$A$761:$A$780,FE22)&gt;0,IF(OR(AND('Eval-Après action écologique'!$A$761=FE22,OR(COUNTIF('Eval-Après action écologique'!$N$761:$P$761,"*T*")&gt;0,GB9&lt;30)),AND('Eval-Après action écologique'!$A$762=FE22,OR(COUNTIF('Eval-Après action écologique'!$N$762:$P$762,"*T*")&gt;0,GB10&lt;30)),AND('Eval-Après action écologique'!$A$763=FE22,OR(COUNTIF('Eval-Après action écologique'!$N$763:$P$763,"*T*")&gt;0,GB11&lt;30)),AND('Eval-Après action écologique'!$A$764=FE22,OR(COUNTIF('Eval-Après action écologique'!$N$764:$P$764,"*T*")&gt;0,GB12&lt;30)),AND('Eval-Après action écologique'!$A$765=FE22,OR(COUNTIF('Eval-Après action écologique'!$N$765:$P$765,"*T*")&gt;0,GB13&lt;30)),AND('Eval-Après action écologique'!$A$766=FE22,OR(COUNTIF('Eval-Après action écologique'!$N$766:$P$766,"*T*")&gt;0,GB14&lt;30)),AND('Eval-Après action écologique'!$A$767=FE22,OR(COUNTIF('Eval-Après action écologique'!$N$767:$P$767,"*T*")&gt;0,GB15&lt;30)),AND('Eval-Après action écologique'!$A$768=FE22,OR(COUNTIF('Eval-Après action écologique'!$N$768:$P$768,"*T*")&gt;0,GB16&lt;30)),AND('Eval-Après action écologique'!$A$769=FE22,OR(COUNTIF('Eval-Après action écologique'!$N$769:$P$769,"*T*")&gt;0,GB17&lt;30)),AND('Eval-Après action écologique'!$A$770=FE22,OR(COUNTIF('Eval-Après action écologique'!$N$770:$P$770,"*T*")&gt;0,GB18&lt;30)),AND('Eval-Après action écologique'!$A$771=FE22,OR(COUNTIF('Eval-Après action écologique'!$N$771:$P$771,"*T*")&gt;0,GB19&lt;30)),AND('Eval-Après action écologique'!$A$772=FE22,OR(COUNTIF('Eval-Après action écologique'!$N$772:$P$772,"*T*")&gt;0,GB20&lt;30)),AND('Eval-Après action écologique'!$A$773=FE22,OR(COUNTIF('Eval-Après action écologique'!$N$773:$P$773,"*T*")&gt;0,GB21&lt;30)),AND('Eval-Après action écologique'!$A$774=FE22,OR(COUNTIF('Eval-Après action écologique'!$N$774:$P$774,"*T*")&gt;0,GB22&lt;30)),AND('Eval-Après action écologique'!$A$775=FE22,OR(COUNTIF('Eval-Après action écologique'!$N$775:$P$775,"*T*")&gt;0,GB23&lt;30)),AND('Eval-Après action écologique'!$A$776=FE22,OR(COUNTIF('Eval-Après action écologique'!$N$776:$P$776,"*T*")&gt;0,GB24&lt;30)),AND('Eval-Après action écologique'!$A$777=FE22,OR(COUNTIF('Eval-Après action écologique'!$N$777:$P$777,"*T*")&gt;0,GB25&lt;30)),AND('Eval-Après action écologique'!$A$778=FE22,OR(COUNTIF('Eval-Après action écologique'!$N$778:$P$778,"*T*")&gt;0,GB26&lt;30)),AND('Eval-Après action écologique'!$A$779=FE22,OR(COUNTIF('Eval-Après action écologique'!$N$779:$P$779,"*T*")&gt;0,GB27&lt;30)),AND('Eval-Après action écologique'!$A$780=FE22,OR(COUNTIF('Eval-Après action écologique'!$N$780:$P$780,"*T*")&gt;0,GB28&lt;30))),"",SUM(0.1*(SUMPRODUCT(('Eval-Après action écologique'!$A$761:$A$780=FE22)*('Eval-Après action écologique'!$N$761:$P$780="L"))),0.4*(SUMPRODUCT(('Eval-Après action écologique'!$A$761:$A$780=FE22)*('Eval-Après action écologique'!$N$761:$P$780="LA"))+SUMPRODUCT(('Eval-Après action écologique'!$A$761:$A$780=FE22)*('Eval-Après action écologique'!$N$761:$P$780="LS"))),0.7*(SUMPRODUCT(('Eval-Après action écologique'!$A$761:$A$780=FE22)*('Eval-Après action écologique'!$N$761:$P$780="AL"))+SUMPRODUCT(('Eval-Après action écologique'!$A$761:$A$780=FE22)*('Eval-Après action écologique'!$N$761:$P$780="SL"))),1*(SUMPRODUCT(('Eval-Après action écologique'!$A$761:$A$780=FE22)*('Eval-Après action écologique'!$N$761:$P$780="S"))+ SUMPRODUCT(('Eval-Après action écologique'!$A$761:$A$780=FE22)*('Eval-Après action écologique'!$N$761:$P$780="A"))))/(3*COUNTIF('Eval-Après action écologique'!$A$761:$A$780,FE22))),"")</f>
        <v/>
      </c>
      <c r="FX22" s="211" t="str">
        <f>IF(COUNTIF('Eval-Après action écologique'!$A$761:$A$780,FE22)&gt;0,IF(OR(AND('Eval-Après action écologique'!$A$761=FE22,OR(COUNTIF('Eval-Après action écologique'!$N$761:$P$761,"*T*")&gt;0,GB9&lt;30)),AND('Eval-Après action écologique'!$A$762=FE22,OR(COUNTIF('Eval-Après action écologique'!$N$762:$P$762,"*T*")&gt;0,GB10&lt;30)),AND('Eval-Après action écologique'!$A$763=FE22,OR(COUNTIF('Eval-Après action écologique'!$N$763:$P$763,"*T*")&gt;0,GB11&lt;30)),AND('Eval-Après action écologique'!$A$764=FE22,OR(COUNTIF('Eval-Après action écologique'!$N$764:$P$764,"*T*")&gt;0,GB12&lt;30)),AND('Eval-Après action écologique'!$A$765=FE22,OR(COUNTIF('Eval-Après action écologique'!$N$765:$P$765,"*T*")&gt;0,GB13&lt;30)),AND('Eval-Après action écologique'!$A$766=FE22,OR(COUNTIF('Eval-Après action écologique'!$N$766:$P$766,"*T*")&gt;0,GB14&lt;30)),AND('Eval-Après action écologique'!$A$767=FE22,OR(COUNTIF('Eval-Après action écologique'!$N$767:$P$767,"*T*")&gt;0,GB15&lt;30)),AND('Eval-Après action écologique'!$A$768=FE22,OR(COUNTIF('Eval-Après action écologique'!$N$768:$P$768,"*T*")&gt;0,GB16&lt;30)),AND('Eval-Après action écologique'!$A$769=FE22,OR(COUNTIF('Eval-Après action écologique'!$N$769:$P$769,"*T*")&gt;0,GB17&lt;30)),AND('Eval-Après action écologique'!$A$770=FE22,OR(COUNTIF('Eval-Après action écologique'!$N$770:$P$770,"*T*")&gt;0,GB18&lt;30)),AND('Eval-Après action écologique'!$A$771=FE22,OR(COUNTIF('Eval-Après action écologique'!$N$771:$P$771,"*T*")&gt;0,GB19&lt;30)),AND('Eval-Après action écologique'!$A$772=FE22,OR(COUNTIF('Eval-Après action écologique'!$N$772:$P$772,"*T*")&gt;0,GB20&lt;30)),AND('Eval-Après action écologique'!$A$773=FE22,OR(COUNTIF('Eval-Après action écologique'!$N$773:$P$773,"*T*")&gt;0,GB21&lt;30)),AND('Eval-Après action écologique'!$A$774=FE22,OR(COUNTIF('Eval-Après action écologique'!$N$774:$P$774,"*T*")&gt;0,GB22&lt;30)),AND('Eval-Après action écologique'!$A$775=FE22,OR(COUNTIF('Eval-Après action écologique'!$N$775:$P$775,"*T*")&gt;0,GB23&lt;30)),AND('Eval-Après action écologique'!$A$776=FE22,OR(COUNTIF('Eval-Après action écologique'!$N$776:$P$776,"*T*")&gt;0,GB24&lt;30)),AND('Eval-Après action écologique'!$A$777=FE22,OR(COUNTIF('Eval-Après action écologique'!$N$777:$P$777,"*T*")&gt;0,GB25&lt;30)),AND('Eval-Après action écologique'!$A$778=FE22,OR(COUNTIF('Eval-Après action écologique'!$N$778:$P$778,"*T*")&gt;0,GB26&lt;30)),AND('Eval-Après action écologique'!$A$779=FE22,OR(COUNTIF('Eval-Après action écologique'!$N$779:$P$779,"*T*")&gt;0,GB27&lt;30)),AND('Eval-Après action écologique'!$A$780=FE22,OR(COUNTIF('Eval-Après action écologique'!$N$780:$P$780,"*T*")&gt;0,GB28&lt;30))),"",SUM(1*(SUMPRODUCT(('Eval-Après action écologique'!$A$761:$A$780=FE22)*('Eval-Après action écologique'!$N$761:$P$780="A"))),0.85*(SUMPRODUCT(('Eval-Après action écologique'!$A$761:$A$780=FE22)*('Eval-Après action écologique'!$N$761:$P$780="AL"))),0.7*(SUMPRODUCT(('Eval-Après action écologique'!$A$761:$A$780=FE22)*('Eval-Après action écologique'!$N$761:$P$780="LA"))),0.55*(SUMPRODUCT(('Eval-Après action écologique'!$A$761:$A$780=FE22)*('Eval-Après action écologique'!$N$761:$P$780="L"))),0.4*(SUMPRODUCT(('Eval-Après action écologique'!$A$761:$A$780=FE22)*('Eval-Après action écologique'!$N$761:$P$780="LS"))),0.25*(SUMPRODUCT(('Eval-Après action écologique'!$A$761:$A$780=FE22)*('Eval-Après action écologique'!$N$761:$P$780="SL"))),0.1*(SUMPRODUCT(('Eval-Après action écologique'!$A$761:$A$780=FE22)*('Eval-Après action écologique'!$N$761:$P$780="S"))))/(3*COUNTIF('Eval-Après action écologique'!$A$761:$A$780,FE22))),"")</f>
        <v/>
      </c>
      <c r="FY22" s="214" t="str">
        <f>IF(COUNTIF('Eval-Après action écologique'!$A$761:$A$780,FE22)&gt;0,IF(OR(AND('Eval-Après action écologique'!$A$761=FE22,OR(COUNTIF('Eval-Après action écologique'!$Q$761:$Y$761,"*T*")&gt;0,GB9&lt;120)),AND('Eval-Après action écologique'!$A$762=FE22,OR(COUNTIF('Eval-Après action écologique'!$Q$762:$Y$762,"*T*")&gt;0,GB10&lt;120)),AND('Eval-Après action écologique'!$A$763=FE22,OR(COUNTIF('Eval-Après action écologique'!$Q$763:$Y$763,"*T*")&gt;0,GB11&lt;120)),AND('Eval-Après action écologique'!$A$764=FE22,OR(COUNTIF('Eval-Après action écologique'!$Q$764:$Y$764,"*T*")&gt;0,GB12&lt;120)),AND('Eval-Après action écologique'!$A$765=FE22,OR(COUNTIF('Eval-Après action écologique'!$Q$765:$Y$765,"*T*")&gt;0,GB13&lt;120)),AND('Eval-Après action écologique'!$A$766=FE22,OR(COUNTIF('Eval-Après action écologique'!$Q$766:$Y$766,"*T*")&gt;0,GB14&lt;120)),AND('Eval-Après action écologique'!$A$767=FE22,OR(COUNTIF('Eval-Après action écologique'!$Q$767:$Y$767,"*T*")&gt;0,GB15&lt;120)),AND('Eval-Après action écologique'!$A$768=FE22,OR(COUNTIF('Eval-Après action écologique'!$Q$768:$Y$768,"*T*")&gt;0,GB16&lt;120)),AND('Eval-Après action écologique'!$A$769=FE22,OR(COUNTIF('Eval-Après action écologique'!$Q$769:$Y$769,"*T*")&gt;0,GB17&lt;120)),AND('Eval-Après action écologique'!$A$770=FE22,OR(COUNTIF('Eval-Après action écologique'!$Q$770:$Y$770,"*T*")&gt;0,GB18&lt;120)),AND('Eval-Après action écologique'!$A$771=FE22,OR(COUNTIF('Eval-Après action écologique'!$Q$771:$Y$771,"*T*")&gt;0,GB19&lt;120)),AND('Eval-Après action écologique'!$A$772=FE22,OR(COUNTIF('Eval-Après action écologique'!$Q$772:$Y$772,"*T*")&gt;0,GB20&lt;120)),AND('Eval-Après action écologique'!$A$773=FE22,OR(COUNTIF('Eval-Après action écologique'!$Q$773:$Y$773,"*T*")&gt;0,GB21&lt;120)),AND('Eval-Après action écologique'!$A$774=FE22,OR(COUNTIF('Eval-Après action écologique'!$Q$774:$Y$774,"*T*")&gt;0,GB22&lt;120)),AND('Eval-Après action écologique'!$A$775=FE22,OR(COUNTIF('Eval-Après action écologique'!$Q$775:$Y$775,"*T*")&gt;0,GB23&lt;120)),AND('Eval-Après action écologique'!$A$776=FE22,OR(COUNTIF('Eval-Après action écologique'!$Q$776:$Y$776,"*T*")&gt;0,GB24&lt;120)),AND('Eval-Après action écologique'!$A$777=FE22,OR(COUNTIF('Eval-Après action écologique'!$Q$777:$Y$777,"*T*")&gt;0,GB25&lt;120)),AND('Eval-Après action écologique'!$A$778=FE22,OR(COUNTIF('Eval-Après action écologique'!$Q$778:$Y$778,"*T*")&gt;0,GB26&lt;120)),AND('Eval-Après action écologique'!$A$779=FE22,OR(COUNTIF('Eval-Après action écologique'!$Q$779:$Y$779,"*T*")&gt;0,GB27&lt;120)),AND('Eval-Après action écologique'!$A$780=FE22,OR(COUNTIF('Eval-Après action écologique'!$Q$780:$Y$780,"*T*")&gt;0,GB28&lt;120))),"",SUM(1*(SUMPRODUCT(('Eval-Après action écologique'!$A$761:$A$780=FE22)*('Eval-Après action écologique'!$Q$761:$Y$780="A"))),0.85*(SUMPRODUCT(('Eval-Après action écologique'!$A$761:$A$780=FE22)*('Eval-Après action écologique'!$Q$761:$Y$780="AL"))),0.7*(SUMPRODUCT(('Eval-Après action écologique'!$A$761:$A$780=FE22)*('Eval-Après action écologique'!$Q$761:$Y$780="LA"))),0.55*(SUMPRODUCT(('Eval-Après action écologique'!$A$761:$A$780=FE22)*('Eval-Après action écologique'!$Q$761:$Y$780="L"))),0.4*(SUMPRODUCT(('Eval-Après action écologique'!$A$761:$A$780=FE22)*('Eval-Après action écologique'!$Q$761:$Y$780="LS"))),0.25*(SUMPRODUCT(('Eval-Après action écologique'!$A$761:$A$780=FE22)*('Eval-Après action écologique'!$Q$761:$Y$780="SL"))),0.1*(SUMPRODUCT(('Eval-Après action écologique'!$A$761:$A$780=FE22)*('Eval-Après action écologique'!$Q$761:$Y$780="S"))))/(9*COUNTIF('Eval-Après action écologique'!$A$761:$A$780,FE22))),"")</f>
        <v/>
      </c>
      <c r="FZ22" s="215"/>
      <c r="GA22" s="216">
        <f>'Eval-Après action écologique'!$D$774</f>
        <v>14</v>
      </c>
      <c r="GB22" s="217" t="str">
        <f>IF(GC22="C",0,IF(IF(COUNTIF('Eval-Après action écologique'!$N$774:$Y$774,"=C")&gt;0,(COUNTA('Eval-Après action écologique'!$N$774:$Y$774)-1)*10,COUNTA('Eval-Après action écologique'!$N$774:$Y$774)*10)=0,"",IF(COUNTIF('Eval-Après action écologique'!$N$774:$Y$774,"=C")&gt;0,(COUNTA('Eval-Après action écologique'!$N$774:$Y$774)-1)*10,COUNTA('Eval-Après action écologique'!$N$774:$Y$774)*10)))</f>
        <v/>
      </c>
      <c r="GC22" s="217" t="str">
        <f>CONCATENATE('Eval-Après action écologique'!$N$774,'Eval-Après action écologique'!$O$774,'Eval-Après action écologique'!$P$774,'Eval-Après action écologique'!$Q$774,'Eval-Après action écologique'!$R$774,'Eval-Après action écologique'!$S$774,'Eval-Après action écologique'!$T$774,'Eval-Après action écologique'!$U$774,'Eval-Après action écologique'!$V$774,'Eval-Après action écologique'!$W$774,'Eval-Après action écologique'!$X$774,'Eval-Après action écologique'!$Y$774)</f>
        <v/>
      </c>
      <c r="GD22" s="217" t="str">
        <f t="shared" si="20"/>
        <v/>
      </c>
      <c r="GE22" s="217" t="str">
        <f t="shared" si="21"/>
        <v/>
      </c>
      <c r="GF22" s="217" t="str">
        <f>IF(COUNTIF('Eval-Après action écologique'!$N$774:$Y$774,"=C")&gt;0,"X","")</f>
        <v/>
      </c>
      <c r="GG22" s="217" t="str">
        <f t="shared" si="22"/>
        <v/>
      </c>
      <c r="GH22" s="218" t="str">
        <f t="shared" si="23"/>
        <v/>
      </c>
      <c r="GI22" s="197"/>
    </row>
    <row r="23" spans="1:191" ht="18" customHeight="1" x14ac:dyDescent="0.2">
      <c r="A23" s="210">
        <v>15</v>
      </c>
      <c r="B23" s="211" t="str">
        <f>IF(COUNTIF('Eval-Avant impact'!$A$761:$A$780,A23)&gt;0,SUM(IF('Eval-Avant impact'!$A$761=A23,'Eval-Avant impact'!$B$761,0),IF('Eval-Avant impact'!$A$762=A23, 'Eval-Avant impact'!$B$762,0),IF('Eval-Avant impact'!$A$763=A23, 'Eval-Avant impact'!$B$763,0),IF('Eval-Avant impact'!$A$764=A23, 'Eval-Avant impact'!$B$764,0),IF('Eval-Avant impact'!$A$765=A23, 'Eval-Avant impact'!$B$765,0),IF('Eval-Avant impact'!$A$766=A23, 'Eval-Avant impact'!$B$766,0),IF('Eval-Avant impact'!$A$767=A23, 'Eval-Avant impact'!$B$767,0),IF('Eval-Avant impact'!$A$768=A23, 'Eval-Avant impact'!$B$768,0),IF('Eval-Avant impact'!$A$769=A23, 'Eval-Avant impact'!$B$769,0),IF('Eval-Avant impact'!$A$770=A23, 'Eval-Avant impact'!$B$770,0),IF('Eval-Avant impact'!$A$771=A23, 'Eval-Avant impact'!$B$771,0),IF('Eval-Avant impact'!$A$772=A23, 'Eval-Avant impact'!$B$772,0),IF('Eval-Avant impact'!$A$773=A23, 'Eval-Avant impact'!$B$773,0),IF('Eval-Avant impact'!$A$774=A23, 'Eval-Avant impact'!$B$774,0),IF('Eval-Avant impact'!$A$775=A23, 'Eval-Avant impact'!$B$775,0),IF('Eval-Avant impact'!$A$776=A23, 'Eval-Avant impact'!$B$776,0),IF('Eval-Avant impact'!$A$777=A23, 'Eval-Avant impact'!$B$777,0),IF('Eval-Avant impact'!$A$778=A23, 'Eval-Avant impact'!$B$778,0),IF('Eval-Avant impact'!$A$779=A23, 'Eval-Avant impact'!$B$779,0),IF('Eval-Avant impact'!$A$780=A23, 'Eval-Avant impact'!$B$780,0))/COUNTIF('Eval-Avant impact'!$A$761:$A$780,A23),"")</f>
        <v/>
      </c>
      <c r="C23" s="212" t="str">
        <f>IF(COUNTIF('Eval-Avant impact'!$A$761:$A$780,A23)&gt;0,COUNTIF('Eval-Avant impact'!$A$761:$A$780,A23),"")</f>
        <v/>
      </c>
      <c r="D23" s="211" t="str">
        <f>IF(COUNTIF('Eval-Avant impact'!$A$761:$A$780,A23)&gt;0,IF(OR(AND('Eval-Avant impact'!$A$761=A23, 'Eval-Avant impact'!$G$761=""),AND('Eval-Avant impact'!$A$762=A23, 'Eval-Avant impact'!$G$762=""),AND('Eval-Avant impact'!$A$763=A23, 'Eval-Avant impact'!$G$763=""),AND('Eval-Avant impact'!$A$764=A23, 'Eval-Avant impact'!$G$764=""),AND('Eval-Avant impact'!$A$765=A23, 'Eval-Avant impact'!$G$765=""),AND('Eval-Avant impact'!$A$766=A23, 'Eval-Avant impact'!$G$766=""),AND('Eval-Avant impact'!$A$767=A23, 'Eval-Avant impact'!$G$767=""),AND('Eval-Avant impact'!$A$768=A23, 'Eval-Avant impact'!$G$768=""),AND('Eval-Avant impact'!$A$769=A23, 'Eval-Avant impact'!$G$769=""),AND('Eval-Avant impact'!$A$770=A23, 'Eval-Avant impact'!$G$770=""),AND('Eval-Avant impact'!$A$771=A23, 'Eval-Avant impact'!$G$771=""),AND('Eval-Avant impact'!$A$772=A23, 'Eval-Avant impact'!$G$772=""),AND('Eval-Avant impact'!$A$773=A23, 'Eval-Avant impact'!$G$773=""),AND('Eval-Avant impact'!$A$774=A23, 'Eval-Avant impact'!$G$774=""),AND('Eval-Avant impact'!$A$775=A23, 'Eval-Avant impact'!$G$775=""),AND('Eval-Avant impact'!$A$776=A23, 'Eval-Avant impact'!$G$776=""),AND('Eval-Avant impact'!$A$777=A23, 'Eval-Avant impact'!$G$777=""),AND('Eval-Avant impact'!$A$778=A23, 'Eval-Avant impact'!$G$778=""),AND('Eval-Avant impact'!$A$779=A23, 'Eval-Avant impact'!$G$779=""),AND('Eval-Avant impact'!$A$780=A23, 'Eval-Avant impact'!$G$780="")),"",SUM(IF('Eval-Avant impact'!$A$761=A23,'Eval-Avant impact'!$G$761,0),IF('Eval-Avant impact'!$A$762=A23,'Eval-Avant impact'!$G$762,0),IF('Eval-Avant impact'!$A$763=A23,'Eval-Avant impact'!$G$763,0),IF('Eval-Avant impact'!$A$764=A23,'Eval-Avant impact'!$G$764,0),IF('Eval-Avant impact'!$A$765=A23,'Eval-Avant impact'!$G$765,0),IF('Eval-Avant impact'!$A$766=A23,'Eval-Avant impact'!$G$766,0),IF('Eval-Avant impact'!$A$767=A23,'Eval-Avant impact'!$G$767,0),IF('Eval-Avant impact'!$A$768=A23,'Eval-Avant impact'!$G$768,0),IF('Eval-Avant impact'!$A$769=A23,'Eval-Avant impact'!$G$769,0),IF('Eval-Avant impact'!$A$770=A23,'Eval-Avant impact'!$G$770,0),IF('Eval-Avant impact'!$A$771=A23,'Eval-Avant impact'!$G$771,0),IF('Eval-Avant impact'!$A$772=A23,'Eval-Avant impact'!$G$772,0),IF('Eval-Avant impact'!$A$773=A23,'Eval-Avant impact'!$G$773,0),IF('Eval-Avant impact'!$A$774=A23,'Eval-Avant impact'!$G$774,0),IF('Eval-Avant impact'!$A$775=A23,'Eval-Avant impact'!$G$775,0), IF('Eval-Avant impact'!$A$776=A23,'Eval-Avant impact'!$G$776,0), IF('Eval-Avant impact'!$A$777=A23,'Eval-Avant impact'!$G$777,0), IF('Eval-Avant impact'!$A$778=A23,'Eval-Avant impact'!$G$778,0), IF('Eval-Avant impact'!$A$779=A23,'Eval-Avant impact'!$G$779,0), IF('Eval-Avant impact'!$A$780=A23,'Eval-Avant impact'!$G$780,0))/ COUNTIF('Eval-Avant impact'!$A$761:$A$780,A23)),"")</f>
        <v/>
      </c>
      <c r="E23" s="212" t="str">
        <f>IF(COUNTIF('Eval-Avant impact'!$A$761:$A$780,A23)&gt;0,IF(SUM(IF('Eval-Avant impact'!$A$761=A23,COUNTA('Eval-Avant impact'!$H$761),0),IF('Eval-Avant impact'!$A$762=A23,COUNTA('Eval-Avant impact'!$H$762),0),IF('Eval-Avant impact'!$A$763=A23,COUNTA('Eval-Avant impact'!$H$763),0),IF('Eval-Avant impact'!$A$764=A23,COUNTA('Eval-Avant impact'!$H$764),0),IF('Eval-Avant impact'!$A$765=A23,COUNTA('Eval-Avant impact'!$H$765),0),IF('Eval-Avant impact'!$A$766=A23,COUNTA('Eval-Avant impact'!$H$766),0),IF('Eval-Avant impact'!$A$767=A23,COUNTA('Eval-Avant impact'!$H$767),0),IF('Eval-Avant impact'!$A$768=A23,COUNTA('Eval-Avant impact'!$H$768),0),IF('Eval-Avant impact'!$A$769=A23,COUNTA('Eval-Avant impact'!$H$769),0),IF('Eval-Avant impact'!$A$770=A23,COUNTA('Eval-Avant impact'!$H$770),0),IF('Eval-Avant impact'!$A$771=A23,COUNTA('Eval-Avant impact'!$H$771),0),IF('Eval-Avant impact'!$A$772=A23,COUNTA('Eval-Avant impact'!$H$772),0),IF('Eval-Avant impact'!$A$773=A23,COUNTA('Eval-Avant impact'!$H$773),0),IF('Eval-Avant impact'!$A$774=A23,COUNTA('Eval-Avant impact'!$H$774),0),IF('Eval-Avant impact'!$A$775=A23,COUNTA('Eval-Avant impact'!$H$775),0),IF('Eval-Avant impact'!$A$776=A23,COUNTA('Eval-Avant impact'!$H$776),0),IF('Eval-Avant impact'!$A$777=A23,COUNTA('Eval-Avant impact'!$H$777),0),IF('Eval-Avant impact'!$A$778=A23,COUNTA('Eval-Avant impact'!$H$778),0),IF('Eval-Avant impact'!$A$779=A23,COUNTA('Eval-Avant impact'!$H$779),0),IF('Eval-Avant impact'!$A$780=A23,COUNTA('Eval-Avant impact'!$H$780),0))&gt;0,"X",0),"")</f>
        <v/>
      </c>
      <c r="F23" s="213" t="str">
        <f>IF(COUNTIF('Eval-Avant impact'!$A$761:$A$780,A23)&gt;0,IF(SUM(IF('Eval-Avant impact'!$A$761=A23,COUNTA('Eval-Avant impact'!$I$761),0),IF('Eval-Avant impact'!$A$762=A23,COUNTA('Eval-Avant impact'!$I$762),0),IF('Eval-Avant impact'!$A$763=A23,COUNTA('Eval-Avant impact'!$I$763),0),IF('Eval-Avant impact'!$A$764=A23,COUNTA('Eval-Avant impact'!$I$764),0),IF('Eval-Avant impact'!$A$765=A23,COUNTA('Eval-Avant impact'!$I$765),0),IF('Eval-Avant impact'!$A$766=A23,COUNTA('Eval-Avant impact'!$I$766),0),IF('Eval-Avant impact'!$A$767=A23,COUNTA('Eval-Avant impact'!$I$767),0),IF('Eval-Avant impact'!$A$768=A23,COUNTA('Eval-Avant impact'!$I$768),0),IF('Eval-Avant impact'!$A$769=A23,COUNTA('Eval-Avant impact'!$I$769),0),IF('Eval-Avant impact'!$A$770=A23,COUNTA('Eval-Avant impact'!$I$770),0),IF('Eval-Avant impact'!$A$771=A23,COUNTA('Eval-Avant impact'!$I$771),0),IF('Eval-Avant impact'!$A$772=A23,COUNTA('Eval-Avant impact'!$I$772),0),IF('Eval-Avant impact'!$A$773=A23,COUNTA('Eval-Avant impact'!$I$773),0),IF('Eval-Avant impact'!$A$774=A23,COUNTA('Eval-Avant impact'!$I$774),0),IF('Eval-Avant impact'!$A$775=A23,COUNTA('Eval-Avant impact'!$I$775),0),IF('Eval-Avant impact'!$A$776=A23,COUNTA('Eval-Avant impact'!$I$776),0),IF('Eval-Avant impact'!$A$777=A23,COUNTA('Eval-Avant impact'!$I$777),0),IF('Eval-Avant impact'!$A$778=A23,COUNTA('Eval-Avant impact'!$I$778),0),IF('Eval-Avant impact'!$A$779=A23,COUNTA('Eval-Avant impact'!$I$779),0),IF('Eval-Avant impact'!$A$780=A23,COUNTA('Eval-Avant impact'!$I$780),0))&gt;0,"X",0),"")</f>
        <v/>
      </c>
      <c r="G23" s="213" t="str">
        <f>IF(COUNTIF('Eval-Avant impact'!$A$761:$A$780,A23)&gt;0,IF(SUM(IF('Eval-Avant impact'!$A$761=A23,COUNTA('Eval-Avant impact'!$J$761),0),IF('Eval-Avant impact'!$A$762=A23,COUNTA('Eval-Avant impact'!$J$762),0),IF('Eval-Avant impact'!$A$763=A23,COUNTA('Eval-Avant impact'!$J$763),0),IF('Eval-Avant impact'!$A$764=A23,COUNTA('Eval-Avant impact'!$J$764),0),IF('Eval-Avant impact'!$A$765=A23,COUNTA('Eval-Avant impact'!$J$765),0),IF('Eval-Avant impact'!$A$766=A23,COUNTA('Eval-Avant impact'!$J$766),0),IF('Eval-Avant impact'!$A$767=A23,COUNTA('Eval-Avant impact'!$J$767),0),IF('Eval-Avant impact'!$A$768=A23,COUNTA('Eval-Avant impact'!$J$768),0),IF('Eval-Avant impact'!$A$769=A23,COUNTA('Eval-Avant impact'!$J$769),0),IF('Eval-Avant impact'!$A$770=A23,COUNTA('Eval-Avant impact'!$J$770),0),IF('Eval-Avant impact'!$A$771=A23,COUNTA('Eval-Avant impact'!$J$771),0),IF('Eval-Avant impact'!$A$772=A23,COUNTA('Eval-Avant impact'!$J$772),0),IF('Eval-Avant impact'!$A$773=A23,COUNTA('Eval-Avant impact'!$J$773),0),IF('Eval-Avant impact'!$A$774=A23,COUNTA('Eval-Avant impact'!$J$774),0),IF('Eval-Avant impact'!$A$775=A23,COUNTA('Eval-Avant impact'!$J$775),0),IF('Eval-Avant impact'!$A$776=A23,COUNTA('Eval-Avant impact'!$J$776),0),IF('Eval-Avant impact'!$A$777=A23,COUNTA('Eval-Avant impact'!$J$777),0),IF('Eval-Avant impact'!$A$778=A23,COUNTA('Eval-Avant impact'!$J$778),0),IF('Eval-Avant impact'!$A$779=A23,COUNTA('Eval-Avant impact'!$J$779),0),IF('Eval-Avant impact'!$A$780=A23,COUNTA('Eval-Avant impact'!$J$780),0))&gt;0,"X",0),"")</f>
        <v/>
      </c>
      <c r="H23" s="213" t="str">
        <f>IF(COUNTIF('Eval-Avant impact'!$A$761:$A$780,A23)&gt;0,IF(SUM(IF('Eval-Avant impact'!$A$761=A23,COUNTA('Eval-Avant impact'!$K$761),0),IF('Eval-Avant impact'!$A$762=A23,COUNTA('Eval-Avant impact'!$K$762),0),IF('Eval-Avant impact'!$A$763=A23,COUNTA('Eval-Avant impact'!$K$763),0),IF('Eval-Avant impact'!$A$764=A23,COUNTA('Eval-Avant impact'!$K$764),0),IF('Eval-Avant impact'!$A$765=A23,COUNTA('Eval-Avant impact'!$K$765),0),IF('Eval-Avant impact'!$A$766=A23,COUNTA('Eval-Avant impact'!$K$766),0),IF('Eval-Avant impact'!$A$767=A23,COUNTA('Eval-Avant impact'!$K$767),0),IF('Eval-Avant impact'!$A$768=A23,COUNTA('Eval-Avant impact'!$K$768),0),IF('Eval-Avant impact'!$A$769=A23,COUNTA('Eval-Avant impact'!$K$769),0),IF('Eval-Avant impact'!$A$770=A23,COUNTA('Eval-Avant impact'!$K$770),0),IF('Eval-Avant impact'!$A$771=A23,COUNTA('Eval-Avant impact'!$K$771),0),IF('Eval-Avant impact'!$A$772=A23,COUNTA('Eval-Avant impact'!$K$772),0),IF('Eval-Avant impact'!$A$773=A23,COUNTA('Eval-Avant impact'!$K$773),0),IF('Eval-Avant impact'!$A$774=A23,COUNTA('Eval-Avant impact'!$K$774),0),IF('Eval-Avant impact'!$A$775=A23,COUNTA('Eval-Avant impact'!$K$775),0),IF('Eval-Avant impact'!$A$776=A23,COUNTA('Eval-Avant impact'!$K$776),0),IF('Eval-Avant impact'!$A$777=A23,COUNTA('Eval-Avant impact'!$K$777),0),IF('Eval-Avant impact'!$A$778=A23,COUNTA('Eval-Avant impact'!$K$778),0),IF('Eval-Avant impact'!$A$779=A23,COUNTA('Eval-Avant impact'!$K$779),0),IF('Eval-Avant impact'!$A$780=A23,COUNTA('Eval-Avant impact'!$K$780),0))&gt;0,"X",0),"")</f>
        <v/>
      </c>
      <c r="I23" s="211" t="str">
        <f>IF(COUNTIF('Eval-Avant impact'!$A$761:$A$780,A23)&gt;0,IF(OR(AND('Eval-Avant impact'!$A$761=A23,'Eval-Avant impact'!$L$761&lt;120,'Eval-Avant impact'!$L$761&gt;=X9),AND('Eval-Avant impact'!$A$762=A23,'Eval-Avant impact'!$L$762&lt;120,'Eval-Avant impact'!$L$762&gt;=X10),AND('Eval-Avant impact'!$A$763=A23,'Eval-Avant impact'!$L$763&lt;120,'Eval-Avant impact'!$L$763&gt;=X11),AND('Eval-Avant impact'!$A$764=A23,'Eval-Avant impact'!$L$764&lt;120,'Eval-Avant impact'!$L$764&gt;=X12),AND('Eval-Avant impact'!$A$765=A23,'Eval-Avant impact'!$L$765&lt;120,'Eval-Avant impact'!$L$765&gt;=X13),AND('Eval-Avant impact'!$A$766=A23,'Eval-Avant impact'!$L$766&lt;120,'Eval-Avant impact'!$L$766&gt;=X14),AND('Eval-Avant impact'!$A$767=A23,'Eval-Avant impact'!$L$767&lt;120,'Eval-Avant impact'!$L$767&gt;=X15),AND('Eval-Avant impact'!$A$768=A23,'Eval-Avant impact'!$L$768&lt;120,'Eval-Avant impact'!$L$768&gt;=X16),AND('Eval-Avant impact'!$A$769=A23,'Eval-Avant impact'!$L$769&lt;120,'Eval-Avant impact'!$L$769&gt;=X17),AND('Eval-Avant impact'!$A$770=A23,'Eval-Avant impact'!$L$770&lt;120,'Eval-Avant impact'!$L$770&gt;=X18),AND('Eval-Avant impact'!$A$771=A23,'Eval-Avant impact'!$L$771&lt;120,'Eval-Avant impact'!$L$771&gt;=X19),AND('Eval-Avant impact'!$A$772=A23,'Eval-Avant impact'!$L$772&lt;120,'Eval-Avant impact'!$L$772&gt;=X20),AND('Eval-Avant impact'!$A$773=A23,'Eval-Avant impact'!$L$773&lt;120,'Eval-Avant impact'!$L$773&gt;=X21),AND('Eval-Avant impact'!$A$774=A23,'Eval-Avant impact'!$L$774&lt;120,'Eval-Avant impact'!$L$774&gt;=X22),AND('Eval-Avant impact'!$A$775=A23,'Eval-Avant impact'!$L$775&lt;120,'Eval-Avant impact'!$L$775&gt;=X23),AND('Eval-Avant impact'!$A$776=A23,'Eval-Avant impact'!$L$776&lt;120,'Eval-Avant impact'!$L$776&gt;=X24),AND('Eval-Avant impact'!$A$777=A23,'Eval-Avant impact'!$L$777&lt;120,'Eval-Avant impact'!$L$777&gt;=X25),AND('Eval-Avant impact'!$A$778=A23,'Eval-Avant impact'!$L$778&lt;120,'Eval-Avant impact'!$L$778&gt;=X26),AND('Eval-Avant impact'!$A$779=A23,'Eval-Avant impact'!$L$779&lt;120,'Eval-Avant impact'!$L$779&gt;=X27),AND('Eval-Avant impact'!$A$780=A23,'Eval-Avant impact'!$L$780&lt;120,'Eval-Avant impact'!$L$780&gt;=X28)),"",SUM(IF('Eval-Avant impact'!$A$761=A23,'Eval-Avant impact'!$L$761,0),IF('Eval-Avant impact'!$A$762=A23,'Eval-Avant impact'!$L$762,0),IF('Eval-Avant impact'!$A$763=A23,'Eval-Avant impact'!$L$763,0),IF('Eval-Avant impact'!$A$764=A23,'Eval-Avant impact'!$L$764,0),IF('Eval-Avant impact'!$A$765=A23,'Eval-Avant impact'!$L$765,0),IF('Eval-Avant impact'!$A$766=A23,'Eval-Avant impact'!$L$766,0),IF('Eval-Avant impact'!$A$767=A23,'Eval-Avant impact'!$L$767,0),IF('Eval-Avant impact'!$A$768=A23,'Eval-Avant impact'!$L$768,0),IF('Eval-Avant impact'!$A$769=A23,'Eval-Avant impact'!$L$769,0),IF('Eval-Avant impact'!$A$770=A23,'Eval-Avant impact'!$L$770,0),IF('Eval-Avant impact'!$A$771=A23,'Eval-Avant impact'!$L$771,0),IF('Eval-Avant impact'!$A$772=A23,'Eval-Avant impact'!$L$772,0),IF('Eval-Avant impact'!$A$773=A23,'Eval-Avant impact'!$L$773,0),IF('Eval-Avant impact'!$A$774=A23,'Eval-Avant impact'!$L$774,0),IF('Eval-Avant impact'!$A$775=A23,'Eval-Avant impact'!$L$775,0),IF('Eval-Avant impact'!$A$776=A23,'Eval-Avant impact'!$L$776,0),IF('Eval-Avant impact'!$A$777=A23,'Eval-Avant impact'!$L$777,0),IF('Eval-Avant impact'!$A$778=A23,'Eval-Avant impact'!$L$778,0),IF('Eval-Avant impact'!$A$779=A23,'Eval-Avant impact'!$L$779,0),IF('Eval-Avant impact'!$A$780=A23,'Eval-Avant impact'!$L$780,0))/ COUNTIF('Eval-Avant impact'!$A$761:$A$780,A23)),"")</f>
        <v/>
      </c>
      <c r="J23" s="211" t="str">
        <f>IF(COUNTIF('Eval-Avant impact'!$A$761:$A$780,A23)&gt;0,IF(OR(AND('Eval-Avant impact'!$A$761=A23, X9&lt;120),AND(X10&lt;120),AND(X11&lt;120),AND(X12&lt;120),AND(X13&lt;120),AND(X14&lt;120),AND(X15&lt;120),AND(X16&lt;120),AND(X17&lt;120),AND(X18&lt;120),AND(X19&lt;120),AND(X20&lt;120),AND(X21&lt;120),AND(X22&lt;120),AND(X23&lt;120),AND(X24&lt;120),AND(X25&lt;120),AND(X26&lt;120),AND(X27&lt;120),AND(X28&lt;120)),"",SUM(IF('Eval-Avant impact'!$A$761=A23,'Eval-Avant impact'!$M$761,0),IF('Eval-Avant impact'!$A$762=A23,'Eval-Avant impact'!$M$762,0),IF('Eval-Avant impact'!$A$763=A23,'Eval-Avant impact'!$M$763,0),IF('Eval-Avant impact'!$A$764=A23,'Eval-Avant impact'!$M$764,0),IF('Eval-Avant impact'!$A$765=A23,'Eval-Avant impact'!$M$765,0),IF('Eval-Avant impact'!$A$766=A23,'Eval-Avant impact'!$M$766,0),IF('Eval-Avant impact'!$A$767=A23,'Eval-Avant impact'!$M$767,0),IF('Eval-Avant impact'!$A$768=A23,'Eval-Avant impact'!$M$768,0),IF('Eval-Avant impact'!$A$769=A23,'Eval-Avant impact'!$M$769,0),IF('Eval-Avant impact'!$A$770=A23,'Eval-Avant impact'!$M$770,0),IF('Eval-Avant impact'!$A$771=A23,'Eval-Avant impact'!$M$771,0),IF('Eval-Avant impact'!$A$772=A23,'Eval-Avant impact'!$M$772,0),IF('Eval-Avant impact'!$A$773=A23,'Eval-Avant impact'!$M$773,0),IF('Eval-Avant impact'!$A$774=A23,'Eval-Avant impact'!$M$774,0),IF('Eval-Avant impact'!$A$775=A23,'Eval-Avant impact'!$M$775,0), IF('Eval-Avant impact'!$A$776=A23,'Eval-Avant impact'!$M$776,0), IF('Eval-Avant impact'!$A$777=A23,'Eval-Avant impact'!$M$777,0), IF('Eval-Avant impact'!$A$778=A23,'Eval-Avant impact'!$M$778,0), IF('Eval-Avant impact'!$A$779=A23,'Eval-Avant impact'!$M$779,0), IF('Eval-Avant impact'!$A$780=A23,'Eval-Avant impact'!$M$780,0))/COUNTIF('Eval-Avant impact'!$A$761:$A$780,A23)),"")</f>
        <v/>
      </c>
      <c r="K23" s="211" t="str">
        <f>IF(COUNTIF('Eval-Avant impact'!$A$761:$A$780,A23)&gt;0,SUM(IF('Eval-Avant impact'!$A$761=A23,LEN(SUBSTITUTE((SUBSTITUTE(Z9,"TM","")),"TS",""))*10/2,0),IF('Eval-Avant impact'!$A$762=A23,LEN(SUBSTITUTE((SUBSTITUTE(Z10,"TM","")),"TS",""))*10/2,0),IF('Eval-Avant impact'!$A$763=A23,LEN(SUBSTITUTE((SUBSTITUTE(Z11,"TM","")),"TS",""))*10/2,0),IF('Eval-Avant impact'!$A$764=A23,LEN(SUBSTITUTE((SUBSTITUTE(Z12,"TM","")),"TS",""))*10/2,0),IF('Eval-Avant impact'!$A$765=A23,LEN(SUBSTITUTE((SUBSTITUTE(Z13,"TM","")),"TS",""))*10/2,0),IF('Eval-Avant impact'!$A$766=A23,LEN(SUBSTITUTE((SUBSTITUTE(Z14,"TM","")),"TS",""))*10/2,0),IF('Eval-Avant impact'!$A$767=A23,LEN(SUBSTITUTE((SUBSTITUTE(Z15,"TM","")),"TS",""))*10/2,0),IF('Eval-Avant impact'!$A$768=A23,LEN(SUBSTITUTE((SUBSTITUTE(Z16,"TM","")),"TS",""))*10/2,0),IF('Eval-Avant impact'!$A$769=A23,LEN(SUBSTITUTE((SUBSTITUTE(Z17,"TM","")),"TS",""))*10/2,0),IF('Eval-Avant impact'!$A$770=A23,LEN(SUBSTITUTE((SUBSTITUTE(Z18,"TM","")),"TS",""))*10/2,0),IF('Eval-Avant impact'!$A$771=A23,LEN(SUBSTITUTE((SUBSTITUTE(Z19,"TM","")),"TS",""))*10/2,0),IF('Eval-Avant impact'!$A$772=A23,LEN(SUBSTITUTE((SUBSTITUTE(Z20,"TM","")),"TS",""))*10/2,0),IF('Eval-Avant impact'!$A$773=A23,LEN(SUBSTITUTE((SUBSTITUTE(Z21,"TM","")),"TS",""))*10/2,0),IF('Eval-Avant impact'!$A$774=A23,LEN(SUBSTITUTE((SUBSTITUTE(Z22,"TM","")),"TS",""))*10/2,0),IF('Eval-Avant impact'!$A$775=A23,LEN(SUBSTITUTE((SUBSTITUTE(Z23,"TM","")),"TS",""))*10/2,0),IF('Eval-Avant impact'!$A$776=A23,LEN(SUBSTITUTE((SUBSTITUTE(Z24,"TM","")),"TS",""))*10/2,0),IF('Eval-Avant impact'!$A$777=A23,LEN(SUBSTITUTE((SUBSTITUTE(Z25,"TM","")),"TS",""))*10/2,0),IF('Eval-Avant impact'!$A$778=A23,LEN(SUBSTITUTE((SUBSTITUTE(Z26,"TM","")),"TS",""))*10/2,0),IF('Eval-Avant impact'!$A$779=A23,LEN(SUBSTITUTE((SUBSTITUTE(Z27,"TM","")),"TS",""))*10/2,0),IF('Eval-Avant impact'!$A$780=A23,LEN(SUBSTITUTE((SUBSTITUTE(Z28,"TM","")),"TS",""))*10/2,0))/COUNTIF('Eval-Avant impact'!$A$761:$A$780,A23),"")</f>
        <v/>
      </c>
      <c r="L23" s="211" t="str">
        <f>IF(COUNTIF('Eval-Avant impact'!$A$761:$A$780,A23)&gt;0,SUM(IF('Eval-Avant impact'!$A$761=A23,LEN(SUBSTITUTE((SUBSTITUTE(Z9,"TF","")),"TS",""))*10/2,0),IF('Eval-Avant impact'!$A$762=A23,LEN(SUBSTITUTE((SUBSTITUTE(Z10,"TF","")),"TS",""))*10/2,0),IF('Eval-Avant impact'!$A$763=A23,LEN(SUBSTITUTE((SUBSTITUTE(Z11,"TF","")),"TS",""))*10/2,0),IF('Eval-Avant impact'!$A$764=A23,LEN(SUBSTITUTE((SUBSTITUTE(Z12,"TF","")),"TS",""))*10/2,0),IF('Eval-Avant impact'!$A$765=A23,LEN(SUBSTITUTE((SUBSTITUTE(Z13,"TF","")),"TS",""))*10/2,0),IF('Eval-Avant impact'!$A$766=A23,LEN(SUBSTITUTE((SUBSTITUTE(Z14,"TF","")),"TS",""))*10/2,0),IF('Eval-Avant impact'!$A$767=A23,LEN(SUBSTITUTE((SUBSTITUTE(Z15,"TF","")),"TS",""))*10/2,0),IF('Eval-Avant impact'!$A$768=A23,LEN(SUBSTITUTE((SUBSTITUTE(Z16,"TF","")),"TS",""))*10/2,0),IF('Eval-Avant impact'!$A$769=A23,LEN(SUBSTITUTE((SUBSTITUTE(Z17,"TF","")),"TS",""))*10/2,0),IF('Eval-Avant impact'!$A$770=A23,LEN(SUBSTITUTE((SUBSTITUTE(Z18,"TF","")),"TS",""))*10/2,0),IF('Eval-Avant impact'!$A$771=A23,LEN(SUBSTITUTE((SUBSTITUTE(Z19,"TF","")),"TS",""))*10/2,0),IF('Eval-Avant impact'!$A$772=A23,LEN(SUBSTITUTE((SUBSTITUTE(Z20,"TF","")),"TS",""))*10/2,0),IF('Eval-Avant impact'!$A$773=A23,LEN(SUBSTITUTE((SUBSTITUTE(Z21,"TF","")),"TS",""))*10/2,0),IF('Eval-Avant impact'!$A$774=A23,LEN(SUBSTITUTE((SUBSTITUTE(Z22,"TF","")),"TS",""))*10/2,0),IF('Eval-Avant impact'!$A$775=A23,LEN(SUBSTITUTE((SUBSTITUTE(Z23,"TF","")),"TS",""))*10/2,0),IF('Eval-Avant impact'!$A$776=A23,LEN(SUBSTITUTE((SUBSTITUTE(Z24,"TF","")),"TS",""))*10/2,0),IF('Eval-Avant impact'!$A$777=A23,LEN(SUBSTITUTE((SUBSTITUTE(Z25,"TF","")),"TS",""))*10/2,0),IF('Eval-Avant impact'!$A$778=A23,LEN(SUBSTITUTE((SUBSTITUTE(Z26,"TF","")),"TS",""))*10/2,0),IF('Eval-Avant impact'!$A$779=A23,LEN(SUBSTITUTE((SUBSTITUTE(Z27,"TF","")),"TS",""))*10/2,0),IF('Eval-Avant impact'!$A$780=A23,LEN(SUBSTITUTE((SUBSTITUTE(Z28,"TF","")),"TS",""))*10/2,0))/COUNTIF('Eval-Avant impact'!$A$761:$A$780,A23),"")</f>
        <v/>
      </c>
      <c r="M23" s="211" t="str">
        <f>IF(COUNTIF('Eval-Avant impact'!$A$761:$A$780,A23)&gt;0,SUM(IF('Eval-Avant impact'!$A$761=A23,LEN(SUBSTITUTE((SUBSTITUTE(Z9,"TF","")),"TM",""))*10/2,0),IF('Eval-Avant impact'!$A$762=A23,LEN(SUBSTITUTE((SUBSTITUTE(Z10,"TF","")),"TM",""))*10/2,0),IF('Eval-Avant impact'!$A$763=A23,LEN(SUBSTITUTE((SUBSTITUTE(Z11,"TF","")),"TM",""))*10/2,0),IF('Eval-Avant impact'!$A$764=A23,LEN(SUBSTITUTE((SUBSTITUTE(Z12,"TF","")),"TM",""))*10/2,0),IF('Eval-Avant impact'!$A$765=A23,LEN(SUBSTITUTE((SUBSTITUTE(Z13,"TF","")),"TM",""))*10/2,0),IF('Eval-Avant impact'!$A$766=A23,LEN(SUBSTITUTE((SUBSTITUTE(Z14,"TF","")),"TM",""))*10/2,0),IF('Eval-Avant impact'!$A$767=A23,LEN(SUBSTITUTE((SUBSTITUTE(Z15,"TF","")),"TM",""))*10/2,0),IF('Eval-Avant impact'!$A$768=A23,LEN(SUBSTITUTE((SUBSTITUTE(Z16,"TF","")),"TM",""))*10/2,0),IF('Eval-Avant impact'!$A$769=A23,LEN(SUBSTITUTE((SUBSTITUTE(Z17,"TF","")),"TM",""))*10/2,0),IF('Eval-Avant impact'!$A$770=A23,LEN(SUBSTITUTE((SUBSTITUTE(Z18,"TF","")),"TM",""))*10/2,0),IF('Eval-Avant impact'!$A$771=A23,LEN(SUBSTITUTE((SUBSTITUTE(Z19,"TF","")),"TM",""))*10/2,0),IF('Eval-Avant impact'!$A$772=A23,LEN(SUBSTITUTE((SUBSTITUTE(Z20,"TF","")),"TM",""))*10/2,0),IF('Eval-Avant impact'!$A$773=A23,LEN(SUBSTITUTE((SUBSTITUTE(Z21,"TF","")),"TM",""))*10/2,0),IF('Eval-Avant impact'!$A$774=A23,LEN(SUBSTITUTE((SUBSTITUTE(Z22,"TF","")),"TM",""))*10/2,0),IF('Eval-Avant impact'!$A$775=A23,LEN(SUBSTITUTE((SUBSTITUTE(Z23,"TF","")),"TM",""))*10/2,0),IF('Eval-Avant impact'!$A$776=A23,LEN(SUBSTITUTE((SUBSTITUTE(Z24,"TF","")),"TM",""))*10/2,0),IF('Eval-Avant impact'!$A$777=A23,LEN(SUBSTITUTE((SUBSTITUTE(Z25,"TF","")),"TM",""))*10/2,0),IF('Eval-Avant impact'!$A$778=A23,LEN(SUBSTITUTE((SUBSTITUTE(Z26,"TF","")),"TM",""))*10/2,0),IF('Eval-Avant impact'!$A$779=A23,LEN(SUBSTITUTE((SUBSTITUTE(Z27,"TF","")),"TM",""))*10/2,0),IF('Eval-Avant impact'!$A$780=A23,LEN(SUBSTITUTE((SUBSTITUTE(Z28,"TF","")),"TM",""))*10/2,0))/COUNTIF('Eval-Avant impact'!$A$761:$A$780,A23),"")</f>
        <v/>
      </c>
      <c r="N23" s="211" t="str">
        <f>IF(COUNTIF('Eval-Avant impact'!$A$761:$A$780,A23)&gt;0,SUM(IF('Eval-Avant impact'!$A$761=A23,LEN(SUBSTITUTE((SUBSTITUTE(AA9,"TM","")),"TS",""))*10/2,0),IF('Eval-Avant impact'!$A$762=A23,LEN(SUBSTITUTE((SUBSTITUTE(AA10,"TM","")),"TS",""))*10/2,0),IF('Eval-Avant impact'!$A$763=A23,LEN(SUBSTITUTE((SUBSTITUTE(AA11,"TM","")),"TS",""))*10/2,0),IF('Eval-Avant impact'!$A$764=A23,LEN(SUBSTITUTE((SUBSTITUTE(AA12,"TM","")),"TS",""))*10/2,0),IF('Eval-Avant impact'!$A$765=A23,LEN(SUBSTITUTE((SUBSTITUTE(AA13,"TM","")),"TS",""))*10/2,0),IF('Eval-Avant impact'!$A$766=A23,LEN(SUBSTITUTE((SUBSTITUTE(AA14,"TM","")),"TS",""))*10/2,0),IF('Eval-Avant impact'!$A$767=A23,LEN(SUBSTITUTE((SUBSTITUTE(AA15,"TM","")),"TS",""))*10/2,0),IF('Eval-Avant impact'!$A$768=A23,LEN(SUBSTITUTE((SUBSTITUTE(AA16,"TM","")),"TS",""))*10/2,0),IF('Eval-Avant impact'!$A$769=A23,LEN(SUBSTITUTE((SUBSTITUTE(AA17,"TM","")),"TS",""))*10/2,0),IF('Eval-Avant impact'!$A$770=A23,LEN(SUBSTITUTE((SUBSTITUTE(AA18,"TM","")),"TS",""))*10/2,0),IF('Eval-Avant impact'!$A$771=A23,LEN(SUBSTITUTE((SUBSTITUTE(AA19,"TM","")),"TS",""))*10/2,0),IF('Eval-Avant impact'!$A$772=A23,LEN(SUBSTITUTE((SUBSTITUTE(AA20,"TM","")),"TS",""))*10/2,0),IF('Eval-Avant impact'!$A$773=A23,LEN(SUBSTITUTE((SUBSTITUTE(AA21,"TM","")),"TS",""))*10/2,0),IF('Eval-Avant impact'!$A$774=A23,LEN(SUBSTITUTE((SUBSTITUTE(AA22,"TM","")),"TS",""))*10/2,0),IF('Eval-Avant impact'!$A$775=A23,LEN(SUBSTITUTE((SUBSTITUTE(AA23,"TM","")),"TS",""))*10/2,0),IF('Eval-Avant impact'!$A$776=A23,LEN(SUBSTITUTE((SUBSTITUTE(AA24,"TM","")),"TS",""))*10/2,0),IF('Eval-Avant impact'!$A$777=A23,LEN(SUBSTITUTE((SUBSTITUTE(AA25,"TM","")),"TS",""))*10/2,0),IF('Eval-Avant impact'!$A$778=A23,LEN(SUBSTITUTE((SUBSTITUTE(AA26,"TM","")),"TS",""))*10/2,0),IF('Eval-Avant impact'!$A$779=A23,LEN(SUBSTITUTE((SUBSTITUTE(AA27,"TM","")),"TS",""))*10/2,0),IF('Eval-Avant impact'!$A$780=A23,LEN(SUBSTITUTE((SUBSTITUTE(AA28,"TM","")),"TS",""))*10/2,0))/COUNTIF('Eval-Avant impact'!$A$761:$A$780,A23),"")</f>
        <v/>
      </c>
      <c r="O23" s="211" t="str">
        <f>IF(COUNTIF('Eval-Avant impact'!$A$761:$A$780,A23)&gt;0,SUM(IF('Eval-Avant impact'!$A$761=A23,LEN(SUBSTITUTE((SUBSTITUTE(AA9,"TF","")),"TS",""))*10/2,0),IF('Eval-Avant impact'!$A$762=A23,LEN(SUBSTITUTE((SUBSTITUTE(AA10,"TF","")),"TS",""))*10/2,0),IF('Eval-Avant impact'!$A$763=A23,LEN(SUBSTITUTE((SUBSTITUTE(AA11,"TF","")),"TS",""))*10/2,0),IF('Eval-Avant impact'!$A$764=A23,LEN(SUBSTITUTE((SUBSTITUTE(AA12,"TF","")),"TS",""))*10/2,0),IF('Eval-Avant impact'!$A$765=A23,LEN(SUBSTITUTE((SUBSTITUTE(AA13,"TF","")),"TS",""))*10/2,0),IF('Eval-Avant impact'!$A$766=A23,LEN(SUBSTITUTE((SUBSTITUTE(AA14,"TF","")),"TS",""))*10/2,0),IF('Eval-Avant impact'!$A$767=A23,LEN(SUBSTITUTE((SUBSTITUTE(AA15,"TF","")),"TS",""))*10/2,0),IF('Eval-Avant impact'!$A$768=A23,LEN(SUBSTITUTE((SUBSTITUTE(AA16,"TF","")),"TS",""))*10/2,0),IF('Eval-Avant impact'!$A$769=A23,LEN(SUBSTITUTE((SUBSTITUTE(AA17,"TF","")),"TS",""))*10/2,0),IF('Eval-Avant impact'!$A$770=A23,LEN(SUBSTITUTE((SUBSTITUTE(AA18,"TF","")),"TS",""))*10/2,0),IF('Eval-Avant impact'!$A$771=A23,LEN(SUBSTITUTE((SUBSTITUTE(AA19,"TF","")),"TS",""))*10/2,0),IF('Eval-Avant impact'!$A$772=A23,LEN(SUBSTITUTE((SUBSTITUTE(AA20,"TF","")),"TS",""))*10/2,0),IF('Eval-Avant impact'!$A$773=A23,LEN(SUBSTITUTE((SUBSTITUTE(AA21,"TF","")),"TS",""))*10/2,0),IF('Eval-Avant impact'!$A$774=A23,LEN(SUBSTITUTE((SUBSTITUTE(AA22,"TF","")),"TS",""))*10/2,0),IF('Eval-Avant impact'!$A$775=A23,LEN(SUBSTITUTE((SUBSTITUTE(AA23,"TF","")),"TS",""))*10/2,0),IF('Eval-Avant impact'!$A$776=A23,LEN(SUBSTITUTE((SUBSTITUTE(AA24,"TF","")),"TS",""))*10/2,0),IF('Eval-Avant impact'!$A$777=A23,LEN(SUBSTITUTE((SUBSTITUTE(AA25,"TF","")),"TS",""))*10/2,0),IF('Eval-Avant impact'!$A$778=A23,LEN(SUBSTITUTE((SUBSTITUTE(AA26,"TF","")),"TS",""))*10/2,0),IF('Eval-Avant impact'!$A$779=A23,LEN(SUBSTITUTE((SUBSTITUTE(AA27,"TF","")),"TS",""))*10/2,0),IF('Eval-Avant impact'!$A$780=A23,LEN(SUBSTITUTE((SUBSTITUTE(AA28,"TF","")),"TS",""))*10/2,0))/COUNTIF('Eval-Avant impact'!$A$761:$A$780,A23),"")</f>
        <v/>
      </c>
      <c r="P23" s="211" t="str">
        <f>IF(COUNTIF('Eval-Avant impact'!$A$761:$A$780,A23)&gt;0,SUM(IF('Eval-Avant impact'!$A$761=A23,LEN(SUBSTITUTE((SUBSTITUTE(AA9,"TF","")),"TM",""))*10/2,0),IF('Eval-Avant impact'!$A$762=A23,LEN(SUBSTITUTE((SUBSTITUTE(AA10,"TF","")),"TM",""))*10/2,0),IF('Eval-Avant impact'!$A$763=A23,LEN(SUBSTITUTE((SUBSTITUTE(AA11,"TF","")),"TM",""))*10/2,0),IF('Eval-Avant impact'!$A$764=A23,LEN(SUBSTITUTE((SUBSTITUTE(AA12,"TF","")),"TM",""))*10/2,0),IF('Eval-Avant impact'!$A$765=A23,LEN(SUBSTITUTE((SUBSTITUTE(AA13,"TF","")),"TM",""))*10/2,0),IF('Eval-Avant impact'!$A$766=A23,LEN(SUBSTITUTE((SUBSTITUTE(AA14,"TF","")),"TM",""))*10/2,0),IF('Eval-Avant impact'!$A$767=A23,LEN(SUBSTITUTE((SUBSTITUTE(AA15,"TF","")),"TM",""))*10/2,0),IF('Eval-Avant impact'!$A$768=A23,LEN(SUBSTITUTE((SUBSTITUTE(AA16,"TF","")),"TM",""))*10/2,0),IF('Eval-Avant impact'!$A$769=A23,LEN(SUBSTITUTE((SUBSTITUTE(AA17,"TF","")),"TM",""))*10/2,0),IF('Eval-Avant impact'!$A$770=A23,LEN(SUBSTITUTE((SUBSTITUTE(AA18,"TF","")),"TM",""))*10/2,0),IF('Eval-Avant impact'!$A$771=A23,LEN(SUBSTITUTE((SUBSTITUTE(AA19,"TF","")),"TM",""))*10/2,0),IF('Eval-Avant impact'!$A$772=A23,LEN(SUBSTITUTE((SUBSTITUTE(AA20,"TF","")),"TM",""))*10/2,0),IF('Eval-Avant impact'!$A$773=A23,LEN(SUBSTITUTE((SUBSTITUTE(AA21,"TF","")),"TM",""))*10/2,0),IF('Eval-Avant impact'!$A$774=A23,LEN(SUBSTITUTE((SUBSTITUTE(AA22,"TF","")),"TM",""))*10/2,0),IF('Eval-Avant impact'!$A$775=A23,LEN(SUBSTITUTE((SUBSTITUTE(AA23,"TF","")),"TM",""))*10/2,0),IF('Eval-Avant impact'!$A$776=A23,LEN(SUBSTITUTE((SUBSTITUTE(AA24,"TF","")),"TM",""))*10/2,0),IF('Eval-Avant impact'!$A$777=A23,LEN(SUBSTITUTE((SUBSTITUTE(AA25,"TF","")),"TM",""))*10/2,0),IF('Eval-Avant impact'!$A$778=A23,LEN(SUBSTITUTE((SUBSTITUTE(AA26,"TF","")),"TM",""))*10/2,0),IF('Eval-Avant impact'!$A$779=A23,LEN(SUBSTITUTE((SUBSTITUTE(AA27,"TF","")),"TM",""))*10/2,0),IF('Eval-Avant impact'!$A$780=A23,LEN(SUBSTITUTE((SUBSTITUTE(AA28,"TF","")),"TM",""))*10/2,0))/COUNTIF('Eval-Avant impact'!$A$761:$A$780,A23),"")</f>
        <v/>
      </c>
      <c r="Q23" s="211" t="str">
        <f>IF(COUNTIF('Eval-Avant impact'!$A$761:$A$780,A23)&gt;0,IF(OR(AND('Eval-Avant impact'!$A$761=A23,X9&lt;30),AND('Eval-Avant impact'!$A$762=A23,X10&lt;30),AND('Eval-Avant impact'!$A$763=A23,X11&lt;30),AND('Eval-Avant impact'!$A$764=A23,X12&lt;30),AND('Eval-Avant impact'!$A$765=A23,X13&lt;30),AND('Eval-Avant impact'!$A$766=A23,X14&lt;30),AND('Eval-Avant impact'!$A$767=A23,X15&lt;30),AND('Eval-Avant impact'!$A$768=A23,X16&lt;30),AND('Eval-Avant impact'!$A$769=A23,X17&lt;30),AND('Eval-Avant impact'!$A$770=A23,X18&lt;30),AND('Eval-Avant impact'!$A$771=A23,X19&lt;30),AND('Eval-Avant impact'!$A$772=A23,X20&lt;30),AND('Eval-Avant impact'!$A$773=A23,X21&lt;30),AND('Eval-Avant impact'!$A$774=A23,X22&lt;30),AND('Eval-Avant impact'!$A$775=A23,X23&lt;30),AND('Eval-Avant impact'!$A$776=A23,X24&lt;30),AND('Eval-Avant impact'!$A$777=A23,X25&lt;30),AND('Eval-Avant impact'!$A$778=A23,X26&lt;30),AND('Eval-Avant impact'!$A$779=A23,X27&lt;30),AND('Eval-Avant impact'!$A$780=A23,X28&lt;30)),"",SUM(0.1*(SUMPRODUCT(('Eval-Avant impact'!$A$761:$A$780=A23)*('Eval-Avant impact'!$N$761:$P$780="A"))+ SUMPRODUCT(('Eval-Avant impact'!$A$761:$A$780=A23)*('Eval-Avant impact'!$N$761:$P$780="AL"))),0.7*(SUMPRODUCT(('Eval-Avant impact'!$A$761:$A$780=A23)*('Eval-Avant impact'!$N$761:$P$780="TF"))+SUMPRODUCT(('Eval-Avant impact'!$A$761:$A$780=A23)*('Eval-Avant impact'!$N$761:$P$780="TM"))+SUMPRODUCT(('Eval-Avant impact'!$A$761:$A$780=A23)*('Eval-Avant impact'!$N$761:$P$780="TS"))),0.4*(SUMPRODUCT(('Eval-Avant impact'!$A$761:$A$780=A23)*('Eval-Avant impact'!$N$761:$P$780="LA"))+SUMPRODUCT(('Eval-Avant impact'!$A$761:$A$780=A23)*('Eval-Avant impact'!$N$761:$P$780="L"))+SUMPRODUCT(('Eval-Avant impact'!$A$761:$A$780=A23)*('Eval-Avant impact'!$N$761:$P$780="LS"))),1*(SUMPRODUCT(('Eval-Avant impact'!$A$761:$A$780=A23)*('Eval-Avant impact'!$N$761:$P$780="SL"))+ SUMPRODUCT(('Eval-Avant impact'!$A$761:$A$780=A23)*('Eval-Avant impact'!$N$761:$P$780="S"))))/(3*COUNTIF('Eval-Avant impact'!$A$761:$A$780,A23))),"")</f>
        <v/>
      </c>
      <c r="R23" s="211" t="str">
        <f>IF(COUNTIF('Eval-Avant impact'!$A$761:$A$780,A23)&gt;0,IF(OR(AND('Eval-Avant impact'!$A$761=A23,X9&lt;120),AND('Eval-Avant impact'!$A$762=A23,X10&lt;120),AND('Eval-Avant impact'!$A$763=A23,X11&lt;120),AND('Eval-Avant impact'!$A$764=A23,X12&lt;120),AND('Eval-Avant impact'!$A$765=A23,X13&lt;120),AND('Eval-Avant impact'!$A$766=A23,X14&lt;120),AND('Eval-Avant impact'!$A$767=A23,X15&lt;120),AND('Eval-Avant impact'!$A$768=A23,X16&lt;120),AND('Eval-Avant impact'!$A$769=A23,X17&lt;120),AND('Eval-Avant impact'!$A$770=A23,X18&lt;120),AND('Eval-Avant impact'!$A$771=A23,X19&lt;120),AND('Eval-Avant impact'!$A$772=A23,X20&lt;120),AND('Eval-Avant impact'!$A$773=A23,X21&lt;120),AND('Eval-Avant impact'!$A$774=A23,X22&lt;120),AND('Eval-Avant impact'!$A$775=A23,X23&lt;120),AND('Eval-Avant impact'!$A$776=A23,X24&lt;120),AND('Eval-Avant impact'!$A$777=A23,X25&lt;120),AND('Eval-Avant impact'!$A$778=A23,X26&lt;120),AND('Eval-Avant impact'!$A$779=A23,X27&lt;120),AND('Eval-Avant impact'!$A$780=A23,X28&lt;120)),"",SUM(0.1*(SUMPRODUCT(('Eval-Avant impact'!$A$761:$A$780=A23)*('Eval-Avant impact'!$Q$761:$Y$780="A"))+ SUMPRODUCT(('Eval-Avant impact'!$A$761:$A$780=A23)*('Eval-Avant impact'!$Q$761:$Y$780="AL"))),0.7*(SUMPRODUCT(('Eval-Avant impact'!$A$761:$A$780=A23)*('Eval-Avant impact'!$Q$761:$Y$780="TF"))+SUMPRODUCT(('Eval-Avant impact'!$A$761:$A$780=A23)*('Eval-Avant impact'!$Q$761:$Y$780="TM"))+SUMPRODUCT(('Eval-Avant impact'!$A$761:$A$780=A23)*('Eval-Avant impact'!$Q$761:$Y$780="TS"))),0.4*(SUMPRODUCT(('Eval-Avant impact'!$A$761:$A$780=A23)*('Eval-Avant impact'!$Q$761:$Y$780="LA"))+SUMPRODUCT(('Eval-Avant impact'!$A$761:$A$780=A23)*('Eval-Avant impact'!$Q$761:$Y$780="L"))+SUMPRODUCT(('Eval-Avant impact'!$A$761:$A$780=A23)*('Eval-Avant impact'!$Q$761:$Y$780="LS"))),1*(SUMPRODUCT(('Eval-Avant impact'!$A$761:$A$780=A23)*('Eval-Avant impact'!$Q$761:$Y$780="SL"))+ SUMPRODUCT(('Eval-Avant impact'!$A$761:$A$780=A23)*('Eval-Avant impact'!$Q$761:$Y$780="S"))))/(9*COUNTIF('Eval-Avant impact'!$A$761:$A$780,A23))),"")</f>
        <v/>
      </c>
      <c r="S23" s="211" t="str">
        <f>IF(COUNTIF('Eval-Avant impact'!$A$761:$A$780,A23)&gt;0,IF(OR(AND('Eval-Avant impact'!$A$761=A23,OR(COUNTIF('Eval-Avant impact'!$N$761:$P$761,"*T*")&gt;0,X9&lt;30)),AND('Eval-Avant impact'!$A$762=A23,OR(COUNTIF('Eval-Avant impact'!$N$762:$P$762,"*T*")&gt;0,X10&lt;30)),AND('Eval-Avant impact'!$A$763=A23,OR(COUNTIF('Eval-Avant impact'!$N$763:$P$763,"*T*")&gt;0,X11&lt;30)),AND('Eval-Avant impact'!$A$764=A23,OR(COUNTIF('Eval-Avant impact'!$N$764:$P$764,"*T*")&gt;0,X12&lt;30)),AND('Eval-Avant impact'!$A$765=A23,OR(COUNTIF('Eval-Avant impact'!$N$765:$P$765,"*T*")&gt;0,X13&lt;30)),AND('Eval-Avant impact'!$A$766=A23,OR(COUNTIF('Eval-Avant impact'!$N$766:$P$766,"*T*")&gt;0,X14&lt;30)),AND('Eval-Avant impact'!$A$767=A23,OR(COUNTIF('Eval-Avant impact'!$N$767:$P$767,"*T*")&gt;0,X15&lt;30)),AND('Eval-Avant impact'!$A$768=A23,OR(COUNTIF('Eval-Avant impact'!$N$768:$P$768,"*T*")&gt;0,X16&lt;30)),AND('Eval-Avant impact'!$A$769=A23,OR(COUNTIF('Eval-Avant impact'!$N$769:$P$769,"*T*")&gt;0,X17&lt;30)),AND('Eval-Avant impact'!$A$770=A23,OR(COUNTIF('Eval-Avant impact'!$N$770:$P$770,"*T*")&gt;0,X18&lt;30)),AND('Eval-Avant impact'!$A$771=A23,OR(COUNTIF('Eval-Avant impact'!$N$771:$P$771,"*T*")&gt;0,X19&lt;30)),AND('Eval-Avant impact'!$A$772=A23,OR(COUNTIF('Eval-Avant impact'!$N$772:$P$772,"*T*")&gt;0,X20&lt;30)),AND('Eval-Avant impact'!$A$773=A23,OR(COUNTIF('Eval-Avant impact'!$N$773:$P$773,"*T*")&gt;0,X21&lt;30)),AND('Eval-Avant impact'!$A$774=A23,OR(COUNTIF('Eval-Avant impact'!$N$774:$P$774,"*T*")&gt;0,X22&lt;30)),AND('Eval-Avant impact'!$A$775=A23,OR(COUNTIF('Eval-Avant impact'!$N$775:$P$775,"*T*")&gt;0,X23&lt;30)),AND('Eval-Avant impact'!$A$776=A23,OR(COUNTIF('Eval-Avant impact'!$N$776:$P$776,"*T*")&gt;0,X24&lt;30)),AND('Eval-Avant impact'!$A$777=A23,OR(COUNTIF('Eval-Avant impact'!$N$777:$P$777,"*T*")&gt;0,X25&lt;30)),AND('Eval-Avant impact'!$A$778=A23,OR(COUNTIF('Eval-Avant impact'!$N$778:$P$778,"*T*")&gt;0,X26&lt;30)),AND('Eval-Avant impact'!$A$779=A23,OR(COUNTIF('Eval-Avant impact'!$N$779:$P$779,"*T*")&gt;0,X27&lt;30)),AND('Eval-Avant impact'!$A$780=A23,OR(COUNTIF('Eval-Avant impact'!$N$780:$P$780,"*T*")&gt;0,X28&lt;30))),"",SUM(0.1*(SUMPRODUCT(('Eval-Avant impact'!$A$761:$A$780=A23)*('Eval-Avant impact'!$N$761:$P$780="L"))),0.4*(SUMPRODUCT(('Eval-Avant impact'!$A$761:$A$780=A23)*('Eval-Avant impact'!$N$761:$P$780="LA"))+SUMPRODUCT(('Eval-Avant impact'!$A$761:$A$780=A23)*('Eval-Avant impact'!$N$761:$P$780="LS"))),0.7*(SUMPRODUCT(('Eval-Avant impact'!$A$761:$A$780=A23)*('Eval-Avant impact'!$N$761:$P$780="AL"))+SUMPRODUCT(('Eval-Avant impact'!$A$761:$A$780=A23)*('Eval-Avant impact'!$N$761:$P$780="SL"))),1*(SUMPRODUCT(('Eval-Avant impact'!$A$761:$A$780=A23)*('Eval-Avant impact'!$N$761:$P$780="S"))+ SUMPRODUCT(('Eval-Avant impact'!$A$761:$A$780=A23)*('Eval-Avant impact'!$N$761:$P$780="A"))))/(3*COUNTIF('Eval-Avant impact'!$A$761:$A$780,A23))),"")</f>
        <v/>
      </c>
      <c r="T23" s="211" t="str">
        <f>IF(COUNTIF('Eval-Avant impact'!$A$761:$A$780,A23)&gt;0,IF(OR(AND('Eval-Avant impact'!$A$761=A23,OR(COUNTIF('Eval-Avant impact'!$N$761:$P$761,"*T*")&gt;0,X9&lt;30)),AND('Eval-Avant impact'!$A$762=A23,OR(COUNTIF('Eval-Avant impact'!$N$762:$P$762,"*T*")&gt;0,X10&lt;30)),AND('Eval-Avant impact'!$A$763=A23,OR(COUNTIF('Eval-Avant impact'!$N$763:$P$763,"*T*")&gt;0,X11&lt;30)),AND('Eval-Avant impact'!$A$764=A23,OR(COUNTIF('Eval-Avant impact'!$N$764:$P$764,"*T*")&gt;0,X12&lt;30)),AND('Eval-Avant impact'!$A$765=A23,OR(COUNTIF('Eval-Avant impact'!$N$765:$P$765,"*T*")&gt;0,X13&lt;30)),AND('Eval-Avant impact'!$A$766=A23,OR(COUNTIF('Eval-Avant impact'!$N$766:$P$766,"*T*")&gt;0,X14&lt;30)),AND('Eval-Avant impact'!$A$767=A23,OR(COUNTIF('Eval-Avant impact'!$N$767:$P$767,"*T*")&gt;0,X15&lt;30)),AND('Eval-Avant impact'!$A$768=A23,OR(COUNTIF('Eval-Avant impact'!$N$768:$P$768,"*T*")&gt;0,X16&lt;30)),AND('Eval-Avant impact'!$A$769=A23,OR(COUNTIF('Eval-Avant impact'!$N$769:$P$769,"*T*")&gt;0,X17&lt;30)),AND('Eval-Avant impact'!$A$770=A23,OR(COUNTIF('Eval-Avant impact'!$N$770:$P$770,"*T*")&gt;0,X18&lt;30)),AND('Eval-Avant impact'!$A$771=A23,OR(COUNTIF('Eval-Avant impact'!$N$771:$P$771,"*T*")&gt;0,X19&lt;30)),AND('Eval-Avant impact'!$A$772=A23,OR(COUNTIF('Eval-Avant impact'!$N$772:$P$772,"*T*")&gt;0,X20&lt;30)),AND('Eval-Avant impact'!$A$773=A23,OR(COUNTIF('Eval-Avant impact'!$N$773:$P$773,"*T*")&gt;0,X21&lt;30)),AND('Eval-Avant impact'!$A$774=A23,OR(COUNTIF('Eval-Avant impact'!$N$774:$P$774,"*T*")&gt;0,X22&lt;30)),AND('Eval-Avant impact'!$A$775=A23,OR(COUNTIF('Eval-Avant impact'!$N$775:$P$775,"*T*")&gt;0,X23&lt;30)),AND('Eval-Avant impact'!$A$776=A23,OR(COUNTIF('Eval-Avant impact'!$N$776:$P$776,"*T*")&gt;0,X24&lt;30)),AND('Eval-Avant impact'!$A$777=A23,OR(COUNTIF('Eval-Avant impact'!$N$777:$P$777,"*T*")&gt;0,X25&lt;30)),AND('Eval-Avant impact'!$A$778=A23,OR(COUNTIF('Eval-Avant impact'!$N$778:$P$778,"*T*")&gt;0,X26&lt;30)),AND('Eval-Avant impact'!$A$779=A23,OR(COUNTIF('Eval-Avant impact'!$N$779:$P$779,"*T*")&gt;0,X27&lt;30)),AND('Eval-Avant impact'!$A$780=A23,OR(COUNTIF('Eval-Avant impact'!$N$780:$P$780,"*T*")&gt;0,X28&lt;30))),"",SUM(1*(SUMPRODUCT(('Eval-Avant impact'!$A$761:$A$780=A23)*('Eval-Avant impact'!$N$761:$P$780="A"))),0.85*(SUMPRODUCT(('Eval-Avant impact'!$A$761:$A$780=A23)*('Eval-Avant impact'!$N$761:$P$780="AL"))),0.7*(SUMPRODUCT(('Eval-Avant impact'!$A$761:$A$780=A23)*('Eval-Avant impact'!$N$761:$P$780="LA"))),0.55*(SUMPRODUCT(('Eval-Avant impact'!$A$761:$A$780=A23)*('Eval-Avant impact'!$N$761:$P$780="L"))),0.4*(SUMPRODUCT(('Eval-Avant impact'!$A$761:$A$780=A23)*('Eval-Avant impact'!$N$761:$P$780="LS"))),0.25*(SUMPRODUCT(('Eval-Avant impact'!$A$761:$A$780=A23)*('Eval-Avant impact'!$N$761:$P$780="SL"))),0.1*(SUMPRODUCT(('Eval-Avant impact'!$A$761:$A$780=A23)*('Eval-Avant impact'!$N$761:$P$780="S"))))/(3*COUNTIF('Eval-Avant impact'!$A$761:$A$780,A23))),"")</f>
        <v/>
      </c>
      <c r="U23" s="214" t="str">
        <f>IF(COUNTIF('Eval-Avant impact'!$A$761:$A$780,A23)&gt;0,IF(OR(AND('Eval-Avant impact'!$A$761=A23,OR(COUNTIF('Eval-Avant impact'!$Q$761:$Y$761,"*T*")&gt;0,X9&lt;120)),AND('Eval-Avant impact'!$A$762=A23,OR(COUNTIF('Eval-Avant impact'!$Q$762:$Y$762,"*T*")&gt;0,X10&lt;120)),AND('Eval-Avant impact'!$A$763=A23,OR(COUNTIF('Eval-Avant impact'!$Q$763:$Y$763,"*T*")&gt;0,X11&lt;120)),AND('Eval-Avant impact'!$A$764=A23,OR(COUNTIF('Eval-Avant impact'!$Q$764:$Y$764,"*T*")&gt;0,X12&lt;120)),AND('Eval-Avant impact'!$A$765=A23,OR(COUNTIF('Eval-Avant impact'!$Q$765:$Y$765,"*T*")&gt;0,X13&lt;120)),AND('Eval-Avant impact'!$A$766=A23,OR(COUNTIF('Eval-Avant impact'!$Q$766:$Y$766,"*T*")&gt;0,X14&lt;120)),AND('Eval-Avant impact'!$A$767=A23,OR(COUNTIF('Eval-Avant impact'!$Q$767:$Y$767,"*T*")&gt;0,X15&lt;120)),AND('Eval-Avant impact'!$A$768=A23,OR(COUNTIF('Eval-Avant impact'!$Q$768:$Y$768,"*T*")&gt;0,X16&lt;120)),AND('Eval-Avant impact'!$A$769=A23,OR(COUNTIF('Eval-Avant impact'!$Q$769:$Y$769,"*T*")&gt;0,X17&lt;120)),AND('Eval-Avant impact'!$A$770=A23,OR(COUNTIF('Eval-Avant impact'!$Q$770:$Y$770,"*T*")&gt;0,X18&lt;120)),AND('Eval-Avant impact'!$A$771=A23,OR(COUNTIF('Eval-Avant impact'!$Q$771:$Y$771,"*T*")&gt;0,X19&lt;120)),AND('Eval-Avant impact'!$A$772=A23,OR(COUNTIF('Eval-Avant impact'!$Q$772:$Y$772,"*T*")&gt;0,X20&lt;120)),AND('Eval-Avant impact'!$A$773=A23,OR(COUNTIF('Eval-Avant impact'!$Q$773:$Y$773,"*T*")&gt;0,X21&lt;120)),AND('Eval-Avant impact'!$A$774=A23,OR(COUNTIF('Eval-Avant impact'!$Q$774:$Y$774,"*T*")&gt;0,X22&lt;120)),AND('Eval-Avant impact'!$A$775=A23,OR(COUNTIF('Eval-Avant impact'!$Q$775:$Y$775,"*T*")&gt;0,X23&lt;120)),AND('Eval-Avant impact'!$A$776=A23,OR(COUNTIF('Eval-Avant impact'!$Q$776:$Y$776,"*T*")&gt;0,X24&lt;120)),AND('Eval-Avant impact'!$A$777=A23,OR(COUNTIF('Eval-Avant impact'!$Q$777:$Y$777,"*T*")&gt;0,X25&lt;120)),AND('Eval-Avant impact'!$A$778=A23,OR(COUNTIF('Eval-Avant impact'!$Q$778:$Y$778,"*T*")&gt;0,X26&lt;120)),AND('Eval-Avant impact'!$A$779=A23,OR(COUNTIF('Eval-Avant impact'!$Q$779:$Y$779,"*T*")&gt;0,X27&lt;120)),AND('Eval-Avant impact'!$A$780=A23,OR(COUNTIF('Eval-Avant impact'!$Q$780:$Y$780,"*T*")&gt;0,X28&lt;120))),"",SUM(1*(SUMPRODUCT(('Eval-Avant impact'!$A$761:$A$780=A23)*('Eval-Avant impact'!$Q$761:$Y$780="A"))),0.85*(SUMPRODUCT(('Eval-Avant impact'!$A$761:$A$780=A23)*('Eval-Avant impact'!$Q$761:$Y$780="AL"))),0.7*(SUMPRODUCT(('Eval-Avant impact'!$A$761:$A$780=A23)*('Eval-Avant impact'!$Q$761:$Y$780="LA"))),0.55*(SUMPRODUCT(('Eval-Avant impact'!$A$761:$A$780=A23)*('Eval-Avant impact'!$Q$761:$Y$780="L"))),0.4*(SUMPRODUCT(('Eval-Avant impact'!$A$761:$A$780=A23)*('Eval-Avant impact'!$Q$761:$Y$780="LS"))),0.25*(SUMPRODUCT(('Eval-Avant impact'!$A$761:$A$780=A23)*('Eval-Avant impact'!$Q$761:$Y$780="SL"))),0.1*(SUMPRODUCT(('Eval-Avant impact'!$A$761:$A$780=A23)*('Eval-Avant impact'!$Q$761:$Y$780="S"))))/(9*COUNTIF('Eval-Avant impact'!$A$761:$A$780,A23))),"")</f>
        <v/>
      </c>
      <c r="V23" s="215"/>
      <c r="W23" s="216">
        <f>'Eval-Avant impact'!$D$775</f>
        <v>15</v>
      </c>
      <c r="X23" s="217" t="str">
        <f>IF(Y23="C",0,IF(IF(COUNTIF('Eval-Avant impact'!$N$775:$Y$775,"=C")&gt;0,(COUNTA('Eval-Avant impact'!$N$775:$Y$775)-1)*10,COUNTA('Eval-Avant impact'!$N$775:$Y$775)*10)=0,"",IF(COUNTIF('Eval-Avant impact'!$N$775:$Y$775,"=C")&gt;0,(COUNTA('Eval-Avant impact'!$N$775:$Y$775)-1)*10,COUNTA('Eval-Avant impact'!$N$775:$Y$775)*10)))</f>
        <v/>
      </c>
      <c r="Y23" s="217" t="str">
        <f>CONCATENATE('Eval-Avant impact'!$N$775,'Eval-Avant impact'!$O$775,'Eval-Avant impact'!$P$775,'Eval-Avant impact'!$Q$775,'Eval-Avant impact'!$R$775,'Eval-Avant impact'!$S$775,'Eval-Avant impact'!$T$775,'Eval-Avant impact'!$U$775,'Eval-Avant impact'!$V$775,'Eval-Avant impact'!$W$775,'Eval-Avant impact'!$X$775,'Eval-Avant impact'!$Y$775)</f>
        <v/>
      </c>
      <c r="Z23" s="217" t="str">
        <f t="shared" si="0"/>
        <v/>
      </c>
      <c r="AA23" s="217" t="str">
        <f t="shared" si="1"/>
        <v/>
      </c>
      <c r="AB23" s="217" t="str">
        <f>IF(COUNTIF('Eval-Avant impact'!$N$775:$Y$775,"=C")&gt;0,"X","")</f>
        <v/>
      </c>
      <c r="AC23" s="217" t="str">
        <f t="shared" si="2"/>
        <v/>
      </c>
      <c r="AD23" s="218" t="str">
        <f t="shared" si="3"/>
        <v/>
      </c>
      <c r="AE23" s="197"/>
      <c r="AG23" s="210">
        <v>15</v>
      </c>
      <c r="AH23" s="211" t="str">
        <f>IF(COUNTIF('Eval-Avec impact envisagé'!$A$761:$A$780,AG23)&gt;0,SUM(IF('Eval-Avec impact envisagé'!$A$761=AG23,'Eval-Avec impact envisagé'!$B$761,0),IF('Eval-Avec impact envisagé'!$A$762=AG23, 'Eval-Avec impact envisagé'!$B$762,0),IF('Eval-Avec impact envisagé'!$A$763=AG23, 'Eval-Avec impact envisagé'!$B$763,0),IF('Eval-Avec impact envisagé'!$A$764=AG23, 'Eval-Avec impact envisagé'!$B$764,0),IF('Eval-Avec impact envisagé'!$A$765=AG23, 'Eval-Avec impact envisagé'!$B$765,0),IF('Eval-Avec impact envisagé'!$A$766=AG23, 'Eval-Avec impact envisagé'!$B$766,0),IF('Eval-Avec impact envisagé'!$A$767=AG23, 'Eval-Avec impact envisagé'!$B$767,0),IF('Eval-Avec impact envisagé'!$A$768=AG23, 'Eval-Avec impact envisagé'!$B$768,0),IF('Eval-Avec impact envisagé'!$A$769=AG23, 'Eval-Avec impact envisagé'!$B$769,0),IF('Eval-Avec impact envisagé'!$A$770=AG23, 'Eval-Avec impact envisagé'!$B$770,0),IF('Eval-Avec impact envisagé'!$A$771=AG23, 'Eval-Avec impact envisagé'!$B$771,0),IF('Eval-Avec impact envisagé'!$A$772=AG23, 'Eval-Avec impact envisagé'!$B$772,0),IF('Eval-Avec impact envisagé'!$A$773=AG23, 'Eval-Avec impact envisagé'!$B$773,0),IF('Eval-Avec impact envisagé'!$A$774=AG23, 'Eval-Avec impact envisagé'!$B$774,0),IF('Eval-Avec impact envisagé'!$A$775=AG23, 'Eval-Avec impact envisagé'!$B$775,0),IF('Eval-Avec impact envisagé'!$A$776=AG23, 'Eval-Avec impact envisagé'!$B$776,0),IF('Eval-Avec impact envisagé'!$A$777=AG23, 'Eval-Avec impact envisagé'!$B$777,0),IF('Eval-Avec impact envisagé'!$A$778=AG23, 'Eval-Avec impact envisagé'!$B$778,0),IF('Eval-Avec impact envisagé'!$A$779=AG23, 'Eval-Avec impact envisagé'!$B$779,0),IF('Eval-Avec impact envisagé'!$A$780=AG23, 'Eval-Avec impact envisagé'!$B$780,0))/COUNTIF('Eval-Avec impact envisagé'!$A$761:$A$780,AG23),"")</f>
        <v/>
      </c>
      <c r="AI23" s="212" t="str">
        <f>IF(COUNTIF('Eval-Avec impact envisagé'!$A$761:$A$780,AG23)&gt;0,COUNTIF('Eval-Avec impact envisagé'!$A$761:$A$780,AG23),"")</f>
        <v/>
      </c>
      <c r="AJ23" s="211" t="str">
        <f>IF(COUNTIF('Eval-Avec impact envisagé'!$A$761:$A$780,AG23)&gt;0,IF(OR(AND('Eval-Avec impact envisagé'!$A$761=AG23, 'Eval-Avec impact envisagé'!$G$761=""),AND('Eval-Avec impact envisagé'!$A$762=AG23, 'Eval-Avec impact envisagé'!$G$762=""),AND('Eval-Avec impact envisagé'!$A$763=AG23, 'Eval-Avec impact envisagé'!$G$763=""),AND('Eval-Avec impact envisagé'!$A$764=AG23, 'Eval-Avec impact envisagé'!$G$764=""),AND('Eval-Avec impact envisagé'!$A$765=AG23, 'Eval-Avec impact envisagé'!$G$765=""),AND('Eval-Avec impact envisagé'!$A$766=AG23, 'Eval-Avec impact envisagé'!$G$766=""),AND('Eval-Avec impact envisagé'!$A$767=AG23, 'Eval-Avec impact envisagé'!$G$767=""),AND('Eval-Avec impact envisagé'!$A$768=AG23, 'Eval-Avec impact envisagé'!$G$768=""),AND('Eval-Avec impact envisagé'!$A$769=AG23, 'Eval-Avec impact envisagé'!$G$769=""),AND('Eval-Avec impact envisagé'!$A$770=AG23, 'Eval-Avec impact envisagé'!$G$770=""),AND('Eval-Avec impact envisagé'!$A$771=AG23, 'Eval-Avec impact envisagé'!$G$771=""),AND('Eval-Avec impact envisagé'!$A$772=AG23, 'Eval-Avec impact envisagé'!$G$772=""),AND('Eval-Avec impact envisagé'!$A$773=AG23, 'Eval-Avec impact envisagé'!$G$773=""),AND('Eval-Avec impact envisagé'!$A$774=AG23, 'Eval-Avec impact envisagé'!$G$774=""),AND('Eval-Avec impact envisagé'!$A$775=AG23, 'Eval-Avec impact envisagé'!$G$775=""),AND('Eval-Avec impact envisagé'!$A$776=AG23, 'Eval-Avec impact envisagé'!$G$776=""),AND('Eval-Avec impact envisagé'!$A$777=AG23, 'Eval-Avec impact envisagé'!$G$777=""),AND('Eval-Avec impact envisagé'!$A$778=AG23, 'Eval-Avec impact envisagé'!$G$778=""),AND('Eval-Avec impact envisagé'!$A$779=AG23, 'Eval-Avec impact envisagé'!$G$779=""),AND('Eval-Avec impact envisagé'!$A$780=AG23, 'Eval-Avec impact envisagé'!$G$780="")),"",SUM(IF('Eval-Avec impact envisagé'!$A$761=AG23,'Eval-Avec impact envisagé'!$G$761,0),IF('Eval-Avec impact envisagé'!$A$762=AG23,'Eval-Avec impact envisagé'!$G$762,0),IF('Eval-Avec impact envisagé'!$A$763=AG23,'Eval-Avec impact envisagé'!$G$763,0),IF('Eval-Avec impact envisagé'!$A$764=AG23,'Eval-Avec impact envisagé'!$G$764,0),IF('Eval-Avec impact envisagé'!$A$765=AG23,'Eval-Avec impact envisagé'!$G$765,0),IF('Eval-Avec impact envisagé'!$A$766=AG23,'Eval-Avec impact envisagé'!$G$766,0),IF('Eval-Avec impact envisagé'!$A$767=AG23,'Eval-Avec impact envisagé'!$G$767,0),IF('Eval-Avec impact envisagé'!$A$768=AG23,'Eval-Avec impact envisagé'!$G$768,0),IF('Eval-Avec impact envisagé'!$A$769=AG23,'Eval-Avec impact envisagé'!$G$769,0),IF('Eval-Avec impact envisagé'!$A$770=AG23,'Eval-Avec impact envisagé'!$G$770,0),IF('Eval-Avec impact envisagé'!$A$771=AG23,'Eval-Avec impact envisagé'!$G$771,0),IF('Eval-Avec impact envisagé'!$A$772=AG23,'Eval-Avec impact envisagé'!$G$772,0),IF('Eval-Avec impact envisagé'!$A$773=AG23,'Eval-Avec impact envisagé'!$G$773,0),IF('Eval-Avec impact envisagé'!$A$774=AG23,'Eval-Avec impact envisagé'!$G$774,0),IF('Eval-Avec impact envisagé'!$A$775=AG23,'Eval-Avec impact envisagé'!$G$775,0), IF('Eval-Avec impact envisagé'!$A$776=AG23,'Eval-Avec impact envisagé'!$G$776,0), IF('Eval-Avec impact envisagé'!$A$777=AG23,'Eval-Avec impact envisagé'!$G$777,0), IF('Eval-Avec impact envisagé'!$A$778=AG23,'Eval-Avec impact envisagé'!$G$778,0), IF('Eval-Avec impact envisagé'!$A$779=AG23,'Eval-Avec impact envisagé'!$G$779,0), IF('Eval-Avec impact envisagé'!$A$780=AG23,'Eval-Avec impact envisagé'!$G$780,0))/ COUNTIF('Eval-Avec impact envisagé'!$A$761:$A$780,AG23)),"")</f>
        <v/>
      </c>
      <c r="AK23" s="212" t="str">
        <f>IF(COUNTIF('Eval-Avec impact envisagé'!$A$761:$A$780,AG23)&gt;0,IF(SUM(IF('Eval-Avec impact envisagé'!$A$761=AG23,COUNTA('Eval-Avec impact envisagé'!$H$761),0),IF('Eval-Avec impact envisagé'!$A$762=AG23,COUNTA('Eval-Avec impact envisagé'!$H$762),0),IF('Eval-Avec impact envisagé'!$A$763=AG23,COUNTA('Eval-Avec impact envisagé'!$H$763),0),IF('Eval-Avec impact envisagé'!$A$764=AG23,COUNTA('Eval-Avec impact envisagé'!$H$764),0),IF('Eval-Avec impact envisagé'!$A$765=AG23,COUNTA('Eval-Avec impact envisagé'!$H$765),0),IF('Eval-Avec impact envisagé'!$A$766=AG23,COUNTA('Eval-Avec impact envisagé'!$H$766),0),IF('Eval-Avec impact envisagé'!$A$767=AG23,COUNTA('Eval-Avec impact envisagé'!$H$767),0),IF('Eval-Avec impact envisagé'!$A$768=AG23,COUNTA('Eval-Avec impact envisagé'!$H$768),0),IF('Eval-Avec impact envisagé'!$A$769=AG23,COUNTA('Eval-Avec impact envisagé'!$H$769),0),IF('Eval-Avec impact envisagé'!$A$770=AG23,COUNTA('Eval-Avec impact envisagé'!$H$770),0),IF('Eval-Avec impact envisagé'!$A$771=AG23,COUNTA('Eval-Avec impact envisagé'!$H$771),0),IF('Eval-Avec impact envisagé'!$A$772=AG23,COUNTA('Eval-Avec impact envisagé'!$H$772),0),IF('Eval-Avec impact envisagé'!$A$773=AG23,COUNTA('Eval-Avec impact envisagé'!$H$773),0),IF('Eval-Avec impact envisagé'!$A$774=AG23,COUNTA('Eval-Avec impact envisagé'!$H$774),0),IF('Eval-Avec impact envisagé'!$A$775=AG23,COUNTA('Eval-Avec impact envisagé'!$H$775),0),IF('Eval-Avec impact envisagé'!$A$776=AG23,COUNTA('Eval-Avec impact envisagé'!$H$776),0),IF('Eval-Avec impact envisagé'!$A$777=AG23,COUNTA('Eval-Avec impact envisagé'!$H$777),0),IF('Eval-Avec impact envisagé'!$A$778=AG23,COUNTA('Eval-Avec impact envisagé'!$H$778),0),IF('Eval-Avec impact envisagé'!$A$779=AG23,COUNTA('Eval-Avec impact envisagé'!$H$779),0),IF('Eval-Avec impact envisagé'!$A$780=AG23,COUNTA('Eval-Avec impact envisagé'!$H$780),0))&gt;0,"X",0),"")</f>
        <v/>
      </c>
      <c r="AL23" s="213" t="str">
        <f>IF(COUNTIF('Eval-Avec impact envisagé'!$A$761:$A$780,AG23)&gt;0,IF(SUM(IF('Eval-Avec impact envisagé'!$A$761=AG23,COUNTA('Eval-Avec impact envisagé'!$I$761),0),IF('Eval-Avec impact envisagé'!$A$762=AG23,COUNTA('Eval-Avec impact envisagé'!$I$762),0),IF('Eval-Avec impact envisagé'!$A$763=AG23,COUNTA('Eval-Avec impact envisagé'!$I$763),0),IF('Eval-Avec impact envisagé'!$A$764=AG23,COUNTA('Eval-Avec impact envisagé'!$I$764),0),IF('Eval-Avec impact envisagé'!$A$765=AG23,COUNTA('Eval-Avec impact envisagé'!$I$765),0),IF('Eval-Avec impact envisagé'!$A$766=AG23,COUNTA('Eval-Avec impact envisagé'!$I$766),0),IF('Eval-Avec impact envisagé'!$A$767=AG23,COUNTA('Eval-Avec impact envisagé'!$I$767),0),IF('Eval-Avec impact envisagé'!$A$768=AG23,COUNTA('Eval-Avec impact envisagé'!$I$768),0),IF('Eval-Avec impact envisagé'!$A$769=AG23,COUNTA('Eval-Avec impact envisagé'!$I$769),0),IF('Eval-Avec impact envisagé'!$A$770=AG23,COUNTA('Eval-Avec impact envisagé'!$I$770),0),IF('Eval-Avec impact envisagé'!$A$771=AG23,COUNTA('Eval-Avec impact envisagé'!$I$771),0),IF('Eval-Avec impact envisagé'!$A$772=AG23,COUNTA('Eval-Avec impact envisagé'!$I$772),0),IF('Eval-Avec impact envisagé'!$A$773=AG23,COUNTA('Eval-Avec impact envisagé'!$I$773),0),IF('Eval-Avec impact envisagé'!$A$774=AG23,COUNTA('Eval-Avec impact envisagé'!$I$774),0),IF('Eval-Avec impact envisagé'!$A$775=AG23,COUNTA('Eval-Avec impact envisagé'!$I$775),0),IF('Eval-Avec impact envisagé'!$A$776=AG23,COUNTA('Eval-Avec impact envisagé'!$I$776),0),IF('Eval-Avec impact envisagé'!$A$777=AG23,COUNTA('Eval-Avec impact envisagé'!$I$777),0),IF('Eval-Avec impact envisagé'!$A$778=AG23,COUNTA('Eval-Avec impact envisagé'!$I$778),0),IF('Eval-Avec impact envisagé'!$A$779=AG23,COUNTA('Eval-Avec impact envisagé'!$I$779),0),IF('Eval-Avec impact envisagé'!$A$780=AG23,COUNTA('Eval-Avec impact envisagé'!$I$780),0))&gt;0,"X",0),"")</f>
        <v/>
      </c>
      <c r="AM23" s="213" t="str">
        <f>IF(COUNTIF('Eval-Avec impact envisagé'!$A$761:$A$780,AG23)&gt;0,IF(SUM(IF('Eval-Avec impact envisagé'!$A$761=AG23,COUNTA('Eval-Avec impact envisagé'!$J$761),0),IF('Eval-Avec impact envisagé'!$A$762=AG23,COUNTA('Eval-Avec impact envisagé'!$J$762),0),IF('Eval-Avec impact envisagé'!$A$763=AG23,COUNTA('Eval-Avec impact envisagé'!$J$763),0),IF('Eval-Avec impact envisagé'!$A$764=AG23,COUNTA('Eval-Avec impact envisagé'!$J$764),0),IF('Eval-Avec impact envisagé'!$A$765=AG23,COUNTA('Eval-Avec impact envisagé'!$J$765),0),IF('Eval-Avec impact envisagé'!$A$766=AG23,COUNTA('Eval-Avec impact envisagé'!$J$766),0),IF('Eval-Avec impact envisagé'!$A$767=AG23,COUNTA('Eval-Avec impact envisagé'!$J$767),0),IF('Eval-Avec impact envisagé'!$A$768=AG23,COUNTA('Eval-Avec impact envisagé'!$J$768),0),IF('Eval-Avec impact envisagé'!$A$769=AG23,COUNTA('Eval-Avec impact envisagé'!$J$769),0),IF('Eval-Avec impact envisagé'!$A$770=AG23,COUNTA('Eval-Avec impact envisagé'!$J$770),0),IF('Eval-Avec impact envisagé'!$A$771=AG23,COUNTA('Eval-Avec impact envisagé'!$J$771),0),IF('Eval-Avec impact envisagé'!$A$772=AG23,COUNTA('Eval-Avec impact envisagé'!$J$772),0),IF('Eval-Avec impact envisagé'!$A$773=AG23,COUNTA('Eval-Avec impact envisagé'!$J$773),0),IF('Eval-Avec impact envisagé'!$A$774=AG23,COUNTA('Eval-Avec impact envisagé'!$J$774),0),IF('Eval-Avec impact envisagé'!$A$775=AG23,COUNTA('Eval-Avec impact envisagé'!$J$775),0),IF('Eval-Avec impact envisagé'!$A$776=AG23,COUNTA('Eval-Avec impact envisagé'!$J$776),0),IF('Eval-Avec impact envisagé'!$A$777=AG23,COUNTA('Eval-Avec impact envisagé'!$J$777),0),IF('Eval-Avec impact envisagé'!$A$778=AG23,COUNTA('Eval-Avec impact envisagé'!$J$778),0),IF('Eval-Avec impact envisagé'!$A$779=AG23,COUNTA('Eval-Avec impact envisagé'!$J$779),0),IF('Eval-Avec impact envisagé'!$A$780=AG23,COUNTA('Eval-Avec impact envisagé'!$J$780),0))&gt;0,"X",0),"")</f>
        <v/>
      </c>
      <c r="AN23" s="213" t="str">
        <f>IF(COUNTIF('Eval-Avec impact envisagé'!$A$761:$A$780,AG23)&gt;0,IF(SUM(IF('Eval-Avec impact envisagé'!$A$761=AG23,COUNTA('Eval-Avec impact envisagé'!$K$761),0),IF('Eval-Avec impact envisagé'!$A$762=AG23,COUNTA('Eval-Avec impact envisagé'!$K$762),0),IF('Eval-Avec impact envisagé'!$A$763=AG23,COUNTA('Eval-Avec impact envisagé'!$K$763),0),IF('Eval-Avec impact envisagé'!$A$764=AG23,COUNTA('Eval-Avec impact envisagé'!$K$764),0),IF('Eval-Avec impact envisagé'!$A$765=AG23,COUNTA('Eval-Avec impact envisagé'!$K$765),0),IF('Eval-Avec impact envisagé'!$A$766=AG23,COUNTA('Eval-Avec impact envisagé'!$K$766),0),IF('Eval-Avec impact envisagé'!$A$767=AG23,COUNTA('Eval-Avec impact envisagé'!$K$767),0),IF('Eval-Avec impact envisagé'!$A$768=AG23,COUNTA('Eval-Avec impact envisagé'!$K$768),0),IF('Eval-Avec impact envisagé'!$A$769=AG23,COUNTA('Eval-Avec impact envisagé'!$K$769),0),IF('Eval-Avec impact envisagé'!$A$770=AG23,COUNTA('Eval-Avec impact envisagé'!$K$770),0),IF('Eval-Avec impact envisagé'!$A$771=AG23,COUNTA('Eval-Avec impact envisagé'!$K$771),0),IF('Eval-Avec impact envisagé'!$A$772=AG23,COUNTA('Eval-Avec impact envisagé'!$K$772),0),IF('Eval-Avec impact envisagé'!$A$773=AG23,COUNTA('Eval-Avec impact envisagé'!$K$773),0),IF('Eval-Avec impact envisagé'!$A$774=AG23,COUNTA('Eval-Avec impact envisagé'!$K$774),0),IF('Eval-Avec impact envisagé'!$A$775=AG23,COUNTA('Eval-Avec impact envisagé'!$K$775),0),IF('Eval-Avec impact envisagé'!$A$776=AG23,COUNTA('Eval-Avec impact envisagé'!$K$776),0),IF('Eval-Avec impact envisagé'!$A$777=AG23,COUNTA('Eval-Avec impact envisagé'!$K$777),0),IF('Eval-Avec impact envisagé'!$A$778=AG23,COUNTA('Eval-Avec impact envisagé'!$K$778),0),IF('Eval-Avec impact envisagé'!$A$779=AG23,COUNTA('Eval-Avec impact envisagé'!$K$779),0),IF('Eval-Avec impact envisagé'!$A$780=AG23,COUNTA('Eval-Avec impact envisagé'!$K$780),0))&gt;0,"X",0),"")</f>
        <v/>
      </c>
      <c r="AO23" s="211" t="str">
        <f>IF(COUNTIF('Eval-Avec impact envisagé'!$A$761:$A$780,AG23)&gt;0,IF(OR(AND('Eval-Avec impact envisagé'!$A$761=AG23,'Eval-Avec impact envisagé'!$L$761&lt;120,'Eval-Avec impact envisagé'!$L$761&gt;=BD9),AND('Eval-Avec impact envisagé'!$A$762=AG23,'Eval-Avec impact envisagé'!$L$762&lt;120,'Eval-Avec impact envisagé'!$L$762&gt;=BD10),AND('Eval-Avec impact envisagé'!$A$763=AG23,'Eval-Avec impact envisagé'!$L$763&lt;120,'Eval-Avec impact envisagé'!$L$763&gt;=BD11),AND('Eval-Avec impact envisagé'!$A$764=AG23,'Eval-Avec impact envisagé'!$L$764&lt;120,'Eval-Avec impact envisagé'!$L$764&gt;=BD12),AND('Eval-Avec impact envisagé'!$A$765=AG23,'Eval-Avec impact envisagé'!$L$765&lt;120,'Eval-Avec impact envisagé'!$L$765&gt;=BD13),AND('Eval-Avec impact envisagé'!$A$766=AG23,'Eval-Avec impact envisagé'!$L$766&lt;120,'Eval-Avec impact envisagé'!$L$766&gt;=BD14),AND('Eval-Avec impact envisagé'!$A$767=AG23,'Eval-Avec impact envisagé'!$L$767&lt;120,'Eval-Avec impact envisagé'!$L$767&gt;=BD15),AND('Eval-Avec impact envisagé'!$A$768=AG23,'Eval-Avec impact envisagé'!$L$768&lt;120,'Eval-Avec impact envisagé'!$L$768&gt;=BD16),AND('Eval-Avec impact envisagé'!$A$769=AG23,'Eval-Avec impact envisagé'!$L$769&lt;120,'Eval-Avec impact envisagé'!$L$769&gt;=BD17),AND('Eval-Avec impact envisagé'!$A$770=AG23,'Eval-Avec impact envisagé'!$L$770&lt;120,'Eval-Avec impact envisagé'!$L$770&gt;=BD18),AND('Eval-Avec impact envisagé'!$A$771=AG23,'Eval-Avec impact envisagé'!$L$771&lt;120,'Eval-Avec impact envisagé'!$L$771&gt;=BD19),AND('Eval-Avec impact envisagé'!$A$772=AG23,'Eval-Avec impact envisagé'!$L$772&lt;120,'Eval-Avec impact envisagé'!$L$772&gt;=BD20),AND('Eval-Avec impact envisagé'!$A$773=AG23,'Eval-Avec impact envisagé'!$L$773&lt;120,'Eval-Avec impact envisagé'!$L$773&gt;=BD21),AND('Eval-Avec impact envisagé'!$A$774=AG23,'Eval-Avec impact envisagé'!$L$774&lt;120,'Eval-Avec impact envisagé'!$L$774&gt;=BD22),AND('Eval-Avec impact envisagé'!$A$775=AG23,'Eval-Avec impact envisagé'!$L$775&lt;120,'Eval-Avec impact envisagé'!$L$775&gt;=BD23),AND('Eval-Avec impact envisagé'!$A$776=AG23,'Eval-Avec impact envisagé'!$L$776&lt;120,'Eval-Avec impact envisagé'!$L$776&gt;=BD24),AND('Eval-Avec impact envisagé'!$A$777=AG23,'Eval-Avec impact envisagé'!$L$777&lt;120,'Eval-Avec impact envisagé'!$L$777&gt;=BD25),AND('Eval-Avec impact envisagé'!$A$778=AG23,'Eval-Avec impact envisagé'!$L$778&lt;120,'Eval-Avec impact envisagé'!$L$778&gt;=BD26),AND('Eval-Avec impact envisagé'!$A$779=AG23,'Eval-Avec impact envisagé'!$L$779&lt;120,'Eval-Avec impact envisagé'!$L$779&gt;=BD27),AND('Eval-Avec impact envisagé'!$A$780=AG23,'Eval-Avec impact envisagé'!$L$780&lt;120,'Eval-Avec impact envisagé'!$L$780&gt;=BD28)),"",SUM(IF('Eval-Avec impact envisagé'!$A$761=AG23,'Eval-Avec impact envisagé'!$L$761,0),IF('Eval-Avec impact envisagé'!$A$762=AG23,'Eval-Avec impact envisagé'!$L$762,0),IF('Eval-Avec impact envisagé'!$A$763=AG23,'Eval-Avec impact envisagé'!$L$763,0),IF('Eval-Avec impact envisagé'!$A$764=AG23,'Eval-Avec impact envisagé'!$L$764,0),IF('Eval-Avec impact envisagé'!$A$765=AG23,'Eval-Avec impact envisagé'!$L$765,0),IF('Eval-Avec impact envisagé'!$A$766=AG23,'Eval-Avec impact envisagé'!$L$766,0),IF('Eval-Avec impact envisagé'!$A$767=AG23,'Eval-Avec impact envisagé'!$L$767,0),IF('Eval-Avec impact envisagé'!$A$768=AG23,'Eval-Avec impact envisagé'!$L$768,0),IF('Eval-Avec impact envisagé'!$A$769=AG23,'Eval-Avec impact envisagé'!$L$769,0),IF('Eval-Avec impact envisagé'!$A$770=AG23,'Eval-Avec impact envisagé'!$L$770,0),IF('Eval-Avec impact envisagé'!$A$771=AG23,'Eval-Avec impact envisagé'!$L$771,0),IF('Eval-Avec impact envisagé'!$A$772=AG23,'Eval-Avec impact envisagé'!$L$772,0),IF('Eval-Avec impact envisagé'!$A$773=AG23,'Eval-Avec impact envisagé'!$L$773,0),IF('Eval-Avec impact envisagé'!$A$774=AG23,'Eval-Avec impact envisagé'!$L$774,0),IF('Eval-Avec impact envisagé'!$A$775=AG23,'Eval-Avec impact envisagé'!$L$775,0),IF('Eval-Avec impact envisagé'!$A$776=AG23,'Eval-Avec impact envisagé'!$L$776,0),IF('Eval-Avec impact envisagé'!$A$777=AG23,'Eval-Avec impact envisagé'!$L$777,0),IF('Eval-Avec impact envisagé'!$A$778=AG23,'Eval-Avec impact envisagé'!$L$778,0),IF('Eval-Avec impact envisagé'!$A$779=AG23,'Eval-Avec impact envisagé'!$L$779,0),IF('Eval-Avec impact envisagé'!$A$780=AG23,'Eval-Avec impact envisagé'!$L$780,0))/ COUNTIF('Eval-Avec impact envisagé'!$A$761:$A$780,AG23)),"")</f>
        <v/>
      </c>
      <c r="AP23" s="211" t="str">
        <f>IF(COUNTIF('Eval-Avec impact envisagé'!$A$761:$A$780,AG23)&gt;0,IF(OR(AND('Eval-Avec impact envisagé'!$A$761=AG23, BD9&lt;120),AND(BD10&lt;120),AND(BD11&lt;120),AND(BD12&lt;120),AND(BD13&lt;120),AND(BD14&lt;120),AND(BD15&lt;120),AND(BD16&lt;120),AND(BD17&lt;120),AND(BD18&lt;120),AND(BD19&lt;120),AND(BD20&lt;120),AND(BD21&lt;120),AND(BD22&lt;120),AND(BD23&lt;120),AND(BD24&lt;120),AND(BD25&lt;120),AND(BD26&lt;120),AND(BD27&lt;120),AND(BD28&lt;120)),"",SUM(IF('Eval-Avec impact envisagé'!$A$761=AG23,'Eval-Avec impact envisagé'!$M$761,0),IF('Eval-Avec impact envisagé'!$A$762=AG23,'Eval-Avec impact envisagé'!$M$762,0),IF('Eval-Avec impact envisagé'!$A$763=AG23,'Eval-Avec impact envisagé'!$M$763,0),IF('Eval-Avec impact envisagé'!$A$764=AG23,'Eval-Avec impact envisagé'!$M$764,0),IF('Eval-Avec impact envisagé'!$A$765=AG23,'Eval-Avec impact envisagé'!$M$765,0),IF('Eval-Avec impact envisagé'!$A$766=AG23,'Eval-Avec impact envisagé'!$M$766,0),IF('Eval-Avec impact envisagé'!$A$767=AG23,'Eval-Avec impact envisagé'!$M$767,0),IF('Eval-Avec impact envisagé'!$A$768=AG23,'Eval-Avec impact envisagé'!$M$768,0),IF('Eval-Avec impact envisagé'!$A$769=AG23,'Eval-Avec impact envisagé'!$M$769,0),IF('Eval-Avec impact envisagé'!$A$770=AG23,'Eval-Avec impact envisagé'!$M$770,0),IF('Eval-Avec impact envisagé'!$A$771=AG23,'Eval-Avec impact envisagé'!$M$771,0),IF('Eval-Avec impact envisagé'!$A$772=AG23,'Eval-Avec impact envisagé'!$M$772,0),IF('Eval-Avec impact envisagé'!$A$773=AG23,'Eval-Avec impact envisagé'!$M$773,0),IF('Eval-Avec impact envisagé'!$A$774=AG23,'Eval-Avec impact envisagé'!$M$774,0),IF('Eval-Avec impact envisagé'!$A$775=AG23,'Eval-Avec impact envisagé'!$M$775,0), IF('Eval-Avec impact envisagé'!$A$776=AG23,'Eval-Avec impact envisagé'!$M$776,0), IF('Eval-Avec impact envisagé'!$A$777=AG23,'Eval-Avec impact envisagé'!$M$777,0), IF('Eval-Avec impact envisagé'!$A$778=AG23,'Eval-Avec impact envisagé'!$M$778,0), IF('Eval-Avec impact envisagé'!$A$779=AG23,'Eval-Avec impact envisagé'!$M$779,0), IF('Eval-Avec impact envisagé'!$A$780=AG23,'Eval-Avec impact envisagé'!$M$780,0))/COUNTIF('Eval-Avec impact envisagé'!$A$761:$A$780,AG23)),"")</f>
        <v/>
      </c>
      <c r="AQ23" s="211" t="str">
        <f>IF(COUNTIF('Eval-Avec impact envisagé'!$A$761:$A$780,AG23)&gt;0,SUM(IF('Eval-Avec impact envisagé'!$A$761=AG23,LEN(SUBSTITUTE((SUBSTITUTE(BF9,"TM","")),"TS",""))*10/2,0),IF('Eval-Avec impact envisagé'!$A$762=AG23,LEN(SUBSTITUTE((SUBSTITUTE(BF10,"TM","")),"TS",""))*10/2,0),IF('Eval-Avec impact envisagé'!$A$763=AG23,LEN(SUBSTITUTE((SUBSTITUTE(BF11,"TM","")),"TS",""))*10/2,0),IF('Eval-Avec impact envisagé'!$A$764=AG23,LEN(SUBSTITUTE((SUBSTITUTE(BF12,"TM","")),"TS",""))*10/2,0),IF('Eval-Avec impact envisagé'!$A$765=AG23,LEN(SUBSTITUTE((SUBSTITUTE(BF13,"TM","")),"TS",""))*10/2,0),IF('Eval-Avec impact envisagé'!$A$766=AG23,LEN(SUBSTITUTE((SUBSTITUTE(BF14,"TM","")),"TS",""))*10/2,0),IF('Eval-Avec impact envisagé'!$A$767=AG23,LEN(SUBSTITUTE((SUBSTITUTE(BF15,"TM","")),"TS",""))*10/2,0),IF('Eval-Avec impact envisagé'!$A$768=AG23,LEN(SUBSTITUTE((SUBSTITUTE(BF16,"TM","")),"TS",""))*10/2,0),IF('Eval-Avec impact envisagé'!$A$769=AG23,LEN(SUBSTITUTE((SUBSTITUTE(BF17,"TM","")),"TS",""))*10/2,0),IF('Eval-Avec impact envisagé'!$A$770=AG23,LEN(SUBSTITUTE((SUBSTITUTE(BF18,"TM","")),"TS",""))*10/2,0),IF('Eval-Avec impact envisagé'!$A$771=AG23,LEN(SUBSTITUTE((SUBSTITUTE(BF19,"TM","")),"TS",""))*10/2,0),IF('Eval-Avec impact envisagé'!$A$772=AG23,LEN(SUBSTITUTE((SUBSTITUTE(BF20,"TM","")),"TS",""))*10/2,0),IF('Eval-Avec impact envisagé'!$A$773=AG23,LEN(SUBSTITUTE((SUBSTITUTE(BF21,"TM","")),"TS",""))*10/2,0),IF('Eval-Avec impact envisagé'!$A$774=AG23,LEN(SUBSTITUTE((SUBSTITUTE(BF22,"TM","")),"TS",""))*10/2,0),IF('Eval-Avec impact envisagé'!$A$775=AG23,LEN(SUBSTITUTE((SUBSTITUTE(BF23,"TM","")),"TS",""))*10/2,0),IF('Eval-Avec impact envisagé'!$A$776=AG23,LEN(SUBSTITUTE((SUBSTITUTE(BF24,"TM","")),"TS",""))*10/2,0),IF('Eval-Avec impact envisagé'!$A$777=AG23,LEN(SUBSTITUTE((SUBSTITUTE(BF25,"TM","")),"TS",""))*10/2,0),IF('Eval-Avec impact envisagé'!$A$778=AG23,LEN(SUBSTITUTE((SUBSTITUTE(BF26,"TM","")),"TS",""))*10/2,0),IF('Eval-Avec impact envisagé'!$A$779=AG23,LEN(SUBSTITUTE((SUBSTITUTE(BF27,"TM","")),"TS",""))*10/2,0),IF('Eval-Avec impact envisagé'!$A$780=AG23,LEN(SUBSTITUTE((SUBSTITUTE(BF28,"TM","")),"TS",""))*10/2,0))/COUNTIF('Eval-Avec impact envisagé'!$A$761:$A$780,AG23),"")</f>
        <v/>
      </c>
      <c r="AR23" s="211" t="str">
        <f>IF(COUNTIF('Eval-Avec impact envisagé'!$A$761:$A$780,AG23)&gt;0,SUM(IF('Eval-Avec impact envisagé'!$A$761=AG23,LEN(SUBSTITUTE((SUBSTITUTE(BF9,"TF","")),"TS",""))*10/2,0),IF('Eval-Avec impact envisagé'!$A$762=AG23,LEN(SUBSTITUTE((SUBSTITUTE(BF10,"TF","")),"TS",""))*10/2,0),IF('Eval-Avec impact envisagé'!$A$763=AG23,LEN(SUBSTITUTE((SUBSTITUTE(BF11,"TF","")),"TS",""))*10/2,0),IF('Eval-Avec impact envisagé'!$A$764=AG23,LEN(SUBSTITUTE((SUBSTITUTE(BF12,"TF","")),"TS",""))*10/2,0),IF('Eval-Avec impact envisagé'!$A$765=AG23,LEN(SUBSTITUTE((SUBSTITUTE(BF13,"TF","")),"TS",""))*10/2,0),IF('Eval-Avec impact envisagé'!$A$766=AG23,LEN(SUBSTITUTE((SUBSTITUTE(BF14,"TF","")),"TS",""))*10/2,0),IF('Eval-Avec impact envisagé'!$A$767=AG23,LEN(SUBSTITUTE((SUBSTITUTE(BF15,"TF","")),"TS",""))*10/2,0),IF('Eval-Avec impact envisagé'!$A$768=AG23,LEN(SUBSTITUTE((SUBSTITUTE(BF16,"TF","")),"TS",""))*10/2,0),IF('Eval-Avec impact envisagé'!$A$769=AG23,LEN(SUBSTITUTE((SUBSTITUTE(BF17,"TF","")),"TS",""))*10/2,0),IF('Eval-Avec impact envisagé'!$A$770=AG23,LEN(SUBSTITUTE((SUBSTITUTE(BF18,"TF","")),"TS",""))*10/2,0),IF('Eval-Avec impact envisagé'!$A$771=AG23,LEN(SUBSTITUTE((SUBSTITUTE(BF19,"TF","")),"TS",""))*10/2,0),IF('Eval-Avec impact envisagé'!$A$772=AG23,LEN(SUBSTITUTE((SUBSTITUTE(BF20,"TF","")),"TS",""))*10/2,0),IF('Eval-Avec impact envisagé'!$A$773=AG23,LEN(SUBSTITUTE((SUBSTITUTE(BF21,"TF","")),"TS",""))*10/2,0),IF('Eval-Avec impact envisagé'!$A$774=AG23,LEN(SUBSTITUTE((SUBSTITUTE(BF22,"TF","")),"TS",""))*10/2,0),IF('Eval-Avec impact envisagé'!$A$775=AG23,LEN(SUBSTITUTE((SUBSTITUTE(BF23,"TF","")),"TS",""))*10/2,0),IF('Eval-Avec impact envisagé'!$A$776=AG23,LEN(SUBSTITUTE((SUBSTITUTE(BF24,"TF","")),"TS",""))*10/2,0),IF('Eval-Avec impact envisagé'!$A$777=AG23,LEN(SUBSTITUTE((SUBSTITUTE(BF25,"TF","")),"TS",""))*10/2,0),IF('Eval-Avec impact envisagé'!$A$778=AG23,LEN(SUBSTITUTE((SUBSTITUTE(BF26,"TF","")),"TS",""))*10/2,0),IF('Eval-Avec impact envisagé'!$A$779=AG23,LEN(SUBSTITUTE((SUBSTITUTE(BF27,"TF","")),"TS",""))*10/2,0),IF('Eval-Avec impact envisagé'!$A$780=AG23,LEN(SUBSTITUTE((SUBSTITUTE(BF28,"TF","")),"TS",""))*10/2,0))/COUNTIF('Eval-Avec impact envisagé'!$A$761:$A$780,AG23),"")</f>
        <v/>
      </c>
      <c r="AS23" s="211" t="str">
        <f>IF(COUNTIF('Eval-Avec impact envisagé'!$A$761:$A$780,AG23)&gt;0,SUM(IF('Eval-Avec impact envisagé'!$A$761=AG23,LEN(SUBSTITUTE((SUBSTITUTE(BF9,"TF","")),"TM",""))*10/2,0),IF('Eval-Avec impact envisagé'!$A$762=AG23,LEN(SUBSTITUTE((SUBSTITUTE(BF10,"TF","")),"TM",""))*10/2,0),IF('Eval-Avec impact envisagé'!$A$763=AG23,LEN(SUBSTITUTE((SUBSTITUTE(BF11,"TF","")),"TM",""))*10/2,0),IF('Eval-Avec impact envisagé'!$A$764=AG23,LEN(SUBSTITUTE((SUBSTITUTE(BF12,"TF","")),"TM",""))*10/2,0),IF('Eval-Avec impact envisagé'!$A$765=AG23,LEN(SUBSTITUTE((SUBSTITUTE(BF13,"TF","")),"TM",""))*10/2,0),IF('Eval-Avec impact envisagé'!$A$766=AG23,LEN(SUBSTITUTE((SUBSTITUTE(BF14,"TF","")),"TM",""))*10/2,0),IF('Eval-Avec impact envisagé'!$A$767=AG23,LEN(SUBSTITUTE((SUBSTITUTE(BF15,"TF","")),"TM",""))*10/2,0),IF('Eval-Avec impact envisagé'!$A$768=AG23,LEN(SUBSTITUTE((SUBSTITUTE(BF16,"TF","")),"TM",""))*10/2,0),IF('Eval-Avec impact envisagé'!$A$769=AG23,LEN(SUBSTITUTE((SUBSTITUTE(BF17,"TF","")),"TM",""))*10/2,0),IF('Eval-Avec impact envisagé'!$A$770=AG23,LEN(SUBSTITUTE((SUBSTITUTE(BF18,"TF","")),"TM",""))*10/2,0),IF('Eval-Avec impact envisagé'!$A$771=AG23,LEN(SUBSTITUTE((SUBSTITUTE(BF19,"TF","")),"TM",""))*10/2,0),IF('Eval-Avec impact envisagé'!$A$772=AG23,LEN(SUBSTITUTE((SUBSTITUTE(BF20,"TF","")),"TM",""))*10/2,0),IF('Eval-Avec impact envisagé'!$A$773=AG23,LEN(SUBSTITUTE((SUBSTITUTE(BF21,"TF","")),"TM",""))*10/2,0),IF('Eval-Avec impact envisagé'!$A$774=AG23,LEN(SUBSTITUTE((SUBSTITUTE(BF22,"TF","")),"TM",""))*10/2,0),IF('Eval-Avec impact envisagé'!$A$775=AG23,LEN(SUBSTITUTE((SUBSTITUTE(BF23,"TF","")),"TM",""))*10/2,0),IF('Eval-Avec impact envisagé'!$A$776=AG23,LEN(SUBSTITUTE((SUBSTITUTE(BF24,"TF","")),"TM",""))*10/2,0),IF('Eval-Avec impact envisagé'!$A$777=AG23,LEN(SUBSTITUTE((SUBSTITUTE(BF25,"TF","")),"TM",""))*10/2,0),IF('Eval-Avec impact envisagé'!$A$778=AG23,LEN(SUBSTITUTE((SUBSTITUTE(BF26,"TF","")),"TM",""))*10/2,0),IF('Eval-Avec impact envisagé'!$A$779=AG23,LEN(SUBSTITUTE((SUBSTITUTE(BF27,"TF","")),"TM",""))*10/2,0),IF('Eval-Avec impact envisagé'!$A$780=AG23,LEN(SUBSTITUTE((SUBSTITUTE(BF28,"TF","")),"TM",""))*10/2,0))/COUNTIF('Eval-Avec impact envisagé'!$A$761:$A$780,AG23),"")</f>
        <v/>
      </c>
      <c r="AT23" s="211" t="str">
        <f>IF(COUNTIF('Eval-Avec impact envisagé'!$A$761:$A$780,AG23)&gt;0,SUM(IF('Eval-Avec impact envisagé'!$A$761=AG23,LEN(SUBSTITUTE((SUBSTITUTE(BG9,"TM","")),"TS",""))*10/2,0),IF('Eval-Avec impact envisagé'!$A$762=AG23,LEN(SUBSTITUTE((SUBSTITUTE(BG10,"TM","")),"TS",""))*10/2,0),IF('Eval-Avec impact envisagé'!$A$763=AG23,LEN(SUBSTITUTE((SUBSTITUTE(BG11,"TM","")),"TS",""))*10/2,0),IF('Eval-Avec impact envisagé'!$A$764=AG23,LEN(SUBSTITUTE((SUBSTITUTE(BG12,"TM","")),"TS",""))*10/2,0),IF('Eval-Avec impact envisagé'!$A$765=AG23,LEN(SUBSTITUTE((SUBSTITUTE(BG13,"TM","")),"TS",""))*10/2,0),IF('Eval-Avec impact envisagé'!$A$766=AG23,LEN(SUBSTITUTE((SUBSTITUTE(BG14,"TM","")),"TS",""))*10/2,0),IF('Eval-Avec impact envisagé'!$A$767=AG23,LEN(SUBSTITUTE((SUBSTITUTE(BG15,"TM","")),"TS",""))*10/2,0),IF('Eval-Avec impact envisagé'!$A$768=AG23,LEN(SUBSTITUTE((SUBSTITUTE(BG16,"TM","")),"TS",""))*10/2,0),IF('Eval-Avec impact envisagé'!$A$769=AG23,LEN(SUBSTITUTE((SUBSTITUTE(BG17,"TM","")),"TS",""))*10/2,0),IF('Eval-Avec impact envisagé'!$A$770=AG23,LEN(SUBSTITUTE((SUBSTITUTE(BG18,"TM","")),"TS",""))*10/2,0),IF('Eval-Avec impact envisagé'!$A$771=AG23,LEN(SUBSTITUTE((SUBSTITUTE(BG19,"TM","")),"TS",""))*10/2,0),IF('Eval-Avec impact envisagé'!$A$772=AG23,LEN(SUBSTITUTE((SUBSTITUTE(BG20,"TM","")),"TS",""))*10/2,0),IF('Eval-Avec impact envisagé'!$A$773=AG23,LEN(SUBSTITUTE((SUBSTITUTE(BG21,"TM","")),"TS",""))*10/2,0),IF('Eval-Avec impact envisagé'!$A$774=AG23,LEN(SUBSTITUTE((SUBSTITUTE(BG22,"TM","")),"TS",""))*10/2,0),IF('Eval-Avec impact envisagé'!$A$775=AG23,LEN(SUBSTITUTE((SUBSTITUTE(BG23,"TM","")),"TS",""))*10/2,0),IF('Eval-Avec impact envisagé'!$A$776=AG23,LEN(SUBSTITUTE((SUBSTITUTE(BG24,"TM","")),"TS",""))*10/2,0),IF('Eval-Avec impact envisagé'!$A$777=AG23,LEN(SUBSTITUTE((SUBSTITUTE(BG25,"TM","")),"TS",""))*10/2,0),IF('Eval-Avec impact envisagé'!$A$778=AG23,LEN(SUBSTITUTE((SUBSTITUTE(BG26,"TM","")),"TS",""))*10/2,0),IF('Eval-Avec impact envisagé'!$A$779=AG23,LEN(SUBSTITUTE((SUBSTITUTE(BG27,"TM","")),"TS",""))*10/2,0),IF('Eval-Avec impact envisagé'!$A$780=AG23,LEN(SUBSTITUTE((SUBSTITUTE(BG28,"TM","")),"TS",""))*10/2,0))/COUNTIF('Eval-Avec impact envisagé'!$A$761:$A$780,AG23),"")</f>
        <v/>
      </c>
      <c r="AU23" s="211" t="str">
        <f>IF(COUNTIF('Eval-Avec impact envisagé'!$A$761:$A$780,AG23)&gt;0,SUM(IF('Eval-Avec impact envisagé'!$A$761=AG23,LEN(SUBSTITUTE((SUBSTITUTE(BG9,"TF","")),"TS",""))*10/2,0),IF('Eval-Avec impact envisagé'!$A$762=AG23,LEN(SUBSTITUTE((SUBSTITUTE(BG10,"TF","")),"TS",""))*10/2,0),IF('Eval-Avec impact envisagé'!$A$763=AG23,LEN(SUBSTITUTE((SUBSTITUTE(BG11,"TF","")),"TS",""))*10/2,0),IF('Eval-Avec impact envisagé'!$A$764=AG23,LEN(SUBSTITUTE((SUBSTITUTE(BG12,"TF","")),"TS",""))*10/2,0),IF('Eval-Avec impact envisagé'!$A$765=AG23,LEN(SUBSTITUTE((SUBSTITUTE(BG13,"TF","")),"TS",""))*10/2,0),IF('Eval-Avec impact envisagé'!$A$766=AG23,LEN(SUBSTITUTE((SUBSTITUTE(BG14,"TF","")),"TS",""))*10/2,0),IF('Eval-Avec impact envisagé'!$A$767=AG23,LEN(SUBSTITUTE((SUBSTITUTE(BG15,"TF","")),"TS",""))*10/2,0),IF('Eval-Avec impact envisagé'!$A$768=AG23,LEN(SUBSTITUTE((SUBSTITUTE(BG16,"TF","")),"TS",""))*10/2,0),IF('Eval-Avec impact envisagé'!$A$769=AG23,LEN(SUBSTITUTE((SUBSTITUTE(BG17,"TF","")),"TS",""))*10/2,0),IF('Eval-Avec impact envisagé'!$A$770=AG23,LEN(SUBSTITUTE((SUBSTITUTE(BG18,"TF","")),"TS",""))*10/2,0),IF('Eval-Avec impact envisagé'!$A$771=AG23,LEN(SUBSTITUTE((SUBSTITUTE(BG19,"TF","")),"TS",""))*10/2,0),IF('Eval-Avec impact envisagé'!$A$772=AG23,LEN(SUBSTITUTE((SUBSTITUTE(BG20,"TF","")),"TS",""))*10/2,0),IF('Eval-Avec impact envisagé'!$A$773=AG23,LEN(SUBSTITUTE((SUBSTITUTE(BG21,"TF","")),"TS",""))*10/2,0),IF('Eval-Avec impact envisagé'!$A$774=AG23,LEN(SUBSTITUTE((SUBSTITUTE(BG22,"TF","")),"TS",""))*10/2,0),IF('Eval-Avec impact envisagé'!$A$775=AG23,LEN(SUBSTITUTE((SUBSTITUTE(BG23,"TF","")),"TS",""))*10/2,0),IF('Eval-Avec impact envisagé'!$A$776=AG23,LEN(SUBSTITUTE((SUBSTITUTE(BG24,"TF","")),"TS",""))*10/2,0),IF('Eval-Avec impact envisagé'!$A$777=AG23,LEN(SUBSTITUTE((SUBSTITUTE(BG25,"TF","")),"TS",""))*10/2,0),IF('Eval-Avec impact envisagé'!$A$778=AG23,LEN(SUBSTITUTE((SUBSTITUTE(BG26,"TF","")),"TS",""))*10/2,0),IF('Eval-Avec impact envisagé'!$A$779=AG23,LEN(SUBSTITUTE((SUBSTITUTE(BG27,"TF","")),"TS",""))*10/2,0),IF('Eval-Avec impact envisagé'!$A$780=AG23,LEN(SUBSTITUTE((SUBSTITUTE(BG28,"TF","")),"TS",""))*10/2,0))/COUNTIF('Eval-Avec impact envisagé'!$A$761:$A$780,AG23),"")</f>
        <v/>
      </c>
      <c r="AV23" s="211" t="str">
        <f>IF(COUNTIF('Eval-Avec impact envisagé'!$A$761:$A$780,AG23)&gt;0,SUM(IF('Eval-Avec impact envisagé'!$A$761=AG23,LEN(SUBSTITUTE((SUBSTITUTE(BG9,"TF","")),"TM",""))*10/2,0),IF('Eval-Avec impact envisagé'!$A$762=AG23,LEN(SUBSTITUTE((SUBSTITUTE(BG10,"TF","")),"TM",""))*10/2,0),IF('Eval-Avec impact envisagé'!$A$763=AG23,LEN(SUBSTITUTE((SUBSTITUTE(BG11,"TF","")),"TM",""))*10/2,0),IF('Eval-Avec impact envisagé'!$A$764=AG23,LEN(SUBSTITUTE((SUBSTITUTE(BG12,"TF","")),"TM",""))*10/2,0),IF('Eval-Avec impact envisagé'!$A$765=AG23,LEN(SUBSTITUTE((SUBSTITUTE(BG13,"TF","")),"TM",""))*10/2,0),IF('Eval-Avec impact envisagé'!$A$766=AG23,LEN(SUBSTITUTE((SUBSTITUTE(BG14,"TF","")),"TM",""))*10/2,0),IF('Eval-Avec impact envisagé'!$A$767=AG23,LEN(SUBSTITUTE((SUBSTITUTE(BG15,"TF","")),"TM",""))*10/2,0),IF('Eval-Avec impact envisagé'!$A$768=AG23,LEN(SUBSTITUTE((SUBSTITUTE(BG16,"TF","")),"TM",""))*10/2,0),IF('Eval-Avec impact envisagé'!$A$769=AG23,LEN(SUBSTITUTE((SUBSTITUTE(BG17,"TF","")),"TM",""))*10/2,0),IF('Eval-Avec impact envisagé'!$A$770=AG23,LEN(SUBSTITUTE((SUBSTITUTE(BG18,"TF","")),"TM",""))*10/2,0),IF('Eval-Avec impact envisagé'!$A$771=AG23,LEN(SUBSTITUTE((SUBSTITUTE(BG19,"TF","")),"TM",""))*10/2,0),IF('Eval-Avec impact envisagé'!$A$772=AG23,LEN(SUBSTITUTE((SUBSTITUTE(BG20,"TF","")),"TM",""))*10/2,0),IF('Eval-Avec impact envisagé'!$A$773=AG23,LEN(SUBSTITUTE((SUBSTITUTE(BG21,"TF","")),"TM",""))*10/2,0),IF('Eval-Avec impact envisagé'!$A$774=AG23,LEN(SUBSTITUTE((SUBSTITUTE(BG22,"TF","")),"TM",""))*10/2,0),IF('Eval-Avec impact envisagé'!$A$775=AG23,LEN(SUBSTITUTE((SUBSTITUTE(BG23,"TF","")),"TM",""))*10/2,0),IF('Eval-Avec impact envisagé'!$A$776=AG23,LEN(SUBSTITUTE((SUBSTITUTE(BG24,"TF","")),"TM",""))*10/2,0),IF('Eval-Avec impact envisagé'!$A$777=AG23,LEN(SUBSTITUTE((SUBSTITUTE(BG25,"TF","")),"TM",""))*10/2,0),IF('Eval-Avec impact envisagé'!$A$778=AG23,LEN(SUBSTITUTE((SUBSTITUTE(BG26,"TF","")),"TM",""))*10/2,0),IF('Eval-Avec impact envisagé'!$A$779=AG23,LEN(SUBSTITUTE((SUBSTITUTE(BG27,"TF","")),"TM",""))*10/2,0),IF('Eval-Avec impact envisagé'!$A$780=AG23,LEN(SUBSTITUTE((SUBSTITUTE(BG28,"TF","")),"TM",""))*10/2,0))/COUNTIF('Eval-Avec impact envisagé'!$A$761:$A$780,AG23),"")</f>
        <v/>
      </c>
      <c r="AW23" s="211" t="str">
        <f>IF(COUNTIF('Eval-Avec impact envisagé'!$A$761:$A$780,AG23)&gt;0,IF(OR(AND('Eval-Avec impact envisagé'!$A$761=AG23,BD9&lt;30),AND('Eval-Avec impact envisagé'!$A$762=AG23,BD10&lt;30),AND('Eval-Avec impact envisagé'!$A$763=AG23,BD11&lt;30),AND('Eval-Avec impact envisagé'!$A$764=AG23,BD12&lt;30),AND('Eval-Avec impact envisagé'!$A$765=AG23,BD13&lt;30),AND('Eval-Avec impact envisagé'!$A$766=AG23,BD14&lt;30),AND('Eval-Avec impact envisagé'!$A$767=AG23,BD15&lt;30),AND('Eval-Avec impact envisagé'!$A$768=AG23,BD16&lt;30),AND('Eval-Avec impact envisagé'!$A$769=AG23,BD17&lt;30),AND('Eval-Avec impact envisagé'!$A$770=AG23,BD18&lt;30),AND('Eval-Avec impact envisagé'!$A$771=AG23,BD19&lt;30),AND('Eval-Avec impact envisagé'!$A$772=AG23,BD20&lt;30),AND('Eval-Avec impact envisagé'!$A$773=AG23,BD21&lt;30),AND('Eval-Avec impact envisagé'!$A$774=AG23,BD22&lt;30),AND('Eval-Avec impact envisagé'!$A$775=AG23,BD23&lt;30),AND('Eval-Avec impact envisagé'!$A$776=AG23,BD24&lt;30),AND('Eval-Avec impact envisagé'!$A$777=AG23,BD25&lt;30),AND('Eval-Avec impact envisagé'!$A$778=AG23,BD26&lt;30),AND('Eval-Avec impact envisagé'!$A$779=AG23,BD27&lt;30),AND('Eval-Avec impact envisagé'!$A$780=AG23,BD28&lt;30)),"",SUM(0.1*(SUMPRODUCT(('Eval-Avec impact envisagé'!$A$761:$A$780=AG23)*('Eval-Avec impact envisagé'!$N$761:$P$780="A"))+ SUMPRODUCT(('Eval-Avec impact envisagé'!$A$761:$A$780=AG23)*('Eval-Avec impact envisagé'!$N$761:$P$780="AL"))),0.7*(SUMPRODUCT(('Eval-Avec impact envisagé'!$A$761:$A$780=AG23)*('Eval-Avec impact envisagé'!$N$761:$P$780="TF"))+SUMPRODUCT(('Eval-Avec impact envisagé'!$A$761:$A$780=AG23)*('Eval-Avec impact envisagé'!$N$761:$P$780="TM"))+SUMPRODUCT(('Eval-Avec impact envisagé'!$A$761:$A$780=AG23)*('Eval-Avec impact envisagé'!$N$761:$P$780="TS"))),0.4*(SUMPRODUCT(('Eval-Avec impact envisagé'!$A$761:$A$780=AG23)*('Eval-Avec impact envisagé'!$N$761:$P$780="LA"))+SUMPRODUCT(('Eval-Avec impact envisagé'!$A$761:$A$780=AG23)*('Eval-Avec impact envisagé'!$N$761:$P$780="L"))+SUMPRODUCT(('Eval-Avec impact envisagé'!$A$761:$A$780=AG23)*('Eval-Avec impact envisagé'!$N$761:$P$780="LS"))),1*(SUMPRODUCT(('Eval-Avec impact envisagé'!$A$761:$A$780=AG23)*('Eval-Avec impact envisagé'!$N$761:$P$780="SL"))+ SUMPRODUCT(('Eval-Avec impact envisagé'!$A$761:$A$780=AG23)*('Eval-Avec impact envisagé'!$N$761:$P$780="S"))))/(3*COUNTIF('Eval-Avec impact envisagé'!$A$761:$A$780,AG23))),"")</f>
        <v/>
      </c>
      <c r="AX23" s="211" t="str">
        <f>IF(COUNTIF('Eval-Avec impact envisagé'!$A$761:$A$780,AG23)&gt;0,IF(OR(AND('Eval-Avec impact envisagé'!$A$761=AG23,BD9&lt;120),AND('Eval-Avec impact envisagé'!$A$762=AG23,BD10&lt;120),AND('Eval-Avec impact envisagé'!$A$763=AG23,BD11&lt;120),AND('Eval-Avec impact envisagé'!$A$764=AG23,BD12&lt;120),AND('Eval-Avec impact envisagé'!$A$765=AG23,BD13&lt;120),AND('Eval-Avec impact envisagé'!$A$766=AG23,BD14&lt;120),AND('Eval-Avec impact envisagé'!$A$767=AG23,BD15&lt;120),AND('Eval-Avec impact envisagé'!$A$768=AG23,BD16&lt;120),AND('Eval-Avec impact envisagé'!$A$769=AG23,BD17&lt;120),AND('Eval-Avec impact envisagé'!$A$770=AG23,BD18&lt;120),AND('Eval-Avec impact envisagé'!$A$771=AG23,BD19&lt;120),AND('Eval-Avec impact envisagé'!$A$772=AG23,BD20&lt;120),AND('Eval-Avec impact envisagé'!$A$773=AG23,BD21&lt;120),AND('Eval-Avec impact envisagé'!$A$774=AG23,BD22&lt;120),AND('Eval-Avec impact envisagé'!$A$775=AG23,BD23&lt;120),AND('Eval-Avec impact envisagé'!$A$776=AG23,BD24&lt;120),AND('Eval-Avec impact envisagé'!$A$777=AG23,BD25&lt;120),AND('Eval-Avec impact envisagé'!$A$778=AG23,BD26&lt;120),AND('Eval-Avec impact envisagé'!$A$779=AG23,BD27&lt;120),AND('Eval-Avec impact envisagé'!$A$780=AG23,BD28&lt;120)),"",SUM(0.1*(SUMPRODUCT(('Eval-Avec impact envisagé'!$A$761:$A$780=AG23)*('Eval-Avec impact envisagé'!$Q$761:$Y$780="A"))+ SUMPRODUCT(('Eval-Avec impact envisagé'!$A$761:$A$780=AG23)*('Eval-Avec impact envisagé'!$Q$761:$Y$780="AL"))),0.7*(SUMPRODUCT(('Eval-Avec impact envisagé'!$A$761:$A$780=AG23)*('Eval-Avec impact envisagé'!$Q$761:$Y$780="TF"))+SUMPRODUCT(('Eval-Avec impact envisagé'!$A$761:$A$780=AG23)*('Eval-Avec impact envisagé'!$Q$761:$Y$780="TM"))+SUMPRODUCT(('Eval-Avec impact envisagé'!$A$761:$A$780=AG23)*('Eval-Avec impact envisagé'!$Q$761:$Y$780="TS"))),0.4*(SUMPRODUCT(('Eval-Avec impact envisagé'!$A$761:$A$780=AG23)*('Eval-Avec impact envisagé'!$Q$761:$Y$780="LA"))+SUMPRODUCT(('Eval-Avec impact envisagé'!$A$761:$A$780=AG23)*('Eval-Avec impact envisagé'!$Q$761:$Y$780="L"))+SUMPRODUCT(('Eval-Avec impact envisagé'!$A$761:$A$780=AG23)*('Eval-Avec impact envisagé'!$Q$761:$Y$780="LS"))),1*(SUMPRODUCT(('Eval-Avec impact envisagé'!$A$761:$A$780=AG23)*('Eval-Avec impact envisagé'!$Q$761:$Y$780="SL"))+ SUMPRODUCT(('Eval-Avec impact envisagé'!$A$761:$A$780=AG23)*('Eval-Avec impact envisagé'!$Q$761:$Y$780="S"))))/(9*COUNTIF('Eval-Avec impact envisagé'!$A$761:$A$780,AG23))),"")</f>
        <v/>
      </c>
      <c r="AY23" s="211" t="str">
        <f>IF(COUNTIF('Eval-Avec impact envisagé'!$A$761:$A$780,AG23)&gt;0,IF(OR(AND('Eval-Avec impact envisagé'!$A$761=AG23,OR(COUNTIF('Eval-Avec impact envisagé'!$N$761:$P$761,"*T*")&gt;0,BD9&lt;30)),AND('Eval-Avec impact envisagé'!$A$762=AG23,OR(COUNTIF('Eval-Avec impact envisagé'!$N$762:$P$762,"*T*")&gt;0,BD10&lt;30)),AND('Eval-Avec impact envisagé'!$A$763=AG23,OR(COUNTIF('Eval-Avec impact envisagé'!$N$763:$P$763,"*T*")&gt;0,BD11&lt;30)),AND('Eval-Avec impact envisagé'!$A$764=AG23,OR(COUNTIF('Eval-Avec impact envisagé'!$N$764:$P$764,"*T*")&gt;0,BD12&lt;30)),AND('Eval-Avec impact envisagé'!$A$765=AG23,OR(COUNTIF('Eval-Avec impact envisagé'!$N$765:$P$765,"*T*")&gt;0,BD13&lt;30)),AND('Eval-Avec impact envisagé'!$A$766=AG23,OR(COUNTIF('Eval-Avec impact envisagé'!$N$766:$P$766,"*T*")&gt;0,BD14&lt;30)),AND('Eval-Avec impact envisagé'!$A$767=AG23,OR(COUNTIF('Eval-Avec impact envisagé'!$N$767:$P$767,"*T*")&gt;0,BD15&lt;30)),AND('Eval-Avec impact envisagé'!$A$768=AG23,OR(COUNTIF('Eval-Avec impact envisagé'!$N$768:$P$768,"*T*")&gt;0,BD16&lt;30)),AND('Eval-Avec impact envisagé'!$A$769=AG23,OR(COUNTIF('Eval-Avec impact envisagé'!$N$769:$P$769,"*T*")&gt;0,BD17&lt;30)),AND('Eval-Avec impact envisagé'!$A$770=AG23,OR(COUNTIF('Eval-Avec impact envisagé'!$N$770:$P$770,"*T*")&gt;0,BD18&lt;30)),AND('Eval-Avec impact envisagé'!$A$771=AG23,OR(COUNTIF('Eval-Avec impact envisagé'!$N$771:$P$771,"*T*")&gt;0,BD19&lt;30)),AND('Eval-Avec impact envisagé'!$A$772=AG23,OR(COUNTIF('Eval-Avec impact envisagé'!$N$772:$P$772,"*T*")&gt;0,BD20&lt;30)),AND('Eval-Avec impact envisagé'!$A$773=AG23,OR(COUNTIF('Eval-Avec impact envisagé'!$N$773:$P$773,"*T*")&gt;0,BD21&lt;30)),AND('Eval-Avec impact envisagé'!$A$774=AG23,OR(COUNTIF('Eval-Avec impact envisagé'!$N$774:$P$774,"*T*")&gt;0,BD22&lt;30)),AND('Eval-Avec impact envisagé'!$A$775=AG23,OR(COUNTIF('Eval-Avec impact envisagé'!$N$775:$P$775,"*T*")&gt;0,BD23&lt;30)),AND('Eval-Avec impact envisagé'!$A$776=AG23,OR(COUNTIF('Eval-Avec impact envisagé'!$N$776:$P$776,"*T*")&gt;0,BD24&lt;30)),AND('Eval-Avec impact envisagé'!$A$777=AG23,OR(COUNTIF('Eval-Avec impact envisagé'!$N$777:$P$777,"*T*")&gt;0,BD25&lt;30)),AND('Eval-Avec impact envisagé'!$A$778=AG23,OR(COUNTIF('Eval-Avec impact envisagé'!$N$778:$P$778,"*T*")&gt;0,BD26&lt;30)),AND('Eval-Avec impact envisagé'!$A$779=AG23,OR(COUNTIF('Eval-Avec impact envisagé'!$N$779:$P$779,"*T*")&gt;0,BD27&lt;30)),AND('Eval-Avec impact envisagé'!$A$780=AG23,OR(COUNTIF('Eval-Avec impact envisagé'!$N$780:$P$780,"*T*")&gt;0,BD28&lt;30))),"",SUM(0.1*(SUMPRODUCT(('Eval-Avec impact envisagé'!$A$761:$A$780=AG23)*('Eval-Avec impact envisagé'!$N$761:$P$780="L"))),0.4*(SUMPRODUCT(('Eval-Avec impact envisagé'!$A$761:$A$780=AG23)*('Eval-Avec impact envisagé'!$N$761:$P$780="LA"))+SUMPRODUCT(('Eval-Avec impact envisagé'!$A$761:$A$780=AG23)*('Eval-Avec impact envisagé'!$N$761:$P$780="LS"))),0.7*(SUMPRODUCT(('Eval-Avec impact envisagé'!$A$761:$A$780=AG23)*('Eval-Avec impact envisagé'!$N$761:$P$780="AL"))+SUMPRODUCT(('Eval-Avec impact envisagé'!$A$761:$A$780=AG23)*('Eval-Avec impact envisagé'!$N$761:$P$780="SL"))),1*(SUMPRODUCT(('Eval-Avec impact envisagé'!$A$761:$A$780=AG23)*('Eval-Avec impact envisagé'!$N$761:$P$780="S"))+ SUMPRODUCT(('Eval-Avec impact envisagé'!$A$761:$A$780=AG23)*('Eval-Avec impact envisagé'!$N$761:$P$780="A"))))/(3*COUNTIF('Eval-Avec impact envisagé'!$A$761:$A$780,AG23))),"")</f>
        <v/>
      </c>
      <c r="AZ23" s="211" t="str">
        <f>IF(COUNTIF('Eval-Avec impact envisagé'!$A$761:$A$780,AG23)&gt;0,IF(OR(AND('Eval-Avec impact envisagé'!$A$761=AG23,OR(COUNTIF('Eval-Avec impact envisagé'!$N$761:$P$761,"*T*")&gt;0,BD9&lt;30)),AND('Eval-Avec impact envisagé'!$A$762=AG23,OR(COUNTIF('Eval-Avec impact envisagé'!$N$762:$P$762,"*T*")&gt;0,BD10&lt;30)),AND('Eval-Avec impact envisagé'!$A$763=AG23,OR(COUNTIF('Eval-Avec impact envisagé'!$N$763:$P$763,"*T*")&gt;0,BD11&lt;30)),AND('Eval-Avec impact envisagé'!$A$764=AG23,OR(COUNTIF('Eval-Avec impact envisagé'!$N$764:$P$764,"*T*")&gt;0,BD12&lt;30)),AND('Eval-Avec impact envisagé'!$A$765=AG23,OR(COUNTIF('Eval-Avec impact envisagé'!$N$765:$P$765,"*T*")&gt;0,BD13&lt;30)),AND('Eval-Avec impact envisagé'!$A$766=AG23,OR(COUNTIF('Eval-Avec impact envisagé'!$N$766:$P$766,"*T*")&gt;0,BD14&lt;30)),AND('Eval-Avec impact envisagé'!$A$767=AG23,OR(COUNTIF('Eval-Avec impact envisagé'!$N$767:$P$767,"*T*")&gt;0,BD15&lt;30)),AND('Eval-Avec impact envisagé'!$A$768=AG23,OR(COUNTIF('Eval-Avec impact envisagé'!$N$768:$P$768,"*T*")&gt;0,BD16&lt;30)),AND('Eval-Avec impact envisagé'!$A$769=AG23,OR(COUNTIF('Eval-Avec impact envisagé'!$N$769:$P$769,"*T*")&gt;0,BD17&lt;30)),AND('Eval-Avec impact envisagé'!$A$770=AG23,OR(COUNTIF('Eval-Avec impact envisagé'!$N$770:$P$770,"*T*")&gt;0,BD18&lt;30)),AND('Eval-Avec impact envisagé'!$A$771=AG23,OR(COUNTIF('Eval-Avec impact envisagé'!$N$771:$P$771,"*T*")&gt;0,BD19&lt;30)),AND('Eval-Avec impact envisagé'!$A$772=AG23,OR(COUNTIF('Eval-Avec impact envisagé'!$N$772:$P$772,"*T*")&gt;0,BD20&lt;30)),AND('Eval-Avec impact envisagé'!$A$773=AG23,OR(COUNTIF('Eval-Avec impact envisagé'!$N$773:$P$773,"*T*")&gt;0,BD21&lt;30)),AND('Eval-Avec impact envisagé'!$A$774=AG23,OR(COUNTIF('Eval-Avec impact envisagé'!$N$774:$P$774,"*T*")&gt;0,BD22&lt;30)),AND('Eval-Avec impact envisagé'!$A$775=AG23,OR(COUNTIF('Eval-Avec impact envisagé'!$N$775:$P$775,"*T*")&gt;0,BD23&lt;30)),AND('Eval-Avec impact envisagé'!$A$776=AG23,OR(COUNTIF('Eval-Avec impact envisagé'!$N$776:$P$776,"*T*")&gt;0,BD24&lt;30)),AND('Eval-Avec impact envisagé'!$A$777=AG23,OR(COUNTIF('Eval-Avec impact envisagé'!$N$777:$P$777,"*T*")&gt;0,BD25&lt;30)),AND('Eval-Avec impact envisagé'!$A$778=AG23,OR(COUNTIF('Eval-Avec impact envisagé'!$N$778:$P$778,"*T*")&gt;0,BD26&lt;30)),AND('Eval-Avec impact envisagé'!$A$779=AG23,OR(COUNTIF('Eval-Avec impact envisagé'!$N$779:$P$779,"*T*")&gt;0,BD27&lt;30)),AND('Eval-Avec impact envisagé'!$A$780=AG23,OR(COUNTIF('Eval-Avec impact envisagé'!$N$780:$P$780,"*T*")&gt;0,BD28&lt;30))),"",SUM(1*(SUMPRODUCT(('Eval-Avec impact envisagé'!$A$761:$A$780=AG23)*('Eval-Avec impact envisagé'!$N$761:$P$780="A"))),0.85*(SUMPRODUCT(('Eval-Avec impact envisagé'!$A$761:$A$780=AG23)*('Eval-Avec impact envisagé'!$N$761:$P$780="AL"))),0.7*(SUMPRODUCT(('Eval-Avec impact envisagé'!$A$761:$A$780=AG23)*('Eval-Avec impact envisagé'!$N$761:$P$780="LA"))),0.55*(SUMPRODUCT(('Eval-Avec impact envisagé'!$A$761:$A$780=AG23)*('Eval-Avec impact envisagé'!$N$761:$P$780="L"))),0.4*(SUMPRODUCT(('Eval-Avec impact envisagé'!$A$761:$A$780=AG23)*('Eval-Avec impact envisagé'!$N$761:$P$780="LS"))),0.25*(SUMPRODUCT(('Eval-Avec impact envisagé'!$A$761:$A$780=AG23)*('Eval-Avec impact envisagé'!$N$761:$P$780="SL"))),0.1*(SUMPRODUCT(('Eval-Avec impact envisagé'!$A$761:$A$780=AG23)*('Eval-Avec impact envisagé'!$N$761:$P$780="S"))))/(3*COUNTIF('Eval-Avec impact envisagé'!$A$761:$A$780,AG23))),"")</f>
        <v/>
      </c>
      <c r="BA23" s="214" t="str">
        <f>IF(COUNTIF('Eval-Avec impact envisagé'!$A$761:$A$780,AG23)&gt;0,IF(OR(AND('Eval-Avec impact envisagé'!$A$761=AG23,OR(COUNTIF('Eval-Avec impact envisagé'!$Q$761:$Y$761,"*T*")&gt;0,BD9&lt;120)),AND('Eval-Avec impact envisagé'!$A$762=AG23,OR(COUNTIF('Eval-Avec impact envisagé'!$Q$762:$Y$762,"*T*")&gt;0,BD10&lt;120)),AND('Eval-Avec impact envisagé'!$A$763=AG23,OR(COUNTIF('Eval-Avec impact envisagé'!$Q$763:$Y$763,"*T*")&gt;0,BD11&lt;120)),AND('Eval-Avec impact envisagé'!$A$764=AG23,OR(COUNTIF('Eval-Avec impact envisagé'!$Q$764:$Y$764,"*T*")&gt;0,BD12&lt;120)),AND('Eval-Avec impact envisagé'!$A$765=AG23,OR(COUNTIF('Eval-Avec impact envisagé'!$Q$765:$Y$765,"*T*")&gt;0,BD13&lt;120)),AND('Eval-Avec impact envisagé'!$A$766=AG23,OR(COUNTIF('Eval-Avec impact envisagé'!$Q$766:$Y$766,"*T*")&gt;0,BD14&lt;120)),AND('Eval-Avec impact envisagé'!$A$767=AG23,OR(COUNTIF('Eval-Avec impact envisagé'!$Q$767:$Y$767,"*T*")&gt;0,BD15&lt;120)),AND('Eval-Avec impact envisagé'!$A$768=AG23,OR(COUNTIF('Eval-Avec impact envisagé'!$Q$768:$Y$768,"*T*")&gt;0,BD16&lt;120)),AND('Eval-Avec impact envisagé'!$A$769=AG23,OR(COUNTIF('Eval-Avec impact envisagé'!$Q$769:$Y$769,"*T*")&gt;0,BD17&lt;120)),AND('Eval-Avec impact envisagé'!$A$770=AG23,OR(COUNTIF('Eval-Avec impact envisagé'!$Q$770:$Y$770,"*T*")&gt;0,BD18&lt;120)),AND('Eval-Avec impact envisagé'!$A$771=AG23,OR(COUNTIF('Eval-Avec impact envisagé'!$Q$771:$Y$771,"*T*")&gt;0,BD19&lt;120)),AND('Eval-Avec impact envisagé'!$A$772=AG23,OR(COUNTIF('Eval-Avec impact envisagé'!$Q$772:$Y$772,"*T*")&gt;0,BD20&lt;120)),AND('Eval-Avec impact envisagé'!$A$773=AG23,OR(COUNTIF('Eval-Avec impact envisagé'!$Q$773:$Y$773,"*T*")&gt;0,BD21&lt;120)),AND('Eval-Avec impact envisagé'!$A$774=AG23,OR(COUNTIF('Eval-Avec impact envisagé'!$Q$774:$Y$774,"*T*")&gt;0,BD22&lt;120)),AND('Eval-Avec impact envisagé'!$A$775=AG23,OR(COUNTIF('Eval-Avec impact envisagé'!$Q$775:$Y$775,"*T*")&gt;0,BD23&lt;120)),AND('Eval-Avec impact envisagé'!$A$776=AG23,OR(COUNTIF('Eval-Avec impact envisagé'!$Q$776:$Y$776,"*T*")&gt;0,BD24&lt;120)),AND('Eval-Avec impact envisagé'!$A$777=AG23,OR(COUNTIF('Eval-Avec impact envisagé'!$Q$777:$Y$777,"*T*")&gt;0,BD25&lt;120)),AND('Eval-Avec impact envisagé'!$A$778=AG23,OR(COUNTIF('Eval-Avec impact envisagé'!$Q$778:$Y$778,"*T*")&gt;0,BD26&lt;120)),AND('Eval-Avec impact envisagé'!$A$779=AG23,OR(COUNTIF('Eval-Avec impact envisagé'!$Q$779:$Y$779,"*T*")&gt;0,BD27&lt;120)),AND('Eval-Avec impact envisagé'!$A$780=AG23,OR(COUNTIF('Eval-Avec impact envisagé'!$Q$780:$Y$780,"*T*")&gt;0,BD28&lt;120))),"",SUM(1*(SUMPRODUCT(('Eval-Avec impact envisagé'!$A$761:$A$780=AG23)*('Eval-Avec impact envisagé'!$Q$761:$Y$780="A"))),0.85*(SUMPRODUCT(('Eval-Avec impact envisagé'!$A$761:$A$780=AG23)*('Eval-Avec impact envisagé'!$Q$761:$Y$780="AL"))),0.7*(SUMPRODUCT(('Eval-Avec impact envisagé'!$A$761:$A$780=AG23)*('Eval-Avec impact envisagé'!$Q$761:$Y$780="LA"))),0.55*(SUMPRODUCT(('Eval-Avec impact envisagé'!$A$761:$A$780=AG23)*('Eval-Avec impact envisagé'!$Q$761:$Y$780="L"))),0.4*(SUMPRODUCT(('Eval-Avec impact envisagé'!$A$761:$A$780=AG23)*('Eval-Avec impact envisagé'!$Q$761:$Y$780="LS"))),0.25*(SUMPRODUCT(('Eval-Avec impact envisagé'!$A$761:$A$780=AG23)*('Eval-Avec impact envisagé'!$Q$761:$Y$780="SL"))),0.1*(SUMPRODUCT(('Eval-Avec impact envisagé'!$A$761:$A$780=AG23)*('Eval-Avec impact envisagé'!$Q$761:$Y$780="S"))))/(9*COUNTIF('Eval-Avec impact envisagé'!$A$761:$A$780,AG23))),"")</f>
        <v/>
      </c>
      <c r="BB23" s="215"/>
      <c r="BC23" s="216">
        <f>'Eval-Avec impact envisagé'!$D$775</f>
        <v>15</v>
      </c>
      <c r="BD23" s="217" t="str">
        <f>IF(BE23="C",0,IF(IF(COUNTIF('Eval-Avec impact envisagé'!$N$775:$Y$775,"=C")&gt;0,(COUNTA('Eval-Avec impact envisagé'!$N$775:$Y$775)-1)*10,COUNTA('Eval-Avec impact envisagé'!$N$775:$Y$775)*10)=0,"",IF(COUNTIF('Eval-Avec impact envisagé'!$N$775:$Y$775,"=C")&gt;0,(COUNTA('Eval-Avec impact envisagé'!$N$775:$Y$775)-1)*10,COUNTA('Eval-Avec impact envisagé'!$N$775:$Y$775)*10)))</f>
        <v/>
      </c>
      <c r="BE23" s="217" t="str">
        <f>CONCATENATE('Eval-Avec impact envisagé'!$N$775,'Eval-Avec impact envisagé'!$O$775,'Eval-Avec impact envisagé'!$P$775,'Eval-Avec impact envisagé'!$Q$775,'Eval-Avec impact envisagé'!$R$775,'Eval-Avec impact envisagé'!$S$775,'Eval-Avec impact envisagé'!$T$775,'Eval-Avec impact envisagé'!$U$775,'Eval-Avec impact envisagé'!$V$775,'Eval-Avec impact envisagé'!$W$775,'Eval-Avec impact envisagé'!$X$775,'Eval-Avec impact envisagé'!$Y$775)</f>
        <v/>
      </c>
      <c r="BF23" s="217" t="str">
        <f t="shared" si="4"/>
        <v/>
      </c>
      <c r="BG23" s="217" t="str">
        <f t="shared" si="5"/>
        <v/>
      </c>
      <c r="BH23" s="217" t="str">
        <f>IF(COUNTIF('Eval-Avec impact envisagé'!$N$775:$Y$775,"=C")&gt;0,"X","")</f>
        <v/>
      </c>
      <c r="BI23" s="217" t="str">
        <f t="shared" si="6"/>
        <v/>
      </c>
      <c r="BJ23" s="218" t="str">
        <f t="shared" si="7"/>
        <v/>
      </c>
      <c r="BK23" s="197"/>
      <c r="BM23" s="210">
        <v>15</v>
      </c>
      <c r="BN23" s="211" t="str">
        <f>IF(COUNTIF('Eval-Après impact'!$A$761:$A$780,BM23)&gt;0,SUM(IF('Eval-Après impact'!$A$761=BM23,'Eval-Après impact'!$B$761,0),IF('Eval-Après impact'!$A$762=BM23, 'Eval-Après impact'!$B$762,0),IF('Eval-Après impact'!$A$763=BM23, 'Eval-Après impact'!$B$763,0),IF('Eval-Après impact'!$A$764=BM23, 'Eval-Après impact'!$B$764,0),IF('Eval-Après impact'!$A$765=BM23, 'Eval-Après impact'!$B$765,0),IF('Eval-Après impact'!$A$766=BM23, 'Eval-Après impact'!$B$766,0),IF('Eval-Après impact'!$A$767=BM23, 'Eval-Après impact'!$B$767,0),IF('Eval-Après impact'!$A$768=BM23, 'Eval-Après impact'!$B$768,0),IF('Eval-Après impact'!$A$769=BM23, 'Eval-Après impact'!$B$769,0),IF('Eval-Après impact'!$A$770=BM23, 'Eval-Après impact'!$B$770,0),IF('Eval-Après impact'!$A$771=BM23, 'Eval-Après impact'!$B$771,0),IF('Eval-Après impact'!$A$772=BM23, 'Eval-Après impact'!$B$772,0),IF('Eval-Après impact'!$A$773=BM23, 'Eval-Après impact'!$B$773,0),IF('Eval-Après impact'!$A$774=BM23, 'Eval-Après impact'!$B$774,0),IF('Eval-Après impact'!$A$775=BM23, 'Eval-Après impact'!$B$775,0),IF('Eval-Après impact'!$A$776=BM23, 'Eval-Après impact'!$B$776,0),IF('Eval-Après impact'!$A$777=BM23, 'Eval-Après impact'!$B$777,0),IF('Eval-Après impact'!$A$778=BM23, 'Eval-Après impact'!$B$778,0),IF('Eval-Après impact'!$A$779=BM23, 'Eval-Après impact'!$B$779,0),IF('Eval-Après impact'!$A$780=BM23, 'Eval-Après impact'!$B$780,0))/COUNTIF('Eval-Après impact'!$A$761:$A$780,BM23),"")</f>
        <v/>
      </c>
      <c r="BO23" s="212" t="str">
        <f>IF(COUNTIF('Eval-Après impact'!$A$761:$A$780,BM23)&gt;0,COUNTIF('Eval-Après impact'!$A$761:$A$780,BM23),"")</f>
        <v/>
      </c>
      <c r="BP23" s="211" t="str">
        <f>IF(COUNTIF('Eval-Après impact'!$A$761:$A$780,BM23)&gt;0,IF(OR(AND('Eval-Après impact'!$A$761=BM23, 'Eval-Après impact'!$G$761=""),AND('Eval-Après impact'!$A$762=BM23, 'Eval-Après impact'!$G$762=""),AND('Eval-Après impact'!$A$763=BM23, 'Eval-Après impact'!$G$763=""),AND('Eval-Après impact'!$A$764=BM23, 'Eval-Après impact'!$G$764=""),AND('Eval-Après impact'!$A$765=BM23, 'Eval-Après impact'!$G$765=""),AND('Eval-Après impact'!$A$766=BM23, 'Eval-Après impact'!$G$766=""),AND('Eval-Après impact'!$A$767=BM23, 'Eval-Après impact'!$G$767=""),AND('Eval-Après impact'!$A$768=BM23, 'Eval-Après impact'!$G$768=""),AND('Eval-Après impact'!$A$769=BM23, 'Eval-Après impact'!$G$769=""),AND('Eval-Après impact'!$A$770=BM23, 'Eval-Après impact'!$G$770=""),AND('Eval-Après impact'!$A$771=BM23, 'Eval-Après impact'!$G$771=""),AND('Eval-Après impact'!$A$772=BM23, 'Eval-Après impact'!$G$772=""),AND('Eval-Après impact'!$A$773=BM23, 'Eval-Après impact'!$G$773=""),AND('Eval-Après impact'!$A$774=BM23, 'Eval-Après impact'!$G$774=""),AND('Eval-Après impact'!$A$775=BM23, 'Eval-Après impact'!$G$775=""),AND('Eval-Après impact'!$A$776=BM23, 'Eval-Après impact'!$G$776=""),AND('Eval-Après impact'!$A$777=BM23, 'Eval-Après impact'!$G$777=""),AND('Eval-Après impact'!$A$778=BM23, 'Eval-Après impact'!$G$778=""),AND('Eval-Après impact'!$A$779=BM23, 'Eval-Après impact'!$G$779=""),AND('Eval-Après impact'!$A$780=BM23, 'Eval-Après impact'!$G$780="")),"",SUM(IF('Eval-Après impact'!$A$761=BM23,'Eval-Après impact'!$G$761,0),IF('Eval-Après impact'!$A$762=BM23,'Eval-Après impact'!$G$762,0),IF('Eval-Après impact'!$A$763=BM23,'Eval-Après impact'!$G$763,0),IF('Eval-Après impact'!$A$764=BM23,'Eval-Après impact'!$G$764,0),IF('Eval-Après impact'!$A$765=BM23,'Eval-Après impact'!$G$765,0),IF('Eval-Après impact'!$A$766=BM23,'Eval-Après impact'!$G$766,0),IF('Eval-Après impact'!$A$767=BM23,'Eval-Après impact'!$G$767,0),IF('Eval-Après impact'!$A$768=BM23,'Eval-Après impact'!$G$768,0),IF('Eval-Après impact'!$A$769=BM23,'Eval-Après impact'!$G$769,0),IF('Eval-Après impact'!$A$770=BM23,'Eval-Après impact'!$G$770,0),IF('Eval-Après impact'!$A$771=BM23,'Eval-Après impact'!$G$771,0),IF('Eval-Après impact'!$A$772=BM23,'Eval-Après impact'!$G$772,0),IF('Eval-Après impact'!$A$773=BM23,'Eval-Après impact'!$G$773,0),IF('Eval-Après impact'!$A$774=BM23,'Eval-Après impact'!$G$774,0),IF('Eval-Après impact'!$A$775=BM23,'Eval-Après impact'!$G$775,0), IF('Eval-Après impact'!$A$776=BM23,'Eval-Après impact'!$G$776,0), IF('Eval-Après impact'!$A$777=BM23,'Eval-Après impact'!$G$777,0), IF('Eval-Après impact'!$A$778=BM23,'Eval-Après impact'!$G$778,0), IF('Eval-Après impact'!$A$779=BM23,'Eval-Après impact'!$G$779,0), IF('Eval-Après impact'!$A$780=BM23,'Eval-Après impact'!$G$780,0))/ COUNTIF('Eval-Après impact'!$A$761:$A$780,BM23)),"")</f>
        <v/>
      </c>
      <c r="BQ23" s="212" t="str">
        <f>IF(COUNTIF('Eval-Après impact'!$A$761:$A$780,BM23)&gt;0,IF(SUM(IF('Eval-Après impact'!$A$761=BM23,COUNTA('Eval-Après impact'!$H$761),0),IF('Eval-Après impact'!$A$762=BM23,COUNTA('Eval-Après impact'!$H$762),0),IF('Eval-Après impact'!$A$763=BM23,COUNTA('Eval-Après impact'!$H$763),0),IF('Eval-Après impact'!$A$764=BM23,COUNTA('Eval-Après impact'!$H$764),0),IF('Eval-Après impact'!$A$765=BM23,COUNTA('Eval-Après impact'!$H$765),0),IF('Eval-Après impact'!$A$766=BM23,COUNTA('Eval-Après impact'!$H$766),0),IF('Eval-Après impact'!$A$767=BM23,COUNTA('Eval-Après impact'!$H$767),0),IF('Eval-Après impact'!$A$768=BM23,COUNTA('Eval-Après impact'!$H$768),0),IF('Eval-Après impact'!$A$769=BM23,COUNTA('Eval-Après impact'!$H$769),0),IF('Eval-Après impact'!$A$770=BM23,COUNTA('Eval-Après impact'!$H$770),0),IF('Eval-Après impact'!$A$771=BM23,COUNTA('Eval-Après impact'!$H$771),0),IF('Eval-Après impact'!$A$772=BM23,COUNTA('Eval-Après impact'!$H$772),0),IF('Eval-Après impact'!$A$773=BM23,COUNTA('Eval-Après impact'!$H$773),0),IF('Eval-Après impact'!$A$774=BM23,COUNTA('Eval-Après impact'!$H$774),0),IF('Eval-Après impact'!$A$775=BM23,COUNTA('Eval-Après impact'!$H$775),0),IF('Eval-Après impact'!$A$776=BM23,COUNTA('Eval-Après impact'!$H$776),0),IF('Eval-Après impact'!$A$777=BM23,COUNTA('Eval-Après impact'!$H$777),0),IF('Eval-Après impact'!$A$778=BM23,COUNTA('Eval-Après impact'!$H$778),0),IF('Eval-Après impact'!$A$779=BM23,COUNTA('Eval-Après impact'!$H$779),0),IF('Eval-Après impact'!$A$780=BM23,COUNTA('Eval-Après impact'!$H$780),0))&gt;0,"X",0),"")</f>
        <v/>
      </c>
      <c r="BR23" s="213" t="str">
        <f>IF(COUNTIF('Eval-Après impact'!$A$761:$A$780,BM23)&gt;0,IF(SUM(IF('Eval-Après impact'!$A$761=BM23,COUNTA('Eval-Après impact'!$I$761),0),IF('Eval-Après impact'!$A$762=BM23,COUNTA('Eval-Après impact'!$I$762),0),IF('Eval-Après impact'!$A$763=BM23,COUNTA('Eval-Après impact'!$I$763),0),IF('Eval-Après impact'!$A$764=BM23,COUNTA('Eval-Après impact'!$I$764),0),IF('Eval-Après impact'!$A$765=BM23,COUNTA('Eval-Après impact'!$I$765),0),IF('Eval-Après impact'!$A$766=BM23,COUNTA('Eval-Après impact'!$I$766),0),IF('Eval-Après impact'!$A$767=BM23,COUNTA('Eval-Après impact'!$I$767),0),IF('Eval-Après impact'!$A$768=BM23,COUNTA('Eval-Après impact'!$I$768),0),IF('Eval-Après impact'!$A$769=BM23,COUNTA('Eval-Après impact'!$I$769),0),IF('Eval-Après impact'!$A$770=BM23,COUNTA('Eval-Après impact'!$I$770),0),IF('Eval-Après impact'!$A$771=BM23,COUNTA('Eval-Après impact'!$I$771),0),IF('Eval-Après impact'!$A$772=BM23,COUNTA('Eval-Après impact'!$I$772),0),IF('Eval-Après impact'!$A$773=BM23,COUNTA('Eval-Après impact'!$I$773),0),IF('Eval-Après impact'!$A$774=BM23,COUNTA('Eval-Après impact'!$I$774),0),IF('Eval-Après impact'!$A$775=BM23,COUNTA('Eval-Après impact'!$I$775),0),IF('Eval-Après impact'!$A$776=BM23,COUNTA('Eval-Après impact'!$I$776),0),IF('Eval-Après impact'!$A$777=BM23,COUNTA('Eval-Après impact'!$I$777),0),IF('Eval-Après impact'!$A$778=BM23,COUNTA('Eval-Après impact'!$I$778),0),IF('Eval-Après impact'!$A$779=BM23,COUNTA('Eval-Après impact'!$I$779),0),IF('Eval-Après impact'!$A$780=BM23,COUNTA('Eval-Après impact'!$I$780),0))&gt;0,"X",0),"")</f>
        <v/>
      </c>
      <c r="BS23" s="213" t="str">
        <f>IF(COUNTIF('Eval-Après impact'!$A$761:$A$780,BM23)&gt;0,IF(SUM(IF('Eval-Après impact'!$A$761=BM23,COUNTA('Eval-Après impact'!$J$761),0),IF('Eval-Après impact'!$A$762=BM23,COUNTA('Eval-Après impact'!$J$762),0),IF('Eval-Après impact'!$A$763=BM23,COUNTA('Eval-Après impact'!$J$763),0),IF('Eval-Après impact'!$A$764=BM23,COUNTA('Eval-Après impact'!$J$764),0),IF('Eval-Après impact'!$A$765=BM23,COUNTA('Eval-Après impact'!$J$765),0),IF('Eval-Après impact'!$A$766=BM23,COUNTA('Eval-Après impact'!$J$766),0),IF('Eval-Après impact'!$A$767=BM23,COUNTA('Eval-Après impact'!$J$767),0),IF('Eval-Après impact'!$A$768=BM23,COUNTA('Eval-Après impact'!$J$768),0),IF('Eval-Après impact'!$A$769=BM23,COUNTA('Eval-Après impact'!$J$769),0),IF('Eval-Après impact'!$A$770=BM23,COUNTA('Eval-Après impact'!$J$770),0),IF('Eval-Après impact'!$A$771=BM23,COUNTA('Eval-Après impact'!$J$771),0),IF('Eval-Après impact'!$A$772=BM23,COUNTA('Eval-Après impact'!$J$772),0),IF('Eval-Après impact'!$A$773=BM23,COUNTA('Eval-Après impact'!$J$773),0),IF('Eval-Après impact'!$A$774=BM23,COUNTA('Eval-Après impact'!$J$774),0),IF('Eval-Après impact'!$A$775=BM23,COUNTA('Eval-Après impact'!$J$775),0),IF('Eval-Après impact'!$A$776=BM23,COUNTA('Eval-Après impact'!$J$776),0),IF('Eval-Après impact'!$A$777=BM23,COUNTA('Eval-Après impact'!$J$777),0),IF('Eval-Après impact'!$A$778=BM23,COUNTA('Eval-Après impact'!$J$778),0),IF('Eval-Après impact'!$A$779=BM23,COUNTA('Eval-Après impact'!$J$779),0),IF('Eval-Après impact'!$A$780=BM23,COUNTA('Eval-Après impact'!$J$780),0))&gt;0,"X",0),"")</f>
        <v/>
      </c>
      <c r="BT23" s="213" t="str">
        <f>IF(COUNTIF('Eval-Après impact'!$A$761:$A$780,BM23)&gt;0,IF(SUM(IF('Eval-Après impact'!$A$761=BM23,COUNTA('Eval-Après impact'!$K$761),0),IF('Eval-Après impact'!$A$762=BM23,COUNTA('Eval-Après impact'!$K$762),0),IF('Eval-Après impact'!$A$763=BM23,COUNTA('Eval-Après impact'!$K$763),0),IF('Eval-Après impact'!$A$764=BM23,COUNTA('Eval-Après impact'!$K$764),0),IF('Eval-Après impact'!$A$765=BM23,COUNTA('Eval-Après impact'!$K$765),0),IF('Eval-Après impact'!$A$766=BM23,COUNTA('Eval-Après impact'!$K$766),0),IF('Eval-Après impact'!$A$767=BM23,COUNTA('Eval-Après impact'!$K$767),0),IF('Eval-Après impact'!$A$768=BM23,COUNTA('Eval-Après impact'!$K$768),0),IF('Eval-Après impact'!$A$769=BM23,COUNTA('Eval-Après impact'!$K$769),0),IF('Eval-Après impact'!$A$770=BM23,COUNTA('Eval-Après impact'!$K$770),0),IF('Eval-Après impact'!$A$771=BM23,COUNTA('Eval-Après impact'!$K$771),0),IF('Eval-Après impact'!$A$772=BM23,COUNTA('Eval-Après impact'!$K$772),0),IF('Eval-Après impact'!$A$773=BM23,COUNTA('Eval-Après impact'!$K$773),0),IF('Eval-Après impact'!$A$774=BM23,COUNTA('Eval-Après impact'!$K$774),0),IF('Eval-Après impact'!$A$775=BM23,COUNTA('Eval-Après impact'!$K$775),0),IF('Eval-Après impact'!$A$776=BM23,COUNTA('Eval-Après impact'!$K$776),0),IF('Eval-Après impact'!$A$777=BM23,COUNTA('Eval-Après impact'!$K$777),0),IF('Eval-Après impact'!$A$778=BM23,COUNTA('Eval-Après impact'!$K$778),0),IF('Eval-Après impact'!$A$779=BM23,COUNTA('Eval-Après impact'!$K$779),0),IF('Eval-Après impact'!$A$780=BM23,COUNTA('Eval-Après impact'!$K$780),0))&gt;0,"X",0),"")</f>
        <v/>
      </c>
      <c r="BU23" s="211" t="str">
        <f>IF(COUNTIF('Eval-Après impact'!$A$761:$A$780,BM23)&gt;0,IF(OR(AND('Eval-Après impact'!$A$761=BM23,'Eval-Après impact'!$L$761&lt;120,'Eval-Après impact'!$L$761&gt;=CJ9),AND('Eval-Après impact'!$A$762=BM23,'Eval-Après impact'!$L$762&lt;120,'Eval-Après impact'!$L$762&gt;=CJ10),AND('Eval-Après impact'!$A$763=BM23,'Eval-Après impact'!$L$763&lt;120,'Eval-Après impact'!$L$763&gt;=CJ11),AND('Eval-Après impact'!$A$764=BM23,'Eval-Après impact'!$L$764&lt;120,'Eval-Après impact'!$L$764&gt;=CJ12),AND('Eval-Après impact'!$A$765=BM23,'Eval-Après impact'!$L$765&lt;120,'Eval-Après impact'!$L$765&gt;=CJ13),AND('Eval-Après impact'!$A$766=BM23,'Eval-Après impact'!$L$766&lt;120,'Eval-Après impact'!$L$766&gt;=CJ14),AND('Eval-Après impact'!$A$767=BM23,'Eval-Après impact'!$L$767&lt;120,'Eval-Après impact'!$L$767&gt;=CJ15),AND('Eval-Après impact'!$A$768=BM23,'Eval-Après impact'!$L$768&lt;120,'Eval-Après impact'!$L$768&gt;=CJ16),AND('Eval-Après impact'!$A$769=BM23,'Eval-Après impact'!$L$769&lt;120,'Eval-Après impact'!$L$769&gt;=CJ17),AND('Eval-Après impact'!$A$770=BM23,'Eval-Après impact'!$L$770&lt;120,'Eval-Après impact'!$L$770&gt;=CJ18),AND('Eval-Après impact'!$A$771=BM23,'Eval-Après impact'!$L$771&lt;120,'Eval-Après impact'!$L$771&gt;=CJ19),AND('Eval-Après impact'!$A$772=BM23,'Eval-Après impact'!$L$772&lt;120,'Eval-Après impact'!$L$772&gt;=CJ20),AND('Eval-Après impact'!$A$773=BM23,'Eval-Après impact'!$L$773&lt;120,'Eval-Après impact'!$L$773&gt;=CJ21),AND('Eval-Après impact'!$A$774=BM23,'Eval-Après impact'!$L$774&lt;120,'Eval-Après impact'!$L$774&gt;=CJ22),AND('Eval-Après impact'!$A$775=BM23,'Eval-Après impact'!$L$775&lt;120,'Eval-Après impact'!$L$775&gt;=CJ23),AND('Eval-Après impact'!$A$776=BM23,'Eval-Après impact'!$L$776&lt;120,'Eval-Après impact'!$L$776&gt;=CJ24),AND('Eval-Après impact'!$A$777=BM23,'Eval-Après impact'!$L$777&lt;120,'Eval-Après impact'!$L$777&gt;=CJ25),AND('Eval-Après impact'!$A$778=BM23,'Eval-Après impact'!$L$778&lt;120,'Eval-Après impact'!$L$778&gt;=CJ26),AND('Eval-Après impact'!$A$779=BM23,'Eval-Après impact'!$L$779&lt;120,'Eval-Après impact'!$L$779&gt;=CJ27),AND('Eval-Après impact'!$A$780=BM23,'Eval-Après impact'!$L$780&lt;120,'Eval-Après impact'!$L$780&gt;=CJ28)),"",SUM(IF('Eval-Après impact'!$A$761=BM23,'Eval-Après impact'!$L$761,0),IF('Eval-Après impact'!$A$762=BM23,'Eval-Après impact'!$L$762,0),IF('Eval-Après impact'!$A$763=BM23,'Eval-Après impact'!$L$763,0),IF('Eval-Après impact'!$A$764=BM23,'Eval-Après impact'!$L$764,0),IF('Eval-Après impact'!$A$765=BM23,'Eval-Après impact'!$L$765,0),IF('Eval-Après impact'!$A$766=BM23,'Eval-Après impact'!$L$766,0),IF('Eval-Après impact'!$A$767=BM23,'Eval-Après impact'!$L$767,0),IF('Eval-Après impact'!$A$768=BM23,'Eval-Après impact'!$L$768,0),IF('Eval-Après impact'!$A$769=BM23,'Eval-Après impact'!$L$769,0),IF('Eval-Après impact'!$A$770=BM23,'Eval-Après impact'!$L$770,0),IF('Eval-Après impact'!$A$771=BM23,'Eval-Après impact'!$L$771,0),IF('Eval-Après impact'!$A$772=BM23,'Eval-Après impact'!$L$772,0),IF('Eval-Après impact'!$A$773=BM23,'Eval-Après impact'!$L$773,0),IF('Eval-Après impact'!$A$774=BM23,'Eval-Après impact'!$L$774,0),IF('Eval-Après impact'!$A$775=BM23,'Eval-Après impact'!$L$775,0),IF('Eval-Après impact'!$A$776=BM23,'Eval-Après impact'!$L$776,0),IF('Eval-Après impact'!$A$777=BM23,'Eval-Après impact'!$L$777,0),IF('Eval-Après impact'!$A$778=BM23,'Eval-Après impact'!$L$778,0),IF('Eval-Après impact'!$A$779=BM23,'Eval-Après impact'!$L$779,0),IF('Eval-Après impact'!$A$780=BM23,'Eval-Après impact'!$L$780,0))/ COUNTIF('Eval-Après impact'!$A$761:$A$780,BM23)),"")</f>
        <v/>
      </c>
      <c r="BV23" s="211" t="str">
        <f>IF(COUNTIF('Eval-Après impact'!$A$761:$A$780,BM23)&gt;0,IF(OR(AND('Eval-Après impact'!$A$761=BM23, CJ9&lt;120),AND(CJ10&lt;120),AND(CJ11&lt;120),AND(CJ12&lt;120),AND(CJ13&lt;120),AND(CJ14&lt;120),AND(CJ15&lt;120),AND(CJ16&lt;120),AND(CJ17&lt;120),AND(CJ18&lt;120),AND(CJ19&lt;120),AND(CJ20&lt;120),AND(CJ21&lt;120),AND(CJ22&lt;120),AND(CJ23&lt;120),AND(CJ24&lt;120),AND(CJ25&lt;120),AND(CJ26&lt;120),AND(CJ27&lt;120),AND(CJ28&lt;120)),"",SUM(IF('Eval-Après impact'!$A$761=BM23,'Eval-Après impact'!$M$761,0),IF('Eval-Après impact'!$A$762=BM23,'Eval-Après impact'!$M$762,0),IF('Eval-Après impact'!$A$763=BM23,'Eval-Après impact'!$M$763,0),IF('Eval-Après impact'!$A$764=BM23,'Eval-Après impact'!$M$764,0),IF('Eval-Après impact'!$A$765=BM23,'Eval-Après impact'!$M$765,0),IF('Eval-Après impact'!$A$766=BM23,'Eval-Après impact'!$M$766,0),IF('Eval-Après impact'!$A$767=BM23,'Eval-Après impact'!$M$767,0),IF('Eval-Après impact'!$A$768=BM23,'Eval-Après impact'!$M$768,0),IF('Eval-Après impact'!$A$769=BM23,'Eval-Après impact'!$M$769,0),IF('Eval-Après impact'!$A$770=BM23,'Eval-Après impact'!$M$770,0),IF('Eval-Après impact'!$A$771=BM23,'Eval-Après impact'!$M$771,0),IF('Eval-Après impact'!$A$772=BM23,'Eval-Après impact'!$M$772,0),IF('Eval-Après impact'!$A$773=BM23,'Eval-Après impact'!$M$773,0),IF('Eval-Après impact'!$A$774=BM23,'Eval-Après impact'!$M$774,0),IF('Eval-Après impact'!$A$775=BM23,'Eval-Après impact'!$M$775,0), IF('Eval-Après impact'!$A$776=BM23,'Eval-Après impact'!$M$776,0), IF('Eval-Après impact'!$A$777=BM23,'Eval-Après impact'!$M$777,0), IF('Eval-Après impact'!$A$778=BM23,'Eval-Après impact'!$M$778,0), IF('Eval-Après impact'!$A$779=BM23,'Eval-Après impact'!$M$779,0), IF('Eval-Après impact'!$A$780=BM23,'Eval-Après impact'!$M$780,0))/COUNTIF('Eval-Après impact'!$A$761:$A$780,BM23)),"")</f>
        <v/>
      </c>
      <c r="BW23" s="211" t="str">
        <f>IF(COUNTIF('Eval-Après impact'!$A$761:$A$780,BM23)&gt;0,SUM(IF('Eval-Après impact'!$A$761=BM23,LEN(SUBSTITUTE((SUBSTITUTE(CL9,"TM","")),"TS",""))*10/2,0),IF('Eval-Après impact'!$A$762=BM23,LEN(SUBSTITUTE((SUBSTITUTE(CL10,"TM","")),"TS",""))*10/2,0),IF('Eval-Après impact'!$A$763=BM23,LEN(SUBSTITUTE((SUBSTITUTE(CL11,"TM","")),"TS",""))*10/2,0),IF('Eval-Après impact'!$A$764=BM23,LEN(SUBSTITUTE((SUBSTITUTE(CL12,"TM","")),"TS",""))*10/2,0),IF('Eval-Après impact'!$A$765=BM23,LEN(SUBSTITUTE((SUBSTITUTE(CL13,"TM","")),"TS",""))*10/2,0),IF('Eval-Après impact'!$A$766=BM23,LEN(SUBSTITUTE((SUBSTITUTE(CL14,"TM","")),"TS",""))*10/2,0),IF('Eval-Après impact'!$A$767=BM23,LEN(SUBSTITUTE((SUBSTITUTE(CL15,"TM","")),"TS",""))*10/2,0),IF('Eval-Après impact'!$A$768=BM23,LEN(SUBSTITUTE((SUBSTITUTE(CL16,"TM","")),"TS",""))*10/2,0),IF('Eval-Après impact'!$A$769=BM23,LEN(SUBSTITUTE((SUBSTITUTE(CL17,"TM","")),"TS",""))*10/2,0),IF('Eval-Après impact'!$A$770=BM23,LEN(SUBSTITUTE((SUBSTITUTE(CL18,"TM","")),"TS",""))*10/2,0),IF('Eval-Après impact'!$A$771=BM23,LEN(SUBSTITUTE((SUBSTITUTE(CL19,"TM","")),"TS",""))*10/2,0),IF('Eval-Après impact'!$A$772=BM23,LEN(SUBSTITUTE((SUBSTITUTE(CL20,"TM","")),"TS",""))*10/2,0),IF('Eval-Après impact'!$A$773=BM23,LEN(SUBSTITUTE((SUBSTITUTE(CL21,"TM","")),"TS",""))*10/2,0),IF('Eval-Après impact'!$A$774=BM23,LEN(SUBSTITUTE((SUBSTITUTE(CL22,"TM","")),"TS",""))*10/2,0),IF('Eval-Après impact'!$A$775=BM23,LEN(SUBSTITUTE((SUBSTITUTE(CL23,"TM","")),"TS",""))*10/2,0),IF('Eval-Après impact'!$A$776=BM23,LEN(SUBSTITUTE((SUBSTITUTE(CL24,"TM","")),"TS",""))*10/2,0),IF('Eval-Après impact'!$A$777=BM23,LEN(SUBSTITUTE((SUBSTITUTE(CL25,"TM","")),"TS",""))*10/2,0),IF('Eval-Après impact'!$A$778=BM23,LEN(SUBSTITUTE((SUBSTITUTE(CL26,"TM","")),"TS",""))*10/2,0),IF('Eval-Après impact'!$A$779=BM23,LEN(SUBSTITUTE((SUBSTITUTE(CL27,"TM","")),"TS",""))*10/2,0),IF('Eval-Après impact'!$A$780=BM23,LEN(SUBSTITUTE((SUBSTITUTE(CL28,"TM","")),"TS",""))*10/2,0))/COUNTIF('Eval-Après impact'!$A$761:$A$780,BM23),"")</f>
        <v/>
      </c>
      <c r="BX23" s="211" t="str">
        <f>IF(COUNTIF('Eval-Après impact'!$A$761:$A$780,BM23)&gt;0,SUM(IF('Eval-Après impact'!$A$761=BM23,LEN(SUBSTITUTE((SUBSTITUTE(CL9,"TF","")),"TS",""))*10/2,0),IF('Eval-Après impact'!$A$762=BM23,LEN(SUBSTITUTE((SUBSTITUTE(CL10,"TF","")),"TS",""))*10/2,0),IF('Eval-Après impact'!$A$763=BM23,LEN(SUBSTITUTE((SUBSTITUTE(CL11,"TF","")),"TS",""))*10/2,0),IF('Eval-Après impact'!$A$764=BM23,LEN(SUBSTITUTE((SUBSTITUTE(CL12,"TF","")),"TS",""))*10/2,0),IF('Eval-Après impact'!$A$765=BM23,LEN(SUBSTITUTE((SUBSTITUTE(CL13,"TF","")),"TS",""))*10/2,0),IF('Eval-Après impact'!$A$766=BM23,LEN(SUBSTITUTE((SUBSTITUTE(CL14,"TF","")),"TS",""))*10/2,0),IF('Eval-Après impact'!$A$767=BM23,LEN(SUBSTITUTE((SUBSTITUTE(CL15,"TF","")),"TS",""))*10/2,0),IF('Eval-Après impact'!$A$768=BM23,LEN(SUBSTITUTE((SUBSTITUTE(CL16,"TF","")),"TS",""))*10/2,0),IF('Eval-Après impact'!$A$769=BM23,LEN(SUBSTITUTE((SUBSTITUTE(CL17,"TF","")),"TS",""))*10/2,0),IF('Eval-Après impact'!$A$770=BM23,LEN(SUBSTITUTE((SUBSTITUTE(CL18,"TF","")),"TS",""))*10/2,0),IF('Eval-Après impact'!$A$771=BM23,LEN(SUBSTITUTE((SUBSTITUTE(CL19,"TF","")),"TS",""))*10/2,0),IF('Eval-Après impact'!$A$772=BM23,LEN(SUBSTITUTE((SUBSTITUTE(CL20,"TF","")),"TS",""))*10/2,0),IF('Eval-Après impact'!$A$773=BM23,LEN(SUBSTITUTE((SUBSTITUTE(CL21,"TF","")),"TS",""))*10/2,0),IF('Eval-Après impact'!$A$774=BM23,LEN(SUBSTITUTE((SUBSTITUTE(CL22,"TF","")),"TS",""))*10/2,0),IF('Eval-Après impact'!$A$775=BM23,LEN(SUBSTITUTE((SUBSTITUTE(CL23,"TF","")),"TS",""))*10/2,0),IF('Eval-Après impact'!$A$776=BM23,LEN(SUBSTITUTE((SUBSTITUTE(CL24,"TF","")),"TS",""))*10/2,0),IF('Eval-Après impact'!$A$777=BM23,LEN(SUBSTITUTE((SUBSTITUTE(CL25,"TF","")),"TS",""))*10/2,0),IF('Eval-Après impact'!$A$778=BM23,LEN(SUBSTITUTE((SUBSTITUTE(CL26,"TF","")),"TS",""))*10/2,0),IF('Eval-Après impact'!$A$779=BM23,LEN(SUBSTITUTE((SUBSTITUTE(CL27,"TF","")),"TS",""))*10/2,0),IF('Eval-Après impact'!$A$780=BM23,LEN(SUBSTITUTE((SUBSTITUTE(CL28,"TF","")),"TS",""))*10/2,0))/COUNTIF('Eval-Après impact'!$A$761:$A$780,BM23),"")</f>
        <v/>
      </c>
      <c r="BY23" s="211" t="str">
        <f>IF(COUNTIF('Eval-Après impact'!$A$761:$A$780,BM23)&gt;0,SUM(IF('Eval-Après impact'!$A$761=BM23,LEN(SUBSTITUTE((SUBSTITUTE(CL9,"TF","")),"TM",""))*10/2,0),IF('Eval-Après impact'!$A$762=BM23,LEN(SUBSTITUTE((SUBSTITUTE(CL10,"TF","")),"TM",""))*10/2,0),IF('Eval-Après impact'!$A$763=BM23,LEN(SUBSTITUTE((SUBSTITUTE(CL11,"TF","")),"TM",""))*10/2,0),IF('Eval-Après impact'!$A$764=BM23,LEN(SUBSTITUTE((SUBSTITUTE(CL12,"TF","")),"TM",""))*10/2,0),IF('Eval-Après impact'!$A$765=BM23,LEN(SUBSTITUTE((SUBSTITUTE(CL13,"TF","")),"TM",""))*10/2,0),IF('Eval-Après impact'!$A$766=BM23,LEN(SUBSTITUTE((SUBSTITUTE(CL14,"TF","")),"TM",""))*10/2,0),IF('Eval-Après impact'!$A$767=BM23,LEN(SUBSTITUTE((SUBSTITUTE(CL15,"TF","")),"TM",""))*10/2,0),IF('Eval-Après impact'!$A$768=BM23,LEN(SUBSTITUTE((SUBSTITUTE(CL16,"TF","")),"TM",""))*10/2,0),IF('Eval-Après impact'!$A$769=BM23,LEN(SUBSTITUTE((SUBSTITUTE(CL17,"TF","")),"TM",""))*10/2,0),IF('Eval-Après impact'!$A$770=BM23,LEN(SUBSTITUTE((SUBSTITUTE(CL18,"TF","")),"TM",""))*10/2,0),IF('Eval-Après impact'!$A$771=BM23,LEN(SUBSTITUTE((SUBSTITUTE(CL19,"TF","")),"TM",""))*10/2,0),IF('Eval-Après impact'!$A$772=BM23,LEN(SUBSTITUTE((SUBSTITUTE(CL20,"TF","")),"TM",""))*10/2,0),IF('Eval-Après impact'!$A$773=BM23,LEN(SUBSTITUTE((SUBSTITUTE(CL21,"TF","")),"TM",""))*10/2,0),IF('Eval-Après impact'!$A$774=BM23,LEN(SUBSTITUTE((SUBSTITUTE(CL22,"TF","")),"TM",""))*10/2,0),IF('Eval-Après impact'!$A$775=BM23,LEN(SUBSTITUTE((SUBSTITUTE(CL23,"TF","")),"TM",""))*10/2,0),IF('Eval-Après impact'!$A$776=BM23,LEN(SUBSTITUTE((SUBSTITUTE(CL24,"TF","")),"TM",""))*10/2,0),IF('Eval-Après impact'!$A$777=BM23,LEN(SUBSTITUTE((SUBSTITUTE(CL25,"TF","")),"TM",""))*10/2,0),IF('Eval-Après impact'!$A$778=BM23,LEN(SUBSTITUTE((SUBSTITUTE(CL26,"TF","")),"TM",""))*10/2,0),IF('Eval-Après impact'!$A$779=BM23,LEN(SUBSTITUTE((SUBSTITUTE(CL27,"TF","")),"TM",""))*10/2,0),IF('Eval-Après impact'!$A$780=BM23,LEN(SUBSTITUTE((SUBSTITUTE(CL28,"TF","")),"TM",""))*10/2,0))/COUNTIF('Eval-Après impact'!$A$761:$A$780,BM23),"")</f>
        <v/>
      </c>
      <c r="BZ23" s="211" t="str">
        <f>IF(COUNTIF('Eval-Après impact'!$A$761:$A$780,BM23)&gt;0,SUM(IF('Eval-Après impact'!$A$761=BM23,LEN(SUBSTITUTE((SUBSTITUTE(CM9,"TM","")),"TS",""))*10/2,0),IF('Eval-Après impact'!$A$762=BM23,LEN(SUBSTITUTE((SUBSTITUTE(CM10,"TM","")),"TS",""))*10/2,0),IF('Eval-Après impact'!$A$763=BM23,LEN(SUBSTITUTE((SUBSTITUTE(CM11,"TM","")),"TS",""))*10/2,0),IF('Eval-Après impact'!$A$764=BM23,LEN(SUBSTITUTE((SUBSTITUTE(CM12,"TM","")),"TS",""))*10/2,0),IF('Eval-Après impact'!$A$765=BM23,LEN(SUBSTITUTE((SUBSTITUTE(CM13,"TM","")),"TS",""))*10/2,0),IF('Eval-Après impact'!$A$766=BM23,LEN(SUBSTITUTE((SUBSTITUTE(CM14,"TM","")),"TS",""))*10/2,0),IF('Eval-Après impact'!$A$767=BM23,LEN(SUBSTITUTE((SUBSTITUTE(CM15,"TM","")),"TS",""))*10/2,0),IF('Eval-Après impact'!$A$768=BM23,LEN(SUBSTITUTE((SUBSTITUTE(CM16,"TM","")),"TS",""))*10/2,0),IF('Eval-Après impact'!$A$769=BM23,LEN(SUBSTITUTE((SUBSTITUTE(CM17,"TM","")),"TS",""))*10/2,0),IF('Eval-Après impact'!$A$770=BM23,LEN(SUBSTITUTE((SUBSTITUTE(CM18,"TM","")),"TS",""))*10/2,0),IF('Eval-Après impact'!$A$771=BM23,LEN(SUBSTITUTE((SUBSTITUTE(CM19,"TM","")),"TS",""))*10/2,0),IF('Eval-Après impact'!$A$772=BM23,LEN(SUBSTITUTE((SUBSTITUTE(CM20,"TM","")),"TS",""))*10/2,0),IF('Eval-Après impact'!$A$773=BM23,LEN(SUBSTITUTE((SUBSTITUTE(CM21,"TM","")),"TS",""))*10/2,0),IF('Eval-Après impact'!$A$774=BM23,LEN(SUBSTITUTE((SUBSTITUTE(CM22,"TM","")),"TS",""))*10/2,0),IF('Eval-Après impact'!$A$775=BM23,LEN(SUBSTITUTE((SUBSTITUTE(CM23,"TM","")),"TS",""))*10/2,0),IF('Eval-Après impact'!$A$776=BM23,LEN(SUBSTITUTE((SUBSTITUTE(CM24,"TM","")),"TS",""))*10/2,0),IF('Eval-Après impact'!$A$777=BM23,LEN(SUBSTITUTE((SUBSTITUTE(CM25,"TM","")),"TS",""))*10/2,0),IF('Eval-Après impact'!$A$778=BM23,LEN(SUBSTITUTE((SUBSTITUTE(CM26,"TM","")),"TS",""))*10/2,0),IF('Eval-Après impact'!$A$779=BM23,LEN(SUBSTITUTE((SUBSTITUTE(CM27,"TM","")),"TS",""))*10/2,0),IF('Eval-Après impact'!$A$780=BM23,LEN(SUBSTITUTE((SUBSTITUTE(CM28,"TM","")),"TS",""))*10/2,0))/COUNTIF('Eval-Après impact'!$A$761:$A$780,BM23),"")</f>
        <v/>
      </c>
      <c r="CA23" s="211" t="str">
        <f>IF(COUNTIF('Eval-Après impact'!$A$761:$A$780,BM23)&gt;0,SUM(IF('Eval-Après impact'!$A$761=BM23,LEN(SUBSTITUTE((SUBSTITUTE(CM9,"TF","")),"TS",""))*10/2,0),IF('Eval-Après impact'!$A$762=BM23,LEN(SUBSTITUTE((SUBSTITUTE(CM10,"TF","")),"TS",""))*10/2,0),IF('Eval-Après impact'!$A$763=BM23,LEN(SUBSTITUTE((SUBSTITUTE(CM11,"TF","")),"TS",""))*10/2,0),IF('Eval-Après impact'!$A$764=BM23,LEN(SUBSTITUTE((SUBSTITUTE(CM12,"TF","")),"TS",""))*10/2,0),IF('Eval-Après impact'!$A$765=BM23,LEN(SUBSTITUTE((SUBSTITUTE(CM13,"TF","")),"TS",""))*10/2,0),IF('Eval-Après impact'!$A$766=BM23,LEN(SUBSTITUTE((SUBSTITUTE(CM14,"TF","")),"TS",""))*10/2,0),IF('Eval-Après impact'!$A$767=BM23,LEN(SUBSTITUTE((SUBSTITUTE(CM15,"TF","")),"TS",""))*10/2,0),IF('Eval-Après impact'!$A$768=BM23,LEN(SUBSTITUTE((SUBSTITUTE(CM16,"TF","")),"TS",""))*10/2,0),IF('Eval-Après impact'!$A$769=BM23,LEN(SUBSTITUTE((SUBSTITUTE(CM17,"TF","")),"TS",""))*10/2,0),IF('Eval-Après impact'!$A$770=BM23,LEN(SUBSTITUTE((SUBSTITUTE(CM18,"TF","")),"TS",""))*10/2,0),IF('Eval-Après impact'!$A$771=BM23,LEN(SUBSTITUTE((SUBSTITUTE(CM19,"TF","")),"TS",""))*10/2,0),IF('Eval-Après impact'!$A$772=BM23,LEN(SUBSTITUTE((SUBSTITUTE(CM20,"TF","")),"TS",""))*10/2,0),IF('Eval-Après impact'!$A$773=BM23,LEN(SUBSTITUTE((SUBSTITUTE(CM21,"TF","")),"TS",""))*10/2,0),IF('Eval-Après impact'!$A$774=BM23,LEN(SUBSTITUTE((SUBSTITUTE(CM22,"TF","")),"TS",""))*10/2,0),IF('Eval-Après impact'!$A$775=BM23,LEN(SUBSTITUTE((SUBSTITUTE(CM23,"TF","")),"TS",""))*10/2,0),IF('Eval-Après impact'!$A$776=BM23,LEN(SUBSTITUTE((SUBSTITUTE(CM24,"TF","")),"TS",""))*10/2,0),IF('Eval-Après impact'!$A$777=BM23,LEN(SUBSTITUTE((SUBSTITUTE(CM25,"TF","")),"TS",""))*10/2,0),IF('Eval-Après impact'!$A$778=BM23,LEN(SUBSTITUTE((SUBSTITUTE(CM26,"TF","")),"TS",""))*10/2,0),IF('Eval-Après impact'!$A$779=BM23,LEN(SUBSTITUTE((SUBSTITUTE(CM27,"TF","")),"TS",""))*10/2,0),IF('Eval-Après impact'!$A$780=BM23,LEN(SUBSTITUTE((SUBSTITUTE(CM28,"TF","")),"TS",""))*10/2,0))/COUNTIF('Eval-Après impact'!$A$761:$A$780,BM23),"")</f>
        <v/>
      </c>
      <c r="CB23" s="211" t="str">
        <f>IF(COUNTIF('Eval-Après impact'!$A$761:$A$780,BM23)&gt;0,SUM(IF('Eval-Après impact'!$A$761=BM23,LEN(SUBSTITUTE((SUBSTITUTE(CM9,"TF","")),"TM",""))*10/2,0),IF('Eval-Après impact'!$A$762=BM23,LEN(SUBSTITUTE((SUBSTITUTE(CM10,"TF","")),"TM",""))*10/2,0),IF('Eval-Après impact'!$A$763=BM23,LEN(SUBSTITUTE((SUBSTITUTE(CM11,"TF","")),"TM",""))*10/2,0),IF('Eval-Après impact'!$A$764=BM23,LEN(SUBSTITUTE((SUBSTITUTE(CM12,"TF","")),"TM",""))*10/2,0),IF('Eval-Après impact'!$A$765=BM23,LEN(SUBSTITUTE((SUBSTITUTE(CM13,"TF","")),"TM",""))*10/2,0),IF('Eval-Après impact'!$A$766=BM23,LEN(SUBSTITUTE((SUBSTITUTE(CM14,"TF","")),"TM",""))*10/2,0),IF('Eval-Après impact'!$A$767=BM23,LEN(SUBSTITUTE((SUBSTITUTE(CM15,"TF","")),"TM",""))*10/2,0),IF('Eval-Après impact'!$A$768=BM23,LEN(SUBSTITUTE((SUBSTITUTE(CM16,"TF","")),"TM",""))*10/2,0),IF('Eval-Après impact'!$A$769=BM23,LEN(SUBSTITUTE((SUBSTITUTE(CM17,"TF","")),"TM",""))*10/2,0),IF('Eval-Après impact'!$A$770=BM23,LEN(SUBSTITUTE((SUBSTITUTE(CM18,"TF","")),"TM",""))*10/2,0),IF('Eval-Après impact'!$A$771=BM23,LEN(SUBSTITUTE((SUBSTITUTE(CM19,"TF","")),"TM",""))*10/2,0),IF('Eval-Après impact'!$A$772=BM23,LEN(SUBSTITUTE((SUBSTITUTE(CM20,"TF","")),"TM",""))*10/2,0),IF('Eval-Après impact'!$A$773=BM23,LEN(SUBSTITUTE((SUBSTITUTE(CM21,"TF","")),"TM",""))*10/2,0),IF('Eval-Après impact'!$A$774=BM23,LEN(SUBSTITUTE((SUBSTITUTE(CM22,"TF","")),"TM",""))*10/2,0),IF('Eval-Après impact'!$A$775=BM23,LEN(SUBSTITUTE((SUBSTITUTE(CM23,"TF","")),"TM",""))*10/2,0),IF('Eval-Après impact'!$A$776=BM23,LEN(SUBSTITUTE((SUBSTITUTE(CM24,"TF","")),"TM",""))*10/2,0),IF('Eval-Après impact'!$A$777=BM23,LEN(SUBSTITUTE((SUBSTITUTE(CM25,"TF","")),"TM",""))*10/2,0),IF('Eval-Après impact'!$A$778=BM23,LEN(SUBSTITUTE((SUBSTITUTE(CM26,"TF","")),"TM",""))*10/2,0),IF('Eval-Après impact'!$A$779=BM23,LEN(SUBSTITUTE((SUBSTITUTE(CM27,"TF","")),"TM",""))*10/2,0),IF('Eval-Après impact'!$A$780=BM23,LEN(SUBSTITUTE((SUBSTITUTE(CM28,"TF","")),"TM",""))*10/2,0))/COUNTIF('Eval-Après impact'!$A$761:$A$780,BM23),"")</f>
        <v/>
      </c>
      <c r="CC23" s="211" t="str">
        <f>IF(COUNTIF('Eval-Après impact'!$A$761:$A$780,BM23)&gt;0,IF(OR(AND('Eval-Après impact'!$A$761=BM23,CJ9&lt;30),AND('Eval-Après impact'!$A$762=BM23,CJ10&lt;30),AND('Eval-Après impact'!$A$763=BM23,CJ11&lt;30),AND('Eval-Après impact'!$A$764=BM23,CJ12&lt;30),AND('Eval-Après impact'!$A$765=BM23,CJ13&lt;30),AND('Eval-Après impact'!$A$766=BM23,CJ14&lt;30),AND('Eval-Après impact'!$A$767=BM23,CJ15&lt;30),AND('Eval-Après impact'!$A$768=BM23,CJ16&lt;30),AND('Eval-Après impact'!$A$769=BM23,CJ17&lt;30),AND('Eval-Après impact'!$A$770=BM23,CJ18&lt;30),AND('Eval-Après impact'!$A$771=BM23,CJ19&lt;30),AND('Eval-Après impact'!$A$772=BM23,CJ20&lt;30),AND('Eval-Après impact'!$A$773=BM23,CJ21&lt;30),AND('Eval-Après impact'!$A$774=BM23,CJ22&lt;30),AND('Eval-Après impact'!$A$775=BM23,CJ23&lt;30),AND('Eval-Après impact'!$A$776=BM23,CJ24&lt;30),AND('Eval-Après impact'!$A$777=BM23,CJ25&lt;30),AND('Eval-Après impact'!$A$778=BM23,CJ26&lt;30),AND('Eval-Après impact'!$A$779=BM23,CJ27&lt;30),AND('Eval-Après impact'!$A$780=BM23,CJ28&lt;30)),"",SUM(0.1*(SUMPRODUCT(('Eval-Après impact'!$A$761:$A$780=BM23)*('Eval-Après impact'!$N$761:$P$780="A"))+ SUMPRODUCT(('Eval-Après impact'!$A$761:$A$780=BM23)*('Eval-Après impact'!$N$761:$P$780="AL"))),0.7*(SUMPRODUCT(('Eval-Après impact'!$A$761:$A$780=BM23)*('Eval-Après impact'!$N$761:$P$780="TF"))+SUMPRODUCT(('Eval-Après impact'!$A$761:$A$780=BM23)*('Eval-Après impact'!$N$761:$P$780="TM"))+SUMPRODUCT(('Eval-Après impact'!$A$761:$A$780=BM23)*('Eval-Après impact'!$N$761:$P$780="TS"))),0.4*(SUMPRODUCT(('Eval-Après impact'!$A$761:$A$780=BM23)*('Eval-Après impact'!$N$761:$P$780="LA"))+SUMPRODUCT(('Eval-Après impact'!$A$761:$A$780=BM23)*('Eval-Après impact'!$N$761:$P$780="L"))+SUMPRODUCT(('Eval-Après impact'!$A$761:$A$780=BM23)*('Eval-Après impact'!$N$761:$P$780="LS"))),1*(SUMPRODUCT(('Eval-Après impact'!$A$761:$A$780=BM23)*('Eval-Après impact'!$N$761:$P$780="SL"))+ SUMPRODUCT(('Eval-Après impact'!$A$761:$A$780=BM23)*('Eval-Après impact'!$N$761:$P$780="S"))))/(3*COUNTIF('Eval-Après impact'!$A$761:$A$780,BM23))),"")</f>
        <v/>
      </c>
      <c r="CD23" s="211" t="str">
        <f>IF(COUNTIF('Eval-Après impact'!$A$761:$A$780,BM23)&gt;0,IF(OR(AND('Eval-Après impact'!$A$761=BM23,CJ9&lt;120),AND('Eval-Après impact'!$A$762=BM23,CJ10&lt;120),AND('Eval-Après impact'!$A$763=BM23,CJ11&lt;120),AND('Eval-Après impact'!$A$764=BM23,CJ12&lt;120),AND('Eval-Après impact'!$A$765=BM23,CJ13&lt;120),AND('Eval-Après impact'!$A$766=BM23,CJ14&lt;120),AND('Eval-Après impact'!$A$767=BM23,CJ15&lt;120),AND('Eval-Après impact'!$A$768=BM23,CJ16&lt;120),AND('Eval-Après impact'!$A$769=BM23,CJ17&lt;120),AND('Eval-Après impact'!$A$770=BM23,CJ18&lt;120),AND('Eval-Après impact'!$A$771=BM23,CJ19&lt;120),AND('Eval-Après impact'!$A$772=BM23,CJ20&lt;120),AND('Eval-Après impact'!$A$773=BM23,CJ21&lt;120),AND('Eval-Après impact'!$A$774=BM23,CJ22&lt;120),AND('Eval-Après impact'!$A$775=BM23,CJ23&lt;120),AND('Eval-Après impact'!$A$776=BM23,CJ24&lt;120),AND('Eval-Après impact'!$A$777=BM23,CJ25&lt;120),AND('Eval-Après impact'!$A$778=BM23,CJ26&lt;120),AND('Eval-Après impact'!$A$779=BM23,CJ27&lt;120),AND('Eval-Après impact'!$A$780=BM23,CJ28&lt;120)),"",SUM(0.1*(SUMPRODUCT(('Eval-Après impact'!$A$761:$A$780=BM23)*('Eval-Après impact'!$Q$761:$Y$780="A"))+ SUMPRODUCT(('Eval-Après impact'!$A$761:$A$780=BM23)*('Eval-Après impact'!$Q$761:$Y$780="AL"))),0.7*(SUMPRODUCT(('Eval-Après impact'!$A$761:$A$780=BM23)*('Eval-Après impact'!$Q$761:$Y$780="TF"))+SUMPRODUCT(('Eval-Après impact'!$A$761:$A$780=BM23)*('Eval-Après impact'!$Q$761:$Y$780="TM"))+SUMPRODUCT(('Eval-Après impact'!$A$761:$A$780=BM23)*('Eval-Après impact'!$Q$761:$Y$780="TS"))),0.4*(SUMPRODUCT(('Eval-Après impact'!$A$761:$A$780=BM23)*('Eval-Après impact'!$Q$761:$Y$780="LA"))+SUMPRODUCT(('Eval-Après impact'!$A$761:$A$780=BM23)*('Eval-Après impact'!$Q$761:$Y$780="L"))+SUMPRODUCT(('Eval-Après impact'!$A$761:$A$780=BM23)*('Eval-Après impact'!$Q$761:$Y$780="LS"))),1*(SUMPRODUCT(('Eval-Après impact'!$A$761:$A$780=BM23)*('Eval-Après impact'!$Q$761:$Y$780="SL"))+ SUMPRODUCT(('Eval-Après impact'!$A$761:$A$780=BM23)*('Eval-Après impact'!$Q$761:$Y$780="S"))))/(9*COUNTIF('Eval-Après impact'!$A$761:$A$780,BM23))),"")</f>
        <v/>
      </c>
      <c r="CE23" s="211" t="str">
        <f>IF(COUNTIF('Eval-Après impact'!$A$761:$A$780,BM23)&gt;0,IF(OR(AND('Eval-Après impact'!$A$761=BM23,OR(COUNTIF('Eval-Après impact'!$N$761:$P$761,"*T*")&gt;0,CJ9&lt;30)),AND('Eval-Après impact'!$A$762=BM23,OR(COUNTIF('Eval-Après impact'!$N$762:$P$762,"*T*")&gt;0,CJ10&lt;30)),AND('Eval-Après impact'!$A$763=BM23,OR(COUNTIF('Eval-Après impact'!$N$763:$P$763,"*T*")&gt;0,CJ11&lt;30)),AND('Eval-Après impact'!$A$764=BM23,OR(COUNTIF('Eval-Après impact'!$N$764:$P$764,"*T*")&gt;0,CJ12&lt;30)),AND('Eval-Après impact'!$A$765=BM23,OR(COUNTIF('Eval-Après impact'!$N$765:$P$765,"*T*")&gt;0,CJ13&lt;30)),AND('Eval-Après impact'!$A$766=BM23,OR(COUNTIF('Eval-Après impact'!$N$766:$P$766,"*T*")&gt;0,CJ14&lt;30)),AND('Eval-Après impact'!$A$767=BM23,OR(COUNTIF('Eval-Après impact'!$N$767:$P$767,"*T*")&gt;0,CJ15&lt;30)),AND('Eval-Après impact'!$A$768=BM23,OR(COUNTIF('Eval-Après impact'!$N$768:$P$768,"*T*")&gt;0,CJ16&lt;30)),AND('Eval-Après impact'!$A$769=BM23,OR(COUNTIF('Eval-Après impact'!$N$769:$P$769,"*T*")&gt;0,CJ17&lt;30)),AND('Eval-Après impact'!$A$770=BM23,OR(COUNTIF('Eval-Après impact'!$N$770:$P$770,"*T*")&gt;0,CJ18&lt;30)),AND('Eval-Après impact'!$A$771=BM23,OR(COUNTIF('Eval-Après impact'!$N$771:$P$771,"*T*")&gt;0,CJ19&lt;30)),AND('Eval-Après impact'!$A$772=BM23,OR(COUNTIF('Eval-Après impact'!$N$772:$P$772,"*T*")&gt;0,CJ20&lt;30)),AND('Eval-Après impact'!$A$773=BM23,OR(COUNTIF('Eval-Après impact'!$N$773:$P$773,"*T*")&gt;0,CJ21&lt;30)),AND('Eval-Après impact'!$A$774=BM23,OR(COUNTIF('Eval-Après impact'!$N$774:$P$774,"*T*")&gt;0,CJ22&lt;30)),AND('Eval-Après impact'!$A$775=BM23,OR(COUNTIF('Eval-Après impact'!$N$775:$P$775,"*T*")&gt;0,CJ23&lt;30)),AND('Eval-Après impact'!$A$776=BM23,OR(COUNTIF('Eval-Après impact'!$N$776:$P$776,"*T*")&gt;0,CJ24&lt;30)),AND('Eval-Après impact'!$A$777=BM23,OR(COUNTIF('Eval-Après impact'!$N$777:$P$777,"*T*")&gt;0,CJ25&lt;30)),AND('Eval-Après impact'!$A$778=BM23,OR(COUNTIF('Eval-Après impact'!$N$778:$P$778,"*T*")&gt;0,CJ26&lt;30)),AND('Eval-Après impact'!$A$779=BM23,OR(COUNTIF('Eval-Après impact'!$N$779:$P$779,"*T*")&gt;0,CJ27&lt;30)),AND('Eval-Après impact'!$A$780=BM23,OR(COUNTIF('Eval-Après impact'!$N$780:$P$780,"*T*")&gt;0,CJ28&lt;30))),"",SUM(0.1*(SUMPRODUCT(('Eval-Après impact'!$A$761:$A$780=BM23)*('Eval-Après impact'!$N$761:$P$780="L"))),0.4*(SUMPRODUCT(('Eval-Après impact'!$A$761:$A$780=BM23)*('Eval-Après impact'!$N$761:$P$780="LA"))+SUMPRODUCT(('Eval-Après impact'!$A$761:$A$780=BM23)*('Eval-Après impact'!$N$761:$P$780="LS"))),0.7*(SUMPRODUCT(('Eval-Après impact'!$A$761:$A$780=BM23)*('Eval-Après impact'!$N$761:$P$780="AL"))+SUMPRODUCT(('Eval-Après impact'!$A$761:$A$780=BM23)*('Eval-Après impact'!$N$761:$P$780="SL"))),1*(SUMPRODUCT(('Eval-Après impact'!$A$761:$A$780=BM23)*('Eval-Après impact'!$N$761:$P$780="S"))+ SUMPRODUCT(('Eval-Après impact'!$A$761:$A$780=BM23)*('Eval-Après impact'!$N$761:$P$780="A"))))/(3*COUNTIF('Eval-Après impact'!$A$761:$A$780,BM23))),"")</f>
        <v/>
      </c>
      <c r="CF23" s="211" t="str">
        <f>IF(COUNTIF('Eval-Après impact'!$A$761:$A$780,BM23)&gt;0,IF(OR(AND('Eval-Après impact'!$A$761=BM23,OR(COUNTIF('Eval-Après impact'!$N$761:$P$761,"*T*")&gt;0,CJ9&lt;30)),AND('Eval-Après impact'!$A$762=BM23,OR(COUNTIF('Eval-Après impact'!$N$762:$P$762,"*T*")&gt;0,CJ10&lt;30)),AND('Eval-Après impact'!$A$763=BM23,OR(COUNTIF('Eval-Après impact'!$N$763:$P$763,"*T*")&gt;0,CJ11&lt;30)),AND('Eval-Après impact'!$A$764=BM23,OR(COUNTIF('Eval-Après impact'!$N$764:$P$764,"*T*")&gt;0,CJ12&lt;30)),AND('Eval-Après impact'!$A$765=BM23,OR(COUNTIF('Eval-Après impact'!$N$765:$P$765,"*T*")&gt;0,CJ13&lt;30)),AND('Eval-Après impact'!$A$766=BM23,OR(COUNTIF('Eval-Après impact'!$N$766:$P$766,"*T*")&gt;0,CJ14&lt;30)),AND('Eval-Après impact'!$A$767=BM23,OR(COUNTIF('Eval-Après impact'!$N$767:$P$767,"*T*")&gt;0,CJ15&lt;30)),AND('Eval-Après impact'!$A$768=BM23,OR(COUNTIF('Eval-Après impact'!$N$768:$P$768,"*T*")&gt;0,CJ16&lt;30)),AND('Eval-Après impact'!$A$769=BM23,OR(COUNTIF('Eval-Après impact'!$N$769:$P$769,"*T*")&gt;0,CJ17&lt;30)),AND('Eval-Après impact'!$A$770=BM23,OR(COUNTIF('Eval-Après impact'!$N$770:$P$770,"*T*")&gt;0,CJ18&lt;30)),AND('Eval-Après impact'!$A$771=BM23,OR(COUNTIF('Eval-Après impact'!$N$771:$P$771,"*T*")&gt;0,CJ19&lt;30)),AND('Eval-Après impact'!$A$772=BM23,OR(COUNTIF('Eval-Après impact'!$N$772:$P$772,"*T*")&gt;0,CJ20&lt;30)),AND('Eval-Après impact'!$A$773=BM23,OR(COUNTIF('Eval-Après impact'!$N$773:$P$773,"*T*")&gt;0,CJ21&lt;30)),AND('Eval-Après impact'!$A$774=BM23,OR(COUNTIF('Eval-Après impact'!$N$774:$P$774,"*T*")&gt;0,CJ22&lt;30)),AND('Eval-Après impact'!$A$775=BM23,OR(COUNTIF('Eval-Après impact'!$N$775:$P$775,"*T*")&gt;0,CJ23&lt;30)),AND('Eval-Après impact'!$A$776=BM23,OR(COUNTIF('Eval-Après impact'!$N$776:$P$776,"*T*")&gt;0,CJ24&lt;30)),AND('Eval-Après impact'!$A$777=BM23,OR(COUNTIF('Eval-Après impact'!$N$777:$P$777,"*T*")&gt;0,CJ25&lt;30)),AND('Eval-Après impact'!$A$778=BM23,OR(COUNTIF('Eval-Après impact'!$N$778:$P$778,"*T*")&gt;0,CJ26&lt;30)),AND('Eval-Après impact'!$A$779=BM23,OR(COUNTIF('Eval-Après impact'!$N$779:$P$779,"*T*")&gt;0,CJ27&lt;30)),AND('Eval-Après impact'!$A$780=BM23,OR(COUNTIF('Eval-Après impact'!$N$780:$P$780,"*T*")&gt;0,CJ28&lt;30))),"",SUM(1*(SUMPRODUCT(('Eval-Après impact'!$A$761:$A$780=BM23)*('Eval-Après impact'!$N$761:$P$780="A"))),0.85*(SUMPRODUCT(('Eval-Après impact'!$A$761:$A$780=BM23)*('Eval-Après impact'!$N$761:$P$780="AL"))),0.7*(SUMPRODUCT(('Eval-Après impact'!$A$761:$A$780=BM23)*('Eval-Après impact'!$N$761:$P$780="LA"))),0.55*(SUMPRODUCT(('Eval-Après impact'!$A$761:$A$780=BM23)*('Eval-Après impact'!$N$761:$P$780="L"))),0.4*(SUMPRODUCT(('Eval-Après impact'!$A$761:$A$780=BM23)*('Eval-Après impact'!$N$761:$P$780="LS"))),0.25*(SUMPRODUCT(('Eval-Après impact'!$A$761:$A$780=BM23)*('Eval-Après impact'!$N$761:$P$780="SL"))),0.1*(SUMPRODUCT(('Eval-Après impact'!$A$761:$A$780=BM23)*('Eval-Après impact'!$N$761:$P$780="S"))))/(3*COUNTIF('Eval-Après impact'!$A$761:$A$780,BM23))),"")</f>
        <v/>
      </c>
      <c r="CG23" s="214" t="str">
        <f>IF(COUNTIF('Eval-Après impact'!$A$761:$A$780,BM23)&gt;0,IF(OR(AND('Eval-Après impact'!$A$761=BM23,OR(COUNTIF('Eval-Après impact'!$Q$761:$Y$761,"*T*")&gt;0,CJ9&lt;120)),AND('Eval-Après impact'!$A$762=BM23,OR(COUNTIF('Eval-Après impact'!$Q$762:$Y$762,"*T*")&gt;0,CJ10&lt;120)),AND('Eval-Après impact'!$A$763=BM23,OR(COUNTIF('Eval-Après impact'!$Q$763:$Y$763,"*T*")&gt;0,CJ11&lt;120)),AND('Eval-Après impact'!$A$764=BM23,OR(COUNTIF('Eval-Après impact'!$Q$764:$Y$764,"*T*")&gt;0,CJ12&lt;120)),AND('Eval-Après impact'!$A$765=BM23,OR(COUNTIF('Eval-Après impact'!$Q$765:$Y$765,"*T*")&gt;0,CJ13&lt;120)),AND('Eval-Après impact'!$A$766=BM23,OR(COUNTIF('Eval-Après impact'!$Q$766:$Y$766,"*T*")&gt;0,CJ14&lt;120)),AND('Eval-Après impact'!$A$767=BM23,OR(COUNTIF('Eval-Après impact'!$Q$767:$Y$767,"*T*")&gt;0,CJ15&lt;120)),AND('Eval-Après impact'!$A$768=BM23,OR(COUNTIF('Eval-Après impact'!$Q$768:$Y$768,"*T*")&gt;0,CJ16&lt;120)),AND('Eval-Après impact'!$A$769=BM23,OR(COUNTIF('Eval-Après impact'!$Q$769:$Y$769,"*T*")&gt;0,CJ17&lt;120)),AND('Eval-Après impact'!$A$770=BM23,OR(COUNTIF('Eval-Après impact'!$Q$770:$Y$770,"*T*")&gt;0,CJ18&lt;120)),AND('Eval-Après impact'!$A$771=BM23,OR(COUNTIF('Eval-Après impact'!$Q$771:$Y$771,"*T*")&gt;0,CJ19&lt;120)),AND('Eval-Après impact'!$A$772=BM23,OR(COUNTIF('Eval-Après impact'!$Q$772:$Y$772,"*T*")&gt;0,CJ20&lt;120)),AND('Eval-Après impact'!$A$773=BM23,OR(COUNTIF('Eval-Après impact'!$Q$773:$Y$773,"*T*")&gt;0,CJ21&lt;120)),AND('Eval-Après impact'!$A$774=BM23,OR(COUNTIF('Eval-Après impact'!$Q$774:$Y$774,"*T*")&gt;0,CJ22&lt;120)),AND('Eval-Après impact'!$A$775=BM23,OR(COUNTIF('Eval-Après impact'!$Q$775:$Y$775,"*T*")&gt;0,CJ23&lt;120)),AND('Eval-Après impact'!$A$776=BM23,OR(COUNTIF('Eval-Après impact'!$Q$776:$Y$776,"*T*")&gt;0,CJ24&lt;120)),AND('Eval-Après impact'!$A$777=BM23,OR(COUNTIF('Eval-Après impact'!$Q$777:$Y$777,"*T*")&gt;0,CJ25&lt;120)),AND('Eval-Après impact'!$A$778=BM23,OR(COUNTIF('Eval-Après impact'!$Q$778:$Y$778,"*T*")&gt;0,CJ26&lt;120)),AND('Eval-Après impact'!$A$779=BM23,OR(COUNTIF('Eval-Après impact'!$Q$779:$Y$779,"*T*")&gt;0,CJ27&lt;120)),AND('Eval-Après impact'!$A$780=BM23,OR(COUNTIF('Eval-Après impact'!$Q$780:$Y$780,"*T*")&gt;0,CJ28&lt;120))),"",SUM(1*(SUMPRODUCT(('Eval-Après impact'!$A$761:$A$780=BM23)*('Eval-Après impact'!$Q$761:$Y$780="A"))),0.85*(SUMPRODUCT(('Eval-Après impact'!$A$761:$A$780=BM23)*('Eval-Après impact'!$Q$761:$Y$780="AL"))),0.7*(SUMPRODUCT(('Eval-Après impact'!$A$761:$A$780=BM23)*('Eval-Après impact'!$Q$761:$Y$780="LA"))),0.55*(SUMPRODUCT(('Eval-Après impact'!$A$761:$A$780=BM23)*('Eval-Après impact'!$Q$761:$Y$780="L"))),0.4*(SUMPRODUCT(('Eval-Après impact'!$A$761:$A$780=BM23)*('Eval-Après impact'!$Q$761:$Y$780="LS"))),0.25*(SUMPRODUCT(('Eval-Après impact'!$A$761:$A$780=BM23)*('Eval-Après impact'!$Q$761:$Y$780="SL"))),0.1*(SUMPRODUCT(('Eval-Après impact'!$A$761:$A$780=BM23)*('Eval-Après impact'!$Q$761:$Y$780="S"))))/(9*COUNTIF('Eval-Après impact'!$A$761:$A$780,BM23))),"")</f>
        <v/>
      </c>
      <c r="CH23" s="215"/>
      <c r="CI23" s="216">
        <f>'Eval-Après impact'!$D$775</f>
        <v>15</v>
      </c>
      <c r="CJ23" s="217" t="str">
        <f>IF(CK23="C",0,IF(IF(COUNTIF('Eval-Après impact'!$N$775:$Y$775,"=C")&gt;0,(COUNTA('Eval-Après impact'!$N$775:$Y$775)-1)*10,COUNTA('Eval-Après impact'!$N$775:$Y$775)*10)=0,"",IF(COUNTIF('Eval-Après impact'!$N$775:$Y$775,"=C")&gt;0,(COUNTA('Eval-Après impact'!$N$775:$Y$775)-1)*10,COUNTA('Eval-Après impact'!$N$775:$Y$775)*10)))</f>
        <v/>
      </c>
      <c r="CK23" s="217" t="str">
        <f>CONCATENATE('Eval-Après impact'!$N$775,'Eval-Après impact'!$O$775,'Eval-Après impact'!$P$775,'Eval-Après impact'!$Q$775,'Eval-Après impact'!$R$775,'Eval-Après impact'!$S$775,'Eval-Après impact'!$T$775,'Eval-Après impact'!$U$775,'Eval-Après impact'!$V$775,'Eval-Après impact'!$W$775,'Eval-Après impact'!$X$775,'Eval-Après impact'!$Y$775)</f>
        <v/>
      </c>
      <c r="CL23" s="217" t="str">
        <f t="shared" si="8"/>
        <v/>
      </c>
      <c r="CM23" s="217" t="str">
        <f t="shared" si="9"/>
        <v/>
      </c>
      <c r="CN23" s="217" t="str">
        <f>IF(COUNTIF('Eval-Après impact'!$N$775:$Y$775,"=C")&gt;0,"X","")</f>
        <v/>
      </c>
      <c r="CO23" s="217" t="str">
        <f t="shared" si="10"/>
        <v/>
      </c>
      <c r="CP23" s="218" t="str">
        <f t="shared" si="11"/>
        <v/>
      </c>
      <c r="CQ23" s="197"/>
      <c r="CS23" s="210">
        <v>15</v>
      </c>
      <c r="CT23" s="211" t="str">
        <f>IF(COUNTIF('Eval-Avant action écologique'!$A$761:$A$780,CS23)&gt;0,SUM(IF('Eval-Avant action écologique'!$A$761=CS23,'Eval-Avant action écologique'!$B$761,0),IF('Eval-Avant action écologique'!$A$762=CS23, 'Eval-Avant action écologique'!$B$762,0),IF('Eval-Avant action écologique'!$A$763=CS23, 'Eval-Avant action écologique'!$B$763,0),IF('Eval-Avant action écologique'!$A$764=CS23, 'Eval-Avant action écologique'!$B$764,0),IF('Eval-Avant action écologique'!$A$765=CS23, 'Eval-Avant action écologique'!$B$765,0),IF('Eval-Avant action écologique'!$A$766=CS23, 'Eval-Avant action écologique'!$B$766,0),IF('Eval-Avant action écologique'!$A$767=CS23, 'Eval-Avant action écologique'!$B$767,0),IF('Eval-Avant action écologique'!$A$768=CS23, 'Eval-Avant action écologique'!$B$768,0),IF('Eval-Avant action écologique'!$A$769=CS23, 'Eval-Avant action écologique'!$B$769,0),IF('Eval-Avant action écologique'!$A$770=CS23, 'Eval-Avant action écologique'!$B$770,0),IF('Eval-Avant action écologique'!$A$771=CS23, 'Eval-Avant action écologique'!$B$771,0),IF('Eval-Avant action écologique'!$A$772=CS23, 'Eval-Avant action écologique'!$B$772,0),IF('Eval-Avant action écologique'!$A$773=CS23, 'Eval-Avant action écologique'!$B$773,0),IF('Eval-Avant action écologique'!$A$774=CS23, 'Eval-Avant action écologique'!$B$774,0),IF('Eval-Avant action écologique'!$A$775=CS23, 'Eval-Avant action écologique'!$B$775,0),IF('Eval-Avant action écologique'!$A$776=CS23, 'Eval-Avant action écologique'!$B$776,0),IF('Eval-Avant action écologique'!$A$777=CS23, 'Eval-Avant action écologique'!$B$777,0),IF('Eval-Avant action écologique'!$A$778=CS23, 'Eval-Avant action écologique'!$B$778,0),IF('Eval-Avant action écologique'!$A$779=CS23, 'Eval-Avant action écologique'!$B$779,0),IF('Eval-Avant action écologique'!$A$780=CS23, 'Eval-Avant action écologique'!$B$780,0))/COUNTIF('Eval-Avant action écologique'!$A$761:$A$780,CS23),"")</f>
        <v/>
      </c>
      <c r="CU23" s="212" t="str">
        <f>IF(COUNTIF('Eval-Avant action écologique'!$A$761:$A$780,CS23)&gt;0,COUNTIF('Eval-Avant action écologique'!$A$761:$A$780,CS23),"")</f>
        <v/>
      </c>
      <c r="CV23" s="211" t="str">
        <f>IF(COUNTIF('Eval-Avant action écologique'!$A$761:$A$780,CS23)&gt;0,IF(OR(AND('Eval-Avant action écologique'!$A$761=CS23, 'Eval-Avant action écologique'!$G$761=""),AND('Eval-Avant action écologique'!$A$762=CS23, 'Eval-Avant action écologique'!$G$762=""),AND('Eval-Avant action écologique'!$A$763=CS23, 'Eval-Avant action écologique'!$G$763=""),AND('Eval-Avant action écologique'!$A$764=CS23, 'Eval-Avant action écologique'!$G$764=""),AND('Eval-Avant action écologique'!$A$765=CS23, 'Eval-Avant action écologique'!$G$765=""),AND('Eval-Avant action écologique'!$A$766=CS23, 'Eval-Avant action écologique'!$G$766=""),AND('Eval-Avant action écologique'!$A$767=CS23, 'Eval-Avant action écologique'!$G$767=""),AND('Eval-Avant action écologique'!$A$768=CS23, 'Eval-Avant action écologique'!$G$768=""),AND('Eval-Avant action écologique'!$A$769=CS23, 'Eval-Avant action écologique'!$G$769=""),AND('Eval-Avant action écologique'!$A$770=CS23, 'Eval-Avant action écologique'!$G$770=""),AND('Eval-Avant action écologique'!$A$771=CS23, 'Eval-Avant action écologique'!$G$771=""),AND('Eval-Avant action écologique'!$A$772=CS23, 'Eval-Avant action écologique'!$G$772=""),AND('Eval-Avant action écologique'!$A$773=CS23, 'Eval-Avant action écologique'!$G$773=""),AND('Eval-Avant action écologique'!$A$774=CS23, 'Eval-Avant action écologique'!$G$774=""),AND('Eval-Avant action écologique'!$A$775=CS23, 'Eval-Avant action écologique'!$G$775=""),AND('Eval-Avant action écologique'!$A$776=CS23, 'Eval-Avant action écologique'!$G$776=""),AND('Eval-Avant action écologique'!$A$777=CS23, 'Eval-Avant action écologique'!$G$777=""),AND('Eval-Avant action écologique'!$A$778=CS23, 'Eval-Avant action écologique'!$G$778=""),AND('Eval-Avant action écologique'!$A$779=CS23, 'Eval-Avant action écologique'!$G$779=""),AND('Eval-Avant action écologique'!$A$780=CS23, 'Eval-Avant action écologique'!$G$780="")),"",SUM(IF('Eval-Avant action écologique'!$A$761=CS23,'Eval-Avant action écologique'!$G$761,0),IF('Eval-Avant action écologique'!$A$762=CS23,'Eval-Avant action écologique'!$G$762,0),IF('Eval-Avant action écologique'!$A$763=CS23,'Eval-Avant action écologique'!$G$763,0),IF('Eval-Avant action écologique'!$A$764=CS23,'Eval-Avant action écologique'!$G$764,0),IF('Eval-Avant action écologique'!$A$765=CS23,'Eval-Avant action écologique'!$G$765,0),IF('Eval-Avant action écologique'!$A$766=CS23,'Eval-Avant action écologique'!$G$766,0),IF('Eval-Avant action écologique'!$A$767=CS23,'Eval-Avant action écologique'!$G$767,0),IF('Eval-Avant action écologique'!$A$768=CS23,'Eval-Avant action écologique'!$G$768,0),IF('Eval-Avant action écologique'!$A$769=CS23,'Eval-Avant action écologique'!$G$769,0),IF('Eval-Avant action écologique'!$A$770=CS23,'Eval-Avant action écologique'!$G$770,0),IF('Eval-Avant action écologique'!$A$771=CS23,'Eval-Avant action écologique'!$G$771,0),IF('Eval-Avant action écologique'!$A$772=CS23,'Eval-Avant action écologique'!$G$772,0),IF('Eval-Avant action écologique'!$A$773=CS23,'Eval-Avant action écologique'!$G$773,0),IF('Eval-Avant action écologique'!$A$774=CS23,'Eval-Avant action écologique'!$G$774,0),IF('Eval-Avant action écologique'!$A$775=CS23,'Eval-Avant action écologique'!$G$775,0), IF('Eval-Avant action écologique'!$A$776=CS23,'Eval-Avant action écologique'!$G$776,0), IF('Eval-Avant action écologique'!$A$777=CS23,'Eval-Avant action écologique'!$G$777,0), IF('Eval-Avant action écologique'!$A$778=CS23,'Eval-Avant action écologique'!$G$778,0), IF('Eval-Avant action écologique'!$A$779=CS23,'Eval-Avant action écologique'!$G$779,0), IF('Eval-Avant action écologique'!$A$780=CS23,'Eval-Avant action écologique'!$G$780,0))/ COUNTIF('Eval-Avant action écologique'!$A$761:$A$780,CS23)),"")</f>
        <v/>
      </c>
      <c r="CW23" s="212" t="str">
        <f>IF(COUNTIF('Eval-Avant action écologique'!$A$761:$A$780,CS23)&gt;0,IF(SUM(IF('Eval-Avant action écologique'!$A$761=CS23,COUNTA('Eval-Avant action écologique'!$H$761),0),IF('Eval-Avant action écologique'!$A$762=CS23,COUNTA('Eval-Avant action écologique'!$H$762),0),IF('Eval-Avant action écologique'!$A$763=CS23,COUNTA('Eval-Avant action écologique'!$H$763),0),IF('Eval-Avant action écologique'!$A$764=CS23,COUNTA('Eval-Avant action écologique'!$H$764),0),IF('Eval-Avant action écologique'!$A$765=CS23,COUNTA('Eval-Avant action écologique'!$H$765),0),IF('Eval-Avant action écologique'!$A$766=CS23,COUNTA('Eval-Avant action écologique'!$H$766),0),IF('Eval-Avant action écologique'!$A$767=CS23,COUNTA('Eval-Avant action écologique'!$H$767),0),IF('Eval-Avant action écologique'!$A$768=CS23,COUNTA('Eval-Avant action écologique'!$H$768),0),IF('Eval-Avant action écologique'!$A$769=CS23,COUNTA('Eval-Avant action écologique'!$H$769),0),IF('Eval-Avant action écologique'!$A$770=CS23,COUNTA('Eval-Avant action écologique'!$H$770),0),IF('Eval-Avant action écologique'!$A$771=CS23,COUNTA('Eval-Avant action écologique'!$H$771),0),IF('Eval-Avant action écologique'!$A$772=CS23,COUNTA('Eval-Avant action écologique'!$H$772),0),IF('Eval-Avant action écologique'!$A$773=CS23,COUNTA('Eval-Avant action écologique'!$H$773),0),IF('Eval-Avant action écologique'!$A$774=CS23,COUNTA('Eval-Avant action écologique'!$H$774),0),IF('Eval-Avant action écologique'!$A$775=CS23,COUNTA('Eval-Avant action écologique'!$H$775),0),IF('Eval-Avant action écologique'!$A$776=CS23,COUNTA('Eval-Avant action écologique'!$H$776),0),IF('Eval-Avant action écologique'!$A$777=CS23,COUNTA('Eval-Avant action écologique'!$H$777),0),IF('Eval-Avant action écologique'!$A$778=CS23,COUNTA('Eval-Avant action écologique'!$H$778),0),IF('Eval-Avant action écologique'!$A$779=CS23,COUNTA('Eval-Avant action écologique'!$H$779),0),IF('Eval-Avant action écologique'!$A$780=CS23,COUNTA('Eval-Avant action écologique'!$H$780),0))&gt;0,"X",0),"")</f>
        <v/>
      </c>
      <c r="CX23" s="213" t="str">
        <f>IF(COUNTIF('Eval-Avant action écologique'!$A$761:$A$780,CS23)&gt;0,IF(SUM(IF('Eval-Avant action écologique'!$A$761=CS23,COUNTA('Eval-Avant action écologique'!$I$761),0),IF('Eval-Avant action écologique'!$A$762=CS23,COUNTA('Eval-Avant action écologique'!$I$762),0),IF('Eval-Avant action écologique'!$A$763=CS23,COUNTA('Eval-Avant action écologique'!$I$763),0),IF('Eval-Avant action écologique'!$A$764=CS23,COUNTA('Eval-Avant action écologique'!$I$764),0),IF('Eval-Avant action écologique'!$A$765=CS23,COUNTA('Eval-Avant action écologique'!$I$765),0),IF('Eval-Avant action écologique'!$A$766=CS23,COUNTA('Eval-Avant action écologique'!$I$766),0),IF('Eval-Avant action écologique'!$A$767=CS23,COUNTA('Eval-Avant action écologique'!$I$767),0),IF('Eval-Avant action écologique'!$A$768=CS23,COUNTA('Eval-Avant action écologique'!$I$768),0),IF('Eval-Avant action écologique'!$A$769=CS23,COUNTA('Eval-Avant action écologique'!$I$769),0),IF('Eval-Avant action écologique'!$A$770=CS23,COUNTA('Eval-Avant action écologique'!$I$770),0),IF('Eval-Avant action écologique'!$A$771=CS23,COUNTA('Eval-Avant action écologique'!$I$771),0),IF('Eval-Avant action écologique'!$A$772=CS23,COUNTA('Eval-Avant action écologique'!$I$772),0),IF('Eval-Avant action écologique'!$A$773=CS23,COUNTA('Eval-Avant action écologique'!$I$773),0),IF('Eval-Avant action écologique'!$A$774=CS23,COUNTA('Eval-Avant action écologique'!$I$774),0),IF('Eval-Avant action écologique'!$A$775=CS23,COUNTA('Eval-Avant action écologique'!$I$775),0),IF('Eval-Avant action écologique'!$A$776=CS23,COUNTA('Eval-Avant action écologique'!$I$776),0),IF('Eval-Avant action écologique'!$A$777=CS23,COUNTA('Eval-Avant action écologique'!$I$777),0),IF('Eval-Avant action écologique'!$A$778=CS23,COUNTA('Eval-Avant action écologique'!$I$778),0),IF('Eval-Avant action écologique'!$A$779=CS23,COUNTA('Eval-Avant action écologique'!$I$779),0),IF('Eval-Avant action écologique'!$A$780=CS23,COUNTA('Eval-Avant action écologique'!$I$780),0))&gt;0,"X",0),"")</f>
        <v/>
      </c>
      <c r="CY23" s="213" t="str">
        <f>IF(COUNTIF('Eval-Avant action écologique'!$A$761:$A$780,CS23)&gt;0,IF(SUM(IF('Eval-Avant action écologique'!$A$761=CS23,COUNTA('Eval-Avant action écologique'!$J$761),0),IF('Eval-Avant action écologique'!$A$762=CS23,COUNTA('Eval-Avant action écologique'!$J$762),0),IF('Eval-Avant action écologique'!$A$763=CS23,COUNTA('Eval-Avant action écologique'!$J$763),0),IF('Eval-Avant action écologique'!$A$764=CS23,COUNTA('Eval-Avant action écologique'!$J$764),0),IF('Eval-Avant action écologique'!$A$765=CS23,COUNTA('Eval-Avant action écologique'!$J$765),0),IF('Eval-Avant action écologique'!$A$766=CS23,COUNTA('Eval-Avant action écologique'!$J$766),0),IF('Eval-Avant action écologique'!$A$767=CS23,COUNTA('Eval-Avant action écologique'!$J$767),0),IF('Eval-Avant action écologique'!$A$768=CS23,COUNTA('Eval-Avant action écologique'!$J$768),0),IF('Eval-Avant action écologique'!$A$769=CS23,COUNTA('Eval-Avant action écologique'!$J$769),0),IF('Eval-Avant action écologique'!$A$770=CS23,COUNTA('Eval-Avant action écologique'!$J$770),0),IF('Eval-Avant action écologique'!$A$771=CS23,COUNTA('Eval-Avant action écologique'!$J$771),0),IF('Eval-Avant action écologique'!$A$772=CS23,COUNTA('Eval-Avant action écologique'!$J$772),0),IF('Eval-Avant action écologique'!$A$773=CS23,COUNTA('Eval-Avant action écologique'!$J$773),0),IF('Eval-Avant action écologique'!$A$774=CS23,COUNTA('Eval-Avant action écologique'!$J$774),0),IF('Eval-Avant action écologique'!$A$775=CS23,COUNTA('Eval-Avant action écologique'!$J$775),0),IF('Eval-Avant action écologique'!$A$776=CS23,COUNTA('Eval-Avant action écologique'!$J$776),0),IF('Eval-Avant action écologique'!$A$777=CS23,COUNTA('Eval-Avant action écologique'!$J$777),0),IF('Eval-Avant action écologique'!$A$778=CS23,COUNTA('Eval-Avant action écologique'!$J$778),0),IF('Eval-Avant action écologique'!$A$779=CS23,COUNTA('Eval-Avant action écologique'!$J$779),0),IF('Eval-Avant action écologique'!$A$780=CS23,COUNTA('Eval-Avant action écologique'!$J$780),0))&gt;0,"X",0),"")</f>
        <v/>
      </c>
      <c r="CZ23" s="213" t="str">
        <f>IF(COUNTIF('Eval-Avant action écologique'!$A$761:$A$780,CS23)&gt;0,IF(SUM(IF('Eval-Avant action écologique'!$A$761=CS23,COUNTA('Eval-Avant action écologique'!$K$761),0),IF('Eval-Avant action écologique'!$A$762=CS23,COUNTA('Eval-Avant action écologique'!$K$762),0),IF('Eval-Avant action écologique'!$A$763=CS23,COUNTA('Eval-Avant action écologique'!$K$763),0),IF('Eval-Avant action écologique'!$A$764=CS23,COUNTA('Eval-Avant action écologique'!$K$764),0),IF('Eval-Avant action écologique'!$A$765=CS23,COUNTA('Eval-Avant action écologique'!$K$765),0),IF('Eval-Avant action écologique'!$A$766=CS23,COUNTA('Eval-Avant action écologique'!$K$766),0),IF('Eval-Avant action écologique'!$A$767=CS23,COUNTA('Eval-Avant action écologique'!$K$767),0),IF('Eval-Avant action écologique'!$A$768=CS23,COUNTA('Eval-Avant action écologique'!$K$768),0),IF('Eval-Avant action écologique'!$A$769=CS23,COUNTA('Eval-Avant action écologique'!$K$769),0),IF('Eval-Avant action écologique'!$A$770=CS23,COUNTA('Eval-Avant action écologique'!$K$770),0),IF('Eval-Avant action écologique'!$A$771=CS23,COUNTA('Eval-Avant action écologique'!$K$771),0),IF('Eval-Avant action écologique'!$A$772=CS23,COUNTA('Eval-Avant action écologique'!$K$772),0),IF('Eval-Avant action écologique'!$A$773=CS23,COUNTA('Eval-Avant action écologique'!$K$773),0),IF('Eval-Avant action écologique'!$A$774=CS23,COUNTA('Eval-Avant action écologique'!$K$774),0),IF('Eval-Avant action écologique'!$A$775=CS23,COUNTA('Eval-Avant action écologique'!$K$775),0),IF('Eval-Avant action écologique'!$A$776=CS23,COUNTA('Eval-Avant action écologique'!$K$776),0),IF('Eval-Avant action écologique'!$A$777=CS23,COUNTA('Eval-Avant action écologique'!$K$777),0),IF('Eval-Avant action écologique'!$A$778=CS23,COUNTA('Eval-Avant action écologique'!$K$778),0),IF('Eval-Avant action écologique'!$A$779=CS23,COUNTA('Eval-Avant action écologique'!$K$779),0),IF('Eval-Avant action écologique'!$A$780=CS23,COUNTA('Eval-Avant action écologique'!$K$780),0))&gt;0,"X",0),"")</f>
        <v/>
      </c>
      <c r="DA23" s="211" t="str">
        <f>IF(COUNTIF('Eval-Avant action écologique'!$A$761:$A$780,CS23)&gt;0,IF(OR(AND('Eval-Avant action écologique'!$A$761=CS23,'Eval-Avant action écologique'!$L$761&lt;120,'Eval-Avant action écologique'!$L$761&gt;=DP9),AND('Eval-Avant action écologique'!$A$762=CS23,'Eval-Avant action écologique'!$L$762&lt;120,'Eval-Avant action écologique'!$L$762&gt;=DP10),AND('Eval-Avant action écologique'!$A$763=CS23,'Eval-Avant action écologique'!$L$763&lt;120,'Eval-Avant action écologique'!$L$763&gt;=DP11),AND('Eval-Avant action écologique'!$A$764=CS23,'Eval-Avant action écologique'!$L$764&lt;120,'Eval-Avant action écologique'!$L$764&gt;=DP12),AND('Eval-Avant action écologique'!$A$765=CS23,'Eval-Avant action écologique'!$L$765&lt;120,'Eval-Avant action écologique'!$L$765&gt;=DP13),AND('Eval-Avant action écologique'!$A$766=CS23,'Eval-Avant action écologique'!$L$766&lt;120,'Eval-Avant action écologique'!$L$766&gt;=DP14),AND('Eval-Avant action écologique'!$A$767=CS23,'Eval-Avant action écologique'!$L$767&lt;120,'Eval-Avant action écologique'!$L$767&gt;=DP15),AND('Eval-Avant action écologique'!$A$768=CS23,'Eval-Avant action écologique'!$L$768&lt;120,'Eval-Avant action écologique'!$L$768&gt;=DP16),AND('Eval-Avant action écologique'!$A$769=CS23,'Eval-Avant action écologique'!$L$769&lt;120,'Eval-Avant action écologique'!$L$769&gt;=DP17),AND('Eval-Avant action écologique'!$A$770=CS23,'Eval-Avant action écologique'!$L$770&lt;120,'Eval-Avant action écologique'!$L$770&gt;=DP18),AND('Eval-Avant action écologique'!$A$771=CS23,'Eval-Avant action écologique'!$L$771&lt;120,'Eval-Avant action écologique'!$L$771&gt;=DP19),AND('Eval-Avant action écologique'!$A$772=CS23,'Eval-Avant action écologique'!$L$772&lt;120,'Eval-Avant action écologique'!$L$772&gt;=DP20),AND('Eval-Avant action écologique'!$A$773=CS23,'Eval-Avant action écologique'!$L$773&lt;120,'Eval-Avant action écologique'!$L$773&gt;=DP21),AND('Eval-Avant action écologique'!$A$774=CS23,'Eval-Avant action écologique'!$L$774&lt;120,'Eval-Avant action écologique'!$L$774&gt;=DP22),AND('Eval-Avant action écologique'!$A$775=CS23,'Eval-Avant action écologique'!$L$775&lt;120,'Eval-Avant action écologique'!$L$775&gt;=DP23),AND('Eval-Avant action écologique'!$A$776=CS23,'Eval-Avant action écologique'!$L$776&lt;120,'Eval-Avant action écologique'!$L$776&gt;=DP24),AND('Eval-Avant action écologique'!$A$777=CS23,'Eval-Avant action écologique'!$L$777&lt;120,'Eval-Avant action écologique'!$L$777&gt;=DP25),AND('Eval-Avant action écologique'!$A$778=CS23,'Eval-Avant action écologique'!$L$778&lt;120,'Eval-Avant action écologique'!$L$778&gt;=DP26),AND('Eval-Avant action écologique'!$A$779=CS23,'Eval-Avant action écologique'!$L$779&lt;120,'Eval-Avant action écologique'!$L$779&gt;=DP27),AND('Eval-Avant action écologique'!$A$780=CS23,'Eval-Avant action écologique'!$L$780&lt;120,'Eval-Avant action écologique'!$L$780&gt;=DP28)),"",SUM(IF('Eval-Avant action écologique'!$A$761=CS23,'Eval-Avant action écologique'!$L$761,0),IF('Eval-Avant action écologique'!$A$762=CS23,'Eval-Avant action écologique'!$L$762,0),IF('Eval-Avant action écologique'!$A$763=CS23,'Eval-Avant action écologique'!$L$763,0),IF('Eval-Avant action écologique'!$A$764=CS23,'Eval-Avant action écologique'!$L$764,0),IF('Eval-Avant action écologique'!$A$765=CS23,'Eval-Avant action écologique'!$L$765,0),IF('Eval-Avant action écologique'!$A$766=CS23,'Eval-Avant action écologique'!$L$766,0),IF('Eval-Avant action écologique'!$A$767=CS23,'Eval-Avant action écologique'!$L$767,0),IF('Eval-Avant action écologique'!$A$768=CS23,'Eval-Avant action écologique'!$L$768,0),IF('Eval-Avant action écologique'!$A$769=CS23,'Eval-Avant action écologique'!$L$769,0),IF('Eval-Avant action écologique'!$A$770=CS23,'Eval-Avant action écologique'!$L$770,0),IF('Eval-Avant action écologique'!$A$771=CS23,'Eval-Avant action écologique'!$L$771,0),IF('Eval-Avant action écologique'!$A$772=CS23,'Eval-Avant action écologique'!$L$772,0),IF('Eval-Avant action écologique'!$A$773=CS23,'Eval-Avant action écologique'!$L$773,0),IF('Eval-Avant action écologique'!$A$774=CS23,'Eval-Avant action écologique'!$L$774,0),IF('Eval-Avant action écologique'!$A$775=CS23,'Eval-Avant action écologique'!$L$775,0),IF('Eval-Avant action écologique'!$A$776=CS23,'Eval-Avant action écologique'!$L$776,0),IF('Eval-Avant action écologique'!$A$777=CS23,'Eval-Avant action écologique'!$L$777,0),IF('Eval-Avant action écologique'!$A$778=CS23,'Eval-Avant action écologique'!$L$778,0),IF('Eval-Avant action écologique'!$A$779=CS23,'Eval-Avant action écologique'!$L$779,0),IF('Eval-Avant action écologique'!$A$780=CS23,'Eval-Avant action écologique'!$L$780,0))/ COUNTIF('Eval-Avant action écologique'!$A$761:$A$780,CS23)),"")</f>
        <v/>
      </c>
      <c r="DB23" s="211" t="str">
        <f>IF(COUNTIF('Eval-Avant action écologique'!$A$761:$A$780,CS23)&gt;0,IF(OR(AND('Eval-Avant action écologique'!$A$761=CS23, DP9&lt;120),AND(DP10&lt;120),AND(DP11&lt;120),AND(DP12&lt;120),AND(DP13&lt;120),AND(DP14&lt;120),AND(DP15&lt;120),AND(DP16&lt;120),AND(DP17&lt;120),AND(DP18&lt;120),AND(DP19&lt;120),AND(DP20&lt;120),AND(DP21&lt;120),AND(DP22&lt;120),AND(DP23&lt;120),AND(DP24&lt;120),AND(DP25&lt;120),AND(DP26&lt;120),AND(DP27&lt;120),AND(DP28&lt;120)),"",SUM(IF('Eval-Avant action écologique'!$A$761=CS23,'Eval-Avant action écologique'!$M$761,0),IF('Eval-Avant action écologique'!$A$762=CS23,'Eval-Avant action écologique'!$M$762,0),IF('Eval-Avant action écologique'!$A$763=CS23,'Eval-Avant action écologique'!$M$763,0),IF('Eval-Avant action écologique'!$A$764=CS23,'Eval-Avant action écologique'!$M$764,0),IF('Eval-Avant action écologique'!$A$765=CS23,'Eval-Avant action écologique'!$M$765,0),IF('Eval-Avant action écologique'!$A$766=CS23,'Eval-Avant action écologique'!$M$766,0),IF('Eval-Avant action écologique'!$A$767=CS23,'Eval-Avant action écologique'!$M$767,0),IF('Eval-Avant action écologique'!$A$768=CS23,'Eval-Avant action écologique'!$M$768,0),IF('Eval-Avant action écologique'!$A$769=CS23,'Eval-Avant action écologique'!$M$769,0),IF('Eval-Avant action écologique'!$A$770=CS23,'Eval-Avant action écologique'!$M$770,0),IF('Eval-Avant action écologique'!$A$771=CS23,'Eval-Avant action écologique'!$M$771,0),IF('Eval-Avant action écologique'!$A$772=CS23,'Eval-Avant action écologique'!$M$772,0),IF('Eval-Avant action écologique'!$A$773=CS23,'Eval-Avant action écologique'!$M$773,0),IF('Eval-Avant action écologique'!$A$774=CS23,'Eval-Avant action écologique'!$M$774,0),IF('Eval-Avant action écologique'!$A$775=CS23,'Eval-Avant action écologique'!$M$775,0), IF('Eval-Avant action écologique'!$A$776=CS23,'Eval-Avant action écologique'!$M$776,0), IF('Eval-Avant action écologique'!$A$777=CS23,'Eval-Avant action écologique'!$M$777,0), IF('Eval-Avant action écologique'!$A$778=CS23,'Eval-Avant action écologique'!$M$778,0), IF('Eval-Avant action écologique'!$A$779=CS23,'Eval-Avant action écologique'!$M$779,0), IF('Eval-Avant action écologique'!$A$780=CS23,'Eval-Avant action écologique'!$M$780,0))/COUNTIF('Eval-Avant action écologique'!$A$761:$A$780,CS23)),"")</f>
        <v/>
      </c>
      <c r="DC23" s="211" t="str">
        <f>IF(COUNTIF('Eval-Avant action écologique'!$A$761:$A$780,CS23)&gt;0,SUM(IF('Eval-Avant action écologique'!$A$761=CS23,LEN(SUBSTITUTE((SUBSTITUTE(DR9,"TM","")),"TS",""))*10/2,0),IF('Eval-Avant action écologique'!$A$762=CS23,LEN(SUBSTITUTE((SUBSTITUTE(DR10,"TM","")),"TS",""))*10/2,0),IF('Eval-Avant action écologique'!$A$763=CS23,LEN(SUBSTITUTE((SUBSTITUTE(DR11,"TM","")),"TS",""))*10/2,0),IF('Eval-Avant action écologique'!$A$764=CS23,LEN(SUBSTITUTE((SUBSTITUTE(DR12,"TM","")),"TS",""))*10/2,0),IF('Eval-Avant action écologique'!$A$765=CS23,LEN(SUBSTITUTE((SUBSTITUTE(DR13,"TM","")),"TS",""))*10/2,0),IF('Eval-Avant action écologique'!$A$766=CS23,LEN(SUBSTITUTE((SUBSTITUTE(DR14,"TM","")),"TS",""))*10/2,0),IF('Eval-Avant action écologique'!$A$767=CS23,LEN(SUBSTITUTE((SUBSTITUTE(DR15,"TM","")),"TS",""))*10/2,0),IF('Eval-Avant action écologique'!$A$768=CS23,LEN(SUBSTITUTE((SUBSTITUTE(DR16,"TM","")),"TS",""))*10/2,0),IF('Eval-Avant action écologique'!$A$769=CS23,LEN(SUBSTITUTE((SUBSTITUTE(DR17,"TM","")),"TS",""))*10/2,0),IF('Eval-Avant action écologique'!$A$770=CS23,LEN(SUBSTITUTE((SUBSTITUTE(DR18,"TM","")),"TS",""))*10/2,0),IF('Eval-Avant action écologique'!$A$771=CS23,LEN(SUBSTITUTE((SUBSTITUTE(DR19,"TM","")),"TS",""))*10/2,0),IF('Eval-Avant action écologique'!$A$772=CS23,LEN(SUBSTITUTE((SUBSTITUTE(DR20,"TM","")),"TS",""))*10/2,0),IF('Eval-Avant action écologique'!$A$773=CS23,LEN(SUBSTITUTE((SUBSTITUTE(DR21,"TM","")),"TS",""))*10/2,0),IF('Eval-Avant action écologique'!$A$774=CS23,LEN(SUBSTITUTE((SUBSTITUTE(DR22,"TM","")),"TS",""))*10/2,0),IF('Eval-Avant action écologique'!$A$775=CS23,LEN(SUBSTITUTE((SUBSTITUTE(DR23,"TM","")),"TS",""))*10/2,0),IF('Eval-Avant action écologique'!$A$776=CS23,LEN(SUBSTITUTE((SUBSTITUTE(DR24,"TM","")),"TS",""))*10/2,0),IF('Eval-Avant action écologique'!$A$777=CS23,LEN(SUBSTITUTE((SUBSTITUTE(DR25,"TM","")),"TS",""))*10/2,0),IF('Eval-Avant action écologique'!$A$778=CS23,LEN(SUBSTITUTE((SUBSTITUTE(DR26,"TM","")),"TS",""))*10/2,0),IF('Eval-Avant action écologique'!$A$779=CS23,LEN(SUBSTITUTE((SUBSTITUTE(DR27,"TM","")),"TS",""))*10/2,0),IF('Eval-Avant action écologique'!$A$780=CS23,LEN(SUBSTITUTE((SUBSTITUTE(DR28,"TM","")),"TS",""))*10/2,0))/COUNTIF('Eval-Avant action écologique'!$A$761:$A$780,CS23),"")</f>
        <v/>
      </c>
      <c r="DD23" s="211" t="str">
        <f>IF(COUNTIF('Eval-Avant action écologique'!$A$761:$A$780,CS23)&gt;0,SUM(IF('Eval-Avant action écologique'!$A$761=CS23,LEN(SUBSTITUTE((SUBSTITUTE(DR9,"TF","")),"TS",""))*10/2,0),IF('Eval-Avant action écologique'!$A$762=CS23,LEN(SUBSTITUTE((SUBSTITUTE(DR10,"TF","")),"TS",""))*10/2,0),IF('Eval-Avant action écologique'!$A$763=CS23,LEN(SUBSTITUTE((SUBSTITUTE(DR11,"TF","")),"TS",""))*10/2,0),IF('Eval-Avant action écologique'!$A$764=CS23,LEN(SUBSTITUTE((SUBSTITUTE(DR12,"TF","")),"TS",""))*10/2,0),IF('Eval-Avant action écologique'!$A$765=CS23,LEN(SUBSTITUTE((SUBSTITUTE(DR13,"TF","")),"TS",""))*10/2,0),IF('Eval-Avant action écologique'!$A$766=CS23,LEN(SUBSTITUTE((SUBSTITUTE(DR14,"TF","")),"TS",""))*10/2,0),IF('Eval-Avant action écologique'!$A$767=CS23,LEN(SUBSTITUTE((SUBSTITUTE(DR15,"TF","")),"TS",""))*10/2,0),IF('Eval-Avant action écologique'!$A$768=CS23,LEN(SUBSTITUTE((SUBSTITUTE(DR16,"TF","")),"TS",""))*10/2,0),IF('Eval-Avant action écologique'!$A$769=CS23,LEN(SUBSTITUTE((SUBSTITUTE(DR17,"TF","")),"TS",""))*10/2,0),IF('Eval-Avant action écologique'!$A$770=CS23,LEN(SUBSTITUTE((SUBSTITUTE(DR18,"TF","")),"TS",""))*10/2,0),IF('Eval-Avant action écologique'!$A$771=CS23,LEN(SUBSTITUTE((SUBSTITUTE(DR19,"TF","")),"TS",""))*10/2,0),IF('Eval-Avant action écologique'!$A$772=CS23,LEN(SUBSTITUTE((SUBSTITUTE(DR20,"TF","")),"TS",""))*10/2,0),IF('Eval-Avant action écologique'!$A$773=CS23,LEN(SUBSTITUTE((SUBSTITUTE(DR21,"TF","")),"TS",""))*10/2,0),IF('Eval-Avant action écologique'!$A$774=CS23,LEN(SUBSTITUTE((SUBSTITUTE(DR22,"TF","")),"TS",""))*10/2,0),IF('Eval-Avant action écologique'!$A$775=CS23,LEN(SUBSTITUTE((SUBSTITUTE(DR23,"TF","")),"TS",""))*10/2,0),IF('Eval-Avant action écologique'!$A$776=CS23,LEN(SUBSTITUTE((SUBSTITUTE(DR24,"TF","")),"TS",""))*10/2,0),IF('Eval-Avant action écologique'!$A$777=CS23,LEN(SUBSTITUTE((SUBSTITUTE(DR25,"TF","")),"TS",""))*10/2,0),IF('Eval-Avant action écologique'!$A$778=CS23,LEN(SUBSTITUTE((SUBSTITUTE(DR26,"TF","")),"TS",""))*10/2,0),IF('Eval-Avant action écologique'!$A$779=CS23,LEN(SUBSTITUTE((SUBSTITUTE(DR27,"TF","")),"TS",""))*10/2,0),IF('Eval-Avant action écologique'!$A$780=CS23,LEN(SUBSTITUTE((SUBSTITUTE(DR28,"TF","")),"TS",""))*10/2,0))/COUNTIF('Eval-Avant action écologique'!$A$761:$A$780,CS23),"")</f>
        <v/>
      </c>
      <c r="DE23" s="211" t="str">
        <f>IF(COUNTIF('Eval-Avant action écologique'!$A$761:$A$780,CS23)&gt;0,SUM(IF('Eval-Avant action écologique'!$A$761=CS23,LEN(SUBSTITUTE((SUBSTITUTE(DR9,"TF","")),"TM",""))*10/2,0),IF('Eval-Avant action écologique'!$A$762=CS23,LEN(SUBSTITUTE((SUBSTITUTE(DR10,"TF","")),"TM",""))*10/2,0),IF('Eval-Avant action écologique'!$A$763=CS23,LEN(SUBSTITUTE((SUBSTITUTE(DR11,"TF","")),"TM",""))*10/2,0),IF('Eval-Avant action écologique'!$A$764=CS23,LEN(SUBSTITUTE((SUBSTITUTE(DR12,"TF","")),"TM",""))*10/2,0),IF('Eval-Avant action écologique'!$A$765=CS23,LEN(SUBSTITUTE((SUBSTITUTE(DR13,"TF","")),"TM",""))*10/2,0),IF('Eval-Avant action écologique'!$A$766=CS23,LEN(SUBSTITUTE((SUBSTITUTE(DR14,"TF","")),"TM",""))*10/2,0),IF('Eval-Avant action écologique'!$A$767=CS23,LEN(SUBSTITUTE((SUBSTITUTE(DR15,"TF","")),"TM",""))*10/2,0),IF('Eval-Avant action écologique'!$A$768=CS23,LEN(SUBSTITUTE((SUBSTITUTE(DR16,"TF","")),"TM",""))*10/2,0),IF('Eval-Avant action écologique'!$A$769=CS23,LEN(SUBSTITUTE((SUBSTITUTE(DR17,"TF","")),"TM",""))*10/2,0),IF('Eval-Avant action écologique'!$A$770=CS23,LEN(SUBSTITUTE((SUBSTITUTE(DR18,"TF","")),"TM",""))*10/2,0),IF('Eval-Avant action écologique'!$A$771=CS23,LEN(SUBSTITUTE((SUBSTITUTE(DR19,"TF","")),"TM",""))*10/2,0),IF('Eval-Avant action écologique'!$A$772=CS23,LEN(SUBSTITUTE((SUBSTITUTE(DR20,"TF","")),"TM",""))*10/2,0),IF('Eval-Avant action écologique'!$A$773=CS23,LEN(SUBSTITUTE((SUBSTITUTE(DR21,"TF","")),"TM",""))*10/2,0),IF('Eval-Avant action écologique'!$A$774=CS23,LEN(SUBSTITUTE((SUBSTITUTE(DR22,"TF","")),"TM",""))*10/2,0),IF('Eval-Avant action écologique'!$A$775=CS23,LEN(SUBSTITUTE((SUBSTITUTE(DR23,"TF","")),"TM",""))*10/2,0),IF('Eval-Avant action écologique'!$A$776=CS23,LEN(SUBSTITUTE((SUBSTITUTE(DR24,"TF","")),"TM",""))*10/2,0),IF('Eval-Avant action écologique'!$A$777=CS23,LEN(SUBSTITUTE((SUBSTITUTE(DR25,"TF","")),"TM",""))*10/2,0),IF('Eval-Avant action écologique'!$A$778=CS23,LEN(SUBSTITUTE((SUBSTITUTE(DR26,"TF","")),"TM",""))*10/2,0),IF('Eval-Avant action écologique'!$A$779=CS23,LEN(SUBSTITUTE((SUBSTITUTE(DR27,"TF","")),"TM",""))*10/2,0),IF('Eval-Avant action écologique'!$A$780=CS23,LEN(SUBSTITUTE((SUBSTITUTE(DR28,"TF","")),"TM",""))*10/2,0))/COUNTIF('Eval-Avant action écologique'!$A$761:$A$780,CS23),"")</f>
        <v/>
      </c>
      <c r="DF23" s="211" t="str">
        <f>IF(COUNTIF('Eval-Avant action écologique'!$A$761:$A$780,CS23)&gt;0,SUM(IF('Eval-Avant action écologique'!$A$761=CS23,LEN(SUBSTITUTE((SUBSTITUTE(DS9,"TM","")),"TS",""))*10/2,0),IF('Eval-Avant action écologique'!$A$762=CS23,LEN(SUBSTITUTE((SUBSTITUTE(DS10,"TM","")),"TS",""))*10/2,0),IF('Eval-Avant action écologique'!$A$763=CS23,LEN(SUBSTITUTE((SUBSTITUTE(DS11,"TM","")),"TS",""))*10/2,0),IF('Eval-Avant action écologique'!$A$764=CS23,LEN(SUBSTITUTE((SUBSTITUTE(DS12,"TM","")),"TS",""))*10/2,0),IF('Eval-Avant action écologique'!$A$765=CS23,LEN(SUBSTITUTE((SUBSTITUTE(DS13,"TM","")),"TS",""))*10/2,0),IF('Eval-Avant action écologique'!$A$766=CS23,LEN(SUBSTITUTE((SUBSTITUTE(DS14,"TM","")),"TS",""))*10/2,0),IF('Eval-Avant action écologique'!$A$767=CS23,LEN(SUBSTITUTE((SUBSTITUTE(DS15,"TM","")),"TS",""))*10/2,0),IF('Eval-Avant action écologique'!$A$768=CS23,LEN(SUBSTITUTE((SUBSTITUTE(DS16,"TM","")),"TS",""))*10/2,0),IF('Eval-Avant action écologique'!$A$769=CS23,LEN(SUBSTITUTE((SUBSTITUTE(DS17,"TM","")),"TS",""))*10/2,0),IF('Eval-Avant action écologique'!$A$770=CS23,LEN(SUBSTITUTE((SUBSTITUTE(DS18,"TM","")),"TS",""))*10/2,0),IF('Eval-Avant action écologique'!$A$771=CS23,LEN(SUBSTITUTE((SUBSTITUTE(DS19,"TM","")),"TS",""))*10/2,0),IF('Eval-Avant action écologique'!$A$772=CS23,LEN(SUBSTITUTE((SUBSTITUTE(DS20,"TM","")),"TS",""))*10/2,0),IF('Eval-Avant action écologique'!$A$773=CS23,LEN(SUBSTITUTE((SUBSTITUTE(DS21,"TM","")),"TS",""))*10/2,0),IF('Eval-Avant action écologique'!$A$774=CS23,LEN(SUBSTITUTE((SUBSTITUTE(DS22,"TM","")),"TS",""))*10/2,0),IF('Eval-Avant action écologique'!$A$775=CS23,LEN(SUBSTITUTE((SUBSTITUTE(DS23,"TM","")),"TS",""))*10/2,0),IF('Eval-Avant action écologique'!$A$776=CS23,LEN(SUBSTITUTE((SUBSTITUTE(DS24,"TM","")),"TS",""))*10/2,0),IF('Eval-Avant action écologique'!$A$777=CS23,LEN(SUBSTITUTE((SUBSTITUTE(DS25,"TM","")),"TS",""))*10/2,0),IF('Eval-Avant action écologique'!$A$778=CS23,LEN(SUBSTITUTE((SUBSTITUTE(DS26,"TM","")),"TS",""))*10/2,0),IF('Eval-Avant action écologique'!$A$779=CS23,LEN(SUBSTITUTE((SUBSTITUTE(DS27,"TM","")),"TS",""))*10/2,0),IF('Eval-Avant action écologique'!$A$780=CS23,LEN(SUBSTITUTE((SUBSTITUTE(DS28,"TM","")),"TS",""))*10/2,0))/COUNTIF('Eval-Avant action écologique'!$A$761:$A$780,CS23),"")</f>
        <v/>
      </c>
      <c r="DG23" s="211" t="str">
        <f>IF(COUNTIF('Eval-Avant action écologique'!$A$761:$A$780,CS23)&gt;0,SUM(IF('Eval-Avant action écologique'!$A$761=CS23,LEN(SUBSTITUTE((SUBSTITUTE(DS9,"TF","")),"TS",""))*10/2,0),IF('Eval-Avant action écologique'!$A$762=CS23,LEN(SUBSTITUTE((SUBSTITUTE(DS10,"TF","")),"TS",""))*10/2,0),IF('Eval-Avant action écologique'!$A$763=CS23,LEN(SUBSTITUTE((SUBSTITUTE(DS11,"TF","")),"TS",""))*10/2,0),IF('Eval-Avant action écologique'!$A$764=CS23,LEN(SUBSTITUTE((SUBSTITUTE(DS12,"TF","")),"TS",""))*10/2,0),IF('Eval-Avant action écologique'!$A$765=CS23,LEN(SUBSTITUTE((SUBSTITUTE(DS13,"TF","")),"TS",""))*10/2,0),IF('Eval-Avant action écologique'!$A$766=CS23,LEN(SUBSTITUTE((SUBSTITUTE(DS14,"TF","")),"TS",""))*10/2,0),IF('Eval-Avant action écologique'!$A$767=CS23,LEN(SUBSTITUTE((SUBSTITUTE(DS15,"TF","")),"TS",""))*10/2,0),IF('Eval-Avant action écologique'!$A$768=CS23,LEN(SUBSTITUTE((SUBSTITUTE(DS16,"TF","")),"TS",""))*10/2,0),IF('Eval-Avant action écologique'!$A$769=CS23,LEN(SUBSTITUTE((SUBSTITUTE(DS17,"TF","")),"TS",""))*10/2,0),IF('Eval-Avant action écologique'!$A$770=CS23,LEN(SUBSTITUTE((SUBSTITUTE(DS18,"TF","")),"TS",""))*10/2,0),IF('Eval-Avant action écologique'!$A$771=CS23,LEN(SUBSTITUTE((SUBSTITUTE(DS19,"TF","")),"TS",""))*10/2,0),IF('Eval-Avant action écologique'!$A$772=CS23,LEN(SUBSTITUTE((SUBSTITUTE(DS20,"TF","")),"TS",""))*10/2,0),IF('Eval-Avant action écologique'!$A$773=CS23,LEN(SUBSTITUTE((SUBSTITUTE(DS21,"TF","")),"TS",""))*10/2,0),IF('Eval-Avant action écologique'!$A$774=CS23,LEN(SUBSTITUTE((SUBSTITUTE(DS22,"TF","")),"TS",""))*10/2,0),IF('Eval-Avant action écologique'!$A$775=CS23,LEN(SUBSTITUTE((SUBSTITUTE(DS23,"TF","")),"TS",""))*10/2,0),IF('Eval-Avant action écologique'!$A$776=CS23,LEN(SUBSTITUTE((SUBSTITUTE(DS24,"TF","")),"TS",""))*10/2,0),IF('Eval-Avant action écologique'!$A$777=CS23,LEN(SUBSTITUTE((SUBSTITUTE(DS25,"TF","")),"TS",""))*10/2,0),IF('Eval-Avant action écologique'!$A$778=CS23,LEN(SUBSTITUTE((SUBSTITUTE(DS26,"TF","")),"TS",""))*10/2,0),IF('Eval-Avant action écologique'!$A$779=CS23,LEN(SUBSTITUTE((SUBSTITUTE(DS27,"TF","")),"TS",""))*10/2,0),IF('Eval-Avant action écologique'!$A$780=CS23,LEN(SUBSTITUTE((SUBSTITUTE(DS28,"TF","")),"TS",""))*10/2,0))/COUNTIF('Eval-Avant action écologique'!$A$761:$A$780,CS23),"")</f>
        <v/>
      </c>
      <c r="DH23" s="211" t="str">
        <f>IF(COUNTIF('Eval-Avant action écologique'!$A$761:$A$780,CS23)&gt;0,SUM(IF('Eval-Avant action écologique'!$A$761=CS23,LEN(SUBSTITUTE((SUBSTITUTE(DS9,"TF","")),"TM",""))*10/2,0),IF('Eval-Avant action écologique'!$A$762=CS23,LEN(SUBSTITUTE((SUBSTITUTE(DS10,"TF","")),"TM",""))*10/2,0),IF('Eval-Avant action écologique'!$A$763=CS23,LEN(SUBSTITUTE((SUBSTITUTE(DS11,"TF","")),"TM",""))*10/2,0),IF('Eval-Avant action écologique'!$A$764=CS23,LEN(SUBSTITUTE((SUBSTITUTE(DS12,"TF","")),"TM",""))*10/2,0),IF('Eval-Avant action écologique'!$A$765=CS23,LEN(SUBSTITUTE((SUBSTITUTE(DS13,"TF","")),"TM",""))*10/2,0),IF('Eval-Avant action écologique'!$A$766=CS23,LEN(SUBSTITUTE((SUBSTITUTE(DS14,"TF","")),"TM",""))*10/2,0),IF('Eval-Avant action écologique'!$A$767=CS23,LEN(SUBSTITUTE((SUBSTITUTE(DS15,"TF","")),"TM",""))*10/2,0),IF('Eval-Avant action écologique'!$A$768=CS23,LEN(SUBSTITUTE((SUBSTITUTE(DS16,"TF","")),"TM",""))*10/2,0),IF('Eval-Avant action écologique'!$A$769=CS23,LEN(SUBSTITUTE((SUBSTITUTE(DS17,"TF","")),"TM",""))*10/2,0),IF('Eval-Avant action écologique'!$A$770=CS23,LEN(SUBSTITUTE((SUBSTITUTE(DS18,"TF","")),"TM",""))*10/2,0),IF('Eval-Avant action écologique'!$A$771=CS23,LEN(SUBSTITUTE((SUBSTITUTE(DS19,"TF","")),"TM",""))*10/2,0),IF('Eval-Avant action écologique'!$A$772=CS23,LEN(SUBSTITUTE((SUBSTITUTE(DS20,"TF","")),"TM",""))*10/2,0),IF('Eval-Avant action écologique'!$A$773=CS23,LEN(SUBSTITUTE((SUBSTITUTE(DS21,"TF","")),"TM",""))*10/2,0),IF('Eval-Avant action écologique'!$A$774=CS23,LEN(SUBSTITUTE((SUBSTITUTE(DS22,"TF","")),"TM",""))*10/2,0),IF('Eval-Avant action écologique'!$A$775=CS23,LEN(SUBSTITUTE((SUBSTITUTE(DS23,"TF","")),"TM",""))*10/2,0),IF('Eval-Avant action écologique'!$A$776=CS23,LEN(SUBSTITUTE((SUBSTITUTE(DS24,"TF","")),"TM",""))*10/2,0),IF('Eval-Avant action écologique'!$A$777=CS23,LEN(SUBSTITUTE((SUBSTITUTE(DS25,"TF","")),"TM",""))*10/2,0),IF('Eval-Avant action écologique'!$A$778=CS23,LEN(SUBSTITUTE((SUBSTITUTE(DS26,"TF","")),"TM",""))*10/2,0),IF('Eval-Avant action écologique'!$A$779=CS23,LEN(SUBSTITUTE((SUBSTITUTE(DS27,"TF","")),"TM",""))*10/2,0),IF('Eval-Avant action écologique'!$A$780=CS23,LEN(SUBSTITUTE((SUBSTITUTE(DS28,"TF","")),"TM",""))*10/2,0))/COUNTIF('Eval-Avant action écologique'!$A$761:$A$780,CS23),"")</f>
        <v/>
      </c>
      <c r="DI23" s="211" t="str">
        <f>IF(COUNTIF('Eval-Avant action écologique'!$A$761:$A$780,CS23)&gt;0,IF(OR(AND('Eval-Avant action écologique'!$A$761=CS23,DP9&lt;30),AND('Eval-Avant action écologique'!$A$762=CS23,DP10&lt;30),AND('Eval-Avant action écologique'!$A$763=CS23,DP11&lt;30),AND('Eval-Avant action écologique'!$A$764=CS23,DP12&lt;30),AND('Eval-Avant action écologique'!$A$765=CS23,DP13&lt;30),AND('Eval-Avant action écologique'!$A$766=CS23,DP14&lt;30),AND('Eval-Avant action écologique'!$A$767=CS23,DP15&lt;30),AND('Eval-Avant action écologique'!$A$768=CS23,DP16&lt;30),AND('Eval-Avant action écologique'!$A$769=CS23,DP17&lt;30),AND('Eval-Avant action écologique'!$A$770=CS23,DP18&lt;30),AND('Eval-Avant action écologique'!$A$771=CS23,DP19&lt;30),AND('Eval-Avant action écologique'!$A$772=CS23,DP20&lt;30),AND('Eval-Avant action écologique'!$A$773=CS23,DP21&lt;30),AND('Eval-Avant action écologique'!$A$774=CS23,DP22&lt;30),AND('Eval-Avant action écologique'!$A$775=CS23,DP23&lt;30),AND('Eval-Avant action écologique'!$A$776=CS23,DP24&lt;30),AND('Eval-Avant action écologique'!$A$777=CS23,DP25&lt;30),AND('Eval-Avant action écologique'!$A$778=CS23,DP26&lt;30),AND('Eval-Avant action écologique'!$A$779=CS23,DP27&lt;30),AND('Eval-Avant action écologique'!$A$780=CS23,DP28&lt;30)),"",SUM(0.1*(SUMPRODUCT(('Eval-Avant action écologique'!$A$761:$A$780=CS23)*('Eval-Avant action écologique'!$N$761:$P$780="A"))+ SUMPRODUCT(('Eval-Avant action écologique'!$A$761:$A$780=CS23)*('Eval-Avant action écologique'!$N$761:$P$780="AL"))),0.7*(SUMPRODUCT(('Eval-Avant action écologique'!$A$761:$A$780=CS23)*('Eval-Avant action écologique'!$N$761:$P$780="TF"))+SUMPRODUCT(('Eval-Avant action écologique'!$A$761:$A$780=CS23)*('Eval-Avant action écologique'!$N$761:$P$780="TM"))+SUMPRODUCT(('Eval-Avant action écologique'!$A$761:$A$780=CS23)*('Eval-Avant action écologique'!$N$761:$P$780="TS"))),0.4*(SUMPRODUCT(('Eval-Avant action écologique'!$A$761:$A$780=CS23)*('Eval-Avant action écologique'!$N$761:$P$780="LA"))+SUMPRODUCT(('Eval-Avant action écologique'!$A$761:$A$780=CS23)*('Eval-Avant action écologique'!$N$761:$P$780="L"))+SUMPRODUCT(('Eval-Avant action écologique'!$A$761:$A$780=CS23)*('Eval-Avant action écologique'!$N$761:$P$780="LS"))),1*(SUMPRODUCT(('Eval-Avant action écologique'!$A$761:$A$780=CS23)*('Eval-Avant action écologique'!$N$761:$P$780="SL"))+ SUMPRODUCT(('Eval-Avant action écologique'!$A$761:$A$780=CS23)*('Eval-Avant action écologique'!$N$761:$P$780="S"))))/(3*COUNTIF('Eval-Avant action écologique'!$A$761:$A$780,CS23))),"")</f>
        <v/>
      </c>
      <c r="DJ23" s="211" t="str">
        <f>IF(COUNTIF('Eval-Avant action écologique'!$A$761:$A$780,CS23)&gt;0,IF(OR(AND('Eval-Avant action écologique'!$A$761=CS23,DP9&lt;120),AND('Eval-Avant action écologique'!$A$762=CS23,DP10&lt;120),AND('Eval-Avant action écologique'!$A$763=CS23,DP11&lt;120),AND('Eval-Avant action écologique'!$A$764=CS23,DP12&lt;120),AND('Eval-Avant action écologique'!$A$765=CS23,DP13&lt;120),AND('Eval-Avant action écologique'!$A$766=CS23,DP14&lt;120),AND('Eval-Avant action écologique'!$A$767=CS23,DP15&lt;120),AND('Eval-Avant action écologique'!$A$768=CS23,DP16&lt;120),AND('Eval-Avant action écologique'!$A$769=CS23,DP17&lt;120),AND('Eval-Avant action écologique'!$A$770=CS23,DP18&lt;120),AND('Eval-Avant action écologique'!$A$771=CS23,DP19&lt;120),AND('Eval-Avant action écologique'!$A$772=CS23,DP20&lt;120),AND('Eval-Avant action écologique'!$A$773=CS23,DP21&lt;120),AND('Eval-Avant action écologique'!$A$774=CS23,DP22&lt;120),AND('Eval-Avant action écologique'!$A$775=CS23,DP23&lt;120),AND('Eval-Avant action écologique'!$A$776=CS23,DP24&lt;120),AND('Eval-Avant action écologique'!$A$777=CS23,DP25&lt;120),AND('Eval-Avant action écologique'!$A$778=CS23,DP26&lt;120),AND('Eval-Avant action écologique'!$A$779=CS23,DP27&lt;120),AND('Eval-Avant action écologique'!$A$780=CS23,DP28&lt;120)),"",SUM(0.1*(SUMPRODUCT(('Eval-Avant action écologique'!$A$761:$A$780=CS23)*('Eval-Avant action écologique'!$Q$761:$Y$780="A"))+ SUMPRODUCT(('Eval-Avant action écologique'!$A$761:$A$780=CS23)*('Eval-Avant action écologique'!$Q$761:$Y$780="AL"))),0.7*(SUMPRODUCT(('Eval-Avant action écologique'!$A$761:$A$780=CS23)*('Eval-Avant action écologique'!$Q$761:$Y$780="TF"))+SUMPRODUCT(('Eval-Avant action écologique'!$A$761:$A$780=CS23)*('Eval-Avant action écologique'!$Q$761:$Y$780="TM"))+SUMPRODUCT(('Eval-Avant action écologique'!$A$761:$A$780=CS23)*('Eval-Avant action écologique'!$Q$761:$Y$780="TS"))),0.4*(SUMPRODUCT(('Eval-Avant action écologique'!$A$761:$A$780=CS23)*('Eval-Avant action écologique'!$Q$761:$Y$780="LA"))+SUMPRODUCT(('Eval-Avant action écologique'!$A$761:$A$780=CS23)*('Eval-Avant action écologique'!$Q$761:$Y$780="L"))+SUMPRODUCT(('Eval-Avant action écologique'!$A$761:$A$780=CS23)*('Eval-Avant action écologique'!$Q$761:$Y$780="LS"))),1*(SUMPRODUCT(('Eval-Avant action écologique'!$A$761:$A$780=CS23)*('Eval-Avant action écologique'!$Q$761:$Y$780="SL"))+ SUMPRODUCT(('Eval-Avant action écologique'!$A$761:$A$780=CS23)*('Eval-Avant action écologique'!$Q$761:$Y$780="S"))))/(9*COUNTIF('Eval-Avant action écologique'!$A$761:$A$780,CS23))),"")</f>
        <v/>
      </c>
      <c r="DK23" s="211" t="str">
        <f>IF(COUNTIF('Eval-Avant action écologique'!$A$761:$A$780,CS23)&gt;0,IF(OR(AND('Eval-Avant action écologique'!$A$761=CS23,OR(COUNTIF('Eval-Avant action écologique'!$N$761:$P$761,"*T*")&gt;0,DP9&lt;30)),AND('Eval-Avant action écologique'!$A$762=CS23,OR(COUNTIF('Eval-Avant action écologique'!$N$762:$P$762,"*T*")&gt;0,DP10&lt;30)),AND('Eval-Avant action écologique'!$A$763=CS23,OR(COUNTIF('Eval-Avant action écologique'!$N$763:$P$763,"*T*")&gt;0,DP11&lt;30)),AND('Eval-Avant action écologique'!$A$764=CS23,OR(COUNTIF('Eval-Avant action écologique'!$N$764:$P$764,"*T*")&gt;0,DP12&lt;30)),AND('Eval-Avant action écologique'!$A$765=CS23,OR(COUNTIF('Eval-Avant action écologique'!$N$765:$P$765,"*T*")&gt;0,DP13&lt;30)),AND('Eval-Avant action écologique'!$A$766=CS23,OR(COUNTIF('Eval-Avant action écologique'!$N$766:$P$766,"*T*")&gt;0,DP14&lt;30)),AND('Eval-Avant action écologique'!$A$767=CS23,OR(COUNTIF('Eval-Avant action écologique'!$N$767:$P$767,"*T*")&gt;0,DP15&lt;30)),AND('Eval-Avant action écologique'!$A$768=CS23,OR(COUNTIF('Eval-Avant action écologique'!$N$768:$P$768,"*T*")&gt;0,DP16&lt;30)),AND('Eval-Avant action écologique'!$A$769=CS23,OR(COUNTIF('Eval-Avant action écologique'!$N$769:$P$769,"*T*")&gt;0,DP17&lt;30)),AND('Eval-Avant action écologique'!$A$770=CS23,OR(COUNTIF('Eval-Avant action écologique'!$N$770:$P$770,"*T*")&gt;0,DP18&lt;30)),AND('Eval-Avant action écologique'!$A$771=CS23,OR(COUNTIF('Eval-Avant action écologique'!$N$771:$P$771,"*T*")&gt;0,DP19&lt;30)),AND('Eval-Avant action écologique'!$A$772=CS23,OR(COUNTIF('Eval-Avant action écologique'!$N$772:$P$772,"*T*")&gt;0,DP20&lt;30)),AND('Eval-Avant action écologique'!$A$773=CS23,OR(COUNTIF('Eval-Avant action écologique'!$N$773:$P$773,"*T*")&gt;0,DP21&lt;30)),AND('Eval-Avant action écologique'!$A$774=CS23,OR(COUNTIF('Eval-Avant action écologique'!$N$774:$P$774,"*T*")&gt;0,DP22&lt;30)),AND('Eval-Avant action écologique'!$A$775=CS23,OR(COUNTIF('Eval-Avant action écologique'!$N$775:$P$775,"*T*")&gt;0,DP23&lt;30)),AND('Eval-Avant action écologique'!$A$776=CS23,OR(COUNTIF('Eval-Avant action écologique'!$N$776:$P$776,"*T*")&gt;0,DP24&lt;30)),AND('Eval-Avant action écologique'!$A$777=CS23,OR(COUNTIF('Eval-Avant action écologique'!$N$777:$P$777,"*T*")&gt;0,DP25&lt;30)),AND('Eval-Avant action écologique'!$A$778=CS23,OR(COUNTIF('Eval-Avant action écologique'!$N$778:$P$778,"*T*")&gt;0,DP26&lt;30)),AND('Eval-Avant action écologique'!$A$779=CS23,OR(COUNTIF('Eval-Avant action écologique'!$N$779:$P$779,"*T*")&gt;0,DP27&lt;30)),AND('Eval-Avant action écologique'!$A$780=CS23,OR(COUNTIF('Eval-Avant action écologique'!$N$780:$P$780,"*T*")&gt;0,DP28&lt;30))),"",SUM(0.1*(SUMPRODUCT(('Eval-Avant action écologique'!$A$761:$A$780=CS23)*('Eval-Avant action écologique'!$N$761:$P$780="L"))),0.4*(SUMPRODUCT(('Eval-Avant action écologique'!$A$761:$A$780=CS23)*('Eval-Avant action écologique'!$N$761:$P$780="LA"))+SUMPRODUCT(('Eval-Avant action écologique'!$A$761:$A$780=CS23)*('Eval-Avant action écologique'!$N$761:$P$780="LS"))),0.7*(SUMPRODUCT(('Eval-Avant action écologique'!$A$761:$A$780=CS23)*('Eval-Avant action écologique'!$N$761:$P$780="AL"))+SUMPRODUCT(('Eval-Avant action écologique'!$A$761:$A$780=CS23)*('Eval-Avant action écologique'!$N$761:$P$780="SL"))),1*(SUMPRODUCT(('Eval-Avant action écologique'!$A$761:$A$780=CS23)*('Eval-Avant action écologique'!$N$761:$P$780="S"))+ SUMPRODUCT(('Eval-Avant action écologique'!$A$761:$A$780=CS23)*('Eval-Avant action écologique'!$N$761:$P$780="A"))))/(3*COUNTIF('Eval-Avant action écologique'!$A$761:$A$780,CS23))),"")</f>
        <v/>
      </c>
      <c r="DL23" s="211" t="str">
        <f>IF(COUNTIF('Eval-Avant action écologique'!$A$761:$A$780,CS23)&gt;0,IF(OR(AND('Eval-Avant action écologique'!$A$761=CS23,OR(COUNTIF('Eval-Avant action écologique'!$N$761:$P$761,"*T*")&gt;0,DP9&lt;30)),AND('Eval-Avant action écologique'!$A$762=CS23,OR(COUNTIF('Eval-Avant action écologique'!$N$762:$P$762,"*T*")&gt;0,DP10&lt;30)),AND('Eval-Avant action écologique'!$A$763=CS23,OR(COUNTIF('Eval-Avant action écologique'!$N$763:$P$763,"*T*")&gt;0,DP11&lt;30)),AND('Eval-Avant action écologique'!$A$764=CS23,OR(COUNTIF('Eval-Avant action écologique'!$N$764:$P$764,"*T*")&gt;0,DP12&lt;30)),AND('Eval-Avant action écologique'!$A$765=CS23,OR(COUNTIF('Eval-Avant action écologique'!$N$765:$P$765,"*T*")&gt;0,DP13&lt;30)),AND('Eval-Avant action écologique'!$A$766=CS23,OR(COUNTIF('Eval-Avant action écologique'!$N$766:$P$766,"*T*")&gt;0,DP14&lt;30)),AND('Eval-Avant action écologique'!$A$767=CS23,OR(COUNTIF('Eval-Avant action écologique'!$N$767:$P$767,"*T*")&gt;0,DP15&lt;30)),AND('Eval-Avant action écologique'!$A$768=CS23,OR(COUNTIF('Eval-Avant action écologique'!$N$768:$P$768,"*T*")&gt;0,DP16&lt;30)),AND('Eval-Avant action écologique'!$A$769=CS23,OR(COUNTIF('Eval-Avant action écologique'!$N$769:$P$769,"*T*")&gt;0,DP17&lt;30)),AND('Eval-Avant action écologique'!$A$770=CS23,OR(COUNTIF('Eval-Avant action écologique'!$N$770:$P$770,"*T*")&gt;0,DP18&lt;30)),AND('Eval-Avant action écologique'!$A$771=CS23,OR(COUNTIF('Eval-Avant action écologique'!$N$771:$P$771,"*T*")&gt;0,DP19&lt;30)),AND('Eval-Avant action écologique'!$A$772=CS23,OR(COUNTIF('Eval-Avant action écologique'!$N$772:$P$772,"*T*")&gt;0,DP20&lt;30)),AND('Eval-Avant action écologique'!$A$773=CS23,OR(COUNTIF('Eval-Avant action écologique'!$N$773:$P$773,"*T*")&gt;0,DP21&lt;30)),AND('Eval-Avant action écologique'!$A$774=CS23,OR(COUNTIF('Eval-Avant action écologique'!$N$774:$P$774,"*T*")&gt;0,DP22&lt;30)),AND('Eval-Avant action écologique'!$A$775=CS23,OR(COUNTIF('Eval-Avant action écologique'!$N$775:$P$775,"*T*")&gt;0,DP23&lt;30)),AND('Eval-Avant action écologique'!$A$776=CS23,OR(COUNTIF('Eval-Avant action écologique'!$N$776:$P$776,"*T*")&gt;0,DP24&lt;30)),AND('Eval-Avant action écologique'!$A$777=CS23,OR(COUNTIF('Eval-Avant action écologique'!$N$777:$P$777,"*T*")&gt;0,DP25&lt;30)),AND('Eval-Avant action écologique'!$A$778=CS23,OR(COUNTIF('Eval-Avant action écologique'!$N$778:$P$778,"*T*")&gt;0,DP26&lt;30)),AND('Eval-Avant action écologique'!$A$779=CS23,OR(COUNTIF('Eval-Avant action écologique'!$N$779:$P$779,"*T*")&gt;0,DP27&lt;30)),AND('Eval-Avant action écologique'!$A$780=CS23,OR(COUNTIF('Eval-Avant action écologique'!$N$780:$P$780,"*T*")&gt;0,DP28&lt;30))),"",SUM(1*(SUMPRODUCT(('Eval-Avant action écologique'!$A$761:$A$780=CS23)*('Eval-Avant action écologique'!$N$761:$P$780="A"))),0.85*(SUMPRODUCT(('Eval-Avant action écologique'!$A$761:$A$780=CS23)*('Eval-Avant action écologique'!$N$761:$P$780="AL"))),0.7*(SUMPRODUCT(('Eval-Avant action écologique'!$A$761:$A$780=CS23)*('Eval-Avant action écologique'!$N$761:$P$780="LA"))),0.55*(SUMPRODUCT(('Eval-Avant action écologique'!$A$761:$A$780=CS23)*('Eval-Avant action écologique'!$N$761:$P$780="L"))),0.4*(SUMPRODUCT(('Eval-Avant action écologique'!$A$761:$A$780=CS23)*('Eval-Avant action écologique'!$N$761:$P$780="LS"))),0.25*(SUMPRODUCT(('Eval-Avant action écologique'!$A$761:$A$780=CS23)*('Eval-Avant action écologique'!$N$761:$P$780="SL"))),0.1*(SUMPRODUCT(('Eval-Avant action écologique'!$A$761:$A$780=CS23)*('Eval-Avant action écologique'!$N$761:$P$780="S"))))/(3*COUNTIF('Eval-Avant action écologique'!$A$761:$A$780,CS23))),"")</f>
        <v/>
      </c>
      <c r="DM23" s="214" t="str">
        <f>IF(COUNTIF('Eval-Avant action écologique'!$A$761:$A$780,CS23)&gt;0,IF(OR(AND('Eval-Avant action écologique'!$A$761=CS23,OR(COUNTIF('Eval-Avant action écologique'!$Q$761:$Y$761,"*T*")&gt;0,DP9&lt;120)),AND('Eval-Avant action écologique'!$A$762=CS23,OR(COUNTIF('Eval-Avant action écologique'!$Q$762:$Y$762,"*T*")&gt;0,DP10&lt;120)),AND('Eval-Avant action écologique'!$A$763=CS23,OR(COUNTIF('Eval-Avant action écologique'!$Q$763:$Y$763,"*T*")&gt;0,DP11&lt;120)),AND('Eval-Avant action écologique'!$A$764=CS23,OR(COUNTIF('Eval-Avant action écologique'!$Q$764:$Y$764,"*T*")&gt;0,DP12&lt;120)),AND('Eval-Avant action écologique'!$A$765=CS23,OR(COUNTIF('Eval-Avant action écologique'!$Q$765:$Y$765,"*T*")&gt;0,DP13&lt;120)),AND('Eval-Avant action écologique'!$A$766=CS23,OR(COUNTIF('Eval-Avant action écologique'!$Q$766:$Y$766,"*T*")&gt;0,DP14&lt;120)),AND('Eval-Avant action écologique'!$A$767=CS23,OR(COUNTIF('Eval-Avant action écologique'!$Q$767:$Y$767,"*T*")&gt;0,DP15&lt;120)),AND('Eval-Avant action écologique'!$A$768=CS23,OR(COUNTIF('Eval-Avant action écologique'!$Q$768:$Y$768,"*T*")&gt;0,DP16&lt;120)),AND('Eval-Avant action écologique'!$A$769=CS23,OR(COUNTIF('Eval-Avant action écologique'!$Q$769:$Y$769,"*T*")&gt;0,DP17&lt;120)),AND('Eval-Avant action écologique'!$A$770=CS23,OR(COUNTIF('Eval-Avant action écologique'!$Q$770:$Y$770,"*T*")&gt;0,DP18&lt;120)),AND('Eval-Avant action écologique'!$A$771=CS23,OR(COUNTIF('Eval-Avant action écologique'!$Q$771:$Y$771,"*T*")&gt;0,DP19&lt;120)),AND('Eval-Avant action écologique'!$A$772=CS23,OR(COUNTIF('Eval-Avant action écologique'!$Q$772:$Y$772,"*T*")&gt;0,DP20&lt;120)),AND('Eval-Avant action écologique'!$A$773=CS23,OR(COUNTIF('Eval-Avant action écologique'!$Q$773:$Y$773,"*T*")&gt;0,DP21&lt;120)),AND('Eval-Avant action écologique'!$A$774=CS23,OR(COUNTIF('Eval-Avant action écologique'!$Q$774:$Y$774,"*T*")&gt;0,DP22&lt;120)),AND('Eval-Avant action écologique'!$A$775=CS23,OR(COUNTIF('Eval-Avant action écologique'!$Q$775:$Y$775,"*T*")&gt;0,DP23&lt;120)),AND('Eval-Avant action écologique'!$A$776=CS23,OR(COUNTIF('Eval-Avant action écologique'!$Q$776:$Y$776,"*T*")&gt;0,DP24&lt;120)),AND('Eval-Avant action écologique'!$A$777=CS23,OR(COUNTIF('Eval-Avant action écologique'!$Q$777:$Y$777,"*T*")&gt;0,DP25&lt;120)),AND('Eval-Avant action écologique'!$A$778=CS23,OR(COUNTIF('Eval-Avant action écologique'!$Q$778:$Y$778,"*T*")&gt;0,DP26&lt;120)),AND('Eval-Avant action écologique'!$A$779=CS23,OR(COUNTIF('Eval-Avant action écologique'!$Q$779:$Y$779,"*T*")&gt;0,DP27&lt;120)),AND('Eval-Avant action écologique'!$A$780=CS23,OR(COUNTIF('Eval-Avant action écologique'!$Q$780:$Y$780,"*T*")&gt;0,DP28&lt;120))),"",SUM(1*(SUMPRODUCT(('Eval-Avant action écologique'!$A$761:$A$780=CS23)*('Eval-Avant action écologique'!$Q$761:$Y$780="A"))),0.85*(SUMPRODUCT(('Eval-Avant action écologique'!$A$761:$A$780=CS23)*('Eval-Avant action écologique'!$Q$761:$Y$780="AL"))),0.7*(SUMPRODUCT(('Eval-Avant action écologique'!$A$761:$A$780=CS23)*('Eval-Avant action écologique'!$Q$761:$Y$780="LA"))),0.55*(SUMPRODUCT(('Eval-Avant action écologique'!$A$761:$A$780=CS23)*('Eval-Avant action écologique'!$Q$761:$Y$780="L"))),0.4*(SUMPRODUCT(('Eval-Avant action écologique'!$A$761:$A$780=CS23)*('Eval-Avant action écologique'!$Q$761:$Y$780="LS"))),0.25*(SUMPRODUCT(('Eval-Avant action écologique'!$A$761:$A$780=CS23)*('Eval-Avant action écologique'!$Q$761:$Y$780="SL"))),0.1*(SUMPRODUCT(('Eval-Avant action écologique'!$A$761:$A$780=CS23)*('Eval-Avant action écologique'!$Q$761:$Y$780="S"))))/(9*COUNTIF('Eval-Avant action écologique'!$A$761:$A$780,CS23))),"")</f>
        <v/>
      </c>
      <c r="DN23" s="215"/>
      <c r="DO23" s="216">
        <f>'Eval-Avant action écologique'!$D$775</f>
        <v>15</v>
      </c>
      <c r="DP23" s="217" t="str">
        <f>IF(DQ23="C",0,IF(IF(COUNTIF('Eval-Avant action écologique'!$N$775:$Y$775,"=C")&gt;0,(COUNTA('Eval-Avant action écologique'!$N$775:$Y$775)-1)*10,COUNTA('Eval-Avant action écologique'!$N$775:$Y$775)*10)=0,"",IF(COUNTIF('Eval-Avant action écologique'!$N$775:$Y$775,"=C")&gt;0,(COUNTA('Eval-Avant action écologique'!$N$775:$Y$775)-1)*10,COUNTA('Eval-Avant action écologique'!$N$775:$Y$775)*10)))</f>
        <v/>
      </c>
      <c r="DQ23" s="217" t="str">
        <f>CONCATENATE('Eval-Avant action écologique'!$N$775,'Eval-Avant action écologique'!$O$775,'Eval-Avant action écologique'!$P$775,'Eval-Avant action écologique'!$Q$775,'Eval-Avant action écologique'!$R$775,'Eval-Avant action écologique'!$S$775,'Eval-Avant action écologique'!$T$775,'Eval-Avant action écologique'!$U$775,'Eval-Avant action écologique'!$V$775,'Eval-Avant action écologique'!$W$775,'Eval-Avant action écologique'!$X$775,'Eval-Avant action écologique'!$Y$775)</f>
        <v/>
      </c>
      <c r="DR23" s="217" t="str">
        <f t="shared" si="12"/>
        <v/>
      </c>
      <c r="DS23" s="217" t="str">
        <f t="shared" si="13"/>
        <v/>
      </c>
      <c r="DT23" s="217" t="str">
        <f>IF(COUNTIF('Eval-Avant action écologique'!$N$775:$Y$775,"=C")&gt;0,"X","")</f>
        <v/>
      </c>
      <c r="DU23" s="217" t="str">
        <f t="shared" si="14"/>
        <v/>
      </c>
      <c r="DV23" s="218" t="str">
        <f t="shared" si="15"/>
        <v/>
      </c>
      <c r="DW23" s="197"/>
      <c r="DY23" s="210">
        <v>15</v>
      </c>
      <c r="DZ23" s="211" t="str">
        <f>IF(COUNTIF('Eval-Avec act. écol. envisagée'!$A$761:$A$780,DY23)&gt;0,SUM(IF('Eval-Avec act. écol. envisagée'!$A$761=DY23,'Eval-Avec act. écol. envisagée'!$B$761,0),IF('Eval-Avec act. écol. envisagée'!$A$762=DY23, 'Eval-Avec act. écol. envisagée'!$B$762,0),IF('Eval-Avec act. écol. envisagée'!$A$763=DY23, 'Eval-Avec act. écol. envisagée'!$B$763,0),IF('Eval-Avec act. écol. envisagée'!$A$764=DY23, 'Eval-Avec act. écol. envisagée'!$B$764,0),IF('Eval-Avec act. écol. envisagée'!$A$765=DY23, 'Eval-Avec act. écol. envisagée'!$B$765,0),IF('Eval-Avec act. écol. envisagée'!$A$766=DY23, 'Eval-Avec act. écol. envisagée'!$B$766,0),IF('Eval-Avec act. écol. envisagée'!$A$767=DY23, 'Eval-Avec act. écol. envisagée'!$B$767,0),IF('Eval-Avec act. écol. envisagée'!$A$768=DY23, 'Eval-Avec act. écol. envisagée'!$B$768,0),IF('Eval-Avec act. écol. envisagée'!$A$769=DY23, 'Eval-Avec act. écol. envisagée'!$B$769,0),IF('Eval-Avec act. écol. envisagée'!$A$770=DY23, 'Eval-Avec act. écol. envisagée'!$B$770,0),IF('Eval-Avec act. écol. envisagée'!$A$771=DY23, 'Eval-Avec act. écol. envisagée'!$B$771,0),IF('Eval-Avec act. écol. envisagée'!$A$772=DY23, 'Eval-Avec act. écol. envisagée'!$B$772,0),IF('Eval-Avec act. écol. envisagée'!$A$773=DY23, 'Eval-Avec act. écol. envisagée'!$B$773,0),IF('Eval-Avec act. écol. envisagée'!$A$774=DY23, 'Eval-Avec act. écol. envisagée'!$B$774,0),IF('Eval-Avec act. écol. envisagée'!$A$775=DY23, 'Eval-Avec act. écol. envisagée'!$B$775,0),IF('Eval-Avec act. écol. envisagée'!$A$776=DY23, 'Eval-Avec act. écol. envisagée'!$B$776,0),IF('Eval-Avec act. écol. envisagée'!$A$777=DY23, 'Eval-Avec act. écol. envisagée'!$B$777,0),IF('Eval-Avec act. écol. envisagée'!$A$778=DY23, 'Eval-Avec act. écol. envisagée'!$B$778,0),IF('Eval-Avec act. écol. envisagée'!$A$779=DY23, 'Eval-Avec act. écol. envisagée'!$B$779,0),IF('Eval-Avec act. écol. envisagée'!$A$780=DY23, 'Eval-Avec act. écol. envisagée'!$B$780,0))/COUNTIF('Eval-Avec act. écol. envisagée'!$A$761:$A$780,DY23),"")</f>
        <v/>
      </c>
      <c r="EA23" s="212" t="str">
        <f>IF(COUNTIF('Eval-Avec act. écol. envisagée'!$A$761:$A$780,DY23)&gt;0,COUNTIF('Eval-Avec act. écol. envisagée'!$A$761:$A$780,DY23),"")</f>
        <v/>
      </c>
      <c r="EB23" s="211" t="str">
        <f>IF(COUNTIF('Eval-Avec act. écol. envisagée'!$A$761:$A$780,DY23)&gt;0,IF(OR(AND('Eval-Avec act. écol. envisagée'!$A$761=DY23, 'Eval-Avec act. écol. envisagée'!$G$761=""),AND('Eval-Avec act. écol. envisagée'!$A$762=DY23, 'Eval-Avec act. écol. envisagée'!$G$762=""),AND('Eval-Avec act. écol. envisagée'!$A$763=DY23, 'Eval-Avec act. écol. envisagée'!$G$763=""),AND('Eval-Avec act. écol. envisagée'!$A$764=DY23, 'Eval-Avec act. écol. envisagée'!$G$764=""),AND('Eval-Avec act. écol. envisagée'!$A$765=DY23, 'Eval-Avec act. écol. envisagée'!$G$765=""),AND('Eval-Avec act. écol. envisagée'!$A$766=DY23, 'Eval-Avec act. écol. envisagée'!$G$766=""),AND('Eval-Avec act. écol. envisagée'!$A$767=DY23, 'Eval-Avec act. écol. envisagée'!$G$767=""),AND('Eval-Avec act. écol. envisagée'!$A$768=DY23, 'Eval-Avec act. écol. envisagée'!$G$768=""),AND('Eval-Avec act. écol. envisagée'!$A$769=DY23, 'Eval-Avec act. écol. envisagée'!$G$769=""),AND('Eval-Avec act. écol. envisagée'!$A$770=DY23, 'Eval-Avec act. écol. envisagée'!$G$770=""),AND('Eval-Avec act. écol. envisagée'!$A$771=DY23, 'Eval-Avec act. écol. envisagée'!$G$771=""),AND('Eval-Avec act. écol. envisagée'!$A$772=DY23, 'Eval-Avec act. écol. envisagée'!$G$772=""),AND('Eval-Avec act. écol. envisagée'!$A$773=DY23, 'Eval-Avec act. écol. envisagée'!$G$773=""),AND('Eval-Avec act. écol. envisagée'!$A$774=DY23, 'Eval-Avec act. écol. envisagée'!$G$774=""),AND('Eval-Avec act. écol. envisagée'!$A$775=DY23, 'Eval-Avec act. écol. envisagée'!$G$775=""),AND('Eval-Avec act. écol. envisagée'!$A$776=DY23, 'Eval-Avec act. écol. envisagée'!$G$776=""),AND('Eval-Avec act. écol. envisagée'!$A$777=DY23, 'Eval-Avec act. écol. envisagée'!$G$777=""),AND('Eval-Avec act. écol. envisagée'!$A$778=DY23, 'Eval-Avec act. écol. envisagée'!$G$778=""),AND('Eval-Avec act. écol. envisagée'!$A$779=DY23, 'Eval-Avec act. écol. envisagée'!$G$779=""),AND('Eval-Avec act. écol. envisagée'!$A$780=DY23, 'Eval-Avec act. écol. envisagée'!$G$780="")),"",SUM(IF('Eval-Avec act. écol. envisagée'!$A$761=DY23,'Eval-Avec act. écol. envisagée'!$G$761,0),IF('Eval-Avec act. écol. envisagée'!$A$762=DY23,'Eval-Avec act. écol. envisagée'!$G$762,0),IF('Eval-Avec act. écol. envisagée'!$A$763=DY23,'Eval-Avec act. écol. envisagée'!$G$763,0),IF('Eval-Avec act. écol. envisagée'!$A$764=DY23,'Eval-Avec act. écol. envisagée'!$G$764,0),IF('Eval-Avec act. écol. envisagée'!$A$765=DY23,'Eval-Avec act. écol. envisagée'!$G$765,0),IF('Eval-Avec act. écol. envisagée'!$A$766=DY23,'Eval-Avec act. écol. envisagée'!$G$766,0),IF('Eval-Avec act. écol. envisagée'!$A$767=DY23,'Eval-Avec act. écol. envisagée'!$G$767,0),IF('Eval-Avec act. écol. envisagée'!$A$768=DY23,'Eval-Avec act. écol. envisagée'!$G$768,0),IF('Eval-Avec act. écol. envisagée'!$A$769=DY23,'Eval-Avec act. écol. envisagée'!$G$769,0),IF('Eval-Avec act. écol. envisagée'!$A$770=DY23,'Eval-Avec act. écol. envisagée'!$G$770,0),IF('Eval-Avec act. écol. envisagée'!$A$771=DY23,'Eval-Avec act. écol. envisagée'!$G$771,0),IF('Eval-Avec act. écol. envisagée'!$A$772=DY23,'Eval-Avec act. écol. envisagée'!$G$772,0),IF('Eval-Avec act. écol. envisagée'!$A$773=DY23,'Eval-Avec act. écol. envisagée'!$G$773,0),IF('Eval-Avec act. écol. envisagée'!$A$774=DY23,'Eval-Avec act. écol. envisagée'!$G$774,0),IF('Eval-Avec act. écol. envisagée'!$A$775=DY23,'Eval-Avec act. écol. envisagée'!$G$775,0), IF('Eval-Avec act. écol. envisagée'!$A$776=DY23,'Eval-Avec act. écol. envisagée'!$G$776,0), IF('Eval-Avec act. écol. envisagée'!$A$777=DY23,'Eval-Avec act. écol. envisagée'!$G$777,0), IF('Eval-Avec act. écol. envisagée'!$A$778=DY23,'Eval-Avec act. écol. envisagée'!$G$778,0), IF('Eval-Avec act. écol. envisagée'!$A$779=DY23,'Eval-Avec act. écol. envisagée'!$G$779,0), IF('Eval-Avec act. écol. envisagée'!$A$780=DY23,'Eval-Avec act. écol. envisagée'!$G$780,0))/ COUNTIF('Eval-Avec act. écol. envisagée'!$A$761:$A$780,DY23)),"")</f>
        <v/>
      </c>
      <c r="EC23" s="212" t="str">
        <f>IF(COUNTIF('Eval-Avec act. écol. envisagée'!$A$761:$A$780,DY23)&gt;0,IF(SUM(IF('Eval-Avec act. écol. envisagée'!$A$761=DY23,COUNTA('Eval-Avec act. écol. envisagée'!$H$761),0),IF('Eval-Avec act. écol. envisagée'!$A$762=DY23,COUNTA('Eval-Avec act. écol. envisagée'!$H$762),0),IF('Eval-Avec act. écol. envisagée'!$A$763=DY23,COUNTA('Eval-Avec act. écol. envisagée'!$H$763),0),IF('Eval-Avec act. écol. envisagée'!$A$764=DY23,COUNTA('Eval-Avec act. écol. envisagée'!$H$764),0),IF('Eval-Avec act. écol. envisagée'!$A$765=DY23,COUNTA('Eval-Avec act. écol. envisagée'!$H$765),0),IF('Eval-Avec act. écol. envisagée'!$A$766=DY23,COUNTA('Eval-Avec act. écol. envisagée'!$H$766),0),IF('Eval-Avec act. écol. envisagée'!$A$767=DY23,COUNTA('Eval-Avec act. écol. envisagée'!$H$767),0),IF('Eval-Avec act. écol. envisagée'!$A$768=DY23,COUNTA('Eval-Avec act. écol. envisagée'!$H$768),0),IF('Eval-Avec act. écol. envisagée'!$A$769=DY23,COUNTA('Eval-Avec act. écol. envisagée'!$H$769),0),IF('Eval-Avec act. écol. envisagée'!$A$770=DY23,COUNTA('Eval-Avec act. écol. envisagée'!$H$770),0),IF('Eval-Avec act. écol. envisagée'!$A$771=DY23,COUNTA('Eval-Avec act. écol. envisagée'!$H$771),0),IF('Eval-Avec act. écol. envisagée'!$A$772=DY23,COUNTA('Eval-Avec act. écol. envisagée'!$H$772),0),IF('Eval-Avec act. écol. envisagée'!$A$773=DY23,COUNTA('Eval-Avec act. écol. envisagée'!$H$773),0),IF('Eval-Avec act. écol. envisagée'!$A$774=DY23,COUNTA('Eval-Avec act. écol. envisagée'!$H$774),0),IF('Eval-Avec act. écol. envisagée'!$A$775=DY23,COUNTA('Eval-Avec act. écol. envisagée'!$H$775),0),IF('Eval-Avec act. écol. envisagée'!$A$776=DY23,COUNTA('Eval-Avec act. écol. envisagée'!$H$776),0),IF('Eval-Avec act. écol. envisagée'!$A$777=DY23,COUNTA('Eval-Avec act. écol. envisagée'!$H$777),0),IF('Eval-Avec act. écol. envisagée'!$A$778=DY23,COUNTA('Eval-Avec act. écol. envisagée'!$H$778),0),IF('Eval-Avec act. écol. envisagée'!$A$779=DY23,COUNTA('Eval-Avec act. écol. envisagée'!$H$779),0),IF('Eval-Avec act. écol. envisagée'!$A$780=DY23,COUNTA('Eval-Avec act. écol. envisagée'!$H$780),0))&gt;0,"X",0),"")</f>
        <v/>
      </c>
      <c r="ED23" s="213" t="str">
        <f>IF(COUNTIF('Eval-Avec act. écol. envisagée'!$A$761:$A$780,DY23)&gt;0,IF(SUM(IF('Eval-Avec act. écol. envisagée'!$A$761=DY23,COUNTA('Eval-Avec act. écol. envisagée'!$I$761),0),IF('Eval-Avec act. écol. envisagée'!$A$762=DY23,COUNTA('Eval-Avec act. écol. envisagée'!$I$762),0),IF('Eval-Avec act. écol. envisagée'!$A$763=DY23,COUNTA('Eval-Avec act. écol. envisagée'!$I$763),0),IF('Eval-Avec act. écol. envisagée'!$A$764=DY23,COUNTA('Eval-Avec act. écol. envisagée'!$I$764),0),IF('Eval-Avec act. écol. envisagée'!$A$765=DY23,COUNTA('Eval-Avec act. écol. envisagée'!$I$765),0),IF('Eval-Avec act. écol. envisagée'!$A$766=DY23,COUNTA('Eval-Avec act. écol. envisagée'!$I$766),0),IF('Eval-Avec act. écol. envisagée'!$A$767=DY23,COUNTA('Eval-Avec act. écol. envisagée'!$I$767),0),IF('Eval-Avec act. écol. envisagée'!$A$768=DY23,COUNTA('Eval-Avec act. écol. envisagée'!$I$768),0),IF('Eval-Avec act. écol. envisagée'!$A$769=DY23,COUNTA('Eval-Avec act. écol. envisagée'!$I$769),0),IF('Eval-Avec act. écol. envisagée'!$A$770=DY23,COUNTA('Eval-Avec act. écol. envisagée'!$I$770),0),IF('Eval-Avec act. écol. envisagée'!$A$771=DY23,COUNTA('Eval-Avec act. écol. envisagée'!$I$771),0),IF('Eval-Avec act. écol. envisagée'!$A$772=DY23,COUNTA('Eval-Avec act. écol. envisagée'!$I$772),0),IF('Eval-Avec act. écol. envisagée'!$A$773=DY23,COUNTA('Eval-Avec act. écol. envisagée'!$I$773),0),IF('Eval-Avec act. écol. envisagée'!$A$774=DY23,COUNTA('Eval-Avec act. écol. envisagée'!$I$774),0),IF('Eval-Avec act. écol. envisagée'!$A$775=DY23,COUNTA('Eval-Avec act. écol. envisagée'!$I$775),0),IF('Eval-Avec act. écol. envisagée'!$A$776=DY23,COUNTA('Eval-Avec act. écol. envisagée'!$I$776),0),IF('Eval-Avec act. écol. envisagée'!$A$777=DY23,COUNTA('Eval-Avec act. écol. envisagée'!$I$777),0),IF('Eval-Avec act. écol. envisagée'!$A$778=DY23,COUNTA('Eval-Avec act. écol. envisagée'!$I$778),0),IF('Eval-Avec act. écol. envisagée'!$A$779=DY23,COUNTA('Eval-Avec act. écol. envisagée'!$I$779),0),IF('Eval-Avec act. écol. envisagée'!$A$780=DY23,COUNTA('Eval-Avec act. écol. envisagée'!$I$780),0))&gt;0,"X",0),"")</f>
        <v/>
      </c>
      <c r="EE23" s="213" t="str">
        <f>IF(COUNTIF('Eval-Avec act. écol. envisagée'!$A$761:$A$780,DY23)&gt;0,IF(SUM(IF('Eval-Avec act. écol. envisagée'!$A$761=DY23,COUNTA('Eval-Avec act. écol. envisagée'!$J$761),0),IF('Eval-Avec act. écol. envisagée'!$A$762=DY23,COUNTA('Eval-Avec act. écol. envisagée'!$J$762),0),IF('Eval-Avec act. écol. envisagée'!$A$763=DY23,COUNTA('Eval-Avec act. écol. envisagée'!$J$763),0),IF('Eval-Avec act. écol. envisagée'!$A$764=DY23,COUNTA('Eval-Avec act. écol. envisagée'!$J$764),0),IF('Eval-Avec act. écol. envisagée'!$A$765=DY23,COUNTA('Eval-Avec act. écol. envisagée'!$J$765),0),IF('Eval-Avec act. écol. envisagée'!$A$766=DY23,COUNTA('Eval-Avec act. écol. envisagée'!$J$766),0),IF('Eval-Avec act. écol. envisagée'!$A$767=DY23,COUNTA('Eval-Avec act. écol. envisagée'!$J$767),0),IF('Eval-Avec act. écol. envisagée'!$A$768=DY23,COUNTA('Eval-Avec act. écol. envisagée'!$J$768),0),IF('Eval-Avec act. écol. envisagée'!$A$769=DY23,COUNTA('Eval-Avec act. écol. envisagée'!$J$769),0),IF('Eval-Avec act. écol. envisagée'!$A$770=DY23,COUNTA('Eval-Avec act. écol. envisagée'!$J$770),0),IF('Eval-Avec act. écol. envisagée'!$A$771=DY23,COUNTA('Eval-Avec act. écol. envisagée'!$J$771),0),IF('Eval-Avec act. écol. envisagée'!$A$772=DY23,COUNTA('Eval-Avec act. écol. envisagée'!$J$772),0),IF('Eval-Avec act. écol. envisagée'!$A$773=DY23,COUNTA('Eval-Avec act. écol. envisagée'!$J$773),0),IF('Eval-Avec act. écol. envisagée'!$A$774=DY23,COUNTA('Eval-Avec act. écol. envisagée'!$J$774),0),IF('Eval-Avec act. écol. envisagée'!$A$775=DY23,COUNTA('Eval-Avec act. écol. envisagée'!$J$775),0),IF('Eval-Avec act. écol. envisagée'!$A$776=DY23,COUNTA('Eval-Avec act. écol. envisagée'!$J$776),0),IF('Eval-Avec act. écol. envisagée'!$A$777=DY23,COUNTA('Eval-Avec act. écol. envisagée'!$J$777),0),IF('Eval-Avec act. écol. envisagée'!$A$778=DY23,COUNTA('Eval-Avec act. écol. envisagée'!$J$778),0),IF('Eval-Avec act. écol. envisagée'!$A$779=DY23,COUNTA('Eval-Avec act. écol. envisagée'!$J$779),0),IF('Eval-Avec act. écol. envisagée'!$A$780=DY23,COUNTA('Eval-Avec act. écol. envisagée'!$J$780),0))&gt;0,"X",0),"")</f>
        <v/>
      </c>
      <c r="EF23" s="213" t="str">
        <f>IF(COUNTIF('Eval-Avec act. écol. envisagée'!$A$761:$A$780,DY23)&gt;0,IF(SUM(IF('Eval-Avec act. écol. envisagée'!$A$761=DY23,COUNTA('Eval-Avec act. écol. envisagée'!$K$761),0),IF('Eval-Avec act. écol. envisagée'!$A$762=DY23,COUNTA('Eval-Avec act. écol. envisagée'!$K$762),0),IF('Eval-Avec act. écol. envisagée'!$A$763=DY23,COUNTA('Eval-Avec act. écol. envisagée'!$K$763),0),IF('Eval-Avec act. écol. envisagée'!$A$764=DY23,COUNTA('Eval-Avec act. écol. envisagée'!$K$764),0),IF('Eval-Avec act. écol. envisagée'!$A$765=DY23,COUNTA('Eval-Avec act. écol. envisagée'!$K$765),0),IF('Eval-Avec act. écol. envisagée'!$A$766=DY23,COUNTA('Eval-Avec act. écol. envisagée'!$K$766),0),IF('Eval-Avec act. écol. envisagée'!$A$767=DY23,COUNTA('Eval-Avec act. écol. envisagée'!$K$767),0),IF('Eval-Avec act. écol. envisagée'!$A$768=DY23,COUNTA('Eval-Avec act. écol. envisagée'!$K$768),0),IF('Eval-Avec act. écol. envisagée'!$A$769=DY23,COUNTA('Eval-Avec act. écol. envisagée'!$K$769),0),IF('Eval-Avec act. écol. envisagée'!$A$770=DY23,COUNTA('Eval-Avec act. écol. envisagée'!$K$770),0),IF('Eval-Avec act. écol. envisagée'!$A$771=DY23,COUNTA('Eval-Avec act. écol. envisagée'!$K$771),0),IF('Eval-Avec act. écol. envisagée'!$A$772=DY23,COUNTA('Eval-Avec act. écol. envisagée'!$K$772),0),IF('Eval-Avec act. écol. envisagée'!$A$773=DY23,COUNTA('Eval-Avec act. écol. envisagée'!$K$773),0),IF('Eval-Avec act. écol. envisagée'!$A$774=DY23,COUNTA('Eval-Avec act. écol. envisagée'!$K$774),0),IF('Eval-Avec act. écol. envisagée'!$A$775=DY23,COUNTA('Eval-Avec act. écol. envisagée'!$K$775),0),IF('Eval-Avec act. écol. envisagée'!$A$776=DY23,COUNTA('Eval-Avec act. écol. envisagée'!$K$776),0),IF('Eval-Avec act. écol. envisagée'!$A$777=DY23,COUNTA('Eval-Avec act. écol. envisagée'!$K$777),0),IF('Eval-Avec act. écol. envisagée'!$A$778=DY23,COUNTA('Eval-Avec act. écol. envisagée'!$K$778),0),IF('Eval-Avec act. écol. envisagée'!$A$779=DY23,COUNTA('Eval-Avec act. écol. envisagée'!$K$779),0),IF('Eval-Avec act. écol. envisagée'!$A$780=DY23,COUNTA('Eval-Avec act. écol. envisagée'!$K$780),0))&gt;0,"X",0),"")</f>
        <v/>
      </c>
      <c r="EG23" s="211" t="str">
        <f>IF(COUNTIF('Eval-Avec act. écol. envisagée'!$A$761:$A$780,DY23)&gt;0,IF(OR(AND('Eval-Avec act. écol. envisagée'!$A$761=DY23,'Eval-Avec act. écol. envisagée'!$L$761&lt;120,'Eval-Avec act. écol. envisagée'!$L$761&gt;=EV9),AND('Eval-Avec act. écol. envisagée'!$A$762=DY23,'Eval-Avec act. écol. envisagée'!$L$762&lt;120,'Eval-Avec act. écol. envisagée'!$L$762&gt;=EV10),AND('Eval-Avec act. écol. envisagée'!$A$763=DY23,'Eval-Avec act. écol. envisagée'!$L$763&lt;120,'Eval-Avec act. écol. envisagée'!$L$763&gt;=EV11),AND('Eval-Avec act. écol. envisagée'!$A$764=DY23,'Eval-Avec act. écol. envisagée'!$L$764&lt;120,'Eval-Avec act. écol. envisagée'!$L$764&gt;=EV12),AND('Eval-Avec act. écol. envisagée'!$A$765=DY23,'Eval-Avec act. écol. envisagée'!$L$765&lt;120,'Eval-Avec act. écol. envisagée'!$L$765&gt;=EV13),AND('Eval-Avec act. écol. envisagée'!$A$766=DY23,'Eval-Avec act. écol. envisagée'!$L$766&lt;120,'Eval-Avec act. écol. envisagée'!$L$766&gt;=EV14),AND('Eval-Avec act. écol. envisagée'!$A$767=DY23,'Eval-Avec act. écol. envisagée'!$L$767&lt;120,'Eval-Avec act. écol. envisagée'!$L$767&gt;=EV15),AND('Eval-Avec act. écol. envisagée'!$A$768=DY23,'Eval-Avec act. écol. envisagée'!$L$768&lt;120,'Eval-Avec act. écol. envisagée'!$L$768&gt;=EV16),AND('Eval-Avec act. écol. envisagée'!$A$769=DY23,'Eval-Avec act. écol. envisagée'!$L$769&lt;120,'Eval-Avec act. écol. envisagée'!$L$769&gt;=EV17),AND('Eval-Avec act. écol. envisagée'!$A$770=DY23,'Eval-Avec act. écol. envisagée'!$L$770&lt;120,'Eval-Avec act. écol. envisagée'!$L$770&gt;=EV18),AND('Eval-Avec act. écol. envisagée'!$A$771=DY23,'Eval-Avec act. écol. envisagée'!$L$771&lt;120,'Eval-Avec act. écol. envisagée'!$L$771&gt;=EV19),AND('Eval-Avec act. écol. envisagée'!$A$772=DY23,'Eval-Avec act. écol. envisagée'!$L$772&lt;120,'Eval-Avec act. écol. envisagée'!$L$772&gt;=EV20),AND('Eval-Avec act. écol. envisagée'!$A$773=DY23,'Eval-Avec act. écol. envisagée'!$L$773&lt;120,'Eval-Avec act. écol. envisagée'!$L$773&gt;=EV21),AND('Eval-Avec act. écol. envisagée'!$A$774=DY23,'Eval-Avec act. écol. envisagée'!$L$774&lt;120,'Eval-Avec act. écol. envisagée'!$L$774&gt;=EV22),AND('Eval-Avec act. écol. envisagée'!$A$775=DY23,'Eval-Avec act. écol. envisagée'!$L$775&lt;120,'Eval-Avec act. écol. envisagée'!$L$775&gt;=EV23),AND('Eval-Avec act. écol. envisagée'!$A$776=DY23,'Eval-Avec act. écol. envisagée'!$L$776&lt;120,'Eval-Avec act. écol. envisagée'!$L$776&gt;=EV24),AND('Eval-Avec act. écol. envisagée'!$A$777=DY23,'Eval-Avec act. écol. envisagée'!$L$777&lt;120,'Eval-Avec act. écol. envisagée'!$L$777&gt;=EV25),AND('Eval-Avec act. écol. envisagée'!$A$778=DY23,'Eval-Avec act. écol. envisagée'!$L$778&lt;120,'Eval-Avec act. écol. envisagée'!$L$778&gt;=EV26),AND('Eval-Avec act. écol. envisagée'!$A$779=DY23,'Eval-Avec act. écol. envisagée'!$L$779&lt;120,'Eval-Avec act. écol. envisagée'!$L$779&gt;=EV27),AND('Eval-Avec act. écol. envisagée'!$A$780=DY23,'Eval-Avec act. écol. envisagée'!$L$780&lt;120,'Eval-Avec act. écol. envisagée'!$L$780&gt;=EV28)),"",SUM(IF('Eval-Avec act. écol. envisagée'!$A$761=DY23,'Eval-Avec act. écol. envisagée'!$L$761,0),IF('Eval-Avec act. écol. envisagée'!$A$762=DY23,'Eval-Avec act. écol. envisagée'!$L$762,0),IF('Eval-Avec act. écol. envisagée'!$A$763=DY23,'Eval-Avec act. écol. envisagée'!$L$763,0),IF('Eval-Avec act. écol. envisagée'!$A$764=DY23,'Eval-Avec act. écol. envisagée'!$L$764,0),IF('Eval-Avec act. écol. envisagée'!$A$765=DY23,'Eval-Avec act. écol. envisagée'!$L$765,0),IF('Eval-Avec act. écol. envisagée'!$A$766=DY23,'Eval-Avec act. écol. envisagée'!$L$766,0),IF('Eval-Avec act. écol. envisagée'!$A$767=DY23,'Eval-Avec act. écol. envisagée'!$L$767,0),IF('Eval-Avec act. écol. envisagée'!$A$768=DY23,'Eval-Avec act. écol. envisagée'!$L$768,0),IF('Eval-Avec act. écol. envisagée'!$A$769=DY23,'Eval-Avec act. écol. envisagée'!$L$769,0),IF('Eval-Avec act. écol. envisagée'!$A$770=DY23,'Eval-Avec act. écol. envisagée'!$L$770,0),IF('Eval-Avec act. écol. envisagée'!$A$771=DY23,'Eval-Avec act. écol. envisagée'!$L$771,0),IF('Eval-Avec act. écol. envisagée'!$A$772=DY23,'Eval-Avec act. écol. envisagée'!$L$772,0),IF('Eval-Avec act. écol. envisagée'!$A$773=DY23,'Eval-Avec act. écol. envisagée'!$L$773,0),IF('Eval-Avec act. écol. envisagée'!$A$774=DY23,'Eval-Avec act. écol. envisagée'!$L$774,0),IF('Eval-Avec act. écol. envisagée'!$A$775=DY23,'Eval-Avec act. écol. envisagée'!$L$775,0),IF('Eval-Avec act. écol. envisagée'!$A$776=DY23,'Eval-Avec act. écol. envisagée'!$L$776,0),IF('Eval-Avec act. écol. envisagée'!$A$777=DY23,'Eval-Avec act. écol. envisagée'!$L$777,0),IF('Eval-Avec act. écol. envisagée'!$A$778=DY23,'Eval-Avec act. écol. envisagée'!$L$778,0),IF('Eval-Avec act. écol. envisagée'!$A$779=DY23,'Eval-Avec act. écol. envisagée'!$L$779,0),IF('Eval-Avec act. écol. envisagée'!$A$780=DY23,'Eval-Avec act. écol. envisagée'!$L$780,0))/ COUNTIF('Eval-Avec act. écol. envisagée'!$A$761:$A$780,DY23)),"")</f>
        <v/>
      </c>
      <c r="EH23" s="211" t="str">
        <f>IF(COUNTIF('Eval-Avec act. écol. envisagée'!$A$761:$A$780,DY23)&gt;0,IF(OR(AND('Eval-Avec act. écol. envisagée'!$A$761=DY23, EV9&lt;120),AND(EV10&lt;120),AND(EV11&lt;120),AND(EV12&lt;120),AND(EV13&lt;120),AND(EV14&lt;120),AND(EV15&lt;120),AND(EV16&lt;120),AND(EV17&lt;120),AND(EV18&lt;120),AND(EV19&lt;120),AND(EV20&lt;120),AND(EV21&lt;120),AND(EV22&lt;120),AND(EV23&lt;120),AND(EV24&lt;120),AND(EV25&lt;120),AND(EV26&lt;120),AND(EV27&lt;120),AND(EV28&lt;120)),"",SUM(IF('Eval-Avec act. écol. envisagée'!$A$761=DY23,'Eval-Avec act. écol. envisagée'!$M$761,0),IF('Eval-Avec act. écol. envisagée'!$A$762=DY23,'Eval-Avec act. écol. envisagée'!$M$762,0),IF('Eval-Avec act. écol. envisagée'!$A$763=DY23,'Eval-Avec act. écol. envisagée'!$M$763,0),IF('Eval-Avec act. écol. envisagée'!$A$764=DY23,'Eval-Avec act. écol. envisagée'!$M$764,0),IF('Eval-Avec act. écol. envisagée'!$A$765=DY23,'Eval-Avec act. écol. envisagée'!$M$765,0),IF('Eval-Avec act. écol. envisagée'!$A$766=DY23,'Eval-Avec act. écol. envisagée'!$M$766,0),IF('Eval-Avec act. écol. envisagée'!$A$767=DY23,'Eval-Avec act. écol. envisagée'!$M$767,0),IF('Eval-Avec act. écol. envisagée'!$A$768=DY23,'Eval-Avec act. écol. envisagée'!$M$768,0),IF('Eval-Avec act. écol. envisagée'!$A$769=DY23,'Eval-Avec act. écol. envisagée'!$M$769,0),IF('Eval-Avec act. écol. envisagée'!$A$770=DY23,'Eval-Avec act. écol. envisagée'!$M$770,0),IF('Eval-Avec act. écol. envisagée'!$A$771=DY23,'Eval-Avec act. écol. envisagée'!$M$771,0),IF('Eval-Avec act. écol. envisagée'!$A$772=DY23,'Eval-Avec act. écol. envisagée'!$M$772,0),IF('Eval-Avec act. écol. envisagée'!$A$773=DY23,'Eval-Avec act. écol. envisagée'!$M$773,0),IF('Eval-Avec act. écol. envisagée'!$A$774=DY23,'Eval-Avec act. écol. envisagée'!$M$774,0),IF('Eval-Avec act. écol. envisagée'!$A$775=DY23,'Eval-Avec act. écol. envisagée'!$M$775,0), IF('Eval-Avec act. écol. envisagée'!$A$776=DY23,'Eval-Avec act. écol. envisagée'!$M$776,0), IF('Eval-Avec act. écol. envisagée'!$A$777=DY23,'Eval-Avec act. écol. envisagée'!$M$777,0), IF('Eval-Avec act. écol. envisagée'!$A$778=DY23,'Eval-Avec act. écol. envisagée'!$M$778,0), IF('Eval-Avec act. écol. envisagée'!$A$779=DY23,'Eval-Avec act. écol. envisagée'!$M$779,0), IF('Eval-Avec act. écol. envisagée'!$A$780=DY23,'Eval-Avec act. écol. envisagée'!$M$780,0))/COUNTIF('Eval-Avec act. écol. envisagée'!$A$761:$A$780,DY23)),"")</f>
        <v/>
      </c>
      <c r="EI23" s="211" t="str">
        <f>IF(COUNTIF('Eval-Avec act. écol. envisagée'!$A$761:$A$780,DY23)&gt;0,SUM(IF('Eval-Avec act. écol. envisagée'!$A$761=DY23,LEN(SUBSTITUTE((SUBSTITUTE(EX9,"TM","")),"TS",""))*10/2,0),IF('Eval-Avec act. écol. envisagée'!$A$762=DY23,LEN(SUBSTITUTE((SUBSTITUTE(EX10,"TM","")),"TS",""))*10/2,0),IF('Eval-Avec act. écol. envisagée'!$A$763=DY23,LEN(SUBSTITUTE((SUBSTITUTE(EX11,"TM","")),"TS",""))*10/2,0),IF('Eval-Avec act. écol. envisagée'!$A$764=DY23,LEN(SUBSTITUTE((SUBSTITUTE(EX12,"TM","")),"TS",""))*10/2,0),IF('Eval-Avec act. écol. envisagée'!$A$765=DY23,LEN(SUBSTITUTE((SUBSTITUTE(EX13,"TM","")),"TS",""))*10/2,0),IF('Eval-Avec act. écol. envisagée'!$A$766=DY23,LEN(SUBSTITUTE((SUBSTITUTE(EX14,"TM","")),"TS",""))*10/2,0),IF('Eval-Avec act. écol. envisagée'!$A$767=DY23,LEN(SUBSTITUTE((SUBSTITUTE(EX15,"TM","")),"TS",""))*10/2,0),IF('Eval-Avec act. écol. envisagée'!$A$768=DY23,LEN(SUBSTITUTE((SUBSTITUTE(EX16,"TM","")),"TS",""))*10/2,0),IF('Eval-Avec act. écol. envisagée'!$A$769=DY23,LEN(SUBSTITUTE((SUBSTITUTE(EX17,"TM","")),"TS",""))*10/2,0),IF('Eval-Avec act. écol. envisagée'!$A$770=DY23,LEN(SUBSTITUTE((SUBSTITUTE(EX18,"TM","")),"TS",""))*10/2,0),IF('Eval-Avec act. écol. envisagée'!$A$771=DY23,LEN(SUBSTITUTE((SUBSTITUTE(EX19,"TM","")),"TS",""))*10/2,0),IF('Eval-Avec act. écol. envisagée'!$A$772=DY23,LEN(SUBSTITUTE((SUBSTITUTE(EX20,"TM","")),"TS",""))*10/2,0),IF('Eval-Avec act. écol. envisagée'!$A$773=DY23,LEN(SUBSTITUTE((SUBSTITUTE(EX21,"TM","")),"TS",""))*10/2,0),IF('Eval-Avec act. écol. envisagée'!$A$774=DY23,LEN(SUBSTITUTE((SUBSTITUTE(EX22,"TM","")),"TS",""))*10/2,0),IF('Eval-Avec act. écol. envisagée'!$A$775=DY23,LEN(SUBSTITUTE((SUBSTITUTE(EX23,"TM","")),"TS",""))*10/2,0),IF('Eval-Avec act. écol. envisagée'!$A$776=DY23,LEN(SUBSTITUTE((SUBSTITUTE(EX24,"TM","")),"TS",""))*10/2,0),IF('Eval-Avec act. écol. envisagée'!$A$777=DY23,LEN(SUBSTITUTE((SUBSTITUTE(EX25,"TM","")),"TS",""))*10/2,0),IF('Eval-Avec act. écol. envisagée'!$A$778=DY23,LEN(SUBSTITUTE((SUBSTITUTE(EX26,"TM","")),"TS",""))*10/2,0),IF('Eval-Avec act. écol. envisagée'!$A$779=DY23,LEN(SUBSTITUTE((SUBSTITUTE(EX27,"TM","")),"TS",""))*10/2,0),IF('Eval-Avec act. écol. envisagée'!$A$780=DY23,LEN(SUBSTITUTE((SUBSTITUTE(EX28,"TM","")),"TS",""))*10/2,0))/COUNTIF('Eval-Avec act. écol. envisagée'!$A$761:$A$780,DY23),"")</f>
        <v/>
      </c>
      <c r="EJ23" s="211" t="str">
        <f>IF(COUNTIF('Eval-Avec act. écol. envisagée'!$A$761:$A$780,DY23)&gt;0,SUM(IF('Eval-Avec act. écol. envisagée'!$A$761=DY23,LEN(SUBSTITUTE((SUBSTITUTE(EX9,"TF","")),"TS",""))*10/2,0),IF('Eval-Avec act. écol. envisagée'!$A$762=DY23,LEN(SUBSTITUTE((SUBSTITUTE(EX10,"TF","")),"TS",""))*10/2,0),IF('Eval-Avec act. écol. envisagée'!$A$763=DY23,LEN(SUBSTITUTE((SUBSTITUTE(EX11,"TF","")),"TS",""))*10/2,0),IF('Eval-Avec act. écol. envisagée'!$A$764=DY23,LEN(SUBSTITUTE((SUBSTITUTE(EX12,"TF","")),"TS",""))*10/2,0),IF('Eval-Avec act. écol. envisagée'!$A$765=DY23,LEN(SUBSTITUTE((SUBSTITUTE(EX13,"TF","")),"TS",""))*10/2,0),IF('Eval-Avec act. écol. envisagée'!$A$766=DY23,LEN(SUBSTITUTE((SUBSTITUTE(EX14,"TF","")),"TS",""))*10/2,0),IF('Eval-Avec act. écol. envisagée'!$A$767=DY23,LEN(SUBSTITUTE((SUBSTITUTE(EX15,"TF","")),"TS",""))*10/2,0),IF('Eval-Avec act. écol. envisagée'!$A$768=DY23,LEN(SUBSTITUTE((SUBSTITUTE(EX16,"TF","")),"TS",""))*10/2,0),IF('Eval-Avec act. écol. envisagée'!$A$769=DY23,LEN(SUBSTITUTE((SUBSTITUTE(EX17,"TF","")),"TS",""))*10/2,0),IF('Eval-Avec act. écol. envisagée'!$A$770=DY23,LEN(SUBSTITUTE((SUBSTITUTE(EX18,"TF","")),"TS",""))*10/2,0),IF('Eval-Avec act. écol. envisagée'!$A$771=DY23,LEN(SUBSTITUTE((SUBSTITUTE(EX19,"TF","")),"TS",""))*10/2,0),IF('Eval-Avec act. écol. envisagée'!$A$772=DY23,LEN(SUBSTITUTE((SUBSTITUTE(EX20,"TF","")),"TS",""))*10/2,0),IF('Eval-Avec act. écol. envisagée'!$A$773=DY23,LEN(SUBSTITUTE((SUBSTITUTE(EX21,"TF","")),"TS",""))*10/2,0),IF('Eval-Avec act. écol. envisagée'!$A$774=DY23,LEN(SUBSTITUTE((SUBSTITUTE(EX22,"TF","")),"TS",""))*10/2,0),IF('Eval-Avec act. écol. envisagée'!$A$775=DY23,LEN(SUBSTITUTE((SUBSTITUTE(EX23,"TF","")),"TS",""))*10/2,0),IF('Eval-Avec act. écol. envisagée'!$A$776=DY23,LEN(SUBSTITUTE((SUBSTITUTE(EX24,"TF","")),"TS",""))*10/2,0),IF('Eval-Avec act. écol. envisagée'!$A$777=DY23,LEN(SUBSTITUTE((SUBSTITUTE(EX25,"TF","")),"TS",""))*10/2,0),IF('Eval-Avec act. écol. envisagée'!$A$778=DY23,LEN(SUBSTITUTE((SUBSTITUTE(EX26,"TF","")),"TS",""))*10/2,0),IF('Eval-Avec act. écol. envisagée'!$A$779=DY23,LEN(SUBSTITUTE((SUBSTITUTE(EX27,"TF","")),"TS",""))*10/2,0),IF('Eval-Avec act. écol. envisagée'!$A$780=DY23,LEN(SUBSTITUTE((SUBSTITUTE(EX28,"TF","")),"TS",""))*10/2,0))/COUNTIF('Eval-Avec act. écol. envisagée'!$A$761:$A$780,DY23),"")</f>
        <v/>
      </c>
      <c r="EK23" s="211" t="str">
        <f>IF(COUNTIF('Eval-Avec act. écol. envisagée'!$A$761:$A$780,DY23)&gt;0,SUM(IF('Eval-Avec act. écol. envisagée'!$A$761=DY23,LEN(SUBSTITUTE((SUBSTITUTE(EX9,"TF","")),"TM",""))*10/2,0),IF('Eval-Avec act. écol. envisagée'!$A$762=DY23,LEN(SUBSTITUTE((SUBSTITUTE(EX10,"TF","")),"TM",""))*10/2,0),IF('Eval-Avec act. écol. envisagée'!$A$763=DY23,LEN(SUBSTITUTE((SUBSTITUTE(EX11,"TF","")),"TM",""))*10/2,0),IF('Eval-Avec act. écol. envisagée'!$A$764=DY23,LEN(SUBSTITUTE((SUBSTITUTE(EX12,"TF","")),"TM",""))*10/2,0),IF('Eval-Avec act. écol. envisagée'!$A$765=DY23,LEN(SUBSTITUTE((SUBSTITUTE(EX13,"TF","")),"TM",""))*10/2,0),IF('Eval-Avec act. écol. envisagée'!$A$766=DY23,LEN(SUBSTITUTE((SUBSTITUTE(EX14,"TF","")),"TM",""))*10/2,0),IF('Eval-Avec act. écol. envisagée'!$A$767=DY23,LEN(SUBSTITUTE((SUBSTITUTE(EX15,"TF","")),"TM",""))*10/2,0),IF('Eval-Avec act. écol. envisagée'!$A$768=DY23,LEN(SUBSTITUTE((SUBSTITUTE(EX16,"TF","")),"TM",""))*10/2,0),IF('Eval-Avec act. écol. envisagée'!$A$769=DY23,LEN(SUBSTITUTE((SUBSTITUTE(EX17,"TF","")),"TM",""))*10/2,0),IF('Eval-Avec act. écol. envisagée'!$A$770=DY23,LEN(SUBSTITUTE((SUBSTITUTE(EX18,"TF","")),"TM",""))*10/2,0),IF('Eval-Avec act. écol. envisagée'!$A$771=DY23,LEN(SUBSTITUTE((SUBSTITUTE(EX19,"TF","")),"TM",""))*10/2,0),IF('Eval-Avec act. écol. envisagée'!$A$772=DY23,LEN(SUBSTITUTE((SUBSTITUTE(EX20,"TF","")),"TM",""))*10/2,0),IF('Eval-Avec act. écol. envisagée'!$A$773=DY23,LEN(SUBSTITUTE((SUBSTITUTE(EX21,"TF","")),"TM",""))*10/2,0),IF('Eval-Avec act. écol. envisagée'!$A$774=DY23,LEN(SUBSTITUTE((SUBSTITUTE(EX22,"TF","")),"TM",""))*10/2,0),IF('Eval-Avec act. écol. envisagée'!$A$775=DY23,LEN(SUBSTITUTE((SUBSTITUTE(EX23,"TF","")),"TM",""))*10/2,0),IF('Eval-Avec act. écol. envisagée'!$A$776=DY23,LEN(SUBSTITUTE((SUBSTITUTE(EX24,"TF","")),"TM",""))*10/2,0),IF('Eval-Avec act. écol. envisagée'!$A$777=DY23,LEN(SUBSTITUTE((SUBSTITUTE(EX25,"TF","")),"TM",""))*10/2,0),IF('Eval-Avec act. écol. envisagée'!$A$778=DY23,LEN(SUBSTITUTE((SUBSTITUTE(EX26,"TF","")),"TM",""))*10/2,0),IF('Eval-Avec act. écol. envisagée'!$A$779=DY23,LEN(SUBSTITUTE((SUBSTITUTE(EX27,"TF","")),"TM",""))*10/2,0),IF('Eval-Avec act. écol. envisagée'!$A$780=DY23,LEN(SUBSTITUTE((SUBSTITUTE(EX28,"TF","")),"TM",""))*10/2,0))/COUNTIF('Eval-Avec act. écol. envisagée'!$A$761:$A$780,DY23),"")</f>
        <v/>
      </c>
      <c r="EL23" s="211" t="str">
        <f>IF(COUNTIF('Eval-Avec act. écol. envisagée'!$A$761:$A$780,DY23)&gt;0,SUM(IF('Eval-Avec act. écol. envisagée'!$A$761=DY23,LEN(SUBSTITUTE((SUBSTITUTE(EY9,"TM","")),"TS",""))*10/2,0),IF('Eval-Avec act. écol. envisagée'!$A$762=DY23,LEN(SUBSTITUTE((SUBSTITUTE(EY10,"TM","")),"TS",""))*10/2,0),IF('Eval-Avec act. écol. envisagée'!$A$763=DY23,LEN(SUBSTITUTE((SUBSTITUTE(EY11,"TM","")),"TS",""))*10/2,0),IF('Eval-Avec act. écol. envisagée'!$A$764=DY23,LEN(SUBSTITUTE((SUBSTITUTE(EY12,"TM","")),"TS",""))*10/2,0),IF('Eval-Avec act. écol. envisagée'!$A$765=DY23,LEN(SUBSTITUTE((SUBSTITUTE(EY13,"TM","")),"TS",""))*10/2,0),IF('Eval-Avec act. écol. envisagée'!$A$766=DY23,LEN(SUBSTITUTE((SUBSTITUTE(EY14,"TM","")),"TS",""))*10/2,0),IF('Eval-Avec act. écol. envisagée'!$A$767=DY23,LEN(SUBSTITUTE((SUBSTITUTE(EY15,"TM","")),"TS",""))*10/2,0),IF('Eval-Avec act. écol. envisagée'!$A$768=DY23,LEN(SUBSTITUTE((SUBSTITUTE(EY16,"TM","")),"TS",""))*10/2,0),IF('Eval-Avec act. écol. envisagée'!$A$769=DY23,LEN(SUBSTITUTE((SUBSTITUTE(EY17,"TM","")),"TS",""))*10/2,0),IF('Eval-Avec act. écol. envisagée'!$A$770=DY23,LEN(SUBSTITUTE((SUBSTITUTE(EY18,"TM","")),"TS",""))*10/2,0),IF('Eval-Avec act. écol. envisagée'!$A$771=DY23,LEN(SUBSTITUTE((SUBSTITUTE(EY19,"TM","")),"TS",""))*10/2,0),IF('Eval-Avec act. écol. envisagée'!$A$772=DY23,LEN(SUBSTITUTE((SUBSTITUTE(EY20,"TM","")),"TS",""))*10/2,0),IF('Eval-Avec act. écol. envisagée'!$A$773=DY23,LEN(SUBSTITUTE((SUBSTITUTE(EY21,"TM","")),"TS",""))*10/2,0),IF('Eval-Avec act. écol. envisagée'!$A$774=DY23,LEN(SUBSTITUTE((SUBSTITUTE(EY22,"TM","")),"TS",""))*10/2,0),IF('Eval-Avec act. écol. envisagée'!$A$775=DY23,LEN(SUBSTITUTE((SUBSTITUTE(EY23,"TM","")),"TS",""))*10/2,0),IF('Eval-Avec act. écol. envisagée'!$A$776=DY23,LEN(SUBSTITUTE((SUBSTITUTE(EY24,"TM","")),"TS",""))*10/2,0),IF('Eval-Avec act. écol. envisagée'!$A$777=DY23,LEN(SUBSTITUTE((SUBSTITUTE(EY25,"TM","")),"TS",""))*10/2,0),IF('Eval-Avec act. écol. envisagée'!$A$778=DY23,LEN(SUBSTITUTE((SUBSTITUTE(EY26,"TM","")),"TS",""))*10/2,0),IF('Eval-Avec act. écol. envisagée'!$A$779=DY23,LEN(SUBSTITUTE((SUBSTITUTE(EY27,"TM","")),"TS",""))*10/2,0),IF('Eval-Avec act. écol. envisagée'!$A$780=DY23,LEN(SUBSTITUTE((SUBSTITUTE(EY28,"TM","")),"TS",""))*10/2,0))/COUNTIF('Eval-Avec act. écol. envisagée'!$A$761:$A$780,DY23),"")</f>
        <v/>
      </c>
      <c r="EM23" s="211" t="str">
        <f>IF(COUNTIF('Eval-Avec act. écol. envisagée'!$A$761:$A$780,DY23)&gt;0,SUM(IF('Eval-Avec act. écol. envisagée'!$A$761=DY23,LEN(SUBSTITUTE((SUBSTITUTE(EY9,"TF","")),"TS",""))*10/2,0),IF('Eval-Avec act. écol. envisagée'!$A$762=DY23,LEN(SUBSTITUTE((SUBSTITUTE(EY10,"TF","")),"TS",""))*10/2,0),IF('Eval-Avec act. écol. envisagée'!$A$763=DY23,LEN(SUBSTITUTE((SUBSTITUTE(EY11,"TF","")),"TS",""))*10/2,0),IF('Eval-Avec act. écol. envisagée'!$A$764=DY23,LEN(SUBSTITUTE((SUBSTITUTE(EY12,"TF","")),"TS",""))*10/2,0),IF('Eval-Avec act. écol. envisagée'!$A$765=DY23,LEN(SUBSTITUTE((SUBSTITUTE(EY13,"TF","")),"TS",""))*10/2,0),IF('Eval-Avec act. écol. envisagée'!$A$766=DY23,LEN(SUBSTITUTE((SUBSTITUTE(EY14,"TF","")),"TS",""))*10/2,0),IF('Eval-Avec act. écol. envisagée'!$A$767=DY23,LEN(SUBSTITUTE((SUBSTITUTE(EY15,"TF","")),"TS",""))*10/2,0),IF('Eval-Avec act. écol. envisagée'!$A$768=DY23,LEN(SUBSTITUTE((SUBSTITUTE(EY16,"TF","")),"TS",""))*10/2,0),IF('Eval-Avec act. écol. envisagée'!$A$769=DY23,LEN(SUBSTITUTE((SUBSTITUTE(EY17,"TF","")),"TS",""))*10/2,0),IF('Eval-Avec act. écol. envisagée'!$A$770=DY23,LEN(SUBSTITUTE((SUBSTITUTE(EY18,"TF","")),"TS",""))*10/2,0),IF('Eval-Avec act. écol. envisagée'!$A$771=DY23,LEN(SUBSTITUTE((SUBSTITUTE(EY19,"TF","")),"TS",""))*10/2,0),IF('Eval-Avec act. écol. envisagée'!$A$772=DY23,LEN(SUBSTITUTE((SUBSTITUTE(EY20,"TF","")),"TS",""))*10/2,0),IF('Eval-Avec act. écol. envisagée'!$A$773=DY23,LEN(SUBSTITUTE((SUBSTITUTE(EY21,"TF","")),"TS",""))*10/2,0),IF('Eval-Avec act. écol. envisagée'!$A$774=DY23,LEN(SUBSTITUTE((SUBSTITUTE(EY22,"TF","")),"TS",""))*10/2,0),IF('Eval-Avec act. écol. envisagée'!$A$775=DY23,LEN(SUBSTITUTE((SUBSTITUTE(EY23,"TF","")),"TS",""))*10/2,0),IF('Eval-Avec act. écol. envisagée'!$A$776=DY23,LEN(SUBSTITUTE((SUBSTITUTE(EY24,"TF","")),"TS",""))*10/2,0),IF('Eval-Avec act. écol. envisagée'!$A$777=DY23,LEN(SUBSTITUTE((SUBSTITUTE(EY25,"TF","")),"TS",""))*10/2,0),IF('Eval-Avec act. écol. envisagée'!$A$778=DY23,LEN(SUBSTITUTE((SUBSTITUTE(EY26,"TF","")),"TS",""))*10/2,0),IF('Eval-Avec act. écol. envisagée'!$A$779=DY23,LEN(SUBSTITUTE((SUBSTITUTE(EY27,"TF","")),"TS",""))*10/2,0),IF('Eval-Avec act. écol. envisagée'!$A$780=DY23,LEN(SUBSTITUTE((SUBSTITUTE(EY28,"TF","")),"TS",""))*10/2,0))/COUNTIF('Eval-Avec act. écol. envisagée'!$A$761:$A$780,DY23),"")</f>
        <v/>
      </c>
      <c r="EN23" s="211" t="str">
        <f>IF(COUNTIF('Eval-Avec act. écol. envisagée'!$A$761:$A$780,DY23)&gt;0,SUM(IF('Eval-Avec act. écol. envisagée'!$A$761=DY23,LEN(SUBSTITUTE((SUBSTITUTE(EY9,"TF","")),"TM",""))*10/2,0),IF('Eval-Avec act. écol. envisagée'!$A$762=DY23,LEN(SUBSTITUTE((SUBSTITUTE(EY10,"TF","")),"TM",""))*10/2,0),IF('Eval-Avec act. écol. envisagée'!$A$763=DY23,LEN(SUBSTITUTE((SUBSTITUTE(EY11,"TF","")),"TM",""))*10/2,0),IF('Eval-Avec act. écol. envisagée'!$A$764=DY23,LEN(SUBSTITUTE((SUBSTITUTE(EY12,"TF","")),"TM",""))*10/2,0),IF('Eval-Avec act. écol. envisagée'!$A$765=DY23,LEN(SUBSTITUTE((SUBSTITUTE(EY13,"TF","")),"TM",""))*10/2,0),IF('Eval-Avec act. écol. envisagée'!$A$766=DY23,LEN(SUBSTITUTE((SUBSTITUTE(EY14,"TF","")),"TM",""))*10/2,0),IF('Eval-Avec act. écol. envisagée'!$A$767=DY23,LEN(SUBSTITUTE((SUBSTITUTE(EY15,"TF","")),"TM",""))*10/2,0),IF('Eval-Avec act. écol. envisagée'!$A$768=DY23,LEN(SUBSTITUTE((SUBSTITUTE(EY16,"TF","")),"TM",""))*10/2,0),IF('Eval-Avec act. écol. envisagée'!$A$769=DY23,LEN(SUBSTITUTE((SUBSTITUTE(EY17,"TF","")),"TM",""))*10/2,0),IF('Eval-Avec act. écol. envisagée'!$A$770=DY23,LEN(SUBSTITUTE((SUBSTITUTE(EY18,"TF","")),"TM",""))*10/2,0),IF('Eval-Avec act. écol. envisagée'!$A$771=DY23,LEN(SUBSTITUTE((SUBSTITUTE(EY19,"TF","")),"TM",""))*10/2,0),IF('Eval-Avec act. écol. envisagée'!$A$772=DY23,LEN(SUBSTITUTE((SUBSTITUTE(EY20,"TF","")),"TM",""))*10/2,0),IF('Eval-Avec act. écol. envisagée'!$A$773=DY23,LEN(SUBSTITUTE((SUBSTITUTE(EY21,"TF","")),"TM",""))*10/2,0),IF('Eval-Avec act. écol. envisagée'!$A$774=DY23,LEN(SUBSTITUTE((SUBSTITUTE(EY22,"TF","")),"TM",""))*10/2,0),IF('Eval-Avec act. écol. envisagée'!$A$775=DY23,LEN(SUBSTITUTE((SUBSTITUTE(EY23,"TF","")),"TM",""))*10/2,0),IF('Eval-Avec act. écol. envisagée'!$A$776=DY23,LEN(SUBSTITUTE((SUBSTITUTE(EY24,"TF","")),"TM",""))*10/2,0),IF('Eval-Avec act. écol. envisagée'!$A$777=DY23,LEN(SUBSTITUTE((SUBSTITUTE(EY25,"TF","")),"TM",""))*10/2,0),IF('Eval-Avec act. écol. envisagée'!$A$778=DY23,LEN(SUBSTITUTE((SUBSTITUTE(EY26,"TF","")),"TM",""))*10/2,0),IF('Eval-Avec act. écol. envisagée'!$A$779=DY23,LEN(SUBSTITUTE((SUBSTITUTE(EY27,"TF","")),"TM",""))*10/2,0),IF('Eval-Avec act. écol. envisagée'!$A$780=DY23,LEN(SUBSTITUTE((SUBSTITUTE(EY28,"TF","")),"TM",""))*10/2,0))/COUNTIF('Eval-Avec act. écol. envisagée'!$A$761:$A$780,DY23),"")</f>
        <v/>
      </c>
      <c r="EO23" s="211" t="str">
        <f>IF(COUNTIF('Eval-Avec act. écol. envisagée'!$A$761:$A$780,DY23)&gt;0,IF(OR(AND('Eval-Avec act. écol. envisagée'!$A$761=DY23,EV9&lt;30),AND('Eval-Avec act. écol. envisagée'!$A$762=DY23,EV10&lt;30),AND('Eval-Avec act. écol. envisagée'!$A$763=DY23,EV11&lt;30),AND('Eval-Avec act. écol. envisagée'!$A$764=DY23,EV12&lt;30),AND('Eval-Avec act. écol. envisagée'!$A$765=DY23,EV13&lt;30),AND('Eval-Avec act. écol. envisagée'!$A$766=DY23,EV14&lt;30),AND('Eval-Avec act. écol. envisagée'!$A$767=DY23,EV15&lt;30),AND('Eval-Avec act. écol. envisagée'!$A$768=DY23,EV16&lt;30),AND('Eval-Avec act. écol. envisagée'!$A$769=DY23,EV17&lt;30),AND('Eval-Avec act. écol. envisagée'!$A$770=DY23,EV18&lt;30),AND('Eval-Avec act. écol. envisagée'!$A$771=DY23,EV19&lt;30),AND('Eval-Avec act. écol. envisagée'!$A$772=DY23,EV20&lt;30),AND('Eval-Avec act. écol. envisagée'!$A$773=DY23,EV21&lt;30),AND('Eval-Avec act. écol. envisagée'!$A$774=DY23,EV22&lt;30),AND('Eval-Avec act. écol. envisagée'!$A$775=DY23,EV23&lt;30),AND('Eval-Avec act. écol. envisagée'!$A$776=DY23,EV24&lt;30),AND('Eval-Avec act. écol. envisagée'!$A$777=DY23,EV25&lt;30),AND('Eval-Avec act. écol. envisagée'!$A$778=DY23,EV26&lt;30),AND('Eval-Avec act. écol. envisagée'!$A$779=DY23,EV27&lt;30),AND('Eval-Avec act. écol. envisagée'!$A$780=DY23,EV28&lt;30)),"",SUM(0.1*(SUMPRODUCT(('Eval-Avec act. écol. envisagée'!$A$761:$A$780=DY23)*('Eval-Avec act. écol. envisagée'!$N$761:$P$780="A"))+ SUMPRODUCT(('Eval-Avec act. écol. envisagée'!$A$761:$A$780=DY23)*('Eval-Avec act. écol. envisagée'!$N$761:$P$780="AL"))),0.7*(SUMPRODUCT(('Eval-Avec act. écol. envisagée'!$A$761:$A$780=DY23)*('Eval-Avec act. écol. envisagée'!$N$761:$P$780="TF"))+SUMPRODUCT(('Eval-Avec act. écol. envisagée'!$A$761:$A$780=DY23)*('Eval-Avec act. écol. envisagée'!$N$761:$P$780="TM"))+SUMPRODUCT(('Eval-Avec act. écol. envisagée'!$A$761:$A$780=DY23)*('Eval-Avec act. écol. envisagée'!$N$761:$P$780="TS"))),0.4*(SUMPRODUCT(('Eval-Avec act. écol. envisagée'!$A$761:$A$780=DY23)*('Eval-Avec act. écol. envisagée'!$N$761:$P$780="LA"))+SUMPRODUCT(('Eval-Avec act. écol. envisagée'!$A$761:$A$780=DY23)*('Eval-Avec act. écol. envisagée'!$N$761:$P$780="L"))+SUMPRODUCT(('Eval-Avec act. écol. envisagée'!$A$761:$A$780=DY23)*('Eval-Avec act. écol. envisagée'!$N$761:$P$780="LS"))),1*(SUMPRODUCT(('Eval-Avec act. écol. envisagée'!$A$761:$A$780=DY23)*('Eval-Avec act. écol. envisagée'!$N$761:$P$780="SL"))+ SUMPRODUCT(('Eval-Avec act. écol. envisagée'!$A$761:$A$780=DY23)*('Eval-Avec act. écol. envisagée'!$N$761:$P$780="S"))))/(3*COUNTIF('Eval-Avec act. écol. envisagée'!$A$761:$A$780,DY23))),"")</f>
        <v/>
      </c>
      <c r="EP23" s="211" t="str">
        <f>IF(COUNTIF('Eval-Avec act. écol. envisagée'!$A$761:$A$780,DY23)&gt;0,IF(OR(AND('Eval-Avec act. écol. envisagée'!$A$761=DY23,EV9&lt;120),AND('Eval-Avec act. écol. envisagée'!$A$762=DY23,EV10&lt;120),AND('Eval-Avec act. écol. envisagée'!$A$763=DY23,EV11&lt;120),AND('Eval-Avec act. écol. envisagée'!$A$764=DY23,EV12&lt;120),AND('Eval-Avec act. écol. envisagée'!$A$765=DY23,EV13&lt;120),AND('Eval-Avec act. écol. envisagée'!$A$766=DY23,EV14&lt;120),AND('Eval-Avec act. écol. envisagée'!$A$767=DY23,EV15&lt;120),AND('Eval-Avec act. écol. envisagée'!$A$768=DY23,EV16&lt;120),AND('Eval-Avec act. écol. envisagée'!$A$769=DY23,EV17&lt;120),AND('Eval-Avec act. écol. envisagée'!$A$770=DY23,EV18&lt;120),AND('Eval-Avec act. écol. envisagée'!$A$771=DY23,EV19&lt;120),AND('Eval-Avec act. écol. envisagée'!$A$772=DY23,EV20&lt;120),AND('Eval-Avec act. écol. envisagée'!$A$773=DY23,EV21&lt;120),AND('Eval-Avec act. écol. envisagée'!$A$774=DY23,EV22&lt;120),AND('Eval-Avec act. écol. envisagée'!$A$775=DY23,EV23&lt;120),AND('Eval-Avec act. écol. envisagée'!$A$776=DY23,EV24&lt;120),AND('Eval-Avec act. écol. envisagée'!$A$777=DY23,EV25&lt;120),AND('Eval-Avec act. écol. envisagée'!$A$778=DY23,EV26&lt;120),AND('Eval-Avec act. écol. envisagée'!$A$779=DY23,EV27&lt;120),AND('Eval-Avec act. écol. envisagée'!$A$780=DY23,EV28&lt;120)),"",SUM(0.1*(SUMPRODUCT(('Eval-Avec act. écol. envisagée'!$A$761:$A$780=DY23)*('Eval-Avec act. écol. envisagée'!$Q$761:$Y$780="A"))+ SUMPRODUCT(('Eval-Avec act. écol. envisagée'!$A$761:$A$780=DY23)*('Eval-Avec act. écol. envisagée'!$Q$761:$Y$780="AL"))),0.7*(SUMPRODUCT(('Eval-Avec act. écol. envisagée'!$A$761:$A$780=DY23)*('Eval-Avec act. écol. envisagée'!$Q$761:$Y$780="TF"))+SUMPRODUCT(('Eval-Avec act. écol. envisagée'!$A$761:$A$780=DY23)*('Eval-Avec act. écol. envisagée'!$Q$761:$Y$780="TM"))+SUMPRODUCT(('Eval-Avec act. écol. envisagée'!$A$761:$A$780=DY23)*('Eval-Avec act. écol. envisagée'!$Q$761:$Y$780="TS"))),0.4*(SUMPRODUCT(('Eval-Avec act. écol. envisagée'!$A$761:$A$780=DY23)*('Eval-Avec act. écol. envisagée'!$Q$761:$Y$780="LA"))+SUMPRODUCT(('Eval-Avec act. écol. envisagée'!$A$761:$A$780=DY23)*('Eval-Avec act. écol. envisagée'!$Q$761:$Y$780="L"))+SUMPRODUCT(('Eval-Avec act. écol. envisagée'!$A$761:$A$780=DY23)*('Eval-Avec act. écol. envisagée'!$Q$761:$Y$780="LS"))),1*(SUMPRODUCT(('Eval-Avec act. écol. envisagée'!$A$761:$A$780=DY23)*('Eval-Avec act. écol. envisagée'!$Q$761:$Y$780="SL"))+ SUMPRODUCT(('Eval-Avec act. écol. envisagée'!$A$761:$A$780=DY23)*('Eval-Avec act. écol. envisagée'!$Q$761:$Y$780="S"))))/(9*COUNTIF('Eval-Avec act. écol. envisagée'!$A$761:$A$780,DY23))),"")</f>
        <v/>
      </c>
      <c r="EQ23" s="211" t="str">
        <f>IF(COUNTIF('Eval-Avec act. écol. envisagée'!$A$761:$A$780,DY23)&gt;0,IF(OR(AND('Eval-Avec act. écol. envisagée'!$A$761=DY23,OR(COUNTIF('Eval-Avec act. écol. envisagée'!$N$761:$P$761,"*T*")&gt;0,EV9&lt;30)),AND('Eval-Avec act. écol. envisagée'!$A$762=DY23,OR(COUNTIF('Eval-Avec act. écol. envisagée'!$N$762:$P$762,"*T*")&gt;0,EV10&lt;30)),AND('Eval-Avec act. écol. envisagée'!$A$763=DY23,OR(COUNTIF('Eval-Avec act. écol. envisagée'!$N$763:$P$763,"*T*")&gt;0,EV11&lt;30)),AND('Eval-Avec act. écol. envisagée'!$A$764=DY23,OR(COUNTIF('Eval-Avec act. écol. envisagée'!$N$764:$P$764,"*T*")&gt;0,EV12&lt;30)),AND('Eval-Avec act. écol. envisagée'!$A$765=DY23,OR(COUNTIF('Eval-Avec act. écol. envisagée'!$N$765:$P$765,"*T*")&gt;0,EV13&lt;30)),AND('Eval-Avec act. écol. envisagée'!$A$766=DY23,OR(COUNTIF('Eval-Avec act. écol. envisagée'!$N$766:$P$766,"*T*")&gt;0,EV14&lt;30)),AND('Eval-Avec act. écol. envisagée'!$A$767=DY23,OR(COUNTIF('Eval-Avec act. écol. envisagée'!$N$767:$P$767,"*T*")&gt;0,EV15&lt;30)),AND('Eval-Avec act. écol. envisagée'!$A$768=DY23,OR(COUNTIF('Eval-Avec act. écol. envisagée'!$N$768:$P$768,"*T*")&gt;0,EV16&lt;30)),AND('Eval-Avec act. écol. envisagée'!$A$769=DY23,OR(COUNTIF('Eval-Avec act. écol. envisagée'!$N$769:$P$769,"*T*")&gt;0,EV17&lt;30)),AND('Eval-Avec act. écol. envisagée'!$A$770=DY23,OR(COUNTIF('Eval-Avec act. écol. envisagée'!$N$770:$P$770,"*T*")&gt;0,EV18&lt;30)),AND('Eval-Avec act. écol. envisagée'!$A$771=DY23,OR(COUNTIF('Eval-Avec act. écol. envisagée'!$N$771:$P$771,"*T*")&gt;0,EV19&lt;30)),AND('Eval-Avec act. écol. envisagée'!$A$772=DY23,OR(COUNTIF('Eval-Avec act. écol. envisagée'!$N$772:$P$772,"*T*")&gt;0,EV20&lt;30)),AND('Eval-Avec act. écol. envisagée'!$A$773=DY23,OR(COUNTIF('Eval-Avec act. écol. envisagée'!$N$773:$P$773,"*T*")&gt;0,EV21&lt;30)),AND('Eval-Avec act. écol. envisagée'!$A$774=DY23,OR(COUNTIF('Eval-Avec act. écol. envisagée'!$N$774:$P$774,"*T*")&gt;0,EV22&lt;30)),AND('Eval-Avec act. écol. envisagée'!$A$775=DY23,OR(COUNTIF('Eval-Avec act. écol. envisagée'!$N$775:$P$775,"*T*")&gt;0,EV23&lt;30)),AND('Eval-Avec act. écol. envisagée'!$A$776=DY23,OR(COUNTIF('Eval-Avec act. écol. envisagée'!$N$776:$P$776,"*T*")&gt;0,EV24&lt;30)),AND('Eval-Avec act. écol. envisagée'!$A$777=DY23,OR(COUNTIF('Eval-Avec act. écol. envisagée'!$N$777:$P$777,"*T*")&gt;0,EV25&lt;30)),AND('Eval-Avec act. écol. envisagée'!$A$778=DY23,OR(COUNTIF('Eval-Avec act. écol. envisagée'!$N$778:$P$778,"*T*")&gt;0,EV26&lt;30)),AND('Eval-Avec act. écol. envisagée'!$A$779=DY23,OR(COUNTIF('Eval-Avec act. écol. envisagée'!$N$779:$P$779,"*T*")&gt;0,EV27&lt;30)),AND('Eval-Avec act. écol. envisagée'!$A$780=DY23,OR(COUNTIF('Eval-Avec act. écol. envisagée'!$N$780:$P$780,"*T*")&gt;0,EV28&lt;30))),"",SUM(0.1*(SUMPRODUCT(('Eval-Avec act. écol. envisagée'!$A$761:$A$780=DY23)*('Eval-Avec act. écol. envisagée'!$N$761:$P$780="L"))),0.4*(SUMPRODUCT(('Eval-Avec act. écol. envisagée'!$A$761:$A$780=DY23)*('Eval-Avec act. écol. envisagée'!$N$761:$P$780="LA"))+SUMPRODUCT(('Eval-Avec act. écol. envisagée'!$A$761:$A$780=DY23)*('Eval-Avec act. écol. envisagée'!$N$761:$P$780="LS"))),0.7*(SUMPRODUCT(('Eval-Avec act. écol. envisagée'!$A$761:$A$780=DY23)*('Eval-Avec act. écol. envisagée'!$N$761:$P$780="AL"))+SUMPRODUCT(('Eval-Avec act. écol. envisagée'!$A$761:$A$780=DY23)*('Eval-Avec act. écol. envisagée'!$N$761:$P$780="SL"))),1*(SUMPRODUCT(('Eval-Avec act. écol. envisagée'!$A$761:$A$780=DY23)*('Eval-Avec act. écol. envisagée'!$N$761:$P$780="S"))+ SUMPRODUCT(('Eval-Avec act. écol. envisagée'!$A$761:$A$780=DY23)*('Eval-Avec act. écol. envisagée'!$N$761:$P$780="A"))))/(3*COUNTIF('Eval-Avec act. écol. envisagée'!$A$761:$A$780,DY23))),"")</f>
        <v/>
      </c>
      <c r="ER23" s="211" t="str">
        <f>IF(COUNTIF('Eval-Avec act. écol. envisagée'!$A$761:$A$780,DY23)&gt;0,IF(OR(AND('Eval-Avec act. écol. envisagée'!$A$761=DY23,OR(COUNTIF('Eval-Avec act. écol. envisagée'!$N$761:$P$761,"*T*")&gt;0,EV9&lt;30)),AND('Eval-Avec act. écol. envisagée'!$A$762=DY23,OR(COUNTIF('Eval-Avec act. écol. envisagée'!$N$762:$P$762,"*T*")&gt;0,EV10&lt;30)),AND('Eval-Avec act. écol. envisagée'!$A$763=DY23,OR(COUNTIF('Eval-Avec act. écol. envisagée'!$N$763:$P$763,"*T*")&gt;0,EV11&lt;30)),AND('Eval-Avec act. écol. envisagée'!$A$764=DY23,OR(COUNTIF('Eval-Avec act. écol. envisagée'!$N$764:$P$764,"*T*")&gt;0,EV12&lt;30)),AND('Eval-Avec act. écol. envisagée'!$A$765=DY23,OR(COUNTIF('Eval-Avec act. écol. envisagée'!$N$765:$P$765,"*T*")&gt;0,EV13&lt;30)),AND('Eval-Avec act. écol. envisagée'!$A$766=DY23,OR(COUNTIF('Eval-Avec act. écol. envisagée'!$N$766:$P$766,"*T*")&gt;0,EV14&lt;30)),AND('Eval-Avec act. écol. envisagée'!$A$767=DY23,OR(COUNTIF('Eval-Avec act. écol. envisagée'!$N$767:$P$767,"*T*")&gt;0,EV15&lt;30)),AND('Eval-Avec act. écol. envisagée'!$A$768=DY23,OR(COUNTIF('Eval-Avec act. écol. envisagée'!$N$768:$P$768,"*T*")&gt;0,EV16&lt;30)),AND('Eval-Avec act. écol. envisagée'!$A$769=DY23,OR(COUNTIF('Eval-Avec act. écol. envisagée'!$N$769:$P$769,"*T*")&gt;0,EV17&lt;30)),AND('Eval-Avec act. écol. envisagée'!$A$770=DY23,OR(COUNTIF('Eval-Avec act. écol. envisagée'!$N$770:$P$770,"*T*")&gt;0,EV18&lt;30)),AND('Eval-Avec act. écol. envisagée'!$A$771=DY23,OR(COUNTIF('Eval-Avec act. écol. envisagée'!$N$771:$P$771,"*T*")&gt;0,EV19&lt;30)),AND('Eval-Avec act. écol. envisagée'!$A$772=DY23,OR(COUNTIF('Eval-Avec act. écol. envisagée'!$N$772:$P$772,"*T*")&gt;0,EV20&lt;30)),AND('Eval-Avec act. écol. envisagée'!$A$773=DY23,OR(COUNTIF('Eval-Avec act. écol. envisagée'!$N$773:$P$773,"*T*")&gt;0,EV21&lt;30)),AND('Eval-Avec act. écol. envisagée'!$A$774=DY23,OR(COUNTIF('Eval-Avec act. écol. envisagée'!$N$774:$P$774,"*T*")&gt;0,EV22&lt;30)),AND('Eval-Avec act. écol. envisagée'!$A$775=DY23,OR(COUNTIF('Eval-Avec act. écol. envisagée'!$N$775:$P$775,"*T*")&gt;0,EV23&lt;30)),AND('Eval-Avec act. écol. envisagée'!$A$776=DY23,OR(COUNTIF('Eval-Avec act. écol. envisagée'!$N$776:$P$776,"*T*")&gt;0,EV24&lt;30)),AND('Eval-Avec act. écol. envisagée'!$A$777=DY23,OR(COUNTIF('Eval-Avec act. écol. envisagée'!$N$777:$P$777,"*T*")&gt;0,EV25&lt;30)),AND('Eval-Avec act. écol. envisagée'!$A$778=DY23,OR(COUNTIF('Eval-Avec act. écol. envisagée'!$N$778:$P$778,"*T*")&gt;0,EV26&lt;30)),AND('Eval-Avec act. écol. envisagée'!$A$779=DY23,OR(COUNTIF('Eval-Avec act. écol. envisagée'!$N$779:$P$779,"*T*")&gt;0,EV27&lt;30)),AND('Eval-Avec act. écol. envisagée'!$A$780=DY23,OR(COUNTIF('Eval-Avec act. écol. envisagée'!$N$780:$P$780,"*T*")&gt;0,EV28&lt;30))),"",SUM(1*(SUMPRODUCT(('Eval-Avec act. écol. envisagée'!$A$761:$A$780=DY23)*('Eval-Avec act. écol. envisagée'!$N$761:$P$780="A"))),0.85*(SUMPRODUCT(('Eval-Avec act. écol. envisagée'!$A$761:$A$780=DY23)*('Eval-Avec act. écol. envisagée'!$N$761:$P$780="AL"))),0.7*(SUMPRODUCT(('Eval-Avec act. écol. envisagée'!$A$761:$A$780=DY23)*('Eval-Avec act. écol. envisagée'!$N$761:$P$780="LA"))),0.55*(SUMPRODUCT(('Eval-Avec act. écol. envisagée'!$A$761:$A$780=DY23)*('Eval-Avec act. écol. envisagée'!$N$761:$P$780="L"))),0.4*(SUMPRODUCT(('Eval-Avec act. écol. envisagée'!$A$761:$A$780=DY23)*('Eval-Avec act. écol. envisagée'!$N$761:$P$780="LS"))),0.25*(SUMPRODUCT(('Eval-Avec act. écol. envisagée'!$A$761:$A$780=DY23)*('Eval-Avec act. écol. envisagée'!$N$761:$P$780="SL"))),0.1*(SUMPRODUCT(('Eval-Avec act. écol. envisagée'!$A$761:$A$780=DY23)*('Eval-Avec act. écol. envisagée'!$N$761:$P$780="S"))))/(3*COUNTIF('Eval-Avec act. écol. envisagée'!$A$761:$A$780,DY23))),"")</f>
        <v/>
      </c>
      <c r="ES23" s="214" t="str">
        <f>IF(COUNTIF('Eval-Avec act. écol. envisagée'!$A$761:$A$780,DY23)&gt;0,IF(OR(AND('Eval-Avec act. écol. envisagée'!$A$761=DY23,OR(COUNTIF('Eval-Avec act. écol. envisagée'!$Q$761:$Y$761,"*T*")&gt;0,EV9&lt;120)),AND('Eval-Avec act. écol. envisagée'!$A$762=DY23,OR(COUNTIF('Eval-Avec act. écol. envisagée'!$Q$762:$Y$762,"*T*")&gt;0,EV10&lt;120)),AND('Eval-Avec act. écol. envisagée'!$A$763=DY23,OR(COUNTIF('Eval-Avec act. écol. envisagée'!$Q$763:$Y$763,"*T*")&gt;0,EV11&lt;120)),AND('Eval-Avec act. écol. envisagée'!$A$764=DY23,OR(COUNTIF('Eval-Avec act. écol. envisagée'!$Q$764:$Y$764,"*T*")&gt;0,EV12&lt;120)),AND('Eval-Avec act. écol. envisagée'!$A$765=DY23,OR(COUNTIF('Eval-Avec act. écol. envisagée'!$Q$765:$Y$765,"*T*")&gt;0,EV13&lt;120)),AND('Eval-Avec act. écol. envisagée'!$A$766=DY23,OR(COUNTIF('Eval-Avec act. écol. envisagée'!$Q$766:$Y$766,"*T*")&gt;0,EV14&lt;120)),AND('Eval-Avec act. écol. envisagée'!$A$767=DY23,OR(COUNTIF('Eval-Avec act. écol. envisagée'!$Q$767:$Y$767,"*T*")&gt;0,EV15&lt;120)),AND('Eval-Avec act. écol. envisagée'!$A$768=DY23,OR(COUNTIF('Eval-Avec act. écol. envisagée'!$Q$768:$Y$768,"*T*")&gt;0,EV16&lt;120)),AND('Eval-Avec act. écol. envisagée'!$A$769=DY23,OR(COUNTIF('Eval-Avec act. écol. envisagée'!$Q$769:$Y$769,"*T*")&gt;0,EV17&lt;120)),AND('Eval-Avec act. écol. envisagée'!$A$770=DY23,OR(COUNTIF('Eval-Avec act. écol. envisagée'!$Q$770:$Y$770,"*T*")&gt;0,EV18&lt;120)),AND('Eval-Avec act. écol. envisagée'!$A$771=DY23,OR(COUNTIF('Eval-Avec act. écol. envisagée'!$Q$771:$Y$771,"*T*")&gt;0,EV19&lt;120)),AND('Eval-Avec act. écol. envisagée'!$A$772=DY23,OR(COUNTIF('Eval-Avec act. écol. envisagée'!$Q$772:$Y$772,"*T*")&gt;0,EV20&lt;120)),AND('Eval-Avec act. écol. envisagée'!$A$773=DY23,OR(COUNTIF('Eval-Avec act. écol. envisagée'!$Q$773:$Y$773,"*T*")&gt;0,EV21&lt;120)),AND('Eval-Avec act. écol. envisagée'!$A$774=DY23,OR(COUNTIF('Eval-Avec act. écol. envisagée'!$Q$774:$Y$774,"*T*")&gt;0,EV22&lt;120)),AND('Eval-Avec act. écol. envisagée'!$A$775=DY23,OR(COUNTIF('Eval-Avec act. écol. envisagée'!$Q$775:$Y$775,"*T*")&gt;0,EV23&lt;120)),AND('Eval-Avec act. écol. envisagée'!$A$776=DY23,OR(COUNTIF('Eval-Avec act. écol. envisagée'!$Q$776:$Y$776,"*T*")&gt;0,EV24&lt;120)),AND('Eval-Avec act. écol. envisagée'!$A$777=DY23,OR(COUNTIF('Eval-Avec act. écol. envisagée'!$Q$777:$Y$777,"*T*")&gt;0,EV25&lt;120)),AND('Eval-Avec act. écol. envisagée'!$A$778=DY23,OR(COUNTIF('Eval-Avec act. écol. envisagée'!$Q$778:$Y$778,"*T*")&gt;0,EV26&lt;120)),AND('Eval-Avec act. écol. envisagée'!$A$779=DY23,OR(COUNTIF('Eval-Avec act. écol. envisagée'!$Q$779:$Y$779,"*T*")&gt;0,EV27&lt;120)),AND('Eval-Avec act. écol. envisagée'!$A$780=DY23,OR(COUNTIF('Eval-Avec act. écol. envisagée'!$Q$780:$Y$780,"*T*")&gt;0,EV28&lt;120))),"",SUM(1*(SUMPRODUCT(('Eval-Avec act. écol. envisagée'!$A$761:$A$780=DY23)*('Eval-Avec act. écol. envisagée'!$Q$761:$Y$780="A"))),0.85*(SUMPRODUCT(('Eval-Avec act. écol. envisagée'!$A$761:$A$780=DY23)*('Eval-Avec act. écol. envisagée'!$Q$761:$Y$780="AL"))),0.7*(SUMPRODUCT(('Eval-Avec act. écol. envisagée'!$A$761:$A$780=DY23)*('Eval-Avec act. écol. envisagée'!$Q$761:$Y$780="LA"))),0.55*(SUMPRODUCT(('Eval-Avec act. écol. envisagée'!$A$761:$A$780=DY23)*('Eval-Avec act. écol. envisagée'!$Q$761:$Y$780="L"))),0.4*(SUMPRODUCT(('Eval-Avec act. écol. envisagée'!$A$761:$A$780=DY23)*('Eval-Avec act. écol. envisagée'!$Q$761:$Y$780="LS"))),0.25*(SUMPRODUCT(('Eval-Avec act. écol. envisagée'!$A$761:$A$780=DY23)*('Eval-Avec act. écol. envisagée'!$Q$761:$Y$780="SL"))),0.1*(SUMPRODUCT(('Eval-Avec act. écol. envisagée'!$A$761:$A$780=DY23)*('Eval-Avec act. écol. envisagée'!$Q$761:$Y$780="S"))))/(9*COUNTIF('Eval-Avec act. écol. envisagée'!$A$761:$A$780,DY23))),"")</f>
        <v/>
      </c>
      <c r="ET23" s="215"/>
      <c r="EU23" s="216">
        <f>'Eval-Avec act. écol. envisagée'!$D$775</f>
        <v>15</v>
      </c>
      <c r="EV23" s="217" t="str">
        <f>IF(EW23="C",0,IF(IF(COUNTIF('Eval-Avec act. écol. envisagée'!$N$775:$Y$775,"=C")&gt;0,(COUNTA('Eval-Avec act. écol. envisagée'!$N$775:$Y$775)-1)*10,COUNTA('Eval-Avec act. écol. envisagée'!$N$775:$Y$775)*10)=0,"",IF(COUNTIF('Eval-Avec act. écol. envisagée'!$N$775:$Y$775,"=C")&gt;0,(COUNTA('Eval-Avec act. écol. envisagée'!$N$775:$Y$775)-1)*10,COUNTA('Eval-Avec act. écol. envisagée'!$N$775:$Y$775)*10)))</f>
        <v/>
      </c>
      <c r="EW23" s="217" t="str">
        <f>CONCATENATE('Eval-Avec act. écol. envisagée'!$N$775,'Eval-Avec act. écol. envisagée'!$O$775,'Eval-Avec act. écol. envisagée'!$P$775,'Eval-Avec act. écol. envisagée'!$Q$775,'Eval-Avec act. écol. envisagée'!$R$775,'Eval-Avec act. écol. envisagée'!$S$775,'Eval-Avec act. écol. envisagée'!$T$775,'Eval-Avec act. écol. envisagée'!$U$775,'Eval-Avec act. écol. envisagée'!$V$775,'Eval-Avec act. écol. envisagée'!$W$775,'Eval-Avec act. écol. envisagée'!$X$775,'Eval-Avec act. écol. envisagée'!$Y$775)</f>
        <v/>
      </c>
      <c r="EX23" s="217" t="str">
        <f t="shared" si="16"/>
        <v/>
      </c>
      <c r="EY23" s="217" t="str">
        <f t="shared" si="17"/>
        <v/>
      </c>
      <c r="EZ23" s="217" t="str">
        <f>IF(COUNTIF('Eval-Avec act. écol. envisagée'!$N$775:$Y$775,"=C")&gt;0,"X","")</f>
        <v/>
      </c>
      <c r="FA23" s="217" t="str">
        <f t="shared" si="18"/>
        <v/>
      </c>
      <c r="FB23" s="218" t="str">
        <f t="shared" si="19"/>
        <v/>
      </c>
      <c r="FC23" s="197"/>
      <c r="FE23" s="210">
        <v>15</v>
      </c>
      <c r="FF23" s="211" t="str">
        <f>IF(COUNTIF('Eval-Après action écologique'!$A$761:$A$780,FE23)&gt;0,SUM(IF('Eval-Après action écologique'!$A$761=FE23,'Eval-Après action écologique'!$B$761,0),IF('Eval-Après action écologique'!$A$762=FE23, 'Eval-Après action écologique'!$B$762,0),IF('Eval-Après action écologique'!$A$763=FE23, 'Eval-Après action écologique'!$B$763,0),IF('Eval-Après action écologique'!$A$764=FE23, 'Eval-Après action écologique'!$B$764,0),IF('Eval-Après action écologique'!$A$765=FE23, 'Eval-Après action écologique'!$B$765,0),IF('Eval-Après action écologique'!$A$766=FE23, 'Eval-Après action écologique'!$B$766,0),IF('Eval-Après action écologique'!$A$767=FE23, 'Eval-Après action écologique'!$B$767,0),IF('Eval-Après action écologique'!$A$768=FE23, 'Eval-Après action écologique'!$B$768,0),IF('Eval-Après action écologique'!$A$769=FE23, 'Eval-Après action écologique'!$B$769,0),IF('Eval-Après action écologique'!$A$770=FE23, 'Eval-Après action écologique'!$B$770,0),IF('Eval-Après action écologique'!$A$771=FE23, 'Eval-Après action écologique'!$B$771,0),IF('Eval-Après action écologique'!$A$772=FE23, 'Eval-Après action écologique'!$B$772,0),IF('Eval-Après action écologique'!$A$773=FE23, 'Eval-Après action écologique'!$B$773,0),IF('Eval-Après action écologique'!$A$774=FE23, 'Eval-Après action écologique'!$B$774,0),IF('Eval-Après action écologique'!$A$775=FE23, 'Eval-Après action écologique'!$B$775,0),IF('Eval-Après action écologique'!$A$776=FE23, 'Eval-Après action écologique'!$B$776,0),IF('Eval-Après action écologique'!$A$777=FE23, 'Eval-Après action écologique'!$B$777,0),IF('Eval-Après action écologique'!$A$778=FE23, 'Eval-Après action écologique'!$B$778,0),IF('Eval-Après action écologique'!$A$779=FE23, 'Eval-Après action écologique'!$B$779,0),IF('Eval-Après action écologique'!$A$780=FE23, 'Eval-Après action écologique'!$B$780,0))/COUNTIF('Eval-Après action écologique'!$A$761:$A$780,FE23),"")</f>
        <v/>
      </c>
      <c r="FG23" s="212" t="str">
        <f>IF(COUNTIF('Eval-Après action écologique'!$A$761:$A$780,FE23)&gt;0,COUNTIF('Eval-Après action écologique'!$A$761:$A$780,FE23),"")</f>
        <v/>
      </c>
      <c r="FH23" s="211" t="str">
        <f>IF(COUNTIF('Eval-Après action écologique'!$A$761:$A$780,FE23)&gt;0,IF(OR(AND('Eval-Après action écologique'!$A$761=FE23, 'Eval-Après action écologique'!$G$761=""),AND('Eval-Après action écologique'!$A$762=FE23, 'Eval-Après action écologique'!$G$762=""),AND('Eval-Après action écologique'!$A$763=FE23, 'Eval-Après action écologique'!$G$763=""),AND('Eval-Après action écologique'!$A$764=FE23, 'Eval-Après action écologique'!$G$764=""),AND('Eval-Après action écologique'!$A$765=FE23, 'Eval-Après action écologique'!$G$765=""),AND('Eval-Après action écologique'!$A$766=FE23, 'Eval-Après action écologique'!$G$766=""),AND('Eval-Après action écologique'!$A$767=FE23, 'Eval-Après action écologique'!$G$767=""),AND('Eval-Après action écologique'!$A$768=FE23, 'Eval-Après action écologique'!$G$768=""),AND('Eval-Après action écologique'!$A$769=FE23, 'Eval-Après action écologique'!$G$769=""),AND('Eval-Après action écologique'!$A$770=FE23, 'Eval-Après action écologique'!$G$770=""),AND('Eval-Après action écologique'!$A$771=FE23, 'Eval-Après action écologique'!$G$771=""),AND('Eval-Après action écologique'!$A$772=FE23, 'Eval-Après action écologique'!$G$772=""),AND('Eval-Après action écologique'!$A$773=FE23, 'Eval-Après action écologique'!$G$773=""),AND('Eval-Après action écologique'!$A$774=FE23, 'Eval-Après action écologique'!$G$774=""),AND('Eval-Après action écologique'!$A$775=FE23, 'Eval-Après action écologique'!$G$775=""),AND('Eval-Après action écologique'!$A$776=FE23, 'Eval-Après action écologique'!$G$776=""),AND('Eval-Après action écologique'!$A$777=FE23, 'Eval-Après action écologique'!$G$777=""),AND('Eval-Après action écologique'!$A$778=FE23, 'Eval-Après action écologique'!$G$778=""),AND('Eval-Après action écologique'!$A$779=FE23, 'Eval-Après action écologique'!$G$779=""),AND('Eval-Après action écologique'!$A$780=FE23, 'Eval-Après action écologique'!$G$780="")),"",SUM(IF('Eval-Après action écologique'!$A$761=FE23,'Eval-Après action écologique'!$G$761,0),IF('Eval-Après action écologique'!$A$762=FE23,'Eval-Après action écologique'!$G$762,0),IF('Eval-Après action écologique'!$A$763=FE23,'Eval-Après action écologique'!$G$763,0),IF('Eval-Après action écologique'!$A$764=FE23,'Eval-Après action écologique'!$G$764,0),IF('Eval-Après action écologique'!$A$765=FE23,'Eval-Après action écologique'!$G$765,0),IF('Eval-Après action écologique'!$A$766=FE23,'Eval-Après action écologique'!$G$766,0),IF('Eval-Après action écologique'!$A$767=FE23,'Eval-Après action écologique'!$G$767,0),IF('Eval-Après action écologique'!$A$768=FE23,'Eval-Après action écologique'!$G$768,0),IF('Eval-Après action écologique'!$A$769=FE23,'Eval-Après action écologique'!$G$769,0),IF('Eval-Après action écologique'!$A$770=FE23,'Eval-Après action écologique'!$G$770,0),IF('Eval-Après action écologique'!$A$771=FE23,'Eval-Après action écologique'!$G$771,0),IF('Eval-Après action écologique'!$A$772=FE23,'Eval-Après action écologique'!$G$772,0),IF('Eval-Après action écologique'!$A$773=FE23,'Eval-Après action écologique'!$G$773,0),IF('Eval-Après action écologique'!$A$774=FE23,'Eval-Après action écologique'!$G$774,0),IF('Eval-Après action écologique'!$A$775=FE23,'Eval-Après action écologique'!$G$775,0), IF('Eval-Après action écologique'!$A$776=FE23,'Eval-Après action écologique'!$G$776,0), IF('Eval-Après action écologique'!$A$777=FE23,'Eval-Après action écologique'!$G$777,0), IF('Eval-Après action écologique'!$A$778=FE23,'Eval-Après action écologique'!$G$778,0), IF('Eval-Après action écologique'!$A$779=FE23,'Eval-Après action écologique'!$G$779,0), IF('Eval-Après action écologique'!$A$780=FE23,'Eval-Après action écologique'!$G$780,0))/ COUNTIF('Eval-Après action écologique'!$A$761:$A$780,FE23)),"")</f>
        <v/>
      </c>
      <c r="FI23" s="212" t="str">
        <f>IF(COUNTIF('Eval-Après action écologique'!$A$761:$A$780,FE23)&gt;0,IF(SUM(IF('Eval-Après action écologique'!$A$761=FE23,COUNTA('Eval-Après action écologique'!$H$761),0),IF('Eval-Après action écologique'!$A$762=FE23,COUNTA('Eval-Après action écologique'!$H$762),0),IF('Eval-Après action écologique'!$A$763=FE23,COUNTA('Eval-Après action écologique'!$H$763),0),IF('Eval-Après action écologique'!$A$764=FE23,COUNTA('Eval-Après action écologique'!$H$764),0),IF('Eval-Après action écologique'!$A$765=FE23,COUNTA('Eval-Après action écologique'!$H$765),0),IF('Eval-Après action écologique'!$A$766=FE23,COUNTA('Eval-Après action écologique'!$H$766),0),IF('Eval-Après action écologique'!$A$767=FE23,COUNTA('Eval-Après action écologique'!$H$767),0),IF('Eval-Après action écologique'!$A$768=FE23,COUNTA('Eval-Après action écologique'!$H$768),0),IF('Eval-Après action écologique'!$A$769=FE23,COUNTA('Eval-Après action écologique'!$H$769),0),IF('Eval-Après action écologique'!$A$770=FE23,COUNTA('Eval-Après action écologique'!$H$770),0),IF('Eval-Après action écologique'!$A$771=FE23,COUNTA('Eval-Après action écologique'!$H$771),0),IF('Eval-Après action écologique'!$A$772=FE23,COUNTA('Eval-Après action écologique'!$H$772),0),IF('Eval-Après action écologique'!$A$773=FE23,COUNTA('Eval-Après action écologique'!$H$773),0),IF('Eval-Après action écologique'!$A$774=FE23,COUNTA('Eval-Après action écologique'!$H$774),0),IF('Eval-Après action écologique'!$A$775=FE23,COUNTA('Eval-Après action écologique'!$H$775),0),IF('Eval-Après action écologique'!$A$776=FE23,COUNTA('Eval-Après action écologique'!$H$776),0),IF('Eval-Après action écologique'!$A$777=FE23,COUNTA('Eval-Après action écologique'!$H$777),0),IF('Eval-Après action écologique'!$A$778=FE23,COUNTA('Eval-Après action écologique'!$H$778),0),IF('Eval-Après action écologique'!$A$779=FE23,COUNTA('Eval-Après action écologique'!$H$779),0),IF('Eval-Après action écologique'!$A$780=FE23,COUNTA('Eval-Après action écologique'!$H$780),0))&gt;0,"X",0),"")</f>
        <v/>
      </c>
      <c r="FJ23" s="213" t="str">
        <f>IF(COUNTIF('Eval-Après action écologique'!$A$761:$A$780,FE23)&gt;0,IF(SUM(IF('Eval-Après action écologique'!$A$761=FE23,COUNTA('Eval-Après action écologique'!$I$761),0),IF('Eval-Après action écologique'!$A$762=FE23,COUNTA('Eval-Après action écologique'!$I$762),0),IF('Eval-Après action écologique'!$A$763=FE23,COUNTA('Eval-Après action écologique'!$I$763),0),IF('Eval-Après action écologique'!$A$764=FE23,COUNTA('Eval-Après action écologique'!$I$764),0),IF('Eval-Après action écologique'!$A$765=FE23,COUNTA('Eval-Après action écologique'!$I$765),0),IF('Eval-Après action écologique'!$A$766=FE23,COUNTA('Eval-Après action écologique'!$I$766),0),IF('Eval-Après action écologique'!$A$767=FE23,COUNTA('Eval-Après action écologique'!$I$767),0),IF('Eval-Après action écologique'!$A$768=FE23,COUNTA('Eval-Après action écologique'!$I$768),0),IF('Eval-Après action écologique'!$A$769=FE23,COUNTA('Eval-Après action écologique'!$I$769),0),IF('Eval-Après action écologique'!$A$770=FE23,COUNTA('Eval-Après action écologique'!$I$770),0),IF('Eval-Après action écologique'!$A$771=FE23,COUNTA('Eval-Après action écologique'!$I$771),0),IF('Eval-Après action écologique'!$A$772=FE23,COUNTA('Eval-Après action écologique'!$I$772),0),IF('Eval-Après action écologique'!$A$773=FE23,COUNTA('Eval-Après action écologique'!$I$773),0),IF('Eval-Après action écologique'!$A$774=FE23,COUNTA('Eval-Après action écologique'!$I$774),0),IF('Eval-Après action écologique'!$A$775=FE23,COUNTA('Eval-Après action écologique'!$I$775),0),IF('Eval-Après action écologique'!$A$776=FE23,COUNTA('Eval-Après action écologique'!$I$776),0),IF('Eval-Après action écologique'!$A$777=FE23,COUNTA('Eval-Après action écologique'!$I$777),0),IF('Eval-Après action écologique'!$A$778=FE23,COUNTA('Eval-Après action écologique'!$I$778),0),IF('Eval-Après action écologique'!$A$779=FE23,COUNTA('Eval-Après action écologique'!$I$779),0),IF('Eval-Après action écologique'!$A$780=FE23,COUNTA('Eval-Après action écologique'!$I$780),0))&gt;0,"X",0),"")</f>
        <v/>
      </c>
      <c r="FK23" s="213" t="str">
        <f>IF(COUNTIF('Eval-Après action écologique'!$A$761:$A$780,FE23)&gt;0,IF(SUM(IF('Eval-Après action écologique'!$A$761=FE23,COUNTA('Eval-Après action écologique'!$J$761),0),IF('Eval-Après action écologique'!$A$762=FE23,COUNTA('Eval-Après action écologique'!$J$762),0),IF('Eval-Après action écologique'!$A$763=FE23,COUNTA('Eval-Après action écologique'!$J$763),0),IF('Eval-Après action écologique'!$A$764=FE23,COUNTA('Eval-Après action écologique'!$J$764),0),IF('Eval-Après action écologique'!$A$765=FE23,COUNTA('Eval-Après action écologique'!$J$765),0),IF('Eval-Après action écologique'!$A$766=FE23,COUNTA('Eval-Après action écologique'!$J$766),0),IF('Eval-Après action écologique'!$A$767=FE23,COUNTA('Eval-Après action écologique'!$J$767),0),IF('Eval-Après action écologique'!$A$768=FE23,COUNTA('Eval-Après action écologique'!$J$768),0),IF('Eval-Après action écologique'!$A$769=FE23,COUNTA('Eval-Après action écologique'!$J$769),0),IF('Eval-Après action écologique'!$A$770=FE23,COUNTA('Eval-Après action écologique'!$J$770),0),IF('Eval-Après action écologique'!$A$771=FE23,COUNTA('Eval-Après action écologique'!$J$771),0),IF('Eval-Après action écologique'!$A$772=FE23,COUNTA('Eval-Après action écologique'!$J$772),0),IF('Eval-Après action écologique'!$A$773=FE23,COUNTA('Eval-Après action écologique'!$J$773),0),IF('Eval-Après action écologique'!$A$774=FE23,COUNTA('Eval-Après action écologique'!$J$774),0),IF('Eval-Après action écologique'!$A$775=FE23,COUNTA('Eval-Après action écologique'!$J$775),0),IF('Eval-Après action écologique'!$A$776=FE23,COUNTA('Eval-Après action écologique'!$J$776),0),IF('Eval-Après action écologique'!$A$777=FE23,COUNTA('Eval-Après action écologique'!$J$777),0),IF('Eval-Après action écologique'!$A$778=FE23,COUNTA('Eval-Après action écologique'!$J$778),0),IF('Eval-Après action écologique'!$A$779=FE23,COUNTA('Eval-Après action écologique'!$J$779),0),IF('Eval-Après action écologique'!$A$780=FE23,COUNTA('Eval-Après action écologique'!$J$780),0))&gt;0,"X",0),"")</f>
        <v/>
      </c>
      <c r="FL23" s="213" t="str">
        <f>IF(COUNTIF('Eval-Après action écologique'!$A$761:$A$780,FE23)&gt;0,IF(SUM(IF('Eval-Après action écologique'!$A$761=FE23,COUNTA('Eval-Après action écologique'!$K$761),0),IF('Eval-Après action écologique'!$A$762=FE23,COUNTA('Eval-Après action écologique'!$K$762),0),IF('Eval-Après action écologique'!$A$763=FE23,COUNTA('Eval-Après action écologique'!$K$763),0),IF('Eval-Après action écologique'!$A$764=FE23,COUNTA('Eval-Après action écologique'!$K$764),0),IF('Eval-Après action écologique'!$A$765=FE23,COUNTA('Eval-Après action écologique'!$K$765),0),IF('Eval-Après action écologique'!$A$766=FE23,COUNTA('Eval-Après action écologique'!$K$766),0),IF('Eval-Après action écologique'!$A$767=FE23,COUNTA('Eval-Après action écologique'!$K$767),0),IF('Eval-Après action écologique'!$A$768=FE23,COUNTA('Eval-Après action écologique'!$K$768),0),IF('Eval-Après action écologique'!$A$769=FE23,COUNTA('Eval-Après action écologique'!$K$769),0),IF('Eval-Après action écologique'!$A$770=FE23,COUNTA('Eval-Après action écologique'!$K$770),0),IF('Eval-Après action écologique'!$A$771=FE23,COUNTA('Eval-Après action écologique'!$K$771),0),IF('Eval-Après action écologique'!$A$772=FE23,COUNTA('Eval-Après action écologique'!$K$772),0),IF('Eval-Après action écologique'!$A$773=FE23,COUNTA('Eval-Après action écologique'!$K$773),0),IF('Eval-Après action écologique'!$A$774=FE23,COUNTA('Eval-Après action écologique'!$K$774),0),IF('Eval-Après action écologique'!$A$775=FE23,COUNTA('Eval-Après action écologique'!$K$775),0),IF('Eval-Après action écologique'!$A$776=FE23,COUNTA('Eval-Après action écologique'!$K$776),0),IF('Eval-Après action écologique'!$A$777=FE23,COUNTA('Eval-Après action écologique'!$K$777),0),IF('Eval-Après action écologique'!$A$778=FE23,COUNTA('Eval-Après action écologique'!$K$778),0),IF('Eval-Après action écologique'!$A$779=FE23,COUNTA('Eval-Après action écologique'!$K$779),0),IF('Eval-Après action écologique'!$A$780=FE23,COUNTA('Eval-Après action écologique'!$K$780),0))&gt;0,"X",0),"")</f>
        <v/>
      </c>
      <c r="FM23" s="211" t="str">
        <f>IF(COUNTIF('Eval-Après action écologique'!$A$761:$A$780,FE23)&gt;0,IF(OR(AND('Eval-Après action écologique'!$A$761=FE23,'Eval-Après action écologique'!$L$761&lt;120,'Eval-Après action écologique'!$L$761&gt;=GB9),AND('Eval-Après action écologique'!$A$762=FE23,'Eval-Après action écologique'!$L$762&lt;120,'Eval-Après action écologique'!$L$762&gt;=GB10),AND('Eval-Après action écologique'!$A$763=FE23,'Eval-Après action écologique'!$L$763&lt;120,'Eval-Après action écologique'!$L$763&gt;=GB11),AND('Eval-Après action écologique'!$A$764=FE23,'Eval-Après action écologique'!$L$764&lt;120,'Eval-Après action écologique'!$L$764&gt;=GB12),AND('Eval-Après action écologique'!$A$765=FE23,'Eval-Après action écologique'!$L$765&lt;120,'Eval-Après action écologique'!$L$765&gt;=GB13),AND('Eval-Après action écologique'!$A$766=FE23,'Eval-Après action écologique'!$L$766&lt;120,'Eval-Après action écologique'!$L$766&gt;=GB14),AND('Eval-Après action écologique'!$A$767=FE23,'Eval-Après action écologique'!$L$767&lt;120,'Eval-Après action écologique'!$L$767&gt;=GB15),AND('Eval-Après action écologique'!$A$768=FE23,'Eval-Après action écologique'!$L$768&lt;120,'Eval-Après action écologique'!$L$768&gt;=GB16),AND('Eval-Après action écologique'!$A$769=FE23,'Eval-Après action écologique'!$L$769&lt;120,'Eval-Après action écologique'!$L$769&gt;=GB17),AND('Eval-Après action écologique'!$A$770=FE23,'Eval-Après action écologique'!$L$770&lt;120,'Eval-Après action écologique'!$L$770&gt;=GB18),AND('Eval-Après action écologique'!$A$771=FE23,'Eval-Après action écologique'!$L$771&lt;120,'Eval-Après action écologique'!$L$771&gt;=GB19),AND('Eval-Après action écologique'!$A$772=FE23,'Eval-Après action écologique'!$L$772&lt;120,'Eval-Après action écologique'!$L$772&gt;=GB20),AND('Eval-Après action écologique'!$A$773=FE23,'Eval-Après action écologique'!$L$773&lt;120,'Eval-Après action écologique'!$L$773&gt;=GB21),AND('Eval-Après action écologique'!$A$774=FE23,'Eval-Après action écologique'!$L$774&lt;120,'Eval-Après action écologique'!$L$774&gt;=GB22),AND('Eval-Après action écologique'!$A$775=FE23,'Eval-Après action écologique'!$L$775&lt;120,'Eval-Après action écologique'!$L$775&gt;=GB23),AND('Eval-Après action écologique'!$A$776=FE23,'Eval-Après action écologique'!$L$776&lt;120,'Eval-Après action écologique'!$L$776&gt;=GB24),AND('Eval-Après action écologique'!$A$777=FE23,'Eval-Après action écologique'!$L$777&lt;120,'Eval-Après action écologique'!$L$777&gt;=GB25),AND('Eval-Après action écologique'!$A$778=FE23,'Eval-Après action écologique'!$L$778&lt;120,'Eval-Après action écologique'!$L$778&gt;=GB26),AND('Eval-Après action écologique'!$A$779=FE23,'Eval-Après action écologique'!$L$779&lt;120,'Eval-Après action écologique'!$L$779&gt;=GB27),AND('Eval-Après action écologique'!$A$780=FE23,'Eval-Après action écologique'!$L$780&lt;120,'Eval-Après action écologique'!$L$780&gt;=GB28)),"",SUM(IF('Eval-Après action écologique'!$A$761=FE23,'Eval-Après action écologique'!$L$761,0),IF('Eval-Après action écologique'!$A$762=FE23,'Eval-Après action écologique'!$L$762,0),IF('Eval-Après action écologique'!$A$763=FE23,'Eval-Après action écologique'!$L$763,0),IF('Eval-Après action écologique'!$A$764=FE23,'Eval-Après action écologique'!$L$764,0),IF('Eval-Après action écologique'!$A$765=FE23,'Eval-Après action écologique'!$L$765,0),IF('Eval-Après action écologique'!$A$766=FE23,'Eval-Après action écologique'!$L$766,0),IF('Eval-Après action écologique'!$A$767=FE23,'Eval-Après action écologique'!$L$767,0),IF('Eval-Après action écologique'!$A$768=FE23,'Eval-Après action écologique'!$L$768,0),IF('Eval-Après action écologique'!$A$769=FE23,'Eval-Après action écologique'!$L$769,0),IF('Eval-Après action écologique'!$A$770=FE23,'Eval-Après action écologique'!$L$770,0),IF('Eval-Après action écologique'!$A$771=FE23,'Eval-Après action écologique'!$L$771,0),IF('Eval-Après action écologique'!$A$772=FE23,'Eval-Après action écologique'!$L$772,0),IF('Eval-Après action écologique'!$A$773=FE23,'Eval-Après action écologique'!$L$773,0),IF('Eval-Après action écologique'!$A$774=FE23,'Eval-Après action écologique'!$L$774,0),IF('Eval-Après action écologique'!$A$775=FE23,'Eval-Après action écologique'!$L$775,0),IF('Eval-Après action écologique'!$A$776=FE23,'Eval-Après action écologique'!$L$776,0),IF('Eval-Après action écologique'!$A$777=FE23,'Eval-Après action écologique'!$L$777,0),IF('Eval-Après action écologique'!$A$778=FE23,'Eval-Après action écologique'!$L$778,0),IF('Eval-Après action écologique'!$A$779=FE23,'Eval-Après action écologique'!$L$779,0),IF('Eval-Après action écologique'!$A$780=FE23,'Eval-Après action écologique'!$L$780,0))/ COUNTIF('Eval-Après action écologique'!$A$761:$A$780,FE23)),"")</f>
        <v/>
      </c>
      <c r="FN23" s="211" t="str">
        <f>IF(COUNTIF('Eval-Après action écologique'!$A$761:$A$780,FE23)&gt;0,IF(OR(AND('Eval-Après action écologique'!$A$761=FE23, GB9&lt;120),AND(GB10&lt;120),AND(GB11&lt;120),AND(GB12&lt;120),AND(GB13&lt;120),AND(GB14&lt;120),AND(GB15&lt;120),AND(GB16&lt;120),AND(GB17&lt;120),AND(GB18&lt;120),AND(GB19&lt;120),AND(GB20&lt;120),AND(GB21&lt;120),AND(GB22&lt;120),AND(GB23&lt;120),AND(GB24&lt;120),AND(GB25&lt;120),AND(GB26&lt;120),AND(GB27&lt;120),AND(GB28&lt;120)),"",SUM(IF('Eval-Après action écologique'!$A$761=FE23,'Eval-Après action écologique'!$M$761,0),IF('Eval-Après action écologique'!$A$762=FE23,'Eval-Après action écologique'!$M$762,0),IF('Eval-Après action écologique'!$A$763=FE23,'Eval-Après action écologique'!$M$763,0),IF('Eval-Après action écologique'!$A$764=FE23,'Eval-Après action écologique'!$M$764,0),IF('Eval-Après action écologique'!$A$765=FE23,'Eval-Après action écologique'!$M$765,0),IF('Eval-Après action écologique'!$A$766=FE23,'Eval-Après action écologique'!$M$766,0),IF('Eval-Après action écologique'!$A$767=FE23,'Eval-Après action écologique'!$M$767,0),IF('Eval-Après action écologique'!$A$768=FE23,'Eval-Après action écologique'!$M$768,0),IF('Eval-Après action écologique'!$A$769=FE23,'Eval-Après action écologique'!$M$769,0),IF('Eval-Après action écologique'!$A$770=FE23,'Eval-Après action écologique'!$M$770,0),IF('Eval-Après action écologique'!$A$771=FE23,'Eval-Après action écologique'!$M$771,0),IF('Eval-Après action écologique'!$A$772=FE23,'Eval-Après action écologique'!$M$772,0),IF('Eval-Après action écologique'!$A$773=FE23,'Eval-Après action écologique'!$M$773,0),IF('Eval-Après action écologique'!$A$774=FE23,'Eval-Après action écologique'!$M$774,0),IF('Eval-Après action écologique'!$A$775=FE23,'Eval-Après action écologique'!$M$775,0), IF('Eval-Après action écologique'!$A$776=FE23,'Eval-Après action écologique'!$M$776,0), IF('Eval-Après action écologique'!$A$777=FE23,'Eval-Après action écologique'!$M$777,0), IF('Eval-Après action écologique'!$A$778=FE23,'Eval-Après action écologique'!$M$778,0), IF('Eval-Après action écologique'!$A$779=FE23,'Eval-Après action écologique'!$M$779,0), IF('Eval-Après action écologique'!$A$780=FE23,'Eval-Après action écologique'!$M$780,0))/COUNTIF('Eval-Après action écologique'!$A$761:$A$780,FE23)),"")</f>
        <v/>
      </c>
      <c r="FO23" s="211" t="str">
        <f>IF(COUNTIF('Eval-Après action écologique'!$A$761:$A$780,FE23)&gt;0,SUM(IF('Eval-Après action écologique'!$A$761=FE23,LEN(SUBSTITUTE((SUBSTITUTE(GD9,"TM","")),"TS",""))*10/2,0),IF('Eval-Après action écologique'!$A$762=FE23,LEN(SUBSTITUTE((SUBSTITUTE(GD10,"TM","")),"TS",""))*10/2,0),IF('Eval-Après action écologique'!$A$763=FE23,LEN(SUBSTITUTE((SUBSTITUTE(GD11,"TM","")),"TS",""))*10/2,0),IF('Eval-Après action écologique'!$A$764=FE23,LEN(SUBSTITUTE((SUBSTITUTE(GD12,"TM","")),"TS",""))*10/2,0),IF('Eval-Après action écologique'!$A$765=FE23,LEN(SUBSTITUTE((SUBSTITUTE(GD13,"TM","")),"TS",""))*10/2,0),IF('Eval-Après action écologique'!$A$766=FE23,LEN(SUBSTITUTE((SUBSTITUTE(GD14,"TM","")),"TS",""))*10/2,0),IF('Eval-Après action écologique'!$A$767=FE23,LEN(SUBSTITUTE((SUBSTITUTE(GD15,"TM","")),"TS",""))*10/2,0),IF('Eval-Après action écologique'!$A$768=FE23,LEN(SUBSTITUTE((SUBSTITUTE(GD16,"TM","")),"TS",""))*10/2,0),IF('Eval-Après action écologique'!$A$769=FE23,LEN(SUBSTITUTE((SUBSTITUTE(GD17,"TM","")),"TS",""))*10/2,0),IF('Eval-Après action écologique'!$A$770=FE23,LEN(SUBSTITUTE((SUBSTITUTE(GD18,"TM","")),"TS",""))*10/2,0),IF('Eval-Après action écologique'!$A$771=FE23,LEN(SUBSTITUTE((SUBSTITUTE(GD19,"TM","")),"TS",""))*10/2,0),IF('Eval-Après action écologique'!$A$772=FE23,LEN(SUBSTITUTE((SUBSTITUTE(GD20,"TM","")),"TS",""))*10/2,0),IF('Eval-Après action écologique'!$A$773=FE23,LEN(SUBSTITUTE((SUBSTITUTE(GD21,"TM","")),"TS",""))*10/2,0),IF('Eval-Après action écologique'!$A$774=FE23,LEN(SUBSTITUTE((SUBSTITUTE(GD22,"TM","")),"TS",""))*10/2,0),IF('Eval-Après action écologique'!$A$775=FE23,LEN(SUBSTITUTE((SUBSTITUTE(GD23,"TM","")),"TS",""))*10/2,0),IF('Eval-Après action écologique'!$A$776=FE23,LEN(SUBSTITUTE((SUBSTITUTE(GD24,"TM","")),"TS",""))*10/2,0),IF('Eval-Après action écologique'!$A$777=FE23,LEN(SUBSTITUTE((SUBSTITUTE(GD25,"TM","")),"TS",""))*10/2,0),IF('Eval-Après action écologique'!$A$778=FE23,LEN(SUBSTITUTE((SUBSTITUTE(GD26,"TM","")),"TS",""))*10/2,0),IF('Eval-Après action écologique'!$A$779=FE23,LEN(SUBSTITUTE((SUBSTITUTE(GD27,"TM","")),"TS",""))*10/2,0),IF('Eval-Après action écologique'!$A$780=FE23,LEN(SUBSTITUTE((SUBSTITUTE(GD28,"TM","")),"TS",""))*10/2,0))/COUNTIF('Eval-Après action écologique'!$A$761:$A$780,FE23),"")</f>
        <v/>
      </c>
      <c r="FP23" s="211" t="str">
        <f>IF(COUNTIF('Eval-Après action écologique'!$A$761:$A$780,FE23)&gt;0,SUM(IF('Eval-Après action écologique'!$A$761=FE23,LEN(SUBSTITUTE((SUBSTITUTE(GD9,"TF","")),"TS",""))*10/2,0),IF('Eval-Après action écologique'!$A$762=FE23,LEN(SUBSTITUTE((SUBSTITUTE(GD10,"TF","")),"TS",""))*10/2,0),IF('Eval-Après action écologique'!$A$763=FE23,LEN(SUBSTITUTE((SUBSTITUTE(GD11,"TF","")),"TS",""))*10/2,0),IF('Eval-Après action écologique'!$A$764=FE23,LEN(SUBSTITUTE((SUBSTITUTE(GD12,"TF","")),"TS",""))*10/2,0),IF('Eval-Après action écologique'!$A$765=FE23,LEN(SUBSTITUTE((SUBSTITUTE(GD13,"TF","")),"TS",""))*10/2,0),IF('Eval-Après action écologique'!$A$766=FE23,LEN(SUBSTITUTE((SUBSTITUTE(GD14,"TF","")),"TS",""))*10/2,0),IF('Eval-Après action écologique'!$A$767=FE23,LEN(SUBSTITUTE((SUBSTITUTE(GD15,"TF","")),"TS",""))*10/2,0),IF('Eval-Après action écologique'!$A$768=FE23,LEN(SUBSTITUTE((SUBSTITUTE(GD16,"TF","")),"TS",""))*10/2,0),IF('Eval-Après action écologique'!$A$769=FE23,LEN(SUBSTITUTE((SUBSTITUTE(GD17,"TF","")),"TS",""))*10/2,0),IF('Eval-Après action écologique'!$A$770=FE23,LEN(SUBSTITUTE((SUBSTITUTE(GD18,"TF","")),"TS",""))*10/2,0),IF('Eval-Après action écologique'!$A$771=FE23,LEN(SUBSTITUTE((SUBSTITUTE(GD19,"TF","")),"TS",""))*10/2,0),IF('Eval-Après action écologique'!$A$772=FE23,LEN(SUBSTITUTE((SUBSTITUTE(GD20,"TF","")),"TS",""))*10/2,0),IF('Eval-Après action écologique'!$A$773=FE23,LEN(SUBSTITUTE((SUBSTITUTE(GD21,"TF","")),"TS",""))*10/2,0),IF('Eval-Après action écologique'!$A$774=FE23,LEN(SUBSTITUTE((SUBSTITUTE(GD22,"TF","")),"TS",""))*10/2,0),IF('Eval-Après action écologique'!$A$775=FE23,LEN(SUBSTITUTE((SUBSTITUTE(GD23,"TF","")),"TS",""))*10/2,0),IF('Eval-Après action écologique'!$A$776=FE23,LEN(SUBSTITUTE((SUBSTITUTE(GD24,"TF","")),"TS",""))*10/2,0),IF('Eval-Après action écologique'!$A$777=FE23,LEN(SUBSTITUTE((SUBSTITUTE(GD25,"TF","")),"TS",""))*10/2,0),IF('Eval-Après action écologique'!$A$778=FE23,LEN(SUBSTITUTE((SUBSTITUTE(GD26,"TF","")),"TS",""))*10/2,0),IF('Eval-Après action écologique'!$A$779=FE23,LEN(SUBSTITUTE((SUBSTITUTE(GD27,"TF","")),"TS",""))*10/2,0),IF('Eval-Après action écologique'!$A$780=FE23,LEN(SUBSTITUTE((SUBSTITUTE(GD28,"TF","")),"TS",""))*10/2,0))/COUNTIF('Eval-Après action écologique'!$A$761:$A$780,FE23),"")</f>
        <v/>
      </c>
      <c r="FQ23" s="211" t="str">
        <f>IF(COUNTIF('Eval-Après action écologique'!$A$761:$A$780,FE23)&gt;0,SUM(IF('Eval-Après action écologique'!$A$761=FE23,LEN(SUBSTITUTE((SUBSTITUTE(GD9,"TF","")),"TM",""))*10/2,0),IF('Eval-Après action écologique'!$A$762=FE23,LEN(SUBSTITUTE((SUBSTITUTE(GD10,"TF","")),"TM",""))*10/2,0),IF('Eval-Après action écologique'!$A$763=FE23,LEN(SUBSTITUTE((SUBSTITUTE(GD11,"TF","")),"TM",""))*10/2,0),IF('Eval-Après action écologique'!$A$764=FE23,LEN(SUBSTITUTE((SUBSTITUTE(GD12,"TF","")),"TM",""))*10/2,0),IF('Eval-Après action écologique'!$A$765=FE23,LEN(SUBSTITUTE((SUBSTITUTE(GD13,"TF","")),"TM",""))*10/2,0),IF('Eval-Après action écologique'!$A$766=FE23,LEN(SUBSTITUTE((SUBSTITUTE(GD14,"TF","")),"TM",""))*10/2,0),IF('Eval-Après action écologique'!$A$767=FE23,LEN(SUBSTITUTE((SUBSTITUTE(GD15,"TF","")),"TM",""))*10/2,0),IF('Eval-Après action écologique'!$A$768=FE23,LEN(SUBSTITUTE((SUBSTITUTE(GD16,"TF","")),"TM",""))*10/2,0),IF('Eval-Après action écologique'!$A$769=FE23,LEN(SUBSTITUTE((SUBSTITUTE(GD17,"TF","")),"TM",""))*10/2,0),IF('Eval-Après action écologique'!$A$770=FE23,LEN(SUBSTITUTE((SUBSTITUTE(GD18,"TF","")),"TM",""))*10/2,0),IF('Eval-Après action écologique'!$A$771=FE23,LEN(SUBSTITUTE((SUBSTITUTE(GD19,"TF","")),"TM",""))*10/2,0),IF('Eval-Après action écologique'!$A$772=FE23,LEN(SUBSTITUTE((SUBSTITUTE(GD20,"TF","")),"TM",""))*10/2,0),IF('Eval-Après action écologique'!$A$773=FE23,LEN(SUBSTITUTE((SUBSTITUTE(GD21,"TF","")),"TM",""))*10/2,0),IF('Eval-Après action écologique'!$A$774=FE23,LEN(SUBSTITUTE((SUBSTITUTE(GD22,"TF","")),"TM",""))*10/2,0),IF('Eval-Après action écologique'!$A$775=FE23,LEN(SUBSTITUTE((SUBSTITUTE(GD23,"TF","")),"TM",""))*10/2,0),IF('Eval-Après action écologique'!$A$776=FE23,LEN(SUBSTITUTE((SUBSTITUTE(GD24,"TF","")),"TM",""))*10/2,0),IF('Eval-Après action écologique'!$A$777=FE23,LEN(SUBSTITUTE((SUBSTITUTE(GD25,"TF","")),"TM",""))*10/2,0),IF('Eval-Après action écologique'!$A$778=FE23,LEN(SUBSTITUTE((SUBSTITUTE(GD26,"TF","")),"TM",""))*10/2,0),IF('Eval-Après action écologique'!$A$779=FE23,LEN(SUBSTITUTE((SUBSTITUTE(GD27,"TF","")),"TM",""))*10/2,0),IF('Eval-Après action écologique'!$A$780=FE23,LEN(SUBSTITUTE((SUBSTITUTE(GD28,"TF","")),"TM",""))*10/2,0))/COUNTIF('Eval-Après action écologique'!$A$761:$A$780,FE23),"")</f>
        <v/>
      </c>
      <c r="FR23" s="211" t="str">
        <f>IF(COUNTIF('Eval-Après action écologique'!$A$761:$A$780,FE23)&gt;0,SUM(IF('Eval-Après action écologique'!$A$761=FE23,LEN(SUBSTITUTE((SUBSTITUTE(GE9,"TM","")),"TS",""))*10/2,0),IF('Eval-Après action écologique'!$A$762=FE23,LEN(SUBSTITUTE((SUBSTITUTE(GE10,"TM","")),"TS",""))*10/2,0),IF('Eval-Après action écologique'!$A$763=FE23,LEN(SUBSTITUTE((SUBSTITUTE(GE11,"TM","")),"TS",""))*10/2,0),IF('Eval-Après action écologique'!$A$764=FE23,LEN(SUBSTITUTE((SUBSTITUTE(GE12,"TM","")),"TS",""))*10/2,0),IF('Eval-Après action écologique'!$A$765=FE23,LEN(SUBSTITUTE((SUBSTITUTE(GE13,"TM","")),"TS",""))*10/2,0),IF('Eval-Après action écologique'!$A$766=FE23,LEN(SUBSTITUTE((SUBSTITUTE(GE14,"TM","")),"TS",""))*10/2,0),IF('Eval-Après action écologique'!$A$767=FE23,LEN(SUBSTITUTE((SUBSTITUTE(GE15,"TM","")),"TS",""))*10/2,0),IF('Eval-Après action écologique'!$A$768=FE23,LEN(SUBSTITUTE((SUBSTITUTE(GE16,"TM","")),"TS",""))*10/2,0),IF('Eval-Après action écologique'!$A$769=FE23,LEN(SUBSTITUTE((SUBSTITUTE(GE17,"TM","")),"TS",""))*10/2,0),IF('Eval-Après action écologique'!$A$770=FE23,LEN(SUBSTITUTE((SUBSTITUTE(GE18,"TM","")),"TS",""))*10/2,0),IF('Eval-Après action écologique'!$A$771=FE23,LEN(SUBSTITUTE((SUBSTITUTE(GE19,"TM","")),"TS",""))*10/2,0),IF('Eval-Après action écologique'!$A$772=FE23,LEN(SUBSTITUTE((SUBSTITUTE(GE20,"TM","")),"TS",""))*10/2,0),IF('Eval-Après action écologique'!$A$773=FE23,LEN(SUBSTITUTE((SUBSTITUTE(GE21,"TM","")),"TS",""))*10/2,0),IF('Eval-Après action écologique'!$A$774=FE23,LEN(SUBSTITUTE((SUBSTITUTE(GE22,"TM","")),"TS",""))*10/2,0),IF('Eval-Après action écologique'!$A$775=FE23,LEN(SUBSTITUTE((SUBSTITUTE(GE23,"TM","")),"TS",""))*10/2,0),IF('Eval-Après action écologique'!$A$776=FE23,LEN(SUBSTITUTE((SUBSTITUTE(GE24,"TM","")),"TS",""))*10/2,0),IF('Eval-Après action écologique'!$A$777=FE23,LEN(SUBSTITUTE((SUBSTITUTE(GE25,"TM","")),"TS",""))*10/2,0),IF('Eval-Après action écologique'!$A$778=FE23,LEN(SUBSTITUTE((SUBSTITUTE(GE26,"TM","")),"TS",""))*10/2,0),IF('Eval-Après action écologique'!$A$779=FE23,LEN(SUBSTITUTE((SUBSTITUTE(GE27,"TM","")),"TS",""))*10/2,0),IF('Eval-Après action écologique'!$A$780=FE23,LEN(SUBSTITUTE((SUBSTITUTE(GE28,"TM","")),"TS",""))*10/2,0))/COUNTIF('Eval-Après action écologique'!$A$761:$A$780,FE23),"")</f>
        <v/>
      </c>
      <c r="FS23" s="211" t="str">
        <f>IF(COUNTIF('Eval-Après action écologique'!$A$761:$A$780,FE23)&gt;0,SUM(IF('Eval-Après action écologique'!$A$761=FE23,LEN(SUBSTITUTE((SUBSTITUTE(GE9,"TF","")),"TS",""))*10/2,0),IF('Eval-Après action écologique'!$A$762=FE23,LEN(SUBSTITUTE((SUBSTITUTE(GE10,"TF","")),"TS",""))*10/2,0),IF('Eval-Après action écologique'!$A$763=FE23,LEN(SUBSTITUTE((SUBSTITUTE(GE11,"TF","")),"TS",""))*10/2,0),IF('Eval-Après action écologique'!$A$764=FE23,LEN(SUBSTITUTE((SUBSTITUTE(GE12,"TF","")),"TS",""))*10/2,0),IF('Eval-Après action écologique'!$A$765=FE23,LEN(SUBSTITUTE((SUBSTITUTE(GE13,"TF","")),"TS",""))*10/2,0),IF('Eval-Après action écologique'!$A$766=FE23,LEN(SUBSTITUTE((SUBSTITUTE(GE14,"TF","")),"TS",""))*10/2,0),IF('Eval-Après action écologique'!$A$767=FE23,LEN(SUBSTITUTE((SUBSTITUTE(GE15,"TF","")),"TS",""))*10/2,0),IF('Eval-Après action écologique'!$A$768=FE23,LEN(SUBSTITUTE((SUBSTITUTE(GE16,"TF","")),"TS",""))*10/2,0),IF('Eval-Après action écologique'!$A$769=FE23,LEN(SUBSTITUTE((SUBSTITUTE(GE17,"TF","")),"TS",""))*10/2,0),IF('Eval-Après action écologique'!$A$770=FE23,LEN(SUBSTITUTE((SUBSTITUTE(GE18,"TF","")),"TS",""))*10/2,0),IF('Eval-Après action écologique'!$A$771=FE23,LEN(SUBSTITUTE((SUBSTITUTE(GE19,"TF","")),"TS",""))*10/2,0),IF('Eval-Après action écologique'!$A$772=FE23,LEN(SUBSTITUTE((SUBSTITUTE(GE20,"TF","")),"TS",""))*10/2,0),IF('Eval-Après action écologique'!$A$773=FE23,LEN(SUBSTITUTE((SUBSTITUTE(GE21,"TF","")),"TS",""))*10/2,0),IF('Eval-Après action écologique'!$A$774=FE23,LEN(SUBSTITUTE((SUBSTITUTE(GE22,"TF","")),"TS",""))*10/2,0),IF('Eval-Après action écologique'!$A$775=FE23,LEN(SUBSTITUTE((SUBSTITUTE(GE23,"TF","")),"TS",""))*10/2,0),IF('Eval-Après action écologique'!$A$776=FE23,LEN(SUBSTITUTE((SUBSTITUTE(GE24,"TF","")),"TS",""))*10/2,0),IF('Eval-Après action écologique'!$A$777=FE23,LEN(SUBSTITUTE((SUBSTITUTE(GE25,"TF","")),"TS",""))*10/2,0),IF('Eval-Après action écologique'!$A$778=FE23,LEN(SUBSTITUTE((SUBSTITUTE(GE26,"TF","")),"TS",""))*10/2,0),IF('Eval-Après action écologique'!$A$779=FE23,LEN(SUBSTITUTE((SUBSTITUTE(GE27,"TF","")),"TS",""))*10/2,0),IF('Eval-Après action écologique'!$A$780=FE23,LEN(SUBSTITUTE((SUBSTITUTE(GE28,"TF","")),"TS",""))*10/2,0))/COUNTIF('Eval-Après action écologique'!$A$761:$A$780,FE23),"")</f>
        <v/>
      </c>
      <c r="FT23" s="211" t="str">
        <f>IF(COUNTIF('Eval-Après action écologique'!$A$761:$A$780,FE23)&gt;0,SUM(IF('Eval-Après action écologique'!$A$761=FE23,LEN(SUBSTITUTE((SUBSTITUTE(GE9,"TF","")),"TM",""))*10/2,0),IF('Eval-Après action écologique'!$A$762=FE23,LEN(SUBSTITUTE((SUBSTITUTE(GE10,"TF","")),"TM",""))*10/2,0),IF('Eval-Après action écologique'!$A$763=FE23,LEN(SUBSTITUTE((SUBSTITUTE(GE11,"TF","")),"TM",""))*10/2,0),IF('Eval-Après action écologique'!$A$764=FE23,LEN(SUBSTITUTE((SUBSTITUTE(GE12,"TF","")),"TM",""))*10/2,0),IF('Eval-Après action écologique'!$A$765=FE23,LEN(SUBSTITUTE((SUBSTITUTE(GE13,"TF","")),"TM",""))*10/2,0),IF('Eval-Après action écologique'!$A$766=FE23,LEN(SUBSTITUTE((SUBSTITUTE(GE14,"TF","")),"TM",""))*10/2,0),IF('Eval-Après action écologique'!$A$767=FE23,LEN(SUBSTITUTE((SUBSTITUTE(GE15,"TF","")),"TM",""))*10/2,0),IF('Eval-Après action écologique'!$A$768=FE23,LEN(SUBSTITUTE((SUBSTITUTE(GE16,"TF","")),"TM",""))*10/2,0),IF('Eval-Après action écologique'!$A$769=FE23,LEN(SUBSTITUTE((SUBSTITUTE(GE17,"TF","")),"TM",""))*10/2,0),IF('Eval-Après action écologique'!$A$770=FE23,LEN(SUBSTITUTE((SUBSTITUTE(GE18,"TF","")),"TM",""))*10/2,0),IF('Eval-Après action écologique'!$A$771=FE23,LEN(SUBSTITUTE((SUBSTITUTE(GE19,"TF","")),"TM",""))*10/2,0),IF('Eval-Après action écologique'!$A$772=FE23,LEN(SUBSTITUTE((SUBSTITUTE(GE20,"TF","")),"TM",""))*10/2,0),IF('Eval-Après action écologique'!$A$773=FE23,LEN(SUBSTITUTE((SUBSTITUTE(GE21,"TF","")),"TM",""))*10/2,0),IF('Eval-Après action écologique'!$A$774=FE23,LEN(SUBSTITUTE((SUBSTITUTE(GE22,"TF","")),"TM",""))*10/2,0),IF('Eval-Après action écologique'!$A$775=FE23,LEN(SUBSTITUTE((SUBSTITUTE(GE23,"TF","")),"TM",""))*10/2,0),IF('Eval-Après action écologique'!$A$776=FE23,LEN(SUBSTITUTE((SUBSTITUTE(GE24,"TF","")),"TM",""))*10/2,0),IF('Eval-Après action écologique'!$A$777=FE23,LEN(SUBSTITUTE((SUBSTITUTE(GE25,"TF","")),"TM",""))*10/2,0),IF('Eval-Après action écologique'!$A$778=FE23,LEN(SUBSTITUTE((SUBSTITUTE(GE26,"TF","")),"TM",""))*10/2,0),IF('Eval-Après action écologique'!$A$779=FE23,LEN(SUBSTITUTE((SUBSTITUTE(GE27,"TF","")),"TM",""))*10/2,0),IF('Eval-Après action écologique'!$A$780=FE23,LEN(SUBSTITUTE((SUBSTITUTE(GE28,"TF","")),"TM",""))*10/2,0))/COUNTIF('Eval-Après action écologique'!$A$761:$A$780,FE23),"")</f>
        <v/>
      </c>
      <c r="FU23" s="211" t="str">
        <f>IF(COUNTIF('Eval-Après action écologique'!$A$761:$A$780,FE23)&gt;0,IF(OR(AND('Eval-Après action écologique'!$A$761=FE23,GB9&lt;30),AND('Eval-Après action écologique'!$A$762=FE23,GB10&lt;30),AND('Eval-Après action écologique'!$A$763=FE23,GB11&lt;30),AND('Eval-Après action écologique'!$A$764=FE23,GB12&lt;30),AND('Eval-Après action écologique'!$A$765=FE23,GB13&lt;30),AND('Eval-Après action écologique'!$A$766=FE23,GB14&lt;30),AND('Eval-Après action écologique'!$A$767=FE23,GB15&lt;30),AND('Eval-Après action écologique'!$A$768=FE23,GB16&lt;30),AND('Eval-Après action écologique'!$A$769=FE23,GB17&lt;30),AND('Eval-Après action écologique'!$A$770=FE23,GB18&lt;30),AND('Eval-Après action écologique'!$A$771=FE23,GB19&lt;30),AND('Eval-Après action écologique'!$A$772=FE23,GB20&lt;30),AND('Eval-Après action écologique'!$A$773=FE23,GB21&lt;30),AND('Eval-Après action écologique'!$A$774=FE23,GB22&lt;30),AND('Eval-Après action écologique'!$A$775=FE23,GB23&lt;30),AND('Eval-Après action écologique'!$A$776=FE23,GB24&lt;30),AND('Eval-Après action écologique'!$A$777=FE23,GB25&lt;30),AND('Eval-Après action écologique'!$A$778=FE23,GB26&lt;30),AND('Eval-Après action écologique'!$A$779=FE23,GB27&lt;30),AND('Eval-Après action écologique'!$A$780=FE23,GB28&lt;30)),"",SUM(0.1*(SUMPRODUCT(('Eval-Après action écologique'!$A$761:$A$780=FE23)*('Eval-Après action écologique'!$N$761:$P$780="A"))+ SUMPRODUCT(('Eval-Après action écologique'!$A$761:$A$780=FE23)*('Eval-Après action écologique'!$N$761:$P$780="AL"))),0.7*(SUMPRODUCT(('Eval-Après action écologique'!$A$761:$A$780=FE23)*('Eval-Après action écologique'!$N$761:$P$780="TF"))+SUMPRODUCT(('Eval-Après action écologique'!$A$761:$A$780=FE23)*('Eval-Après action écologique'!$N$761:$P$780="TM"))+SUMPRODUCT(('Eval-Après action écologique'!$A$761:$A$780=FE23)*('Eval-Après action écologique'!$N$761:$P$780="TS"))),0.4*(SUMPRODUCT(('Eval-Après action écologique'!$A$761:$A$780=FE23)*('Eval-Après action écologique'!$N$761:$P$780="LA"))+SUMPRODUCT(('Eval-Après action écologique'!$A$761:$A$780=FE23)*('Eval-Après action écologique'!$N$761:$P$780="L"))+SUMPRODUCT(('Eval-Après action écologique'!$A$761:$A$780=FE23)*('Eval-Après action écologique'!$N$761:$P$780="LS"))),1*(SUMPRODUCT(('Eval-Après action écologique'!$A$761:$A$780=FE23)*('Eval-Après action écologique'!$N$761:$P$780="SL"))+ SUMPRODUCT(('Eval-Après action écologique'!$A$761:$A$780=FE23)*('Eval-Après action écologique'!$N$761:$P$780="S"))))/(3*COUNTIF('Eval-Après action écologique'!$A$761:$A$780,FE23))),"")</f>
        <v/>
      </c>
      <c r="FV23" s="211" t="str">
        <f>IF(COUNTIF('Eval-Après action écologique'!$A$761:$A$780,FE23)&gt;0,IF(OR(AND('Eval-Après action écologique'!$A$761=FE23,GB9&lt;120),AND('Eval-Après action écologique'!$A$762=FE23,GB10&lt;120),AND('Eval-Après action écologique'!$A$763=FE23,GB11&lt;120),AND('Eval-Après action écologique'!$A$764=FE23,GB12&lt;120),AND('Eval-Après action écologique'!$A$765=FE23,GB13&lt;120),AND('Eval-Après action écologique'!$A$766=FE23,GB14&lt;120),AND('Eval-Après action écologique'!$A$767=FE23,GB15&lt;120),AND('Eval-Après action écologique'!$A$768=FE23,GB16&lt;120),AND('Eval-Après action écologique'!$A$769=FE23,GB17&lt;120),AND('Eval-Après action écologique'!$A$770=FE23,GB18&lt;120),AND('Eval-Après action écologique'!$A$771=FE23,GB19&lt;120),AND('Eval-Après action écologique'!$A$772=FE23,GB20&lt;120),AND('Eval-Après action écologique'!$A$773=FE23,GB21&lt;120),AND('Eval-Après action écologique'!$A$774=FE23,GB22&lt;120),AND('Eval-Après action écologique'!$A$775=FE23,GB23&lt;120),AND('Eval-Après action écologique'!$A$776=FE23,GB24&lt;120),AND('Eval-Après action écologique'!$A$777=FE23,GB25&lt;120),AND('Eval-Après action écologique'!$A$778=FE23,GB26&lt;120),AND('Eval-Après action écologique'!$A$779=FE23,GB27&lt;120),AND('Eval-Après action écologique'!$A$780=FE23,GB28&lt;120)),"",SUM(0.1*(SUMPRODUCT(('Eval-Après action écologique'!$A$761:$A$780=FE23)*('Eval-Après action écologique'!$Q$761:$Y$780="A"))+ SUMPRODUCT(('Eval-Après action écologique'!$A$761:$A$780=FE23)*('Eval-Après action écologique'!$Q$761:$Y$780="AL"))),0.7*(SUMPRODUCT(('Eval-Après action écologique'!$A$761:$A$780=FE23)*('Eval-Après action écologique'!$Q$761:$Y$780="TF"))+SUMPRODUCT(('Eval-Après action écologique'!$A$761:$A$780=FE23)*('Eval-Après action écologique'!$Q$761:$Y$780="TM"))+SUMPRODUCT(('Eval-Après action écologique'!$A$761:$A$780=FE23)*('Eval-Après action écologique'!$Q$761:$Y$780="TS"))),0.4*(SUMPRODUCT(('Eval-Après action écologique'!$A$761:$A$780=FE23)*('Eval-Après action écologique'!$Q$761:$Y$780="LA"))+SUMPRODUCT(('Eval-Après action écologique'!$A$761:$A$780=FE23)*('Eval-Après action écologique'!$Q$761:$Y$780="L"))+SUMPRODUCT(('Eval-Après action écologique'!$A$761:$A$780=FE23)*('Eval-Après action écologique'!$Q$761:$Y$780="LS"))),1*(SUMPRODUCT(('Eval-Après action écologique'!$A$761:$A$780=FE23)*('Eval-Après action écologique'!$Q$761:$Y$780="SL"))+ SUMPRODUCT(('Eval-Après action écologique'!$A$761:$A$780=FE23)*('Eval-Après action écologique'!$Q$761:$Y$780="S"))))/(9*COUNTIF('Eval-Après action écologique'!$A$761:$A$780,FE23))),"")</f>
        <v/>
      </c>
      <c r="FW23" s="211" t="str">
        <f>IF(COUNTIF('Eval-Après action écologique'!$A$761:$A$780,FE23)&gt;0,IF(OR(AND('Eval-Après action écologique'!$A$761=FE23,OR(COUNTIF('Eval-Après action écologique'!$N$761:$P$761,"*T*")&gt;0,GB9&lt;30)),AND('Eval-Après action écologique'!$A$762=FE23,OR(COUNTIF('Eval-Après action écologique'!$N$762:$P$762,"*T*")&gt;0,GB10&lt;30)),AND('Eval-Après action écologique'!$A$763=FE23,OR(COUNTIF('Eval-Après action écologique'!$N$763:$P$763,"*T*")&gt;0,GB11&lt;30)),AND('Eval-Après action écologique'!$A$764=FE23,OR(COUNTIF('Eval-Après action écologique'!$N$764:$P$764,"*T*")&gt;0,GB12&lt;30)),AND('Eval-Après action écologique'!$A$765=FE23,OR(COUNTIF('Eval-Après action écologique'!$N$765:$P$765,"*T*")&gt;0,GB13&lt;30)),AND('Eval-Après action écologique'!$A$766=FE23,OR(COUNTIF('Eval-Après action écologique'!$N$766:$P$766,"*T*")&gt;0,GB14&lt;30)),AND('Eval-Après action écologique'!$A$767=FE23,OR(COUNTIF('Eval-Après action écologique'!$N$767:$P$767,"*T*")&gt;0,GB15&lt;30)),AND('Eval-Après action écologique'!$A$768=FE23,OR(COUNTIF('Eval-Après action écologique'!$N$768:$P$768,"*T*")&gt;0,GB16&lt;30)),AND('Eval-Après action écologique'!$A$769=FE23,OR(COUNTIF('Eval-Après action écologique'!$N$769:$P$769,"*T*")&gt;0,GB17&lt;30)),AND('Eval-Après action écologique'!$A$770=FE23,OR(COUNTIF('Eval-Après action écologique'!$N$770:$P$770,"*T*")&gt;0,GB18&lt;30)),AND('Eval-Après action écologique'!$A$771=FE23,OR(COUNTIF('Eval-Après action écologique'!$N$771:$P$771,"*T*")&gt;0,GB19&lt;30)),AND('Eval-Après action écologique'!$A$772=FE23,OR(COUNTIF('Eval-Après action écologique'!$N$772:$P$772,"*T*")&gt;0,GB20&lt;30)),AND('Eval-Après action écologique'!$A$773=FE23,OR(COUNTIF('Eval-Après action écologique'!$N$773:$P$773,"*T*")&gt;0,GB21&lt;30)),AND('Eval-Après action écologique'!$A$774=FE23,OR(COUNTIF('Eval-Après action écologique'!$N$774:$P$774,"*T*")&gt;0,GB22&lt;30)),AND('Eval-Après action écologique'!$A$775=FE23,OR(COUNTIF('Eval-Après action écologique'!$N$775:$P$775,"*T*")&gt;0,GB23&lt;30)),AND('Eval-Après action écologique'!$A$776=FE23,OR(COUNTIF('Eval-Après action écologique'!$N$776:$P$776,"*T*")&gt;0,GB24&lt;30)),AND('Eval-Après action écologique'!$A$777=FE23,OR(COUNTIF('Eval-Après action écologique'!$N$777:$P$777,"*T*")&gt;0,GB25&lt;30)),AND('Eval-Après action écologique'!$A$778=FE23,OR(COUNTIF('Eval-Après action écologique'!$N$778:$P$778,"*T*")&gt;0,GB26&lt;30)),AND('Eval-Après action écologique'!$A$779=FE23,OR(COUNTIF('Eval-Après action écologique'!$N$779:$P$779,"*T*")&gt;0,GB27&lt;30)),AND('Eval-Après action écologique'!$A$780=FE23,OR(COUNTIF('Eval-Après action écologique'!$N$780:$P$780,"*T*")&gt;0,GB28&lt;30))),"",SUM(0.1*(SUMPRODUCT(('Eval-Après action écologique'!$A$761:$A$780=FE23)*('Eval-Après action écologique'!$N$761:$P$780="L"))),0.4*(SUMPRODUCT(('Eval-Après action écologique'!$A$761:$A$780=FE23)*('Eval-Après action écologique'!$N$761:$P$780="LA"))+SUMPRODUCT(('Eval-Après action écologique'!$A$761:$A$780=FE23)*('Eval-Après action écologique'!$N$761:$P$780="LS"))),0.7*(SUMPRODUCT(('Eval-Après action écologique'!$A$761:$A$780=FE23)*('Eval-Après action écologique'!$N$761:$P$780="AL"))+SUMPRODUCT(('Eval-Après action écologique'!$A$761:$A$780=FE23)*('Eval-Après action écologique'!$N$761:$P$780="SL"))),1*(SUMPRODUCT(('Eval-Après action écologique'!$A$761:$A$780=FE23)*('Eval-Après action écologique'!$N$761:$P$780="S"))+ SUMPRODUCT(('Eval-Après action écologique'!$A$761:$A$780=FE23)*('Eval-Après action écologique'!$N$761:$P$780="A"))))/(3*COUNTIF('Eval-Après action écologique'!$A$761:$A$780,FE23))),"")</f>
        <v/>
      </c>
      <c r="FX23" s="211" t="str">
        <f>IF(COUNTIF('Eval-Après action écologique'!$A$761:$A$780,FE23)&gt;0,IF(OR(AND('Eval-Après action écologique'!$A$761=FE23,OR(COUNTIF('Eval-Après action écologique'!$N$761:$P$761,"*T*")&gt;0,GB9&lt;30)),AND('Eval-Après action écologique'!$A$762=FE23,OR(COUNTIF('Eval-Après action écologique'!$N$762:$P$762,"*T*")&gt;0,GB10&lt;30)),AND('Eval-Après action écologique'!$A$763=FE23,OR(COUNTIF('Eval-Après action écologique'!$N$763:$P$763,"*T*")&gt;0,GB11&lt;30)),AND('Eval-Après action écologique'!$A$764=FE23,OR(COUNTIF('Eval-Après action écologique'!$N$764:$P$764,"*T*")&gt;0,GB12&lt;30)),AND('Eval-Après action écologique'!$A$765=FE23,OR(COUNTIF('Eval-Après action écologique'!$N$765:$P$765,"*T*")&gt;0,GB13&lt;30)),AND('Eval-Après action écologique'!$A$766=FE23,OR(COUNTIF('Eval-Après action écologique'!$N$766:$P$766,"*T*")&gt;0,GB14&lt;30)),AND('Eval-Après action écologique'!$A$767=FE23,OR(COUNTIF('Eval-Après action écologique'!$N$767:$P$767,"*T*")&gt;0,GB15&lt;30)),AND('Eval-Après action écologique'!$A$768=FE23,OR(COUNTIF('Eval-Après action écologique'!$N$768:$P$768,"*T*")&gt;0,GB16&lt;30)),AND('Eval-Après action écologique'!$A$769=FE23,OR(COUNTIF('Eval-Après action écologique'!$N$769:$P$769,"*T*")&gt;0,GB17&lt;30)),AND('Eval-Après action écologique'!$A$770=FE23,OR(COUNTIF('Eval-Après action écologique'!$N$770:$P$770,"*T*")&gt;0,GB18&lt;30)),AND('Eval-Après action écologique'!$A$771=FE23,OR(COUNTIF('Eval-Après action écologique'!$N$771:$P$771,"*T*")&gt;0,GB19&lt;30)),AND('Eval-Après action écologique'!$A$772=FE23,OR(COUNTIF('Eval-Après action écologique'!$N$772:$P$772,"*T*")&gt;0,GB20&lt;30)),AND('Eval-Après action écologique'!$A$773=FE23,OR(COUNTIF('Eval-Après action écologique'!$N$773:$P$773,"*T*")&gt;0,GB21&lt;30)),AND('Eval-Après action écologique'!$A$774=FE23,OR(COUNTIF('Eval-Après action écologique'!$N$774:$P$774,"*T*")&gt;0,GB22&lt;30)),AND('Eval-Après action écologique'!$A$775=FE23,OR(COUNTIF('Eval-Après action écologique'!$N$775:$P$775,"*T*")&gt;0,GB23&lt;30)),AND('Eval-Après action écologique'!$A$776=FE23,OR(COUNTIF('Eval-Après action écologique'!$N$776:$P$776,"*T*")&gt;0,GB24&lt;30)),AND('Eval-Après action écologique'!$A$777=FE23,OR(COUNTIF('Eval-Après action écologique'!$N$777:$P$777,"*T*")&gt;0,GB25&lt;30)),AND('Eval-Après action écologique'!$A$778=FE23,OR(COUNTIF('Eval-Après action écologique'!$N$778:$P$778,"*T*")&gt;0,GB26&lt;30)),AND('Eval-Après action écologique'!$A$779=FE23,OR(COUNTIF('Eval-Après action écologique'!$N$779:$P$779,"*T*")&gt;0,GB27&lt;30)),AND('Eval-Après action écologique'!$A$780=FE23,OR(COUNTIF('Eval-Après action écologique'!$N$780:$P$780,"*T*")&gt;0,GB28&lt;30))),"",SUM(1*(SUMPRODUCT(('Eval-Après action écologique'!$A$761:$A$780=FE23)*('Eval-Après action écologique'!$N$761:$P$780="A"))),0.85*(SUMPRODUCT(('Eval-Après action écologique'!$A$761:$A$780=FE23)*('Eval-Après action écologique'!$N$761:$P$780="AL"))),0.7*(SUMPRODUCT(('Eval-Après action écologique'!$A$761:$A$780=FE23)*('Eval-Après action écologique'!$N$761:$P$780="LA"))),0.55*(SUMPRODUCT(('Eval-Après action écologique'!$A$761:$A$780=FE23)*('Eval-Après action écologique'!$N$761:$P$780="L"))),0.4*(SUMPRODUCT(('Eval-Après action écologique'!$A$761:$A$780=FE23)*('Eval-Après action écologique'!$N$761:$P$780="LS"))),0.25*(SUMPRODUCT(('Eval-Après action écologique'!$A$761:$A$780=FE23)*('Eval-Après action écologique'!$N$761:$P$780="SL"))),0.1*(SUMPRODUCT(('Eval-Après action écologique'!$A$761:$A$780=FE23)*('Eval-Après action écologique'!$N$761:$P$780="S"))))/(3*COUNTIF('Eval-Après action écologique'!$A$761:$A$780,FE23))),"")</f>
        <v/>
      </c>
      <c r="FY23" s="214" t="str">
        <f>IF(COUNTIF('Eval-Après action écologique'!$A$761:$A$780,FE23)&gt;0,IF(OR(AND('Eval-Après action écologique'!$A$761=FE23,OR(COUNTIF('Eval-Après action écologique'!$Q$761:$Y$761,"*T*")&gt;0,GB9&lt;120)),AND('Eval-Après action écologique'!$A$762=FE23,OR(COUNTIF('Eval-Après action écologique'!$Q$762:$Y$762,"*T*")&gt;0,GB10&lt;120)),AND('Eval-Après action écologique'!$A$763=FE23,OR(COUNTIF('Eval-Après action écologique'!$Q$763:$Y$763,"*T*")&gt;0,GB11&lt;120)),AND('Eval-Après action écologique'!$A$764=FE23,OR(COUNTIF('Eval-Après action écologique'!$Q$764:$Y$764,"*T*")&gt;0,GB12&lt;120)),AND('Eval-Après action écologique'!$A$765=FE23,OR(COUNTIF('Eval-Après action écologique'!$Q$765:$Y$765,"*T*")&gt;0,GB13&lt;120)),AND('Eval-Après action écologique'!$A$766=FE23,OR(COUNTIF('Eval-Après action écologique'!$Q$766:$Y$766,"*T*")&gt;0,GB14&lt;120)),AND('Eval-Après action écologique'!$A$767=FE23,OR(COUNTIF('Eval-Après action écologique'!$Q$767:$Y$767,"*T*")&gt;0,GB15&lt;120)),AND('Eval-Après action écologique'!$A$768=FE23,OR(COUNTIF('Eval-Après action écologique'!$Q$768:$Y$768,"*T*")&gt;0,GB16&lt;120)),AND('Eval-Après action écologique'!$A$769=FE23,OR(COUNTIF('Eval-Après action écologique'!$Q$769:$Y$769,"*T*")&gt;0,GB17&lt;120)),AND('Eval-Après action écologique'!$A$770=FE23,OR(COUNTIF('Eval-Après action écologique'!$Q$770:$Y$770,"*T*")&gt;0,GB18&lt;120)),AND('Eval-Après action écologique'!$A$771=FE23,OR(COUNTIF('Eval-Après action écologique'!$Q$771:$Y$771,"*T*")&gt;0,GB19&lt;120)),AND('Eval-Après action écologique'!$A$772=FE23,OR(COUNTIF('Eval-Après action écologique'!$Q$772:$Y$772,"*T*")&gt;0,GB20&lt;120)),AND('Eval-Après action écologique'!$A$773=FE23,OR(COUNTIF('Eval-Après action écologique'!$Q$773:$Y$773,"*T*")&gt;0,GB21&lt;120)),AND('Eval-Après action écologique'!$A$774=FE23,OR(COUNTIF('Eval-Après action écologique'!$Q$774:$Y$774,"*T*")&gt;0,GB22&lt;120)),AND('Eval-Après action écologique'!$A$775=FE23,OR(COUNTIF('Eval-Après action écologique'!$Q$775:$Y$775,"*T*")&gt;0,GB23&lt;120)),AND('Eval-Après action écologique'!$A$776=FE23,OR(COUNTIF('Eval-Après action écologique'!$Q$776:$Y$776,"*T*")&gt;0,GB24&lt;120)),AND('Eval-Après action écologique'!$A$777=FE23,OR(COUNTIF('Eval-Après action écologique'!$Q$777:$Y$777,"*T*")&gt;0,GB25&lt;120)),AND('Eval-Après action écologique'!$A$778=FE23,OR(COUNTIF('Eval-Après action écologique'!$Q$778:$Y$778,"*T*")&gt;0,GB26&lt;120)),AND('Eval-Après action écologique'!$A$779=FE23,OR(COUNTIF('Eval-Après action écologique'!$Q$779:$Y$779,"*T*")&gt;0,GB27&lt;120)),AND('Eval-Après action écologique'!$A$780=FE23,OR(COUNTIF('Eval-Après action écologique'!$Q$780:$Y$780,"*T*")&gt;0,GB28&lt;120))),"",SUM(1*(SUMPRODUCT(('Eval-Après action écologique'!$A$761:$A$780=FE23)*('Eval-Après action écologique'!$Q$761:$Y$780="A"))),0.85*(SUMPRODUCT(('Eval-Après action écologique'!$A$761:$A$780=FE23)*('Eval-Après action écologique'!$Q$761:$Y$780="AL"))),0.7*(SUMPRODUCT(('Eval-Après action écologique'!$A$761:$A$780=FE23)*('Eval-Après action écologique'!$Q$761:$Y$780="LA"))),0.55*(SUMPRODUCT(('Eval-Après action écologique'!$A$761:$A$780=FE23)*('Eval-Après action écologique'!$Q$761:$Y$780="L"))),0.4*(SUMPRODUCT(('Eval-Après action écologique'!$A$761:$A$780=FE23)*('Eval-Après action écologique'!$Q$761:$Y$780="LS"))),0.25*(SUMPRODUCT(('Eval-Après action écologique'!$A$761:$A$780=FE23)*('Eval-Après action écologique'!$Q$761:$Y$780="SL"))),0.1*(SUMPRODUCT(('Eval-Après action écologique'!$A$761:$A$780=FE23)*('Eval-Après action écologique'!$Q$761:$Y$780="S"))))/(9*COUNTIF('Eval-Après action écologique'!$A$761:$A$780,FE23))),"")</f>
        <v/>
      </c>
      <c r="FZ23" s="215"/>
      <c r="GA23" s="216">
        <f>'Eval-Après action écologique'!$D$775</f>
        <v>15</v>
      </c>
      <c r="GB23" s="217" t="str">
        <f>IF(GC23="C",0,IF(IF(COUNTIF('Eval-Après action écologique'!$N$775:$Y$775,"=C")&gt;0,(COUNTA('Eval-Après action écologique'!$N$775:$Y$775)-1)*10,COUNTA('Eval-Après action écologique'!$N$775:$Y$775)*10)=0,"",IF(COUNTIF('Eval-Après action écologique'!$N$775:$Y$775,"=C")&gt;0,(COUNTA('Eval-Après action écologique'!$N$775:$Y$775)-1)*10,COUNTA('Eval-Après action écologique'!$N$775:$Y$775)*10)))</f>
        <v/>
      </c>
      <c r="GC23" s="217" t="str">
        <f>CONCATENATE('Eval-Après action écologique'!$N$775,'Eval-Après action écologique'!$O$775,'Eval-Après action écologique'!$P$775,'Eval-Après action écologique'!$Q$775,'Eval-Après action écologique'!$R$775,'Eval-Après action écologique'!$S$775,'Eval-Après action écologique'!$T$775,'Eval-Après action écologique'!$U$775,'Eval-Après action écologique'!$V$775,'Eval-Après action écologique'!$W$775,'Eval-Après action écologique'!$X$775,'Eval-Après action écologique'!$Y$775)</f>
        <v/>
      </c>
      <c r="GD23" s="217" t="str">
        <f t="shared" si="20"/>
        <v/>
      </c>
      <c r="GE23" s="217" t="str">
        <f t="shared" si="21"/>
        <v/>
      </c>
      <c r="GF23" s="217" t="str">
        <f>IF(COUNTIF('Eval-Après action écologique'!$N$775:$Y$775,"=C")&gt;0,"X","")</f>
        <v/>
      </c>
      <c r="GG23" s="217" t="str">
        <f t="shared" si="22"/>
        <v/>
      </c>
      <c r="GH23" s="218" t="str">
        <f t="shared" si="23"/>
        <v/>
      </c>
      <c r="GI23" s="197"/>
    </row>
    <row r="24" spans="1:191" ht="18.75" customHeight="1" x14ac:dyDescent="0.2">
      <c r="A24" s="210"/>
      <c r="B24" s="211">
        <f>'Eval-Avant impact'!B755</f>
        <v>0</v>
      </c>
      <c r="C24" s="1145" t="s">
        <v>36</v>
      </c>
      <c r="D24" s="1146"/>
      <c r="E24" s="1146"/>
      <c r="F24" s="1146"/>
      <c r="G24" s="1146"/>
      <c r="H24" s="1146"/>
      <c r="I24" s="1146"/>
      <c r="J24" s="1146"/>
      <c r="K24" s="1146"/>
      <c r="L24" s="1146"/>
      <c r="M24" s="1146"/>
      <c r="N24" s="1146"/>
      <c r="O24" s="1146"/>
      <c r="P24" s="1146"/>
      <c r="Q24" s="1146"/>
      <c r="R24" s="1146"/>
      <c r="S24" s="1146"/>
      <c r="T24" s="1146"/>
      <c r="U24" s="1147"/>
      <c r="V24" s="215"/>
      <c r="W24" s="216">
        <f>'Eval-Avant impact'!$D$776</f>
        <v>16</v>
      </c>
      <c r="X24" s="217" t="str">
        <f>IF(Y24="C",0,IF(IF(COUNTIF('Eval-Avant impact'!$N$776:$Y$776,"=C")&gt;0,(COUNTA('Eval-Avant impact'!$N$776:$Y$776)-1)*10,COUNTA('Eval-Avant impact'!$N$776:$Y$776)*10)=0,"",IF(COUNTIF('Eval-Avant impact'!$N$776:$Y$776,"=C")&gt;0,(COUNTA('Eval-Avant impact'!$N$776:$Y$776)-1)*10,COUNTA('Eval-Avant impact'!$N$776:$Y$776)*10)))</f>
        <v/>
      </c>
      <c r="Y24" s="217" t="str">
        <f>CONCATENATE('Eval-Avant impact'!$N$776,'Eval-Avant impact'!$O$776,'Eval-Avant impact'!$P$776,'Eval-Avant impact'!$Q$776,'Eval-Avant impact'!$R$776,'Eval-Avant impact'!$S$776,'Eval-Avant impact'!$T$776,'Eval-Avant impact'!$U$776,'Eval-Avant impact'!$V$776,'Eval-Avant impact'!$W$776,'Eval-Avant impact'!$X$776,'Eval-Avant impact'!$Y$776)</f>
        <v/>
      </c>
      <c r="Z24" s="217" t="str">
        <f t="shared" si="0"/>
        <v/>
      </c>
      <c r="AA24" s="217" t="str">
        <f t="shared" si="1"/>
        <v/>
      </c>
      <c r="AB24" s="217" t="str">
        <f>IF(COUNTIF('Eval-Avant impact'!$N$776:$Y$776,"=C")&gt;0,"X","")</f>
        <v/>
      </c>
      <c r="AC24" s="217" t="str">
        <f t="shared" si="2"/>
        <v/>
      </c>
      <c r="AD24" s="218" t="str">
        <f t="shared" si="3"/>
        <v/>
      </c>
      <c r="AE24" s="197"/>
      <c r="AG24" s="210"/>
      <c r="AH24" s="211">
        <f>'Eval-Avec impact envisagé'!B755</f>
        <v>0</v>
      </c>
      <c r="AI24" s="1145" t="s">
        <v>36</v>
      </c>
      <c r="AJ24" s="1146"/>
      <c r="AK24" s="1146"/>
      <c r="AL24" s="1146"/>
      <c r="AM24" s="1146"/>
      <c r="AN24" s="1146"/>
      <c r="AO24" s="1146"/>
      <c r="AP24" s="1146"/>
      <c r="AQ24" s="1146"/>
      <c r="AR24" s="1146"/>
      <c r="AS24" s="1146"/>
      <c r="AT24" s="1146"/>
      <c r="AU24" s="1146"/>
      <c r="AV24" s="1146"/>
      <c r="AW24" s="1146"/>
      <c r="AX24" s="1146"/>
      <c r="AY24" s="1146"/>
      <c r="AZ24" s="1146"/>
      <c r="BA24" s="1147"/>
      <c r="BB24" s="215"/>
      <c r="BC24" s="216">
        <f>'Eval-Avec impact envisagé'!$D$776</f>
        <v>16</v>
      </c>
      <c r="BD24" s="217" t="str">
        <f>IF(BE24="C",0,IF(IF(COUNTIF('Eval-Avec impact envisagé'!$N$776:$Y$776,"=C")&gt;0,(COUNTA('Eval-Avec impact envisagé'!$N$776:$Y$776)-1)*10,COUNTA('Eval-Avec impact envisagé'!$N$776:$Y$776)*10)=0,"",IF(COUNTIF('Eval-Avec impact envisagé'!$N$776:$Y$776,"=C")&gt;0,(COUNTA('Eval-Avec impact envisagé'!$N$776:$Y$776)-1)*10,COUNTA('Eval-Avec impact envisagé'!$N$776:$Y$776)*10)))</f>
        <v/>
      </c>
      <c r="BE24" s="217" t="str">
        <f>CONCATENATE('Eval-Avec impact envisagé'!$N$776,'Eval-Avec impact envisagé'!$O$776,'Eval-Avec impact envisagé'!$P$776,'Eval-Avec impact envisagé'!$Q$776,'Eval-Avec impact envisagé'!$R$776,'Eval-Avec impact envisagé'!$S$776,'Eval-Avec impact envisagé'!$T$776,'Eval-Avec impact envisagé'!$U$776,'Eval-Avec impact envisagé'!$V$776,'Eval-Avec impact envisagé'!$W$776,'Eval-Avec impact envisagé'!$X$776,'Eval-Avec impact envisagé'!$Y$776)</f>
        <v/>
      </c>
      <c r="BF24" s="217" t="str">
        <f t="shared" si="4"/>
        <v/>
      </c>
      <c r="BG24" s="217" t="str">
        <f t="shared" si="5"/>
        <v/>
      </c>
      <c r="BH24" s="217" t="str">
        <f>IF(COUNTIF('Eval-Avec impact envisagé'!$N$776:$Y$776,"=C")&gt;0,"X","")</f>
        <v/>
      </c>
      <c r="BI24" s="217" t="str">
        <f t="shared" si="6"/>
        <v/>
      </c>
      <c r="BJ24" s="218" t="str">
        <f t="shared" si="7"/>
        <v/>
      </c>
      <c r="BK24" s="197"/>
      <c r="BM24" s="210"/>
      <c r="BN24" s="211">
        <f>'Eval-Après impact'!B755</f>
        <v>0</v>
      </c>
      <c r="BO24" s="1145" t="s">
        <v>36</v>
      </c>
      <c r="BP24" s="1146"/>
      <c r="BQ24" s="1146"/>
      <c r="BR24" s="1146"/>
      <c r="BS24" s="1146"/>
      <c r="BT24" s="1146"/>
      <c r="BU24" s="1146"/>
      <c r="BV24" s="1146"/>
      <c r="BW24" s="1146"/>
      <c r="BX24" s="1146"/>
      <c r="BY24" s="1146"/>
      <c r="BZ24" s="1146"/>
      <c r="CA24" s="1146"/>
      <c r="CB24" s="1146"/>
      <c r="CC24" s="1146"/>
      <c r="CD24" s="1146"/>
      <c r="CE24" s="1146"/>
      <c r="CF24" s="1146"/>
      <c r="CG24" s="1147"/>
      <c r="CH24" s="215"/>
      <c r="CI24" s="216">
        <f>'Eval-Après impact'!$D$776</f>
        <v>16</v>
      </c>
      <c r="CJ24" s="217" t="str">
        <f>IF(CK24="C",0,IF(IF(COUNTIF('Eval-Après impact'!$N$776:$Y$776,"=C")&gt;0,(COUNTA('Eval-Après impact'!$N$776:$Y$776)-1)*10,COUNTA('Eval-Après impact'!$N$776:$Y$776)*10)=0,"",IF(COUNTIF('Eval-Après impact'!$N$776:$Y$776,"=C")&gt;0,(COUNTA('Eval-Après impact'!$N$776:$Y$776)-1)*10,COUNTA('Eval-Après impact'!$N$776:$Y$776)*10)))</f>
        <v/>
      </c>
      <c r="CK24" s="217" t="str">
        <f>CONCATENATE('Eval-Après impact'!$N$776,'Eval-Après impact'!$O$776,'Eval-Après impact'!$P$776,'Eval-Après impact'!$Q$776,'Eval-Après impact'!$R$776,'Eval-Après impact'!$S$776,'Eval-Après impact'!$T$776,'Eval-Après impact'!$U$776,'Eval-Après impact'!$V$776,'Eval-Après impact'!$W$776,'Eval-Après impact'!$X$776,'Eval-Après impact'!$Y$776)</f>
        <v/>
      </c>
      <c r="CL24" s="217" t="str">
        <f t="shared" si="8"/>
        <v/>
      </c>
      <c r="CM24" s="217" t="str">
        <f t="shared" si="9"/>
        <v/>
      </c>
      <c r="CN24" s="217" t="str">
        <f>IF(COUNTIF('Eval-Après impact'!$N$776:$Y$776,"=C")&gt;0,"X","")</f>
        <v/>
      </c>
      <c r="CO24" s="217" t="str">
        <f t="shared" si="10"/>
        <v/>
      </c>
      <c r="CP24" s="218" t="str">
        <f t="shared" si="11"/>
        <v/>
      </c>
      <c r="CQ24" s="197"/>
      <c r="CS24" s="210"/>
      <c r="CT24" s="211">
        <f>'Eval-Avant action écologique'!B755</f>
        <v>0</v>
      </c>
      <c r="CU24" s="1145" t="s">
        <v>36</v>
      </c>
      <c r="CV24" s="1146"/>
      <c r="CW24" s="1146"/>
      <c r="CX24" s="1146"/>
      <c r="CY24" s="1146"/>
      <c r="CZ24" s="1146"/>
      <c r="DA24" s="1146"/>
      <c r="DB24" s="1146"/>
      <c r="DC24" s="1146"/>
      <c r="DD24" s="1146"/>
      <c r="DE24" s="1146"/>
      <c r="DF24" s="1146"/>
      <c r="DG24" s="1146"/>
      <c r="DH24" s="1146"/>
      <c r="DI24" s="1146"/>
      <c r="DJ24" s="1146"/>
      <c r="DK24" s="1146"/>
      <c r="DL24" s="1146"/>
      <c r="DM24" s="1147"/>
      <c r="DN24" s="215"/>
      <c r="DO24" s="216">
        <f>'Eval-Avant action écologique'!$D$776</f>
        <v>16</v>
      </c>
      <c r="DP24" s="217" t="str">
        <f>IF(DQ24="C",0,IF(IF(COUNTIF('Eval-Avant action écologique'!$N$776:$Y$776,"=C")&gt;0,(COUNTA('Eval-Avant action écologique'!$N$776:$Y$776)-1)*10,COUNTA('Eval-Avant action écologique'!$N$776:$Y$776)*10)=0,"",IF(COUNTIF('Eval-Avant action écologique'!$N$776:$Y$776,"=C")&gt;0,(COUNTA('Eval-Avant action écologique'!$N$776:$Y$776)-1)*10,COUNTA('Eval-Avant action écologique'!$N$776:$Y$776)*10)))</f>
        <v/>
      </c>
      <c r="DQ24" s="217" t="str">
        <f>CONCATENATE('Eval-Avant action écologique'!$N$776,'Eval-Avant action écologique'!$O$776,'Eval-Avant action écologique'!$P$776,'Eval-Avant action écologique'!$Q$776,'Eval-Avant action écologique'!$R$776,'Eval-Avant action écologique'!$S$776,'Eval-Avant action écologique'!$T$776,'Eval-Avant action écologique'!$U$776,'Eval-Avant action écologique'!$V$776,'Eval-Avant action écologique'!$W$776,'Eval-Avant action écologique'!$X$776,'Eval-Avant action écologique'!$Y$776)</f>
        <v/>
      </c>
      <c r="DR24" s="217" t="str">
        <f t="shared" si="12"/>
        <v/>
      </c>
      <c r="DS24" s="217" t="str">
        <f t="shared" si="13"/>
        <v/>
      </c>
      <c r="DT24" s="217" t="str">
        <f>IF(COUNTIF('Eval-Avant action écologique'!$N$776:$Y$776,"=C")&gt;0,"X","")</f>
        <v/>
      </c>
      <c r="DU24" s="217" t="str">
        <f t="shared" si="14"/>
        <v/>
      </c>
      <c r="DV24" s="218" t="str">
        <f t="shared" si="15"/>
        <v/>
      </c>
      <c r="DW24" s="197"/>
      <c r="DY24" s="210"/>
      <c r="DZ24" s="211">
        <f>'Eval-Avec act. écol. envisagée'!B755</f>
        <v>0</v>
      </c>
      <c r="EA24" s="1145" t="s">
        <v>36</v>
      </c>
      <c r="EB24" s="1146"/>
      <c r="EC24" s="1146"/>
      <c r="ED24" s="1146"/>
      <c r="EE24" s="1146"/>
      <c r="EF24" s="1146"/>
      <c r="EG24" s="1146"/>
      <c r="EH24" s="1146"/>
      <c r="EI24" s="1146"/>
      <c r="EJ24" s="1146"/>
      <c r="EK24" s="1146"/>
      <c r="EL24" s="1146"/>
      <c r="EM24" s="1146"/>
      <c r="EN24" s="1146"/>
      <c r="EO24" s="1146"/>
      <c r="EP24" s="1146"/>
      <c r="EQ24" s="1146"/>
      <c r="ER24" s="1146"/>
      <c r="ES24" s="1147"/>
      <c r="ET24" s="215"/>
      <c r="EU24" s="216">
        <f>'Eval-Avec act. écol. envisagée'!$D$776</f>
        <v>16</v>
      </c>
      <c r="EV24" s="217" t="str">
        <f>IF(EW24="C",0,IF(IF(COUNTIF('Eval-Avec act. écol. envisagée'!$N$776:$Y$776,"=C")&gt;0,(COUNTA('Eval-Avec act. écol. envisagée'!$N$776:$Y$776)-1)*10,COUNTA('Eval-Avec act. écol. envisagée'!$N$776:$Y$776)*10)=0,"",IF(COUNTIF('Eval-Avec act. écol. envisagée'!$N$776:$Y$776,"=C")&gt;0,(COUNTA('Eval-Avec act. écol. envisagée'!$N$776:$Y$776)-1)*10,COUNTA('Eval-Avec act. écol. envisagée'!$N$776:$Y$776)*10)))</f>
        <v/>
      </c>
      <c r="EW24" s="217" t="str">
        <f>CONCATENATE('Eval-Avec act. écol. envisagée'!$N$776,'Eval-Avec act. écol. envisagée'!$O$776,'Eval-Avec act. écol. envisagée'!$P$776,'Eval-Avec act. écol. envisagée'!$Q$776,'Eval-Avec act. écol. envisagée'!$R$776,'Eval-Avec act. écol. envisagée'!$S$776,'Eval-Avec act. écol. envisagée'!$T$776,'Eval-Avec act. écol. envisagée'!$U$776,'Eval-Avec act. écol. envisagée'!$V$776,'Eval-Avec act. écol. envisagée'!$W$776,'Eval-Avec act. écol. envisagée'!$X$776,'Eval-Avec act. écol. envisagée'!$Y$776)</f>
        <v/>
      </c>
      <c r="EX24" s="217" t="str">
        <f t="shared" si="16"/>
        <v/>
      </c>
      <c r="EY24" s="217" t="str">
        <f t="shared" si="17"/>
        <v/>
      </c>
      <c r="EZ24" s="217" t="str">
        <f>IF(COUNTIF('Eval-Avec act. écol. envisagée'!$N$776:$Y$776,"=C")&gt;0,"X","")</f>
        <v/>
      </c>
      <c r="FA24" s="217" t="str">
        <f t="shared" si="18"/>
        <v/>
      </c>
      <c r="FB24" s="218" t="str">
        <f t="shared" si="19"/>
        <v/>
      </c>
      <c r="FC24" s="197"/>
      <c r="FE24" s="210"/>
      <c r="FF24" s="211">
        <f>'Eval-Après action écologique'!B755</f>
        <v>0</v>
      </c>
      <c r="FG24" s="1145" t="s">
        <v>36</v>
      </c>
      <c r="FH24" s="1146"/>
      <c r="FI24" s="1146"/>
      <c r="FJ24" s="1146"/>
      <c r="FK24" s="1146"/>
      <c r="FL24" s="1146"/>
      <c r="FM24" s="1146"/>
      <c r="FN24" s="1146"/>
      <c r="FO24" s="1146"/>
      <c r="FP24" s="1146"/>
      <c r="FQ24" s="1146"/>
      <c r="FR24" s="1146"/>
      <c r="FS24" s="1146"/>
      <c r="FT24" s="1146"/>
      <c r="FU24" s="1146"/>
      <c r="FV24" s="1146"/>
      <c r="FW24" s="1146"/>
      <c r="FX24" s="1146"/>
      <c r="FY24" s="1147"/>
      <c r="FZ24" s="215"/>
      <c r="GA24" s="216">
        <f>'Eval-Après action écologique'!$D$776</f>
        <v>16</v>
      </c>
      <c r="GB24" s="217" t="str">
        <f>IF(GC24="C",0,IF(IF(COUNTIF('Eval-Après action écologique'!$N$776:$Y$776,"=C")&gt;0,(COUNTA('Eval-Après action écologique'!$N$776:$Y$776)-1)*10,COUNTA('Eval-Après action écologique'!$N$776:$Y$776)*10)=0,"",IF(COUNTIF('Eval-Après action écologique'!$N$776:$Y$776,"=C")&gt;0,(COUNTA('Eval-Après action écologique'!$N$776:$Y$776)-1)*10,COUNTA('Eval-Après action écologique'!$N$776:$Y$776)*10)))</f>
        <v/>
      </c>
      <c r="GC24" s="217" t="str">
        <f>CONCATENATE('Eval-Après action écologique'!$N$776,'Eval-Après action écologique'!$O$776,'Eval-Après action écologique'!$P$776,'Eval-Après action écologique'!$Q$776,'Eval-Après action écologique'!$R$776,'Eval-Après action écologique'!$S$776,'Eval-Après action écologique'!$T$776,'Eval-Après action écologique'!$U$776,'Eval-Après action écologique'!$V$776,'Eval-Après action écologique'!$W$776,'Eval-Après action écologique'!$X$776,'Eval-Après action écologique'!$Y$776)</f>
        <v/>
      </c>
      <c r="GD24" s="217" t="str">
        <f t="shared" si="20"/>
        <v/>
      </c>
      <c r="GE24" s="217" t="str">
        <f t="shared" si="21"/>
        <v/>
      </c>
      <c r="GF24" s="217" t="str">
        <f>IF(COUNTIF('Eval-Après action écologique'!$N$776:$Y$776,"=C")&gt;0,"X","")</f>
        <v/>
      </c>
      <c r="GG24" s="217" t="str">
        <f t="shared" si="22"/>
        <v/>
      </c>
      <c r="GH24" s="218" t="str">
        <f t="shared" si="23"/>
        <v/>
      </c>
      <c r="GI24" s="197"/>
    </row>
    <row r="25" spans="1:191" ht="18.75" customHeight="1" x14ac:dyDescent="0.2">
      <c r="A25" s="219"/>
      <c r="B25" s="220">
        <f>SUM(B9:B24)</f>
        <v>0</v>
      </c>
      <c r="C25" s="1145" t="s">
        <v>178</v>
      </c>
      <c r="D25" s="1146"/>
      <c r="E25" s="1146"/>
      <c r="F25" s="1146"/>
      <c r="G25" s="1146"/>
      <c r="H25" s="1146"/>
      <c r="I25" s="1146"/>
      <c r="J25" s="1146"/>
      <c r="K25" s="1146"/>
      <c r="L25" s="1146"/>
      <c r="M25" s="1146"/>
      <c r="N25" s="1146"/>
      <c r="O25" s="1146"/>
      <c r="P25" s="1146"/>
      <c r="Q25" s="1146"/>
      <c r="R25" s="1146"/>
      <c r="S25" s="1146"/>
      <c r="T25" s="1146"/>
      <c r="U25" s="1147"/>
      <c r="V25" s="221"/>
      <c r="W25" s="216">
        <f>'Eval-Avant impact'!$D$777</f>
        <v>17</v>
      </c>
      <c r="X25" s="217" t="str">
        <f>IF(Y25="C",0,IF(IF(COUNTIF('Eval-Avant impact'!$N$777:$Y$777,"=C")&gt;0,(COUNTA('Eval-Avant impact'!$N$777:$Y$777)-1)*10,COUNTA('Eval-Avant impact'!$N$777:$Y$777)*10)=0,"",IF(COUNTIF('Eval-Avant impact'!$N$777:$Y$777,"=C")&gt;0,(COUNTA('Eval-Avant impact'!$N$777:$Y$777)-1)*10,COUNTA('Eval-Avant impact'!$N$777:$Y$777)*10)))</f>
        <v/>
      </c>
      <c r="Y25" s="217" t="str">
        <f>CONCATENATE('Eval-Avant impact'!$N$777,'Eval-Avant impact'!$O$777,'Eval-Avant impact'!$P$777,'Eval-Avant impact'!$Q$777,'Eval-Avant impact'!$R$777,'Eval-Avant impact'!$S$777,'Eval-Avant impact'!$T$777,'Eval-Avant impact'!$U$777,'Eval-Avant impact'!$V$777,'Eval-Avant impact'!$W$777,'Eval-Avant impact'!$X$777,'Eval-Avant impact'!$Y$777)</f>
        <v/>
      </c>
      <c r="Z25" s="217" t="str">
        <f t="shared" si="0"/>
        <v/>
      </c>
      <c r="AA25" s="217" t="str">
        <f t="shared" si="1"/>
        <v/>
      </c>
      <c r="AB25" s="217" t="str">
        <f>IF(COUNTIF('Eval-Avant impact'!$N$777:$Y$777,"=C")&gt;0,"X","")</f>
        <v/>
      </c>
      <c r="AC25" s="217" t="str">
        <f t="shared" si="2"/>
        <v/>
      </c>
      <c r="AD25" s="218" t="str">
        <f t="shared" si="3"/>
        <v/>
      </c>
      <c r="AE25" s="197"/>
      <c r="AG25" s="219"/>
      <c r="AH25" s="220">
        <f>SUM(AH9:AH24)</f>
        <v>0</v>
      </c>
      <c r="AI25" s="1145" t="s">
        <v>178</v>
      </c>
      <c r="AJ25" s="1146"/>
      <c r="AK25" s="1146"/>
      <c r="AL25" s="1146"/>
      <c r="AM25" s="1146"/>
      <c r="AN25" s="1146"/>
      <c r="AO25" s="1146"/>
      <c r="AP25" s="1146"/>
      <c r="AQ25" s="1146"/>
      <c r="AR25" s="1146"/>
      <c r="AS25" s="1146"/>
      <c r="AT25" s="1146"/>
      <c r="AU25" s="1146"/>
      <c r="AV25" s="1146"/>
      <c r="AW25" s="1146"/>
      <c r="AX25" s="1146"/>
      <c r="AY25" s="1146"/>
      <c r="AZ25" s="1146"/>
      <c r="BA25" s="1147"/>
      <c r="BB25" s="221"/>
      <c r="BC25" s="216">
        <f>'Eval-Avec impact envisagé'!$D$777</f>
        <v>17</v>
      </c>
      <c r="BD25" s="217" t="str">
        <f>IF(BE25="C",0,IF(IF(COUNTIF('Eval-Avec impact envisagé'!$N$777:$Y$777,"=C")&gt;0,(COUNTA('Eval-Avec impact envisagé'!$N$777:$Y$777)-1)*10,COUNTA('Eval-Avec impact envisagé'!$N$777:$Y$777)*10)=0,"",IF(COUNTIF('Eval-Avec impact envisagé'!$N$777:$Y$777,"=C")&gt;0,(COUNTA('Eval-Avec impact envisagé'!$N$777:$Y$777)-1)*10,COUNTA('Eval-Avec impact envisagé'!$N$777:$Y$777)*10)))</f>
        <v/>
      </c>
      <c r="BE25" s="217" t="str">
        <f>CONCATENATE('Eval-Avec impact envisagé'!$N$777,'Eval-Avec impact envisagé'!$O$777,'Eval-Avec impact envisagé'!$P$777,'Eval-Avec impact envisagé'!$Q$777,'Eval-Avec impact envisagé'!$R$777,'Eval-Avec impact envisagé'!$S$777,'Eval-Avec impact envisagé'!$T$777,'Eval-Avec impact envisagé'!$U$777,'Eval-Avec impact envisagé'!$V$777,'Eval-Avec impact envisagé'!$W$777,'Eval-Avec impact envisagé'!$X$777,'Eval-Avec impact envisagé'!$Y$777)</f>
        <v/>
      </c>
      <c r="BF25" s="217" t="str">
        <f t="shared" si="4"/>
        <v/>
      </c>
      <c r="BG25" s="217" t="str">
        <f t="shared" si="5"/>
        <v/>
      </c>
      <c r="BH25" s="217" t="str">
        <f>IF(COUNTIF('Eval-Avec impact envisagé'!$N$777:$Y$777,"=C")&gt;0,"X","")</f>
        <v/>
      </c>
      <c r="BI25" s="217" t="str">
        <f t="shared" si="6"/>
        <v/>
      </c>
      <c r="BJ25" s="218" t="str">
        <f t="shared" si="7"/>
        <v/>
      </c>
      <c r="BK25" s="197"/>
      <c r="BM25" s="219"/>
      <c r="BN25" s="220">
        <f>SUM(BN9:BN24)</f>
        <v>0</v>
      </c>
      <c r="BO25" s="1145" t="s">
        <v>178</v>
      </c>
      <c r="BP25" s="1146"/>
      <c r="BQ25" s="1146"/>
      <c r="BR25" s="1146"/>
      <c r="BS25" s="1146"/>
      <c r="BT25" s="1146"/>
      <c r="BU25" s="1146"/>
      <c r="BV25" s="1146"/>
      <c r="BW25" s="1146"/>
      <c r="BX25" s="1146"/>
      <c r="BY25" s="1146"/>
      <c r="BZ25" s="1146"/>
      <c r="CA25" s="1146"/>
      <c r="CB25" s="1146"/>
      <c r="CC25" s="1146"/>
      <c r="CD25" s="1146"/>
      <c r="CE25" s="1146"/>
      <c r="CF25" s="1146"/>
      <c r="CG25" s="1147"/>
      <c r="CH25" s="221"/>
      <c r="CI25" s="216">
        <f>'Eval-Après impact'!$D$777</f>
        <v>17</v>
      </c>
      <c r="CJ25" s="217" t="str">
        <f>IF(CK25="C",0,IF(IF(COUNTIF('Eval-Après impact'!$N$777:$Y$777,"=C")&gt;0,(COUNTA('Eval-Après impact'!$N$777:$Y$777)-1)*10,COUNTA('Eval-Après impact'!$N$777:$Y$777)*10)=0,"",IF(COUNTIF('Eval-Après impact'!$N$777:$Y$777,"=C")&gt;0,(COUNTA('Eval-Après impact'!$N$777:$Y$777)-1)*10,COUNTA('Eval-Après impact'!$N$777:$Y$777)*10)))</f>
        <v/>
      </c>
      <c r="CK25" s="217" t="str">
        <f>CONCATENATE('Eval-Après impact'!$N$777,'Eval-Après impact'!$O$777,'Eval-Après impact'!$P$777,'Eval-Après impact'!$Q$777,'Eval-Après impact'!$R$777,'Eval-Après impact'!$S$777,'Eval-Après impact'!$T$777,'Eval-Après impact'!$U$777,'Eval-Après impact'!$V$777,'Eval-Après impact'!$W$777,'Eval-Après impact'!$X$777,'Eval-Après impact'!$Y$777)</f>
        <v/>
      </c>
      <c r="CL25" s="217" t="str">
        <f t="shared" si="8"/>
        <v/>
      </c>
      <c r="CM25" s="217" t="str">
        <f t="shared" si="9"/>
        <v/>
      </c>
      <c r="CN25" s="217" t="str">
        <f>IF(COUNTIF('Eval-Après impact'!$N$777:$Y$777,"=C")&gt;0,"X","")</f>
        <v/>
      </c>
      <c r="CO25" s="217" t="str">
        <f t="shared" si="10"/>
        <v/>
      </c>
      <c r="CP25" s="218" t="str">
        <f t="shared" si="11"/>
        <v/>
      </c>
      <c r="CQ25" s="197"/>
      <c r="CS25" s="219"/>
      <c r="CT25" s="220">
        <f>SUM(CT9:CT24)</f>
        <v>0</v>
      </c>
      <c r="CU25" s="1145" t="s">
        <v>178</v>
      </c>
      <c r="CV25" s="1146"/>
      <c r="CW25" s="1146"/>
      <c r="CX25" s="1146"/>
      <c r="CY25" s="1146"/>
      <c r="CZ25" s="1146"/>
      <c r="DA25" s="1146"/>
      <c r="DB25" s="1146"/>
      <c r="DC25" s="1146"/>
      <c r="DD25" s="1146"/>
      <c r="DE25" s="1146"/>
      <c r="DF25" s="1146"/>
      <c r="DG25" s="1146"/>
      <c r="DH25" s="1146"/>
      <c r="DI25" s="1146"/>
      <c r="DJ25" s="1146"/>
      <c r="DK25" s="1146"/>
      <c r="DL25" s="1146"/>
      <c r="DM25" s="1147"/>
      <c r="DN25" s="221"/>
      <c r="DO25" s="216">
        <f>'Eval-Avant action écologique'!$D$777</f>
        <v>17</v>
      </c>
      <c r="DP25" s="217" t="str">
        <f>IF(DQ25="C",0,IF(IF(COUNTIF('Eval-Avant action écologique'!$N$777:$Y$777,"=C")&gt;0,(COUNTA('Eval-Avant action écologique'!$N$777:$Y$777)-1)*10,COUNTA('Eval-Avant action écologique'!$N$777:$Y$777)*10)=0,"",IF(COUNTIF('Eval-Avant action écologique'!$N$777:$Y$777,"=C")&gt;0,(COUNTA('Eval-Avant action écologique'!$N$777:$Y$777)-1)*10,COUNTA('Eval-Avant action écologique'!$N$777:$Y$777)*10)))</f>
        <v/>
      </c>
      <c r="DQ25" s="217" t="str">
        <f>CONCATENATE('Eval-Avant action écologique'!$N$777,'Eval-Avant action écologique'!$O$777,'Eval-Avant action écologique'!$P$777,'Eval-Avant action écologique'!$Q$777,'Eval-Avant action écologique'!$R$777,'Eval-Avant action écologique'!$S$777,'Eval-Avant action écologique'!$T$777,'Eval-Avant action écologique'!$U$777,'Eval-Avant action écologique'!$V$777,'Eval-Avant action écologique'!$W$777,'Eval-Avant action écologique'!$X$777,'Eval-Avant action écologique'!$Y$777)</f>
        <v/>
      </c>
      <c r="DR25" s="217" t="str">
        <f t="shared" si="12"/>
        <v/>
      </c>
      <c r="DS25" s="217" t="str">
        <f t="shared" si="13"/>
        <v/>
      </c>
      <c r="DT25" s="217" t="str">
        <f>IF(COUNTIF('Eval-Avant action écologique'!$N$777:$Y$777,"=C")&gt;0,"X","")</f>
        <v/>
      </c>
      <c r="DU25" s="217" t="str">
        <f t="shared" si="14"/>
        <v/>
      </c>
      <c r="DV25" s="218" t="str">
        <f t="shared" si="15"/>
        <v/>
      </c>
      <c r="DW25" s="197"/>
      <c r="DY25" s="219"/>
      <c r="DZ25" s="220">
        <f>SUM(DZ9:DZ24)</f>
        <v>0</v>
      </c>
      <c r="EA25" s="1145" t="s">
        <v>178</v>
      </c>
      <c r="EB25" s="1146"/>
      <c r="EC25" s="1146"/>
      <c r="ED25" s="1146"/>
      <c r="EE25" s="1146"/>
      <c r="EF25" s="1146"/>
      <c r="EG25" s="1146"/>
      <c r="EH25" s="1146"/>
      <c r="EI25" s="1146"/>
      <c r="EJ25" s="1146"/>
      <c r="EK25" s="1146"/>
      <c r="EL25" s="1146"/>
      <c r="EM25" s="1146"/>
      <c r="EN25" s="1146"/>
      <c r="EO25" s="1146"/>
      <c r="EP25" s="1146"/>
      <c r="EQ25" s="1146"/>
      <c r="ER25" s="1146"/>
      <c r="ES25" s="1147"/>
      <c r="ET25" s="221"/>
      <c r="EU25" s="216">
        <f>'Eval-Avec act. écol. envisagée'!$D$777</f>
        <v>17</v>
      </c>
      <c r="EV25" s="217" t="str">
        <f>IF(EW25="C",0,IF(IF(COUNTIF('Eval-Avec act. écol. envisagée'!$N$777:$Y$777,"=C")&gt;0,(COUNTA('Eval-Avec act. écol. envisagée'!$N$777:$Y$777)-1)*10,COUNTA('Eval-Avec act. écol. envisagée'!$N$777:$Y$777)*10)=0,"",IF(COUNTIF('Eval-Avec act. écol. envisagée'!$N$777:$Y$777,"=C")&gt;0,(COUNTA('Eval-Avec act. écol. envisagée'!$N$777:$Y$777)-1)*10,COUNTA('Eval-Avec act. écol. envisagée'!$N$777:$Y$777)*10)))</f>
        <v/>
      </c>
      <c r="EW25" s="217" t="str">
        <f>CONCATENATE('Eval-Avec act. écol. envisagée'!$N$777,'Eval-Avec act. écol. envisagée'!$O$777,'Eval-Avec act. écol. envisagée'!$P$777,'Eval-Avec act. écol. envisagée'!$Q$777,'Eval-Avec act. écol. envisagée'!$R$777,'Eval-Avec act. écol. envisagée'!$S$777,'Eval-Avec act. écol. envisagée'!$T$777,'Eval-Avec act. écol. envisagée'!$U$777,'Eval-Avec act. écol. envisagée'!$V$777,'Eval-Avec act. écol. envisagée'!$W$777,'Eval-Avec act. écol. envisagée'!$X$777,'Eval-Avec act. écol. envisagée'!$Y$777)</f>
        <v/>
      </c>
      <c r="EX25" s="217" t="str">
        <f t="shared" si="16"/>
        <v/>
      </c>
      <c r="EY25" s="217" t="str">
        <f t="shared" si="17"/>
        <v/>
      </c>
      <c r="EZ25" s="217" t="str">
        <f>IF(COUNTIF('Eval-Avec act. écol. envisagée'!$N$777:$Y$777,"=C")&gt;0,"X","")</f>
        <v/>
      </c>
      <c r="FA25" s="217" t="str">
        <f t="shared" si="18"/>
        <v/>
      </c>
      <c r="FB25" s="218" t="str">
        <f t="shared" si="19"/>
        <v/>
      </c>
      <c r="FC25" s="197"/>
      <c r="FE25" s="219"/>
      <c r="FF25" s="220">
        <f>SUM(FF9:FF24)</f>
        <v>0</v>
      </c>
      <c r="FG25" s="1145" t="s">
        <v>178</v>
      </c>
      <c r="FH25" s="1146"/>
      <c r="FI25" s="1146"/>
      <c r="FJ25" s="1146"/>
      <c r="FK25" s="1146"/>
      <c r="FL25" s="1146"/>
      <c r="FM25" s="1146"/>
      <c r="FN25" s="1146"/>
      <c r="FO25" s="1146"/>
      <c r="FP25" s="1146"/>
      <c r="FQ25" s="1146"/>
      <c r="FR25" s="1146"/>
      <c r="FS25" s="1146"/>
      <c r="FT25" s="1146"/>
      <c r="FU25" s="1146"/>
      <c r="FV25" s="1146"/>
      <c r="FW25" s="1146"/>
      <c r="FX25" s="1146"/>
      <c r="FY25" s="1147"/>
      <c r="FZ25" s="221"/>
      <c r="GA25" s="216">
        <f>'Eval-Après action écologique'!$D$777</f>
        <v>17</v>
      </c>
      <c r="GB25" s="217" t="str">
        <f>IF(GC25="C",0,IF(IF(COUNTIF('Eval-Après action écologique'!$N$777:$Y$777,"=C")&gt;0,(COUNTA('Eval-Après action écologique'!$N$777:$Y$777)-1)*10,COUNTA('Eval-Après action écologique'!$N$777:$Y$777)*10)=0,"",IF(COUNTIF('Eval-Après action écologique'!$N$777:$Y$777,"=C")&gt;0,(COUNTA('Eval-Après action écologique'!$N$777:$Y$777)-1)*10,COUNTA('Eval-Après action écologique'!$N$777:$Y$777)*10)))</f>
        <v/>
      </c>
      <c r="GC25" s="217" t="str">
        <f>CONCATENATE('Eval-Après action écologique'!$N$777,'Eval-Après action écologique'!$O$777,'Eval-Après action écologique'!$P$777,'Eval-Après action écologique'!$Q$777,'Eval-Après action écologique'!$R$777,'Eval-Après action écologique'!$S$777,'Eval-Après action écologique'!$T$777,'Eval-Après action écologique'!$U$777,'Eval-Après action écologique'!$V$777,'Eval-Après action écologique'!$W$777,'Eval-Après action écologique'!$X$777,'Eval-Après action écologique'!$Y$777)</f>
        <v/>
      </c>
      <c r="GD25" s="217" t="str">
        <f t="shared" si="20"/>
        <v/>
      </c>
      <c r="GE25" s="217" t="str">
        <f t="shared" si="21"/>
        <v/>
      </c>
      <c r="GF25" s="217" t="str">
        <f>IF(COUNTIF('Eval-Après action écologique'!$N$777:$Y$777,"=C")&gt;0,"X","")</f>
        <v/>
      </c>
      <c r="GG25" s="217" t="str">
        <f t="shared" si="22"/>
        <v/>
      </c>
      <c r="GH25" s="218" t="str">
        <f t="shared" si="23"/>
        <v/>
      </c>
      <c r="GI25" s="197"/>
    </row>
    <row r="26" spans="1:191" ht="18.75" customHeight="1" x14ac:dyDescent="0.2">
      <c r="A26" s="219"/>
      <c r="B26" s="220">
        <f>SUMIF(D9:D23,"&gt;0",B9:B23)</f>
        <v>0</v>
      </c>
      <c r="C26" s="1145" t="s">
        <v>444</v>
      </c>
      <c r="D26" s="1146"/>
      <c r="E26" s="1146"/>
      <c r="F26" s="1146"/>
      <c r="G26" s="1146"/>
      <c r="H26" s="1146"/>
      <c r="I26" s="1146"/>
      <c r="J26" s="1146"/>
      <c r="K26" s="1146"/>
      <c r="L26" s="1146"/>
      <c r="M26" s="1146"/>
      <c r="N26" s="1146"/>
      <c r="O26" s="1146"/>
      <c r="P26" s="1146"/>
      <c r="Q26" s="1146"/>
      <c r="R26" s="1146"/>
      <c r="S26" s="1146"/>
      <c r="T26" s="1146"/>
      <c r="U26" s="1147"/>
      <c r="V26" s="222"/>
      <c r="W26" s="216">
        <f>'Eval-Avant impact'!$D$778</f>
        <v>18</v>
      </c>
      <c r="X26" s="217" t="str">
        <f>IF(Y26="C",0,IF(IF(COUNTIF('Eval-Avant impact'!$N$778:$Y$778,"=C")&gt;0,(COUNTA('Eval-Avant impact'!$N$778:$Y$778)-1)*10,COUNTA('Eval-Avant impact'!$N$778:$Y$778)*10)=0,"",IF(COUNTIF('Eval-Avant impact'!$N$778:$Y$778,"=C")&gt;0,(COUNTA('Eval-Avant impact'!$N$778:$Y$778)-1)*10,COUNTA('Eval-Avant impact'!$N$778:$Y$778)*10)))</f>
        <v/>
      </c>
      <c r="Y26" s="217" t="str">
        <f>CONCATENATE('Eval-Avant impact'!$N$778,'Eval-Avant impact'!$O$778,'Eval-Avant impact'!$P$778,'Eval-Avant impact'!$Q$778,'Eval-Avant impact'!$R$778,'Eval-Avant impact'!$S$778,'Eval-Avant impact'!$T$778,'Eval-Avant impact'!$U$778,'Eval-Avant impact'!$V$778,'Eval-Avant impact'!$W$778,'Eval-Avant impact'!$X$778,'Eval-Avant impact'!$Y$778)</f>
        <v/>
      </c>
      <c r="Z26" s="217" t="str">
        <f t="shared" si="0"/>
        <v/>
      </c>
      <c r="AA26" s="217" t="str">
        <f t="shared" si="1"/>
        <v/>
      </c>
      <c r="AB26" s="217" t="str">
        <f>IF(COUNTIF('Eval-Avant impact'!$N$778:$Y$778,"=C")&gt;0,"X","")</f>
        <v/>
      </c>
      <c r="AC26" s="217" t="str">
        <f t="shared" si="2"/>
        <v/>
      </c>
      <c r="AD26" s="218" t="str">
        <f t="shared" si="3"/>
        <v/>
      </c>
      <c r="AE26" s="197"/>
      <c r="AG26" s="219"/>
      <c r="AH26" s="220">
        <f>SUMIF(AJ9:AJ23,"&gt;0",AH9:AH23)</f>
        <v>0</v>
      </c>
      <c r="AI26" s="1145" t="s">
        <v>444</v>
      </c>
      <c r="AJ26" s="1146"/>
      <c r="AK26" s="1146"/>
      <c r="AL26" s="1146"/>
      <c r="AM26" s="1146"/>
      <c r="AN26" s="1146"/>
      <c r="AO26" s="1146"/>
      <c r="AP26" s="1146"/>
      <c r="AQ26" s="1146"/>
      <c r="AR26" s="1146"/>
      <c r="AS26" s="1146"/>
      <c r="AT26" s="1146"/>
      <c r="AU26" s="1146"/>
      <c r="AV26" s="1146"/>
      <c r="AW26" s="1146"/>
      <c r="AX26" s="1146"/>
      <c r="AY26" s="1146"/>
      <c r="AZ26" s="1146"/>
      <c r="BA26" s="1147"/>
      <c r="BB26" s="222"/>
      <c r="BC26" s="216">
        <f>'Eval-Avec impact envisagé'!$D$778</f>
        <v>18</v>
      </c>
      <c r="BD26" s="217" t="str">
        <f>IF(BE26="C",0,IF(IF(COUNTIF('Eval-Avec impact envisagé'!$N$778:$Y$778,"=C")&gt;0,(COUNTA('Eval-Avec impact envisagé'!$N$778:$Y$778)-1)*10,COUNTA('Eval-Avec impact envisagé'!$N$778:$Y$778)*10)=0,"",IF(COUNTIF('Eval-Avec impact envisagé'!$N$778:$Y$778,"=C")&gt;0,(COUNTA('Eval-Avec impact envisagé'!$N$778:$Y$778)-1)*10,COUNTA('Eval-Avec impact envisagé'!$N$778:$Y$778)*10)))</f>
        <v/>
      </c>
      <c r="BE26" s="217" t="str">
        <f>CONCATENATE('Eval-Avec impact envisagé'!$N$778,'Eval-Avec impact envisagé'!$O$778,'Eval-Avec impact envisagé'!$P$778,'Eval-Avec impact envisagé'!$Q$778,'Eval-Avec impact envisagé'!$R$778,'Eval-Avec impact envisagé'!$S$778,'Eval-Avec impact envisagé'!$T$778,'Eval-Avec impact envisagé'!$U$778,'Eval-Avec impact envisagé'!$V$778,'Eval-Avec impact envisagé'!$W$778,'Eval-Avec impact envisagé'!$X$778,'Eval-Avec impact envisagé'!$Y$778)</f>
        <v/>
      </c>
      <c r="BF26" s="217" t="str">
        <f t="shared" si="4"/>
        <v/>
      </c>
      <c r="BG26" s="217" t="str">
        <f t="shared" si="5"/>
        <v/>
      </c>
      <c r="BH26" s="217" t="str">
        <f>IF(COUNTIF('Eval-Avec impact envisagé'!$N$778:$Y$778,"=C")&gt;0,"X","")</f>
        <v/>
      </c>
      <c r="BI26" s="217" t="str">
        <f t="shared" si="6"/>
        <v/>
      </c>
      <c r="BJ26" s="218" t="str">
        <f t="shared" si="7"/>
        <v/>
      </c>
      <c r="BK26" s="197"/>
      <c r="BM26" s="219"/>
      <c r="BN26" s="220">
        <f>SUMIF(BP9:BP23,"&gt;0",BN9:BN23)</f>
        <v>0</v>
      </c>
      <c r="BO26" s="1145" t="s">
        <v>444</v>
      </c>
      <c r="BP26" s="1146"/>
      <c r="BQ26" s="1146"/>
      <c r="BR26" s="1146"/>
      <c r="BS26" s="1146"/>
      <c r="BT26" s="1146"/>
      <c r="BU26" s="1146"/>
      <c r="BV26" s="1146"/>
      <c r="BW26" s="1146"/>
      <c r="BX26" s="1146"/>
      <c r="BY26" s="1146"/>
      <c r="BZ26" s="1146"/>
      <c r="CA26" s="1146"/>
      <c r="CB26" s="1146"/>
      <c r="CC26" s="1146"/>
      <c r="CD26" s="1146"/>
      <c r="CE26" s="1146"/>
      <c r="CF26" s="1146"/>
      <c r="CG26" s="1147"/>
      <c r="CH26" s="222"/>
      <c r="CI26" s="216">
        <f>'Eval-Après impact'!$D$778</f>
        <v>18</v>
      </c>
      <c r="CJ26" s="217" t="str">
        <f>IF(CK26="C",0,IF(IF(COUNTIF('Eval-Après impact'!$N$778:$Y$778,"=C")&gt;0,(COUNTA('Eval-Après impact'!$N$778:$Y$778)-1)*10,COUNTA('Eval-Après impact'!$N$778:$Y$778)*10)=0,"",IF(COUNTIF('Eval-Après impact'!$N$778:$Y$778,"=C")&gt;0,(COUNTA('Eval-Après impact'!$N$778:$Y$778)-1)*10,COUNTA('Eval-Après impact'!$N$778:$Y$778)*10)))</f>
        <v/>
      </c>
      <c r="CK26" s="217" t="str">
        <f>CONCATENATE('Eval-Après impact'!$N$778,'Eval-Après impact'!$O$778,'Eval-Après impact'!$P$778,'Eval-Après impact'!$Q$778,'Eval-Après impact'!$R$778,'Eval-Après impact'!$S$778,'Eval-Après impact'!$T$778,'Eval-Après impact'!$U$778,'Eval-Après impact'!$V$778,'Eval-Après impact'!$W$778,'Eval-Après impact'!$X$778,'Eval-Après impact'!$Y$778)</f>
        <v/>
      </c>
      <c r="CL26" s="217" t="str">
        <f t="shared" si="8"/>
        <v/>
      </c>
      <c r="CM26" s="217" t="str">
        <f t="shared" si="9"/>
        <v/>
      </c>
      <c r="CN26" s="217" t="str">
        <f>IF(COUNTIF('Eval-Après impact'!$N$778:$Y$778,"=C")&gt;0,"X","")</f>
        <v/>
      </c>
      <c r="CO26" s="217" t="str">
        <f t="shared" si="10"/>
        <v/>
      </c>
      <c r="CP26" s="218" t="str">
        <f t="shared" si="11"/>
        <v/>
      </c>
      <c r="CQ26" s="197"/>
      <c r="CS26" s="219"/>
      <c r="CT26" s="220">
        <f>SUMIF(CV9:CV23,"&gt;0",CT9:CT23)</f>
        <v>0</v>
      </c>
      <c r="CU26" s="1145" t="s">
        <v>444</v>
      </c>
      <c r="CV26" s="1146"/>
      <c r="CW26" s="1146"/>
      <c r="CX26" s="1146"/>
      <c r="CY26" s="1146"/>
      <c r="CZ26" s="1146"/>
      <c r="DA26" s="1146"/>
      <c r="DB26" s="1146"/>
      <c r="DC26" s="1146"/>
      <c r="DD26" s="1146"/>
      <c r="DE26" s="1146"/>
      <c r="DF26" s="1146"/>
      <c r="DG26" s="1146"/>
      <c r="DH26" s="1146"/>
      <c r="DI26" s="1146"/>
      <c r="DJ26" s="1146"/>
      <c r="DK26" s="1146"/>
      <c r="DL26" s="1146"/>
      <c r="DM26" s="1147"/>
      <c r="DN26" s="222"/>
      <c r="DO26" s="216">
        <f>'Eval-Avant action écologique'!$D$778</f>
        <v>18</v>
      </c>
      <c r="DP26" s="217" t="str">
        <f>IF(DQ26="C",0,IF(IF(COUNTIF('Eval-Avant action écologique'!$N$778:$Y$778,"=C")&gt;0,(COUNTA('Eval-Avant action écologique'!$N$778:$Y$778)-1)*10,COUNTA('Eval-Avant action écologique'!$N$778:$Y$778)*10)=0,"",IF(COUNTIF('Eval-Avant action écologique'!$N$778:$Y$778,"=C")&gt;0,(COUNTA('Eval-Avant action écologique'!$N$778:$Y$778)-1)*10,COUNTA('Eval-Avant action écologique'!$N$778:$Y$778)*10)))</f>
        <v/>
      </c>
      <c r="DQ26" s="217" t="str">
        <f>CONCATENATE('Eval-Avant action écologique'!$N$778,'Eval-Avant action écologique'!$O$778,'Eval-Avant action écologique'!$P$778,'Eval-Avant action écologique'!$Q$778,'Eval-Avant action écologique'!$R$778,'Eval-Avant action écologique'!$S$778,'Eval-Avant action écologique'!$T$778,'Eval-Avant action écologique'!$U$778,'Eval-Avant action écologique'!$V$778,'Eval-Avant action écologique'!$W$778,'Eval-Avant action écologique'!$X$778,'Eval-Avant action écologique'!$Y$778)</f>
        <v/>
      </c>
      <c r="DR26" s="217" t="str">
        <f t="shared" si="12"/>
        <v/>
      </c>
      <c r="DS26" s="217" t="str">
        <f t="shared" si="13"/>
        <v/>
      </c>
      <c r="DT26" s="217" t="str">
        <f>IF(COUNTIF('Eval-Avant action écologique'!$N$778:$Y$778,"=C")&gt;0,"X","")</f>
        <v/>
      </c>
      <c r="DU26" s="217" t="str">
        <f t="shared" si="14"/>
        <v/>
      </c>
      <c r="DV26" s="218" t="str">
        <f t="shared" si="15"/>
        <v/>
      </c>
      <c r="DW26" s="197"/>
      <c r="DY26" s="219"/>
      <c r="DZ26" s="220">
        <f>SUMIF(EB9:EB23,"&gt;0",DZ9:DZ23)</f>
        <v>0</v>
      </c>
      <c r="EA26" s="1145" t="s">
        <v>444</v>
      </c>
      <c r="EB26" s="1146"/>
      <c r="EC26" s="1146"/>
      <c r="ED26" s="1146"/>
      <c r="EE26" s="1146"/>
      <c r="EF26" s="1146"/>
      <c r="EG26" s="1146"/>
      <c r="EH26" s="1146"/>
      <c r="EI26" s="1146"/>
      <c r="EJ26" s="1146"/>
      <c r="EK26" s="1146"/>
      <c r="EL26" s="1146"/>
      <c r="EM26" s="1146"/>
      <c r="EN26" s="1146"/>
      <c r="EO26" s="1146"/>
      <c r="EP26" s="1146"/>
      <c r="EQ26" s="1146"/>
      <c r="ER26" s="1146"/>
      <c r="ES26" s="1147"/>
      <c r="ET26" s="222"/>
      <c r="EU26" s="216">
        <f>'Eval-Avec act. écol. envisagée'!$D$778</f>
        <v>18</v>
      </c>
      <c r="EV26" s="217" t="str">
        <f>IF(EW26="C",0,IF(IF(COUNTIF('Eval-Avec act. écol. envisagée'!$N$778:$Y$778,"=C")&gt;0,(COUNTA('Eval-Avec act. écol. envisagée'!$N$778:$Y$778)-1)*10,COUNTA('Eval-Avec act. écol. envisagée'!$N$778:$Y$778)*10)=0,"",IF(COUNTIF('Eval-Avec act. écol. envisagée'!$N$778:$Y$778,"=C")&gt;0,(COUNTA('Eval-Avec act. écol. envisagée'!$N$778:$Y$778)-1)*10,COUNTA('Eval-Avec act. écol. envisagée'!$N$778:$Y$778)*10)))</f>
        <v/>
      </c>
      <c r="EW26" s="217" t="str">
        <f>CONCATENATE('Eval-Avec act. écol. envisagée'!$N$778,'Eval-Avec act. écol. envisagée'!$O$778,'Eval-Avec act. écol. envisagée'!$P$778,'Eval-Avec act. écol. envisagée'!$Q$778,'Eval-Avec act. écol. envisagée'!$R$778,'Eval-Avec act. écol. envisagée'!$S$778,'Eval-Avec act. écol. envisagée'!$T$778,'Eval-Avec act. écol. envisagée'!$U$778,'Eval-Avec act. écol. envisagée'!$V$778,'Eval-Avec act. écol. envisagée'!$W$778,'Eval-Avec act. écol. envisagée'!$X$778,'Eval-Avec act. écol. envisagée'!$Y$778)</f>
        <v/>
      </c>
      <c r="EX26" s="217" t="str">
        <f t="shared" si="16"/>
        <v/>
      </c>
      <c r="EY26" s="217" t="str">
        <f t="shared" si="17"/>
        <v/>
      </c>
      <c r="EZ26" s="217" t="str">
        <f>IF(COUNTIF('Eval-Avec act. écol. envisagée'!$N$778:$Y$778,"=C")&gt;0,"X","")</f>
        <v/>
      </c>
      <c r="FA26" s="217" t="str">
        <f t="shared" si="18"/>
        <v/>
      </c>
      <c r="FB26" s="218" t="str">
        <f t="shared" si="19"/>
        <v/>
      </c>
      <c r="FC26" s="197"/>
      <c r="FE26" s="219"/>
      <c r="FF26" s="220">
        <f>SUMIF(FH9:FH23,"&gt;0",FF9:FF23)</f>
        <v>0</v>
      </c>
      <c r="FG26" s="1145" t="s">
        <v>444</v>
      </c>
      <c r="FH26" s="1146"/>
      <c r="FI26" s="1146"/>
      <c r="FJ26" s="1146"/>
      <c r="FK26" s="1146"/>
      <c r="FL26" s="1146"/>
      <c r="FM26" s="1146"/>
      <c r="FN26" s="1146"/>
      <c r="FO26" s="1146"/>
      <c r="FP26" s="1146"/>
      <c r="FQ26" s="1146"/>
      <c r="FR26" s="1146"/>
      <c r="FS26" s="1146"/>
      <c r="FT26" s="1146"/>
      <c r="FU26" s="1146"/>
      <c r="FV26" s="1146"/>
      <c r="FW26" s="1146"/>
      <c r="FX26" s="1146"/>
      <c r="FY26" s="1147"/>
      <c r="FZ26" s="222"/>
      <c r="GA26" s="216">
        <f>'Eval-Après action écologique'!$D$778</f>
        <v>18</v>
      </c>
      <c r="GB26" s="217" t="str">
        <f>IF(GC26="C",0,IF(IF(COUNTIF('Eval-Après action écologique'!$N$778:$Y$778,"=C")&gt;0,(COUNTA('Eval-Après action écologique'!$N$778:$Y$778)-1)*10,COUNTA('Eval-Après action écologique'!$N$778:$Y$778)*10)=0,"",IF(COUNTIF('Eval-Après action écologique'!$N$778:$Y$778,"=C")&gt;0,(COUNTA('Eval-Après action écologique'!$N$778:$Y$778)-1)*10,COUNTA('Eval-Après action écologique'!$N$778:$Y$778)*10)))</f>
        <v/>
      </c>
      <c r="GC26" s="217" t="str">
        <f>CONCATENATE('Eval-Après action écologique'!$N$778,'Eval-Après action écologique'!$O$778,'Eval-Après action écologique'!$P$778,'Eval-Après action écologique'!$Q$778,'Eval-Après action écologique'!$R$778,'Eval-Après action écologique'!$S$778,'Eval-Après action écologique'!$T$778,'Eval-Après action écologique'!$U$778,'Eval-Après action écologique'!$V$778,'Eval-Après action écologique'!$W$778,'Eval-Après action écologique'!$X$778,'Eval-Après action écologique'!$Y$778)</f>
        <v/>
      </c>
      <c r="GD26" s="217" t="str">
        <f t="shared" si="20"/>
        <v/>
      </c>
      <c r="GE26" s="217" t="str">
        <f t="shared" si="21"/>
        <v/>
      </c>
      <c r="GF26" s="217" t="str">
        <f>IF(COUNTIF('Eval-Après action écologique'!$N$778:$Y$778,"=C")&gt;0,"X","")</f>
        <v/>
      </c>
      <c r="GG26" s="217" t="str">
        <f t="shared" si="22"/>
        <v/>
      </c>
      <c r="GH26" s="218" t="str">
        <f t="shared" si="23"/>
        <v/>
      </c>
      <c r="GI26" s="197"/>
    </row>
    <row r="27" spans="1:191" ht="18.75" customHeight="1" x14ac:dyDescent="0.2">
      <c r="A27" s="219"/>
      <c r="B27" s="220">
        <f>SUM(IF(COUNTIF(E9:H9,"X")&gt;0,B9,0),IF(COUNTIF(E10:H10,"X")&gt;0,B10,0),IF(COUNTIF(E11:H11,"X")&gt;0,B11,0),IF(COUNTIF(E12:H12,"X")&gt;0,B12,0),IF(COUNTIF(E13:H13,"X")&gt;0,B13,0),IF(COUNTIF(E14:H14,"X")&gt;0,B14,0),IF(COUNTIF(E15:H15,"X")&gt;0,B15,0),IF(COUNTIF(E16:H16,"X")&gt;0,B16,0),IF(COUNTIF(E17:H17,"X")&gt;0,B17,0),IF(COUNTIF(E18:H18,"X")&gt;0,B18,0),IF(COUNTIF(E19:H19,"X")&gt;0,B19,0),IF(COUNTIF(E20:H20,"X")&gt;0,B20,0),IF(COUNTIF(E21:H21,"X")&gt;0,B21,0),IF(COUNTIF(E22:H22,"X")&gt;0,B22,0),IF(COUNTIF(E23:H23,"X")&gt;0,B23,0))</f>
        <v>0</v>
      </c>
      <c r="C27" s="1145" t="s">
        <v>445</v>
      </c>
      <c r="D27" s="1146"/>
      <c r="E27" s="1146"/>
      <c r="F27" s="1146"/>
      <c r="G27" s="1146"/>
      <c r="H27" s="1146"/>
      <c r="I27" s="1146"/>
      <c r="J27" s="1146"/>
      <c r="K27" s="1146"/>
      <c r="L27" s="1146"/>
      <c r="M27" s="1146"/>
      <c r="N27" s="1146"/>
      <c r="O27" s="1146"/>
      <c r="P27" s="1146"/>
      <c r="Q27" s="1146"/>
      <c r="R27" s="1146"/>
      <c r="S27" s="1146"/>
      <c r="T27" s="1146"/>
      <c r="U27" s="1147"/>
      <c r="V27" s="222"/>
      <c r="W27" s="216">
        <f>'Eval-Avant impact'!$D$779</f>
        <v>19</v>
      </c>
      <c r="X27" s="217" t="str">
        <f>IF(Y27="C",0,IF(IF(COUNTIF('Eval-Avant impact'!$N$779:$Y$779,"=C")&gt;0,(COUNTA('Eval-Avant impact'!$N$779:$Y$779)-1)*10,COUNTA('Eval-Avant impact'!$N$779:$Y$779)*10)=0,"",IF(COUNTIF('Eval-Avant impact'!$N$779:$Y$779,"=C")&gt;0,(COUNTA('Eval-Avant impact'!$N$779:$Y$779)-1)*10,COUNTA('Eval-Avant impact'!$N$779:$Y$779)*10)))</f>
        <v/>
      </c>
      <c r="Y27" s="217" t="str">
        <f>CONCATENATE('Eval-Avant impact'!$N$779,'Eval-Avant impact'!$O$779,'Eval-Avant impact'!$P$779,'Eval-Avant impact'!$Q$779,'Eval-Avant impact'!$R$779,'Eval-Avant impact'!$S$779,'Eval-Avant impact'!$T$779,'Eval-Avant impact'!$U$779,'Eval-Avant impact'!$V$779,'Eval-Avant impact'!$W$779,'Eval-Avant impact'!$X$779,'Eval-Avant impact'!$Y$779)</f>
        <v/>
      </c>
      <c r="Z27" s="217" t="str">
        <f t="shared" si="0"/>
        <v/>
      </c>
      <c r="AA27" s="217" t="str">
        <f t="shared" si="1"/>
        <v/>
      </c>
      <c r="AB27" s="217" t="str">
        <f>IF(COUNTIF('Eval-Avant impact'!$N$779:$Y$779,"=C")&gt;0,"X","")</f>
        <v/>
      </c>
      <c r="AC27" s="217" t="str">
        <f t="shared" si="2"/>
        <v/>
      </c>
      <c r="AD27" s="218" t="str">
        <f t="shared" si="3"/>
        <v/>
      </c>
      <c r="AE27" s="197"/>
      <c r="AG27" s="219"/>
      <c r="AH27" s="220">
        <f>SUM(IF(COUNTIF(AK9:AN9,"X")&gt;0,AH9,0),IF(COUNTIF(AK10:AN10,"X")&gt;0,AH10,0),IF(COUNTIF(AK11:AN11,"X")&gt;0,AH11,0),IF(COUNTIF(AK12:AN12,"X")&gt;0,AH12,0),IF(COUNTIF(AK13:AN13,"X")&gt;0,AH13,0),IF(COUNTIF(AK14:AN14,"X")&gt;0,AH14,0),IF(COUNTIF(AK15:AN15,"X")&gt;0,AH15,0),IF(COUNTIF(AK16:AN16,"X")&gt;0,AH16,0),IF(COUNTIF(AK17:AN17,"X")&gt;0,AH17,0),IF(COUNTIF(AK18:AN18,"X")&gt;0,AH18,0),IF(COUNTIF(AK19:AN19,"X")&gt;0,AH19,0),IF(COUNTIF(AK20:AN20,"X")&gt;0,AH20,0),IF(COUNTIF(AK21:AN21,"X")&gt;0,AH21,0),IF(COUNTIF(AK22:AN22,"X")&gt;0,AH22,0),IF(COUNTIF(AK23:AN23,"X")&gt;0,AH23,0))</f>
        <v>0</v>
      </c>
      <c r="AI27" s="1145" t="s">
        <v>445</v>
      </c>
      <c r="AJ27" s="1146"/>
      <c r="AK27" s="1146"/>
      <c r="AL27" s="1146"/>
      <c r="AM27" s="1146"/>
      <c r="AN27" s="1146"/>
      <c r="AO27" s="1146"/>
      <c r="AP27" s="1146"/>
      <c r="AQ27" s="1146"/>
      <c r="AR27" s="1146"/>
      <c r="AS27" s="1146"/>
      <c r="AT27" s="1146"/>
      <c r="AU27" s="1146"/>
      <c r="AV27" s="1146"/>
      <c r="AW27" s="1146"/>
      <c r="AX27" s="1146"/>
      <c r="AY27" s="1146"/>
      <c r="AZ27" s="1146"/>
      <c r="BA27" s="1147"/>
      <c r="BB27" s="222"/>
      <c r="BC27" s="216">
        <f>'Eval-Avec impact envisagé'!$D$779</f>
        <v>19</v>
      </c>
      <c r="BD27" s="217" t="str">
        <f>IF(BE27="C",0,IF(IF(COUNTIF('Eval-Avec impact envisagé'!$N$779:$Y$779,"=C")&gt;0,(COUNTA('Eval-Avec impact envisagé'!$N$779:$Y$779)-1)*10,COUNTA('Eval-Avec impact envisagé'!$N$779:$Y$779)*10)=0,"",IF(COUNTIF('Eval-Avec impact envisagé'!$N$779:$Y$779,"=C")&gt;0,(COUNTA('Eval-Avec impact envisagé'!$N$779:$Y$779)-1)*10,COUNTA('Eval-Avec impact envisagé'!$N$779:$Y$779)*10)))</f>
        <v/>
      </c>
      <c r="BE27" s="217" t="str">
        <f>CONCATENATE('Eval-Avec impact envisagé'!$N$779,'Eval-Avec impact envisagé'!$O$779,'Eval-Avec impact envisagé'!$P$779,'Eval-Avec impact envisagé'!$Q$779,'Eval-Avec impact envisagé'!$R$779,'Eval-Avec impact envisagé'!$S$779,'Eval-Avec impact envisagé'!$T$779,'Eval-Avec impact envisagé'!$U$779,'Eval-Avec impact envisagé'!$V$779,'Eval-Avec impact envisagé'!$W$779,'Eval-Avec impact envisagé'!$X$779,'Eval-Avec impact envisagé'!$Y$779)</f>
        <v/>
      </c>
      <c r="BF27" s="217" t="str">
        <f t="shared" si="4"/>
        <v/>
      </c>
      <c r="BG27" s="217" t="str">
        <f t="shared" si="5"/>
        <v/>
      </c>
      <c r="BH27" s="217" t="str">
        <f>IF(COUNTIF('Eval-Avec impact envisagé'!$N$779:$Y$779,"=C")&gt;0,"X","")</f>
        <v/>
      </c>
      <c r="BI27" s="217" t="str">
        <f t="shared" si="6"/>
        <v/>
      </c>
      <c r="BJ27" s="218" t="str">
        <f t="shared" si="7"/>
        <v/>
      </c>
      <c r="BK27" s="197"/>
      <c r="BM27" s="219"/>
      <c r="BN27" s="220">
        <f>SUM(IF(COUNTIF(BQ9:BT9,"X")&gt;0,BN9,0),IF(COUNTIF(BQ10:BT10,"X")&gt;0,BN10,0),IF(COUNTIF(BQ11:BT11,"X")&gt;0,BN11,0),IF(COUNTIF(BQ12:BT12,"X")&gt;0,BN12,0),IF(COUNTIF(BQ13:BT13,"X")&gt;0,BN13,0),IF(COUNTIF(BQ14:BT14,"X")&gt;0,BN14,0),IF(COUNTIF(BQ15:BT15,"X")&gt;0,BN15,0),IF(COUNTIF(BQ16:BT16,"X")&gt;0,BN16,0),IF(COUNTIF(BQ17:BT17,"X")&gt;0,BN17,0),IF(COUNTIF(BQ18:BT18,"X")&gt;0,BN18,0),IF(COUNTIF(BQ19:BT19,"X")&gt;0,BN19,0),IF(COUNTIF(BQ20:BT20,"X")&gt;0,BN20,0),IF(COUNTIF(BQ21:BT21,"X")&gt;0,BN21,0),IF(COUNTIF(BQ22:BT22,"X")&gt;0,BN22,0),IF(COUNTIF(BQ23:BT23,"X")&gt;0,BN23,0))</f>
        <v>0</v>
      </c>
      <c r="BO27" s="1145" t="s">
        <v>445</v>
      </c>
      <c r="BP27" s="1146"/>
      <c r="BQ27" s="1146"/>
      <c r="BR27" s="1146"/>
      <c r="BS27" s="1146"/>
      <c r="BT27" s="1146"/>
      <c r="BU27" s="1146"/>
      <c r="BV27" s="1146"/>
      <c r="BW27" s="1146"/>
      <c r="BX27" s="1146"/>
      <c r="BY27" s="1146"/>
      <c r="BZ27" s="1146"/>
      <c r="CA27" s="1146"/>
      <c r="CB27" s="1146"/>
      <c r="CC27" s="1146"/>
      <c r="CD27" s="1146"/>
      <c r="CE27" s="1146"/>
      <c r="CF27" s="1146"/>
      <c r="CG27" s="1147"/>
      <c r="CH27" s="222"/>
      <c r="CI27" s="216">
        <f>'Eval-Après impact'!$D$779</f>
        <v>19</v>
      </c>
      <c r="CJ27" s="217" t="str">
        <f>IF(CK27="C",0,IF(IF(COUNTIF('Eval-Après impact'!$N$779:$Y$779,"=C")&gt;0,(COUNTA('Eval-Après impact'!$N$779:$Y$779)-1)*10,COUNTA('Eval-Après impact'!$N$779:$Y$779)*10)=0,"",IF(COUNTIF('Eval-Après impact'!$N$779:$Y$779,"=C")&gt;0,(COUNTA('Eval-Après impact'!$N$779:$Y$779)-1)*10,COUNTA('Eval-Après impact'!$N$779:$Y$779)*10)))</f>
        <v/>
      </c>
      <c r="CK27" s="217" t="str">
        <f>CONCATENATE('Eval-Après impact'!$N$779,'Eval-Après impact'!$O$779,'Eval-Après impact'!$P$779,'Eval-Après impact'!$Q$779,'Eval-Après impact'!$R$779,'Eval-Après impact'!$S$779,'Eval-Après impact'!$T$779,'Eval-Après impact'!$U$779,'Eval-Après impact'!$V$779,'Eval-Après impact'!$W$779,'Eval-Après impact'!$X$779,'Eval-Après impact'!$Y$779)</f>
        <v/>
      </c>
      <c r="CL27" s="217" t="str">
        <f t="shared" si="8"/>
        <v/>
      </c>
      <c r="CM27" s="217" t="str">
        <f t="shared" si="9"/>
        <v/>
      </c>
      <c r="CN27" s="217" t="str">
        <f>IF(COUNTIF('Eval-Après impact'!$N$779:$Y$779,"=C")&gt;0,"X","")</f>
        <v/>
      </c>
      <c r="CO27" s="217" t="str">
        <f t="shared" si="10"/>
        <v/>
      </c>
      <c r="CP27" s="218" t="str">
        <f t="shared" si="11"/>
        <v/>
      </c>
      <c r="CQ27" s="197"/>
      <c r="CS27" s="219"/>
      <c r="CT27" s="220">
        <f>SUM(IF(COUNTIF(CW9:CZ9,"X")&gt;0,CT9,0),IF(COUNTIF(CW10:CZ10,"X")&gt;0,CT10,0),IF(COUNTIF(CW11:CZ11,"X")&gt;0,CT11,0),IF(COUNTIF(CW12:CZ12,"X")&gt;0,CT12,0),IF(COUNTIF(CW13:CZ13,"X")&gt;0,CT13,0),IF(COUNTIF(CW14:CZ14,"X")&gt;0,CT14,0),IF(COUNTIF(CW15:CZ15,"X")&gt;0,CT15,0),IF(COUNTIF(CW16:CZ16,"X")&gt;0,CT16,0),IF(COUNTIF(CW17:CZ17,"X")&gt;0,CT17,0),IF(COUNTIF(CW18:CZ18,"X")&gt;0,CT18,0),IF(COUNTIF(CW19:CZ19,"X")&gt;0,CT19,0),IF(COUNTIF(CW20:CZ20,"X")&gt;0,CT20,0),IF(COUNTIF(CW21:CZ21,"X")&gt;0,CT21,0),IF(COUNTIF(CW22:CZ22,"X")&gt;0,CT22,0),IF(COUNTIF(CW23:CZ23,"X")&gt;0,CT23,0))</f>
        <v>0</v>
      </c>
      <c r="CU27" s="1145" t="s">
        <v>445</v>
      </c>
      <c r="CV27" s="1146"/>
      <c r="CW27" s="1146"/>
      <c r="CX27" s="1146"/>
      <c r="CY27" s="1146"/>
      <c r="CZ27" s="1146"/>
      <c r="DA27" s="1146"/>
      <c r="DB27" s="1146"/>
      <c r="DC27" s="1146"/>
      <c r="DD27" s="1146"/>
      <c r="DE27" s="1146"/>
      <c r="DF27" s="1146"/>
      <c r="DG27" s="1146"/>
      <c r="DH27" s="1146"/>
      <c r="DI27" s="1146"/>
      <c r="DJ27" s="1146"/>
      <c r="DK27" s="1146"/>
      <c r="DL27" s="1146"/>
      <c r="DM27" s="1147"/>
      <c r="DN27" s="222"/>
      <c r="DO27" s="216">
        <f>'Eval-Avant action écologique'!$D$779</f>
        <v>19</v>
      </c>
      <c r="DP27" s="217" t="str">
        <f>IF(DQ27="C",0,IF(IF(COUNTIF('Eval-Avant action écologique'!$N$779:$Y$779,"=C")&gt;0,(COUNTA('Eval-Avant action écologique'!$N$779:$Y$779)-1)*10,COUNTA('Eval-Avant action écologique'!$N$779:$Y$779)*10)=0,"",IF(COUNTIF('Eval-Avant action écologique'!$N$779:$Y$779,"=C")&gt;0,(COUNTA('Eval-Avant action écologique'!$N$779:$Y$779)-1)*10,COUNTA('Eval-Avant action écologique'!$N$779:$Y$779)*10)))</f>
        <v/>
      </c>
      <c r="DQ27" s="217" t="str">
        <f>CONCATENATE('Eval-Avant action écologique'!$N$779,'Eval-Avant action écologique'!$O$779,'Eval-Avant action écologique'!$P$779,'Eval-Avant action écologique'!$Q$779,'Eval-Avant action écologique'!$R$779,'Eval-Avant action écologique'!$S$779,'Eval-Avant action écologique'!$T$779,'Eval-Avant action écologique'!$U$779,'Eval-Avant action écologique'!$V$779,'Eval-Avant action écologique'!$W$779,'Eval-Avant action écologique'!$X$779,'Eval-Avant action écologique'!$Y$779)</f>
        <v/>
      </c>
      <c r="DR27" s="217" t="str">
        <f t="shared" si="12"/>
        <v/>
      </c>
      <c r="DS27" s="217" t="str">
        <f t="shared" si="13"/>
        <v/>
      </c>
      <c r="DT27" s="217" t="str">
        <f>IF(COUNTIF('Eval-Avant action écologique'!$N$779:$Y$779,"=C")&gt;0,"X","")</f>
        <v/>
      </c>
      <c r="DU27" s="217" t="str">
        <f t="shared" si="14"/>
        <v/>
      </c>
      <c r="DV27" s="218" t="str">
        <f t="shared" si="15"/>
        <v/>
      </c>
      <c r="DW27" s="197"/>
      <c r="DY27" s="219"/>
      <c r="DZ27" s="220">
        <f>SUM(IF(COUNTIF(EC9:EF9,"X")&gt;0,DZ9,0),IF(COUNTIF(EC10:EF10,"X")&gt;0,DZ10,0),IF(COUNTIF(EC11:EF11,"X")&gt;0,DZ11,0),IF(COUNTIF(EC12:EF12,"X")&gt;0,DZ12,0),IF(COUNTIF(EC13:EF13,"X")&gt;0,DZ13,0),IF(COUNTIF(EC14:EF14,"X")&gt;0,DZ14,0),IF(COUNTIF(EC15:EF15,"X")&gt;0,DZ15,0),IF(COUNTIF(EC16:EF16,"X")&gt;0,DZ16,0),IF(COUNTIF(EC17:EF17,"X")&gt;0,DZ17,0),IF(COUNTIF(EC18:EF18,"X")&gt;0,DZ18,0),IF(COUNTIF(EC19:EF19,"X")&gt;0,DZ19,0),IF(COUNTIF(EC20:EF20,"X")&gt;0,DZ20,0),IF(COUNTIF(EC21:EF21,"X")&gt;0,DZ21,0),IF(COUNTIF(EC22:EF22,"X")&gt;0,DZ22,0),IF(COUNTIF(EC23:EF23,"X")&gt;0,DZ23,0))</f>
        <v>0</v>
      </c>
      <c r="EA27" s="1145" t="s">
        <v>445</v>
      </c>
      <c r="EB27" s="1146"/>
      <c r="EC27" s="1146"/>
      <c r="ED27" s="1146"/>
      <c r="EE27" s="1146"/>
      <c r="EF27" s="1146"/>
      <c r="EG27" s="1146"/>
      <c r="EH27" s="1146"/>
      <c r="EI27" s="1146"/>
      <c r="EJ27" s="1146"/>
      <c r="EK27" s="1146"/>
      <c r="EL27" s="1146"/>
      <c r="EM27" s="1146"/>
      <c r="EN27" s="1146"/>
      <c r="EO27" s="1146"/>
      <c r="EP27" s="1146"/>
      <c r="EQ27" s="1146"/>
      <c r="ER27" s="1146"/>
      <c r="ES27" s="1147"/>
      <c r="ET27" s="222"/>
      <c r="EU27" s="216">
        <f>'Eval-Avec act. écol. envisagée'!$D$779</f>
        <v>19</v>
      </c>
      <c r="EV27" s="217" t="str">
        <f>IF(EW27="C",0,IF(IF(COUNTIF('Eval-Avec act. écol. envisagée'!$N$779:$Y$779,"=C")&gt;0,(COUNTA('Eval-Avec act. écol. envisagée'!$N$779:$Y$779)-1)*10,COUNTA('Eval-Avec act. écol. envisagée'!$N$779:$Y$779)*10)=0,"",IF(COUNTIF('Eval-Avec act. écol. envisagée'!$N$779:$Y$779,"=C")&gt;0,(COUNTA('Eval-Avec act. écol. envisagée'!$N$779:$Y$779)-1)*10,COUNTA('Eval-Avec act. écol. envisagée'!$N$779:$Y$779)*10)))</f>
        <v/>
      </c>
      <c r="EW27" s="217" t="str">
        <f>CONCATENATE('Eval-Avec act. écol. envisagée'!$N$779,'Eval-Avec act. écol. envisagée'!$O$779,'Eval-Avec act. écol. envisagée'!$P$779,'Eval-Avec act. écol. envisagée'!$Q$779,'Eval-Avec act. écol. envisagée'!$R$779,'Eval-Avec act. écol. envisagée'!$S$779,'Eval-Avec act. écol. envisagée'!$T$779,'Eval-Avec act. écol. envisagée'!$U$779,'Eval-Avec act. écol. envisagée'!$V$779,'Eval-Avec act. écol. envisagée'!$W$779,'Eval-Avec act. écol. envisagée'!$X$779,'Eval-Avec act. écol. envisagée'!$Y$779)</f>
        <v/>
      </c>
      <c r="EX27" s="217" t="str">
        <f t="shared" si="16"/>
        <v/>
      </c>
      <c r="EY27" s="217" t="str">
        <f t="shared" si="17"/>
        <v/>
      </c>
      <c r="EZ27" s="217" t="str">
        <f>IF(COUNTIF('Eval-Avec act. écol. envisagée'!$N$779:$Y$779,"=C")&gt;0,"X","")</f>
        <v/>
      </c>
      <c r="FA27" s="217" t="str">
        <f t="shared" si="18"/>
        <v/>
      </c>
      <c r="FB27" s="218" t="str">
        <f t="shared" si="19"/>
        <v/>
      </c>
      <c r="FC27" s="197"/>
      <c r="FE27" s="219"/>
      <c r="FF27" s="220">
        <f>SUM(IF(COUNTIF(FI9:FL9,"X")&gt;0,FF9,0),IF(COUNTIF(FI10:FL10,"X")&gt;0,FF10,0),IF(COUNTIF(FI11:FL11,"X")&gt;0,FF11,0),IF(COUNTIF(FI12:FL12,"X")&gt;0,FF12,0),IF(COUNTIF(FI13:FL13,"X")&gt;0,FF13,0),IF(COUNTIF(FI14:FL14,"X")&gt;0,FF14,0),IF(COUNTIF(FI15:FL15,"X")&gt;0,FF15,0),IF(COUNTIF(FI16:FL16,"X")&gt;0,FF16,0),IF(COUNTIF(FI17:FL17,"X")&gt;0,FF17,0),IF(COUNTIF(FI18:FL18,"X")&gt;0,FF18,0),IF(COUNTIF(FI19:FL19,"X")&gt;0,FF19,0),IF(COUNTIF(FI20:FL20,"X")&gt;0,FF20,0),IF(COUNTIF(FI21:FL21,"X")&gt;0,FF21,0),IF(COUNTIF(FI22:FL22,"X")&gt;0,FF22,0),IF(COUNTIF(FI23:FL23,"X")&gt;0,FF23,0))</f>
        <v>0</v>
      </c>
      <c r="FG27" s="1145" t="s">
        <v>445</v>
      </c>
      <c r="FH27" s="1146"/>
      <c r="FI27" s="1146"/>
      <c r="FJ27" s="1146"/>
      <c r="FK27" s="1146"/>
      <c r="FL27" s="1146"/>
      <c r="FM27" s="1146"/>
      <c r="FN27" s="1146"/>
      <c r="FO27" s="1146"/>
      <c r="FP27" s="1146"/>
      <c r="FQ27" s="1146"/>
      <c r="FR27" s="1146"/>
      <c r="FS27" s="1146"/>
      <c r="FT27" s="1146"/>
      <c r="FU27" s="1146"/>
      <c r="FV27" s="1146"/>
      <c r="FW27" s="1146"/>
      <c r="FX27" s="1146"/>
      <c r="FY27" s="1147"/>
      <c r="FZ27" s="222"/>
      <c r="GA27" s="216">
        <f>'Eval-Après action écologique'!$D$779</f>
        <v>19</v>
      </c>
      <c r="GB27" s="217" t="str">
        <f>IF(GC27="C",0,IF(IF(COUNTIF('Eval-Après action écologique'!$N$779:$Y$779,"=C")&gt;0,(COUNTA('Eval-Après action écologique'!$N$779:$Y$779)-1)*10,COUNTA('Eval-Après action écologique'!$N$779:$Y$779)*10)=0,"",IF(COUNTIF('Eval-Après action écologique'!$N$779:$Y$779,"=C")&gt;0,(COUNTA('Eval-Après action écologique'!$N$779:$Y$779)-1)*10,COUNTA('Eval-Après action écologique'!$N$779:$Y$779)*10)))</f>
        <v/>
      </c>
      <c r="GC27" s="217" t="str">
        <f>CONCATENATE('Eval-Après action écologique'!$N$779,'Eval-Après action écologique'!$O$779,'Eval-Après action écologique'!$P$779,'Eval-Après action écologique'!$Q$779,'Eval-Après action écologique'!$R$779,'Eval-Après action écologique'!$S$779,'Eval-Après action écologique'!$T$779,'Eval-Après action écologique'!$U$779,'Eval-Après action écologique'!$V$779,'Eval-Après action écologique'!$W$779,'Eval-Après action écologique'!$X$779,'Eval-Après action écologique'!$Y$779)</f>
        <v/>
      </c>
      <c r="GD27" s="217" t="str">
        <f t="shared" si="20"/>
        <v/>
      </c>
      <c r="GE27" s="217" t="str">
        <f t="shared" si="21"/>
        <v/>
      </c>
      <c r="GF27" s="217" t="str">
        <f>IF(COUNTIF('Eval-Après action écologique'!$N$779:$Y$779,"=C")&gt;0,"X","")</f>
        <v/>
      </c>
      <c r="GG27" s="217" t="str">
        <f t="shared" si="22"/>
        <v/>
      </c>
      <c r="GH27" s="218" t="str">
        <f t="shared" si="23"/>
        <v/>
      </c>
      <c r="GI27" s="197"/>
    </row>
    <row r="28" spans="1:191" ht="18.75" customHeight="1" thickBot="1" x14ac:dyDescent="0.25">
      <c r="A28" s="219"/>
      <c r="B28" s="223">
        <f>SUMIF(I9:I23,"&gt;=0",B9:B23)</f>
        <v>0</v>
      </c>
      <c r="C28" s="1145" t="s">
        <v>467</v>
      </c>
      <c r="D28" s="1146"/>
      <c r="E28" s="1146"/>
      <c r="F28" s="1146"/>
      <c r="G28" s="1146"/>
      <c r="H28" s="1146"/>
      <c r="I28" s="1146"/>
      <c r="J28" s="1146"/>
      <c r="K28" s="1146"/>
      <c r="L28" s="1146"/>
      <c r="M28" s="1146"/>
      <c r="N28" s="1146"/>
      <c r="O28" s="1146"/>
      <c r="P28" s="1146"/>
      <c r="Q28" s="1146"/>
      <c r="R28" s="1146"/>
      <c r="S28" s="1146"/>
      <c r="T28" s="1146"/>
      <c r="U28" s="1147"/>
      <c r="V28" s="222"/>
      <c r="W28" s="224">
        <f>'Eval-Avant impact'!$D$780</f>
        <v>20</v>
      </c>
      <c r="X28" s="225" t="str">
        <f>IF(Y28="C",0,IF(IF(COUNTIF('Eval-Avant impact'!$N$780:$Y$780,"=C")&gt;0,(COUNTA('Eval-Avant impact'!$N$780:$Y$780)-1)*10,COUNTA('Eval-Avant impact'!$N$780:$Y$780)*10)=0,"",IF(COUNTIF('Eval-Avant impact'!$N$780:$Y$780,"=C")&gt;0,(COUNTA('Eval-Avant impact'!$N$780:$Y$780)-1)*10,COUNTA('Eval-Avant impact'!$N$780:$Y$780)*10)))</f>
        <v/>
      </c>
      <c r="Y28" s="225" t="str">
        <f>CONCATENATE('Eval-Avant impact'!$N$780,'Eval-Avant impact'!$O$780,'Eval-Avant impact'!$P$780,'Eval-Avant impact'!$Q$780,'Eval-Avant impact'!$R$780,'Eval-Avant impact'!$S$780,'Eval-Avant impact'!$T$780,'Eval-Avant impact'!$U$780,'Eval-Avant impact'!$V$780,'Eval-Avant impact'!$W$780,'Eval-Avant impact'!$X$780,'Eval-Avant impact'!$Y$780)</f>
        <v/>
      </c>
      <c r="Z28" s="225" t="str">
        <f t="shared" si="0"/>
        <v/>
      </c>
      <c r="AA28" s="225" t="str">
        <f t="shared" si="1"/>
        <v/>
      </c>
      <c r="AB28" s="225" t="str">
        <f>IF(COUNTIF('Eval-Avant impact'!$N$780:$Y$780,"=C")&gt;0,"X","")</f>
        <v/>
      </c>
      <c r="AC28" s="225" t="str">
        <f t="shared" si="2"/>
        <v/>
      </c>
      <c r="AD28" s="226" t="str">
        <f t="shared" si="3"/>
        <v/>
      </c>
      <c r="AE28" s="197"/>
      <c r="AG28" s="219"/>
      <c r="AH28" s="223">
        <f>SUMIF(AO9:AO23,"&gt;=0",AH9:AH23)</f>
        <v>0</v>
      </c>
      <c r="AI28" s="1145" t="s">
        <v>467</v>
      </c>
      <c r="AJ28" s="1146"/>
      <c r="AK28" s="1146"/>
      <c r="AL28" s="1146"/>
      <c r="AM28" s="1146"/>
      <c r="AN28" s="1146"/>
      <c r="AO28" s="1146"/>
      <c r="AP28" s="1146"/>
      <c r="AQ28" s="1146"/>
      <c r="AR28" s="1146"/>
      <c r="AS28" s="1146"/>
      <c r="AT28" s="1146"/>
      <c r="AU28" s="1146"/>
      <c r="AV28" s="1146"/>
      <c r="AW28" s="1146"/>
      <c r="AX28" s="1146"/>
      <c r="AY28" s="1146"/>
      <c r="AZ28" s="1146"/>
      <c r="BA28" s="1147"/>
      <c r="BB28" s="222"/>
      <c r="BC28" s="224">
        <f>'Eval-Avec impact envisagé'!$D$780</f>
        <v>20</v>
      </c>
      <c r="BD28" s="225" t="str">
        <f>IF(BE28="C",0,IF(IF(COUNTIF('Eval-Avec impact envisagé'!$N$780:$Y$780,"=C")&gt;0,(COUNTA('Eval-Avec impact envisagé'!$N$780:$Y$780)-1)*10,COUNTA('Eval-Avec impact envisagé'!$N$780:$Y$780)*10)=0,"",IF(COUNTIF('Eval-Avec impact envisagé'!$N$780:$Y$780,"=C")&gt;0,(COUNTA('Eval-Avec impact envisagé'!$N$780:$Y$780)-1)*10,COUNTA('Eval-Avec impact envisagé'!$N$780:$Y$780)*10)))</f>
        <v/>
      </c>
      <c r="BE28" s="225" t="str">
        <f>CONCATENATE('Eval-Avec impact envisagé'!$N$780,'Eval-Avec impact envisagé'!$O$780,'Eval-Avec impact envisagé'!$P$780,'Eval-Avec impact envisagé'!$Q$780,'Eval-Avec impact envisagé'!$R$780,'Eval-Avec impact envisagé'!$S$780,'Eval-Avec impact envisagé'!$T$780,'Eval-Avec impact envisagé'!$U$780,'Eval-Avec impact envisagé'!$V$780,'Eval-Avec impact envisagé'!$W$780,'Eval-Avec impact envisagé'!$X$780,'Eval-Avec impact envisagé'!$Y$780)</f>
        <v/>
      </c>
      <c r="BF28" s="225" t="str">
        <f t="shared" si="4"/>
        <v/>
      </c>
      <c r="BG28" s="225" t="str">
        <f t="shared" si="5"/>
        <v/>
      </c>
      <c r="BH28" s="225" t="str">
        <f>IF(COUNTIF('Eval-Avec impact envisagé'!$N$780:$Y$780,"=C")&gt;0,"X","")</f>
        <v/>
      </c>
      <c r="BI28" s="225" t="str">
        <f t="shared" si="6"/>
        <v/>
      </c>
      <c r="BJ28" s="226" t="str">
        <f t="shared" si="7"/>
        <v/>
      </c>
      <c r="BK28" s="197"/>
      <c r="BM28" s="219"/>
      <c r="BN28" s="223">
        <f>SUMIF(BU9:BU23,"&gt;=0",BN9:BN23)</f>
        <v>0</v>
      </c>
      <c r="BO28" s="1145" t="s">
        <v>467</v>
      </c>
      <c r="BP28" s="1146"/>
      <c r="BQ28" s="1146"/>
      <c r="BR28" s="1146"/>
      <c r="BS28" s="1146"/>
      <c r="BT28" s="1146"/>
      <c r="BU28" s="1146"/>
      <c r="BV28" s="1146"/>
      <c r="BW28" s="1146"/>
      <c r="BX28" s="1146"/>
      <c r="BY28" s="1146"/>
      <c r="BZ28" s="1146"/>
      <c r="CA28" s="1146"/>
      <c r="CB28" s="1146"/>
      <c r="CC28" s="1146"/>
      <c r="CD28" s="1146"/>
      <c r="CE28" s="1146"/>
      <c r="CF28" s="1146"/>
      <c r="CG28" s="1147"/>
      <c r="CH28" s="222"/>
      <c r="CI28" s="224">
        <f>'Eval-Après impact'!$D$780</f>
        <v>20</v>
      </c>
      <c r="CJ28" s="225" t="str">
        <f>IF(CK28="C",0,IF(IF(COUNTIF('Eval-Après impact'!$N$780:$Y$780,"=C")&gt;0,(COUNTA('Eval-Après impact'!$N$780:$Y$780)-1)*10,COUNTA('Eval-Après impact'!$N$780:$Y$780)*10)=0,"",IF(COUNTIF('Eval-Après impact'!$N$780:$Y$780,"=C")&gt;0,(COUNTA('Eval-Après impact'!$N$780:$Y$780)-1)*10,COUNTA('Eval-Après impact'!$N$780:$Y$780)*10)))</f>
        <v/>
      </c>
      <c r="CK28" s="225" t="str">
        <f>CONCATENATE('Eval-Après impact'!$N$780,'Eval-Après impact'!$O$780,'Eval-Après impact'!$P$780,'Eval-Après impact'!$Q$780,'Eval-Après impact'!$R$780,'Eval-Après impact'!$S$780,'Eval-Après impact'!$T$780,'Eval-Après impact'!$U$780,'Eval-Après impact'!$V$780,'Eval-Après impact'!$W$780,'Eval-Après impact'!$X$780,'Eval-Après impact'!$Y$780)</f>
        <v/>
      </c>
      <c r="CL28" s="225" t="str">
        <f t="shared" si="8"/>
        <v/>
      </c>
      <c r="CM28" s="225" t="str">
        <f t="shared" si="9"/>
        <v/>
      </c>
      <c r="CN28" s="225" t="str">
        <f>IF(COUNTIF('Eval-Après impact'!$N$780:$Y$780,"=C")&gt;0,"X","")</f>
        <v/>
      </c>
      <c r="CO28" s="225" t="str">
        <f t="shared" si="10"/>
        <v/>
      </c>
      <c r="CP28" s="226" t="str">
        <f t="shared" si="11"/>
        <v/>
      </c>
      <c r="CQ28" s="197"/>
      <c r="CS28" s="219"/>
      <c r="CT28" s="223">
        <f>SUMIF(DA9:DA23,"&gt;=0",CT9:CT23)</f>
        <v>0</v>
      </c>
      <c r="CU28" s="1145" t="s">
        <v>467</v>
      </c>
      <c r="CV28" s="1146"/>
      <c r="CW28" s="1146"/>
      <c r="CX28" s="1146"/>
      <c r="CY28" s="1146"/>
      <c r="CZ28" s="1146"/>
      <c r="DA28" s="1146"/>
      <c r="DB28" s="1146"/>
      <c r="DC28" s="1146"/>
      <c r="DD28" s="1146"/>
      <c r="DE28" s="1146"/>
      <c r="DF28" s="1146"/>
      <c r="DG28" s="1146"/>
      <c r="DH28" s="1146"/>
      <c r="DI28" s="1146"/>
      <c r="DJ28" s="1146"/>
      <c r="DK28" s="1146"/>
      <c r="DL28" s="1146"/>
      <c r="DM28" s="1147"/>
      <c r="DN28" s="222"/>
      <c r="DO28" s="224">
        <f>'Eval-Avant action écologique'!$D$780</f>
        <v>20</v>
      </c>
      <c r="DP28" s="225" t="str">
        <f>IF(DQ28="C",0,IF(IF(COUNTIF('Eval-Avant action écologique'!$N$780:$Y$780,"=C")&gt;0,(COUNTA('Eval-Avant action écologique'!$N$780:$Y$780)-1)*10,COUNTA('Eval-Avant action écologique'!$N$780:$Y$780)*10)=0,"",IF(COUNTIF('Eval-Avant action écologique'!$N$780:$Y$780,"=C")&gt;0,(COUNTA('Eval-Avant action écologique'!$N$780:$Y$780)-1)*10,COUNTA('Eval-Avant action écologique'!$N$780:$Y$780)*10)))</f>
        <v/>
      </c>
      <c r="DQ28" s="225" t="str">
        <f>CONCATENATE('Eval-Avant action écologique'!$N$780,'Eval-Avant action écologique'!$O$780,'Eval-Avant action écologique'!$P$780,'Eval-Avant action écologique'!$Q$780,'Eval-Avant action écologique'!$R$780,'Eval-Avant action écologique'!$S$780,'Eval-Avant action écologique'!$T$780,'Eval-Avant action écologique'!$U$780,'Eval-Avant action écologique'!$V$780,'Eval-Avant action écologique'!$W$780,'Eval-Avant action écologique'!$X$780,'Eval-Avant action écologique'!$Y$780)</f>
        <v/>
      </c>
      <c r="DR28" s="225" t="str">
        <f t="shared" si="12"/>
        <v/>
      </c>
      <c r="DS28" s="225" t="str">
        <f t="shared" si="13"/>
        <v/>
      </c>
      <c r="DT28" s="225" t="str">
        <f>IF(COUNTIF('Eval-Avant action écologique'!$N$780:$Y$780,"=C")&gt;0,"X","")</f>
        <v/>
      </c>
      <c r="DU28" s="225" t="str">
        <f t="shared" si="14"/>
        <v/>
      </c>
      <c r="DV28" s="226" t="str">
        <f t="shared" si="15"/>
        <v/>
      </c>
      <c r="DW28" s="197"/>
      <c r="DY28" s="219"/>
      <c r="DZ28" s="223">
        <f>SUMIF(EG9:EG23,"&gt;=0",DZ9:DZ23)</f>
        <v>0</v>
      </c>
      <c r="EA28" s="1145" t="s">
        <v>467</v>
      </c>
      <c r="EB28" s="1146"/>
      <c r="EC28" s="1146"/>
      <c r="ED28" s="1146"/>
      <c r="EE28" s="1146"/>
      <c r="EF28" s="1146"/>
      <c r="EG28" s="1146"/>
      <c r="EH28" s="1146"/>
      <c r="EI28" s="1146"/>
      <c r="EJ28" s="1146"/>
      <c r="EK28" s="1146"/>
      <c r="EL28" s="1146"/>
      <c r="EM28" s="1146"/>
      <c r="EN28" s="1146"/>
      <c r="EO28" s="1146"/>
      <c r="EP28" s="1146"/>
      <c r="EQ28" s="1146"/>
      <c r="ER28" s="1146"/>
      <c r="ES28" s="1147"/>
      <c r="ET28" s="222"/>
      <c r="EU28" s="224">
        <f>'Eval-Avec act. écol. envisagée'!$D$780</f>
        <v>20</v>
      </c>
      <c r="EV28" s="225" t="str">
        <f>IF(EW28="C",0,IF(IF(COUNTIF('Eval-Avec act. écol. envisagée'!$N$780:$Y$780,"=C")&gt;0,(COUNTA('Eval-Avec act. écol. envisagée'!$N$780:$Y$780)-1)*10,COUNTA('Eval-Avec act. écol. envisagée'!$N$780:$Y$780)*10)=0,"",IF(COUNTIF('Eval-Avec act. écol. envisagée'!$N$780:$Y$780,"=C")&gt;0,(COUNTA('Eval-Avec act. écol. envisagée'!$N$780:$Y$780)-1)*10,COUNTA('Eval-Avec act. écol. envisagée'!$N$780:$Y$780)*10)))</f>
        <v/>
      </c>
      <c r="EW28" s="225" t="str">
        <f>CONCATENATE('Eval-Avec act. écol. envisagée'!$N$780,'Eval-Avec act. écol. envisagée'!$O$780,'Eval-Avec act. écol. envisagée'!$P$780,'Eval-Avec act. écol. envisagée'!$Q$780,'Eval-Avec act. écol. envisagée'!$R$780,'Eval-Avec act. écol. envisagée'!$S$780,'Eval-Avec act. écol. envisagée'!$T$780,'Eval-Avec act. écol. envisagée'!$U$780,'Eval-Avec act. écol. envisagée'!$V$780,'Eval-Avec act. écol. envisagée'!$W$780,'Eval-Avec act. écol. envisagée'!$X$780,'Eval-Avec act. écol. envisagée'!$Y$780)</f>
        <v/>
      </c>
      <c r="EX28" s="225" t="str">
        <f t="shared" si="16"/>
        <v/>
      </c>
      <c r="EY28" s="225" t="str">
        <f t="shared" si="17"/>
        <v/>
      </c>
      <c r="EZ28" s="225" t="str">
        <f>IF(COUNTIF('Eval-Avec act. écol. envisagée'!$N$780:$Y$780,"=C")&gt;0,"X","")</f>
        <v/>
      </c>
      <c r="FA28" s="225" t="str">
        <f t="shared" si="18"/>
        <v/>
      </c>
      <c r="FB28" s="226" t="str">
        <f t="shared" si="19"/>
        <v/>
      </c>
      <c r="FC28" s="197"/>
      <c r="FE28" s="219"/>
      <c r="FF28" s="223">
        <f>SUMIF(FM9:FM23,"&gt;=0",FF9:FF23)</f>
        <v>0</v>
      </c>
      <c r="FG28" s="1145" t="s">
        <v>467</v>
      </c>
      <c r="FH28" s="1146"/>
      <c r="FI28" s="1146"/>
      <c r="FJ28" s="1146"/>
      <c r="FK28" s="1146"/>
      <c r="FL28" s="1146"/>
      <c r="FM28" s="1146"/>
      <c r="FN28" s="1146"/>
      <c r="FO28" s="1146"/>
      <c r="FP28" s="1146"/>
      <c r="FQ28" s="1146"/>
      <c r="FR28" s="1146"/>
      <c r="FS28" s="1146"/>
      <c r="FT28" s="1146"/>
      <c r="FU28" s="1146"/>
      <c r="FV28" s="1146"/>
      <c r="FW28" s="1146"/>
      <c r="FX28" s="1146"/>
      <c r="FY28" s="1147"/>
      <c r="FZ28" s="222"/>
      <c r="GA28" s="224">
        <f>'Eval-Après action écologique'!$D$780</f>
        <v>20</v>
      </c>
      <c r="GB28" s="225" t="str">
        <f>IF(GC28="C",0,IF(IF(COUNTIF('Eval-Après action écologique'!$N$780:$Y$780,"=C")&gt;0,(COUNTA('Eval-Après action écologique'!$N$780:$Y$780)-1)*10,COUNTA('Eval-Après action écologique'!$N$780:$Y$780)*10)=0,"",IF(COUNTIF('Eval-Après action écologique'!$N$780:$Y$780,"=C")&gt;0,(COUNTA('Eval-Après action écologique'!$N$780:$Y$780)-1)*10,COUNTA('Eval-Après action écologique'!$N$780:$Y$780)*10)))</f>
        <v/>
      </c>
      <c r="GC28" s="225" t="str">
        <f>CONCATENATE('Eval-Après action écologique'!$N$780,'Eval-Après action écologique'!$O$780,'Eval-Après action écologique'!$P$780,'Eval-Après action écologique'!$Q$780,'Eval-Après action écologique'!$R$780,'Eval-Après action écologique'!$S$780,'Eval-Après action écologique'!$T$780,'Eval-Après action écologique'!$U$780,'Eval-Après action écologique'!$V$780,'Eval-Après action écologique'!$W$780,'Eval-Après action écologique'!$X$780,'Eval-Après action écologique'!$Y$780)</f>
        <v/>
      </c>
      <c r="GD28" s="225" t="str">
        <f t="shared" si="20"/>
        <v/>
      </c>
      <c r="GE28" s="225" t="str">
        <f t="shared" si="21"/>
        <v/>
      </c>
      <c r="GF28" s="225" t="str">
        <f>IF(COUNTIF('Eval-Après action écologique'!$N$780:$Y$780,"=C")&gt;0,"X","")</f>
        <v/>
      </c>
      <c r="GG28" s="225" t="str">
        <f t="shared" si="22"/>
        <v/>
      </c>
      <c r="GH28" s="226" t="str">
        <f t="shared" si="23"/>
        <v/>
      </c>
      <c r="GI28" s="197"/>
    </row>
    <row r="29" spans="1:191" ht="18.75" customHeight="1" x14ac:dyDescent="0.2">
      <c r="A29" s="219"/>
      <c r="B29" s="220">
        <f>SUMIF(J9:J23,"&gt;=0",B9:B23)</f>
        <v>0</v>
      </c>
      <c r="C29" s="1145" t="s">
        <v>179</v>
      </c>
      <c r="D29" s="1146"/>
      <c r="E29" s="1146"/>
      <c r="F29" s="1146"/>
      <c r="G29" s="1146"/>
      <c r="H29" s="1146"/>
      <c r="I29" s="1146"/>
      <c r="J29" s="1146"/>
      <c r="K29" s="1146"/>
      <c r="L29" s="1146"/>
      <c r="M29" s="1146"/>
      <c r="N29" s="1146"/>
      <c r="O29" s="1146"/>
      <c r="P29" s="1146"/>
      <c r="Q29" s="1146"/>
      <c r="R29" s="1146"/>
      <c r="S29" s="1146"/>
      <c r="T29" s="1146"/>
      <c r="U29" s="1147"/>
      <c r="V29" s="222"/>
      <c r="W29" s="221"/>
      <c r="X29" s="197"/>
      <c r="Y29" s="197"/>
      <c r="Z29" s="197"/>
      <c r="AA29" s="197"/>
      <c r="AB29" s="197"/>
      <c r="AC29" s="197"/>
      <c r="AD29" s="221"/>
      <c r="AE29" s="197"/>
      <c r="AG29" s="219"/>
      <c r="AH29" s="220">
        <f>SUMIF(AP9:AP23,"&gt;=0",AH9:AH23)</f>
        <v>0</v>
      </c>
      <c r="AI29" s="1145" t="s">
        <v>179</v>
      </c>
      <c r="AJ29" s="1146"/>
      <c r="AK29" s="1146"/>
      <c r="AL29" s="1146"/>
      <c r="AM29" s="1146"/>
      <c r="AN29" s="1146"/>
      <c r="AO29" s="1146"/>
      <c r="AP29" s="1146"/>
      <c r="AQ29" s="1146"/>
      <c r="AR29" s="1146"/>
      <c r="AS29" s="1146"/>
      <c r="AT29" s="1146"/>
      <c r="AU29" s="1146"/>
      <c r="AV29" s="1146"/>
      <c r="AW29" s="1146"/>
      <c r="AX29" s="1146"/>
      <c r="AY29" s="1146"/>
      <c r="AZ29" s="1146"/>
      <c r="BA29" s="1147"/>
      <c r="BB29" s="222"/>
      <c r="BC29" s="221"/>
      <c r="BD29" s="197"/>
      <c r="BE29" s="197"/>
      <c r="BF29" s="197"/>
      <c r="BG29" s="197"/>
      <c r="BH29" s="197"/>
      <c r="BI29" s="197"/>
      <c r="BJ29" s="221"/>
      <c r="BK29" s="197"/>
      <c r="BM29" s="219"/>
      <c r="BN29" s="220">
        <f>SUMIF(BV9:BV23,"&gt;=0",BN9:BN23)</f>
        <v>0</v>
      </c>
      <c r="BO29" s="1145" t="s">
        <v>179</v>
      </c>
      <c r="BP29" s="1146"/>
      <c r="BQ29" s="1146"/>
      <c r="BR29" s="1146"/>
      <c r="BS29" s="1146"/>
      <c r="BT29" s="1146"/>
      <c r="BU29" s="1146"/>
      <c r="BV29" s="1146"/>
      <c r="BW29" s="1146"/>
      <c r="BX29" s="1146"/>
      <c r="BY29" s="1146"/>
      <c r="BZ29" s="1146"/>
      <c r="CA29" s="1146"/>
      <c r="CB29" s="1146"/>
      <c r="CC29" s="1146"/>
      <c r="CD29" s="1146"/>
      <c r="CE29" s="1146"/>
      <c r="CF29" s="1146"/>
      <c r="CG29" s="1147"/>
      <c r="CH29" s="222"/>
      <c r="CI29" s="221"/>
      <c r="CJ29" s="197"/>
      <c r="CK29" s="197"/>
      <c r="CL29" s="197"/>
      <c r="CM29" s="197"/>
      <c r="CN29" s="197"/>
      <c r="CO29" s="197"/>
      <c r="CP29" s="221"/>
      <c r="CQ29" s="197"/>
      <c r="CS29" s="219"/>
      <c r="CT29" s="220">
        <f>SUMIF(DB9:DB23,"&gt;=0",CT9:CT23)</f>
        <v>0</v>
      </c>
      <c r="CU29" s="1145" t="s">
        <v>179</v>
      </c>
      <c r="CV29" s="1146"/>
      <c r="CW29" s="1146"/>
      <c r="CX29" s="1146"/>
      <c r="CY29" s="1146"/>
      <c r="CZ29" s="1146"/>
      <c r="DA29" s="1146"/>
      <c r="DB29" s="1146"/>
      <c r="DC29" s="1146"/>
      <c r="DD29" s="1146"/>
      <c r="DE29" s="1146"/>
      <c r="DF29" s="1146"/>
      <c r="DG29" s="1146"/>
      <c r="DH29" s="1146"/>
      <c r="DI29" s="1146"/>
      <c r="DJ29" s="1146"/>
      <c r="DK29" s="1146"/>
      <c r="DL29" s="1146"/>
      <c r="DM29" s="1147"/>
      <c r="DN29" s="222"/>
      <c r="DO29" s="221"/>
      <c r="DP29" s="197"/>
      <c r="DQ29" s="197"/>
      <c r="DR29" s="197"/>
      <c r="DS29" s="197"/>
      <c r="DT29" s="197"/>
      <c r="DU29" s="197"/>
      <c r="DV29" s="221"/>
      <c r="DW29" s="197"/>
      <c r="DY29" s="219"/>
      <c r="DZ29" s="220">
        <f>SUMIF(EH9:EH23,"&gt;=0",DZ9:DZ23)</f>
        <v>0</v>
      </c>
      <c r="EA29" s="1145" t="s">
        <v>179</v>
      </c>
      <c r="EB29" s="1146"/>
      <c r="EC29" s="1146"/>
      <c r="ED29" s="1146"/>
      <c r="EE29" s="1146"/>
      <c r="EF29" s="1146"/>
      <c r="EG29" s="1146"/>
      <c r="EH29" s="1146"/>
      <c r="EI29" s="1146"/>
      <c r="EJ29" s="1146"/>
      <c r="EK29" s="1146"/>
      <c r="EL29" s="1146"/>
      <c r="EM29" s="1146"/>
      <c r="EN29" s="1146"/>
      <c r="EO29" s="1146"/>
      <c r="EP29" s="1146"/>
      <c r="EQ29" s="1146"/>
      <c r="ER29" s="1146"/>
      <c r="ES29" s="1147"/>
      <c r="ET29" s="222"/>
      <c r="EU29" s="221"/>
      <c r="EV29" s="197"/>
      <c r="EW29" s="197"/>
      <c r="EX29" s="197"/>
      <c r="EY29" s="197"/>
      <c r="EZ29" s="197"/>
      <c r="FA29" s="197"/>
      <c r="FB29" s="221"/>
      <c r="FC29" s="197"/>
      <c r="FE29" s="219"/>
      <c r="FF29" s="220">
        <f>SUMIF(FN9:FN23,"&gt;=0",FF9:FF23)</f>
        <v>0</v>
      </c>
      <c r="FG29" s="1145" t="s">
        <v>179</v>
      </c>
      <c r="FH29" s="1146"/>
      <c r="FI29" s="1146"/>
      <c r="FJ29" s="1146"/>
      <c r="FK29" s="1146"/>
      <c r="FL29" s="1146"/>
      <c r="FM29" s="1146"/>
      <c r="FN29" s="1146"/>
      <c r="FO29" s="1146"/>
      <c r="FP29" s="1146"/>
      <c r="FQ29" s="1146"/>
      <c r="FR29" s="1146"/>
      <c r="FS29" s="1146"/>
      <c r="FT29" s="1146"/>
      <c r="FU29" s="1146"/>
      <c r="FV29" s="1146"/>
      <c r="FW29" s="1146"/>
      <c r="FX29" s="1146"/>
      <c r="FY29" s="1147"/>
      <c r="FZ29" s="222"/>
      <c r="GA29" s="221"/>
      <c r="GB29" s="197"/>
      <c r="GC29" s="197"/>
      <c r="GD29" s="197"/>
      <c r="GE29" s="197"/>
      <c r="GF29" s="197"/>
      <c r="GG29" s="197"/>
      <c r="GH29" s="221"/>
      <c r="GI29" s="197"/>
    </row>
    <row r="30" spans="1:191" ht="18.75" customHeight="1" x14ac:dyDescent="0.2">
      <c r="A30" s="219"/>
      <c r="B30" s="227" t="str">
        <f>IF(COUNTIF(AD9:AD28,"X")&gt;0,"X","")</f>
        <v/>
      </c>
      <c r="C30" s="1145" t="s">
        <v>506</v>
      </c>
      <c r="D30" s="1146"/>
      <c r="E30" s="1146"/>
      <c r="F30" s="1146"/>
      <c r="G30" s="1146"/>
      <c r="H30" s="1146"/>
      <c r="I30" s="1146"/>
      <c r="J30" s="1146"/>
      <c r="K30" s="1146"/>
      <c r="L30" s="1146"/>
      <c r="M30" s="1146"/>
      <c r="N30" s="1146"/>
      <c r="O30" s="1146"/>
      <c r="P30" s="1146"/>
      <c r="Q30" s="1146"/>
      <c r="R30" s="1146"/>
      <c r="S30" s="1146"/>
      <c r="T30" s="1146"/>
      <c r="U30" s="1147"/>
      <c r="V30" s="222"/>
      <c r="W30" s="221"/>
      <c r="X30" s="197"/>
      <c r="Y30" s="197"/>
      <c r="Z30" s="197"/>
      <c r="AA30" s="197"/>
      <c r="AB30" s="197"/>
      <c r="AC30" s="197"/>
      <c r="AD30" s="221"/>
      <c r="AE30" s="197"/>
      <c r="AG30" s="219"/>
      <c r="AH30" s="227" t="str">
        <f>IF(COUNTIF(BJ9:BJ28,"X")&gt;0,"X","")</f>
        <v/>
      </c>
      <c r="AI30" s="1145" t="s">
        <v>506</v>
      </c>
      <c r="AJ30" s="1146"/>
      <c r="AK30" s="1146"/>
      <c r="AL30" s="1146"/>
      <c r="AM30" s="1146"/>
      <c r="AN30" s="1146"/>
      <c r="AO30" s="1146"/>
      <c r="AP30" s="1146"/>
      <c r="AQ30" s="1146"/>
      <c r="AR30" s="1146"/>
      <c r="AS30" s="1146"/>
      <c r="AT30" s="1146"/>
      <c r="AU30" s="1146"/>
      <c r="AV30" s="1146"/>
      <c r="AW30" s="1146"/>
      <c r="AX30" s="1146"/>
      <c r="AY30" s="1146"/>
      <c r="AZ30" s="1146"/>
      <c r="BA30" s="1147"/>
      <c r="BB30" s="222"/>
      <c r="BC30" s="221"/>
      <c r="BD30" s="197"/>
      <c r="BE30" s="197"/>
      <c r="BF30" s="197"/>
      <c r="BG30" s="197"/>
      <c r="BH30" s="197"/>
      <c r="BI30" s="197"/>
      <c r="BJ30" s="221"/>
      <c r="BK30" s="197"/>
      <c r="BM30" s="219"/>
      <c r="BN30" s="227" t="str">
        <f>IF(COUNTIF(CP9:CP28,"X")&gt;0,"X","")</f>
        <v/>
      </c>
      <c r="BO30" s="1145" t="s">
        <v>506</v>
      </c>
      <c r="BP30" s="1146"/>
      <c r="BQ30" s="1146"/>
      <c r="BR30" s="1146"/>
      <c r="BS30" s="1146"/>
      <c r="BT30" s="1146"/>
      <c r="BU30" s="1146"/>
      <c r="BV30" s="1146"/>
      <c r="BW30" s="1146"/>
      <c r="BX30" s="1146"/>
      <c r="BY30" s="1146"/>
      <c r="BZ30" s="1146"/>
      <c r="CA30" s="1146"/>
      <c r="CB30" s="1146"/>
      <c r="CC30" s="1146"/>
      <c r="CD30" s="1146"/>
      <c r="CE30" s="1146"/>
      <c r="CF30" s="1146"/>
      <c r="CG30" s="1147"/>
      <c r="CH30" s="222"/>
      <c r="CI30" s="221"/>
      <c r="CJ30" s="197"/>
      <c r="CK30" s="197"/>
      <c r="CL30" s="197"/>
      <c r="CM30" s="197"/>
      <c r="CN30" s="197"/>
      <c r="CO30" s="197"/>
      <c r="CP30" s="221"/>
      <c r="CQ30" s="197"/>
      <c r="CS30" s="219"/>
      <c r="CT30" s="227" t="str">
        <f>IF(COUNTIF(DV9:DV28,"X")&gt;0,"X","")</f>
        <v/>
      </c>
      <c r="CU30" s="1145" t="s">
        <v>506</v>
      </c>
      <c r="CV30" s="1146"/>
      <c r="CW30" s="1146"/>
      <c r="CX30" s="1146"/>
      <c r="CY30" s="1146"/>
      <c r="CZ30" s="1146"/>
      <c r="DA30" s="1146"/>
      <c r="DB30" s="1146"/>
      <c r="DC30" s="1146"/>
      <c r="DD30" s="1146"/>
      <c r="DE30" s="1146"/>
      <c r="DF30" s="1146"/>
      <c r="DG30" s="1146"/>
      <c r="DH30" s="1146"/>
      <c r="DI30" s="1146"/>
      <c r="DJ30" s="1146"/>
      <c r="DK30" s="1146"/>
      <c r="DL30" s="1146"/>
      <c r="DM30" s="1147"/>
      <c r="DN30" s="222"/>
      <c r="DO30" s="221"/>
      <c r="DP30" s="197"/>
      <c r="DQ30" s="197"/>
      <c r="DR30" s="197"/>
      <c r="DS30" s="197"/>
      <c r="DT30" s="197"/>
      <c r="DU30" s="197"/>
      <c r="DV30" s="221"/>
      <c r="DW30" s="197"/>
      <c r="DY30" s="219"/>
      <c r="DZ30" s="227" t="str">
        <f>IF(COUNTIF(FB9:FB28,"X")&gt;0,"X","")</f>
        <v/>
      </c>
      <c r="EA30" s="1145" t="s">
        <v>506</v>
      </c>
      <c r="EB30" s="1146"/>
      <c r="EC30" s="1146"/>
      <c r="ED30" s="1146"/>
      <c r="EE30" s="1146"/>
      <c r="EF30" s="1146"/>
      <c r="EG30" s="1146"/>
      <c r="EH30" s="1146"/>
      <c r="EI30" s="1146"/>
      <c r="EJ30" s="1146"/>
      <c r="EK30" s="1146"/>
      <c r="EL30" s="1146"/>
      <c r="EM30" s="1146"/>
      <c r="EN30" s="1146"/>
      <c r="EO30" s="1146"/>
      <c r="EP30" s="1146"/>
      <c r="EQ30" s="1146"/>
      <c r="ER30" s="1146"/>
      <c r="ES30" s="1147"/>
      <c r="ET30" s="222"/>
      <c r="EU30" s="221"/>
      <c r="EV30" s="197"/>
      <c r="EW30" s="197"/>
      <c r="EX30" s="197"/>
      <c r="EY30" s="197"/>
      <c r="EZ30" s="197"/>
      <c r="FA30" s="197"/>
      <c r="FB30" s="221"/>
      <c r="FC30" s="197"/>
      <c r="FE30" s="219"/>
      <c r="FF30" s="227" t="str">
        <f>IF(COUNTIF(GH9:GH28,"X")&gt;0,"X","")</f>
        <v/>
      </c>
      <c r="FG30" s="1145" t="s">
        <v>506</v>
      </c>
      <c r="FH30" s="1146"/>
      <c r="FI30" s="1146"/>
      <c r="FJ30" s="1146"/>
      <c r="FK30" s="1146"/>
      <c r="FL30" s="1146"/>
      <c r="FM30" s="1146"/>
      <c r="FN30" s="1146"/>
      <c r="FO30" s="1146"/>
      <c r="FP30" s="1146"/>
      <c r="FQ30" s="1146"/>
      <c r="FR30" s="1146"/>
      <c r="FS30" s="1146"/>
      <c r="FT30" s="1146"/>
      <c r="FU30" s="1146"/>
      <c r="FV30" s="1146"/>
      <c r="FW30" s="1146"/>
      <c r="FX30" s="1146"/>
      <c r="FY30" s="1147"/>
      <c r="FZ30" s="222"/>
      <c r="GA30" s="221"/>
      <c r="GB30" s="197"/>
      <c r="GC30" s="197"/>
      <c r="GD30" s="197"/>
      <c r="GE30" s="197"/>
      <c r="GF30" s="197"/>
      <c r="GG30" s="197"/>
      <c r="GH30" s="221"/>
      <c r="GI30" s="197"/>
    </row>
    <row r="31" spans="1:191" ht="18.75" customHeight="1" x14ac:dyDescent="0.2">
      <c r="A31" s="219"/>
      <c r="B31" s="227" t="str">
        <f>IF(COUNTIF(AC9:AC28,"X")&gt;0,"X","")</f>
        <v/>
      </c>
      <c r="C31" s="1145" t="s">
        <v>461</v>
      </c>
      <c r="D31" s="1146"/>
      <c r="E31" s="1146"/>
      <c r="F31" s="1146"/>
      <c r="G31" s="1146"/>
      <c r="H31" s="1146"/>
      <c r="I31" s="1146"/>
      <c r="J31" s="1146"/>
      <c r="K31" s="1146"/>
      <c r="L31" s="1146"/>
      <c r="M31" s="1146"/>
      <c r="N31" s="1146"/>
      <c r="O31" s="1146"/>
      <c r="P31" s="1146"/>
      <c r="Q31" s="1146"/>
      <c r="R31" s="1146"/>
      <c r="S31" s="1146"/>
      <c r="T31" s="1146"/>
      <c r="U31" s="1147"/>
      <c r="V31" s="222"/>
      <c r="W31" s="221"/>
      <c r="X31" s="197"/>
      <c r="Y31" s="197"/>
      <c r="Z31" s="197"/>
      <c r="AA31" s="197"/>
      <c r="AB31" s="197"/>
      <c r="AC31" s="197"/>
      <c r="AD31" s="221"/>
      <c r="AE31" s="197"/>
      <c r="AG31" s="219"/>
      <c r="AH31" s="227" t="str">
        <f>IF(COUNTIF(BI9:BI28,"X")&gt;0,"X","")</f>
        <v/>
      </c>
      <c r="AI31" s="1145" t="s">
        <v>461</v>
      </c>
      <c r="AJ31" s="1146"/>
      <c r="AK31" s="1146"/>
      <c r="AL31" s="1146"/>
      <c r="AM31" s="1146"/>
      <c r="AN31" s="1146"/>
      <c r="AO31" s="1146"/>
      <c r="AP31" s="1146"/>
      <c r="AQ31" s="1146"/>
      <c r="AR31" s="1146"/>
      <c r="AS31" s="1146"/>
      <c r="AT31" s="1146"/>
      <c r="AU31" s="1146"/>
      <c r="AV31" s="1146"/>
      <c r="AW31" s="1146"/>
      <c r="AX31" s="1146"/>
      <c r="AY31" s="1146"/>
      <c r="AZ31" s="1146"/>
      <c r="BA31" s="1147"/>
      <c r="BB31" s="222"/>
      <c r="BC31" s="221"/>
      <c r="BD31" s="197"/>
      <c r="BE31" s="197"/>
      <c r="BF31" s="197"/>
      <c r="BG31" s="197"/>
      <c r="BH31" s="197"/>
      <c r="BI31" s="197"/>
      <c r="BJ31" s="221"/>
      <c r="BK31" s="197"/>
      <c r="BM31" s="219"/>
      <c r="BN31" s="227" t="str">
        <f>IF(COUNTIF(CO9:CO28,"X")&gt;0,"X","")</f>
        <v/>
      </c>
      <c r="BO31" s="1145" t="s">
        <v>461</v>
      </c>
      <c r="BP31" s="1146"/>
      <c r="BQ31" s="1146"/>
      <c r="BR31" s="1146"/>
      <c r="BS31" s="1146"/>
      <c r="BT31" s="1146"/>
      <c r="BU31" s="1146"/>
      <c r="BV31" s="1146"/>
      <c r="BW31" s="1146"/>
      <c r="BX31" s="1146"/>
      <c r="BY31" s="1146"/>
      <c r="BZ31" s="1146"/>
      <c r="CA31" s="1146"/>
      <c r="CB31" s="1146"/>
      <c r="CC31" s="1146"/>
      <c r="CD31" s="1146"/>
      <c r="CE31" s="1146"/>
      <c r="CF31" s="1146"/>
      <c r="CG31" s="1147"/>
      <c r="CH31" s="222"/>
      <c r="CI31" s="221"/>
      <c r="CJ31" s="197"/>
      <c r="CK31" s="197"/>
      <c r="CL31" s="197"/>
      <c r="CM31" s="197"/>
      <c r="CN31" s="197"/>
      <c r="CO31" s="197"/>
      <c r="CP31" s="221"/>
      <c r="CQ31" s="197"/>
      <c r="CS31" s="219"/>
      <c r="CT31" s="227" t="str">
        <f>IF(COUNTIF(DU9:DU28,"X")&gt;0,"X","")</f>
        <v/>
      </c>
      <c r="CU31" s="1145" t="s">
        <v>461</v>
      </c>
      <c r="CV31" s="1146"/>
      <c r="CW31" s="1146"/>
      <c r="CX31" s="1146"/>
      <c r="CY31" s="1146"/>
      <c r="CZ31" s="1146"/>
      <c r="DA31" s="1146"/>
      <c r="DB31" s="1146"/>
      <c r="DC31" s="1146"/>
      <c r="DD31" s="1146"/>
      <c r="DE31" s="1146"/>
      <c r="DF31" s="1146"/>
      <c r="DG31" s="1146"/>
      <c r="DH31" s="1146"/>
      <c r="DI31" s="1146"/>
      <c r="DJ31" s="1146"/>
      <c r="DK31" s="1146"/>
      <c r="DL31" s="1146"/>
      <c r="DM31" s="1147"/>
      <c r="DN31" s="222"/>
      <c r="DO31" s="221"/>
      <c r="DP31" s="197"/>
      <c r="DQ31" s="197"/>
      <c r="DR31" s="197"/>
      <c r="DS31" s="197"/>
      <c r="DT31" s="197"/>
      <c r="DU31" s="197"/>
      <c r="DV31" s="221"/>
      <c r="DW31" s="197"/>
      <c r="DY31" s="219"/>
      <c r="DZ31" s="227" t="str">
        <f>IF(COUNTIF(FA9:FA28,"X")&gt;0,"X","")</f>
        <v/>
      </c>
      <c r="EA31" s="1145" t="s">
        <v>461</v>
      </c>
      <c r="EB31" s="1146"/>
      <c r="EC31" s="1146"/>
      <c r="ED31" s="1146"/>
      <c r="EE31" s="1146"/>
      <c r="EF31" s="1146"/>
      <c r="EG31" s="1146"/>
      <c r="EH31" s="1146"/>
      <c r="EI31" s="1146"/>
      <c r="EJ31" s="1146"/>
      <c r="EK31" s="1146"/>
      <c r="EL31" s="1146"/>
      <c r="EM31" s="1146"/>
      <c r="EN31" s="1146"/>
      <c r="EO31" s="1146"/>
      <c r="EP31" s="1146"/>
      <c r="EQ31" s="1146"/>
      <c r="ER31" s="1146"/>
      <c r="ES31" s="1147"/>
      <c r="ET31" s="222"/>
      <c r="EU31" s="221"/>
      <c r="EV31" s="197"/>
      <c r="EW31" s="197"/>
      <c r="EX31" s="197"/>
      <c r="EY31" s="197"/>
      <c r="EZ31" s="197"/>
      <c r="FA31" s="197"/>
      <c r="FB31" s="221"/>
      <c r="FC31" s="197"/>
      <c r="FE31" s="219"/>
      <c r="FF31" s="227" t="str">
        <f>IF(COUNTIF(GG9:GG28,"X")&gt;0,"X","")</f>
        <v/>
      </c>
      <c r="FG31" s="1145" t="s">
        <v>461</v>
      </c>
      <c r="FH31" s="1146"/>
      <c r="FI31" s="1146"/>
      <c r="FJ31" s="1146"/>
      <c r="FK31" s="1146"/>
      <c r="FL31" s="1146"/>
      <c r="FM31" s="1146"/>
      <c r="FN31" s="1146"/>
      <c r="FO31" s="1146"/>
      <c r="FP31" s="1146"/>
      <c r="FQ31" s="1146"/>
      <c r="FR31" s="1146"/>
      <c r="FS31" s="1146"/>
      <c r="FT31" s="1146"/>
      <c r="FU31" s="1146"/>
      <c r="FV31" s="1146"/>
      <c r="FW31" s="1146"/>
      <c r="FX31" s="1146"/>
      <c r="FY31" s="1147"/>
      <c r="FZ31" s="222"/>
      <c r="GA31" s="221"/>
      <c r="GB31" s="197"/>
      <c r="GC31" s="197"/>
      <c r="GD31" s="197"/>
      <c r="GE31" s="197"/>
      <c r="GF31" s="197"/>
      <c r="GG31" s="197"/>
      <c r="GH31" s="221"/>
      <c r="GI31" s="197"/>
    </row>
    <row r="32" spans="1:191" ht="18.75" customHeight="1" x14ac:dyDescent="0.2">
      <c r="A32" s="219"/>
      <c r="B32" s="227">
        <f>SUMIF(S9:S23,"&gt;0",B9:B23)</f>
        <v>0</v>
      </c>
      <c r="C32" s="1145" t="s">
        <v>180</v>
      </c>
      <c r="D32" s="1146"/>
      <c r="E32" s="1146"/>
      <c r="F32" s="1146"/>
      <c r="G32" s="1146"/>
      <c r="H32" s="1146"/>
      <c r="I32" s="1146"/>
      <c r="J32" s="1146"/>
      <c r="K32" s="1146"/>
      <c r="L32" s="1146"/>
      <c r="M32" s="1146"/>
      <c r="N32" s="1146"/>
      <c r="O32" s="1146"/>
      <c r="P32" s="1146"/>
      <c r="Q32" s="1146"/>
      <c r="R32" s="1146"/>
      <c r="S32" s="1146"/>
      <c r="T32" s="1146"/>
      <c r="U32" s="1147"/>
      <c r="V32" s="222"/>
      <c r="W32" s="221"/>
      <c r="X32" s="197"/>
      <c r="Y32" s="197"/>
      <c r="Z32" s="197"/>
      <c r="AA32" s="197"/>
      <c r="AB32" s="197"/>
      <c r="AC32" s="197"/>
      <c r="AD32" s="221"/>
      <c r="AE32" s="197"/>
      <c r="AG32" s="219"/>
      <c r="AH32" s="227">
        <f>SUMIF(AY9:AY23,"&gt;0",AH9:AH23)</f>
        <v>0</v>
      </c>
      <c r="AI32" s="1145" t="s">
        <v>180</v>
      </c>
      <c r="AJ32" s="1146"/>
      <c r="AK32" s="1146"/>
      <c r="AL32" s="1146"/>
      <c r="AM32" s="1146"/>
      <c r="AN32" s="1146"/>
      <c r="AO32" s="1146"/>
      <c r="AP32" s="1146"/>
      <c r="AQ32" s="1146"/>
      <c r="AR32" s="1146"/>
      <c r="AS32" s="1146"/>
      <c r="AT32" s="1146"/>
      <c r="AU32" s="1146"/>
      <c r="AV32" s="1146"/>
      <c r="AW32" s="1146"/>
      <c r="AX32" s="1146"/>
      <c r="AY32" s="1146"/>
      <c r="AZ32" s="1146"/>
      <c r="BA32" s="1147"/>
      <c r="BB32" s="222"/>
      <c r="BC32" s="221"/>
      <c r="BD32" s="197"/>
      <c r="BE32" s="197"/>
      <c r="BF32" s="197"/>
      <c r="BG32" s="197"/>
      <c r="BH32" s="197"/>
      <c r="BI32" s="197"/>
      <c r="BJ32" s="221"/>
      <c r="BK32" s="197"/>
      <c r="BM32" s="219"/>
      <c r="BN32" s="227">
        <f>SUMIF(CE9:CE23,"&gt;0",BN9:BN23)</f>
        <v>0</v>
      </c>
      <c r="BO32" s="1145" t="s">
        <v>180</v>
      </c>
      <c r="BP32" s="1146"/>
      <c r="BQ32" s="1146"/>
      <c r="BR32" s="1146"/>
      <c r="BS32" s="1146"/>
      <c r="BT32" s="1146"/>
      <c r="BU32" s="1146"/>
      <c r="BV32" s="1146"/>
      <c r="BW32" s="1146"/>
      <c r="BX32" s="1146"/>
      <c r="BY32" s="1146"/>
      <c r="BZ32" s="1146"/>
      <c r="CA32" s="1146"/>
      <c r="CB32" s="1146"/>
      <c r="CC32" s="1146"/>
      <c r="CD32" s="1146"/>
      <c r="CE32" s="1146"/>
      <c r="CF32" s="1146"/>
      <c r="CG32" s="1147"/>
      <c r="CH32" s="222"/>
      <c r="CI32" s="221"/>
      <c r="CJ32" s="197"/>
      <c r="CK32" s="197"/>
      <c r="CL32" s="197"/>
      <c r="CM32" s="197"/>
      <c r="CN32" s="197"/>
      <c r="CO32" s="197"/>
      <c r="CP32" s="221"/>
      <c r="CQ32" s="197"/>
      <c r="CS32" s="219"/>
      <c r="CT32" s="227">
        <f>SUMIF(DK9:DK23,"&gt;0",CT9:CT23)</f>
        <v>0</v>
      </c>
      <c r="CU32" s="1145" t="s">
        <v>180</v>
      </c>
      <c r="CV32" s="1146"/>
      <c r="CW32" s="1146"/>
      <c r="CX32" s="1146"/>
      <c r="CY32" s="1146"/>
      <c r="CZ32" s="1146"/>
      <c r="DA32" s="1146"/>
      <c r="DB32" s="1146"/>
      <c r="DC32" s="1146"/>
      <c r="DD32" s="1146"/>
      <c r="DE32" s="1146"/>
      <c r="DF32" s="1146"/>
      <c r="DG32" s="1146"/>
      <c r="DH32" s="1146"/>
      <c r="DI32" s="1146"/>
      <c r="DJ32" s="1146"/>
      <c r="DK32" s="1146"/>
      <c r="DL32" s="1146"/>
      <c r="DM32" s="1147"/>
      <c r="DN32" s="222"/>
      <c r="DO32" s="221"/>
      <c r="DP32" s="197"/>
      <c r="DQ32" s="197"/>
      <c r="DR32" s="197"/>
      <c r="DS32" s="197"/>
      <c r="DT32" s="197"/>
      <c r="DU32" s="197"/>
      <c r="DV32" s="221"/>
      <c r="DW32" s="197"/>
      <c r="DY32" s="219"/>
      <c r="DZ32" s="227">
        <f>SUMIF(EQ9:EQ23,"&gt;0",DZ9:DZ23)</f>
        <v>0</v>
      </c>
      <c r="EA32" s="1145" t="s">
        <v>180</v>
      </c>
      <c r="EB32" s="1146"/>
      <c r="EC32" s="1146"/>
      <c r="ED32" s="1146"/>
      <c r="EE32" s="1146"/>
      <c r="EF32" s="1146"/>
      <c r="EG32" s="1146"/>
      <c r="EH32" s="1146"/>
      <c r="EI32" s="1146"/>
      <c r="EJ32" s="1146"/>
      <c r="EK32" s="1146"/>
      <c r="EL32" s="1146"/>
      <c r="EM32" s="1146"/>
      <c r="EN32" s="1146"/>
      <c r="EO32" s="1146"/>
      <c r="EP32" s="1146"/>
      <c r="EQ32" s="1146"/>
      <c r="ER32" s="1146"/>
      <c r="ES32" s="1147"/>
      <c r="ET32" s="222"/>
      <c r="EU32" s="221"/>
      <c r="EV32" s="197"/>
      <c r="EW32" s="197"/>
      <c r="EX32" s="197"/>
      <c r="EY32" s="197"/>
      <c r="EZ32" s="197"/>
      <c r="FA32" s="197"/>
      <c r="FB32" s="221"/>
      <c r="FC32" s="197"/>
      <c r="FE32" s="219"/>
      <c r="FF32" s="227">
        <f>SUMIF(FW9:FW23,"&gt;0",FF9:FF23)</f>
        <v>0</v>
      </c>
      <c r="FG32" s="1145" t="s">
        <v>180</v>
      </c>
      <c r="FH32" s="1146"/>
      <c r="FI32" s="1146"/>
      <c r="FJ32" s="1146"/>
      <c r="FK32" s="1146"/>
      <c r="FL32" s="1146"/>
      <c r="FM32" s="1146"/>
      <c r="FN32" s="1146"/>
      <c r="FO32" s="1146"/>
      <c r="FP32" s="1146"/>
      <c r="FQ32" s="1146"/>
      <c r="FR32" s="1146"/>
      <c r="FS32" s="1146"/>
      <c r="FT32" s="1146"/>
      <c r="FU32" s="1146"/>
      <c r="FV32" s="1146"/>
      <c r="FW32" s="1146"/>
      <c r="FX32" s="1146"/>
      <c r="FY32" s="1147"/>
      <c r="FZ32" s="222"/>
      <c r="GA32" s="221"/>
      <c r="GB32" s="197"/>
      <c r="GC32" s="197"/>
      <c r="GD32" s="197"/>
      <c r="GE32" s="197"/>
      <c r="GF32" s="197"/>
      <c r="GG32" s="197"/>
      <c r="GH32" s="221"/>
      <c r="GI32" s="197"/>
    </row>
    <row r="33" spans="1:191" ht="18.75" customHeight="1" x14ac:dyDescent="0.2">
      <c r="A33" s="219"/>
      <c r="B33" s="227">
        <f>SUMIF(Q9:Q23,"&gt;0",B9:B23)</f>
        <v>0</v>
      </c>
      <c r="C33" s="1145" t="s">
        <v>465</v>
      </c>
      <c r="D33" s="1146"/>
      <c r="E33" s="1146"/>
      <c r="F33" s="1146"/>
      <c r="G33" s="1146"/>
      <c r="H33" s="1146"/>
      <c r="I33" s="1146"/>
      <c r="J33" s="1146"/>
      <c r="K33" s="1146"/>
      <c r="L33" s="1146"/>
      <c r="M33" s="1146"/>
      <c r="N33" s="1146"/>
      <c r="O33" s="1146"/>
      <c r="P33" s="1146"/>
      <c r="Q33" s="1146"/>
      <c r="R33" s="1146"/>
      <c r="S33" s="1146"/>
      <c r="T33" s="1146"/>
      <c r="U33" s="1147"/>
      <c r="V33" s="222"/>
      <c r="W33" s="221"/>
      <c r="X33" s="197"/>
      <c r="Y33" s="197"/>
      <c r="Z33" s="197"/>
      <c r="AA33" s="197"/>
      <c r="AB33" s="197"/>
      <c r="AC33" s="197"/>
      <c r="AD33" s="221"/>
      <c r="AE33" s="197"/>
      <c r="AG33" s="219"/>
      <c r="AH33" s="227">
        <f>SUMIF(AW9:AW23,"&gt;0",AH9:AH23)</f>
        <v>0</v>
      </c>
      <c r="AI33" s="1145" t="s">
        <v>465</v>
      </c>
      <c r="AJ33" s="1146"/>
      <c r="AK33" s="1146"/>
      <c r="AL33" s="1146"/>
      <c r="AM33" s="1146"/>
      <c r="AN33" s="1146"/>
      <c r="AO33" s="1146"/>
      <c r="AP33" s="1146"/>
      <c r="AQ33" s="1146"/>
      <c r="AR33" s="1146"/>
      <c r="AS33" s="1146"/>
      <c r="AT33" s="1146"/>
      <c r="AU33" s="1146"/>
      <c r="AV33" s="1146"/>
      <c r="AW33" s="1146"/>
      <c r="AX33" s="1146"/>
      <c r="AY33" s="1146"/>
      <c r="AZ33" s="1146"/>
      <c r="BA33" s="1147"/>
      <c r="BB33" s="222"/>
      <c r="BC33" s="221"/>
      <c r="BD33" s="197"/>
      <c r="BE33" s="197"/>
      <c r="BF33" s="197"/>
      <c r="BG33" s="197"/>
      <c r="BH33" s="197"/>
      <c r="BI33" s="197"/>
      <c r="BJ33" s="221"/>
      <c r="BK33" s="197"/>
      <c r="BM33" s="219"/>
      <c r="BN33" s="227">
        <f>SUMIF(CC9:CC23,"&gt;0",BN9:BN23)</f>
        <v>0</v>
      </c>
      <c r="BO33" s="1145" t="s">
        <v>465</v>
      </c>
      <c r="BP33" s="1146"/>
      <c r="BQ33" s="1146"/>
      <c r="BR33" s="1146"/>
      <c r="BS33" s="1146"/>
      <c r="BT33" s="1146"/>
      <c r="BU33" s="1146"/>
      <c r="BV33" s="1146"/>
      <c r="BW33" s="1146"/>
      <c r="BX33" s="1146"/>
      <c r="BY33" s="1146"/>
      <c r="BZ33" s="1146"/>
      <c r="CA33" s="1146"/>
      <c r="CB33" s="1146"/>
      <c r="CC33" s="1146"/>
      <c r="CD33" s="1146"/>
      <c r="CE33" s="1146"/>
      <c r="CF33" s="1146"/>
      <c r="CG33" s="1147"/>
      <c r="CH33" s="222"/>
      <c r="CI33" s="221"/>
      <c r="CJ33" s="197"/>
      <c r="CK33" s="197"/>
      <c r="CL33" s="197"/>
      <c r="CM33" s="197"/>
      <c r="CN33" s="197"/>
      <c r="CO33" s="197"/>
      <c r="CP33" s="221"/>
      <c r="CQ33" s="197"/>
      <c r="CS33" s="219"/>
      <c r="CT33" s="227">
        <f>SUMIF(DI9:DI23,"&gt;0",CT9:CT23)</f>
        <v>0</v>
      </c>
      <c r="CU33" s="1145" t="s">
        <v>465</v>
      </c>
      <c r="CV33" s="1146"/>
      <c r="CW33" s="1146"/>
      <c r="CX33" s="1146"/>
      <c r="CY33" s="1146"/>
      <c r="CZ33" s="1146"/>
      <c r="DA33" s="1146"/>
      <c r="DB33" s="1146"/>
      <c r="DC33" s="1146"/>
      <c r="DD33" s="1146"/>
      <c r="DE33" s="1146"/>
      <c r="DF33" s="1146"/>
      <c r="DG33" s="1146"/>
      <c r="DH33" s="1146"/>
      <c r="DI33" s="1146"/>
      <c r="DJ33" s="1146"/>
      <c r="DK33" s="1146"/>
      <c r="DL33" s="1146"/>
      <c r="DM33" s="1147"/>
      <c r="DN33" s="222"/>
      <c r="DO33" s="221"/>
      <c r="DP33" s="197"/>
      <c r="DQ33" s="197"/>
      <c r="DR33" s="197"/>
      <c r="DS33" s="197"/>
      <c r="DT33" s="197"/>
      <c r="DU33" s="197"/>
      <c r="DV33" s="221"/>
      <c r="DW33" s="197"/>
      <c r="DY33" s="219"/>
      <c r="DZ33" s="227">
        <f>SUMIF(EO9:EO23,"&gt;0",DZ9:DZ23)</f>
        <v>0</v>
      </c>
      <c r="EA33" s="1145" t="s">
        <v>465</v>
      </c>
      <c r="EB33" s="1146"/>
      <c r="EC33" s="1146"/>
      <c r="ED33" s="1146"/>
      <c r="EE33" s="1146"/>
      <c r="EF33" s="1146"/>
      <c r="EG33" s="1146"/>
      <c r="EH33" s="1146"/>
      <c r="EI33" s="1146"/>
      <c r="EJ33" s="1146"/>
      <c r="EK33" s="1146"/>
      <c r="EL33" s="1146"/>
      <c r="EM33" s="1146"/>
      <c r="EN33" s="1146"/>
      <c r="EO33" s="1146"/>
      <c r="EP33" s="1146"/>
      <c r="EQ33" s="1146"/>
      <c r="ER33" s="1146"/>
      <c r="ES33" s="1147"/>
      <c r="ET33" s="222"/>
      <c r="EU33" s="221"/>
      <c r="EV33" s="197"/>
      <c r="EW33" s="197"/>
      <c r="EX33" s="197"/>
      <c r="EY33" s="197"/>
      <c r="EZ33" s="197"/>
      <c r="FA33" s="197"/>
      <c r="FB33" s="221"/>
      <c r="FC33" s="197"/>
      <c r="FE33" s="219"/>
      <c r="FF33" s="227">
        <f>SUMIF(FU9:FU23,"&gt;0",FF9:FF23)</f>
        <v>0</v>
      </c>
      <c r="FG33" s="1145" t="s">
        <v>465</v>
      </c>
      <c r="FH33" s="1146"/>
      <c r="FI33" s="1146"/>
      <c r="FJ33" s="1146"/>
      <c r="FK33" s="1146"/>
      <c r="FL33" s="1146"/>
      <c r="FM33" s="1146"/>
      <c r="FN33" s="1146"/>
      <c r="FO33" s="1146"/>
      <c r="FP33" s="1146"/>
      <c r="FQ33" s="1146"/>
      <c r="FR33" s="1146"/>
      <c r="FS33" s="1146"/>
      <c r="FT33" s="1146"/>
      <c r="FU33" s="1146"/>
      <c r="FV33" s="1146"/>
      <c r="FW33" s="1146"/>
      <c r="FX33" s="1146"/>
      <c r="FY33" s="1147"/>
      <c r="FZ33" s="222"/>
      <c r="GA33" s="221"/>
      <c r="GB33" s="197"/>
      <c r="GC33" s="197"/>
      <c r="GD33" s="197"/>
      <c r="GE33" s="197"/>
      <c r="GF33" s="197"/>
      <c r="GG33" s="197"/>
      <c r="GH33" s="221"/>
      <c r="GI33" s="197"/>
    </row>
    <row r="34" spans="1:191" ht="18.75" customHeight="1" x14ac:dyDescent="0.2">
      <c r="A34" s="219"/>
      <c r="B34" s="227">
        <f>SUMIF(R9:R23,"&gt;0",B9:B23)</f>
        <v>0</v>
      </c>
      <c r="C34" s="1145" t="s">
        <v>464</v>
      </c>
      <c r="D34" s="1146"/>
      <c r="E34" s="1146"/>
      <c r="F34" s="1146"/>
      <c r="G34" s="1146"/>
      <c r="H34" s="1146"/>
      <c r="I34" s="1146"/>
      <c r="J34" s="1146"/>
      <c r="K34" s="1146"/>
      <c r="L34" s="1146"/>
      <c r="M34" s="1146"/>
      <c r="N34" s="1146"/>
      <c r="O34" s="1146"/>
      <c r="P34" s="1146"/>
      <c r="Q34" s="1146"/>
      <c r="R34" s="1146"/>
      <c r="S34" s="1146"/>
      <c r="T34" s="1146"/>
      <c r="U34" s="1147"/>
      <c r="V34" s="221"/>
      <c r="W34" s="221"/>
      <c r="X34" s="197"/>
      <c r="Y34" s="197"/>
      <c r="Z34" s="197"/>
      <c r="AA34" s="197"/>
      <c r="AB34" s="197"/>
      <c r="AC34" s="197"/>
      <c r="AD34" s="221"/>
      <c r="AE34" s="197"/>
      <c r="AG34" s="219"/>
      <c r="AH34" s="227">
        <f>SUMIF(AX9:AX23,"&gt;0",AH9:AH23)</f>
        <v>0</v>
      </c>
      <c r="AI34" s="1145" t="s">
        <v>464</v>
      </c>
      <c r="AJ34" s="1146"/>
      <c r="AK34" s="1146"/>
      <c r="AL34" s="1146"/>
      <c r="AM34" s="1146"/>
      <c r="AN34" s="1146"/>
      <c r="AO34" s="1146"/>
      <c r="AP34" s="1146"/>
      <c r="AQ34" s="1146"/>
      <c r="AR34" s="1146"/>
      <c r="AS34" s="1146"/>
      <c r="AT34" s="1146"/>
      <c r="AU34" s="1146"/>
      <c r="AV34" s="1146"/>
      <c r="AW34" s="1146"/>
      <c r="AX34" s="1146"/>
      <c r="AY34" s="1146"/>
      <c r="AZ34" s="1146"/>
      <c r="BA34" s="1147"/>
      <c r="BB34" s="221"/>
      <c r="BC34" s="221"/>
      <c r="BD34" s="197"/>
      <c r="BE34" s="197"/>
      <c r="BF34" s="197"/>
      <c r="BG34" s="197"/>
      <c r="BH34" s="197"/>
      <c r="BI34" s="197"/>
      <c r="BJ34" s="221"/>
      <c r="BK34" s="197"/>
      <c r="BM34" s="219"/>
      <c r="BN34" s="227">
        <f>SUMIF(CD9:CD23,"&gt;0",BN9:BN23)</f>
        <v>0</v>
      </c>
      <c r="BO34" s="1145" t="s">
        <v>464</v>
      </c>
      <c r="BP34" s="1146"/>
      <c r="BQ34" s="1146"/>
      <c r="BR34" s="1146"/>
      <c r="BS34" s="1146"/>
      <c r="BT34" s="1146"/>
      <c r="BU34" s="1146"/>
      <c r="BV34" s="1146"/>
      <c r="BW34" s="1146"/>
      <c r="BX34" s="1146"/>
      <c r="BY34" s="1146"/>
      <c r="BZ34" s="1146"/>
      <c r="CA34" s="1146"/>
      <c r="CB34" s="1146"/>
      <c r="CC34" s="1146"/>
      <c r="CD34" s="1146"/>
      <c r="CE34" s="1146"/>
      <c r="CF34" s="1146"/>
      <c r="CG34" s="1147"/>
      <c r="CH34" s="221"/>
      <c r="CI34" s="221"/>
      <c r="CJ34" s="197"/>
      <c r="CK34" s="197"/>
      <c r="CL34" s="197"/>
      <c r="CM34" s="197"/>
      <c r="CN34" s="197"/>
      <c r="CO34" s="197"/>
      <c r="CP34" s="221"/>
      <c r="CQ34" s="197"/>
      <c r="CS34" s="219"/>
      <c r="CT34" s="227">
        <f>SUMIF(DJ9:DJ23,"&gt;0",CT9:CT23)</f>
        <v>0</v>
      </c>
      <c r="CU34" s="1145" t="s">
        <v>464</v>
      </c>
      <c r="CV34" s="1146"/>
      <c r="CW34" s="1146"/>
      <c r="CX34" s="1146"/>
      <c r="CY34" s="1146"/>
      <c r="CZ34" s="1146"/>
      <c r="DA34" s="1146"/>
      <c r="DB34" s="1146"/>
      <c r="DC34" s="1146"/>
      <c r="DD34" s="1146"/>
      <c r="DE34" s="1146"/>
      <c r="DF34" s="1146"/>
      <c r="DG34" s="1146"/>
      <c r="DH34" s="1146"/>
      <c r="DI34" s="1146"/>
      <c r="DJ34" s="1146"/>
      <c r="DK34" s="1146"/>
      <c r="DL34" s="1146"/>
      <c r="DM34" s="1147"/>
      <c r="DN34" s="221"/>
      <c r="DO34" s="221"/>
      <c r="DP34" s="197"/>
      <c r="DQ34" s="197"/>
      <c r="DR34" s="197"/>
      <c r="DS34" s="197"/>
      <c r="DT34" s="197"/>
      <c r="DU34" s="197"/>
      <c r="DV34" s="221"/>
      <c r="DW34" s="197"/>
      <c r="DY34" s="219"/>
      <c r="DZ34" s="227">
        <f>SUMIF(EP9:EP23,"&gt;0",DZ9:DZ23)</f>
        <v>0</v>
      </c>
      <c r="EA34" s="1145" t="s">
        <v>464</v>
      </c>
      <c r="EB34" s="1146"/>
      <c r="EC34" s="1146"/>
      <c r="ED34" s="1146"/>
      <c r="EE34" s="1146"/>
      <c r="EF34" s="1146"/>
      <c r="EG34" s="1146"/>
      <c r="EH34" s="1146"/>
      <c r="EI34" s="1146"/>
      <c r="EJ34" s="1146"/>
      <c r="EK34" s="1146"/>
      <c r="EL34" s="1146"/>
      <c r="EM34" s="1146"/>
      <c r="EN34" s="1146"/>
      <c r="EO34" s="1146"/>
      <c r="EP34" s="1146"/>
      <c r="EQ34" s="1146"/>
      <c r="ER34" s="1146"/>
      <c r="ES34" s="1147"/>
      <c r="ET34" s="221"/>
      <c r="EU34" s="221"/>
      <c r="EV34" s="197"/>
      <c r="EW34" s="197"/>
      <c r="EX34" s="197"/>
      <c r="EY34" s="197"/>
      <c r="EZ34" s="197"/>
      <c r="FA34" s="197"/>
      <c r="FB34" s="221"/>
      <c r="FC34" s="197"/>
      <c r="FE34" s="219"/>
      <c r="FF34" s="227">
        <f>SUMIF(FV9:FV23,"&gt;0",FF9:FF23)</f>
        <v>0</v>
      </c>
      <c r="FG34" s="1145" t="s">
        <v>464</v>
      </c>
      <c r="FH34" s="1146"/>
      <c r="FI34" s="1146"/>
      <c r="FJ34" s="1146"/>
      <c r="FK34" s="1146"/>
      <c r="FL34" s="1146"/>
      <c r="FM34" s="1146"/>
      <c r="FN34" s="1146"/>
      <c r="FO34" s="1146"/>
      <c r="FP34" s="1146"/>
      <c r="FQ34" s="1146"/>
      <c r="FR34" s="1146"/>
      <c r="FS34" s="1146"/>
      <c r="FT34" s="1146"/>
      <c r="FU34" s="1146"/>
      <c r="FV34" s="1146"/>
      <c r="FW34" s="1146"/>
      <c r="FX34" s="1146"/>
      <c r="FY34" s="1147"/>
      <c r="FZ34" s="221"/>
      <c r="GA34" s="221"/>
      <c r="GB34" s="197"/>
      <c r="GC34" s="197"/>
      <c r="GD34" s="197"/>
      <c r="GE34" s="197"/>
      <c r="GF34" s="197"/>
      <c r="GG34" s="197"/>
      <c r="GH34" s="221"/>
      <c r="GI34" s="197"/>
    </row>
    <row r="35" spans="1:191" ht="18.75" customHeight="1" thickBot="1" x14ac:dyDescent="0.25">
      <c r="A35" s="228"/>
      <c r="B35" s="229">
        <f>SUMIF(U9:U23,"&gt;0",B9:B23)</f>
        <v>0</v>
      </c>
      <c r="C35" s="1148" t="s">
        <v>181</v>
      </c>
      <c r="D35" s="1149"/>
      <c r="E35" s="1149"/>
      <c r="F35" s="1149"/>
      <c r="G35" s="1149"/>
      <c r="H35" s="1149"/>
      <c r="I35" s="1149"/>
      <c r="J35" s="1149"/>
      <c r="K35" s="1149"/>
      <c r="L35" s="1149"/>
      <c r="M35" s="1149"/>
      <c r="N35" s="1149"/>
      <c r="O35" s="1149"/>
      <c r="P35" s="1149"/>
      <c r="Q35" s="1149"/>
      <c r="R35" s="1149"/>
      <c r="S35" s="1149"/>
      <c r="T35" s="1149"/>
      <c r="U35" s="1150"/>
      <c r="V35" s="221"/>
      <c r="W35" s="221"/>
      <c r="X35" s="197"/>
      <c r="Y35" s="197"/>
      <c r="Z35" s="197"/>
      <c r="AA35" s="197"/>
      <c r="AB35" s="197"/>
      <c r="AC35" s="197"/>
      <c r="AD35" s="221"/>
      <c r="AE35" s="197"/>
      <c r="AG35" s="228"/>
      <c r="AH35" s="229">
        <f>SUMIF(BA9:BA23,"&gt;0",AH9:AH23)</f>
        <v>0</v>
      </c>
      <c r="AI35" s="1148" t="s">
        <v>181</v>
      </c>
      <c r="AJ35" s="1149"/>
      <c r="AK35" s="1149"/>
      <c r="AL35" s="1149"/>
      <c r="AM35" s="1149"/>
      <c r="AN35" s="1149"/>
      <c r="AO35" s="1149"/>
      <c r="AP35" s="1149"/>
      <c r="AQ35" s="1149"/>
      <c r="AR35" s="1149"/>
      <c r="AS35" s="1149"/>
      <c r="AT35" s="1149"/>
      <c r="AU35" s="1149"/>
      <c r="AV35" s="1149"/>
      <c r="AW35" s="1149"/>
      <c r="AX35" s="1149"/>
      <c r="AY35" s="1149"/>
      <c r="AZ35" s="1149"/>
      <c r="BA35" s="1150"/>
      <c r="BB35" s="221"/>
      <c r="BC35" s="221"/>
      <c r="BD35" s="197"/>
      <c r="BE35" s="197"/>
      <c r="BF35" s="197"/>
      <c r="BG35" s="197"/>
      <c r="BH35" s="197"/>
      <c r="BI35" s="197"/>
      <c r="BJ35" s="221"/>
      <c r="BK35" s="197"/>
      <c r="BM35" s="228"/>
      <c r="BN35" s="229">
        <f>SUMIF(CG9:CG23,"&gt;0",BN9:BN23)</f>
        <v>0</v>
      </c>
      <c r="BO35" s="1148" t="s">
        <v>181</v>
      </c>
      <c r="BP35" s="1149"/>
      <c r="BQ35" s="1149"/>
      <c r="BR35" s="1149"/>
      <c r="BS35" s="1149"/>
      <c r="BT35" s="1149"/>
      <c r="BU35" s="1149"/>
      <c r="BV35" s="1149"/>
      <c r="BW35" s="1149"/>
      <c r="BX35" s="1149"/>
      <c r="BY35" s="1149"/>
      <c r="BZ35" s="1149"/>
      <c r="CA35" s="1149"/>
      <c r="CB35" s="1149"/>
      <c r="CC35" s="1149"/>
      <c r="CD35" s="1149"/>
      <c r="CE35" s="1149"/>
      <c r="CF35" s="1149"/>
      <c r="CG35" s="1150"/>
      <c r="CH35" s="221"/>
      <c r="CI35" s="221"/>
      <c r="CJ35" s="197"/>
      <c r="CK35" s="197"/>
      <c r="CL35" s="197"/>
      <c r="CM35" s="197"/>
      <c r="CN35" s="197"/>
      <c r="CO35" s="197"/>
      <c r="CP35" s="221"/>
      <c r="CQ35" s="197"/>
      <c r="CS35" s="228"/>
      <c r="CT35" s="229">
        <f>SUMIF(DM9:DM23,"&gt;0",CT9:CT23)</f>
        <v>0</v>
      </c>
      <c r="CU35" s="1148" t="s">
        <v>181</v>
      </c>
      <c r="CV35" s="1149"/>
      <c r="CW35" s="1149"/>
      <c r="CX35" s="1149"/>
      <c r="CY35" s="1149"/>
      <c r="CZ35" s="1149"/>
      <c r="DA35" s="1149"/>
      <c r="DB35" s="1149"/>
      <c r="DC35" s="1149"/>
      <c r="DD35" s="1149"/>
      <c r="DE35" s="1149"/>
      <c r="DF35" s="1149"/>
      <c r="DG35" s="1149"/>
      <c r="DH35" s="1149"/>
      <c r="DI35" s="1149"/>
      <c r="DJ35" s="1149"/>
      <c r="DK35" s="1149"/>
      <c r="DL35" s="1149"/>
      <c r="DM35" s="1150"/>
      <c r="DN35" s="221"/>
      <c r="DO35" s="221"/>
      <c r="DP35" s="197"/>
      <c r="DQ35" s="197"/>
      <c r="DR35" s="197"/>
      <c r="DS35" s="197"/>
      <c r="DT35" s="197"/>
      <c r="DU35" s="197"/>
      <c r="DV35" s="221"/>
      <c r="DW35" s="197"/>
      <c r="DY35" s="228"/>
      <c r="DZ35" s="229">
        <f>SUMIF(ES9:ES23,"&gt;0",DZ9:DZ23)</f>
        <v>0</v>
      </c>
      <c r="EA35" s="1148" t="s">
        <v>181</v>
      </c>
      <c r="EB35" s="1149"/>
      <c r="EC35" s="1149"/>
      <c r="ED35" s="1149"/>
      <c r="EE35" s="1149"/>
      <c r="EF35" s="1149"/>
      <c r="EG35" s="1149"/>
      <c r="EH35" s="1149"/>
      <c r="EI35" s="1149"/>
      <c r="EJ35" s="1149"/>
      <c r="EK35" s="1149"/>
      <c r="EL35" s="1149"/>
      <c r="EM35" s="1149"/>
      <c r="EN35" s="1149"/>
      <c r="EO35" s="1149"/>
      <c r="EP35" s="1149"/>
      <c r="EQ35" s="1149"/>
      <c r="ER35" s="1149"/>
      <c r="ES35" s="1150"/>
      <c r="ET35" s="221"/>
      <c r="EU35" s="221"/>
      <c r="EV35" s="197"/>
      <c r="EW35" s="197"/>
      <c r="EX35" s="197"/>
      <c r="EY35" s="197"/>
      <c r="EZ35" s="197"/>
      <c r="FA35" s="197"/>
      <c r="FB35" s="221"/>
      <c r="FC35" s="197"/>
      <c r="FE35" s="228"/>
      <c r="FF35" s="229">
        <f>SUMIF(FY9:FY23,"&gt;0",FF9:FF23)</f>
        <v>0</v>
      </c>
      <c r="FG35" s="1148" t="s">
        <v>181</v>
      </c>
      <c r="FH35" s="1149"/>
      <c r="FI35" s="1149"/>
      <c r="FJ35" s="1149"/>
      <c r="FK35" s="1149"/>
      <c r="FL35" s="1149"/>
      <c r="FM35" s="1149"/>
      <c r="FN35" s="1149"/>
      <c r="FO35" s="1149"/>
      <c r="FP35" s="1149"/>
      <c r="FQ35" s="1149"/>
      <c r="FR35" s="1149"/>
      <c r="FS35" s="1149"/>
      <c r="FT35" s="1149"/>
      <c r="FU35" s="1149"/>
      <c r="FV35" s="1149"/>
      <c r="FW35" s="1149"/>
      <c r="FX35" s="1149"/>
      <c r="FY35" s="1150"/>
      <c r="FZ35" s="221"/>
      <c r="GA35" s="221"/>
      <c r="GB35" s="197"/>
      <c r="GC35" s="197"/>
      <c r="GD35" s="197"/>
      <c r="GE35" s="197"/>
      <c r="GF35" s="197"/>
      <c r="GG35" s="197"/>
      <c r="GH35" s="221"/>
      <c r="GI35" s="197"/>
    </row>
    <row r="36" spans="1:191" ht="18.75" customHeight="1" x14ac:dyDescent="0.2">
      <c r="A36" s="221"/>
      <c r="B36" s="221"/>
      <c r="C36" s="230"/>
      <c r="D36" s="230"/>
      <c r="E36" s="230"/>
      <c r="F36" s="230"/>
      <c r="G36" s="230"/>
      <c r="H36" s="230"/>
      <c r="I36" s="230"/>
      <c r="J36" s="230"/>
      <c r="K36" s="230"/>
      <c r="L36" s="230"/>
      <c r="M36" s="230"/>
      <c r="N36" s="230"/>
      <c r="O36" s="230"/>
      <c r="P36" s="230"/>
      <c r="Q36" s="230"/>
      <c r="R36" s="230"/>
      <c r="S36" s="230"/>
      <c r="T36" s="230"/>
      <c r="U36" s="230"/>
      <c r="V36" s="221"/>
      <c r="W36" s="221"/>
      <c r="X36" s="197"/>
      <c r="Y36" s="197"/>
      <c r="Z36" s="197"/>
      <c r="AA36" s="197"/>
      <c r="AB36" s="197"/>
      <c r="AC36" s="197"/>
      <c r="AD36" s="221"/>
      <c r="AE36" s="197"/>
      <c r="AG36" s="221"/>
      <c r="AH36" s="221"/>
      <c r="AI36" s="230"/>
      <c r="AJ36" s="230"/>
      <c r="AK36" s="230"/>
      <c r="AL36" s="230"/>
      <c r="AM36" s="230"/>
      <c r="AN36" s="230"/>
      <c r="AO36" s="230"/>
      <c r="AP36" s="230"/>
      <c r="AQ36" s="230"/>
      <c r="AR36" s="230"/>
      <c r="AS36" s="230"/>
      <c r="AT36" s="230"/>
      <c r="AU36" s="230"/>
      <c r="AV36" s="230"/>
      <c r="AW36" s="230"/>
      <c r="AX36" s="230"/>
      <c r="AY36" s="230"/>
      <c r="AZ36" s="230"/>
      <c r="BA36" s="230"/>
      <c r="BB36" s="221"/>
      <c r="BC36" s="221"/>
      <c r="BD36" s="197"/>
      <c r="BE36" s="197"/>
      <c r="BF36" s="197"/>
      <c r="BG36" s="197"/>
      <c r="BH36" s="197"/>
      <c r="BI36" s="197"/>
      <c r="BJ36" s="221"/>
      <c r="BK36" s="197"/>
      <c r="BM36" s="221"/>
      <c r="BN36" s="221"/>
      <c r="BO36" s="230"/>
      <c r="BP36" s="230"/>
      <c r="BQ36" s="230"/>
      <c r="BR36" s="230"/>
      <c r="BS36" s="230"/>
      <c r="BT36" s="230"/>
      <c r="BU36" s="230"/>
      <c r="BV36" s="230"/>
      <c r="BW36" s="230"/>
      <c r="BX36" s="230"/>
      <c r="BY36" s="230"/>
      <c r="BZ36" s="230"/>
      <c r="CA36" s="230"/>
      <c r="CB36" s="230"/>
      <c r="CC36" s="230"/>
      <c r="CD36" s="230"/>
      <c r="CE36" s="230"/>
      <c r="CF36" s="230"/>
      <c r="CG36" s="230"/>
      <c r="CH36" s="221"/>
      <c r="CI36" s="221"/>
      <c r="CJ36" s="197"/>
      <c r="CK36" s="197"/>
      <c r="CL36" s="197"/>
      <c r="CM36" s="197"/>
      <c r="CN36" s="197"/>
      <c r="CO36" s="197"/>
      <c r="CP36" s="221"/>
      <c r="CQ36" s="197"/>
      <c r="CS36" s="221"/>
      <c r="CT36" s="221"/>
      <c r="CU36" s="230"/>
      <c r="CV36" s="230"/>
      <c r="CW36" s="230"/>
      <c r="CX36" s="230"/>
      <c r="CY36" s="230"/>
      <c r="CZ36" s="230"/>
      <c r="DA36" s="230"/>
      <c r="DB36" s="230"/>
      <c r="DC36" s="230"/>
      <c r="DD36" s="230"/>
      <c r="DE36" s="230"/>
      <c r="DF36" s="230"/>
      <c r="DG36" s="230"/>
      <c r="DH36" s="230"/>
      <c r="DI36" s="230"/>
      <c r="DJ36" s="230"/>
      <c r="DK36" s="230"/>
      <c r="DL36" s="230"/>
      <c r="DM36" s="230"/>
      <c r="DN36" s="221"/>
      <c r="DO36" s="221"/>
      <c r="DP36" s="197"/>
      <c r="DQ36" s="197"/>
      <c r="DR36" s="197"/>
      <c r="DS36" s="197"/>
      <c r="DT36" s="197"/>
      <c r="DU36" s="197"/>
      <c r="DV36" s="221"/>
      <c r="DW36" s="197"/>
      <c r="DY36" s="221"/>
      <c r="DZ36" s="221"/>
      <c r="EA36" s="230"/>
      <c r="EB36" s="230"/>
      <c r="EC36" s="230"/>
      <c r="ED36" s="230"/>
      <c r="EE36" s="230"/>
      <c r="EF36" s="230"/>
      <c r="EG36" s="230"/>
      <c r="EH36" s="230"/>
      <c r="EI36" s="230"/>
      <c r="EJ36" s="230"/>
      <c r="EK36" s="230"/>
      <c r="EL36" s="230"/>
      <c r="EM36" s="230"/>
      <c r="EN36" s="230"/>
      <c r="EO36" s="230"/>
      <c r="EP36" s="230"/>
      <c r="EQ36" s="230"/>
      <c r="ER36" s="230"/>
      <c r="ES36" s="230"/>
      <c r="ET36" s="221"/>
      <c r="EU36" s="221"/>
      <c r="EV36" s="197"/>
      <c r="EW36" s="197"/>
      <c r="EX36" s="197"/>
      <c r="EY36" s="197"/>
      <c r="EZ36" s="197"/>
      <c r="FA36" s="197"/>
      <c r="FB36" s="221"/>
      <c r="FC36" s="197"/>
      <c r="FE36" s="221"/>
      <c r="FF36" s="221"/>
      <c r="FG36" s="230"/>
      <c r="FH36" s="230"/>
      <c r="FI36" s="230"/>
      <c r="FJ36" s="230"/>
      <c r="FK36" s="230"/>
      <c r="FL36" s="230"/>
      <c r="FM36" s="230"/>
      <c r="FN36" s="230"/>
      <c r="FO36" s="230"/>
      <c r="FP36" s="230"/>
      <c r="FQ36" s="230"/>
      <c r="FR36" s="230"/>
      <c r="FS36" s="230"/>
      <c r="FT36" s="230"/>
      <c r="FU36" s="230"/>
      <c r="FV36" s="230"/>
      <c r="FW36" s="230"/>
      <c r="FX36" s="230"/>
      <c r="FY36" s="230"/>
      <c r="FZ36" s="221"/>
      <c r="GA36" s="221"/>
      <c r="GB36" s="197"/>
      <c r="GC36" s="197"/>
      <c r="GD36" s="197"/>
      <c r="GE36" s="197"/>
      <c r="GF36" s="197"/>
      <c r="GG36" s="197"/>
      <c r="GH36" s="221"/>
      <c r="GI36" s="197"/>
    </row>
    <row r="37" spans="1:191" ht="30.75" customHeight="1" thickBot="1" x14ac:dyDescent="0.25">
      <c r="A37" s="1151" t="s">
        <v>559</v>
      </c>
      <c r="B37" s="1151"/>
      <c r="C37" s="1151"/>
      <c r="D37" s="1151"/>
      <c r="E37" s="1151"/>
      <c r="F37" s="1151"/>
      <c r="G37" s="1151"/>
      <c r="H37" s="1151"/>
      <c r="I37" s="1151"/>
      <c r="J37" s="1151"/>
      <c r="K37" s="1151"/>
      <c r="L37" s="1151"/>
      <c r="M37" s="1151"/>
      <c r="N37" s="1151"/>
      <c r="O37" s="1151"/>
      <c r="P37" s="1151"/>
      <c r="Q37" s="1151"/>
      <c r="R37" s="1151"/>
      <c r="S37" s="1151"/>
      <c r="T37" s="1151"/>
      <c r="U37" s="1151"/>
      <c r="V37" s="1151"/>
      <c r="W37" s="1151"/>
      <c r="X37" s="1151"/>
      <c r="Y37" s="1151"/>
      <c r="Z37" s="1151"/>
      <c r="AA37" s="1151"/>
      <c r="AB37" s="1151"/>
      <c r="AC37" s="1151"/>
      <c r="AD37" s="1151"/>
      <c r="AE37" s="1151"/>
      <c r="AG37" s="1151" t="s">
        <v>559</v>
      </c>
      <c r="AH37" s="1151"/>
      <c r="AI37" s="1151"/>
      <c r="AJ37" s="1151"/>
      <c r="AK37" s="1151"/>
      <c r="AL37" s="1151"/>
      <c r="AM37" s="1151"/>
      <c r="AN37" s="1151"/>
      <c r="AO37" s="1151"/>
      <c r="AP37" s="1151"/>
      <c r="AQ37" s="1151"/>
      <c r="AR37" s="1151"/>
      <c r="AS37" s="1151"/>
      <c r="AT37" s="1151"/>
      <c r="AU37" s="1151"/>
      <c r="AV37" s="1151"/>
      <c r="AW37" s="1151"/>
      <c r="AX37" s="1151"/>
      <c r="AY37" s="1151"/>
      <c r="AZ37" s="1151"/>
      <c r="BA37" s="1151"/>
      <c r="BB37" s="1151"/>
      <c r="BC37" s="1151"/>
      <c r="BD37" s="1151"/>
      <c r="BE37" s="1151"/>
      <c r="BF37" s="1151"/>
      <c r="BG37" s="1151"/>
      <c r="BH37" s="1151"/>
      <c r="BI37" s="1151"/>
      <c r="BJ37" s="1151"/>
      <c r="BK37" s="1151"/>
      <c r="BM37" s="1151" t="s">
        <v>559</v>
      </c>
      <c r="BN37" s="1151"/>
      <c r="BO37" s="1151"/>
      <c r="BP37" s="1151"/>
      <c r="BQ37" s="1151"/>
      <c r="BR37" s="1151"/>
      <c r="BS37" s="1151"/>
      <c r="BT37" s="1151"/>
      <c r="BU37" s="1151"/>
      <c r="BV37" s="1151"/>
      <c r="BW37" s="1151"/>
      <c r="BX37" s="1151"/>
      <c r="BY37" s="1151"/>
      <c r="BZ37" s="1151"/>
      <c r="CA37" s="1151"/>
      <c r="CB37" s="1151"/>
      <c r="CC37" s="1151"/>
      <c r="CD37" s="1151"/>
      <c r="CE37" s="1151"/>
      <c r="CF37" s="1151"/>
      <c r="CG37" s="1151"/>
      <c r="CH37" s="1151"/>
      <c r="CI37" s="1151"/>
      <c r="CJ37" s="1151"/>
      <c r="CK37" s="1151"/>
      <c r="CL37" s="1151"/>
      <c r="CM37" s="1151"/>
      <c r="CN37" s="1151"/>
      <c r="CO37" s="1151"/>
      <c r="CP37" s="1151"/>
      <c r="CQ37" s="1151"/>
      <c r="CS37" s="1151" t="s">
        <v>559</v>
      </c>
      <c r="CT37" s="1151"/>
      <c r="CU37" s="1151"/>
      <c r="CV37" s="1151"/>
      <c r="CW37" s="1151"/>
      <c r="CX37" s="1151"/>
      <c r="CY37" s="1151"/>
      <c r="CZ37" s="1151"/>
      <c r="DA37" s="1151"/>
      <c r="DB37" s="1151"/>
      <c r="DC37" s="1151"/>
      <c r="DD37" s="1151"/>
      <c r="DE37" s="1151"/>
      <c r="DF37" s="1151"/>
      <c r="DG37" s="1151"/>
      <c r="DH37" s="1151"/>
      <c r="DI37" s="1151"/>
      <c r="DJ37" s="1151"/>
      <c r="DK37" s="1151"/>
      <c r="DL37" s="1151"/>
      <c r="DM37" s="1151"/>
      <c r="DN37" s="1151"/>
      <c r="DO37" s="1151"/>
      <c r="DP37" s="1151"/>
      <c r="DQ37" s="1151"/>
      <c r="DR37" s="1151"/>
      <c r="DS37" s="1151"/>
      <c r="DT37" s="1151"/>
      <c r="DU37" s="1151"/>
      <c r="DV37" s="1151"/>
      <c r="DW37" s="1151"/>
      <c r="DY37" s="1151" t="s">
        <v>559</v>
      </c>
      <c r="DZ37" s="1151"/>
      <c r="EA37" s="1151"/>
      <c r="EB37" s="1151"/>
      <c r="EC37" s="1151"/>
      <c r="ED37" s="1151"/>
      <c r="EE37" s="1151"/>
      <c r="EF37" s="1151"/>
      <c r="EG37" s="1151"/>
      <c r="EH37" s="1151"/>
      <c r="EI37" s="1151"/>
      <c r="EJ37" s="1151"/>
      <c r="EK37" s="1151"/>
      <c r="EL37" s="1151"/>
      <c r="EM37" s="1151"/>
      <c r="EN37" s="1151"/>
      <c r="EO37" s="1151"/>
      <c r="EP37" s="1151"/>
      <c r="EQ37" s="1151"/>
      <c r="ER37" s="1151"/>
      <c r="ES37" s="1151"/>
      <c r="ET37" s="1151"/>
      <c r="EU37" s="1151"/>
      <c r="EV37" s="1151"/>
      <c r="EW37" s="1151"/>
      <c r="EX37" s="1151"/>
      <c r="EY37" s="1151"/>
      <c r="EZ37" s="1151"/>
      <c r="FA37" s="1151"/>
      <c r="FB37" s="1151"/>
      <c r="FC37" s="1151"/>
      <c r="FE37" s="1151" t="s">
        <v>559</v>
      </c>
      <c r="FF37" s="1151"/>
      <c r="FG37" s="1151"/>
      <c r="FH37" s="1151"/>
      <c r="FI37" s="1151"/>
      <c r="FJ37" s="1151"/>
      <c r="FK37" s="1151"/>
      <c r="FL37" s="1151"/>
      <c r="FM37" s="1151"/>
      <c r="FN37" s="1151"/>
      <c r="FO37" s="1151"/>
      <c r="FP37" s="1151"/>
      <c r="FQ37" s="1151"/>
      <c r="FR37" s="1151"/>
      <c r="FS37" s="1151"/>
      <c r="FT37" s="1151"/>
      <c r="FU37" s="1151"/>
      <c r="FV37" s="1151"/>
      <c r="FW37" s="1151"/>
      <c r="FX37" s="1151"/>
      <c r="FY37" s="1151"/>
      <c r="FZ37" s="1151"/>
      <c r="GA37" s="1151"/>
      <c r="GB37" s="1151"/>
      <c r="GC37" s="1151"/>
      <c r="GD37" s="1151"/>
      <c r="GE37" s="1151"/>
      <c r="GF37" s="1151"/>
      <c r="GG37" s="1151"/>
      <c r="GH37" s="1151"/>
      <c r="GI37" s="1151"/>
    </row>
    <row r="38" spans="1:191" ht="15.75" customHeight="1" x14ac:dyDescent="0.25">
      <c r="A38" s="1152" t="s">
        <v>565</v>
      </c>
      <c r="B38" s="1154" t="s">
        <v>536</v>
      </c>
      <c r="C38" s="1156" t="s">
        <v>122</v>
      </c>
      <c r="D38" s="1158" t="s">
        <v>169</v>
      </c>
      <c r="E38" s="1159"/>
      <c r="F38" s="1159"/>
      <c r="G38" s="1159"/>
      <c r="H38" s="1159"/>
      <c r="I38" s="1159"/>
      <c r="J38" s="1159"/>
      <c r="K38" s="1159"/>
      <c r="L38" s="1159"/>
      <c r="M38" s="1160"/>
      <c r="N38" s="1161" t="s">
        <v>170</v>
      </c>
      <c r="O38" s="1162"/>
      <c r="P38" s="1162"/>
      <c r="Q38" s="1162"/>
      <c r="R38" s="1162"/>
      <c r="S38" s="1162"/>
      <c r="T38" s="1162"/>
      <c r="U38" s="1162"/>
      <c r="V38" s="1162"/>
      <c r="W38" s="1163"/>
      <c r="X38" s="1158" t="s">
        <v>556</v>
      </c>
      <c r="Y38" s="1159"/>
      <c r="Z38" s="1159"/>
      <c r="AA38" s="1159"/>
      <c r="AB38" s="1159"/>
      <c r="AC38" s="1160"/>
      <c r="AD38" s="1158" t="s">
        <v>553</v>
      </c>
      <c r="AE38" s="1160"/>
      <c r="AG38" s="1152" t="s">
        <v>565</v>
      </c>
      <c r="AH38" s="1154" t="s">
        <v>536</v>
      </c>
      <c r="AI38" s="1156" t="s">
        <v>122</v>
      </c>
      <c r="AJ38" s="1158" t="s">
        <v>169</v>
      </c>
      <c r="AK38" s="1159"/>
      <c r="AL38" s="1159"/>
      <c r="AM38" s="1159"/>
      <c r="AN38" s="1159"/>
      <c r="AO38" s="1159"/>
      <c r="AP38" s="1159"/>
      <c r="AQ38" s="1159"/>
      <c r="AR38" s="1159"/>
      <c r="AS38" s="1160"/>
      <c r="AT38" s="1161" t="s">
        <v>170</v>
      </c>
      <c r="AU38" s="1162"/>
      <c r="AV38" s="1162"/>
      <c r="AW38" s="1162"/>
      <c r="AX38" s="1162"/>
      <c r="AY38" s="1162"/>
      <c r="AZ38" s="1162"/>
      <c r="BA38" s="1162"/>
      <c r="BB38" s="1162"/>
      <c r="BC38" s="1163"/>
      <c r="BD38" s="1158" t="s">
        <v>556</v>
      </c>
      <c r="BE38" s="1159"/>
      <c r="BF38" s="1159"/>
      <c r="BG38" s="1159"/>
      <c r="BH38" s="1159"/>
      <c r="BI38" s="1160"/>
      <c r="BJ38" s="1158" t="s">
        <v>553</v>
      </c>
      <c r="BK38" s="1160"/>
      <c r="BM38" s="1152" t="s">
        <v>565</v>
      </c>
      <c r="BN38" s="1154" t="s">
        <v>536</v>
      </c>
      <c r="BO38" s="1156" t="s">
        <v>122</v>
      </c>
      <c r="BP38" s="1158" t="s">
        <v>169</v>
      </c>
      <c r="BQ38" s="1159"/>
      <c r="BR38" s="1159"/>
      <c r="BS38" s="1159"/>
      <c r="BT38" s="1159"/>
      <c r="BU38" s="1159"/>
      <c r="BV38" s="1159"/>
      <c r="BW38" s="1159"/>
      <c r="BX38" s="1159"/>
      <c r="BY38" s="1160"/>
      <c r="BZ38" s="1161" t="s">
        <v>170</v>
      </c>
      <c r="CA38" s="1162"/>
      <c r="CB38" s="1162"/>
      <c r="CC38" s="1162"/>
      <c r="CD38" s="1162"/>
      <c r="CE38" s="1162"/>
      <c r="CF38" s="1162"/>
      <c r="CG38" s="1162"/>
      <c r="CH38" s="1162"/>
      <c r="CI38" s="1163"/>
      <c r="CJ38" s="1158" t="s">
        <v>556</v>
      </c>
      <c r="CK38" s="1159"/>
      <c r="CL38" s="1159"/>
      <c r="CM38" s="1159"/>
      <c r="CN38" s="1159"/>
      <c r="CO38" s="1160"/>
      <c r="CP38" s="1158" t="s">
        <v>553</v>
      </c>
      <c r="CQ38" s="1160"/>
      <c r="CS38" s="1152" t="s">
        <v>565</v>
      </c>
      <c r="CT38" s="1154" t="s">
        <v>536</v>
      </c>
      <c r="CU38" s="1156" t="s">
        <v>122</v>
      </c>
      <c r="CV38" s="1158" t="s">
        <v>169</v>
      </c>
      <c r="CW38" s="1159"/>
      <c r="CX38" s="1159"/>
      <c r="CY38" s="1159"/>
      <c r="CZ38" s="1159"/>
      <c r="DA38" s="1159"/>
      <c r="DB38" s="1159"/>
      <c r="DC38" s="1159"/>
      <c r="DD38" s="1159"/>
      <c r="DE38" s="1160"/>
      <c r="DF38" s="1161" t="s">
        <v>170</v>
      </c>
      <c r="DG38" s="1162"/>
      <c r="DH38" s="1162"/>
      <c r="DI38" s="1162"/>
      <c r="DJ38" s="1162"/>
      <c r="DK38" s="1162"/>
      <c r="DL38" s="1162"/>
      <c r="DM38" s="1162"/>
      <c r="DN38" s="1162"/>
      <c r="DO38" s="1163"/>
      <c r="DP38" s="1158" t="s">
        <v>556</v>
      </c>
      <c r="DQ38" s="1159"/>
      <c r="DR38" s="1159"/>
      <c r="DS38" s="1159"/>
      <c r="DT38" s="1159"/>
      <c r="DU38" s="1160"/>
      <c r="DV38" s="1158" t="s">
        <v>553</v>
      </c>
      <c r="DW38" s="1160"/>
      <c r="DY38" s="1152" t="s">
        <v>565</v>
      </c>
      <c r="DZ38" s="1154" t="s">
        <v>536</v>
      </c>
      <c r="EA38" s="1156" t="s">
        <v>122</v>
      </c>
      <c r="EB38" s="1158" t="s">
        <v>169</v>
      </c>
      <c r="EC38" s="1159"/>
      <c r="ED38" s="1159"/>
      <c r="EE38" s="1159"/>
      <c r="EF38" s="1159"/>
      <c r="EG38" s="1159"/>
      <c r="EH38" s="1159"/>
      <c r="EI38" s="1159"/>
      <c r="EJ38" s="1159"/>
      <c r="EK38" s="1160"/>
      <c r="EL38" s="1161" t="s">
        <v>170</v>
      </c>
      <c r="EM38" s="1162"/>
      <c r="EN38" s="1162"/>
      <c r="EO38" s="1162"/>
      <c r="EP38" s="1162"/>
      <c r="EQ38" s="1162"/>
      <c r="ER38" s="1162"/>
      <c r="ES38" s="1162"/>
      <c r="ET38" s="1162"/>
      <c r="EU38" s="1163"/>
      <c r="EV38" s="1158" t="s">
        <v>556</v>
      </c>
      <c r="EW38" s="1159"/>
      <c r="EX38" s="1159"/>
      <c r="EY38" s="1159"/>
      <c r="EZ38" s="1159"/>
      <c r="FA38" s="1160"/>
      <c r="FB38" s="1158" t="s">
        <v>553</v>
      </c>
      <c r="FC38" s="1160"/>
      <c r="FE38" s="1152" t="s">
        <v>565</v>
      </c>
      <c r="FF38" s="1154" t="s">
        <v>536</v>
      </c>
      <c r="FG38" s="1156" t="s">
        <v>122</v>
      </c>
      <c r="FH38" s="1158" t="s">
        <v>169</v>
      </c>
      <c r="FI38" s="1159"/>
      <c r="FJ38" s="1159"/>
      <c r="FK38" s="1159"/>
      <c r="FL38" s="1159"/>
      <c r="FM38" s="1159"/>
      <c r="FN38" s="1159"/>
      <c r="FO38" s="1159"/>
      <c r="FP38" s="1159"/>
      <c r="FQ38" s="1160"/>
      <c r="FR38" s="1161" t="s">
        <v>170</v>
      </c>
      <c r="FS38" s="1162"/>
      <c r="FT38" s="1162"/>
      <c r="FU38" s="1162"/>
      <c r="FV38" s="1162"/>
      <c r="FW38" s="1162"/>
      <c r="FX38" s="1162"/>
      <c r="FY38" s="1162"/>
      <c r="FZ38" s="1162"/>
      <c r="GA38" s="1163"/>
      <c r="GB38" s="1158" t="s">
        <v>556</v>
      </c>
      <c r="GC38" s="1159"/>
      <c r="GD38" s="1159"/>
      <c r="GE38" s="1159"/>
      <c r="GF38" s="1159"/>
      <c r="GG38" s="1160"/>
      <c r="GH38" s="1158" t="s">
        <v>553</v>
      </c>
      <c r="GI38" s="1160"/>
    </row>
    <row r="39" spans="1:191" ht="15" customHeight="1" x14ac:dyDescent="0.2">
      <c r="A39" s="1153"/>
      <c r="B39" s="1155"/>
      <c r="C39" s="1157"/>
      <c r="D39" s="1164" t="s">
        <v>161</v>
      </c>
      <c r="E39" s="1165"/>
      <c r="F39" s="1166"/>
      <c r="G39" s="1167" t="s">
        <v>162</v>
      </c>
      <c r="H39" s="1165"/>
      <c r="I39" s="1165"/>
      <c r="J39" s="1165"/>
      <c r="K39" s="1166"/>
      <c r="L39" s="1167" t="s">
        <v>166</v>
      </c>
      <c r="M39" s="1168"/>
      <c r="N39" s="1164" t="s">
        <v>161</v>
      </c>
      <c r="O39" s="1165"/>
      <c r="P39" s="1166"/>
      <c r="Q39" s="1167" t="s">
        <v>162</v>
      </c>
      <c r="R39" s="1165"/>
      <c r="S39" s="1165"/>
      <c r="T39" s="1165"/>
      <c r="U39" s="1166"/>
      <c r="V39" s="1167" t="s">
        <v>166</v>
      </c>
      <c r="W39" s="1168"/>
      <c r="X39" s="1139" t="s">
        <v>171</v>
      </c>
      <c r="Y39" s="1141"/>
      <c r="Z39" s="1141"/>
      <c r="AA39" s="1141"/>
      <c r="AB39" s="1143" t="s">
        <v>172</v>
      </c>
      <c r="AC39" s="1173" t="s">
        <v>554</v>
      </c>
      <c r="AD39" s="1169" t="s">
        <v>169</v>
      </c>
      <c r="AE39" s="1171" t="s">
        <v>170</v>
      </c>
      <c r="AG39" s="1153"/>
      <c r="AH39" s="1155"/>
      <c r="AI39" s="1157"/>
      <c r="AJ39" s="1164" t="s">
        <v>161</v>
      </c>
      <c r="AK39" s="1165"/>
      <c r="AL39" s="1166"/>
      <c r="AM39" s="1167" t="s">
        <v>162</v>
      </c>
      <c r="AN39" s="1165"/>
      <c r="AO39" s="1165"/>
      <c r="AP39" s="1165"/>
      <c r="AQ39" s="1166"/>
      <c r="AR39" s="1167" t="s">
        <v>166</v>
      </c>
      <c r="AS39" s="1168"/>
      <c r="AT39" s="1164" t="s">
        <v>161</v>
      </c>
      <c r="AU39" s="1165"/>
      <c r="AV39" s="1166"/>
      <c r="AW39" s="1167" t="s">
        <v>162</v>
      </c>
      <c r="AX39" s="1165"/>
      <c r="AY39" s="1165"/>
      <c r="AZ39" s="1165"/>
      <c r="BA39" s="1166"/>
      <c r="BB39" s="1167" t="s">
        <v>166</v>
      </c>
      <c r="BC39" s="1168"/>
      <c r="BD39" s="1139" t="s">
        <v>171</v>
      </c>
      <c r="BE39" s="1141"/>
      <c r="BF39" s="1141"/>
      <c r="BG39" s="1141"/>
      <c r="BH39" s="1143" t="s">
        <v>172</v>
      </c>
      <c r="BI39" s="1173" t="s">
        <v>554</v>
      </c>
      <c r="BJ39" s="1169" t="s">
        <v>169</v>
      </c>
      <c r="BK39" s="1171" t="s">
        <v>170</v>
      </c>
      <c r="BM39" s="1153"/>
      <c r="BN39" s="1155"/>
      <c r="BO39" s="1157"/>
      <c r="BP39" s="1164" t="s">
        <v>161</v>
      </c>
      <c r="BQ39" s="1165"/>
      <c r="BR39" s="1166"/>
      <c r="BS39" s="1167" t="s">
        <v>162</v>
      </c>
      <c r="BT39" s="1165"/>
      <c r="BU39" s="1165"/>
      <c r="BV39" s="1165"/>
      <c r="BW39" s="1166"/>
      <c r="BX39" s="1167" t="s">
        <v>166</v>
      </c>
      <c r="BY39" s="1168"/>
      <c r="BZ39" s="1164" t="s">
        <v>161</v>
      </c>
      <c r="CA39" s="1165"/>
      <c r="CB39" s="1166"/>
      <c r="CC39" s="1167" t="s">
        <v>162</v>
      </c>
      <c r="CD39" s="1165"/>
      <c r="CE39" s="1165"/>
      <c r="CF39" s="1165"/>
      <c r="CG39" s="1166"/>
      <c r="CH39" s="1167" t="s">
        <v>166</v>
      </c>
      <c r="CI39" s="1168"/>
      <c r="CJ39" s="1139" t="s">
        <v>171</v>
      </c>
      <c r="CK39" s="1141"/>
      <c r="CL39" s="1141"/>
      <c r="CM39" s="1141"/>
      <c r="CN39" s="1143" t="s">
        <v>172</v>
      </c>
      <c r="CO39" s="1173" t="s">
        <v>554</v>
      </c>
      <c r="CP39" s="1169" t="s">
        <v>169</v>
      </c>
      <c r="CQ39" s="1171" t="s">
        <v>170</v>
      </c>
      <c r="CS39" s="1153"/>
      <c r="CT39" s="1155"/>
      <c r="CU39" s="1157"/>
      <c r="CV39" s="1164" t="s">
        <v>161</v>
      </c>
      <c r="CW39" s="1165"/>
      <c r="CX39" s="1166"/>
      <c r="CY39" s="1167" t="s">
        <v>162</v>
      </c>
      <c r="CZ39" s="1165"/>
      <c r="DA39" s="1165"/>
      <c r="DB39" s="1165"/>
      <c r="DC39" s="1166"/>
      <c r="DD39" s="1167" t="s">
        <v>166</v>
      </c>
      <c r="DE39" s="1168"/>
      <c r="DF39" s="1164" t="s">
        <v>161</v>
      </c>
      <c r="DG39" s="1165"/>
      <c r="DH39" s="1166"/>
      <c r="DI39" s="1167" t="s">
        <v>162</v>
      </c>
      <c r="DJ39" s="1165"/>
      <c r="DK39" s="1165"/>
      <c r="DL39" s="1165"/>
      <c r="DM39" s="1166"/>
      <c r="DN39" s="1167" t="s">
        <v>166</v>
      </c>
      <c r="DO39" s="1168"/>
      <c r="DP39" s="1139" t="s">
        <v>171</v>
      </c>
      <c r="DQ39" s="1141"/>
      <c r="DR39" s="1141"/>
      <c r="DS39" s="1141"/>
      <c r="DT39" s="1143" t="s">
        <v>172</v>
      </c>
      <c r="DU39" s="1173" t="s">
        <v>554</v>
      </c>
      <c r="DV39" s="1169" t="s">
        <v>169</v>
      </c>
      <c r="DW39" s="1171" t="s">
        <v>170</v>
      </c>
      <c r="DY39" s="1153"/>
      <c r="DZ39" s="1155"/>
      <c r="EA39" s="1157"/>
      <c r="EB39" s="1164" t="s">
        <v>161</v>
      </c>
      <c r="EC39" s="1165"/>
      <c r="ED39" s="1166"/>
      <c r="EE39" s="1167" t="s">
        <v>162</v>
      </c>
      <c r="EF39" s="1165"/>
      <c r="EG39" s="1165"/>
      <c r="EH39" s="1165"/>
      <c r="EI39" s="1166"/>
      <c r="EJ39" s="1167" t="s">
        <v>166</v>
      </c>
      <c r="EK39" s="1168"/>
      <c r="EL39" s="1164" t="s">
        <v>161</v>
      </c>
      <c r="EM39" s="1165"/>
      <c r="EN39" s="1166"/>
      <c r="EO39" s="1167" t="s">
        <v>162</v>
      </c>
      <c r="EP39" s="1165"/>
      <c r="EQ39" s="1165"/>
      <c r="ER39" s="1165"/>
      <c r="ES39" s="1166"/>
      <c r="ET39" s="1167" t="s">
        <v>166</v>
      </c>
      <c r="EU39" s="1168"/>
      <c r="EV39" s="1139" t="s">
        <v>171</v>
      </c>
      <c r="EW39" s="1141"/>
      <c r="EX39" s="1141"/>
      <c r="EY39" s="1141"/>
      <c r="EZ39" s="1143" t="s">
        <v>172</v>
      </c>
      <c r="FA39" s="1173" t="s">
        <v>554</v>
      </c>
      <c r="FB39" s="1169" t="s">
        <v>169</v>
      </c>
      <c r="FC39" s="1171" t="s">
        <v>170</v>
      </c>
      <c r="FE39" s="1153"/>
      <c r="FF39" s="1155"/>
      <c r="FG39" s="1157"/>
      <c r="FH39" s="1164" t="s">
        <v>161</v>
      </c>
      <c r="FI39" s="1165"/>
      <c r="FJ39" s="1166"/>
      <c r="FK39" s="1167" t="s">
        <v>162</v>
      </c>
      <c r="FL39" s="1165"/>
      <c r="FM39" s="1165"/>
      <c r="FN39" s="1165"/>
      <c r="FO39" s="1166"/>
      <c r="FP39" s="1167" t="s">
        <v>166</v>
      </c>
      <c r="FQ39" s="1168"/>
      <c r="FR39" s="1164" t="s">
        <v>161</v>
      </c>
      <c r="FS39" s="1165"/>
      <c r="FT39" s="1166"/>
      <c r="FU39" s="1167" t="s">
        <v>162</v>
      </c>
      <c r="FV39" s="1165"/>
      <c r="FW39" s="1165"/>
      <c r="FX39" s="1165"/>
      <c r="FY39" s="1166"/>
      <c r="FZ39" s="1167" t="s">
        <v>166</v>
      </c>
      <c r="GA39" s="1168"/>
      <c r="GB39" s="1139" t="s">
        <v>171</v>
      </c>
      <c r="GC39" s="1141"/>
      <c r="GD39" s="1141"/>
      <c r="GE39" s="1141"/>
      <c r="GF39" s="1143" t="s">
        <v>172</v>
      </c>
      <c r="GG39" s="1173" t="s">
        <v>554</v>
      </c>
      <c r="GH39" s="1169" t="s">
        <v>169</v>
      </c>
      <c r="GI39" s="1171" t="s">
        <v>170</v>
      </c>
    </row>
    <row r="40" spans="1:191" ht="234" customHeight="1" x14ac:dyDescent="0.2">
      <c r="A40" s="1153"/>
      <c r="B40" s="1155"/>
      <c r="C40" s="1157"/>
      <c r="D40" s="231" t="s">
        <v>156</v>
      </c>
      <c r="E40" s="232" t="s">
        <v>157</v>
      </c>
      <c r="F40" s="232" t="s">
        <v>158</v>
      </c>
      <c r="G40" s="232" t="s">
        <v>159</v>
      </c>
      <c r="H40" s="232" t="s">
        <v>160</v>
      </c>
      <c r="I40" s="232" t="s">
        <v>163</v>
      </c>
      <c r="J40" s="232" t="s">
        <v>164</v>
      </c>
      <c r="K40" s="232" t="s">
        <v>165</v>
      </c>
      <c r="L40" s="232" t="s">
        <v>167</v>
      </c>
      <c r="M40" s="233" t="s">
        <v>168</v>
      </c>
      <c r="N40" s="231" t="s">
        <v>156</v>
      </c>
      <c r="O40" s="232" t="s">
        <v>157</v>
      </c>
      <c r="P40" s="232" t="s">
        <v>158</v>
      </c>
      <c r="Q40" s="232" t="s">
        <v>159</v>
      </c>
      <c r="R40" s="232" t="s">
        <v>160</v>
      </c>
      <c r="S40" s="232" t="s">
        <v>163</v>
      </c>
      <c r="T40" s="232" t="s">
        <v>164</v>
      </c>
      <c r="U40" s="232" t="s">
        <v>165</v>
      </c>
      <c r="V40" s="232" t="s">
        <v>167</v>
      </c>
      <c r="W40" s="233" t="s">
        <v>168</v>
      </c>
      <c r="X40" s="1140"/>
      <c r="Y40" s="1142"/>
      <c r="Z40" s="1142"/>
      <c r="AA40" s="1142"/>
      <c r="AB40" s="1144"/>
      <c r="AC40" s="1174"/>
      <c r="AD40" s="1170" t="s">
        <v>468</v>
      </c>
      <c r="AE40" s="1172" t="s">
        <v>469</v>
      </c>
      <c r="AG40" s="1153"/>
      <c r="AH40" s="1155"/>
      <c r="AI40" s="1157"/>
      <c r="AJ40" s="231" t="s">
        <v>156</v>
      </c>
      <c r="AK40" s="232" t="s">
        <v>157</v>
      </c>
      <c r="AL40" s="232" t="s">
        <v>158</v>
      </c>
      <c r="AM40" s="232" t="s">
        <v>159</v>
      </c>
      <c r="AN40" s="232" t="s">
        <v>160</v>
      </c>
      <c r="AO40" s="232" t="s">
        <v>163</v>
      </c>
      <c r="AP40" s="232" t="s">
        <v>164</v>
      </c>
      <c r="AQ40" s="232" t="s">
        <v>165</v>
      </c>
      <c r="AR40" s="232" t="s">
        <v>167</v>
      </c>
      <c r="AS40" s="233" t="s">
        <v>168</v>
      </c>
      <c r="AT40" s="231" t="s">
        <v>156</v>
      </c>
      <c r="AU40" s="232" t="s">
        <v>157</v>
      </c>
      <c r="AV40" s="232" t="s">
        <v>158</v>
      </c>
      <c r="AW40" s="232" t="s">
        <v>159</v>
      </c>
      <c r="AX40" s="232" t="s">
        <v>160</v>
      </c>
      <c r="AY40" s="232" t="s">
        <v>163</v>
      </c>
      <c r="AZ40" s="232" t="s">
        <v>164</v>
      </c>
      <c r="BA40" s="232" t="s">
        <v>165</v>
      </c>
      <c r="BB40" s="232" t="s">
        <v>167</v>
      </c>
      <c r="BC40" s="233" t="s">
        <v>168</v>
      </c>
      <c r="BD40" s="1140"/>
      <c r="BE40" s="1142"/>
      <c r="BF40" s="1142"/>
      <c r="BG40" s="1142"/>
      <c r="BH40" s="1144"/>
      <c r="BI40" s="1174"/>
      <c r="BJ40" s="1170" t="s">
        <v>468</v>
      </c>
      <c r="BK40" s="1172" t="s">
        <v>469</v>
      </c>
      <c r="BM40" s="1153"/>
      <c r="BN40" s="1155"/>
      <c r="BO40" s="1157"/>
      <c r="BP40" s="231" t="s">
        <v>156</v>
      </c>
      <c r="BQ40" s="232" t="s">
        <v>157</v>
      </c>
      <c r="BR40" s="232" t="s">
        <v>158</v>
      </c>
      <c r="BS40" s="232" t="s">
        <v>159</v>
      </c>
      <c r="BT40" s="232" t="s">
        <v>160</v>
      </c>
      <c r="BU40" s="232" t="s">
        <v>163</v>
      </c>
      <c r="BV40" s="232" t="s">
        <v>164</v>
      </c>
      <c r="BW40" s="232" t="s">
        <v>165</v>
      </c>
      <c r="BX40" s="232" t="s">
        <v>167</v>
      </c>
      <c r="BY40" s="233" t="s">
        <v>168</v>
      </c>
      <c r="BZ40" s="231" t="s">
        <v>156</v>
      </c>
      <c r="CA40" s="232" t="s">
        <v>157</v>
      </c>
      <c r="CB40" s="232" t="s">
        <v>158</v>
      </c>
      <c r="CC40" s="232" t="s">
        <v>159</v>
      </c>
      <c r="CD40" s="232" t="s">
        <v>160</v>
      </c>
      <c r="CE40" s="232" t="s">
        <v>163</v>
      </c>
      <c r="CF40" s="232" t="s">
        <v>164</v>
      </c>
      <c r="CG40" s="232" t="s">
        <v>165</v>
      </c>
      <c r="CH40" s="232" t="s">
        <v>167</v>
      </c>
      <c r="CI40" s="233" t="s">
        <v>168</v>
      </c>
      <c r="CJ40" s="1140"/>
      <c r="CK40" s="1142"/>
      <c r="CL40" s="1142"/>
      <c r="CM40" s="1142"/>
      <c r="CN40" s="1144"/>
      <c r="CO40" s="1174"/>
      <c r="CP40" s="1170" t="s">
        <v>468</v>
      </c>
      <c r="CQ40" s="1172" t="s">
        <v>469</v>
      </c>
      <c r="CS40" s="1153"/>
      <c r="CT40" s="1155"/>
      <c r="CU40" s="1157"/>
      <c r="CV40" s="231" t="s">
        <v>156</v>
      </c>
      <c r="CW40" s="232" t="s">
        <v>157</v>
      </c>
      <c r="CX40" s="232" t="s">
        <v>158</v>
      </c>
      <c r="CY40" s="232" t="s">
        <v>159</v>
      </c>
      <c r="CZ40" s="232" t="s">
        <v>160</v>
      </c>
      <c r="DA40" s="232" t="s">
        <v>163</v>
      </c>
      <c r="DB40" s="232" t="s">
        <v>164</v>
      </c>
      <c r="DC40" s="232" t="s">
        <v>165</v>
      </c>
      <c r="DD40" s="232" t="s">
        <v>167</v>
      </c>
      <c r="DE40" s="233" t="s">
        <v>168</v>
      </c>
      <c r="DF40" s="231" t="s">
        <v>156</v>
      </c>
      <c r="DG40" s="232" t="s">
        <v>157</v>
      </c>
      <c r="DH40" s="232" t="s">
        <v>158</v>
      </c>
      <c r="DI40" s="232" t="s">
        <v>159</v>
      </c>
      <c r="DJ40" s="232" t="s">
        <v>160</v>
      </c>
      <c r="DK40" s="232" t="s">
        <v>163</v>
      </c>
      <c r="DL40" s="232" t="s">
        <v>164</v>
      </c>
      <c r="DM40" s="232" t="s">
        <v>165</v>
      </c>
      <c r="DN40" s="232" t="s">
        <v>167</v>
      </c>
      <c r="DO40" s="233" t="s">
        <v>168</v>
      </c>
      <c r="DP40" s="1140"/>
      <c r="DQ40" s="1142"/>
      <c r="DR40" s="1142"/>
      <c r="DS40" s="1142"/>
      <c r="DT40" s="1144"/>
      <c r="DU40" s="1174"/>
      <c r="DV40" s="1170" t="s">
        <v>468</v>
      </c>
      <c r="DW40" s="1172" t="s">
        <v>469</v>
      </c>
      <c r="DY40" s="1153"/>
      <c r="DZ40" s="1155"/>
      <c r="EA40" s="1157"/>
      <c r="EB40" s="231" t="s">
        <v>156</v>
      </c>
      <c r="EC40" s="232" t="s">
        <v>157</v>
      </c>
      <c r="ED40" s="232" t="s">
        <v>158</v>
      </c>
      <c r="EE40" s="232" t="s">
        <v>159</v>
      </c>
      <c r="EF40" s="232" t="s">
        <v>160</v>
      </c>
      <c r="EG40" s="232" t="s">
        <v>163</v>
      </c>
      <c r="EH40" s="232" t="s">
        <v>164</v>
      </c>
      <c r="EI40" s="232" t="s">
        <v>165</v>
      </c>
      <c r="EJ40" s="232" t="s">
        <v>167</v>
      </c>
      <c r="EK40" s="233" t="s">
        <v>168</v>
      </c>
      <c r="EL40" s="231" t="s">
        <v>156</v>
      </c>
      <c r="EM40" s="232" t="s">
        <v>157</v>
      </c>
      <c r="EN40" s="232" t="s">
        <v>158</v>
      </c>
      <c r="EO40" s="232" t="s">
        <v>159</v>
      </c>
      <c r="EP40" s="232" t="s">
        <v>160</v>
      </c>
      <c r="EQ40" s="232" t="s">
        <v>163</v>
      </c>
      <c r="ER40" s="232" t="s">
        <v>164</v>
      </c>
      <c r="ES40" s="232" t="s">
        <v>165</v>
      </c>
      <c r="ET40" s="232" t="s">
        <v>167</v>
      </c>
      <c r="EU40" s="233" t="s">
        <v>168</v>
      </c>
      <c r="EV40" s="1140"/>
      <c r="EW40" s="1142"/>
      <c r="EX40" s="1142"/>
      <c r="EY40" s="1142"/>
      <c r="EZ40" s="1144"/>
      <c r="FA40" s="1174"/>
      <c r="FB40" s="1170" t="s">
        <v>468</v>
      </c>
      <c r="FC40" s="1172" t="s">
        <v>469</v>
      </c>
      <c r="FE40" s="1153"/>
      <c r="FF40" s="1155"/>
      <c r="FG40" s="1157"/>
      <c r="FH40" s="231" t="s">
        <v>156</v>
      </c>
      <c r="FI40" s="232" t="s">
        <v>157</v>
      </c>
      <c r="FJ40" s="232" t="s">
        <v>158</v>
      </c>
      <c r="FK40" s="232" t="s">
        <v>159</v>
      </c>
      <c r="FL40" s="232" t="s">
        <v>160</v>
      </c>
      <c r="FM40" s="232" t="s">
        <v>163</v>
      </c>
      <c r="FN40" s="232" t="s">
        <v>164</v>
      </c>
      <c r="FO40" s="232" t="s">
        <v>165</v>
      </c>
      <c r="FP40" s="232" t="s">
        <v>167</v>
      </c>
      <c r="FQ40" s="233" t="s">
        <v>168</v>
      </c>
      <c r="FR40" s="231" t="s">
        <v>156</v>
      </c>
      <c r="FS40" s="232" t="s">
        <v>157</v>
      </c>
      <c r="FT40" s="232" t="s">
        <v>158</v>
      </c>
      <c r="FU40" s="232" t="s">
        <v>159</v>
      </c>
      <c r="FV40" s="232" t="s">
        <v>160</v>
      </c>
      <c r="FW40" s="232" t="s">
        <v>163</v>
      </c>
      <c r="FX40" s="232" t="s">
        <v>164</v>
      </c>
      <c r="FY40" s="232" t="s">
        <v>165</v>
      </c>
      <c r="FZ40" s="232" t="s">
        <v>167</v>
      </c>
      <c r="GA40" s="233" t="s">
        <v>168</v>
      </c>
      <c r="GB40" s="1140"/>
      <c r="GC40" s="1142"/>
      <c r="GD40" s="1142"/>
      <c r="GE40" s="1142"/>
      <c r="GF40" s="1144"/>
      <c r="GG40" s="1174"/>
      <c r="GH40" s="1170" t="s">
        <v>468</v>
      </c>
      <c r="GI40" s="1172" t="s">
        <v>469</v>
      </c>
    </row>
    <row r="41" spans="1:191" ht="31.5" customHeight="1" x14ac:dyDescent="0.2">
      <c r="A41" s="1138" t="s">
        <v>123</v>
      </c>
      <c r="B41" s="234" t="s">
        <v>182</v>
      </c>
      <c r="C41" s="235" t="s">
        <v>45</v>
      </c>
      <c r="D41" s="236"/>
      <c r="E41" s="237"/>
      <c r="F41" s="238" t="str">
        <f>IF(LEN('Eval-Avant impact'!$T$107)=0,"",IF('Eval-Avant impact'!$T$107=0,0,IF(OR(COUNTA('Eval-Avant impact'!$T$222)=0,COUNTA('Eval-Avant impact'!$T$213)=0),"",'Eval-Avant impact'!$T$222/'Eval-Avant impact'!$T$213)))</f>
        <v/>
      </c>
      <c r="G41" s="238" t="str">
        <f>IF(LEN('Eval-Avant impact'!$T$107)=0,"",IF('Eval-Avant impact'!$T$107=0,0,IF(OR(COUNTA('Eval-Avant impact'!$T$222)=0,COUNTA('Eval-Avant impact'!$T$213)=0),"",'Eval-Avant impact'!$T$222/'Eval-Avant impact'!$T$213)))</f>
        <v/>
      </c>
      <c r="H41" s="238" t="str">
        <f>IF(LEN('Eval-Avant impact'!$T$107)=0,"",IF('Eval-Avant impact'!$T$107=0,0,IF(OR(COUNTA('Eval-Avant impact'!$T$222)=0,COUNTA('Eval-Avant impact'!$T$213)=0),"",'Eval-Avant impact'!$T$222/'Eval-Avant impact'!$T$213)))</f>
        <v/>
      </c>
      <c r="I41" s="238" t="str">
        <f>IF(LEN('Eval-Avant impact'!$T$107)=0,"",IF('Eval-Avant impact'!$T$107=0,0,IF(OR(COUNTA('Eval-Avant impact'!$T$222)=0,COUNTA('Eval-Avant impact'!$T$213)=0),"",'Eval-Avant impact'!$T$222/'Eval-Avant impact'!$T$213)))</f>
        <v/>
      </c>
      <c r="J41" s="238" t="str">
        <f>IF(LEN('Eval-Avant impact'!$T$107)=0,"",IF('Eval-Avant impact'!$T$107=0,0,IF(OR(COUNTA('Eval-Avant impact'!$T$222)=0,COUNTA('Eval-Avant impact'!$T$213)=0),"",'Eval-Avant impact'!$T$222/'Eval-Avant impact'!$T$213)))</f>
        <v/>
      </c>
      <c r="K41" s="237"/>
      <c r="L41" s="237"/>
      <c r="M41" s="239"/>
      <c r="N41" s="236"/>
      <c r="O41" s="237"/>
      <c r="P41" s="238" t="str">
        <f>IF(F41="","",F41*'Eval-Avant impact'!$T$213)</f>
        <v/>
      </c>
      <c r="Q41" s="238" t="str">
        <f>IF(F41="","",F41*'Eval-Avant impact'!$T$213)</f>
        <v/>
      </c>
      <c r="R41" s="238" t="str">
        <f>IF(F41="","",F41*'Eval-Avant impact'!$T$213)</f>
        <v/>
      </c>
      <c r="S41" s="238" t="str">
        <f>IF(F41="","",F41*'Eval-Avant impact'!$T$213)</f>
        <v/>
      </c>
      <c r="T41" s="238" t="str">
        <f>IF(F41="","",F41*'Eval-Avant impact'!$T$213)</f>
        <v/>
      </c>
      <c r="U41" s="237"/>
      <c r="V41" s="237"/>
      <c r="W41" s="239"/>
      <c r="X41" s="240" t="str">
        <f>IF(LEN('Eval-Avant impact'!$T$107)=0,"",IF('Eval-Avant impact'!$T$107=0,"Site détruit (0 ha).",CONCATENATE((IF(F41=0,"Pas de surface cultivée détectée.","")),(IF(AND(F41&lt;=0.2,F41&gt;0),CONCATENATE("Part cultivée très réduite (",ROUND(100*('Eval-Avant impact'!$T$222/'Eval-Avant impact'!$T$213),1)," %)."),"")))))</f>
        <v/>
      </c>
      <c r="Y41" s="241" t="str">
        <f>(IF(AND(F41&gt;0.2,F41&lt;=0.4),CONCATENATE("Part cultivée assez réduite (",ROUND(100*('Eval-Avant impact'!$T$222/'Eval-Avant impact'!$T$213),1)," %)."),""))</f>
        <v/>
      </c>
      <c r="Z41" s="242" t="str">
        <f>(IF(AND(F41&gt;0.4,F41&lt;=0.6),CONCATENATE("Part cultivée assez importante (",ROUND(100*('Eval-Avant impact'!$T$222/'Eval-Avant impact'!$T$213),1)," %)."),""))</f>
        <v/>
      </c>
      <c r="AA41" s="242" t="str">
        <f>(IF(AND(F41&gt;0.6,F41&lt;=0.8),CONCATENATE("Part cultivée importante (",ROUND(100*('Eval-Avant impact'!$T$222/'Eval-Avant impact'!$T$213),1)," %)."),""))</f>
        <v/>
      </c>
      <c r="AB41" s="242" t="str">
        <f>(IF(AND(F41&gt;0.8,F41&lt;=1),CONCATENATE("Part cultivée très importante (",ROUND(100*('Eval-Avant impact'!$T$222/'Eval-Avant impact'!$T$213),1)," %)."),""))</f>
        <v/>
      </c>
      <c r="AC41" s="239"/>
      <c r="AD41" s="243" t="str">
        <f>F41</f>
        <v/>
      </c>
      <c r="AE41" s="244" t="str">
        <f>P41</f>
        <v/>
      </c>
      <c r="AF41" s="245"/>
      <c r="AG41" s="1138" t="s">
        <v>123</v>
      </c>
      <c r="AH41" s="234" t="s">
        <v>182</v>
      </c>
      <c r="AI41" s="235" t="s">
        <v>45</v>
      </c>
      <c r="AJ41" s="236"/>
      <c r="AK41" s="237"/>
      <c r="AL41" s="238" t="str">
        <f>IF(LEN('Eval-Avec impact envisagé'!$T$107)=0,"",IF('Eval-Avec impact envisagé'!$T$107=0,0,IF(OR(COUNTA('Eval-Avec impact envisagé'!$T$222)=0,COUNTA('Eval-Avec impact envisagé'!$T$213)=0),"",'Eval-Avec impact envisagé'!$T$222/'Eval-Avec impact envisagé'!$T$213)))</f>
        <v/>
      </c>
      <c r="AM41" s="238" t="str">
        <f>IF(LEN('Eval-Avec impact envisagé'!$T$107)=0,"",IF('Eval-Avec impact envisagé'!$T$107=0,0,IF(OR(COUNTA('Eval-Avec impact envisagé'!$T$222)=0,COUNTA('Eval-Avec impact envisagé'!$T$213)=0),"",'Eval-Avec impact envisagé'!$T$222/'Eval-Avec impact envisagé'!$T$213)))</f>
        <v/>
      </c>
      <c r="AN41" s="238" t="str">
        <f>IF(LEN('Eval-Avec impact envisagé'!$T$107)=0,"",IF('Eval-Avec impact envisagé'!$T$107=0,0,IF(OR(COUNTA('Eval-Avec impact envisagé'!$T$222)=0,COUNTA('Eval-Avec impact envisagé'!$T$213)=0),"",'Eval-Avec impact envisagé'!$T$222/'Eval-Avec impact envisagé'!$T$213)))</f>
        <v/>
      </c>
      <c r="AO41" s="238" t="str">
        <f>IF(LEN('Eval-Avec impact envisagé'!$T$107)=0,"",IF('Eval-Avec impact envisagé'!$T$107=0,0,IF(OR(COUNTA('Eval-Avec impact envisagé'!$T$222)=0,COUNTA('Eval-Avec impact envisagé'!$T$213)=0),"",'Eval-Avec impact envisagé'!$T$222/'Eval-Avec impact envisagé'!$T$213)))</f>
        <v/>
      </c>
      <c r="AP41" s="238" t="str">
        <f>IF(LEN('Eval-Avec impact envisagé'!$T$107)=0,"",IF('Eval-Avec impact envisagé'!$T$107=0,0,IF(OR(COUNTA('Eval-Avec impact envisagé'!$T$222)=0,COUNTA('Eval-Avec impact envisagé'!$T$213)=0),"",'Eval-Avec impact envisagé'!$T$222/'Eval-Avec impact envisagé'!$T$213)))</f>
        <v/>
      </c>
      <c r="AQ41" s="237"/>
      <c r="AR41" s="237"/>
      <c r="AS41" s="239"/>
      <c r="AT41" s="236"/>
      <c r="AU41" s="237"/>
      <c r="AV41" s="238" t="str">
        <f>IF(AL41="","",AL41*'Eval-Avec impact envisagé'!$T$213)</f>
        <v/>
      </c>
      <c r="AW41" s="238" t="str">
        <f>IF(AL41="","",AL41*'Eval-Avec impact envisagé'!$T$213)</f>
        <v/>
      </c>
      <c r="AX41" s="238" t="str">
        <f>IF(AL41="","",AL41*'Eval-Avec impact envisagé'!$T$213)</f>
        <v/>
      </c>
      <c r="AY41" s="238" t="str">
        <f>IF(AL41="","",AL41*'Eval-Avec impact envisagé'!$T$213)</f>
        <v/>
      </c>
      <c r="AZ41" s="238" t="str">
        <f>IF(AL41="","",AL41*'Eval-Avec impact envisagé'!$T$213)</f>
        <v/>
      </c>
      <c r="BA41" s="237"/>
      <c r="BB41" s="237"/>
      <c r="BC41" s="239"/>
      <c r="BD41" s="240" t="str">
        <f>IF(LEN('Eval-Avec impact envisagé'!$T$107)=0,"",IF('Eval-Avec impact envisagé'!$T$107=0,"Site détruit (0 ha).",CONCATENATE((IF(AL41=0,"Pas de surface cultivée détectée.","")),(IF(AND(AL41&lt;=0.2,AL41&gt;0),CONCATENATE("Part cultivée très réduite (",ROUND(100*('Eval-Avec impact envisagé'!$T$222/'Eval-Avec impact envisagé'!$T$213),1)," %)."),"")))))</f>
        <v/>
      </c>
      <c r="BE41" s="241" t="str">
        <f>(IF(AND(AL41&gt;0.2,AL41&lt;=0.4),CONCATENATE("Part cultivée assez réduite (",ROUND(100*('Eval-Avec impact envisagé'!$T$222/'Eval-Avec impact envisagé'!$T$213),1)," %)."),""))</f>
        <v/>
      </c>
      <c r="BF41" s="242" t="str">
        <f>(IF(AND(AL41&gt;0.4,AL41&lt;=0.6),CONCATENATE("Part cultivée assez importante (",ROUND(100*('Eval-Avec impact envisagé'!$T$222/'Eval-Avec impact envisagé'!$T$213),1)," %)."),""))</f>
        <v/>
      </c>
      <c r="BG41" s="242" t="str">
        <f>(IF(AND(AL41&gt;0.6,AL41&lt;=0.8),CONCATENATE("Part cultivée importante (",ROUND(100*('Eval-Avec impact envisagé'!$T$222/'Eval-Avec impact envisagé'!$T$213),1)," %)."),""))</f>
        <v/>
      </c>
      <c r="BH41" s="242" t="str">
        <f>(IF(AND(AL41&gt;0.8,AL41&lt;=1),CONCATENATE("Part cultivée très importante (",ROUND(100*('Eval-Avec impact envisagé'!$T$222/'Eval-Avec impact envisagé'!$T$213),1)," %)."),""))</f>
        <v/>
      </c>
      <c r="BI41" s="239"/>
      <c r="BJ41" s="243" t="str">
        <f>AL41</f>
        <v/>
      </c>
      <c r="BK41" s="244" t="str">
        <f>AV41</f>
        <v/>
      </c>
      <c r="BL41" s="245"/>
      <c r="BM41" s="1138" t="s">
        <v>123</v>
      </c>
      <c r="BN41" s="234" t="s">
        <v>182</v>
      </c>
      <c r="BO41" s="235" t="s">
        <v>45</v>
      </c>
      <c r="BP41" s="236"/>
      <c r="BQ41" s="237"/>
      <c r="BR41" s="238" t="str">
        <f>IF(LEN('Eval-Après impact'!$T$107)=0,"",IF('Eval-Après impact'!$T$107=0,0,IF(OR(COUNTA('Eval-Après impact'!$T$222)=0,COUNTA('Eval-Après impact'!$T$213)=0),"",'Eval-Après impact'!$T$222/'Eval-Après impact'!$T$213)))</f>
        <v/>
      </c>
      <c r="BS41" s="238" t="str">
        <f>IF(LEN('Eval-Après impact'!$T$107)=0,"",IF('Eval-Après impact'!$T$107=0,0,IF(OR(COUNTA('Eval-Après impact'!$T$222)=0,COUNTA('Eval-Après impact'!$T$213)=0),"",'Eval-Après impact'!$T$222/'Eval-Après impact'!$T$213)))</f>
        <v/>
      </c>
      <c r="BT41" s="238" t="str">
        <f>IF(LEN('Eval-Après impact'!$T$107)=0,"",IF('Eval-Après impact'!$T$107=0,0,IF(OR(COUNTA('Eval-Après impact'!$T$222)=0,COUNTA('Eval-Après impact'!$T$213)=0),"",'Eval-Après impact'!$T$222/'Eval-Après impact'!$T$213)))</f>
        <v/>
      </c>
      <c r="BU41" s="238" t="str">
        <f>IF(LEN('Eval-Après impact'!$T$107)=0,"",IF('Eval-Après impact'!$T$107=0,0,IF(OR(COUNTA('Eval-Après impact'!$T$222)=0,COUNTA('Eval-Après impact'!$T$213)=0),"",'Eval-Après impact'!$T$222/'Eval-Après impact'!$T$213)))</f>
        <v/>
      </c>
      <c r="BV41" s="238" t="str">
        <f>IF(LEN('Eval-Après impact'!$T$107)=0,"",IF('Eval-Après impact'!$T$107=0,0,IF(OR(COUNTA('Eval-Après impact'!$T$222)=0,COUNTA('Eval-Après impact'!$T$213)=0),"",'Eval-Après impact'!$T$222/'Eval-Après impact'!$T$213)))</f>
        <v/>
      </c>
      <c r="BW41" s="237"/>
      <c r="BX41" s="237"/>
      <c r="BY41" s="239"/>
      <c r="BZ41" s="236"/>
      <c r="CA41" s="237"/>
      <c r="CB41" s="238" t="str">
        <f>IF(BR41="","",BR41*'Eval-Après impact'!$T$213)</f>
        <v/>
      </c>
      <c r="CC41" s="238" t="str">
        <f>IF(BR41="","",BR41*'Eval-Après impact'!$T$213)</f>
        <v/>
      </c>
      <c r="CD41" s="238" t="str">
        <f>IF(BR41="","",BR41*'Eval-Après impact'!$T$213)</f>
        <v/>
      </c>
      <c r="CE41" s="238" t="str">
        <f>IF(BR41="","",BR41*'Eval-Après impact'!$T$213)</f>
        <v/>
      </c>
      <c r="CF41" s="238" t="str">
        <f>IF(BR41="","",BR41*'Eval-Après impact'!$T$213)</f>
        <v/>
      </c>
      <c r="CG41" s="237"/>
      <c r="CH41" s="237"/>
      <c r="CI41" s="239"/>
      <c r="CJ41" s="240" t="str">
        <f>IF(LEN('Eval-Après impact'!$T$107)=0,"",IF('Eval-Après impact'!$T$107=0,"Site détruit (0 ha).",CONCATENATE((IF(BR41=0,"Pas de surface cultivée détectée.","")),(IF(AND(BR41&lt;=0.2,BR41&gt;0),CONCATENATE("Part cultivée très réduite (",ROUND(100*('Eval-Après impact'!$T$222/'Eval-Après impact'!$T$213),1)," %)."),"")))))</f>
        <v/>
      </c>
      <c r="CK41" s="241" t="str">
        <f>(IF(AND(BR41&gt;0.2,BR41&lt;=0.4),CONCATENATE("Part cultivée assez réduite (",ROUND(100*('Eval-Après impact'!$T$222/'Eval-Après impact'!$T$213),1)," %)."),""))</f>
        <v/>
      </c>
      <c r="CL41" s="242" t="str">
        <f>(IF(AND(BR41&gt;0.4,BR41&lt;=0.6),CONCATENATE("Part cultivée assez importante (",ROUND(100*('Eval-Après impact'!$T$222/'Eval-Après impact'!$T$213),1)," %)."),""))</f>
        <v/>
      </c>
      <c r="CM41" s="242" t="str">
        <f>(IF(AND(BR41&gt;0.6,BR41&lt;=0.8),CONCATENATE("Part cultivée importante (",ROUND(100*('Eval-Après impact'!$T$222/'Eval-Après impact'!$T$213),1)," %)."),""))</f>
        <v/>
      </c>
      <c r="CN41" s="242" t="str">
        <f>(IF(AND(BR41&gt;0.8,BR41&lt;=1),CONCATENATE("Part cultivée très importante (",ROUND(100*('Eval-Après impact'!$T$222/'Eval-Après impact'!$T$213),1)," %)."),""))</f>
        <v/>
      </c>
      <c r="CO41" s="239"/>
      <c r="CP41" s="243" t="str">
        <f>BR41</f>
        <v/>
      </c>
      <c r="CQ41" s="244" t="str">
        <f>CB41</f>
        <v/>
      </c>
      <c r="CR41" s="245"/>
      <c r="CS41" s="1138" t="s">
        <v>123</v>
      </c>
      <c r="CT41" s="234" t="s">
        <v>182</v>
      </c>
      <c r="CU41" s="235" t="s">
        <v>45</v>
      </c>
      <c r="CV41" s="236"/>
      <c r="CW41" s="237"/>
      <c r="CX41" s="238" t="str">
        <f>IF(LEN('Eval-Avant action écologique'!$T$107)=0,"",IF('Eval-Avant action écologique'!$T$107=0,0,IF(OR(COUNTA('Eval-Avant action écologique'!$T$222)=0,COUNTA('Eval-Avant action écologique'!$T$213)=0),"",'Eval-Avant action écologique'!$T$222/'Eval-Avant action écologique'!$T$213)))</f>
        <v/>
      </c>
      <c r="CY41" s="238" t="str">
        <f>IF(LEN('Eval-Avant action écologique'!$T$107)=0,"",IF('Eval-Avant action écologique'!$T$107=0,0,IF(OR(COUNTA('Eval-Avant action écologique'!$T$222)=0,COUNTA('Eval-Avant action écologique'!$T$213)=0),"",'Eval-Avant action écologique'!$T$222/'Eval-Avant action écologique'!$T$213)))</f>
        <v/>
      </c>
      <c r="CZ41" s="238" t="str">
        <f>IF(LEN('Eval-Avant action écologique'!$T$107)=0,"",IF('Eval-Avant action écologique'!$T$107=0,0,IF(OR(COUNTA('Eval-Avant action écologique'!$T$222)=0,COUNTA('Eval-Avant action écologique'!$T$213)=0),"",'Eval-Avant action écologique'!$T$222/'Eval-Avant action écologique'!$T$213)))</f>
        <v/>
      </c>
      <c r="DA41" s="238" t="str">
        <f>IF(LEN('Eval-Avant action écologique'!$T$107)=0,"",IF('Eval-Avant action écologique'!$T$107=0,0,IF(OR(COUNTA('Eval-Avant action écologique'!$T$222)=0,COUNTA('Eval-Avant action écologique'!$T$213)=0),"",'Eval-Avant action écologique'!$T$222/'Eval-Avant action écologique'!$T$213)))</f>
        <v/>
      </c>
      <c r="DB41" s="238" t="str">
        <f>IF(LEN('Eval-Avant action écologique'!$T$107)=0,"",IF('Eval-Avant action écologique'!$T$107=0,0,IF(OR(COUNTA('Eval-Avant action écologique'!$T$222)=0,COUNTA('Eval-Avant action écologique'!$T$213)=0),"",'Eval-Avant action écologique'!$T$222/'Eval-Avant action écologique'!$T$213)))</f>
        <v/>
      </c>
      <c r="DC41" s="237"/>
      <c r="DD41" s="237"/>
      <c r="DE41" s="239"/>
      <c r="DF41" s="236"/>
      <c r="DG41" s="237"/>
      <c r="DH41" s="238" t="str">
        <f>IF(CX41="","",CX41*'Eval-Avant action écologique'!$T$213)</f>
        <v/>
      </c>
      <c r="DI41" s="238" t="str">
        <f>IF(CX41="","",CX41*'Eval-Avant action écologique'!$T$213)</f>
        <v/>
      </c>
      <c r="DJ41" s="238" t="str">
        <f>IF(CX41="","",CX41*'Eval-Avant action écologique'!$T$213)</f>
        <v/>
      </c>
      <c r="DK41" s="238" t="str">
        <f>IF(CX41="","",CX41*'Eval-Avant action écologique'!$T$213)</f>
        <v/>
      </c>
      <c r="DL41" s="238" t="str">
        <f>IF(CX41="","",CX41*'Eval-Avant action écologique'!$T$213)</f>
        <v/>
      </c>
      <c r="DM41" s="237"/>
      <c r="DN41" s="237"/>
      <c r="DO41" s="239"/>
      <c r="DP41" s="240" t="str">
        <f>IF(LEN('Eval-Avant action écologique'!$T$107)=0,"",IF('Eval-Avant action écologique'!$T$107=0,"Site détruit (0 ha).",CONCATENATE((IF(CX41=0,"Pas de surface cultivée détectée.","")),(IF(AND(CX41&lt;=0.2,CX41&gt;0),CONCATENATE("Part cultivée très réduite (",ROUND(100*('Eval-Avant action écologique'!$T$222/'Eval-Avant action écologique'!$T$213),1)," %)."),"")))))</f>
        <v/>
      </c>
      <c r="DQ41" s="241" t="str">
        <f>(IF(AND(CX41&gt;0.2,CX41&lt;=0.4),CONCATENATE("Part cultivée assez réduite (",ROUND(100*('Eval-Avant action écologique'!$T$222/'Eval-Avant action écologique'!$T$213),1)," %)."),""))</f>
        <v/>
      </c>
      <c r="DR41" s="242" t="str">
        <f>(IF(AND(CX41&gt;0.4,CX41&lt;=0.6),CONCATENATE("Part cultivée assez importante (",ROUND(100*('Eval-Avant action écologique'!$T$222/'Eval-Avant action écologique'!$T$213),1)," %)."),""))</f>
        <v/>
      </c>
      <c r="DS41" s="242" t="str">
        <f>(IF(AND(CX41&gt;0.6,CX41&lt;=0.8),CONCATENATE("Part cultivée importante (",ROUND(100*('Eval-Avant action écologique'!$T$222/'Eval-Avant action écologique'!$T$213),1)," %)."),""))</f>
        <v/>
      </c>
      <c r="DT41" s="242" t="str">
        <f>(IF(AND(CX41&gt;0.8,CX41&lt;=1),CONCATENATE("Part cultivée très importante (",ROUND(100*('Eval-Avant action écologique'!$T$222/'Eval-Avant action écologique'!$T$213),1)," %)."),""))</f>
        <v/>
      </c>
      <c r="DU41" s="239"/>
      <c r="DV41" s="243" t="str">
        <f>CX41</f>
        <v/>
      </c>
      <c r="DW41" s="244" t="str">
        <f>DH41</f>
        <v/>
      </c>
      <c r="DX41" s="245"/>
      <c r="DY41" s="1138" t="s">
        <v>123</v>
      </c>
      <c r="DZ41" s="234" t="s">
        <v>182</v>
      </c>
      <c r="EA41" s="235" t="s">
        <v>45</v>
      </c>
      <c r="EB41" s="236"/>
      <c r="EC41" s="237"/>
      <c r="ED41" s="238" t="str">
        <f>IF(LEN('Eval-Avec act. écol. envisagée'!$T$107)=0,"",IF('Eval-Avec act. écol. envisagée'!$T$107=0,0,IF(OR(COUNTA('Eval-Avec act. écol. envisagée'!$T$222)=0,COUNTA('Eval-Avec act. écol. envisagée'!$T$213)=0),"",'Eval-Avec act. écol. envisagée'!$T$222/'Eval-Avec act. écol. envisagée'!$T$213)))</f>
        <v/>
      </c>
      <c r="EE41" s="238" t="str">
        <f>IF(LEN('Eval-Avec act. écol. envisagée'!$T$107)=0,"",IF('Eval-Avec act. écol. envisagée'!$T$107=0,0,IF(OR(COUNTA('Eval-Avec act. écol. envisagée'!$T$222)=0,COUNTA('Eval-Avec act. écol. envisagée'!$T$213)=0),"",'Eval-Avec act. écol. envisagée'!$T$222/'Eval-Avec act. écol. envisagée'!$T$213)))</f>
        <v/>
      </c>
      <c r="EF41" s="238" t="str">
        <f>IF(LEN('Eval-Avec act. écol. envisagée'!$T$107)=0,"",IF('Eval-Avec act. écol. envisagée'!$T$107=0,0,IF(OR(COUNTA('Eval-Avec act. écol. envisagée'!$T$222)=0,COUNTA('Eval-Avec act. écol. envisagée'!$T$213)=0),"",'Eval-Avec act. écol. envisagée'!$T$222/'Eval-Avec act. écol. envisagée'!$T$213)))</f>
        <v/>
      </c>
      <c r="EG41" s="238" t="str">
        <f>IF(LEN('Eval-Avec act. écol. envisagée'!$T$107)=0,"",IF('Eval-Avec act. écol. envisagée'!$T$107=0,0,IF(OR(COUNTA('Eval-Avec act. écol. envisagée'!$T$222)=0,COUNTA('Eval-Avec act. écol. envisagée'!$T$213)=0),"",'Eval-Avec act. écol. envisagée'!$T$222/'Eval-Avec act. écol. envisagée'!$T$213)))</f>
        <v/>
      </c>
      <c r="EH41" s="238" t="str">
        <f>IF(LEN('Eval-Avec act. écol. envisagée'!$T$107)=0,"",IF('Eval-Avec act. écol. envisagée'!$T$107=0,0,IF(OR(COUNTA('Eval-Avec act. écol. envisagée'!$T$222)=0,COUNTA('Eval-Avec act. écol. envisagée'!$T$213)=0),"",'Eval-Avec act. écol. envisagée'!$T$222/'Eval-Avec act. écol. envisagée'!$T$213)))</f>
        <v/>
      </c>
      <c r="EI41" s="237"/>
      <c r="EJ41" s="237"/>
      <c r="EK41" s="239"/>
      <c r="EL41" s="236"/>
      <c r="EM41" s="237"/>
      <c r="EN41" s="238" t="str">
        <f>IF(ED41="","",ED41*'Eval-Avec act. écol. envisagée'!$T$213)</f>
        <v/>
      </c>
      <c r="EO41" s="238" t="str">
        <f>IF(ED41="","",ED41*'Eval-Avec act. écol. envisagée'!$T$213)</f>
        <v/>
      </c>
      <c r="EP41" s="238" t="str">
        <f>IF(ED41="","",ED41*'Eval-Avec act. écol. envisagée'!$T$213)</f>
        <v/>
      </c>
      <c r="EQ41" s="238" t="str">
        <f>IF(ED41="","",ED41*'Eval-Avec act. écol. envisagée'!$T$213)</f>
        <v/>
      </c>
      <c r="ER41" s="238" t="str">
        <f>IF(ED41="","",ED41*'Eval-Avec act. écol. envisagée'!$T$213)</f>
        <v/>
      </c>
      <c r="ES41" s="237"/>
      <c r="ET41" s="237"/>
      <c r="EU41" s="239"/>
      <c r="EV41" s="240" t="str">
        <f>IF(LEN('Eval-Avec act. écol. envisagée'!$T$107)=0,"",IF('Eval-Avec act. écol. envisagée'!$T$107=0,"Site détruit (0 ha).",CONCATENATE((IF(ED41=0,"Pas de surface cultivée détectée.","")),(IF(AND(ED41&lt;=0.2,ED41&gt;0),CONCATENATE("Part cultivée très réduite (",ROUND(100*('Eval-Avec act. écol. envisagée'!$T$222/'Eval-Avec act. écol. envisagée'!$T$213),1)," %)."),"")))))</f>
        <v/>
      </c>
      <c r="EW41" s="241" t="str">
        <f>(IF(AND(ED41&gt;0.2,ED41&lt;=0.4),CONCATENATE("Part cultivée assez réduite (",ROUND(100*('Eval-Avec act. écol. envisagée'!$T$222/'Eval-Avec act. écol. envisagée'!$T$213),1)," %)."),""))</f>
        <v/>
      </c>
      <c r="EX41" s="242" t="str">
        <f>(IF(AND(ED41&gt;0.4,ED41&lt;=0.6),CONCATENATE("Part cultivée assez importante (",ROUND(100*('Eval-Avec act. écol. envisagée'!$T$222/'Eval-Avec act. écol. envisagée'!$T$213),1)," %)."),""))</f>
        <v/>
      </c>
      <c r="EY41" s="242" t="str">
        <f>(IF(AND(ED41&gt;0.6,ED41&lt;=0.8),CONCATENATE("Part cultivée importante (",ROUND(100*('Eval-Avec act. écol. envisagée'!$T$222/'Eval-Avec act. écol. envisagée'!$T$213),1)," %)."),""))</f>
        <v/>
      </c>
      <c r="EZ41" s="242" t="str">
        <f>(IF(AND(ED41&gt;0.8,ED41&lt;=1),CONCATENATE("Part cultivée très importante (",ROUND(100*('Eval-Avec act. écol. envisagée'!$T$222/'Eval-Avec act. écol. envisagée'!$T$213),1)," %)."),""))</f>
        <v/>
      </c>
      <c r="FA41" s="239"/>
      <c r="FB41" s="243" t="str">
        <f>ED41</f>
        <v/>
      </c>
      <c r="FC41" s="244" t="str">
        <f>EN41</f>
        <v/>
      </c>
      <c r="FD41" s="245"/>
      <c r="FE41" s="1138" t="s">
        <v>123</v>
      </c>
      <c r="FF41" s="234" t="s">
        <v>182</v>
      </c>
      <c r="FG41" s="235" t="s">
        <v>45</v>
      </c>
      <c r="FH41" s="236"/>
      <c r="FI41" s="237"/>
      <c r="FJ41" s="238" t="str">
        <f>IF(LEN('Eval-Après action écologique'!$T$107)=0,"",IF('Eval-Après action écologique'!$T$107=0,0,IF(OR(COUNTA('Eval-Après action écologique'!$T$222)=0,COUNTA('Eval-Après action écologique'!$T$213)=0),"",'Eval-Après action écologique'!$T$222/'Eval-Après action écologique'!$T$213)))</f>
        <v/>
      </c>
      <c r="FK41" s="238" t="str">
        <f>IF(LEN('Eval-Après action écologique'!$T$107)=0,"",IF('Eval-Après action écologique'!$T$107=0,0,IF(OR(COUNTA('Eval-Après action écologique'!$T$222)=0,COUNTA('Eval-Après action écologique'!$T$213)=0),"",'Eval-Après action écologique'!$T$222/'Eval-Après action écologique'!$T$213)))</f>
        <v/>
      </c>
      <c r="FL41" s="238" t="str">
        <f>IF(LEN('Eval-Après action écologique'!$T$107)=0,"",IF('Eval-Après action écologique'!$T$107=0,0,IF(OR(COUNTA('Eval-Après action écologique'!$T$222)=0,COUNTA('Eval-Après action écologique'!$T$213)=0),"",'Eval-Après action écologique'!$T$222/'Eval-Après action écologique'!$T$213)))</f>
        <v/>
      </c>
      <c r="FM41" s="238" t="str">
        <f>IF(LEN('Eval-Après action écologique'!$T$107)=0,"",IF('Eval-Après action écologique'!$T$107=0,0,IF(OR(COUNTA('Eval-Après action écologique'!$T$222)=0,COUNTA('Eval-Après action écologique'!$T$213)=0),"",'Eval-Après action écologique'!$T$222/'Eval-Après action écologique'!$T$213)))</f>
        <v/>
      </c>
      <c r="FN41" s="238" t="str">
        <f>IF(LEN('Eval-Après action écologique'!$T$107)=0,"",IF('Eval-Après action écologique'!$T$107=0,0,IF(OR(COUNTA('Eval-Après action écologique'!$T$222)=0,COUNTA('Eval-Après action écologique'!$T$213)=0),"",'Eval-Après action écologique'!$T$222/'Eval-Après action écologique'!$T$213)))</f>
        <v/>
      </c>
      <c r="FO41" s="237"/>
      <c r="FP41" s="237"/>
      <c r="FQ41" s="239"/>
      <c r="FR41" s="236"/>
      <c r="FS41" s="237"/>
      <c r="FT41" s="238" t="str">
        <f>IF(FJ41="","",FJ41*'Eval-Après action écologique'!$T$213)</f>
        <v/>
      </c>
      <c r="FU41" s="238" t="str">
        <f>IF(FJ41="","",FJ41*'Eval-Après action écologique'!$T$213)</f>
        <v/>
      </c>
      <c r="FV41" s="238" t="str">
        <f>IF(FJ41="","",FJ41*'Eval-Après action écologique'!$T$213)</f>
        <v/>
      </c>
      <c r="FW41" s="238" t="str">
        <f>IF(FJ41="","",FJ41*'Eval-Après action écologique'!$T$213)</f>
        <v/>
      </c>
      <c r="FX41" s="238" t="str">
        <f>IF(FJ41="","",FJ41*'Eval-Après action écologique'!$T$213)</f>
        <v/>
      </c>
      <c r="FY41" s="237"/>
      <c r="FZ41" s="237"/>
      <c r="GA41" s="239"/>
      <c r="GB41" s="240" t="str">
        <f>IF(LEN('Eval-Après action écologique'!$T$107)=0,"",IF('Eval-Après action écologique'!$T$107=0,"Site détruit (0 ha).",CONCATENATE((IF(FJ41=0,"Pas de surface cultivée détectée.","")),(IF(AND(FJ41&lt;=0.2,FJ41&gt;0),CONCATENATE("Part cultivée très réduite (",ROUND(100*('Eval-Après action écologique'!$T$222/'Eval-Après action écologique'!$T$213),1)," %)."),"")))))</f>
        <v/>
      </c>
      <c r="GC41" s="241" t="str">
        <f>(IF(AND(FJ41&gt;0.2,FJ41&lt;=0.4),CONCATENATE("Part cultivée assez réduite (",ROUND(100*('Eval-Après action écologique'!$T$222/'Eval-Après action écologique'!$T$213),1)," %)."),""))</f>
        <v/>
      </c>
      <c r="GD41" s="242" t="str">
        <f>(IF(AND(FJ41&gt;0.4,FJ41&lt;=0.6),CONCATENATE("Part cultivée assez importante (",ROUND(100*('Eval-Après action écologique'!$T$222/'Eval-Après action écologique'!$T$213),1)," %)."),""))</f>
        <v/>
      </c>
      <c r="GE41" s="242" t="str">
        <f>(IF(AND(FJ41&gt;0.6,FJ41&lt;=0.8),CONCATENATE("Part cultivée importante (",ROUND(100*('Eval-Après action écologique'!$T$222/'Eval-Après action écologique'!$T$213),1)," %)."),""))</f>
        <v/>
      </c>
      <c r="GF41" s="242" t="str">
        <f>(IF(AND(FJ41&gt;0.8,FJ41&lt;=1),CONCATENATE("Part cultivée très importante (",ROUND(100*('Eval-Après action écologique'!$T$222/'Eval-Après action écologique'!$T$213),1)," %)."),""))</f>
        <v/>
      </c>
      <c r="GG41" s="239"/>
      <c r="GH41" s="243" t="str">
        <f>FJ41</f>
        <v/>
      </c>
      <c r="GI41" s="244" t="str">
        <f>FT41</f>
        <v/>
      </c>
    </row>
    <row r="42" spans="1:191" ht="31.5" customHeight="1" x14ac:dyDescent="0.2">
      <c r="A42" s="1138"/>
      <c r="B42" s="234" t="s">
        <v>183</v>
      </c>
      <c r="C42" s="235" t="s">
        <v>46</v>
      </c>
      <c r="D42" s="236"/>
      <c r="E42" s="237"/>
      <c r="F42" s="237"/>
      <c r="G42" s="238" t="str">
        <f>IF(LEN('Eval-Avant impact'!$T$107)=0,"",IF('Eval-Avant impact'!$T$107=0,0,IF(OR(COUNTA('Eval-Avant impact'!$T$221)=0,COUNTA('Eval-Avant impact'!$T$213)=0),"",'Eval-Avant impact'!$T$221/'Eval-Avant impact'!$T$213)))</f>
        <v/>
      </c>
      <c r="H42" s="238" t="str">
        <f>IF(LEN('Eval-Avant impact'!$T$107)=0,"",IF('Eval-Avant impact'!$T$107=0,0,IF(OR(COUNTA('Eval-Avant impact'!$T$221)=0,COUNTA('Eval-Avant impact'!$T$213)=0),"",'Eval-Avant impact'!$T$221/'Eval-Avant impact'!$T$213)))</f>
        <v/>
      </c>
      <c r="I42" s="238" t="str">
        <f>IF(LEN('Eval-Avant impact'!$T$107)=0,"",IF('Eval-Avant impact'!$T$107=0,0,IF(OR(COUNTA('Eval-Avant impact'!$T$221)=0,COUNTA('Eval-Avant impact'!$T$213)=0),"",'Eval-Avant impact'!$T$221/'Eval-Avant impact'!$T$213)))</f>
        <v/>
      </c>
      <c r="J42" s="238" t="str">
        <f>IF(LEN('Eval-Avant impact'!$T$107)=0,"",IF('Eval-Avant impact'!$T$107=0,0,IF(OR(COUNTA('Eval-Avant impact'!$T$221)=0,COUNTA('Eval-Avant impact'!$T$213)=0),"",'Eval-Avant impact'!$T$221/'Eval-Avant impact'!$T$213)))</f>
        <v/>
      </c>
      <c r="K42" s="237"/>
      <c r="L42" s="237"/>
      <c r="M42" s="239"/>
      <c r="N42" s="236"/>
      <c r="O42" s="237"/>
      <c r="P42" s="237"/>
      <c r="Q42" s="238" t="str">
        <f>IF(G42="","",G42*'Eval-Avant impact'!$T$213)</f>
        <v/>
      </c>
      <c r="R42" s="238" t="str">
        <f>IF(G42="","",G42*'Eval-Avant impact'!$T$213)</f>
        <v/>
      </c>
      <c r="S42" s="238" t="str">
        <f>IF(G42="","",G42*'Eval-Avant impact'!$T$213)</f>
        <v/>
      </c>
      <c r="T42" s="238" t="str">
        <f>IF(G42="","",G42*'Eval-Avant impact'!$T$213)</f>
        <v/>
      </c>
      <c r="U42" s="237"/>
      <c r="V42" s="237"/>
      <c r="W42" s="239"/>
      <c r="X42" s="240" t="str">
        <f>IF(LEN('Eval-Avant impact'!$T$107)=0,"",IF('Eval-Avant impact'!$T$107=0,"Site détruit (0 ha).",CONCATENATE((IF(G42=0,"Pas de surface enherbée détectée.","")),(IF(AND(G42&lt;=0.2,G42&gt;0),CONCATENATE("Part enherbée très réduite (",ROUND(100*('Eval-Avant impact'!$T$221/'Eval-Avant impact'!$T$213),1)," %)."),"")))))</f>
        <v/>
      </c>
      <c r="Y42" s="241" t="str">
        <f>(IF(AND(G42&gt;0.2,G42&lt;=0.4),CONCATENATE("Part enherbée assez réduite (",ROUND(100*('Eval-Avant impact'!$T$221/'Eval-Avant impact'!$T$213),1)," %)."),""))</f>
        <v/>
      </c>
      <c r="Z42" s="242" t="str">
        <f>(IF(AND(G42&gt;0.4,G42&lt;=0.6),CONCATENATE("Part enherbée assez importante (",ROUND(100*('Eval-Avant impact'!$T$221/'Eval-Avant impact'!$T$213),1)," %)."),""))</f>
        <v/>
      </c>
      <c r="AA42" s="242" t="str">
        <f>(IF(AND(G42&gt;0.6,G42&lt;=0.8),CONCATENATE("Part enherbée importante (",ROUND(100*('Eval-Avant impact'!$T$221/'Eval-Avant impact'!$T$213),1)," %)."),""))</f>
        <v/>
      </c>
      <c r="AB42" s="242" t="str">
        <f>(IF(AND(G42&gt;0.8,G42&lt;=1),CONCATENATE("Part enherbée très importante (",ROUND(100*('Eval-Avant impact'!$T$221/'Eval-Avant impact'!$T$213),1)," %)."),""))</f>
        <v/>
      </c>
      <c r="AC42" s="246"/>
      <c r="AD42" s="243" t="str">
        <f>G42</f>
        <v/>
      </c>
      <c r="AE42" s="244" t="str">
        <f>Q42</f>
        <v/>
      </c>
      <c r="AF42" s="245"/>
      <c r="AG42" s="1138"/>
      <c r="AH42" s="234" t="s">
        <v>183</v>
      </c>
      <c r="AI42" s="235" t="s">
        <v>46</v>
      </c>
      <c r="AJ42" s="236"/>
      <c r="AK42" s="237"/>
      <c r="AL42" s="237"/>
      <c r="AM42" s="238" t="str">
        <f>IF(LEN('Eval-Avec impact envisagé'!$T$107)=0,"",IF('Eval-Avec impact envisagé'!$T$107=0,0,IF(OR(COUNTA('Eval-Avec impact envisagé'!$T$221)=0,COUNTA('Eval-Avec impact envisagé'!$T$213)=0),"",'Eval-Avec impact envisagé'!$T$221/'Eval-Avec impact envisagé'!$T$213)))</f>
        <v/>
      </c>
      <c r="AN42" s="238" t="str">
        <f>IF(LEN('Eval-Avec impact envisagé'!$T$107)=0,"",IF('Eval-Avec impact envisagé'!$T$107=0,0,IF(OR(COUNTA('Eval-Avec impact envisagé'!$T$221)=0,COUNTA('Eval-Avec impact envisagé'!$T$213)=0),"",'Eval-Avec impact envisagé'!$T$221/'Eval-Avec impact envisagé'!$T$213)))</f>
        <v/>
      </c>
      <c r="AO42" s="238" t="str">
        <f>IF(LEN('Eval-Avec impact envisagé'!$T$107)=0,"",IF('Eval-Avec impact envisagé'!$T$107=0,0,IF(OR(COUNTA('Eval-Avec impact envisagé'!$T$221)=0,COUNTA('Eval-Avec impact envisagé'!$T$213)=0),"",'Eval-Avec impact envisagé'!$T$221/'Eval-Avec impact envisagé'!$T$213)))</f>
        <v/>
      </c>
      <c r="AP42" s="238" t="str">
        <f>IF(LEN('Eval-Avec impact envisagé'!$T$107)=0,"",IF('Eval-Avec impact envisagé'!$T$107=0,0,IF(OR(COUNTA('Eval-Avec impact envisagé'!$T$221)=0,COUNTA('Eval-Avec impact envisagé'!$T$213)=0),"",'Eval-Avec impact envisagé'!$T$221/'Eval-Avec impact envisagé'!$T$213)))</f>
        <v/>
      </c>
      <c r="AQ42" s="237"/>
      <c r="AR42" s="237"/>
      <c r="AS42" s="239"/>
      <c r="AT42" s="236"/>
      <c r="AU42" s="237"/>
      <c r="AV42" s="237"/>
      <c r="AW42" s="238" t="str">
        <f>IF(AM42="","",AM42*'Eval-Avec impact envisagé'!$T$213)</f>
        <v/>
      </c>
      <c r="AX42" s="238" t="str">
        <f>IF(AM42="","",AM42*'Eval-Avec impact envisagé'!$T$213)</f>
        <v/>
      </c>
      <c r="AY42" s="238" t="str">
        <f>IF(AM42="","",AM42*'Eval-Avec impact envisagé'!$T$213)</f>
        <v/>
      </c>
      <c r="AZ42" s="238" t="str">
        <f>IF(AM42="","",AM42*'Eval-Avec impact envisagé'!$T$213)</f>
        <v/>
      </c>
      <c r="BA42" s="237"/>
      <c r="BB42" s="237"/>
      <c r="BC42" s="239"/>
      <c r="BD42" s="240" t="str">
        <f>IF(LEN('Eval-Avec impact envisagé'!$T$107)=0,"",IF('Eval-Avec impact envisagé'!$T$107=0,"Site détruit (0 ha).",CONCATENATE((IF(AM42=0,"Pas de surface enherbée détectée.","")),(IF(AND(AM42&lt;=0.2,AM42&gt;0),CONCATENATE("Part enherbée très réduite (",ROUND(100*('Eval-Avec impact envisagé'!$T$221/'Eval-Avec impact envisagé'!$T$213),1)," %)."),"")))))</f>
        <v/>
      </c>
      <c r="BE42" s="241" t="str">
        <f>(IF(AND(AM42&gt;0.2,AM42&lt;=0.4),CONCATENATE("Part enherbée assez réduite (",ROUND(100*('Eval-Avec impact envisagé'!$T$221/'Eval-Avec impact envisagé'!$T$213),1)," %)."),""))</f>
        <v/>
      </c>
      <c r="BF42" s="242" t="str">
        <f>(IF(AND(AM42&gt;0.4,AM42&lt;=0.6),CONCATENATE("Part enherbée assez importante (",ROUND(100*('Eval-Avec impact envisagé'!$T$221/'Eval-Avec impact envisagé'!$T$213),1)," %)."),""))</f>
        <v/>
      </c>
      <c r="BG42" s="242" t="str">
        <f>(IF(AND(AM42&gt;0.6,AM42&lt;=0.8),CONCATENATE("Part enherbée importante (",ROUND(100*('Eval-Avec impact envisagé'!$T$221/'Eval-Avec impact envisagé'!$T$213),1)," %)."),""))</f>
        <v/>
      </c>
      <c r="BH42" s="242" t="str">
        <f>(IF(AND(AM42&gt;0.8,AM42&lt;=1),CONCATENATE("Part enherbée très importante (",ROUND(100*('Eval-Avec impact envisagé'!$T$221/'Eval-Avec impact envisagé'!$T$213),1)," %)."),""))</f>
        <v/>
      </c>
      <c r="BI42" s="246"/>
      <c r="BJ42" s="243" t="str">
        <f>AM42</f>
        <v/>
      </c>
      <c r="BK42" s="244" t="str">
        <f>AW42</f>
        <v/>
      </c>
      <c r="BL42" s="245"/>
      <c r="BM42" s="1138"/>
      <c r="BN42" s="234" t="s">
        <v>183</v>
      </c>
      <c r="BO42" s="235" t="s">
        <v>46</v>
      </c>
      <c r="BP42" s="236"/>
      <c r="BQ42" s="237"/>
      <c r="BR42" s="237"/>
      <c r="BS42" s="238" t="str">
        <f>IF(LEN('Eval-Après impact'!$T$107)=0,"",IF('Eval-Après impact'!$T$107=0,0,IF(OR(COUNTA('Eval-Après impact'!$T$221)=0,COUNTA('Eval-Après impact'!$T$213)=0),"",'Eval-Après impact'!$T$221/'Eval-Après impact'!$T$213)))</f>
        <v/>
      </c>
      <c r="BT42" s="238" t="str">
        <f>IF(LEN('Eval-Après impact'!$T$107)=0,"",IF('Eval-Après impact'!$T$107=0,0,IF(OR(COUNTA('Eval-Après impact'!$T$221)=0,COUNTA('Eval-Après impact'!$T$213)=0),"",'Eval-Après impact'!$T$221/'Eval-Après impact'!$T$213)))</f>
        <v/>
      </c>
      <c r="BU42" s="238" t="str">
        <f>IF(LEN('Eval-Après impact'!$T$107)=0,"",IF('Eval-Après impact'!$T$107=0,0,IF(OR(COUNTA('Eval-Après impact'!$T$221)=0,COUNTA('Eval-Après impact'!$T$213)=0),"",'Eval-Après impact'!$T$221/'Eval-Après impact'!$T$213)))</f>
        <v/>
      </c>
      <c r="BV42" s="238" t="str">
        <f>IF(LEN('Eval-Après impact'!$T$107)=0,"",IF('Eval-Après impact'!$T$107=0,0,IF(OR(COUNTA('Eval-Après impact'!$T$221)=0,COUNTA('Eval-Après impact'!$T$213)=0),"",'Eval-Après impact'!$T$221/'Eval-Après impact'!$T$213)))</f>
        <v/>
      </c>
      <c r="BW42" s="237"/>
      <c r="BX42" s="237"/>
      <c r="BY42" s="239"/>
      <c r="BZ42" s="236"/>
      <c r="CA42" s="237"/>
      <c r="CB42" s="237"/>
      <c r="CC42" s="238" t="str">
        <f>IF(BS42="","",BS42*'Eval-Après impact'!$T$213)</f>
        <v/>
      </c>
      <c r="CD42" s="238" t="str">
        <f>IF(BS42="","",BS42*'Eval-Après impact'!$T$213)</f>
        <v/>
      </c>
      <c r="CE42" s="238" t="str">
        <f>IF(BS42="","",BS42*'Eval-Après impact'!$T$213)</f>
        <v/>
      </c>
      <c r="CF42" s="238" t="str">
        <f>IF(BS42="","",BS42*'Eval-Après impact'!$T$213)</f>
        <v/>
      </c>
      <c r="CG42" s="237"/>
      <c r="CH42" s="237"/>
      <c r="CI42" s="239"/>
      <c r="CJ42" s="240" t="str">
        <f>IF(LEN('Eval-Après impact'!$T$107)=0,"",IF('Eval-Après impact'!$T$107=0,"Site détruit (0 ha).",CONCATENATE((IF(BS42=0,"Pas de surface enherbée détectée.","")),(IF(AND(BS42&lt;=0.2,BS42&gt;0),CONCATENATE("Part enherbée très réduite (",ROUND(100*('Eval-Après impact'!$T$221/'Eval-Après impact'!$T$213),1)," %)."),"")))))</f>
        <v/>
      </c>
      <c r="CK42" s="241" t="str">
        <f>(IF(AND(BS42&gt;0.2,BS42&lt;=0.4),CONCATENATE("Part enherbée assez réduite (",ROUND(100*('Eval-Après impact'!$T$221/'Eval-Après impact'!$T$213),1)," %)."),""))</f>
        <v/>
      </c>
      <c r="CL42" s="242" t="str">
        <f>(IF(AND(BS42&gt;0.4,BS42&lt;=0.6),CONCATENATE("Part enherbée assez importante (",ROUND(100*('Eval-Après impact'!$T$221/'Eval-Après impact'!$T$213),1)," %)."),""))</f>
        <v/>
      </c>
      <c r="CM42" s="242" t="str">
        <f>(IF(AND(BS42&gt;0.6,BS42&lt;=0.8),CONCATENATE("Part enherbée importante (",ROUND(100*('Eval-Après impact'!$T$221/'Eval-Après impact'!$T$213),1)," %)."),""))</f>
        <v/>
      </c>
      <c r="CN42" s="242" t="str">
        <f>(IF(AND(BS42&gt;0.8,BS42&lt;=1),CONCATENATE("Part enherbée très importante (",ROUND(100*('Eval-Après impact'!$T$221/'Eval-Après impact'!$T$213),1)," %)."),""))</f>
        <v/>
      </c>
      <c r="CO42" s="246"/>
      <c r="CP42" s="243" t="str">
        <f>BS42</f>
        <v/>
      </c>
      <c r="CQ42" s="244" t="str">
        <f>CC42</f>
        <v/>
      </c>
      <c r="CR42" s="245"/>
      <c r="CS42" s="1138"/>
      <c r="CT42" s="234" t="s">
        <v>183</v>
      </c>
      <c r="CU42" s="235" t="s">
        <v>46</v>
      </c>
      <c r="CV42" s="236"/>
      <c r="CW42" s="237"/>
      <c r="CX42" s="237"/>
      <c r="CY42" s="238" t="str">
        <f>IF(LEN('Eval-Avant action écologique'!$T$107)=0,"",IF('Eval-Avant action écologique'!$T$107=0,0,IF(OR(COUNTA('Eval-Avant action écologique'!$T$221)=0,COUNTA('Eval-Avant action écologique'!$T$213)=0),"",'Eval-Avant action écologique'!$T$221/'Eval-Avant action écologique'!$T$213)))</f>
        <v/>
      </c>
      <c r="CZ42" s="238" t="str">
        <f>IF(LEN('Eval-Avant action écologique'!$T$107)=0,"",IF('Eval-Avant action écologique'!$T$107=0,0,IF(OR(COUNTA('Eval-Avant action écologique'!$T$221)=0,COUNTA('Eval-Avant action écologique'!$T$213)=0),"",'Eval-Avant action écologique'!$T$221/'Eval-Avant action écologique'!$T$213)))</f>
        <v/>
      </c>
      <c r="DA42" s="238" t="str">
        <f>IF(LEN('Eval-Avant action écologique'!$T$107)=0,"",IF('Eval-Avant action écologique'!$T$107=0,0,IF(OR(COUNTA('Eval-Avant action écologique'!$T$221)=0,COUNTA('Eval-Avant action écologique'!$T$213)=0),"",'Eval-Avant action écologique'!$T$221/'Eval-Avant action écologique'!$T$213)))</f>
        <v/>
      </c>
      <c r="DB42" s="238" t="str">
        <f>IF(LEN('Eval-Avant action écologique'!$T$107)=0,"",IF('Eval-Avant action écologique'!$T$107=0,0,IF(OR(COUNTA('Eval-Avant action écologique'!$T$221)=0,COUNTA('Eval-Avant action écologique'!$T$213)=0),"",'Eval-Avant action écologique'!$T$221/'Eval-Avant action écologique'!$T$213)))</f>
        <v/>
      </c>
      <c r="DC42" s="237"/>
      <c r="DD42" s="237"/>
      <c r="DE42" s="239"/>
      <c r="DF42" s="236"/>
      <c r="DG42" s="237"/>
      <c r="DH42" s="237"/>
      <c r="DI42" s="238" t="str">
        <f>IF(CY42="","",CY42*'Eval-Avant action écologique'!$T$213)</f>
        <v/>
      </c>
      <c r="DJ42" s="238" t="str">
        <f>IF(CY42="","",CY42*'Eval-Avant action écologique'!$T$213)</f>
        <v/>
      </c>
      <c r="DK42" s="238" t="str">
        <f>IF(CY42="","",CY42*'Eval-Avant action écologique'!$T$213)</f>
        <v/>
      </c>
      <c r="DL42" s="238" t="str">
        <f>IF(CY42="","",CY42*'Eval-Avant action écologique'!$T$213)</f>
        <v/>
      </c>
      <c r="DM42" s="237"/>
      <c r="DN42" s="237"/>
      <c r="DO42" s="239"/>
      <c r="DP42" s="240" t="str">
        <f>IF(LEN('Eval-Avant action écologique'!$T$107)=0,"",IF('Eval-Avant action écologique'!$T$107=0,"Site détruit (0 ha).",CONCATENATE((IF(CY42=0,"Pas de surface enherbée détectée.","")),(IF(AND(CY42&lt;=0.2,CY42&gt;0),CONCATENATE("Part enherbée très réduite (",ROUND(100*('Eval-Avant action écologique'!$T$221/'Eval-Avant action écologique'!$T$213),1)," %)."),"")))))</f>
        <v/>
      </c>
      <c r="DQ42" s="241" t="str">
        <f>(IF(AND(CY42&gt;0.2,CY42&lt;=0.4),CONCATENATE("Part enherbée assez réduite (",ROUND(100*('Eval-Avant action écologique'!$T$221/'Eval-Avant action écologique'!$T$213),1)," %)."),""))</f>
        <v/>
      </c>
      <c r="DR42" s="242" t="str">
        <f>(IF(AND(CY42&gt;0.4,CY42&lt;=0.6),CONCATENATE("Part enherbée assez importante (",ROUND(100*('Eval-Avant action écologique'!$T$221/'Eval-Avant action écologique'!$T$213),1)," %)."),""))</f>
        <v/>
      </c>
      <c r="DS42" s="242" t="str">
        <f>(IF(AND(CY42&gt;0.6,CY42&lt;=0.8),CONCATENATE("Part enherbée importante (",ROUND(100*('Eval-Avant action écologique'!$T$221/'Eval-Avant action écologique'!$T$213),1)," %)."),""))</f>
        <v/>
      </c>
      <c r="DT42" s="242" t="str">
        <f>(IF(AND(CY42&gt;0.8,CY42&lt;=1),CONCATENATE("Part enherbée très importante (",ROUND(100*('Eval-Avant action écologique'!$T$221/'Eval-Avant action écologique'!$T$213),1)," %)."),""))</f>
        <v/>
      </c>
      <c r="DU42" s="246"/>
      <c r="DV42" s="243" t="str">
        <f>CY42</f>
        <v/>
      </c>
      <c r="DW42" s="244" t="str">
        <f>DI42</f>
        <v/>
      </c>
      <c r="DX42" s="245"/>
      <c r="DY42" s="1138"/>
      <c r="DZ42" s="234" t="s">
        <v>183</v>
      </c>
      <c r="EA42" s="235" t="s">
        <v>46</v>
      </c>
      <c r="EB42" s="236"/>
      <c r="EC42" s="237"/>
      <c r="ED42" s="237"/>
      <c r="EE42" s="238" t="str">
        <f>IF(LEN('Eval-Avec act. écol. envisagée'!$T$107)=0,"",IF('Eval-Avec act. écol. envisagée'!$T$107=0,0,IF(OR(COUNTA('Eval-Avec act. écol. envisagée'!$T$221)=0,COUNTA('Eval-Avec act. écol. envisagée'!$T$213)=0),"",'Eval-Avec act. écol. envisagée'!$T$221/'Eval-Avec act. écol. envisagée'!$T$213)))</f>
        <v/>
      </c>
      <c r="EF42" s="238" t="str">
        <f>IF(LEN('Eval-Avec act. écol. envisagée'!$T$107)=0,"",IF('Eval-Avec act. écol. envisagée'!$T$107=0,0,IF(OR(COUNTA('Eval-Avec act. écol. envisagée'!$T$221)=0,COUNTA('Eval-Avec act. écol. envisagée'!$T$213)=0),"",'Eval-Avec act. écol. envisagée'!$T$221/'Eval-Avec act. écol. envisagée'!$T$213)))</f>
        <v/>
      </c>
      <c r="EG42" s="238" t="str">
        <f>IF(LEN('Eval-Avec act. écol. envisagée'!$T$107)=0,"",IF('Eval-Avec act. écol. envisagée'!$T$107=0,0,IF(OR(COUNTA('Eval-Avec act. écol. envisagée'!$T$221)=0,COUNTA('Eval-Avec act. écol. envisagée'!$T$213)=0),"",'Eval-Avec act. écol. envisagée'!$T$221/'Eval-Avec act. écol. envisagée'!$T$213)))</f>
        <v/>
      </c>
      <c r="EH42" s="238" t="str">
        <f>IF(LEN('Eval-Avec act. écol. envisagée'!$T$107)=0,"",IF('Eval-Avec act. écol. envisagée'!$T$107=0,0,IF(OR(COUNTA('Eval-Avec act. écol. envisagée'!$T$221)=0,COUNTA('Eval-Avec act. écol. envisagée'!$T$213)=0),"",'Eval-Avec act. écol. envisagée'!$T$221/'Eval-Avec act. écol. envisagée'!$T$213)))</f>
        <v/>
      </c>
      <c r="EI42" s="237"/>
      <c r="EJ42" s="237"/>
      <c r="EK42" s="239"/>
      <c r="EL42" s="236"/>
      <c r="EM42" s="237"/>
      <c r="EN42" s="237"/>
      <c r="EO42" s="238" t="str">
        <f>IF(EE42="","",EE42*'Eval-Avec act. écol. envisagée'!$T$213)</f>
        <v/>
      </c>
      <c r="EP42" s="238" t="str">
        <f>IF(EE42="","",EE42*'Eval-Avec act. écol. envisagée'!$T$213)</f>
        <v/>
      </c>
      <c r="EQ42" s="238" t="str">
        <f>IF(EE42="","",EE42*'Eval-Avec act. écol. envisagée'!$T$213)</f>
        <v/>
      </c>
      <c r="ER42" s="238" t="str">
        <f>IF(EE42="","",EE42*'Eval-Avec act. écol. envisagée'!$T$213)</f>
        <v/>
      </c>
      <c r="ES42" s="237"/>
      <c r="ET42" s="237"/>
      <c r="EU42" s="239"/>
      <c r="EV42" s="240" t="str">
        <f>IF(LEN('Eval-Avec act. écol. envisagée'!$T$107)=0,"",IF('Eval-Avec act. écol. envisagée'!$T$107=0,"Site détruit (0 ha).",CONCATENATE((IF(EE42=0,"Pas de surface enherbée détectée.","")),(IF(AND(EE42&lt;=0.2,EE42&gt;0),CONCATENATE("Part enherbée très réduite (",ROUND(100*('Eval-Avec act. écol. envisagée'!$T$221/'Eval-Avec act. écol. envisagée'!$T$213),1)," %)."),"")))))</f>
        <v/>
      </c>
      <c r="EW42" s="241" t="str">
        <f>(IF(AND(EE42&gt;0.2,EE42&lt;=0.4),CONCATENATE("Part enherbée assez réduite (",ROUND(100*('Eval-Avec act. écol. envisagée'!$T$221/'Eval-Avec act. écol. envisagée'!$T$213),1)," %)."),""))</f>
        <v/>
      </c>
      <c r="EX42" s="242" t="str">
        <f>(IF(AND(EE42&gt;0.4,EE42&lt;=0.6),CONCATENATE("Part enherbée assez importante (",ROUND(100*('Eval-Avec act. écol. envisagée'!$T$221/'Eval-Avec act. écol. envisagée'!$T$213),1)," %)."),""))</f>
        <v/>
      </c>
      <c r="EY42" s="242" t="str">
        <f>(IF(AND(EE42&gt;0.6,EE42&lt;=0.8),CONCATENATE("Part enherbée importante (",ROUND(100*('Eval-Avec act. écol. envisagée'!$T$221/'Eval-Avec act. écol. envisagée'!$T$213),1)," %)."),""))</f>
        <v/>
      </c>
      <c r="EZ42" s="242" t="str">
        <f>(IF(AND(EE42&gt;0.8,EE42&lt;=1),CONCATENATE("Part enherbée très importante (",ROUND(100*('Eval-Avec act. écol. envisagée'!$T$221/'Eval-Avec act. écol. envisagée'!$T$213),1)," %)."),""))</f>
        <v/>
      </c>
      <c r="FA42" s="246"/>
      <c r="FB42" s="243" t="str">
        <f>EE42</f>
        <v/>
      </c>
      <c r="FC42" s="244" t="str">
        <f>EO42</f>
        <v/>
      </c>
      <c r="FD42" s="245"/>
      <c r="FE42" s="1138"/>
      <c r="FF42" s="234" t="s">
        <v>183</v>
      </c>
      <c r="FG42" s="235" t="s">
        <v>46</v>
      </c>
      <c r="FH42" s="236"/>
      <c r="FI42" s="237"/>
      <c r="FJ42" s="237"/>
      <c r="FK42" s="238" t="str">
        <f>IF(LEN('Eval-Après action écologique'!$T$107)=0,"",IF('Eval-Après action écologique'!$T$107=0,0,IF(OR(COUNTA('Eval-Après action écologique'!$T$221)=0,COUNTA('Eval-Après action écologique'!$T$213)=0),"",'Eval-Après action écologique'!$T$221/'Eval-Après action écologique'!$T$213)))</f>
        <v/>
      </c>
      <c r="FL42" s="238" t="str">
        <f>IF(LEN('Eval-Après action écologique'!$T$107)=0,"",IF('Eval-Après action écologique'!$T$107=0,0,IF(OR(COUNTA('Eval-Après action écologique'!$T$221)=0,COUNTA('Eval-Après action écologique'!$T$213)=0),"",'Eval-Après action écologique'!$T$221/'Eval-Après action écologique'!$T$213)))</f>
        <v/>
      </c>
      <c r="FM42" s="238" t="str">
        <f>IF(LEN('Eval-Après action écologique'!$T$107)=0,"",IF('Eval-Après action écologique'!$T$107=0,0,IF(OR(COUNTA('Eval-Après action écologique'!$T$221)=0,COUNTA('Eval-Après action écologique'!$T$213)=0),"",'Eval-Après action écologique'!$T$221/'Eval-Après action écologique'!$T$213)))</f>
        <v/>
      </c>
      <c r="FN42" s="238" t="str">
        <f>IF(LEN('Eval-Après action écologique'!$T$107)=0,"",IF('Eval-Après action écologique'!$T$107=0,0,IF(OR(COUNTA('Eval-Après action écologique'!$T$221)=0,COUNTA('Eval-Après action écologique'!$T$213)=0),"",'Eval-Après action écologique'!$T$221/'Eval-Après action écologique'!$T$213)))</f>
        <v/>
      </c>
      <c r="FO42" s="237"/>
      <c r="FP42" s="237"/>
      <c r="FQ42" s="239"/>
      <c r="FR42" s="236"/>
      <c r="FS42" s="237"/>
      <c r="FT42" s="237"/>
      <c r="FU42" s="238" t="str">
        <f>IF(FK42="","",FK42*'Eval-Après action écologique'!$T$213)</f>
        <v/>
      </c>
      <c r="FV42" s="238" t="str">
        <f>IF(FK42="","",FK42*'Eval-Après action écologique'!$T$213)</f>
        <v/>
      </c>
      <c r="FW42" s="238" t="str">
        <f>IF(FK42="","",FK42*'Eval-Après action écologique'!$T$213)</f>
        <v/>
      </c>
      <c r="FX42" s="238" t="str">
        <f>IF(FK42="","",FK42*'Eval-Après action écologique'!$T$213)</f>
        <v/>
      </c>
      <c r="FY42" s="237"/>
      <c r="FZ42" s="237"/>
      <c r="GA42" s="239"/>
      <c r="GB42" s="240" t="str">
        <f>IF(LEN('Eval-Après action écologique'!$T$107)=0,"",IF('Eval-Après action écologique'!$T$107=0,"Site détruit (0 ha).",CONCATENATE((IF(FK42=0,"Pas de surface enherbée détectée.","")),(IF(AND(FK42&lt;=0.2,FK42&gt;0),CONCATENATE("Part enherbée très réduite (",ROUND(100*('Eval-Après action écologique'!$T$221/'Eval-Après action écologique'!$T$213),1)," %)."),"")))))</f>
        <v/>
      </c>
      <c r="GC42" s="241" t="str">
        <f>(IF(AND(FK42&gt;0.2,FK42&lt;=0.4),CONCATENATE("Part enherbée assez réduite (",ROUND(100*('Eval-Après action écologique'!$T$221/'Eval-Après action écologique'!$T$213),1)," %)."),""))</f>
        <v/>
      </c>
      <c r="GD42" s="242" t="str">
        <f>(IF(AND(FK42&gt;0.4,FK42&lt;=0.6),CONCATENATE("Part enherbée assez importante (",ROUND(100*('Eval-Après action écologique'!$T$221/'Eval-Après action écologique'!$T$213),1)," %)."),""))</f>
        <v/>
      </c>
      <c r="GE42" s="242" t="str">
        <f>(IF(AND(FK42&gt;0.6,FK42&lt;=0.8),CONCATENATE("Part enherbée importante (",ROUND(100*('Eval-Après action écologique'!$T$221/'Eval-Après action écologique'!$T$213),1)," %)."),""))</f>
        <v/>
      </c>
      <c r="GF42" s="242" t="str">
        <f>(IF(AND(FK42&gt;0.8,FK42&lt;=1),CONCATENATE("Part enherbée très importante (",ROUND(100*('Eval-Après action écologique'!$T$221/'Eval-Après action écologique'!$T$213),1)," %)."),""))</f>
        <v/>
      </c>
      <c r="GG42" s="246"/>
      <c r="GH42" s="243" t="str">
        <f>FK42</f>
        <v/>
      </c>
      <c r="GI42" s="244" t="str">
        <f>FU42</f>
        <v/>
      </c>
    </row>
    <row r="43" spans="1:191" ht="31.5" customHeight="1" x14ac:dyDescent="0.2">
      <c r="A43" s="1138"/>
      <c r="B43" s="234" t="s">
        <v>184</v>
      </c>
      <c r="C43" s="235" t="s">
        <v>47</v>
      </c>
      <c r="D43" s="236"/>
      <c r="E43" s="237"/>
      <c r="F43" s="238" t="str">
        <f>IF(LEN('Eval-Avant impact'!$T$107)=0,"",IF('Eval-Avant impact'!$T$107=0,0,IF(OR(COUNTA('Eval-Avant impact'!$T$230)=0,COUNTA('Eval-Avant impact'!$T$213)=0),"",IF('Eval-Avant impact'!$T$230/'Eval-Avant impact'!$T$213&gt;=0.02,1,'Eval-Avant impact'!$T$230*49.873665/'Eval-Avant impact'!$T$213))))</f>
        <v/>
      </c>
      <c r="G43" s="238" t="str">
        <f>IF(LEN('Eval-Avant impact'!$T$107)=0,"",IF('Eval-Avant impact'!$T$107=0,0,IF(OR(COUNTA('Eval-Avant impact'!$T$230)=0,COUNTA('Eval-Avant impact'!$T$213)=0),"",IF('Eval-Avant impact'!$T$230/'Eval-Avant impact'!$T$213&gt;=0.02,1,'Eval-Avant impact'!$T$230*49.873665/'Eval-Avant impact'!$T$213))))</f>
        <v/>
      </c>
      <c r="H43" s="238" t="str">
        <f>IF(LEN('Eval-Avant impact'!$T$107)=0,"",IF('Eval-Avant impact'!$T$107=0,0,IF(OR(COUNTA('Eval-Avant impact'!$T$230)=0,COUNTA('Eval-Avant impact'!$T$213)=0),"",IF('Eval-Avant impact'!$T$230/'Eval-Avant impact'!$T$213&gt;=0.02,1,'Eval-Avant impact'!$T$230*49.873665/'Eval-Avant impact'!$T$213))))</f>
        <v/>
      </c>
      <c r="I43" s="238" t="str">
        <f>IF(LEN('Eval-Avant impact'!$T$107)=0,"",IF('Eval-Avant impact'!$T$107=0,0,IF(OR(COUNTA('Eval-Avant impact'!$T$230)=0,COUNTA('Eval-Avant impact'!$T$213)=0),"",IF('Eval-Avant impact'!$T$230/'Eval-Avant impact'!$T$213&gt;=0.02,1,'Eval-Avant impact'!$T$230*49.873665/'Eval-Avant impact'!$T$213))))</f>
        <v/>
      </c>
      <c r="J43" s="238" t="str">
        <f>IF(LEN('Eval-Avant impact'!$T$107)=0,"",IF('Eval-Avant impact'!$T$107=0,0,IF(OR(COUNTA('Eval-Avant impact'!$T$230)=0,COUNTA('Eval-Avant impact'!$T$213)=0),"",IF('Eval-Avant impact'!$T$230/'Eval-Avant impact'!$T$213&gt;=0.02,1,'Eval-Avant impact'!$T$230*49.873665/'Eval-Avant impact'!$T$213))))</f>
        <v/>
      </c>
      <c r="K43" s="237"/>
      <c r="L43" s="237"/>
      <c r="M43" s="239"/>
      <c r="N43" s="236"/>
      <c r="O43" s="237"/>
      <c r="P43" s="238" t="str">
        <f>IF(F43="","",F43*'Eval-Avant impact'!$T$213)</f>
        <v/>
      </c>
      <c r="Q43" s="238" t="str">
        <f>IF(F43="","",F43*'Eval-Avant impact'!$T$213)</f>
        <v/>
      </c>
      <c r="R43" s="238" t="str">
        <f>IF(F43="","",F43*'Eval-Avant impact'!$T$213)</f>
        <v/>
      </c>
      <c r="S43" s="238" t="str">
        <f>IF(F43="","",F43*'Eval-Avant impact'!$T$213)</f>
        <v/>
      </c>
      <c r="T43" s="238" t="str">
        <f>IF(F43="","",F43*'Eval-Avant impact'!$T$213)</f>
        <v/>
      </c>
      <c r="U43" s="237"/>
      <c r="V43" s="237"/>
      <c r="W43" s="239"/>
      <c r="X43" s="240" t="str">
        <f>IF(LEN('Eval-Avant impact'!$T$107)=0,"",IF('Eval-Avant impact'!$T$107=0,"Site détruit (0 ha).",CONCATENATE((IF(F43=0,"Pas de surface construite détectée.","")),(IF(AND(F43&lt;=0.2,F43&gt;0),CONCATENATE("Part construite très réduite (",ROUND(100*('Eval-Avant impact'!$T$230/'Eval-Avant impact'!$T$213),1)," %)."),"")))))</f>
        <v/>
      </c>
      <c r="Y43" s="241" t="str">
        <f>(IF(AND(F43&gt;0.2,F43&lt;=0.4),CONCATENATE("Part construite assez réduite (",ROUND(100*('Eval-Avant impact'!$T$230/'Eval-Avant impact'!$T$213),1)," %)."),""))</f>
        <v/>
      </c>
      <c r="Z43" s="242" t="str">
        <f>(IF(AND(F43&gt;0.4,F43&lt;=0.6),CONCATENATE("Part construite assez importante (",ROUND(100*('Eval-Avant impact'!$T$230/'Eval-Avant impact'!$T$213),1)," %)."),""))</f>
        <v/>
      </c>
      <c r="AA43" s="242" t="str">
        <f>(IF(AND(F43&gt;0.6,F43&lt;=0.8),CONCATENATE("Part construite importante (",ROUND(100*('Eval-Avant impact'!$T$230/'Eval-Avant impact'!$T$213),1)," %)."),""))</f>
        <v/>
      </c>
      <c r="AB43" s="242" t="str">
        <f>(IF(AND(F43&gt;0.8,F43&lt;=1),CONCATENATE("Part construite très importante (",ROUND(100*('Eval-Avant impact'!$T$230/'Eval-Avant impact'!$T$213),1)," %)."),""))</f>
        <v/>
      </c>
      <c r="AC43" s="246"/>
      <c r="AD43" s="243" t="str">
        <f t="shared" ref="AD43:AD48" si="24">F43</f>
        <v/>
      </c>
      <c r="AE43" s="244" t="str">
        <f>P43</f>
        <v/>
      </c>
      <c r="AF43" s="245"/>
      <c r="AG43" s="1138"/>
      <c r="AH43" s="234" t="s">
        <v>184</v>
      </c>
      <c r="AI43" s="235" t="s">
        <v>47</v>
      </c>
      <c r="AJ43" s="236"/>
      <c r="AK43" s="237"/>
      <c r="AL43" s="238" t="str">
        <f>IF(LEN('Eval-Avec impact envisagé'!$T$107)=0,"",IF('Eval-Avec impact envisagé'!$T$107=0,0,IF(OR(COUNTA('Eval-Avec impact envisagé'!$T$230)=0,COUNTA('Eval-Avec impact envisagé'!$T$213)=0),"",IF('Eval-Avec impact envisagé'!$T$230/'Eval-Avec impact envisagé'!$T$213&gt;=0.02,1,'Eval-Avec impact envisagé'!$T$230*49.873665/'Eval-Avec impact envisagé'!$T$213))))</f>
        <v/>
      </c>
      <c r="AM43" s="238" t="str">
        <f>IF(LEN('Eval-Avec impact envisagé'!$T$107)=0,"",IF('Eval-Avec impact envisagé'!$T$107=0,0,IF(OR(COUNTA('Eval-Avec impact envisagé'!$T$230)=0,COUNTA('Eval-Avec impact envisagé'!$T$213)=0),"",IF('Eval-Avec impact envisagé'!$T$230/'Eval-Avec impact envisagé'!$T$213&gt;=0.02,1,'Eval-Avec impact envisagé'!$T$230*49.873665/'Eval-Avec impact envisagé'!$T$213))))</f>
        <v/>
      </c>
      <c r="AN43" s="238" t="str">
        <f>IF(LEN('Eval-Avec impact envisagé'!$T$107)=0,"",IF('Eval-Avec impact envisagé'!$T$107=0,0,IF(OR(COUNTA('Eval-Avec impact envisagé'!$T$230)=0,COUNTA('Eval-Avec impact envisagé'!$T$213)=0),"",IF('Eval-Avec impact envisagé'!$T$230/'Eval-Avec impact envisagé'!$T$213&gt;=0.02,1,'Eval-Avec impact envisagé'!$T$230*49.873665/'Eval-Avec impact envisagé'!$T$213))))</f>
        <v/>
      </c>
      <c r="AO43" s="238" t="str">
        <f>IF(LEN('Eval-Avec impact envisagé'!$T$107)=0,"",IF('Eval-Avec impact envisagé'!$T$107=0,0,IF(OR(COUNTA('Eval-Avec impact envisagé'!$T$230)=0,COUNTA('Eval-Avec impact envisagé'!$T$213)=0),"",IF('Eval-Avec impact envisagé'!$T$230/'Eval-Avec impact envisagé'!$T$213&gt;=0.02,1,'Eval-Avec impact envisagé'!$T$230*49.873665/'Eval-Avec impact envisagé'!$T$213))))</f>
        <v/>
      </c>
      <c r="AP43" s="238" t="str">
        <f>IF(LEN('Eval-Avec impact envisagé'!$T$107)=0,"",IF('Eval-Avec impact envisagé'!$T$107=0,0,IF(OR(COUNTA('Eval-Avec impact envisagé'!$T$230)=0,COUNTA('Eval-Avec impact envisagé'!$T$213)=0),"",IF('Eval-Avec impact envisagé'!$T$230/'Eval-Avec impact envisagé'!$T$213&gt;=0.02,1,'Eval-Avec impact envisagé'!$T$230*49.873665/'Eval-Avec impact envisagé'!$T$213))))</f>
        <v/>
      </c>
      <c r="AQ43" s="237"/>
      <c r="AR43" s="237"/>
      <c r="AS43" s="239"/>
      <c r="AT43" s="236"/>
      <c r="AU43" s="237"/>
      <c r="AV43" s="238" t="str">
        <f>IF(AL43="","",AL43*'Eval-Avec impact envisagé'!$T$213)</f>
        <v/>
      </c>
      <c r="AW43" s="238" t="str">
        <f>IF(AL43="","",AL43*'Eval-Avec impact envisagé'!$T$213)</f>
        <v/>
      </c>
      <c r="AX43" s="238" t="str">
        <f>IF(AL43="","",AL43*'Eval-Avec impact envisagé'!$T$213)</f>
        <v/>
      </c>
      <c r="AY43" s="238" t="str">
        <f>IF(AL43="","",AL43*'Eval-Avec impact envisagé'!$T$213)</f>
        <v/>
      </c>
      <c r="AZ43" s="238" t="str">
        <f>IF(AL43="","",AL43*'Eval-Avec impact envisagé'!$T$213)</f>
        <v/>
      </c>
      <c r="BA43" s="237"/>
      <c r="BB43" s="237"/>
      <c r="BC43" s="239"/>
      <c r="BD43" s="240" t="str">
        <f>IF(LEN('Eval-Avec impact envisagé'!$T$107)=0,"",IF('Eval-Avec impact envisagé'!$T$107=0,"Site détruit (0 ha).",CONCATENATE((IF(AL43=0,"Pas de surface construite détectée.","")),(IF(AND(AL43&lt;=0.2,AL43&gt;0),CONCATENATE("Part construite très réduite (",ROUND(100*('Eval-Avec impact envisagé'!$T$230/'Eval-Avec impact envisagé'!$T$213),1)," %)."),"")))))</f>
        <v/>
      </c>
      <c r="BE43" s="241" t="str">
        <f>(IF(AND(AL43&gt;0.2,AL43&lt;=0.4),CONCATENATE("Part construite assez réduite (",ROUND(100*('Eval-Avec impact envisagé'!$T$230/'Eval-Avec impact envisagé'!$T$213),1)," %)."),""))</f>
        <v/>
      </c>
      <c r="BF43" s="242" t="str">
        <f>(IF(AND(AL43&gt;0.4,AL43&lt;=0.6),CONCATENATE("Part construite assez importante (",ROUND(100*('Eval-Avec impact envisagé'!$T$230/'Eval-Avec impact envisagé'!$T$213),1)," %)."),""))</f>
        <v/>
      </c>
      <c r="BG43" s="242" t="str">
        <f>(IF(AND(AL43&gt;0.6,AL43&lt;=0.8),CONCATENATE("Part construite importante (",ROUND(100*('Eval-Avec impact envisagé'!$T$230/'Eval-Avec impact envisagé'!$T$213),1)," %)."),""))</f>
        <v/>
      </c>
      <c r="BH43" s="242" t="str">
        <f>(IF(AND(AL43&gt;0.8,AL43&lt;=1),CONCATENATE("Part construite très importante (",ROUND(100*('Eval-Avec impact envisagé'!$T$230/'Eval-Avec impact envisagé'!$T$213),1)," %)."),""))</f>
        <v/>
      </c>
      <c r="BI43" s="246"/>
      <c r="BJ43" s="243" t="str">
        <f t="shared" ref="BJ43:BJ48" si="25">AL43</f>
        <v/>
      </c>
      <c r="BK43" s="244" t="str">
        <f>AV43</f>
        <v/>
      </c>
      <c r="BL43" s="245"/>
      <c r="BM43" s="1138"/>
      <c r="BN43" s="234" t="s">
        <v>184</v>
      </c>
      <c r="BO43" s="235" t="s">
        <v>47</v>
      </c>
      <c r="BP43" s="236"/>
      <c r="BQ43" s="237"/>
      <c r="BR43" s="238" t="str">
        <f>IF(LEN('Eval-Après impact'!$T$107)=0,"",IF('Eval-Après impact'!$T$107=0,0,IF(OR(COUNTA('Eval-Après impact'!$T$230)=0,COUNTA('Eval-Après impact'!$T$213)=0),"",IF('Eval-Après impact'!$T$230/'Eval-Après impact'!$T$213&gt;=0.02,1,'Eval-Après impact'!$T$230*49.873665/'Eval-Après impact'!$T$213))))</f>
        <v/>
      </c>
      <c r="BS43" s="238" t="str">
        <f>IF(LEN('Eval-Après impact'!$T$107)=0,"",IF('Eval-Après impact'!$T$107=0,0,IF(OR(COUNTA('Eval-Après impact'!$T$230)=0,COUNTA('Eval-Après impact'!$T$213)=0),"",IF('Eval-Après impact'!$T$230/'Eval-Après impact'!$T$213&gt;=0.02,1,'Eval-Après impact'!$T$230*49.873665/'Eval-Après impact'!$T$213))))</f>
        <v/>
      </c>
      <c r="BT43" s="238" t="str">
        <f>IF(LEN('Eval-Après impact'!$T$107)=0,"",IF('Eval-Après impact'!$T$107=0,0,IF(OR(COUNTA('Eval-Après impact'!$T$230)=0,COUNTA('Eval-Après impact'!$T$213)=0),"",IF('Eval-Après impact'!$T$230/'Eval-Après impact'!$T$213&gt;=0.02,1,'Eval-Après impact'!$T$230*49.873665/'Eval-Après impact'!$T$213))))</f>
        <v/>
      </c>
      <c r="BU43" s="238" t="str">
        <f>IF(LEN('Eval-Après impact'!$T$107)=0,"",IF('Eval-Après impact'!$T$107=0,0,IF(OR(COUNTA('Eval-Après impact'!$T$230)=0,COUNTA('Eval-Après impact'!$T$213)=0),"",IF('Eval-Après impact'!$T$230/'Eval-Après impact'!$T$213&gt;=0.02,1,'Eval-Après impact'!$T$230*49.873665/'Eval-Après impact'!$T$213))))</f>
        <v/>
      </c>
      <c r="BV43" s="238" t="str">
        <f>IF(LEN('Eval-Après impact'!$T$107)=0,"",IF('Eval-Après impact'!$T$107=0,0,IF(OR(COUNTA('Eval-Après impact'!$T$230)=0,COUNTA('Eval-Après impact'!$T$213)=0),"",IF('Eval-Après impact'!$T$230/'Eval-Après impact'!$T$213&gt;=0.02,1,'Eval-Après impact'!$T$230*49.873665/'Eval-Après impact'!$T$213))))</f>
        <v/>
      </c>
      <c r="BW43" s="237"/>
      <c r="BX43" s="237"/>
      <c r="BY43" s="239"/>
      <c r="BZ43" s="236"/>
      <c r="CA43" s="237"/>
      <c r="CB43" s="238" t="str">
        <f>IF(BR43="","",BR43*'Eval-Après impact'!$T$213)</f>
        <v/>
      </c>
      <c r="CC43" s="238" t="str">
        <f>IF(BR43="","",BR43*'Eval-Après impact'!$T$213)</f>
        <v/>
      </c>
      <c r="CD43" s="238" t="str">
        <f>IF(BR43="","",BR43*'Eval-Après impact'!$T$213)</f>
        <v/>
      </c>
      <c r="CE43" s="238" t="str">
        <f>IF(BR43="","",BR43*'Eval-Après impact'!$T$213)</f>
        <v/>
      </c>
      <c r="CF43" s="238" t="str">
        <f>IF(BR43="","",BR43*'Eval-Après impact'!$T$213)</f>
        <v/>
      </c>
      <c r="CG43" s="237"/>
      <c r="CH43" s="237"/>
      <c r="CI43" s="239"/>
      <c r="CJ43" s="240" t="str">
        <f>IF(LEN('Eval-Après impact'!$T$107)=0,"",IF('Eval-Après impact'!$T$107=0,"Site détruit (0 ha).",CONCATENATE((IF(BR43=0,"Pas de surface construite détectée.","")),(IF(AND(BR43&lt;=0.2,BR43&gt;0),CONCATENATE("Part construite très réduite (",ROUND(100*('Eval-Après impact'!$T$230/'Eval-Après impact'!$T$213),1)," %)."),"")))))</f>
        <v/>
      </c>
      <c r="CK43" s="241" t="str">
        <f>(IF(AND(BR43&gt;0.2,BR43&lt;=0.4),CONCATENATE("Part construite assez réduite (",ROUND(100*('Eval-Après impact'!$T$230/'Eval-Après impact'!$T$213),1)," %)."),""))</f>
        <v/>
      </c>
      <c r="CL43" s="242" t="str">
        <f>(IF(AND(BR43&gt;0.4,BR43&lt;=0.6),CONCATENATE("Part construite assez importante (",ROUND(100*('Eval-Après impact'!$T$230/'Eval-Après impact'!$T$213),1)," %)."),""))</f>
        <v/>
      </c>
      <c r="CM43" s="242" t="str">
        <f>(IF(AND(BR43&gt;0.6,BR43&lt;=0.8),CONCATENATE("Part construite importante (",ROUND(100*('Eval-Après impact'!$T$230/'Eval-Après impact'!$T$213),1)," %)."),""))</f>
        <v/>
      </c>
      <c r="CN43" s="242" t="str">
        <f>(IF(AND(BR43&gt;0.8,BR43&lt;=1),CONCATENATE("Part construite très importante (",ROUND(100*('Eval-Après impact'!$T$230/'Eval-Après impact'!$T$213),1)," %)."),""))</f>
        <v/>
      </c>
      <c r="CO43" s="246"/>
      <c r="CP43" s="243" t="str">
        <f t="shared" ref="CP43:CP48" si="26">BR43</f>
        <v/>
      </c>
      <c r="CQ43" s="244" t="str">
        <f>CB43</f>
        <v/>
      </c>
      <c r="CR43" s="245"/>
      <c r="CS43" s="1138"/>
      <c r="CT43" s="234" t="s">
        <v>184</v>
      </c>
      <c r="CU43" s="235" t="s">
        <v>47</v>
      </c>
      <c r="CV43" s="236"/>
      <c r="CW43" s="237"/>
      <c r="CX43" s="238" t="str">
        <f>IF(LEN('Eval-Avant action écologique'!$T$107)=0,"",IF('Eval-Avant action écologique'!$T$107=0,0,IF(OR(COUNTA('Eval-Avant action écologique'!$T$230)=0,COUNTA('Eval-Avant action écologique'!$T$213)=0),"",IF('Eval-Avant action écologique'!$T$230/'Eval-Avant action écologique'!$T$213&gt;=0.02,1,'Eval-Avant action écologique'!$T$230*49.873665/'Eval-Avant action écologique'!$T$213))))</f>
        <v/>
      </c>
      <c r="CY43" s="238" t="str">
        <f>IF(LEN('Eval-Avant action écologique'!$T$107)=0,"",IF('Eval-Avant action écologique'!$T$107=0,0,IF(OR(COUNTA('Eval-Avant action écologique'!$T$230)=0,COUNTA('Eval-Avant action écologique'!$T$213)=0),"",IF('Eval-Avant action écologique'!$T$230/'Eval-Avant action écologique'!$T$213&gt;=0.02,1,'Eval-Avant action écologique'!$T$230*49.873665/'Eval-Avant action écologique'!$T$213))))</f>
        <v/>
      </c>
      <c r="CZ43" s="238" t="str">
        <f>IF(LEN('Eval-Avant action écologique'!$T$107)=0,"",IF('Eval-Avant action écologique'!$T$107=0,0,IF(OR(COUNTA('Eval-Avant action écologique'!$T$230)=0,COUNTA('Eval-Avant action écologique'!$T$213)=0),"",IF('Eval-Avant action écologique'!$T$230/'Eval-Avant action écologique'!$T$213&gt;=0.02,1,'Eval-Avant action écologique'!$T$230*49.873665/'Eval-Avant action écologique'!$T$213))))</f>
        <v/>
      </c>
      <c r="DA43" s="238" t="str">
        <f>IF(LEN('Eval-Avant action écologique'!$T$107)=0,"",IF('Eval-Avant action écologique'!$T$107=0,0,IF(OR(COUNTA('Eval-Avant action écologique'!$T$230)=0,COUNTA('Eval-Avant action écologique'!$T$213)=0),"",IF('Eval-Avant action écologique'!$T$230/'Eval-Avant action écologique'!$T$213&gt;=0.02,1,'Eval-Avant action écologique'!$T$230*49.873665/'Eval-Avant action écologique'!$T$213))))</f>
        <v/>
      </c>
      <c r="DB43" s="238" t="str">
        <f>IF(LEN('Eval-Avant action écologique'!$T$107)=0,"",IF('Eval-Avant action écologique'!$T$107=0,0,IF(OR(COUNTA('Eval-Avant action écologique'!$T$230)=0,COUNTA('Eval-Avant action écologique'!$T$213)=0),"",IF('Eval-Avant action écologique'!$T$230/'Eval-Avant action écologique'!$T$213&gt;=0.02,1,'Eval-Avant action écologique'!$T$230*49.873665/'Eval-Avant action écologique'!$T$213))))</f>
        <v/>
      </c>
      <c r="DC43" s="237"/>
      <c r="DD43" s="237"/>
      <c r="DE43" s="239"/>
      <c r="DF43" s="236"/>
      <c r="DG43" s="237"/>
      <c r="DH43" s="238" t="str">
        <f>IF(CX43="","",CX43*'Eval-Avant action écologique'!$T$213)</f>
        <v/>
      </c>
      <c r="DI43" s="238" t="str">
        <f>IF(CX43="","",CX43*'Eval-Avant action écologique'!$T$213)</f>
        <v/>
      </c>
      <c r="DJ43" s="238" t="str">
        <f>IF(CX43="","",CX43*'Eval-Avant action écologique'!$T$213)</f>
        <v/>
      </c>
      <c r="DK43" s="238" t="str">
        <f>IF(CX43="","",CX43*'Eval-Avant action écologique'!$T$213)</f>
        <v/>
      </c>
      <c r="DL43" s="238" t="str">
        <f>IF(CX43="","",CX43*'Eval-Avant action écologique'!$T$213)</f>
        <v/>
      </c>
      <c r="DM43" s="237"/>
      <c r="DN43" s="237"/>
      <c r="DO43" s="239"/>
      <c r="DP43" s="240" t="str">
        <f>IF(LEN('Eval-Avant action écologique'!$T$107)=0,"",IF('Eval-Avant action écologique'!$T$107=0,"Site détruit (0 ha).",CONCATENATE((IF(CX43=0,"Pas de surface construite détectée.","")),(IF(AND(CX43&lt;=0.2,CX43&gt;0),CONCATENATE("Part construite très réduite (",ROUND(100*('Eval-Avant action écologique'!$T$230/'Eval-Avant action écologique'!$T$213),1)," %)."),"")))))</f>
        <v/>
      </c>
      <c r="DQ43" s="241" t="str">
        <f>(IF(AND(CX43&gt;0.2,CX43&lt;=0.4),CONCATENATE("Part construite assez réduite (",ROUND(100*('Eval-Avant action écologique'!$T$230/'Eval-Avant action écologique'!$T$213),1)," %)."),""))</f>
        <v/>
      </c>
      <c r="DR43" s="242" t="str">
        <f>(IF(AND(CX43&gt;0.4,CX43&lt;=0.6),CONCATENATE("Part construite assez importante (",ROUND(100*('Eval-Avant action écologique'!$T$230/'Eval-Avant action écologique'!$T$213),1)," %)."),""))</f>
        <v/>
      </c>
      <c r="DS43" s="242" t="str">
        <f>(IF(AND(CX43&gt;0.6,CX43&lt;=0.8),CONCATENATE("Part construite importante (",ROUND(100*('Eval-Avant action écologique'!$T$230/'Eval-Avant action écologique'!$T$213),1)," %)."),""))</f>
        <v/>
      </c>
      <c r="DT43" s="242" t="str">
        <f>(IF(AND(CX43&gt;0.8,CX43&lt;=1),CONCATENATE("Part construite très importante (",ROUND(100*('Eval-Avant action écologique'!$T$230/'Eval-Avant action écologique'!$T$213),1)," %)."),""))</f>
        <v/>
      </c>
      <c r="DU43" s="246"/>
      <c r="DV43" s="243" t="str">
        <f t="shared" ref="DV43:DV48" si="27">CX43</f>
        <v/>
      </c>
      <c r="DW43" s="244" t="str">
        <f>DH43</f>
        <v/>
      </c>
      <c r="DX43" s="245"/>
      <c r="DY43" s="1138"/>
      <c r="DZ43" s="234" t="s">
        <v>184</v>
      </c>
      <c r="EA43" s="235" t="s">
        <v>47</v>
      </c>
      <c r="EB43" s="236"/>
      <c r="EC43" s="237"/>
      <c r="ED43" s="238" t="str">
        <f>IF(LEN('Eval-Avec act. écol. envisagée'!$T$107)=0,"",IF('Eval-Avec act. écol. envisagée'!$T$107=0,0,IF(OR(COUNTA('Eval-Avec act. écol. envisagée'!$T$230)=0,COUNTA('Eval-Avec act. écol. envisagée'!$T$213)=0),"",IF('Eval-Avec act. écol. envisagée'!$T$230/'Eval-Avec act. écol. envisagée'!$T$213&gt;=0.02,1,'Eval-Avec act. écol. envisagée'!$T$230*49.873665/'Eval-Avec act. écol. envisagée'!$T$213))))</f>
        <v/>
      </c>
      <c r="EE43" s="238" t="str">
        <f>IF(LEN('Eval-Avec act. écol. envisagée'!$T$107)=0,"",IF('Eval-Avec act. écol. envisagée'!$T$107=0,0,IF(OR(COUNTA('Eval-Avec act. écol. envisagée'!$T$230)=0,COUNTA('Eval-Avec act. écol. envisagée'!$T$213)=0),"",IF('Eval-Avec act. écol. envisagée'!$T$230/'Eval-Avec act. écol. envisagée'!$T$213&gt;=0.02,1,'Eval-Avec act. écol. envisagée'!$T$230*49.873665/'Eval-Avec act. écol. envisagée'!$T$213))))</f>
        <v/>
      </c>
      <c r="EF43" s="238" t="str">
        <f>IF(LEN('Eval-Avec act. écol. envisagée'!$T$107)=0,"",IF('Eval-Avec act. écol. envisagée'!$T$107=0,0,IF(OR(COUNTA('Eval-Avec act. écol. envisagée'!$T$230)=0,COUNTA('Eval-Avec act. écol. envisagée'!$T$213)=0),"",IF('Eval-Avec act. écol. envisagée'!$T$230/'Eval-Avec act. écol. envisagée'!$T$213&gt;=0.02,1,'Eval-Avec act. écol. envisagée'!$T$230*49.873665/'Eval-Avec act. écol. envisagée'!$T$213))))</f>
        <v/>
      </c>
      <c r="EG43" s="238" t="str">
        <f>IF(LEN('Eval-Avec act. écol. envisagée'!$T$107)=0,"",IF('Eval-Avec act. écol. envisagée'!$T$107=0,0,IF(OR(COUNTA('Eval-Avec act. écol. envisagée'!$T$230)=0,COUNTA('Eval-Avec act. écol. envisagée'!$T$213)=0),"",IF('Eval-Avec act. écol. envisagée'!$T$230/'Eval-Avec act. écol. envisagée'!$T$213&gt;=0.02,1,'Eval-Avec act. écol. envisagée'!$T$230*49.873665/'Eval-Avec act. écol. envisagée'!$T$213))))</f>
        <v/>
      </c>
      <c r="EH43" s="238" t="str">
        <f>IF(LEN('Eval-Avec act. écol. envisagée'!$T$107)=0,"",IF('Eval-Avec act. écol. envisagée'!$T$107=0,0,IF(OR(COUNTA('Eval-Avec act. écol. envisagée'!$T$230)=0,COUNTA('Eval-Avec act. écol. envisagée'!$T$213)=0),"",IF('Eval-Avec act. écol. envisagée'!$T$230/'Eval-Avec act. écol. envisagée'!$T$213&gt;=0.02,1,'Eval-Avec act. écol. envisagée'!$T$230*49.873665/'Eval-Avec act. écol. envisagée'!$T$213))))</f>
        <v/>
      </c>
      <c r="EI43" s="237"/>
      <c r="EJ43" s="237"/>
      <c r="EK43" s="239"/>
      <c r="EL43" s="236"/>
      <c r="EM43" s="237"/>
      <c r="EN43" s="238" t="str">
        <f>IF(ED43="","",ED43*'Eval-Avec act. écol. envisagée'!$T$213)</f>
        <v/>
      </c>
      <c r="EO43" s="238" t="str">
        <f>IF(ED43="","",ED43*'Eval-Avec act. écol. envisagée'!$T$213)</f>
        <v/>
      </c>
      <c r="EP43" s="238" t="str">
        <f>IF(ED43="","",ED43*'Eval-Avec act. écol. envisagée'!$T$213)</f>
        <v/>
      </c>
      <c r="EQ43" s="238" t="str">
        <f>IF(ED43="","",ED43*'Eval-Avec act. écol. envisagée'!$T$213)</f>
        <v/>
      </c>
      <c r="ER43" s="238" t="str">
        <f>IF(ED43="","",ED43*'Eval-Avec act. écol. envisagée'!$T$213)</f>
        <v/>
      </c>
      <c r="ES43" s="237"/>
      <c r="ET43" s="237"/>
      <c r="EU43" s="239"/>
      <c r="EV43" s="240" t="str">
        <f>IF(LEN('Eval-Avec act. écol. envisagée'!$T$107)=0,"",IF('Eval-Avec act. écol. envisagée'!$T$107=0,"Site détruit (0 ha).",CONCATENATE((IF(ED43=0,"Pas de surface construite détectée.","")),(IF(AND(ED43&lt;=0.2,ED43&gt;0),CONCATENATE("Part construite très réduite (",ROUND(100*('Eval-Avec act. écol. envisagée'!$T$230/'Eval-Avec act. écol. envisagée'!$T$213),1)," %)."),"")))))</f>
        <v/>
      </c>
      <c r="EW43" s="241" t="str">
        <f>(IF(AND(ED43&gt;0.2,ED43&lt;=0.4),CONCATENATE("Part construite assez réduite (",ROUND(100*('Eval-Avec act. écol. envisagée'!$T$230/'Eval-Avec act. écol. envisagée'!$T$213),1)," %)."),""))</f>
        <v/>
      </c>
      <c r="EX43" s="242" t="str">
        <f>(IF(AND(ED43&gt;0.4,ED43&lt;=0.6),CONCATENATE("Part construite assez importante (",ROUND(100*('Eval-Avec act. écol. envisagée'!$T$230/'Eval-Avec act. écol. envisagée'!$T$213),1)," %)."),""))</f>
        <v/>
      </c>
      <c r="EY43" s="242" t="str">
        <f>(IF(AND(ED43&gt;0.6,ED43&lt;=0.8),CONCATENATE("Part construite importante (",ROUND(100*('Eval-Avec act. écol. envisagée'!$T$230/'Eval-Avec act. écol. envisagée'!$T$213),1)," %)."),""))</f>
        <v/>
      </c>
      <c r="EZ43" s="242" t="str">
        <f>(IF(AND(ED43&gt;0.8,ED43&lt;=1),CONCATENATE("Part construite très importante (",ROUND(100*('Eval-Avec act. écol. envisagée'!$T$230/'Eval-Avec act. écol. envisagée'!$T$213),1)," %)."),""))</f>
        <v/>
      </c>
      <c r="FA43" s="246"/>
      <c r="FB43" s="243" t="str">
        <f t="shared" ref="FB43:FB48" si="28">ED43</f>
        <v/>
      </c>
      <c r="FC43" s="244" t="str">
        <f>EN43</f>
        <v/>
      </c>
      <c r="FD43" s="245"/>
      <c r="FE43" s="1138"/>
      <c r="FF43" s="234" t="s">
        <v>184</v>
      </c>
      <c r="FG43" s="235" t="s">
        <v>47</v>
      </c>
      <c r="FH43" s="236"/>
      <c r="FI43" s="237"/>
      <c r="FJ43" s="238" t="str">
        <f>IF(LEN('Eval-Après action écologique'!$T$107)=0,"",IF('Eval-Après action écologique'!$T$107=0,0,IF(OR(COUNTA('Eval-Après action écologique'!$T$230)=0,COUNTA('Eval-Après action écologique'!$T$213)=0),"",IF('Eval-Après action écologique'!$T$230/'Eval-Après action écologique'!$T$213&gt;=0.02,1,'Eval-Après action écologique'!$T$230*49.873665/'Eval-Après action écologique'!$T$213))))</f>
        <v/>
      </c>
      <c r="FK43" s="238" t="str">
        <f>IF(LEN('Eval-Après action écologique'!$T$107)=0,"",IF('Eval-Après action écologique'!$T$107=0,0,IF(OR(COUNTA('Eval-Après action écologique'!$T$230)=0,COUNTA('Eval-Après action écologique'!$T$213)=0),"",IF('Eval-Après action écologique'!$T$230/'Eval-Après action écologique'!$T$213&gt;=0.02,1,'Eval-Après action écologique'!$T$230*49.873665/'Eval-Après action écologique'!$T$213))))</f>
        <v/>
      </c>
      <c r="FL43" s="238" t="str">
        <f>IF(LEN('Eval-Après action écologique'!$T$107)=0,"",IF('Eval-Après action écologique'!$T$107=0,0,IF(OR(COUNTA('Eval-Après action écologique'!$T$230)=0,COUNTA('Eval-Après action écologique'!$T$213)=0),"",IF('Eval-Après action écologique'!$T$230/'Eval-Après action écologique'!$T$213&gt;=0.02,1,'Eval-Après action écologique'!$T$230*49.873665/'Eval-Après action écologique'!$T$213))))</f>
        <v/>
      </c>
      <c r="FM43" s="238" t="str">
        <f>IF(LEN('Eval-Après action écologique'!$T$107)=0,"",IF('Eval-Après action écologique'!$T$107=0,0,IF(OR(COUNTA('Eval-Après action écologique'!$T$230)=0,COUNTA('Eval-Après action écologique'!$T$213)=0),"",IF('Eval-Après action écologique'!$T$230/'Eval-Après action écologique'!$T$213&gt;=0.02,1,'Eval-Après action écologique'!$T$230*49.873665/'Eval-Après action écologique'!$T$213))))</f>
        <v/>
      </c>
      <c r="FN43" s="238" t="str">
        <f>IF(LEN('Eval-Après action écologique'!$T$107)=0,"",IF('Eval-Après action écologique'!$T$107=0,0,IF(OR(COUNTA('Eval-Après action écologique'!$T$230)=0,COUNTA('Eval-Après action écologique'!$T$213)=0),"",IF('Eval-Après action écologique'!$T$230/'Eval-Après action écologique'!$T$213&gt;=0.02,1,'Eval-Après action écologique'!$T$230*49.873665/'Eval-Après action écologique'!$T$213))))</f>
        <v/>
      </c>
      <c r="FO43" s="237"/>
      <c r="FP43" s="237"/>
      <c r="FQ43" s="239"/>
      <c r="FR43" s="236"/>
      <c r="FS43" s="237"/>
      <c r="FT43" s="238" t="str">
        <f>IF(FJ43="","",FJ43*'Eval-Après action écologique'!$T$213)</f>
        <v/>
      </c>
      <c r="FU43" s="238" t="str">
        <f>IF(FJ43="","",FJ43*'Eval-Après action écologique'!$T$213)</f>
        <v/>
      </c>
      <c r="FV43" s="238" t="str">
        <f>IF(FJ43="","",FJ43*'Eval-Après action écologique'!$T$213)</f>
        <v/>
      </c>
      <c r="FW43" s="238" t="str">
        <f>IF(FJ43="","",FJ43*'Eval-Après action écologique'!$T$213)</f>
        <v/>
      </c>
      <c r="FX43" s="238" t="str">
        <f>IF(FJ43="","",FJ43*'Eval-Après action écologique'!$T$213)</f>
        <v/>
      </c>
      <c r="FY43" s="237"/>
      <c r="FZ43" s="237"/>
      <c r="GA43" s="239"/>
      <c r="GB43" s="240" t="str">
        <f>IF(LEN('Eval-Après action écologique'!$T$107)=0,"",IF('Eval-Après action écologique'!$T$107=0,"Site détruit (0 ha).",CONCATENATE((IF(FJ43=0,"Pas de surface construite détectée.","")),(IF(AND(FJ43&lt;=0.2,FJ43&gt;0),CONCATENATE("Part construite très réduite (",ROUND(100*('Eval-Après action écologique'!$T$230/'Eval-Après action écologique'!$T$213),1)," %)."),"")))))</f>
        <v/>
      </c>
      <c r="GC43" s="241" t="str">
        <f>(IF(AND(FJ43&gt;0.2,FJ43&lt;=0.4),CONCATENATE("Part construite assez réduite (",ROUND(100*('Eval-Après action écologique'!$T$230/'Eval-Après action écologique'!$T$213),1)," %)."),""))</f>
        <v/>
      </c>
      <c r="GD43" s="242" t="str">
        <f>(IF(AND(FJ43&gt;0.4,FJ43&lt;=0.6),CONCATENATE("Part construite assez importante (",ROUND(100*('Eval-Après action écologique'!$T$230/'Eval-Après action écologique'!$T$213),1)," %)."),""))</f>
        <v/>
      </c>
      <c r="GE43" s="242" t="str">
        <f>(IF(AND(FJ43&gt;0.6,FJ43&lt;=0.8),CONCATENATE("Part construite importante (",ROUND(100*('Eval-Après action écologique'!$T$230/'Eval-Après action écologique'!$T$213),1)," %)."),""))</f>
        <v/>
      </c>
      <c r="GF43" s="242" t="str">
        <f>(IF(AND(FJ43&gt;0.8,FJ43&lt;=1),CONCATENATE("Part construite très importante (",ROUND(100*('Eval-Après action écologique'!$T$230/'Eval-Après action écologique'!$T$213),1)," %)."),""))</f>
        <v/>
      </c>
      <c r="GG43" s="246"/>
      <c r="GH43" s="243" t="str">
        <f t="shared" ref="GH43:GH48" si="29">FJ43</f>
        <v/>
      </c>
      <c r="GI43" s="244" t="str">
        <f>FT43</f>
        <v/>
      </c>
    </row>
    <row r="44" spans="1:191" ht="31.5" customHeight="1" x14ac:dyDescent="0.2">
      <c r="A44" s="1138"/>
      <c r="B44" s="234" t="s">
        <v>185</v>
      </c>
      <c r="C44" s="235" t="s">
        <v>48</v>
      </c>
      <c r="D44" s="236"/>
      <c r="E44" s="237"/>
      <c r="F44" s="238" t="str">
        <f>IF(LEN('Eval-Avant impact'!$T$107)=0,"",IF('Eval-Avant impact'!$T$107=0,0,IF(OR(COUNTA('Eval-Avant impact'!$T$234)=0,COUNTA('Eval-Avant impact'!$T$213)=0),"",IF('Eval-Avant impact'!$T$234/'Eval-Avant impact'!$T$213&gt;=0.057,1,'Eval-Avant impact'!$T$234*17.302016/'Eval-Avant impact'!$T$213))))</f>
        <v/>
      </c>
      <c r="G44" s="237"/>
      <c r="H44" s="237"/>
      <c r="I44" s="237"/>
      <c r="J44" s="237"/>
      <c r="K44" s="237"/>
      <c r="L44" s="237"/>
      <c r="M44" s="239"/>
      <c r="N44" s="236"/>
      <c r="O44" s="237"/>
      <c r="P44" s="238" t="str">
        <f>IF(F44="","",F44*'Eval-Avant impact'!$T$213)</f>
        <v/>
      </c>
      <c r="Q44" s="237"/>
      <c r="R44" s="237"/>
      <c r="S44" s="237"/>
      <c r="T44" s="237"/>
      <c r="U44" s="237"/>
      <c r="V44" s="237"/>
      <c r="W44" s="239"/>
      <c r="X44" s="240" t="str">
        <f>IF(LEN('Eval-Avant impact'!$T$107)=0,"",IF('Eval-Avant impact'!$T$107=0,"Site détruit (0 ha).",CONCATENATE((IF(F44=0,"Pas d'infrastructure de transport détectée.","")),(IF(AND(F44&lt;=0.2,F44&gt;0),CONCATENATE("Densité d’infrastructures de transport très réduite (",ROUND(100*'Eval-Avant impact'!$T$234/'Eval-Avant impact'!$T$213,1)," km/100ha)."),"")))))</f>
        <v/>
      </c>
      <c r="Y44" s="241" t="str">
        <f>(IF(AND(F44&gt;0.2,F44&lt;=0.4),CONCATENATE("Densité d’infrastructures de transport assez réduite (",ROUND(100*'Eval-Avant impact'!$T$234/'Eval-Avant impact'!$T$213,1)," km/100ha)."),""))</f>
        <v/>
      </c>
      <c r="Z44" s="242" t="str">
        <f>(IF(AND(F44&gt;0.4,F44&lt;=0.6),CONCATENATE("Densité d’infrastructures de transport assez importante (",ROUND(100*'Eval-Avant impact'!$T$234/'Eval-Avant impact'!$T$213,1)," km/100ha)."),""))</f>
        <v/>
      </c>
      <c r="AA44" s="242" t="str">
        <f>(IF(AND(F44&gt;0.6,F44&lt;=0.8),CONCATENATE("Densité d’infrastructures de transport importante (",ROUND(100*'Eval-Avant impact'!$T$234/'Eval-Avant impact'!$T$213,1)," km/100ha)."),""))</f>
        <v/>
      </c>
      <c r="AB44" s="242" t="str">
        <f>(IF(AND(F44&gt;0.8,F44&lt;=1),CONCATENATE("Densité d’infrastructures de transport très importante (",ROUND(100*'Eval-Avant impact'!$T$234/'Eval-Avant impact'!$T$213,1)," km/100ha)."),""))</f>
        <v/>
      </c>
      <c r="AC44" s="246"/>
      <c r="AD44" s="243" t="str">
        <f t="shared" si="24"/>
        <v/>
      </c>
      <c r="AE44" s="244" t="str">
        <f>P44</f>
        <v/>
      </c>
      <c r="AF44" s="245"/>
      <c r="AG44" s="1138"/>
      <c r="AH44" s="234" t="s">
        <v>185</v>
      </c>
      <c r="AI44" s="235" t="s">
        <v>48</v>
      </c>
      <c r="AJ44" s="236"/>
      <c r="AK44" s="237"/>
      <c r="AL44" s="238" t="str">
        <f>IF(LEN('Eval-Avec impact envisagé'!$T$107)=0,"",IF('Eval-Avec impact envisagé'!$T$107=0,0,IF(OR(COUNTA('Eval-Avec impact envisagé'!$T$234)=0,COUNTA('Eval-Avec impact envisagé'!$T$213)=0),"",IF('Eval-Avec impact envisagé'!$T$234/'Eval-Avec impact envisagé'!$T$213&gt;=0.057,1,'Eval-Avec impact envisagé'!$T$234*17.302016/'Eval-Avec impact envisagé'!$T$213))))</f>
        <v/>
      </c>
      <c r="AM44" s="237"/>
      <c r="AN44" s="237"/>
      <c r="AO44" s="237"/>
      <c r="AP44" s="237"/>
      <c r="AQ44" s="237"/>
      <c r="AR44" s="237"/>
      <c r="AS44" s="239"/>
      <c r="AT44" s="236"/>
      <c r="AU44" s="237"/>
      <c r="AV44" s="238" t="str">
        <f>IF(AL44="","",AL44*'Eval-Avec impact envisagé'!$T$213)</f>
        <v/>
      </c>
      <c r="AW44" s="237"/>
      <c r="AX44" s="237"/>
      <c r="AY44" s="237"/>
      <c r="AZ44" s="237"/>
      <c r="BA44" s="237"/>
      <c r="BB44" s="237"/>
      <c r="BC44" s="239"/>
      <c r="BD44" s="240" t="str">
        <f>IF(LEN('Eval-Avec impact envisagé'!$T$107)=0,"",IF('Eval-Avec impact envisagé'!$T$107=0,"Site détruit (0 ha).",CONCATENATE((IF(AL44=0,"Pas d'infrastructure de transport détectée.","")),(IF(AND(AL44&lt;=0.2,AL44&gt;0),CONCATENATE("Densité d’infrastructures de transport très réduite (",ROUND(100*'Eval-Avec impact envisagé'!$T$234/'Eval-Avec impact envisagé'!$T$213,1)," km/100ha)."),"")))))</f>
        <v/>
      </c>
      <c r="BE44" s="241" t="str">
        <f>(IF(AND(AL44&gt;0.2,AL44&lt;=0.4),CONCATENATE("Densité d’infrastructures de transport assez réduite (",ROUND(100*'Eval-Avec impact envisagé'!$T$234/'Eval-Avec impact envisagé'!$T$213,1)," km/100ha)."),""))</f>
        <v/>
      </c>
      <c r="BF44" s="242" t="str">
        <f>(IF(AND(AL44&gt;0.4,AL44&lt;=0.6),CONCATENATE("Densité d’infrastructures de transport assez importante (",ROUND(100*'Eval-Avec impact envisagé'!$T$234/'Eval-Avec impact envisagé'!$T$213,1)," km/100ha)."),""))</f>
        <v/>
      </c>
      <c r="BG44" s="242" t="str">
        <f>(IF(AND(AL44&gt;0.6,AL44&lt;=0.8),CONCATENATE("Densité d’infrastructures de transport importante (",ROUND(100*'Eval-Avec impact envisagé'!$T$234/'Eval-Avec impact envisagé'!$T$213,1)," km/100ha)."),""))</f>
        <v/>
      </c>
      <c r="BH44" s="242" t="str">
        <f>(IF(AND(AL44&gt;0.8,AL44&lt;=1),CONCATENATE("Densité d’infrastructures de transport très importante (",ROUND(100*'Eval-Avec impact envisagé'!$T$234/'Eval-Avec impact envisagé'!$T$213,1)," km/100ha)."),""))</f>
        <v/>
      </c>
      <c r="BI44" s="246"/>
      <c r="BJ44" s="243" t="str">
        <f t="shared" si="25"/>
        <v/>
      </c>
      <c r="BK44" s="244" t="str">
        <f>AV44</f>
        <v/>
      </c>
      <c r="BL44" s="245"/>
      <c r="BM44" s="1138"/>
      <c r="BN44" s="234" t="s">
        <v>185</v>
      </c>
      <c r="BO44" s="235" t="s">
        <v>48</v>
      </c>
      <c r="BP44" s="236"/>
      <c r="BQ44" s="237"/>
      <c r="BR44" s="238" t="str">
        <f>IF(LEN('Eval-Après impact'!$T$107)=0,"",IF('Eval-Après impact'!$T$107=0,0,IF(OR(COUNTA('Eval-Après impact'!$T$234)=0,COUNTA('Eval-Après impact'!$T$213)=0),"",IF('Eval-Après impact'!$T$234/'Eval-Après impact'!$T$213&gt;=0.057,1,'Eval-Après impact'!$T$234*17.302016/'Eval-Après impact'!$T$213))))</f>
        <v/>
      </c>
      <c r="BS44" s="237"/>
      <c r="BT44" s="237"/>
      <c r="BU44" s="237"/>
      <c r="BV44" s="237"/>
      <c r="BW44" s="237"/>
      <c r="BX44" s="237"/>
      <c r="BY44" s="239"/>
      <c r="BZ44" s="236"/>
      <c r="CA44" s="237"/>
      <c r="CB44" s="238" t="str">
        <f>IF(BR44="","",BR44*'Eval-Après impact'!$T$213)</f>
        <v/>
      </c>
      <c r="CC44" s="237"/>
      <c r="CD44" s="237"/>
      <c r="CE44" s="237"/>
      <c r="CF44" s="237"/>
      <c r="CG44" s="237"/>
      <c r="CH44" s="237"/>
      <c r="CI44" s="239"/>
      <c r="CJ44" s="240" t="str">
        <f>IF(LEN('Eval-Après impact'!$T$107)=0,"",IF('Eval-Après impact'!$T$107=0,"Site détruit (0 ha).",CONCATENATE((IF(BR44=0,"Pas d'infrastructure de transport détectée.","")),(IF(AND(BR44&lt;=0.2,BR44&gt;0),CONCATENATE("Densité d’infrastructures de transport très réduite (",ROUND(100*'Eval-Après impact'!$T$234/'Eval-Après impact'!$T$213,1)," km/100ha)."),"")))))</f>
        <v/>
      </c>
      <c r="CK44" s="241" t="str">
        <f>(IF(AND(BR44&gt;0.2,BR44&lt;=0.4),CONCATENATE("Densité d’infrastructures de transport assez réduite (",ROUND(100*'Eval-Après impact'!$T$234/'Eval-Après impact'!$T$213,1)," km/100ha)."),""))</f>
        <v/>
      </c>
      <c r="CL44" s="242" t="str">
        <f>(IF(AND(BR44&gt;0.4,BR44&lt;=0.6),CONCATENATE("Densité d’infrastructures de transport assez importante (",ROUND(100*'Eval-Après impact'!$T$234/'Eval-Après impact'!$T$213,1)," km/100ha)."),""))</f>
        <v/>
      </c>
      <c r="CM44" s="242" t="str">
        <f>(IF(AND(BR44&gt;0.6,BR44&lt;=0.8),CONCATENATE("Densité d’infrastructures de transport importante (",ROUND(100*'Eval-Après impact'!$T$234/'Eval-Après impact'!$T$213,1)," km/100ha)."),""))</f>
        <v/>
      </c>
      <c r="CN44" s="242" t="str">
        <f>(IF(AND(BR44&gt;0.8,BR44&lt;=1),CONCATENATE("Densité d’infrastructures de transport très importante (",ROUND(100*'Eval-Après impact'!$T$234/'Eval-Après impact'!$T$213,1)," km/100ha)."),""))</f>
        <v/>
      </c>
      <c r="CO44" s="246"/>
      <c r="CP44" s="243" t="str">
        <f t="shared" si="26"/>
        <v/>
      </c>
      <c r="CQ44" s="244" t="str">
        <f>CB44</f>
        <v/>
      </c>
      <c r="CR44" s="245"/>
      <c r="CS44" s="1138"/>
      <c r="CT44" s="234" t="s">
        <v>185</v>
      </c>
      <c r="CU44" s="235" t="s">
        <v>48</v>
      </c>
      <c r="CV44" s="236"/>
      <c r="CW44" s="237"/>
      <c r="CX44" s="238" t="str">
        <f>IF(LEN('Eval-Avant action écologique'!$T$107)=0,"",IF('Eval-Avant action écologique'!$T$107=0,0,IF(OR(COUNTA('Eval-Avant action écologique'!$T$234)=0,COUNTA('Eval-Avant action écologique'!$T$213)=0),"",IF('Eval-Avant action écologique'!$T$234/'Eval-Avant action écologique'!$T$213&gt;=0.057,1,'Eval-Avant action écologique'!$T$234*17.302016/'Eval-Avant action écologique'!$T$213))))</f>
        <v/>
      </c>
      <c r="CY44" s="237"/>
      <c r="CZ44" s="237"/>
      <c r="DA44" s="237"/>
      <c r="DB44" s="237"/>
      <c r="DC44" s="237"/>
      <c r="DD44" s="237"/>
      <c r="DE44" s="239"/>
      <c r="DF44" s="236"/>
      <c r="DG44" s="237"/>
      <c r="DH44" s="238" t="str">
        <f>IF(CX44="","",CX44*'Eval-Avant action écologique'!$T$213)</f>
        <v/>
      </c>
      <c r="DI44" s="237"/>
      <c r="DJ44" s="237"/>
      <c r="DK44" s="237"/>
      <c r="DL44" s="237"/>
      <c r="DM44" s="237"/>
      <c r="DN44" s="237"/>
      <c r="DO44" s="239"/>
      <c r="DP44" s="240" t="str">
        <f>IF(LEN('Eval-Avant action écologique'!$T$107)=0,"",IF('Eval-Avant action écologique'!$T$107=0,"Site détruit (0 ha).",CONCATENATE((IF(CX44=0,"Pas d'infrastructure de transport détectée.","")),(IF(AND(CX44&lt;=0.2,CX44&gt;0),CONCATENATE("Densité d’infrastructures de transport très réduite (",ROUND(100*'Eval-Avant action écologique'!$T$234/'Eval-Avant action écologique'!$T$213,1)," km/100ha)."),"")))))</f>
        <v/>
      </c>
      <c r="DQ44" s="241" t="str">
        <f>(IF(AND(CX44&gt;0.2,CX44&lt;=0.4),CONCATENATE("Densité d’infrastructures de transport assez réduite (",ROUND(100*'Eval-Avant action écologique'!$T$234/'Eval-Avant action écologique'!$T$213,1)," km/100ha)."),""))</f>
        <v/>
      </c>
      <c r="DR44" s="242" t="str">
        <f>(IF(AND(CX44&gt;0.4,CX44&lt;=0.6),CONCATENATE("Densité d’infrastructures de transport assez importante (",ROUND(100*'Eval-Avant action écologique'!$T$234/'Eval-Avant action écologique'!$T$213,1)," km/100ha)."),""))</f>
        <v/>
      </c>
      <c r="DS44" s="242" t="str">
        <f>(IF(AND(CX44&gt;0.6,CX44&lt;=0.8),CONCATENATE("Densité d’infrastructures de transport importante (",ROUND(100*'Eval-Avant action écologique'!$T$234/'Eval-Avant action écologique'!$T$213,1)," km/100ha)."),""))</f>
        <v/>
      </c>
      <c r="DT44" s="242" t="str">
        <f>(IF(AND(CX44&gt;0.8,CX44&lt;=1),CONCATENATE("Densité d’infrastructures de transport très importante (",ROUND(100*'Eval-Avant action écologique'!$T$234/'Eval-Avant action écologique'!$T$213,1)," km/100ha)."),""))</f>
        <v/>
      </c>
      <c r="DU44" s="246"/>
      <c r="DV44" s="243" t="str">
        <f t="shared" si="27"/>
        <v/>
      </c>
      <c r="DW44" s="244" t="str">
        <f>DH44</f>
        <v/>
      </c>
      <c r="DX44" s="245"/>
      <c r="DY44" s="1138"/>
      <c r="DZ44" s="234" t="s">
        <v>185</v>
      </c>
      <c r="EA44" s="235" t="s">
        <v>48</v>
      </c>
      <c r="EB44" s="236"/>
      <c r="EC44" s="237"/>
      <c r="ED44" s="238" t="str">
        <f>IF(LEN('Eval-Avec act. écol. envisagée'!$T$107)=0,"",IF('Eval-Avec act. écol. envisagée'!$T$107=0,0,IF(OR(COUNTA('Eval-Avec act. écol. envisagée'!$T$234)=0,COUNTA('Eval-Avec act. écol. envisagée'!$T$213)=0),"",IF('Eval-Avec act. écol. envisagée'!$T$234/'Eval-Avec act. écol. envisagée'!$T$213&gt;=0.057,1,'Eval-Avec act. écol. envisagée'!$T$234*17.302016/'Eval-Avec act. écol. envisagée'!$T$213))))</f>
        <v/>
      </c>
      <c r="EE44" s="237"/>
      <c r="EF44" s="237"/>
      <c r="EG44" s="237"/>
      <c r="EH44" s="237"/>
      <c r="EI44" s="237"/>
      <c r="EJ44" s="237"/>
      <c r="EK44" s="239"/>
      <c r="EL44" s="236"/>
      <c r="EM44" s="237"/>
      <c r="EN44" s="238" t="str">
        <f>IF(ED44="","",ED44*'Eval-Avec act. écol. envisagée'!$T$213)</f>
        <v/>
      </c>
      <c r="EO44" s="237"/>
      <c r="EP44" s="237"/>
      <c r="EQ44" s="237"/>
      <c r="ER44" s="237"/>
      <c r="ES44" s="237"/>
      <c r="ET44" s="237"/>
      <c r="EU44" s="239"/>
      <c r="EV44" s="240" t="str">
        <f>IF(LEN('Eval-Avec act. écol. envisagée'!$T$107)=0,"",IF('Eval-Avec act. écol. envisagée'!$T$107=0,"Site détruit (0 ha).",CONCATENATE((IF(ED44=0,"Pas d'infrastructure de transport détectée.","")),(IF(AND(ED44&lt;=0.2,ED44&gt;0),CONCATENATE("Densité d’infrastructures de transport très réduite (",ROUND(100*'Eval-Avec act. écol. envisagée'!$T$234/'Eval-Avec act. écol. envisagée'!$T$213,1)," km/100ha)."),"")))))</f>
        <v/>
      </c>
      <c r="EW44" s="241" t="str">
        <f>(IF(AND(ED44&gt;0.2,ED44&lt;=0.4),CONCATENATE("Densité d’infrastructures de transport assez réduite (",ROUND(100*'Eval-Avec act. écol. envisagée'!$T$234/'Eval-Avec act. écol. envisagée'!$T$213,1)," km/100ha)."),""))</f>
        <v/>
      </c>
      <c r="EX44" s="242" t="str">
        <f>(IF(AND(ED44&gt;0.4,ED44&lt;=0.6),CONCATENATE("Densité d’infrastructures de transport assez importante (",ROUND(100*'Eval-Avec act. écol. envisagée'!$T$234/'Eval-Avec act. écol. envisagée'!$T$213,1)," km/100ha)."),""))</f>
        <v/>
      </c>
      <c r="EY44" s="242" t="str">
        <f>(IF(AND(ED44&gt;0.6,ED44&lt;=0.8),CONCATENATE("Densité d’infrastructures de transport importante (",ROUND(100*'Eval-Avec act. écol. envisagée'!$T$234/'Eval-Avec act. écol. envisagée'!$T$213,1)," km/100ha)."),""))</f>
        <v/>
      </c>
      <c r="EZ44" s="242" t="str">
        <f>(IF(AND(ED44&gt;0.8,ED44&lt;=1),CONCATENATE("Densité d’infrastructures de transport très importante (",ROUND(100*'Eval-Avec act. écol. envisagée'!$T$234/'Eval-Avec act. écol. envisagée'!$T$213,1)," km/100ha)."),""))</f>
        <v/>
      </c>
      <c r="FA44" s="246"/>
      <c r="FB44" s="243" t="str">
        <f t="shared" si="28"/>
        <v/>
      </c>
      <c r="FC44" s="244" t="str">
        <f>EN44</f>
        <v/>
      </c>
      <c r="FD44" s="245"/>
      <c r="FE44" s="1138"/>
      <c r="FF44" s="234" t="s">
        <v>185</v>
      </c>
      <c r="FG44" s="235" t="s">
        <v>48</v>
      </c>
      <c r="FH44" s="236"/>
      <c r="FI44" s="237"/>
      <c r="FJ44" s="238" t="str">
        <f>IF(LEN('Eval-Après action écologique'!$T$107)=0,"",IF('Eval-Après action écologique'!$T$107=0,0,IF(OR(COUNTA('Eval-Après action écologique'!$T$234)=0,COUNTA('Eval-Après action écologique'!$T$213)=0),"",IF('Eval-Après action écologique'!$T$234/'Eval-Après action écologique'!$T$213&gt;=0.057,1,'Eval-Après action écologique'!$T$234*17.302016/'Eval-Après action écologique'!$T$213))))</f>
        <v/>
      </c>
      <c r="FK44" s="237"/>
      <c r="FL44" s="237"/>
      <c r="FM44" s="237"/>
      <c r="FN44" s="237"/>
      <c r="FO44" s="237"/>
      <c r="FP44" s="237"/>
      <c r="FQ44" s="239"/>
      <c r="FR44" s="236"/>
      <c r="FS44" s="237"/>
      <c r="FT44" s="238" t="str">
        <f>IF(FJ44="","",FJ44*'Eval-Après action écologique'!$T$213)</f>
        <v/>
      </c>
      <c r="FU44" s="237"/>
      <c r="FV44" s="237"/>
      <c r="FW44" s="237"/>
      <c r="FX44" s="237"/>
      <c r="FY44" s="237"/>
      <c r="FZ44" s="237"/>
      <c r="GA44" s="239"/>
      <c r="GB44" s="240" t="str">
        <f>IF(LEN('Eval-Après action écologique'!$T$107)=0,"",IF('Eval-Après action écologique'!$T$107=0,"Site détruit (0 ha).",CONCATENATE((IF(FJ44=0,"Pas d'infrastructure de transport détectée.","")),(IF(AND(FJ44&lt;=0.2,FJ44&gt;0),CONCATENATE("Densité d’infrastructures de transport très réduite (",ROUND(100*'Eval-Après action écologique'!$T$234/'Eval-Après action écologique'!$T$213,1)," km/100ha)."),"")))))</f>
        <v/>
      </c>
      <c r="GC44" s="241" t="str">
        <f>(IF(AND(FJ44&gt;0.2,FJ44&lt;=0.4),CONCATENATE("Densité d’infrastructures de transport assez réduite (",ROUND(100*'Eval-Après action écologique'!$T$234/'Eval-Après action écologique'!$T$213,1)," km/100ha)."),""))</f>
        <v/>
      </c>
      <c r="GD44" s="242" t="str">
        <f>(IF(AND(FJ44&gt;0.4,FJ44&lt;=0.6),CONCATENATE("Densité d’infrastructures de transport assez importante (",ROUND(100*'Eval-Après action écologique'!$T$234/'Eval-Après action écologique'!$T$213,1)," km/100ha)."),""))</f>
        <v/>
      </c>
      <c r="GE44" s="242" t="str">
        <f>(IF(AND(FJ44&gt;0.6,FJ44&lt;=0.8),CONCATENATE("Densité d’infrastructures de transport importante (",ROUND(100*'Eval-Après action écologique'!$T$234/'Eval-Après action écologique'!$T$213,1)," km/100ha)."),""))</f>
        <v/>
      </c>
      <c r="GF44" s="242" t="str">
        <f>(IF(AND(FJ44&gt;0.8,FJ44&lt;=1),CONCATENATE("Densité d’infrastructures de transport très importante (",ROUND(100*'Eval-Après action écologique'!$T$234/'Eval-Après action écologique'!$T$213,1)," km/100ha)."),""))</f>
        <v/>
      </c>
      <c r="GG44" s="246"/>
      <c r="GH44" s="243" t="str">
        <f t="shared" si="29"/>
        <v/>
      </c>
      <c r="GI44" s="244" t="str">
        <f>FT44</f>
        <v/>
      </c>
    </row>
    <row r="45" spans="1:191" ht="31.5" customHeight="1" x14ac:dyDescent="0.2">
      <c r="A45" s="247" t="s">
        <v>124</v>
      </c>
      <c r="B45" s="234" t="s">
        <v>186</v>
      </c>
      <c r="C45" s="235" t="s">
        <v>125</v>
      </c>
      <c r="D45" s="236"/>
      <c r="E45" s="237"/>
      <c r="F45" s="238" t="str">
        <f>IF(LEN('Eval-Avant impact'!$T$107)=0,"",IF('Eval-Avant impact'!$T$107=0,0,IF(OR('Eval-Avant impact'!$T$292=0,COUNTA('Eval-Avant impact'!$T$296)=0),"",1-'Eval-Avant impact'!$T$296/100)))</f>
        <v/>
      </c>
      <c r="G45" s="238" t="str">
        <f>IF(LEN('Eval-Avant impact'!$T$107)=0,"",IF('Eval-Avant impact'!$T$107=0,0,IF(OR('Eval-Avant impact'!$T$292=0,COUNTA('Eval-Avant impact'!$T$296)=0),"",1-'Eval-Avant impact'!$T$296/100)))</f>
        <v/>
      </c>
      <c r="H45" s="238" t="str">
        <f>IF(LEN('Eval-Avant impact'!$T$107)=0,"",IF('Eval-Avant impact'!$T$107=0,0,IF(OR('Eval-Avant impact'!$T$292=0,COUNTA('Eval-Avant impact'!$T$296)=0),"",1-'Eval-Avant impact'!$T$296/100)))</f>
        <v/>
      </c>
      <c r="I45" s="238" t="str">
        <f>IF(LEN('Eval-Avant impact'!$T$107)=0,"",IF('Eval-Avant impact'!$T$107=0,0,IF(OR('Eval-Avant impact'!$T$292=0,COUNTA('Eval-Avant impact'!$T$296)=0),"",1-'Eval-Avant impact'!$T$296/100)))</f>
        <v/>
      </c>
      <c r="J45" s="238" t="str">
        <f>IF(LEN('Eval-Avant impact'!$T$107)=0,"",IF('Eval-Avant impact'!$T$107=0,0,IF(OR('Eval-Avant impact'!$T$292=0,COUNTA('Eval-Avant impact'!$T$296)=0),"",1-'Eval-Avant impact'!$T$296/100)))</f>
        <v/>
      </c>
      <c r="K45" s="237"/>
      <c r="L45" s="237"/>
      <c r="M45" s="239"/>
      <c r="N45" s="236"/>
      <c r="O45" s="237"/>
      <c r="P45" s="238" t="str">
        <f>IF(F45="","",F45*'Eval-Avant impact'!$T$292)</f>
        <v/>
      </c>
      <c r="Q45" s="238" t="str">
        <f>IF(F45="","",F45*'Eval-Avant impact'!$T$292)</f>
        <v/>
      </c>
      <c r="R45" s="238" t="str">
        <f>IF(F45="","",F45*'Eval-Avant impact'!$T$292)</f>
        <v/>
      </c>
      <c r="S45" s="238" t="str">
        <f>IF(F45="","",F45*'Eval-Avant impact'!$T$292)</f>
        <v/>
      </c>
      <c r="T45" s="238" t="str">
        <f>IF(F45="","",F45*'Eval-Avant impact'!$T$292)</f>
        <v/>
      </c>
      <c r="U45" s="237"/>
      <c r="V45" s="237"/>
      <c r="W45" s="239"/>
      <c r="X45" s="240" t="str">
        <f>IF(LEN('Eval-Avant impact'!$T$107)=0,"",IF('Eval-Avant impact'!$T$107=0,"Site détruit (0 ha).",CONCATENATE((IF(F45=0,"Couvert vég. permanent intégral.","")),(IF(AND(F45&lt;=0.2,F45&gt;0),CONCATENATE("Couvert vég. permanent très important (",ROUND('Eval-Avant impact'!$T$296,0)," %).",),"")))))</f>
        <v/>
      </c>
      <c r="Y45" s="241" t="str">
        <f>(IF(AND(F45&gt;0.2,F45&lt;=0.4),CONCATENATE("Couvert vég. permanent important (",ROUND('Eval-Avant impact'!$T$296,0)," %)."),""))</f>
        <v/>
      </c>
      <c r="Z45" s="242" t="str">
        <f>(IF(AND(F45&gt;0.4,F45&lt;=0.6),CONCATENATE("Couvert vég. permanent assez important (",ROUND('Eval-Avant impact'!$T$296,0)," %)."),""))</f>
        <v/>
      </c>
      <c r="AA45" s="242" t="str">
        <f>(IF(AND(F45&gt;0.6,F45&lt;=0.8),CONCATENATE("Couvert vég. permanent assez réduit (",ROUND('Eval-Avant impact'!$T$296,0)," %)."),""))</f>
        <v/>
      </c>
      <c r="AB45" s="242" t="str">
        <f>(IF(AND(F45&gt;0.8,F45&lt;=1),CONCATENATE("Couvert vég. permanent très réduit (",ROUND('Eval-Avant impact'!$T$296,0)," %)."),""))</f>
        <v/>
      </c>
      <c r="AC45" s="218" t="str">
        <f>IF(LEN('Eval-Avant impact'!$T$107)=0,"",IF('Eval-Avant impact'!$T$107=0,"",IF(F45="","Non renseigné. Pas de zone tampon.","")))</f>
        <v/>
      </c>
      <c r="AD45" s="243" t="str">
        <f t="shared" si="24"/>
        <v/>
      </c>
      <c r="AE45" s="244" t="str">
        <f>P45</f>
        <v/>
      </c>
      <c r="AF45" s="245"/>
      <c r="AG45" s="247" t="s">
        <v>124</v>
      </c>
      <c r="AH45" s="234" t="s">
        <v>186</v>
      </c>
      <c r="AI45" s="235" t="s">
        <v>125</v>
      </c>
      <c r="AJ45" s="236"/>
      <c r="AK45" s="237"/>
      <c r="AL45" s="238" t="str">
        <f>IF(LEN('Eval-Avec impact envisagé'!$T$107)=0,"",IF('Eval-Avec impact envisagé'!$T$107=0,0,IF(OR('Eval-Avec impact envisagé'!$T$292=0,COUNTA('Eval-Avec impact envisagé'!$T$296)=0),"",1-'Eval-Avec impact envisagé'!$T$296/100)))</f>
        <v/>
      </c>
      <c r="AM45" s="238" t="str">
        <f>IF(LEN('Eval-Avec impact envisagé'!$T$107)=0,"",IF('Eval-Avec impact envisagé'!$T$107=0,0,IF(OR('Eval-Avec impact envisagé'!$T$292=0,COUNTA('Eval-Avec impact envisagé'!$T$296)=0),"",1-'Eval-Avec impact envisagé'!$T$296/100)))</f>
        <v/>
      </c>
      <c r="AN45" s="238" t="str">
        <f>IF(LEN('Eval-Avec impact envisagé'!$T$107)=0,"",IF('Eval-Avec impact envisagé'!$T$107=0,0,IF(OR('Eval-Avec impact envisagé'!$T$292=0,COUNTA('Eval-Avec impact envisagé'!$T$296)=0),"",1-'Eval-Avec impact envisagé'!$T$296/100)))</f>
        <v/>
      </c>
      <c r="AO45" s="238" t="str">
        <f>IF(LEN('Eval-Avec impact envisagé'!$T$107)=0,"",IF('Eval-Avec impact envisagé'!$T$107=0,0,IF(OR('Eval-Avec impact envisagé'!$T$292=0,COUNTA('Eval-Avec impact envisagé'!$T$296)=0),"",1-'Eval-Avec impact envisagé'!$T$296/100)))</f>
        <v/>
      </c>
      <c r="AP45" s="238" t="str">
        <f>IF(LEN('Eval-Avec impact envisagé'!$T$107)=0,"",IF('Eval-Avec impact envisagé'!$T$107=0,0,IF(OR('Eval-Avec impact envisagé'!$T$292=0,COUNTA('Eval-Avec impact envisagé'!$T$296)=0),"",1-'Eval-Avec impact envisagé'!$T$296/100)))</f>
        <v/>
      </c>
      <c r="AQ45" s="237"/>
      <c r="AR45" s="237"/>
      <c r="AS45" s="239"/>
      <c r="AT45" s="236"/>
      <c r="AU45" s="237"/>
      <c r="AV45" s="238" t="str">
        <f>IF(AL45="","",AL45*'Eval-Avec impact envisagé'!$T$292)</f>
        <v/>
      </c>
      <c r="AW45" s="238" t="str">
        <f>IF(AL45="","",AL45*'Eval-Avec impact envisagé'!$T$292)</f>
        <v/>
      </c>
      <c r="AX45" s="238" t="str">
        <f>IF(AL45="","",AL45*'Eval-Avec impact envisagé'!$T$292)</f>
        <v/>
      </c>
      <c r="AY45" s="238" t="str">
        <f>IF(AL45="","",AL45*'Eval-Avec impact envisagé'!$T$292)</f>
        <v/>
      </c>
      <c r="AZ45" s="238" t="str">
        <f>IF(AL45="","",AL45*'Eval-Avec impact envisagé'!$T$292)</f>
        <v/>
      </c>
      <c r="BA45" s="237"/>
      <c r="BB45" s="237"/>
      <c r="BC45" s="239"/>
      <c r="BD45" s="240" t="str">
        <f>IF(LEN('Eval-Avec impact envisagé'!$T$107)=0,"",IF('Eval-Avec impact envisagé'!$T$107=0,"Site détruit (0 ha).",CONCATENATE((IF(AL45=0,"Couvert vég. permanent intégral.","")),(IF(AND(AL45&lt;=0.2,AL45&gt;0),CONCATENATE("Couvert vég. permanent très important (",ROUND('Eval-Avec impact envisagé'!$T$296,0)," %).",),"")))))</f>
        <v/>
      </c>
      <c r="BE45" s="241" t="str">
        <f>(IF(AND(AL45&gt;0.2,AL45&lt;=0.4),CONCATENATE("Couvert vég. permanent important (",ROUND('Eval-Avec impact envisagé'!$T$296,0)," %)."),""))</f>
        <v/>
      </c>
      <c r="BF45" s="242" t="str">
        <f>(IF(AND(AL45&gt;0.4,AL45&lt;=0.6),CONCATENATE("Couvert vég. permanent assez important (",ROUND('Eval-Avec impact envisagé'!$T$296,0)," %)."),""))</f>
        <v/>
      </c>
      <c r="BG45" s="242" t="str">
        <f>(IF(AND(AL45&gt;0.6,AL45&lt;=0.8),CONCATENATE("Couvert vég. permanent assez réduit (",ROUND('Eval-Avec impact envisagé'!$T$296,0)," %)."),""))</f>
        <v/>
      </c>
      <c r="BH45" s="242" t="str">
        <f>(IF(AND(AL45&gt;0.8,AL45&lt;=1),CONCATENATE("Couvert vég. permanent très réduit (",ROUND('Eval-Avec impact envisagé'!$T$296,0)," %)."),""))</f>
        <v/>
      </c>
      <c r="BI45" s="218" t="str">
        <f>IF(LEN('Eval-Avec impact envisagé'!$T$107)=0,"",IF('Eval-Avec impact envisagé'!$T$107=0,"",IF(AL45="","Non renseigné. Pas de zone tampon.","")))</f>
        <v/>
      </c>
      <c r="BJ45" s="243" t="str">
        <f t="shared" si="25"/>
        <v/>
      </c>
      <c r="BK45" s="244" t="str">
        <f>AV45</f>
        <v/>
      </c>
      <c r="BL45" s="245"/>
      <c r="BM45" s="247" t="s">
        <v>124</v>
      </c>
      <c r="BN45" s="234" t="s">
        <v>186</v>
      </c>
      <c r="BO45" s="235" t="s">
        <v>125</v>
      </c>
      <c r="BP45" s="236"/>
      <c r="BQ45" s="237"/>
      <c r="BR45" s="238" t="str">
        <f>IF(LEN('Eval-Après impact'!$T$107)=0,"",IF('Eval-Après impact'!$T$107=0,0,IF(OR('Eval-Après impact'!$T$292=0,COUNTA('Eval-Après impact'!$T$296)=0),"",1-'Eval-Après impact'!$T$296/100)))</f>
        <v/>
      </c>
      <c r="BS45" s="238" t="str">
        <f>IF(LEN('Eval-Après impact'!$T$107)=0,"",IF('Eval-Après impact'!$T$107=0,0,IF(OR('Eval-Après impact'!$T$292=0,COUNTA('Eval-Après impact'!$T$296)=0),"",1-'Eval-Après impact'!$T$296/100)))</f>
        <v/>
      </c>
      <c r="BT45" s="238" t="str">
        <f>IF(LEN('Eval-Après impact'!$T$107)=0,"",IF('Eval-Après impact'!$T$107=0,0,IF(OR('Eval-Après impact'!$T$292=0,COUNTA('Eval-Après impact'!$T$296)=0),"",1-'Eval-Après impact'!$T$296/100)))</f>
        <v/>
      </c>
      <c r="BU45" s="238" t="str">
        <f>IF(LEN('Eval-Après impact'!$T$107)=0,"",IF('Eval-Après impact'!$T$107=0,0,IF(OR('Eval-Après impact'!$T$292=0,COUNTA('Eval-Après impact'!$T$296)=0),"",1-'Eval-Après impact'!$T$296/100)))</f>
        <v/>
      </c>
      <c r="BV45" s="238" t="str">
        <f>IF(LEN('Eval-Après impact'!$T$107)=0,"",IF('Eval-Après impact'!$T$107=0,0,IF(OR('Eval-Après impact'!$T$292=0,COUNTA('Eval-Après impact'!$T$296)=0),"",1-'Eval-Après impact'!$T$296/100)))</f>
        <v/>
      </c>
      <c r="BW45" s="237"/>
      <c r="BX45" s="237"/>
      <c r="BY45" s="239"/>
      <c r="BZ45" s="236"/>
      <c r="CA45" s="237"/>
      <c r="CB45" s="238" t="str">
        <f>IF(BR45="","",BR45*'Eval-Après impact'!$T$292)</f>
        <v/>
      </c>
      <c r="CC45" s="238" t="str">
        <f>IF(BR45="","",BR45*'Eval-Après impact'!$T$292)</f>
        <v/>
      </c>
      <c r="CD45" s="238" t="str">
        <f>IF(BR45="","",BR45*'Eval-Après impact'!$T$292)</f>
        <v/>
      </c>
      <c r="CE45" s="238" t="str">
        <f>IF(BR45="","",BR45*'Eval-Après impact'!$T$292)</f>
        <v/>
      </c>
      <c r="CF45" s="238" t="str">
        <f>IF(BR45="","",BR45*'Eval-Après impact'!$T$292)</f>
        <v/>
      </c>
      <c r="CG45" s="237"/>
      <c r="CH45" s="237"/>
      <c r="CI45" s="239"/>
      <c r="CJ45" s="240" t="str">
        <f>IF(LEN('Eval-Après impact'!$T$107)=0,"",IF('Eval-Après impact'!$T$107=0,"Site détruit (0 ha).",CONCATENATE((IF(BR45=0,"Couvert vég. permanent intégral.","")),(IF(AND(BR45&lt;=0.2,BR45&gt;0),CONCATENATE("Couvert vég. permanent très important (",ROUND('Eval-Après impact'!$T$296,0)," %).",),"")))))</f>
        <v/>
      </c>
      <c r="CK45" s="241" t="str">
        <f>(IF(AND(BR45&gt;0.2,BR45&lt;=0.4),CONCATENATE("Couvert vég. permanent important (",ROUND('Eval-Après impact'!$T$296,0)," %)."),""))</f>
        <v/>
      </c>
      <c r="CL45" s="242" t="str">
        <f>(IF(AND(BR45&gt;0.4,BR45&lt;=0.6),CONCATENATE("Couvert vég. permanent assez important (",ROUND('Eval-Après impact'!$T$296,0)," %)."),""))</f>
        <v/>
      </c>
      <c r="CM45" s="242" t="str">
        <f>(IF(AND(BR45&gt;0.6,BR45&lt;=0.8),CONCATENATE("Couvert vég. permanent assez réduit (",ROUND('Eval-Après impact'!$T$296,0)," %)."),""))</f>
        <v/>
      </c>
      <c r="CN45" s="242" t="str">
        <f>(IF(AND(BR45&gt;0.8,BR45&lt;=1),CONCATENATE("Couvert vég. permanent très réduit (",ROUND('Eval-Après impact'!$T$296,0)," %)."),""))</f>
        <v/>
      </c>
      <c r="CO45" s="218" t="str">
        <f>IF(LEN('Eval-Après impact'!$T$107)=0,"",IF('Eval-Après impact'!$T$107=0,"",IF(BR45="","Non renseigné. Pas de zone tampon.","")))</f>
        <v/>
      </c>
      <c r="CP45" s="243" t="str">
        <f t="shared" si="26"/>
        <v/>
      </c>
      <c r="CQ45" s="244" t="str">
        <f>CB45</f>
        <v/>
      </c>
      <c r="CR45" s="245"/>
      <c r="CS45" s="247" t="s">
        <v>124</v>
      </c>
      <c r="CT45" s="234" t="s">
        <v>186</v>
      </c>
      <c r="CU45" s="235" t="s">
        <v>125</v>
      </c>
      <c r="CV45" s="236"/>
      <c r="CW45" s="237"/>
      <c r="CX45" s="238" t="str">
        <f>IF(LEN('Eval-Avant action écologique'!$T$107)=0,"",IF('Eval-Avant action écologique'!$T$107=0,0,IF(OR('Eval-Avant action écologique'!$T$292=0,COUNTA('Eval-Avant action écologique'!$T$296)=0),"",1-'Eval-Avant action écologique'!$T$296/100)))</f>
        <v/>
      </c>
      <c r="CY45" s="238" t="str">
        <f>IF(LEN('Eval-Avant action écologique'!$T$107)=0,"",IF('Eval-Avant action écologique'!$T$107=0,0,IF(OR('Eval-Avant action écologique'!$T$292=0,COUNTA('Eval-Avant action écologique'!$T$296)=0),"",1-'Eval-Avant action écologique'!$T$296/100)))</f>
        <v/>
      </c>
      <c r="CZ45" s="238" t="str">
        <f>IF(LEN('Eval-Avant action écologique'!$T$107)=0,"",IF('Eval-Avant action écologique'!$T$107=0,0,IF(OR('Eval-Avant action écologique'!$T$292=0,COUNTA('Eval-Avant action écologique'!$T$296)=0),"",1-'Eval-Avant action écologique'!$T$296/100)))</f>
        <v/>
      </c>
      <c r="DA45" s="238" t="str">
        <f>IF(LEN('Eval-Avant action écologique'!$T$107)=0,"",IF('Eval-Avant action écologique'!$T$107=0,0,IF(OR('Eval-Avant action écologique'!$T$292=0,COUNTA('Eval-Avant action écologique'!$T$296)=0),"",1-'Eval-Avant action écologique'!$T$296/100)))</f>
        <v/>
      </c>
      <c r="DB45" s="238" t="str">
        <f>IF(LEN('Eval-Avant action écologique'!$T$107)=0,"",IF('Eval-Avant action écologique'!$T$107=0,0,IF(OR('Eval-Avant action écologique'!$T$292=0,COUNTA('Eval-Avant action écologique'!$T$296)=0),"",1-'Eval-Avant action écologique'!$T$296/100)))</f>
        <v/>
      </c>
      <c r="DC45" s="237"/>
      <c r="DD45" s="237"/>
      <c r="DE45" s="239"/>
      <c r="DF45" s="236"/>
      <c r="DG45" s="237"/>
      <c r="DH45" s="238" t="str">
        <f>IF(CX45="","",CX45*'Eval-Avant action écologique'!$T$292)</f>
        <v/>
      </c>
      <c r="DI45" s="238" t="str">
        <f>IF(CX45="","",CX45*'Eval-Avant action écologique'!$T$292)</f>
        <v/>
      </c>
      <c r="DJ45" s="238" t="str">
        <f>IF(CX45="","",CX45*'Eval-Avant action écologique'!$T$292)</f>
        <v/>
      </c>
      <c r="DK45" s="238" t="str">
        <f>IF(CX45="","",CX45*'Eval-Avant action écologique'!$T$292)</f>
        <v/>
      </c>
      <c r="DL45" s="238" t="str">
        <f>IF(CX45="","",CX45*'Eval-Avant action écologique'!$T$292)</f>
        <v/>
      </c>
      <c r="DM45" s="237"/>
      <c r="DN45" s="237"/>
      <c r="DO45" s="239"/>
      <c r="DP45" s="240" t="str">
        <f>IF(LEN('Eval-Avant action écologique'!$T$107)=0,"",IF('Eval-Avant action écologique'!$T$107=0,"Site détruit (0 ha).",CONCATENATE((IF(CX45=0,"Couvert vég. permanent intégral.","")),(IF(AND(CX45&lt;=0.2,CX45&gt;0),CONCATENATE("Couvert vég. permanent très important (",ROUND('Eval-Avant action écologique'!$T$296,0)," %).",),"")))))</f>
        <v/>
      </c>
      <c r="DQ45" s="241" t="str">
        <f>(IF(AND(CX45&gt;0.2,CX45&lt;=0.4),CONCATENATE("Couvert vég. permanent important (",ROUND('Eval-Avant action écologique'!$T$296,0)," %)."),""))</f>
        <v/>
      </c>
      <c r="DR45" s="242" t="str">
        <f>(IF(AND(CX45&gt;0.4,CX45&lt;=0.6),CONCATENATE("Couvert vég. permanent assez important (",ROUND('Eval-Avant action écologique'!$T$296,0)," %)."),""))</f>
        <v/>
      </c>
      <c r="DS45" s="242" t="str">
        <f>(IF(AND(CX45&gt;0.6,CX45&lt;=0.8),CONCATENATE("Couvert vég. permanent assez réduit (",ROUND('Eval-Avant action écologique'!$T$296,0)," %)."),""))</f>
        <v/>
      </c>
      <c r="DT45" s="242" t="str">
        <f>(IF(AND(CX45&gt;0.8,CX45&lt;=1),CONCATENATE("Couvert vég. permanent très réduit (",ROUND('Eval-Avant action écologique'!$T$296,0)," %)."),""))</f>
        <v/>
      </c>
      <c r="DU45" s="218" t="str">
        <f>IF(LEN('Eval-Avant action écologique'!$T$107)=0,"",IF('Eval-Avant action écologique'!$T$107=0,"",IF(CX45="","Non renseigné. Pas de zone tampon.","")))</f>
        <v/>
      </c>
      <c r="DV45" s="243" t="str">
        <f t="shared" si="27"/>
        <v/>
      </c>
      <c r="DW45" s="244" t="str">
        <f>DH45</f>
        <v/>
      </c>
      <c r="DX45" s="245"/>
      <c r="DY45" s="247" t="s">
        <v>124</v>
      </c>
      <c r="DZ45" s="234" t="s">
        <v>186</v>
      </c>
      <c r="EA45" s="235" t="s">
        <v>125</v>
      </c>
      <c r="EB45" s="236"/>
      <c r="EC45" s="237"/>
      <c r="ED45" s="238" t="str">
        <f>IF(LEN('Eval-Avec act. écol. envisagée'!$T$107)=0,"",IF('Eval-Avec act. écol. envisagée'!$T$107=0,0,IF(OR('Eval-Avec act. écol. envisagée'!$T$292=0,COUNTA('Eval-Avec act. écol. envisagée'!$T$296)=0),"",1-'Eval-Avec act. écol. envisagée'!$T$296/100)))</f>
        <v/>
      </c>
      <c r="EE45" s="238" t="str">
        <f>IF(LEN('Eval-Avec act. écol. envisagée'!$T$107)=0,"",IF('Eval-Avec act. écol. envisagée'!$T$107=0,0,IF(OR('Eval-Avec act. écol. envisagée'!$T$292=0,COUNTA('Eval-Avec act. écol. envisagée'!$T$296)=0),"",1-'Eval-Avec act. écol. envisagée'!$T$296/100)))</f>
        <v/>
      </c>
      <c r="EF45" s="238" t="str">
        <f>IF(LEN('Eval-Avec act. écol. envisagée'!$T$107)=0,"",IF('Eval-Avec act. écol. envisagée'!$T$107=0,0,IF(OR('Eval-Avec act. écol. envisagée'!$T$292=0,COUNTA('Eval-Avec act. écol. envisagée'!$T$296)=0),"",1-'Eval-Avec act. écol. envisagée'!$T$296/100)))</f>
        <v/>
      </c>
      <c r="EG45" s="238" t="str">
        <f>IF(LEN('Eval-Avec act. écol. envisagée'!$T$107)=0,"",IF('Eval-Avec act. écol. envisagée'!$T$107=0,0,IF(OR('Eval-Avec act. écol. envisagée'!$T$292=0,COUNTA('Eval-Avec act. écol. envisagée'!$T$296)=0),"",1-'Eval-Avec act. écol. envisagée'!$T$296/100)))</f>
        <v/>
      </c>
      <c r="EH45" s="238" t="str">
        <f>IF(LEN('Eval-Avec act. écol. envisagée'!$T$107)=0,"",IF('Eval-Avec act. écol. envisagée'!$T$107=0,0,IF(OR('Eval-Avec act. écol. envisagée'!$T$292=0,COUNTA('Eval-Avec act. écol. envisagée'!$T$296)=0),"",1-'Eval-Avec act. écol. envisagée'!$T$296/100)))</f>
        <v/>
      </c>
      <c r="EI45" s="237"/>
      <c r="EJ45" s="237"/>
      <c r="EK45" s="239"/>
      <c r="EL45" s="236"/>
      <c r="EM45" s="237"/>
      <c r="EN45" s="238" t="str">
        <f>IF(ED45="","",ED45*'Eval-Avec act. écol. envisagée'!$T$292)</f>
        <v/>
      </c>
      <c r="EO45" s="238" t="str">
        <f>IF(ED45="","",ED45*'Eval-Avec act. écol. envisagée'!$T$292)</f>
        <v/>
      </c>
      <c r="EP45" s="238" t="str">
        <f>IF(ED45="","",ED45*'Eval-Avec act. écol. envisagée'!$T$292)</f>
        <v/>
      </c>
      <c r="EQ45" s="238" t="str">
        <f>IF(ED45="","",ED45*'Eval-Avec act. écol. envisagée'!$T$292)</f>
        <v/>
      </c>
      <c r="ER45" s="238" t="str">
        <f>IF(ED45="","",ED45*'Eval-Avec act. écol. envisagée'!$T$292)</f>
        <v/>
      </c>
      <c r="ES45" s="237"/>
      <c r="ET45" s="237"/>
      <c r="EU45" s="239"/>
      <c r="EV45" s="240" t="str">
        <f>IF(LEN('Eval-Avec act. écol. envisagée'!$T$107)=0,"",IF('Eval-Avec act. écol. envisagée'!$T$107=0,"Site détruit (0 ha).",CONCATENATE((IF(ED45=0,"Couvert vég. permanent intégral.","")),(IF(AND(ED45&lt;=0.2,ED45&gt;0),CONCATENATE("Couvert vég. permanent très important (",ROUND('Eval-Avec act. écol. envisagée'!$T$296,0)," %).",),"")))))</f>
        <v/>
      </c>
      <c r="EW45" s="241" t="str">
        <f>(IF(AND(ED45&gt;0.2,ED45&lt;=0.4),CONCATENATE("Couvert vég. permanent important (",ROUND('Eval-Avec act. écol. envisagée'!$T$296,0)," %)."),""))</f>
        <v/>
      </c>
      <c r="EX45" s="242" t="str">
        <f>(IF(AND(ED45&gt;0.4,ED45&lt;=0.6),CONCATENATE("Couvert vég. permanent assez important (",ROUND('Eval-Avec act. écol. envisagée'!$T$296,0)," %)."),""))</f>
        <v/>
      </c>
      <c r="EY45" s="242" t="str">
        <f>(IF(AND(ED45&gt;0.6,ED45&lt;=0.8),CONCATENATE("Couvert vég. permanent assez réduit (",ROUND('Eval-Avec act. écol. envisagée'!$T$296,0)," %)."),""))</f>
        <v/>
      </c>
      <c r="EZ45" s="242" t="str">
        <f>(IF(AND(ED45&gt;0.8,ED45&lt;=1),CONCATENATE("Couvert vég. permanent très réduit (",ROUND('Eval-Avec act. écol. envisagée'!$T$296,0)," %)."),""))</f>
        <v/>
      </c>
      <c r="FA45" s="218" t="str">
        <f>IF(LEN('Eval-Avec act. écol. envisagée'!$T$107)=0,"",IF('Eval-Avec act. écol. envisagée'!$T$107=0,"",IF(ED45="","Non renseigné. Pas de zone tampon.","")))</f>
        <v/>
      </c>
      <c r="FB45" s="243" t="str">
        <f t="shared" si="28"/>
        <v/>
      </c>
      <c r="FC45" s="244" t="str">
        <f>EN45</f>
        <v/>
      </c>
      <c r="FD45" s="245"/>
      <c r="FE45" s="247" t="s">
        <v>124</v>
      </c>
      <c r="FF45" s="234" t="s">
        <v>186</v>
      </c>
      <c r="FG45" s="235" t="s">
        <v>125</v>
      </c>
      <c r="FH45" s="236"/>
      <c r="FI45" s="237"/>
      <c r="FJ45" s="238" t="str">
        <f>IF(LEN('Eval-Après action écologique'!$T$107)=0,"",IF('Eval-Après action écologique'!$T$107=0,0,IF(OR('Eval-Après action écologique'!$T$292=0,COUNTA('Eval-Après action écologique'!$T$296)=0),"",1-'Eval-Après action écologique'!$T$296/100)))</f>
        <v/>
      </c>
      <c r="FK45" s="238" t="str">
        <f>IF(LEN('Eval-Après action écologique'!$T$107)=0,"",IF('Eval-Après action écologique'!$T$107=0,0,IF(OR('Eval-Après action écologique'!$T$292=0,COUNTA('Eval-Après action écologique'!$T$296)=0),"",1-'Eval-Après action écologique'!$T$296/100)))</f>
        <v/>
      </c>
      <c r="FL45" s="238" t="str">
        <f>IF(LEN('Eval-Après action écologique'!$T$107)=0,"",IF('Eval-Après action écologique'!$T$107=0,0,IF(OR('Eval-Après action écologique'!$T$292=0,COUNTA('Eval-Après action écologique'!$T$296)=0),"",1-'Eval-Après action écologique'!$T$296/100)))</f>
        <v/>
      </c>
      <c r="FM45" s="238" t="str">
        <f>IF(LEN('Eval-Après action écologique'!$T$107)=0,"",IF('Eval-Après action écologique'!$T$107=0,0,IF(OR('Eval-Après action écologique'!$T$292=0,COUNTA('Eval-Après action écologique'!$T$296)=0),"",1-'Eval-Après action écologique'!$T$296/100)))</f>
        <v/>
      </c>
      <c r="FN45" s="238" t="str">
        <f>IF(LEN('Eval-Après action écologique'!$T$107)=0,"",IF('Eval-Après action écologique'!$T$107=0,0,IF(OR('Eval-Après action écologique'!$T$292=0,COUNTA('Eval-Après action écologique'!$T$296)=0),"",1-'Eval-Après action écologique'!$T$296/100)))</f>
        <v/>
      </c>
      <c r="FO45" s="237"/>
      <c r="FP45" s="237"/>
      <c r="FQ45" s="239"/>
      <c r="FR45" s="236"/>
      <c r="FS45" s="237"/>
      <c r="FT45" s="238" t="str">
        <f>IF(FJ45="","",FJ45*'Eval-Après action écologique'!$T$292)</f>
        <v/>
      </c>
      <c r="FU45" s="238" t="str">
        <f>IF(FJ45="","",FJ45*'Eval-Après action écologique'!$T$292)</f>
        <v/>
      </c>
      <c r="FV45" s="238" t="str">
        <f>IF(FJ45="","",FJ45*'Eval-Après action écologique'!$T$292)</f>
        <v/>
      </c>
      <c r="FW45" s="238" t="str">
        <f>IF(FJ45="","",FJ45*'Eval-Après action écologique'!$T$292)</f>
        <v/>
      </c>
      <c r="FX45" s="238" t="str">
        <f>IF(FJ45="","",FJ45*'Eval-Après action écologique'!$T$292)</f>
        <v/>
      </c>
      <c r="FY45" s="237"/>
      <c r="FZ45" s="237"/>
      <c r="GA45" s="239"/>
      <c r="GB45" s="240" t="str">
        <f>IF(LEN('Eval-Après action écologique'!$T$107)=0,"",IF('Eval-Après action écologique'!$T$107=0,"Site détruit (0 ha).",CONCATENATE((IF(FJ45=0,"Couvert vég. permanent intégral.","")),(IF(AND(FJ45&lt;=0.2,FJ45&gt;0),CONCATENATE("Couvert vég. permanent très important (",ROUND('Eval-Après action écologique'!$T$296,0)," %).",),"")))))</f>
        <v/>
      </c>
      <c r="GC45" s="241" t="str">
        <f>(IF(AND(FJ45&gt;0.2,FJ45&lt;=0.4),CONCATENATE("Couvert vég. permanent important (",ROUND('Eval-Après action écologique'!$T$296,0)," %)."),""))</f>
        <v/>
      </c>
      <c r="GD45" s="242" t="str">
        <f>(IF(AND(FJ45&gt;0.4,FJ45&lt;=0.6),CONCATENATE("Couvert vég. permanent assez important (",ROUND('Eval-Après action écologique'!$T$296,0)," %)."),""))</f>
        <v/>
      </c>
      <c r="GE45" s="242" t="str">
        <f>(IF(AND(FJ45&gt;0.6,FJ45&lt;=0.8),CONCATENATE("Couvert vég. permanent assez réduit (",ROUND('Eval-Après action écologique'!$T$296,0)," %)."),""))</f>
        <v/>
      </c>
      <c r="GF45" s="242" t="str">
        <f>(IF(AND(FJ45&gt;0.8,FJ45&lt;=1),CONCATENATE("Couvert vég. permanent très réduit (",ROUND('Eval-Après action écologique'!$T$296,0)," %)."),""))</f>
        <v/>
      </c>
      <c r="GG45" s="218" t="str">
        <f>IF(LEN('Eval-Après action écologique'!$T$107)=0,"",IF('Eval-Après action écologique'!$T$107=0,"",IF(FJ45="","Non renseigné. Pas de zone tampon.","")))</f>
        <v/>
      </c>
      <c r="GH45" s="243" t="str">
        <f t="shared" si="29"/>
        <v/>
      </c>
      <c r="GI45" s="244" t="str">
        <f>FT45</f>
        <v/>
      </c>
    </row>
    <row r="46" spans="1:191" ht="31.5" customHeight="1" x14ac:dyDescent="0.2">
      <c r="A46" s="1138" t="s">
        <v>126</v>
      </c>
      <c r="B46" s="234" t="s">
        <v>127</v>
      </c>
      <c r="C46" s="235" t="s">
        <v>127</v>
      </c>
      <c r="D46" s="243" t="str">
        <f>IF(LEN('Eval-Avant impact'!$T$107)=0,"",IF('Eval-Avant impact'!$T$107=0,0,IF(COUNTA('Eval-Avant impact'!$T$503,'Eval-Avant impact'!$T$504)=2,IF('Eval-Avant impact'!$J$121="X",IF('Eval-Avant impact'!$T$503/('Eval-Avant impact'!$T$504*2)&gt;1,1,'Eval-Avant impact'!$T$503/('Eval-Avant impact'!$T$504*2)),""),"")))</f>
        <v/>
      </c>
      <c r="E46" s="237"/>
      <c r="F46" s="238" t="str">
        <f>IF(LEN('Eval-Avant impact'!$T$107)=0,"",IF('Eval-Avant impact'!$T$107=0,0,IF(COUNTA('Eval-Avant impact'!$T$503,'Eval-Avant impact'!$T$504)=2,IF('Eval-Avant impact'!$J$121="X",IF('Eval-Avant impact'!$T$503/('Eval-Avant impact'!$T$504*2)&gt;1,1,'Eval-Avant impact'!$T$503/('Eval-Avant impact'!$T$504*2)),""),"")))</f>
        <v/>
      </c>
      <c r="G46" s="237"/>
      <c r="H46" s="237"/>
      <c r="I46" s="237"/>
      <c r="J46" s="237"/>
      <c r="K46" s="237"/>
      <c r="L46" s="237"/>
      <c r="M46" s="239"/>
      <c r="N46" s="236"/>
      <c r="O46" s="237"/>
      <c r="P46" s="237"/>
      <c r="Q46" s="237"/>
      <c r="R46" s="237"/>
      <c r="S46" s="237"/>
      <c r="T46" s="237"/>
      <c r="U46" s="237"/>
      <c r="V46" s="237"/>
      <c r="W46" s="239"/>
      <c r="X46" s="240" t="str">
        <f>IF(LEN('Eval-Avant impact'!$T$107)=0,"",IF('Eval-Avant impact'!$T$107=0,"Site détruit (0 ha).",IF(AND(D46&gt;0,D46&lt;=0.525),CONCATENATE("Cours d’eau rectiligne ","(coef. sin.=",ROUND('Eval-Avant impact'!$T$503/'Eval-Avant impact'!$T$504,2),")."),"")))</f>
        <v/>
      </c>
      <c r="Y46" s="248"/>
      <c r="Z46" s="242" t="str">
        <f>IF(AND(D46&gt;0.525,D46&lt;=0.625 ),CONCATENATE("Cours d’eau sinueux ","(coef. sin.=",ROUND('Eval-Avant impact'!$T$503/'Eval-Avant impact'!$T$504,2),")."),"")</f>
        <v/>
      </c>
      <c r="AA46" s="242" t="str">
        <f>IF(AND(D46&gt;0.625,D46&lt;=0.75 ),CONCATENATE("Cours d’eau très sinueux ","(coef. sin.=",ROUND('Eval-Avant impact'!$T$503/'Eval-Avant impact'!$T$504,2),")."),"")</f>
        <v/>
      </c>
      <c r="AB46" s="242" t="str">
        <f>IF(AND(D46&lt;=1,D46&gt;0.75),CONCATENATE("Cours d’eau méandriforme ","(coef. sin.=",ROUND('Eval-Avant impact'!$T$503/'Eval-Avant impact'!$T$504,2),")."),"")</f>
        <v/>
      </c>
      <c r="AC46" s="218" t="str">
        <f>IF(LEN('Eval-Avant impact'!$T$107)=0,"",IF('Eval-Avant impact'!$T$107=0,"",IF('Eval-Avant impact'!$J$121="x","","Non renseigné. Site non alluvial.")))</f>
        <v/>
      </c>
      <c r="AD46" s="243" t="str">
        <f t="shared" si="24"/>
        <v/>
      </c>
      <c r="AE46" s="249"/>
      <c r="AF46" s="245"/>
      <c r="AG46" s="1138" t="s">
        <v>126</v>
      </c>
      <c r="AH46" s="234" t="s">
        <v>127</v>
      </c>
      <c r="AI46" s="235" t="s">
        <v>127</v>
      </c>
      <c r="AJ46" s="243" t="str">
        <f>IF(LEN('Eval-Avec impact envisagé'!$T$107)=0,"",IF('Eval-Avec impact envisagé'!$T$107=0,0,IF(COUNTA('Eval-Avec impact envisagé'!$T$503,'Eval-Avec impact envisagé'!$T$504)=2,IF('Eval-Avec impact envisagé'!$J$121="X",IF('Eval-Avec impact envisagé'!$T$503/('Eval-Avec impact envisagé'!$T$504*2)&gt;1,1,'Eval-Avec impact envisagé'!$T$503/('Eval-Avec impact envisagé'!$T$504*2)),""),"")))</f>
        <v/>
      </c>
      <c r="AK46" s="237"/>
      <c r="AL46" s="238" t="str">
        <f>IF(LEN('Eval-Avec impact envisagé'!$T$107)=0,"",IF('Eval-Avec impact envisagé'!$T$107=0,0,IF(COUNTA('Eval-Avec impact envisagé'!$T$503,'Eval-Avec impact envisagé'!$T$504)=2,IF('Eval-Avec impact envisagé'!$J$121="X",IF('Eval-Avec impact envisagé'!$T$503/('Eval-Avec impact envisagé'!$T$504*2)&gt;1,1,'Eval-Avec impact envisagé'!$T$503/('Eval-Avec impact envisagé'!$T$504*2)),""),"")))</f>
        <v/>
      </c>
      <c r="AM46" s="237"/>
      <c r="AN46" s="237"/>
      <c r="AO46" s="237"/>
      <c r="AP46" s="237"/>
      <c r="AQ46" s="237"/>
      <c r="AR46" s="237"/>
      <c r="AS46" s="239"/>
      <c r="AT46" s="236"/>
      <c r="AU46" s="237"/>
      <c r="AV46" s="237"/>
      <c r="AW46" s="237"/>
      <c r="AX46" s="237"/>
      <c r="AY46" s="237"/>
      <c r="AZ46" s="237"/>
      <c r="BA46" s="237"/>
      <c r="BB46" s="237"/>
      <c r="BC46" s="239"/>
      <c r="BD46" s="240" t="str">
        <f>IF(LEN('Eval-Avec impact envisagé'!$T$107)=0,"",IF('Eval-Avec impact envisagé'!$T$107=0,"Site détruit (0 ha).",IF(AND(AJ46&gt;0,AJ46&lt;=0.525),CONCATENATE("Cours d’eau rectiligne ","(coef. sin.=",ROUND('Eval-Avec impact envisagé'!$T$503/'Eval-Avec impact envisagé'!$T$504,2),")."),"")))</f>
        <v/>
      </c>
      <c r="BE46" s="248"/>
      <c r="BF46" s="242" t="str">
        <f>IF(AND(AJ46&gt;0.525,AJ46&lt;=0.625 ),CONCATENATE("Cours d’eau sinueux ","(coef. sin.=",ROUND('Eval-Avec impact envisagé'!$T$503/'Eval-Avec impact envisagé'!$T$504,2),")."),"")</f>
        <v/>
      </c>
      <c r="BG46" s="242" t="str">
        <f>IF(AND(AJ46&gt;0.625,AJ46&lt;=0.75 ),CONCATENATE("Cours d’eau très sinueux ","(coef. sin.=",ROUND('Eval-Avec impact envisagé'!$T$503/'Eval-Avec impact envisagé'!$T$504,2),")."),"")</f>
        <v/>
      </c>
      <c r="BH46" s="242" t="str">
        <f>IF(AND(AJ46&lt;=1,AJ46&gt;0.75),CONCATENATE("Cours d’eau méandriforme ","(coef. sin.=",ROUND('Eval-Avec impact envisagé'!$T$503/'Eval-Avec impact envisagé'!$T$504,2),")."),"")</f>
        <v/>
      </c>
      <c r="BI46" s="218" t="str">
        <f>IF(LEN('Eval-Avec impact envisagé'!$T$107)=0,"",IF('Eval-Avec impact envisagé'!$T$107=0,"",IF('Eval-Avec impact envisagé'!$J$121="x","","Non renseigné. Site non alluvial.")))</f>
        <v/>
      </c>
      <c r="BJ46" s="243" t="str">
        <f t="shared" si="25"/>
        <v/>
      </c>
      <c r="BK46" s="249"/>
      <c r="BL46" s="245"/>
      <c r="BM46" s="1138" t="s">
        <v>126</v>
      </c>
      <c r="BN46" s="234" t="s">
        <v>127</v>
      </c>
      <c r="BO46" s="235" t="s">
        <v>127</v>
      </c>
      <c r="BP46" s="243" t="str">
        <f>IF(LEN('Eval-Après impact'!$T$107)=0,"",IF('Eval-Après impact'!$T$107=0,0,IF(COUNTA('Eval-Après impact'!$T$503,'Eval-Après impact'!$T$504)=2,IF('Eval-Après impact'!$J$121="X",IF('Eval-Après impact'!$T$503/('Eval-Après impact'!$T$504*2)&gt;1,1,'Eval-Après impact'!$T$503/('Eval-Après impact'!$T$504*2)),""),"")))</f>
        <v/>
      </c>
      <c r="BQ46" s="237"/>
      <c r="BR46" s="238" t="str">
        <f>IF(LEN('Eval-Après impact'!$T$107)=0,"",IF('Eval-Après impact'!$T$107=0,0,IF(COUNTA('Eval-Après impact'!$T$503,'Eval-Après impact'!$T$504)=2,IF('Eval-Après impact'!$J$121="X",IF('Eval-Après impact'!$T$503/('Eval-Après impact'!$T$504*2)&gt;1,1,'Eval-Après impact'!$T$503/('Eval-Après impact'!$T$504*2)),""),"")))</f>
        <v/>
      </c>
      <c r="BS46" s="237"/>
      <c r="BT46" s="237"/>
      <c r="BU46" s="237"/>
      <c r="BV46" s="237"/>
      <c r="BW46" s="237"/>
      <c r="BX46" s="237"/>
      <c r="BY46" s="239"/>
      <c r="BZ46" s="236"/>
      <c r="CA46" s="237"/>
      <c r="CB46" s="237"/>
      <c r="CC46" s="237"/>
      <c r="CD46" s="237"/>
      <c r="CE46" s="237"/>
      <c r="CF46" s="237"/>
      <c r="CG46" s="237"/>
      <c r="CH46" s="237"/>
      <c r="CI46" s="239"/>
      <c r="CJ46" s="240" t="str">
        <f>IF(LEN('Eval-Après impact'!$T$107)=0,"",IF('Eval-Après impact'!$T$107=0,"Site détruit (0 ha).",IF(AND(BP46&gt;0,BP46&lt;=0.525),CONCATENATE("Cours d’eau rectiligne ","(coef. sin.=",ROUND('Eval-Après impact'!$T$503/'Eval-Après impact'!$T$504,2),")."),"")))</f>
        <v/>
      </c>
      <c r="CK46" s="248"/>
      <c r="CL46" s="242" t="str">
        <f>IF(AND(BP46&gt;0.525,BP46&lt;=0.625 ),CONCATENATE("Cours d’eau sinueux ","(coef. sin.=",ROUND('Eval-Après impact'!$T$503/'Eval-Après impact'!$T$504,2),")."),"")</f>
        <v/>
      </c>
      <c r="CM46" s="242" t="str">
        <f>IF(AND(BP46&gt;0.625,BP46&lt;=0.75 ),CONCATENATE("Cours d’eau très sinueux ","(coef. sin.=",ROUND('Eval-Après impact'!$T$503/'Eval-Après impact'!$T$504,2),")."),"")</f>
        <v/>
      </c>
      <c r="CN46" s="242" t="str">
        <f>IF(AND(BP46&lt;=1,BP46&gt;0.75),CONCATENATE("Cours d’eau méandriforme ","(coef. sin.=",ROUND('Eval-Après impact'!$T$503/'Eval-Après impact'!$T$504,2),")."),"")</f>
        <v/>
      </c>
      <c r="CO46" s="218" t="str">
        <f>IF(LEN('Eval-Après impact'!$T$107)=0,"",IF('Eval-Après impact'!$T$107=0,"",IF('Eval-Après impact'!$J$121="x","","Non renseigné. Site non alluvial.")))</f>
        <v/>
      </c>
      <c r="CP46" s="243" t="str">
        <f t="shared" si="26"/>
        <v/>
      </c>
      <c r="CQ46" s="249"/>
      <c r="CR46" s="245"/>
      <c r="CS46" s="1138" t="s">
        <v>126</v>
      </c>
      <c r="CT46" s="234" t="s">
        <v>127</v>
      </c>
      <c r="CU46" s="235" t="s">
        <v>127</v>
      </c>
      <c r="CV46" s="243" t="str">
        <f>IF(LEN('Eval-Avant action écologique'!$T$107)=0,"",IF('Eval-Avant action écologique'!$T$107=0,0,IF(COUNTA('Eval-Avant action écologique'!$T$503,'Eval-Avant action écologique'!$T$504)=2,IF('Eval-Avant action écologique'!$J$121="X",IF('Eval-Avant action écologique'!$T$503/('Eval-Avant action écologique'!$T$504*2)&gt;1,1,'Eval-Avant action écologique'!$T$503/('Eval-Avant action écologique'!$T$504*2)),""),"")))</f>
        <v/>
      </c>
      <c r="CW46" s="237"/>
      <c r="CX46" s="238" t="str">
        <f>IF(LEN('Eval-Avant action écologique'!$T$107)=0,"",IF('Eval-Avant action écologique'!$T$107=0,0,IF(COUNTA('Eval-Avant action écologique'!$T$503,'Eval-Avant action écologique'!$T$504)=2,IF('Eval-Avant action écologique'!$J$121="X",IF('Eval-Avant action écologique'!$T$503/('Eval-Avant action écologique'!$T$504*2)&gt;1,1,'Eval-Avant action écologique'!$T$503/('Eval-Avant action écologique'!$T$504*2)),""),"")))</f>
        <v/>
      </c>
      <c r="CY46" s="237"/>
      <c r="CZ46" s="237"/>
      <c r="DA46" s="237"/>
      <c r="DB46" s="237"/>
      <c r="DC46" s="237"/>
      <c r="DD46" s="237"/>
      <c r="DE46" s="239"/>
      <c r="DF46" s="236"/>
      <c r="DG46" s="237"/>
      <c r="DH46" s="237"/>
      <c r="DI46" s="237"/>
      <c r="DJ46" s="237"/>
      <c r="DK46" s="237"/>
      <c r="DL46" s="237"/>
      <c r="DM46" s="237"/>
      <c r="DN46" s="237"/>
      <c r="DO46" s="239"/>
      <c r="DP46" s="240" t="str">
        <f>IF(LEN('Eval-Avant action écologique'!$T$107)=0,"",IF('Eval-Avant action écologique'!$T$107=0,"Site détruit (0 ha).",IF(AND(CV46&gt;0,CV46&lt;=0.525),CONCATENATE("Cours d’eau rectiligne ","(coef. sin.=",ROUND('Eval-Avant action écologique'!$T$503/'Eval-Avant action écologique'!$T$504,2),")."),"")))</f>
        <v/>
      </c>
      <c r="DQ46" s="248"/>
      <c r="DR46" s="242" t="str">
        <f>IF(AND(CV46&gt;0.525,CV46&lt;=0.625 ),CONCATENATE("Cours d’eau sinueux ","(coef. sin.=",ROUND('Eval-Avant action écologique'!$T$503/'Eval-Avant action écologique'!$T$504,2),")."),"")</f>
        <v/>
      </c>
      <c r="DS46" s="242" t="str">
        <f>IF(AND(CV46&gt;0.625,CV46&lt;=0.75 ),CONCATENATE("Cours d’eau très sinueux ","(coef. sin.=",ROUND('Eval-Avant action écologique'!$T$503/'Eval-Avant action écologique'!$T$504,2),")."),"")</f>
        <v/>
      </c>
      <c r="DT46" s="242" t="str">
        <f>IF(AND(CV46&lt;=1,CV46&gt;0.75),CONCATENATE("Cours d’eau méandriforme ","(coef. sin.=",ROUND('Eval-Avant action écologique'!$T$503/'Eval-Avant action écologique'!$T$504,2),")."),"")</f>
        <v/>
      </c>
      <c r="DU46" s="218" t="str">
        <f>IF(LEN('Eval-Avant action écologique'!$T$107)=0,"",IF('Eval-Avant action écologique'!$T$107=0,"",IF('Eval-Avant action écologique'!$J$121="x","","Non renseigné. Site non alluvial.")))</f>
        <v/>
      </c>
      <c r="DV46" s="243" t="str">
        <f t="shared" si="27"/>
        <v/>
      </c>
      <c r="DW46" s="249"/>
      <c r="DX46" s="245"/>
      <c r="DY46" s="1138" t="s">
        <v>126</v>
      </c>
      <c r="DZ46" s="234" t="s">
        <v>127</v>
      </c>
      <c r="EA46" s="235" t="s">
        <v>127</v>
      </c>
      <c r="EB46" s="243" t="str">
        <f>IF(LEN('Eval-Avec act. écol. envisagée'!$T$107)=0,"",IF('Eval-Avec act. écol. envisagée'!$T$107=0,0,IF(COUNTA('Eval-Avec act. écol. envisagée'!$T$503,'Eval-Avec act. écol. envisagée'!$T$504)=2,IF('Eval-Avec act. écol. envisagée'!$J$121="X",IF('Eval-Avec act. écol. envisagée'!$T$503/('Eval-Avec act. écol. envisagée'!$T$504*2)&gt;1,1,'Eval-Avec act. écol. envisagée'!$T$503/('Eval-Avec act. écol. envisagée'!$T$504*2)),""),"")))</f>
        <v/>
      </c>
      <c r="EC46" s="237"/>
      <c r="ED46" s="238" t="str">
        <f>IF(LEN('Eval-Avec act. écol. envisagée'!$T$107)=0,"",IF('Eval-Avec act. écol. envisagée'!$T$107=0,0,IF(COUNTA('Eval-Avec act. écol. envisagée'!$T$503,'Eval-Avec act. écol. envisagée'!$T$504)=2,IF('Eval-Avec act. écol. envisagée'!$J$121="X",IF('Eval-Avec act. écol. envisagée'!$T$503/('Eval-Avec act. écol. envisagée'!$T$504*2)&gt;1,1,'Eval-Avec act. écol. envisagée'!$T$503/('Eval-Avec act. écol. envisagée'!$T$504*2)),""),"")))</f>
        <v/>
      </c>
      <c r="EE46" s="237"/>
      <c r="EF46" s="237"/>
      <c r="EG46" s="237"/>
      <c r="EH46" s="237"/>
      <c r="EI46" s="237"/>
      <c r="EJ46" s="237"/>
      <c r="EK46" s="239"/>
      <c r="EL46" s="236"/>
      <c r="EM46" s="237"/>
      <c r="EN46" s="237"/>
      <c r="EO46" s="237"/>
      <c r="EP46" s="237"/>
      <c r="EQ46" s="237"/>
      <c r="ER46" s="237"/>
      <c r="ES46" s="237"/>
      <c r="ET46" s="237"/>
      <c r="EU46" s="239"/>
      <c r="EV46" s="240" t="str">
        <f>IF(LEN('Eval-Avec act. écol. envisagée'!$T$107)=0,"",IF('Eval-Avec act. écol. envisagée'!$T$107=0,"Site détruit (0 ha).",IF(AND(EB46&gt;0,EB46&lt;=0.525),CONCATENATE("Cours d’eau rectiligne ","(coef. sin.=",ROUND('Eval-Avec act. écol. envisagée'!$T$503/'Eval-Avec act. écol. envisagée'!$T$504,2),")."),"")))</f>
        <v/>
      </c>
      <c r="EW46" s="248"/>
      <c r="EX46" s="242" t="str">
        <f>IF(AND(EB46&gt;0.525,EB46&lt;=0.625 ),CONCATENATE("Cours d’eau sinueux ","(coef. sin.=",ROUND('Eval-Avec act. écol. envisagée'!$T$503/'Eval-Avec act. écol. envisagée'!$T$504,2),")."),"")</f>
        <v/>
      </c>
      <c r="EY46" s="242" t="str">
        <f>IF(AND(EB46&gt;0.625,EB46&lt;=0.75 ),CONCATENATE("Cours d’eau très sinueux ","(coef. sin.=",ROUND('Eval-Avec act. écol. envisagée'!$T$503/'Eval-Avec act. écol. envisagée'!$T$504,2),")."),"")</f>
        <v/>
      </c>
      <c r="EZ46" s="242" t="str">
        <f>IF(AND(EB46&lt;=1,EB46&gt;0.75),CONCATENATE("Cours d’eau méandriforme ","(coef. sin.=",ROUND('Eval-Avec act. écol. envisagée'!$T$503/'Eval-Avec act. écol. envisagée'!$T$504,2),")."),"")</f>
        <v/>
      </c>
      <c r="FA46" s="218" t="str">
        <f>IF(LEN('Eval-Avec act. écol. envisagée'!$T$107)=0,"",IF('Eval-Avec act. écol. envisagée'!$T$107=0,"",IF('Eval-Avec act. écol. envisagée'!$J$121="x","","Non renseigné. Site non alluvial.")))</f>
        <v/>
      </c>
      <c r="FB46" s="243" t="str">
        <f t="shared" si="28"/>
        <v/>
      </c>
      <c r="FC46" s="249"/>
      <c r="FD46" s="245"/>
      <c r="FE46" s="1138" t="s">
        <v>126</v>
      </c>
      <c r="FF46" s="234" t="s">
        <v>127</v>
      </c>
      <c r="FG46" s="235" t="s">
        <v>127</v>
      </c>
      <c r="FH46" s="243" t="str">
        <f>IF(LEN('Eval-Après action écologique'!$T$107)=0,"",IF('Eval-Après action écologique'!$T$107=0,0,IF(COUNTA('Eval-Après action écologique'!$T$503,'Eval-Après action écologique'!$T$504)=2,IF('Eval-Après action écologique'!$J$121="X",IF('Eval-Après action écologique'!$T$503/('Eval-Après action écologique'!$T$504*2)&gt;1,1,'Eval-Après action écologique'!$T$503/('Eval-Après action écologique'!$T$504*2)),""),"")))</f>
        <v/>
      </c>
      <c r="FI46" s="237"/>
      <c r="FJ46" s="238" t="str">
        <f>IF(LEN('Eval-Après action écologique'!$T$107)=0,"",IF('Eval-Après action écologique'!$T$107=0,0,IF(COUNTA('Eval-Après action écologique'!$T$503,'Eval-Après action écologique'!$T$504)=2,IF('Eval-Après action écologique'!$J$121="X",IF('Eval-Après action écologique'!$T$503/('Eval-Après action écologique'!$T$504*2)&gt;1,1,'Eval-Après action écologique'!$T$503/('Eval-Après action écologique'!$T$504*2)),""),"")))</f>
        <v/>
      </c>
      <c r="FK46" s="237"/>
      <c r="FL46" s="237"/>
      <c r="FM46" s="237"/>
      <c r="FN46" s="237"/>
      <c r="FO46" s="237"/>
      <c r="FP46" s="237"/>
      <c r="FQ46" s="239"/>
      <c r="FR46" s="236"/>
      <c r="FS46" s="237"/>
      <c r="FT46" s="237"/>
      <c r="FU46" s="237"/>
      <c r="FV46" s="237"/>
      <c r="FW46" s="237"/>
      <c r="FX46" s="237"/>
      <c r="FY46" s="237"/>
      <c r="FZ46" s="237"/>
      <c r="GA46" s="239"/>
      <c r="GB46" s="240" t="str">
        <f>IF(LEN('Eval-Après action écologique'!$T$107)=0,"",IF('Eval-Après action écologique'!$T$107=0,"Site détruit (0 ha).",IF(AND(FH46&gt;0,FH46&lt;=0.525),CONCATENATE("Cours d’eau rectiligne ","(coef. sin.=",ROUND('Eval-Après action écologique'!$T$503/'Eval-Après action écologique'!$T$504,2),")."),"")))</f>
        <v/>
      </c>
      <c r="GC46" s="248"/>
      <c r="GD46" s="242" t="str">
        <f>IF(AND(FH46&gt;0.525,FH46&lt;=0.625 ),CONCATENATE("Cours d’eau sinueux ","(coef. sin.=",ROUND('Eval-Après action écologique'!$T$503/'Eval-Après action écologique'!$T$504,2),")."),"")</f>
        <v/>
      </c>
      <c r="GE46" s="242" t="str">
        <f>IF(AND(FH46&gt;0.625,FH46&lt;=0.75 ),CONCATENATE("Cours d’eau très sinueux ","(coef. sin.=",ROUND('Eval-Après action écologique'!$T$503/'Eval-Après action écologique'!$T$504,2),")."),"")</f>
        <v/>
      </c>
      <c r="GF46" s="242" t="str">
        <f>IF(AND(FH46&lt;=1,FH46&gt;0.75),CONCATENATE("Cours d’eau méandriforme ","(coef. sin.=",ROUND('Eval-Après action écologique'!$T$503/'Eval-Après action écologique'!$T$504,2),")."),"")</f>
        <v/>
      </c>
      <c r="GG46" s="218" t="str">
        <f>IF(LEN('Eval-Après action écologique'!$T$107)=0,"",IF('Eval-Après action écologique'!$T$107=0,"",IF('Eval-Après action écologique'!$J$121="x","","Non renseigné. Site non alluvial.")))</f>
        <v/>
      </c>
      <c r="GH46" s="243" t="str">
        <f t="shared" si="29"/>
        <v/>
      </c>
      <c r="GI46" s="249"/>
    </row>
    <row r="47" spans="1:191" ht="31.5" customHeight="1" x14ac:dyDescent="0.2">
      <c r="A47" s="1138"/>
      <c r="B47" s="234" t="s">
        <v>128</v>
      </c>
      <c r="C47" s="235" t="s">
        <v>362</v>
      </c>
      <c r="D47" s="243" t="str">
        <f>IF(LEN('Eval-Avant impact'!$T$107)=0,"",IF('Eval-Avant impact'!$T$107=0,0,IF(COUNTA('Eval-Avant impact'!$T$498)=0,"",IF('Eval-Avant impact'!$J$121="X",IF('Eval-Avant impact'!$T$498&gt;=0.2,0,1-'Eval-Avant impact'!$T$498*5),""))))</f>
        <v/>
      </c>
      <c r="E47" s="237"/>
      <c r="F47" s="238" t="str">
        <f>IF(LEN('Eval-Avant impact'!$T$107)=0,"",IF('Eval-Avant impact'!$T$107=0,0,IF(COUNTA('Eval-Avant impact'!$T$498)=0,"",IF('Eval-Avant impact'!$J$121="X",IF('Eval-Avant impact'!$T$498&gt;=0.2,0,1-'Eval-Avant impact'!$T$498*5),""))))</f>
        <v/>
      </c>
      <c r="G47" s="237"/>
      <c r="H47" s="237"/>
      <c r="I47" s="237"/>
      <c r="J47" s="237"/>
      <c r="K47" s="237"/>
      <c r="L47" s="237"/>
      <c r="M47" s="239"/>
      <c r="N47" s="236"/>
      <c r="O47" s="237"/>
      <c r="P47" s="237"/>
      <c r="Q47" s="237"/>
      <c r="R47" s="237"/>
      <c r="S47" s="237"/>
      <c r="T47" s="237"/>
      <c r="U47" s="237"/>
      <c r="V47" s="237"/>
      <c r="W47" s="239"/>
      <c r="X47" s="240" t="str">
        <f>IF(LEN('Eval-Avant impact'!$T$107)=0,"",IF('Eval-Avant impact'!$T$107=0,"Site détruit (0 ha).",IF(AND(D47&gt;=0,D47&lt;=0.2),CONCATENATE("Site très éloigné du cours d'eau"," (distance moy.=",ROUND(1000*'Eval-Avant impact'!$T$498,0)," m)."),"")))</f>
        <v/>
      </c>
      <c r="Y47" s="241" t="str">
        <f>IF(AND(D47&gt;0.2,D47&lt;=0.4),CONCATENATE("Site assez éloigné du cours d'eau"," (distance moy.=",ROUND(1000*'Eval-Avant impact'!$T$498,0)," m)."),"")</f>
        <v/>
      </c>
      <c r="Z47" s="242" t="str">
        <f>IF(AND(D47&gt;0.4,D47&lt;=0.6),CONCATENATE("Site assez proche du cours d'eau"," (distance moy.=",ROUND(1000*'Eval-Avant impact'!$T$498,0)," m)."),"")</f>
        <v/>
      </c>
      <c r="AA47" s="242" t="str">
        <f>IF(AND(D47&gt;0.6,D47&lt;=0.8),CONCATENATE("Site proche du cours d'eau"," (distance moy.=",ROUND(1000*'Eval-Avant impact'!$T$498,0)," m)."),"")</f>
        <v/>
      </c>
      <c r="AB47" s="242" t="str">
        <f>IF(AND(D47&gt;0.8,D47&lt;=1),CONCATENATE("Site très proche du cours d'eau"," (distance moy.=",ROUND(1000*'Eval-Avant impact'!$T$498,0)," m)."),"")</f>
        <v/>
      </c>
      <c r="AC47" s="218" t="str">
        <f>IF(LEN('Eval-Avant impact'!$T$107)=0,"",IF('Eval-Avant impact'!$T$107=0,"",IF('Eval-Avant impact'!$J$121="x","","Non renseigné. Site non alluvial.")))</f>
        <v/>
      </c>
      <c r="AD47" s="243" t="str">
        <f t="shared" si="24"/>
        <v/>
      </c>
      <c r="AE47" s="249"/>
      <c r="AF47" s="245"/>
      <c r="AG47" s="1138"/>
      <c r="AH47" s="234" t="s">
        <v>128</v>
      </c>
      <c r="AI47" s="235" t="s">
        <v>362</v>
      </c>
      <c r="AJ47" s="243" t="str">
        <f>IF(LEN('Eval-Avec impact envisagé'!$T$107)=0,"",IF('Eval-Avec impact envisagé'!$T$107=0,0,IF(COUNTA('Eval-Avec impact envisagé'!$T$498)=0,"",IF('Eval-Avec impact envisagé'!$J$121="X",IF('Eval-Avec impact envisagé'!$T$498&gt;=0.2,0,1-'Eval-Avec impact envisagé'!$T$498*5),""))))</f>
        <v/>
      </c>
      <c r="AK47" s="237"/>
      <c r="AL47" s="238" t="str">
        <f>IF(LEN('Eval-Avec impact envisagé'!$T$107)=0,"",IF('Eval-Avec impact envisagé'!$T$107=0,0,IF(COUNTA('Eval-Avec impact envisagé'!$T$498)=0,"",IF('Eval-Avec impact envisagé'!$J$121="X",IF('Eval-Avec impact envisagé'!$T$498&gt;=0.2,0,1-'Eval-Avec impact envisagé'!$T$498*5),""))))</f>
        <v/>
      </c>
      <c r="AM47" s="237"/>
      <c r="AN47" s="237"/>
      <c r="AO47" s="237"/>
      <c r="AP47" s="237"/>
      <c r="AQ47" s="237"/>
      <c r="AR47" s="237"/>
      <c r="AS47" s="239"/>
      <c r="AT47" s="236"/>
      <c r="AU47" s="237"/>
      <c r="AV47" s="237"/>
      <c r="AW47" s="237"/>
      <c r="AX47" s="237"/>
      <c r="AY47" s="237"/>
      <c r="AZ47" s="237"/>
      <c r="BA47" s="237"/>
      <c r="BB47" s="237"/>
      <c r="BC47" s="239"/>
      <c r="BD47" s="240" t="str">
        <f>IF(LEN('Eval-Avec impact envisagé'!$T$107)=0,"",IF('Eval-Avec impact envisagé'!$T$107=0,"Site détruit (0 ha).",IF(AND(AJ47&gt;=0,AJ47&lt;=0.2),CONCATENATE("Site très éloigné du cours d'eau"," (distance moy.=",ROUND(1000*'Eval-Avec impact envisagé'!$T$498,0)," m)."),"")))</f>
        <v/>
      </c>
      <c r="BE47" s="241" t="str">
        <f>IF(AND(AJ47&gt;0.2,AJ47&lt;=0.4),CONCATENATE("Site assez éloigné du cours d'eau"," (distance moy.=",ROUND(1000*'Eval-Avec impact envisagé'!$T$498,0)," m)."),"")</f>
        <v/>
      </c>
      <c r="BF47" s="242" t="str">
        <f>IF(AND(AJ47&gt;0.4,AJ47&lt;=0.6),CONCATENATE("Site assez proche du cours d'eau"," (distance moy.=",ROUND(1000*'Eval-Avec impact envisagé'!$T$498,0)," m)."),"")</f>
        <v/>
      </c>
      <c r="BG47" s="242" t="str">
        <f>IF(AND(AJ47&gt;0.6,AJ47&lt;=0.8),CONCATENATE("Site proche du cours d'eau"," (distance moy.=",ROUND(1000*'Eval-Avec impact envisagé'!$T$498,0)," m)."),"")</f>
        <v/>
      </c>
      <c r="BH47" s="242" t="str">
        <f>IF(AND(AJ47&gt;0.8,AJ47&lt;=1),CONCATENATE("Site très proche du cours d'eau"," (distance moy.=",ROUND(1000*'Eval-Avec impact envisagé'!$T$498,0)," m)."),"")</f>
        <v/>
      </c>
      <c r="BI47" s="218" t="str">
        <f>IF(LEN('Eval-Avec impact envisagé'!$T$107)=0,"",IF('Eval-Avec impact envisagé'!$T$107=0,"",IF('Eval-Avec impact envisagé'!$J$121="x","","Non renseigné. Site non alluvial.")))</f>
        <v/>
      </c>
      <c r="BJ47" s="243" t="str">
        <f t="shared" si="25"/>
        <v/>
      </c>
      <c r="BK47" s="249"/>
      <c r="BL47" s="245"/>
      <c r="BM47" s="1138"/>
      <c r="BN47" s="234" t="s">
        <v>128</v>
      </c>
      <c r="BO47" s="235" t="s">
        <v>362</v>
      </c>
      <c r="BP47" s="243" t="str">
        <f>IF(LEN('Eval-Après impact'!$T$107)=0,"",IF('Eval-Après impact'!$T$107=0,0,IF(COUNTA('Eval-Après impact'!$T$498)=0,"",IF('Eval-Après impact'!$J$121="X",IF('Eval-Après impact'!$T$498&gt;=0.2,0,1-'Eval-Après impact'!$T$498*5),""))))</f>
        <v/>
      </c>
      <c r="BQ47" s="237"/>
      <c r="BR47" s="238" t="str">
        <f>IF(LEN('Eval-Après impact'!$T$107)=0,"",IF('Eval-Après impact'!$T$107=0,0,IF(COUNTA('Eval-Après impact'!$T$498)=0,"",IF('Eval-Après impact'!$J$121="X",IF('Eval-Après impact'!$T$498&gt;=0.2,0,1-'Eval-Après impact'!$T$498*5),""))))</f>
        <v/>
      </c>
      <c r="BS47" s="237"/>
      <c r="BT47" s="237"/>
      <c r="BU47" s="237"/>
      <c r="BV47" s="237"/>
      <c r="BW47" s="237"/>
      <c r="BX47" s="237"/>
      <c r="BY47" s="239"/>
      <c r="BZ47" s="236"/>
      <c r="CA47" s="237"/>
      <c r="CB47" s="237"/>
      <c r="CC47" s="237"/>
      <c r="CD47" s="237"/>
      <c r="CE47" s="237"/>
      <c r="CF47" s="237"/>
      <c r="CG47" s="237"/>
      <c r="CH47" s="237"/>
      <c r="CI47" s="239"/>
      <c r="CJ47" s="240" t="str">
        <f>IF(LEN('Eval-Après impact'!$T$107)=0,"",IF('Eval-Après impact'!$T$107=0,"Site détruit (0 ha).",IF(AND(BP47&gt;=0,BP47&lt;=0.2),CONCATENATE("Site très éloigné du cours d'eau"," (distance moy.=",ROUND(1000*'Eval-Après impact'!$T$498,0)," m)."),"")))</f>
        <v/>
      </c>
      <c r="CK47" s="241" t="str">
        <f>IF(AND(BP47&gt;0.2,BP47&lt;=0.4),CONCATENATE("Site assez éloigné du cours d'eau"," (distance moy.=",ROUND(1000*'Eval-Après impact'!$T$498,0)," m)."),"")</f>
        <v/>
      </c>
      <c r="CL47" s="242" t="str">
        <f>IF(AND(BP47&gt;0.4,BP47&lt;=0.6),CONCATENATE("Site assez proche du cours d'eau"," (distance moy.=",ROUND(1000*'Eval-Après impact'!$T$498,0)," m)."),"")</f>
        <v/>
      </c>
      <c r="CM47" s="242" t="str">
        <f>IF(AND(BP47&gt;0.6,BP47&lt;=0.8),CONCATENATE("Site proche du cours d'eau"," (distance moy.=",ROUND(1000*'Eval-Après impact'!$T$498,0)," m)."),"")</f>
        <v/>
      </c>
      <c r="CN47" s="242" t="str">
        <f>IF(AND(BP47&gt;0.8,BP47&lt;=1),CONCATENATE("Site très proche du cours d'eau"," (distance moy.=",ROUND(1000*'Eval-Après impact'!$T$498,0)," m)."),"")</f>
        <v/>
      </c>
      <c r="CO47" s="218" t="str">
        <f>IF(LEN('Eval-Après impact'!$T$107)=0,"",IF('Eval-Après impact'!$T$107=0,"",IF('Eval-Après impact'!$J$121="x","","Non renseigné. Site non alluvial.")))</f>
        <v/>
      </c>
      <c r="CP47" s="243" t="str">
        <f t="shared" si="26"/>
        <v/>
      </c>
      <c r="CQ47" s="249"/>
      <c r="CR47" s="245"/>
      <c r="CS47" s="1138"/>
      <c r="CT47" s="234" t="s">
        <v>128</v>
      </c>
      <c r="CU47" s="235" t="s">
        <v>362</v>
      </c>
      <c r="CV47" s="243" t="str">
        <f>IF(LEN('Eval-Avant action écologique'!$T$107)=0,"",IF('Eval-Avant action écologique'!$T$107=0,0,IF(COUNTA('Eval-Avant action écologique'!$T$498)=0,"",IF('Eval-Avant action écologique'!$J$121="X",IF('Eval-Avant action écologique'!$T$498&gt;=0.2,0,1-'Eval-Avant action écologique'!$T$498*5),""))))</f>
        <v/>
      </c>
      <c r="CW47" s="237"/>
      <c r="CX47" s="238" t="str">
        <f>IF(LEN('Eval-Avant action écologique'!$T$107)=0,"",IF('Eval-Avant action écologique'!$T$107=0,0,IF(COUNTA('Eval-Avant action écologique'!$T$498)=0,"",IF('Eval-Avant action écologique'!$J$121="X",IF('Eval-Avant action écologique'!$T$498&gt;=0.2,0,1-'Eval-Avant action écologique'!$T$498*5),""))))</f>
        <v/>
      </c>
      <c r="CY47" s="237"/>
      <c r="CZ47" s="237"/>
      <c r="DA47" s="237"/>
      <c r="DB47" s="237"/>
      <c r="DC47" s="237"/>
      <c r="DD47" s="237"/>
      <c r="DE47" s="239"/>
      <c r="DF47" s="236"/>
      <c r="DG47" s="237"/>
      <c r="DH47" s="237"/>
      <c r="DI47" s="237"/>
      <c r="DJ47" s="237"/>
      <c r="DK47" s="237"/>
      <c r="DL47" s="237"/>
      <c r="DM47" s="237"/>
      <c r="DN47" s="237"/>
      <c r="DO47" s="239"/>
      <c r="DP47" s="240" t="str">
        <f>IF(LEN('Eval-Avant action écologique'!$T$107)=0,"",IF('Eval-Avant action écologique'!$T$107=0,"Site détruit (0 ha).",IF(AND(CV47&gt;=0,CV47&lt;=0.2),CONCATENATE("Site très éloigné du cours d'eau"," (distance moy.=",ROUND(1000*'Eval-Avant action écologique'!$T$498,0)," m)."),"")))</f>
        <v/>
      </c>
      <c r="DQ47" s="241" t="str">
        <f>IF(AND(CV47&gt;0.2,CV47&lt;=0.4),CONCATENATE("Site assez éloigné du cours d'eau"," (distance moy.=",ROUND(1000*'Eval-Avant action écologique'!$T$498,0)," m)."),"")</f>
        <v/>
      </c>
      <c r="DR47" s="242" t="str">
        <f>IF(AND(CV47&gt;0.4,CV47&lt;=0.6),CONCATENATE("Site assez proche du cours d'eau"," (distance moy.=",ROUND(1000*'Eval-Avant action écologique'!$T$498,0)," m)."),"")</f>
        <v/>
      </c>
      <c r="DS47" s="242" t="str">
        <f>IF(AND(CV47&gt;0.6,CV47&lt;=0.8),CONCATENATE("Site proche du cours d'eau"," (distance moy.=",ROUND(1000*'Eval-Avant action écologique'!$T$498,0)," m)."),"")</f>
        <v/>
      </c>
      <c r="DT47" s="242" t="str">
        <f>IF(AND(CV47&gt;0.8,CV47&lt;=1),CONCATENATE("Site très proche du cours d'eau"," (distance moy.=",ROUND(1000*'Eval-Avant action écologique'!$T$498,0)," m)."),"")</f>
        <v/>
      </c>
      <c r="DU47" s="218" t="str">
        <f>IF(LEN('Eval-Avant action écologique'!$T$107)=0,"",IF('Eval-Avant action écologique'!$T$107=0,"",IF('Eval-Avant action écologique'!$J$121="x","","Non renseigné. Site non alluvial.")))</f>
        <v/>
      </c>
      <c r="DV47" s="243" t="str">
        <f t="shared" si="27"/>
        <v/>
      </c>
      <c r="DW47" s="249"/>
      <c r="DX47" s="245"/>
      <c r="DY47" s="1138"/>
      <c r="DZ47" s="234" t="s">
        <v>128</v>
      </c>
      <c r="EA47" s="235" t="s">
        <v>362</v>
      </c>
      <c r="EB47" s="243" t="str">
        <f>IF(LEN('Eval-Avec act. écol. envisagée'!$T$107)=0,"",IF('Eval-Avec act. écol. envisagée'!$T$107=0,0,IF(COUNTA('Eval-Avec act. écol. envisagée'!$T$498)=0,"",IF('Eval-Avec act. écol. envisagée'!$J$121="X",IF('Eval-Avec act. écol. envisagée'!$T$498&gt;=0.2,0,1-'Eval-Avec act. écol. envisagée'!$T$498*5),""))))</f>
        <v/>
      </c>
      <c r="EC47" s="237"/>
      <c r="ED47" s="238" t="str">
        <f>IF(LEN('Eval-Avec act. écol. envisagée'!$T$107)=0,"",IF('Eval-Avec act. écol. envisagée'!$T$107=0,0,IF(COUNTA('Eval-Avec act. écol. envisagée'!$T$498)=0,"",IF('Eval-Avec act. écol. envisagée'!$J$121="X",IF('Eval-Avec act. écol. envisagée'!$T$498&gt;=0.2,0,1-'Eval-Avec act. écol. envisagée'!$T$498*5),""))))</f>
        <v/>
      </c>
      <c r="EE47" s="237"/>
      <c r="EF47" s="237"/>
      <c r="EG47" s="237"/>
      <c r="EH47" s="237"/>
      <c r="EI47" s="237"/>
      <c r="EJ47" s="237"/>
      <c r="EK47" s="239"/>
      <c r="EL47" s="236"/>
      <c r="EM47" s="237"/>
      <c r="EN47" s="237"/>
      <c r="EO47" s="237"/>
      <c r="EP47" s="237"/>
      <c r="EQ47" s="237"/>
      <c r="ER47" s="237"/>
      <c r="ES47" s="237"/>
      <c r="ET47" s="237"/>
      <c r="EU47" s="239"/>
      <c r="EV47" s="240" t="str">
        <f>IF(LEN('Eval-Avec act. écol. envisagée'!$T$107)=0,"",IF('Eval-Avec act. écol. envisagée'!$T$107=0,"Site détruit (0 ha).",IF(AND(EB47&gt;=0,EB47&lt;=0.2),CONCATENATE("Site très éloigné du cours d'eau"," (distance moy.=",ROUND(1000*'Eval-Avec act. écol. envisagée'!$T$498,0)," m)."),"")))</f>
        <v/>
      </c>
      <c r="EW47" s="241" t="str">
        <f>IF(AND(EB47&gt;0.2,EB47&lt;=0.4),CONCATENATE("Site assez éloigné du cours d'eau"," (distance moy.=",ROUND(1000*'Eval-Avec act. écol. envisagée'!$T$498,0)," m)."),"")</f>
        <v/>
      </c>
      <c r="EX47" s="242" t="str">
        <f>IF(AND(EB47&gt;0.4,EB47&lt;=0.6),CONCATENATE("Site assez proche du cours d'eau"," (distance moy.=",ROUND(1000*'Eval-Avec act. écol. envisagée'!$T$498,0)," m)."),"")</f>
        <v/>
      </c>
      <c r="EY47" s="242" t="str">
        <f>IF(AND(EB47&gt;0.6,EB47&lt;=0.8),CONCATENATE("Site proche du cours d'eau"," (distance moy.=",ROUND(1000*'Eval-Avec act. écol. envisagée'!$T$498,0)," m)."),"")</f>
        <v/>
      </c>
      <c r="EZ47" s="242" t="str">
        <f>IF(AND(EB47&gt;0.8,EB47&lt;=1),CONCATENATE("Site très proche du cours d'eau"," (distance moy.=",ROUND(1000*'Eval-Avec act. écol. envisagée'!$T$498,0)," m)."),"")</f>
        <v/>
      </c>
      <c r="FA47" s="218" t="str">
        <f>IF(LEN('Eval-Avec act. écol. envisagée'!$T$107)=0,"",IF('Eval-Avec act. écol. envisagée'!$T$107=0,"",IF('Eval-Avec act. écol. envisagée'!$J$121="x","","Non renseigné. Site non alluvial.")))</f>
        <v/>
      </c>
      <c r="FB47" s="243" t="str">
        <f t="shared" si="28"/>
        <v/>
      </c>
      <c r="FC47" s="249"/>
      <c r="FD47" s="245"/>
      <c r="FE47" s="1138"/>
      <c r="FF47" s="234" t="s">
        <v>128</v>
      </c>
      <c r="FG47" s="235" t="s">
        <v>362</v>
      </c>
      <c r="FH47" s="243" t="str">
        <f>IF(LEN('Eval-Après action écologique'!$T$107)=0,"",IF('Eval-Après action écologique'!$T$107=0,0,IF(COUNTA('Eval-Après action écologique'!$T$498)=0,"",IF('Eval-Après action écologique'!$J$121="X",IF('Eval-Après action écologique'!$T$498&gt;=0.2,0,1-'Eval-Après action écologique'!$T$498*5),""))))</f>
        <v/>
      </c>
      <c r="FI47" s="237"/>
      <c r="FJ47" s="238" t="str">
        <f>IF(LEN('Eval-Après action écologique'!$T$107)=0,"",IF('Eval-Après action écologique'!$T$107=0,0,IF(COUNTA('Eval-Après action écologique'!$T$498)=0,"",IF('Eval-Après action écologique'!$J$121="X",IF('Eval-Après action écologique'!$T$498&gt;=0.2,0,1-'Eval-Après action écologique'!$T$498*5),""))))</f>
        <v/>
      </c>
      <c r="FK47" s="237"/>
      <c r="FL47" s="237"/>
      <c r="FM47" s="237"/>
      <c r="FN47" s="237"/>
      <c r="FO47" s="237"/>
      <c r="FP47" s="237"/>
      <c r="FQ47" s="239"/>
      <c r="FR47" s="236"/>
      <c r="FS47" s="237"/>
      <c r="FT47" s="237"/>
      <c r="FU47" s="237"/>
      <c r="FV47" s="237"/>
      <c r="FW47" s="237"/>
      <c r="FX47" s="237"/>
      <c r="FY47" s="237"/>
      <c r="FZ47" s="237"/>
      <c r="GA47" s="239"/>
      <c r="GB47" s="240" t="str">
        <f>IF(LEN('Eval-Après action écologique'!$T$107)=0,"",IF('Eval-Après action écologique'!$T$107=0,"Site détruit (0 ha).",IF(AND(FH47&gt;=0,FH47&lt;=0.2),CONCATENATE("Site très éloigné du cours d'eau"," (distance moy.=",ROUND(1000*'Eval-Après action écologique'!$T$498,0)," m)."),"")))</f>
        <v/>
      </c>
      <c r="GC47" s="241" t="str">
        <f>IF(AND(FH47&gt;0.2,FH47&lt;=0.4),CONCATENATE("Site assez éloigné du cours d'eau"," (distance moy.=",ROUND(1000*'Eval-Après action écologique'!$T$498,0)," m)."),"")</f>
        <v/>
      </c>
      <c r="GD47" s="242" t="str">
        <f>IF(AND(FH47&gt;0.4,FH47&lt;=0.6),CONCATENATE("Site assez proche du cours d'eau"," (distance moy.=",ROUND(1000*'Eval-Après action écologique'!$T$498,0)," m)."),"")</f>
        <v/>
      </c>
      <c r="GE47" s="242" t="str">
        <f>IF(AND(FH47&gt;0.6,FH47&lt;=0.8),CONCATENATE("Site proche du cours d'eau"," (distance moy.=",ROUND(1000*'Eval-Après action écologique'!$T$498,0)," m)."),"")</f>
        <v/>
      </c>
      <c r="GF47" s="242" t="str">
        <f>IF(AND(FH47&gt;0.8,FH47&lt;=1),CONCATENATE("Site très proche du cours d'eau"," (distance moy.=",ROUND(1000*'Eval-Après action écologique'!$T$498,0)," m)."),"")</f>
        <v/>
      </c>
      <c r="GG47" s="218" t="str">
        <f>IF(LEN('Eval-Après action écologique'!$T$107)=0,"",IF('Eval-Après action écologique'!$T$107=0,"",IF('Eval-Après action écologique'!$J$121="x","","Non renseigné. Site non alluvial.")))</f>
        <v/>
      </c>
      <c r="GH47" s="243" t="str">
        <f t="shared" si="29"/>
        <v/>
      </c>
      <c r="GI47" s="249"/>
    </row>
    <row r="48" spans="1:191" ht="31.5" customHeight="1" x14ac:dyDescent="0.2">
      <c r="A48" s="1138"/>
      <c r="B48" s="234" t="s">
        <v>129</v>
      </c>
      <c r="C48" s="235" t="s">
        <v>129</v>
      </c>
      <c r="D48" s="243" t="str">
        <f xml:space="preserve"> IF('Eval-Avant impact'!$J$121="","",IF(LEN('Eval-Avant impact'!$T$107)=0,"",IF('Eval-Avant impact'!$T$107=0,0,IF('Eval-Avant impact'!$J$121="X",IF('Eval-Avant impact'!$J$715="X",1,IF('Eval-Avant impact'!$T$715="X",0.82,IF('Eval-Avant impact'!$J$716="X",0.64,IF('Eval-Avant impact'!$T$716="X",0.46,IF('Eval-Avant impact'!$J$717="X",0.28,IF('Eval-Avant impact'!$T$717="X",0.1,""))))))))))</f>
        <v/>
      </c>
      <c r="E48" s="238" t="str">
        <f xml:space="preserve"> IF('Eval-Avant impact'!$J$121="","",IF(LEN('Eval-Avant impact'!$T$107)=0,"",IF('Eval-Avant impact'!$T$107=0,0,IF('Eval-Avant impact'!$J$121="X",IF('Eval-Avant impact'!$J$715="X",1,IF('Eval-Avant impact'!$T$715="X",0.82,IF('Eval-Avant impact'!$J$716="X",0.64,IF('Eval-Avant impact'!$T$716="X",0.46,IF('Eval-Avant impact'!$J$717="X",0.28,IF('Eval-Avant impact'!$T$717="X",0.1,""))))))))))</f>
        <v/>
      </c>
      <c r="F48" s="238" t="str">
        <f xml:space="preserve"> IF('Eval-Avant impact'!$J$121="","",IF(LEN('Eval-Avant impact'!$T$107)=0,"",IF('Eval-Avant impact'!$T$107=0,0,IF('Eval-Avant impact'!$J$121="X",IF('Eval-Avant impact'!$J$715="X",1,IF('Eval-Avant impact'!$T$715="X",0.82,IF('Eval-Avant impact'!$J$716="X",0.64,IF('Eval-Avant impact'!$T$716="X",0.46,IF('Eval-Avant impact'!$J$717="X",0.28,IF('Eval-Avant impact'!$T$717="X",0.1,""))))))))))</f>
        <v/>
      </c>
      <c r="G48" s="237"/>
      <c r="H48" s="237"/>
      <c r="I48" s="237"/>
      <c r="J48" s="237"/>
      <c r="K48" s="237"/>
      <c r="L48" s="237"/>
      <c r="M48" s="239"/>
      <c r="N48" s="236"/>
      <c r="O48" s="237"/>
      <c r="P48" s="237"/>
      <c r="Q48" s="237"/>
      <c r="R48" s="237"/>
      <c r="S48" s="237"/>
      <c r="T48" s="237"/>
      <c r="U48" s="237"/>
      <c r="V48" s="237"/>
      <c r="W48" s="239"/>
      <c r="X48" s="240" t="str">
        <f>IF(LEN('Eval-Avant impact'!$T$107)=0,"",IF('Eval-Avant impact'!$T$107=0,"Site détruit (0 ha).",IF(AND(D48&gt;=0.1,D48&lt;=0.28),CONCATENATE("Cours d’eau très fortement incisé"," (haut. pleins bords"," &gt;1,5 m)."),"")))</f>
        <v/>
      </c>
      <c r="Y48" s="241" t="str">
        <f>IF(AND(D48&gt;0.28,D48&lt;=0.46),CONCATENATE("Cours d’eau fortement incisé"," (haut. pleins bords"," [1-1,5 m[)."),"")</f>
        <v/>
      </c>
      <c r="Z48" s="242" t="str">
        <f>IF(AND(D48&gt;0.46,D48&lt;=0.64),CONCATENATE("Cours d’eau assez incisé"," (haut. pleins bords"," [0,5 – 1 m[)."),"")</f>
        <v/>
      </c>
      <c r="AA48" s="242" t="str">
        <f>IF(AND(D48&gt;0.64,D48&lt;=0.82),CONCATENATE("Cours d’eau peu incisé"," (haut. pleins bords"," [0,2 – 0,5 m[)."),"")</f>
        <v/>
      </c>
      <c r="AB48" s="242" t="str">
        <f>IF(AND(D48&gt;0.82,D48&lt;=1),CONCATENATE("Cours d’eau très peu incisé"," (haut. pleins bords"," &lt; 0,2 m)."),"")</f>
        <v/>
      </c>
      <c r="AC48" s="218" t="str">
        <f>IF('Eval-Avant impact'!$J$718="X","Profondeur du lit mineur non renseignée.",IF(LEN('Eval-Avant impact'!$T$107)=0,"",IF('Eval-Avant impact'!$T$107=0,"",IF('Eval-Avant impact'!$J$121="x","","Non renseigné. Site non alluvial."))))</f>
        <v/>
      </c>
      <c r="AD48" s="243" t="str">
        <f t="shared" si="24"/>
        <v/>
      </c>
      <c r="AE48" s="249"/>
      <c r="AF48" s="245"/>
      <c r="AG48" s="1138"/>
      <c r="AH48" s="234" t="s">
        <v>129</v>
      </c>
      <c r="AI48" s="235" t="s">
        <v>129</v>
      </c>
      <c r="AJ48" s="243" t="str">
        <f xml:space="preserve"> IF('Eval-Avec impact envisagé'!$J$121="","",IF(LEN('Eval-Avec impact envisagé'!$T$107)=0,"",IF('Eval-Avec impact envisagé'!$T$107=0,0,IF('Eval-Avec impact envisagé'!$J$121="X",IF('Eval-Avec impact envisagé'!$J$715="X",1,IF('Eval-Avec impact envisagé'!$T$715="X",0.82,IF('Eval-Avec impact envisagé'!$J$716="X",0.64,IF('Eval-Avec impact envisagé'!$T$716="X",0.46,IF('Eval-Avec impact envisagé'!$J$717="X",0.28,IF('Eval-Avec impact envisagé'!$T$717="X",0.1,""))))))))))</f>
        <v/>
      </c>
      <c r="AK48" s="238" t="str">
        <f xml:space="preserve"> IF('Eval-Avec impact envisagé'!$J$121="","",IF(LEN('Eval-Avec impact envisagé'!$T$107)=0,"",IF('Eval-Avec impact envisagé'!$T$107=0,0,IF('Eval-Avec impact envisagé'!$J$121="X",IF('Eval-Avec impact envisagé'!$J$715="X",1,IF('Eval-Avec impact envisagé'!$T$715="X",0.82,IF('Eval-Avec impact envisagé'!$J$716="X",0.64,IF('Eval-Avec impact envisagé'!$T$716="X",0.46,IF('Eval-Avec impact envisagé'!$J$717="X",0.28,IF('Eval-Avec impact envisagé'!$T$717="X",0.1,""))))))))))</f>
        <v/>
      </c>
      <c r="AL48" s="238" t="str">
        <f xml:space="preserve"> IF('Eval-Avec impact envisagé'!$J$121="","",IF(LEN('Eval-Avec impact envisagé'!$T$107)=0,"",IF('Eval-Avec impact envisagé'!$T$107=0,0,IF('Eval-Avec impact envisagé'!$J$121="X",IF('Eval-Avec impact envisagé'!$J$715="X",1,IF('Eval-Avec impact envisagé'!$T$715="X",0.82,IF('Eval-Avec impact envisagé'!$J$716="X",0.64,IF('Eval-Avec impact envisagé'!$T$716="X",0.46,IF('Eval-Avec impact envisagé'!$J$717="X",0.28,IF('Eval-Avec impact envisagé'!$T$717="X",0.1,""))))))))))</f>
        <v/>
      </c>
      <c r="AM48" s="237"/>
      <c r="AN48" s="237"/>
      <c r="AO48" s="237"/>
      <c r="AP48" s="237"/>
      <c r="AQ48" s="237"/>
      <c r="AR48" s="237"/>
      <c r="AS48" s="239"/>
      <c r="AT48" s="236"/>
      <c r="AU48" s="237"/>
      <c r="AV48" s="237"/>
      <c r="AW48" s="237"/>
      <c r="AX48" s="237"/>
      <c r="AY48" s="237"/>
      <c r="AZ48" s="237"/>
      <c r="BA48" s="237"/>
      <c r="BB48" s="237"/>
      <c r="BC48" s="239"/>
      <c r="BD48" s="240" t="str">
        <f>IF(LEN('Eval-Avec impact envisagé'!$T$107)=0,"",IF('Eval-Avec impact envisagé'!$T$107=0,"Site détruit (0 ha).",IF(AND(AJ48&gt;=0.1,AJ48&lt;=0.28),CONCATENATE("Cours d’eau très fortement incisé"," (haut. pleins bords"," &gt;1,5 m)."),"")))</f>
        <v/>
      </c>
      <c r="BE48" s="241" t="str">
        <f>IF(AND(AJ48&gt;0.28,AJ48&lt;=0.46),CONCATENATE("Cours d’eau fortement incisé"," (haut. pleins bords"," [1-1,5 m[)."),"")</f>
        <v/>
      </c>
      <c r="BF48" s="242" t="str">
        <f>IF(AND(AJ48&gt;0.46,AJ48&lt;=0.64),CONCATENATE("Cours d’eau assez incisé"," (haut. pleins bords"," [0,5 – 1 m[)."),"")</f>
        <v/>
      </c>
      <c r="BG48" s="242" t="str">
        <f>IF(AND(AJ48&gt;0.64,AJ48&lt;=0.82),CONCATENATE("Cours d’eau peu incisé"," (haut. pleins bords"," [0,2 – 0,5 m[)."),"")</f>
        <v/>
      </c>
      <c r="BH48" s="242" t="str">
        <f>IF(AND(AJ48&gt;0.82,AJ48&lt;=1),CONCATENATE("Cours d’eau très peu incisé"," (haut. pleins bords"," &lt; 0,2 m)."),"")</f>
        <v/>
      </c>
      <c r="BI48" s="218" t="str">
        <f>IF('Eval-Avec impact envisagé'!$J$718="X","Profondeur du lit mineur non renseignée.",IF(LEN('Eval-Avec impact envisagé'!$T$107)=0,"",IF('Eval-Avec impact envisagé'!$T$107=0,"",IF('Eval-Avec impact envisagé'!$J$121="x","","Non renseigné. Site non alluvial."))))</f>
        <v/>
      </c>
      <c r="BJ48" s="243" t="str">
        <f t="shared" si="25"/>
        <v/>
      </c>
      <c r="BK48" s="249"/>
      <c r="BL48" s="245"/>
      <c r="BM48" s="1138"/>
      <c r="BN48" s="234" t="s">
        <v>129</v>
      </c>
      <c r="BO48" s="235" t="s">
        <v>129</v>
      </c>
      <c r="BP48" s="243" t="str">
        <f xml:space="preserve"> IF('Eval-Après impact'!$J$121="","",IF(LEN('Eval-Après impact'!$T$107)=0,"",IF('Eval-Après impact'!$T$107=0,0,IF('Eval-Après impact'!$J$121="X",IF('Eval-Après impact'!$J$715="X",1,IF('Eval-Après impact'!$T$715="X",0.82,IF('Eval-Après impact'!$J$716="X",0.64,IF('Eval-Après impact'!$T$716="X",0.46,IF('Eval-Après impact'!$J$717="X",0.28,IF('Eval-Après impact'!$T$717="X",0.1,""))))))))))</f>
        <v/>
      </c>
      <c r="BQ48" s="238" t="str">
        <f xml:space="preserve"> IF('Eval-Après impact'!$J$121="","",IF(LEN('Eval-Après impact'!$T$107)=0,"",IF('Eval-Après impact'!$T$107=0,0,IF('Eval-Après impact'!$J$121="X",IF('Eval-Après impact'!$J$715="X",1,IF('Eval-Après impact'!$T$715="X",0.82,IF('Eval-Après impact'!$J$716="X",0.64,IF('Eval-Après impact'!$T$716="X",0.46,IF('Eval-Après impact'!$J$717="X",0.28,IF('Eval-Après impact'!$T$717="X",0.1,""))))))))))</f>
        <v/>
      </c>
      <c r="BR48" s="238" t="str">
        <f xml:space="preserve"> IF('Eval-Après impact'!$J$121="","",IF(LEN('Eval-Après impact'!$T$107)=0,"",IF('Eval-Après impact'!$T$107=0,0,IF('Eval-Après impact'!$J$121="X",IF('Eval-Après impact'!$J$715="X",1,IF('Eval-Après impact'!$T$715="X",0.82,IF('Eval-Après impact'!$J$716="X",0.64,IF('Eval-Après impact'!$T$716="X",0.46,IF('Eval-Après impact'!$J$717="X",0.28,IF('Eval-Après impact'!$T$717="X",0.1,""))))))))))</f>
        <v/>
      </c>
      <c r="BS48" s="237"/>
      <c r="BT48" s="237"/>
      <c r="BU48" s="237"/>
      <c r="BV48" s="237"/>
      <c r="BW48" s="237"/>
      <c r="BX48" s="237"/>
      <c r="BY48" s="239"/>
      <c r="BZ48" s="236"/>
      <c r="CA48" s="237"/>
      <c r="CB48" s="237"/>
      <c r="CC48" s="237"/>
      <c r="CD48" s="237"/>
      <c r="CE48" s="237"/>
      <c r="CF48" s="237"/>
      <c r="CG48" s="237"/>
      <c r="CH48" s="237"/>
      <c r="CI48" s="239"/>
      <c r="CJ48" s="240" t="str">
        <f>IF(LEN('Eval-Après impact'!$T$107)=0,"",IF('Eval-Après impact'!$T$107=0,"Site détruit (0 ha).",IF(AND(BP48&gt;=0.1,BP48&lt;=0.28),CONCATENATE("Cours d’eau très fortement incisé"," (haut. pleins bords"," &gt;1,5 m)."),"")))</f>
        <v/>
      </c>
      <c r="CK48" s="241" t="str">
        <f>IF(AND(BP48&gt;0.28,BP48&lt;=0.46),CONCATENATE("Cours d’eau fortement incisé"," (haut. pleins bords"," [1-1,5 m[)."),"")</f>
        <v/>
      </c>
      <c r="CL48" s="242" t="str">
        <f>IF(AND(BP48&gt;0.46,BP48&lt;=0.64),CONCATENATE("Cours d’eau assez incisé"," (haut. pleins bords"," [0,5 – 1 m[)."),"")</f>
        <v/>
      </c>
      <c r="CM48" s="242" t="str">
        <f>IF(AND(BP48&gt;0.64,BP48&lt;=0.82),CONCATENATE("Cours d’eau peu incisé"," (haut. pleins bords"," [0,2 – 0,5 m[)."),"")</f>
        <v/>
      </c>
      <c r="CN48" s="242" t="str">
        <f>IF(AND(BP48&gt;0.82,BP48&lt;=1),CONCATENATE("Cours d’eau très peu incisé"," (haut. pleins bords"," &lt; 0,2 m)."),"")</f>
        <v/>
      </c>
      <c r="CO48" s="218" t="str">
        <f>IF('Eval-Après impact'!$J$718="X","Profondeur du lit mineur non renseignée.",IF(LEN('Eval-Après impact'!$T$107)=0,"",IF('Eval-Après impact'!$T$107=0,"",IF('Eval-Après impact'!$J$121="x","","Non renseigné. Site non alluvial."))))</f>
        <v/>
      </c>
      <c r="CP48" s="243" t="str">
        <f t="shared" si="26"/>
        <v/>
      </c>
      <c r="CQ48" s="249"/>
      <c r="CR48" s="245"/>
      <c r="CS48" s="1138"/>
      <c r="CT48" s="234" t="s">
        <v>129</v>
      </c>
      <c r="CU48" s="235" t="s">
        <v>129</v>
      </c>
      <c r="CV48" s="243" t="str">
        <f xml:space="preserve"> IF('Eval-Avant action écologique'!$J$121="","",IF(LEN('Eval-Avant action écologique'!$T$107)=0,"",IF('Eval-Avant action écologique'!$T$107=0,0,IF('Eval-Avant action écologique'!$J$121="X",IF('Eval-Avant action écologique'!$J$715="X",1,IF('Eval-Avant action écologique'!$T$715="X",0.82,IF('Eval-Avant action écologique'!$J$716="X",0.64,IF('Eval-Avant action écologique'!$T$716="X",0.46,IF('Eval-Avant action écologique'!$J$717="X",0.28,IF('Eval-Avant action écologique'!$T$717="X",0.1,""))))))))))</f>
        <v/>
      </c>
      <c r="CW48" s="238" t="str">
        <f xml:space="preserve"> IF('Eval-Avant action écologique'!$J$121="","",IF(LEN('Eval-Avant action écologique'!$T$107)=0,"",IF('Eval-Avant action écologique'!$T$107=0,0,IF('Eval-Avant action écologique'!$J$121="X",IF('Eval-Avant action écologique'!$J$715="X",1,IF('Eval-Avant action écologique'!$T$715="X",0.82,IF('Eval-Avant action écologique'!$J$716="X",0.64,IF('Eval-Avant action écologique'!$T$716="X",0.46,IF('Eval-Avant action écologique'!$J$717="X",0.28,IF('Eval-Avant action écologique'!$T$717="X",0.1,""))))))))))</f>
        <v/>
      </c>
      <c r="CX48" s="238" t="str">
        <f xml:space="preserve"> IF('Eval-Avant action écologique'!$J$121="","",IF(LEN('Eval-Avant action écologique'!$T$107)=0,"",IF('Eval-Avant action écologique'!$T$107=0,0,IF('Eval-Avant action écologique'!$J$121="X",IF('Eval-Avant action écologique'!$J$715="X",1,IF('Eval-Avant action écologique'!$T$715="X",0.82,IF('Eval-Avant action écologique'!$J$716="X",0.64,IF('Eval-Avant action écologique'!$T$716="X",0.46,IF('Eval-Avant action écologique'!$J$717="X",0.28,IF('Eval-Avant action écologique'!$T$717="X",0.1,""))))))))))</f>
        <v/>
      </c>
      <c r="CY48" s="237"/>
      <c r="CZ48" s="237"/>
      <c r="DA48" s="237"/>
      <c r="DB48" s="237"/>
      <c r="DC48" s="237"/>
      <c r="DD48" s="237"/>
      <c r="DE48" s="239"/>
      <c r="DF48" s="236"/>
      <c r="DG48" s="237"/>
      <c r="DH48" s="237"/>
      <c r="DI48" s="237"/>
      <c r="DJ48" s="237"/>
      <c r="DK48" s="237"/>
      <c r="DL48" s="237"/>
      <c r="DM48" s="237"/>
      <c r="DN48" s="237"/>
      <c r="DO48" s="239"/>
      <c r="DP48" s="240" t="str">
        <f>IF(LEN('Eval-Avant action écologique'!$T$107)=0,"",IF('Eval-Avant action écologique'!$T$107=0,"Site détruit (0 ha).",IF(AND(CV48&gt;=0.1,CV48&lt;=0.28),CONCATENATE("Cours d’eau très fortement incisé"," (haut. pleins bords"," &gt;1,5 m)."),"")))</f>
        <v/>
      </c>
      <c r="DQ48" s="241" t="str">
        <f>IF(AND(CV48&gt;0.28,CV48&lt;=0.46),CONCATENATE("Cours d’eau fortement incisé"," (haut. pleins bords"," [1-1,5 m[)."),"")</f>
        <v/>
      </c>
      <c r="DR48" s="242" t="str">
        <f>IF(AND(CV48&gt;0.46,CV48&lt;=0.64),CONCATENATE("Cours d’eau assez incisé"," (haut. pleins bords"," [0,5 – 1 m[)."),"")</f>
        <v/>
      </c>
      <c r="DS48" s="242" t="str">
        <f>IF(AND(CV48&gt;0.64,CV48&lt;=0.82),CONCATENATE("Cours d’eau peu incisé"," (haut. pleins bords"," [0,2 – 0,5 m[)."),"")</f>
        <v/>
      </c>
      <c r="DT48" s="242" t="str">
        <f>IF(AND(CV48&gt;0.82,CV48&lt;=1),CONCATENATE("Cours d’eau très peu incisé"," (haut. pleins bords"," &lt; 0,2 m)."),"")</f>
        <v/>
      </c>
      <c r="DU48" s="218" t="str">
        <f>IF('Eval-Avant action écologique'!$J$718="X","Profondeur du lit mineur non renseignée.",IF(LEN('Eval-Avant action écologique'!$T$107)=0,"",IF('Eval-Avant action écologique'!$T$107=0,"",IF('Eval-Avant action écologique'!$J$121="x","","Non renseigné. Site non alluvial."))))</f>
        <v/>
      </c>
      <c r="DV48" s="243" t="str">
        <f t="shared" si="27"/>
        <v/>
      </c>
      <c r="DW48" s="249"/>
      <c r="DX48" s="245"/>
      <c r="DY48" s="1138"/>
      <c r="DZ48" s="234" t="s">
        <v>129</v>
      </c>
      <c r="EA48" s="235" t="s">
        <v>129</v>
      </c>
      <c r="EB48" s="243" t="str">
        <f>IF('Eval-Avec act. écol. envisagée'!$J$121="","",IF(LEN('Eval-Avec act. écol. envisagée'!$T$107)=0,"",IF('Eval-Avec act. écol. envisagée'!$T$107=0,0,IF('Eval-Avec act. écol. envisagée'!$J$121="X",IF('Eval-Avec act. écol. envisagée'!$J$715="X",1,IF('Eval-Avec act. écol. envisagée'!$T$715="X",0.82,IF('Eval-Avec act. écol. envisagée'!$J$716="X",0.64,IF('Eval-Avec act. écol. envisagée'!$T$716="X",0.46,IF('Eval-Avec act. écol. envisagée'!$J$717="X",0.28,IF('Eval-Avec act. écol. envisagée'!$T$717="X",0.1,""))))))))))</f>
        <v/>
      </c>
      <c r="EC48" s="238" t="str">
        <f>IF('Eval-Avec act. écol. envisagée'!$J$121="","",IF(LEN('Eval-Avec act. écol. envisagée'!$T$107)=0,"",IF('Eval-Avec act. écol. envisagée'!$T$107=0,0,IF('Eval-Avec act. écol. envisagée'!$J$121="X",IF('Eval-Avec act. écol. envisagée'!$J$715="X",1,IF('Eval-Avec act. écol. envisagée'!$T$715="X",0.82,IF('Eval-Avec act. écol. envisagée'!$J$716="X",0.64,IF('Eval-Avec act. écol. envisagée'!$T$716="X",0.46,IF('Eval-Avec act. écol. envisagée'!$J$717="X",0.28,IF('Eval-Avec act. écol. envisagée'!$T$717="X",0.1,""))))))))))</f>
        <v/>
      </c>
      <c r="ED48" s="238" t="str">
        <f>IF('Eval-Avec act. écol. envisagée'!$J$121="","",IF(LEN('Eval-Avec act. écol. envisagée'!$T$107)=0,"",IF('Eval-Avec act. écol. envisagée'!$T$107=0,0,IF('Eval-Avec act. écol. envisagée'!$J$121="X",IF('Eval-Avec act. écol. envisagée'!$J$715="X",1,IF('Eval-Avec act. écol. envisagée'!$T$715="X",0.82,IF('Eval-Avec act. écol. envisagée'!$J$716="X",0.64,IF('Eval-Avec act. écol. envisagée'!$T$716="X",0.46,IF('Eval-Avec act. écol. envisagée'!$J$717="X",0.28,IF('Eval-Avec act. écol. envisagée'!$T$717="X",0.1,""))))))))))</f>
        <v/>
      </c>
      <c r="EE48" s="237"/>
      <c r="EF48" s="237"/>
      <c r="EG48" s="237"/>
      <c r="EH48" s="237"/>
      <c r="EI48" s="237"/>
      <c r="EJ48" s="237"/>
      <c r="EK48" s="239"/>
      <c r="EL48" s="236"/>
      <c r="EM48" s="237"/>
      <c r="EN48" s="237"/>
      <c r="EO48" s="237"/>
      <c r="EP48" s="237"/>
      <c r="EQ48" s="237"/>
      <c r="ER48" s="237"/>
      <c r="ES48" s="237"/>
      <c r="ET48" s="237"/>
      <c r="EU48" s="239"/>
      <c r="EV48" s="240" t="str">
        <f>IF(LEN('Eval-Avec act. écol. envisagée'!$T$107)=0,"",IF('Eval-Avec act. écol. envisagée'!$T$107=0,"Site détruit (0 ha).",IF(AND(EB48&gt;=0.1,EB48&lt;=0.28),CONCATENATE("Cours d’eau très fortement incisé"," (haut. pleins bords"," &gt;1,5 m)."),"")))</f>
        <v/>
      </c>
      <c r="EW48" s="241" t="str">
        <f>IF(AND(EB48&gt;0.28,EB48&lt;=0.46),CONCATENATE("Cours d’eau fortement incisé"," (haut. pleins bords"," [1-1,5 m[)."),"")</f>
        <v/>
      </c>
      <c r="EX48" s="242" t="str">
        <f>IF(AND(EB48&gt;0.46,EB48&lt;=0.64),CONCATENATE("Cours d’eau assez incisé"," (haut. pleins bords"," [0,5 – 1 m[)."),"")</f>
        <v/>
      </c>
      <c r="EY48" s="242" t="str">
        <f>IF(AND(EB48&gt;0.64,EB48&lt;=0.82),CONCATENATE("Cours d’eau peu incisé"," (haut. pleins bords"," [0,2 – 0,5 m[)."),"")</f>
        <v/>
      </c>
      <c r="EZ48" s="242" t="str">
        <f>IF(AND(EB48&gt;0.82,EB48&lt;=1),CONCATENATE("Cours d’eau très peu incisé"," (haut. pleins bords"," &lt; 0,2 m)."),"")</f>
        <v/>
      </c>
      <c r="FA48" s="218" t="str">
        <f>IF('Eval-Avec act. écol. envisagée'!$J$718="X","Profondeur du lit mineur non renseignée.",IF(LEN('Eval-Avec act. écol. envisagée'!$T$107)=0,"",IF('Eval-Avec act. écol. envisagée'!$T$107=0,"",IF('Eval-Avec act. écol. envisagée'!$J$121="x","","Non renseigné. Site non alluvial."))))</f>
        <v/>
      </c>
      <c r="FB48" s="243" t="str">
        <f t="shared" si="28"/>
        <v/>
      </c>
      <c r="FC48" s="249"/>
      <c r="FD48" s="245"/>
      <c r="FE48" s="1138"/>
      <c r="FF48" s="234" t="s">
        <v>129</v>
      </c>
      <c r="FG48" s="235" t="s">
        <v>129</v>
      </c>
      <c r="FH48" s="243" t="str">
        <f>IF('Eval-Après action écologique'!$J$121="","",IF(LEN('Eval-Après action écologique'!$T$107)=0,"",IF('Eval-Après action écologique'!$T$107=0,0,IF('Eval-Après action écologique'!$J$121="X",IF('Eval-Après action écologique'!$J$715="X",1,IF('Eval-Après action écologique'!$T$715="X",0.82,IF('Eval-Après action écologique'!$J$716="X",0.64,IF('Eval-Après action écologique'!$T$716="X",0.46,IF('Eval-Après action écologique'!$J$717="X",0.28,IF('Eval-Après action écologique'!$T$717="X",0.1,""))))))))))</f>
        <v/>
      </c>
      <c r="FI48" s="238" t="str">
        <f>IF('Eval-Après action écologique'!$J$121="","",IF(LEN('Eval-Après action écologique'!$T$107)=0,"",IF('Eval-Après action écologique'!$T$107=0,0,IF('Eval-Après action écologique'!$J$121="X",IF('Eval-Après action écologique'!$J$715="X",1,IF('Eval-Après action écologique'!$T$715="X",0.82,IF('Eval-Après action écologique'!$J$716="X",0.64,IF('Eval-Après action écologique'!$T$716="X",0.46,IF('Eval-Après action écologique'!$J$717="X",0.28,IF('Eval-Après action écologique'!$T$717="X",0.1,""))))))))))</f>
        <v/>
      </c>
      <c r="FJ48" s="238" t="str">
        <f>IF('Eval-Après action écologique'!$J$121="","",IF(LEN('Eval-Après action écologique'!$T$107)=0,"",IF('Eval-Après action écologique'!$T$107=0,0,IF('Eval-Après action écologique'!$J$121="X",IF('Eval-Après action écologique'!$J$715="X",1,IF('Eval-Après action écologique'!$T$715="X",0.82,IF('Eval-Après action écologique'!$J$716="X",0.64,IF('Eval-Après action écologique'!$T$716="X",0.46,IF('Eval-Après action écologique'!$J$717="X",0.28,IF('Eval-Après action écologique'!$T$717="X",0.1,""))))))))))</f>
        <v/>
      </c>
      <c r="FK48" s="237"/>
      <c r="FL48" s="237"/>
      <c r="FM48" s="237"/>
      <c r="FN48" s="237"/>
      <c r="FO48" s="237"/>
      <c r="FP48" s="237"/>
      <c r="FQ48" s="239"/>
      <c r="FR48" s="236"/>
      <c r="FS48" s="237"/>
      <c r="FT48" s="237"/>
      <c r="FU48" s="237"/>
      <c r="FV48" s="237"/>
      <c r="FW48" s="237"/>
      <c r="FX48" s="237"/>
      <c r="FY48" s="237"/>
      <c r="FZ48" s="237"/>
      <c r="GA48" s="239"/>
      <c r="GB48" s="240" t="str">
        <f>IF(LEN('Eval-Après action écologique'!$T$107)=0,"",IF('Eval-Après action écologique'!$T$107=0,"Site détruit (0 ha).",IF(AND(FH48&gt;=0.1,FH48&lt;=0.28),CONCATENATE("Cours d’eau très fortement incisé"," (haut. pleins bords"," &gt;1,5 m)."),"")))</f>
        <v/>
      </c>
      <c r="GC48" s="241" t="str">
        <f>IF(AND(FH48&gt;0.28,FH48&lt;=0.46),CONCATENATE("Cours d’eau fortement incisé"," (haut. pleins bords"," [1-1,5 m[)."),"")</f>
        <v/>
      </c>
      <c r="GD48" s="242" t="str">
        <f>IF(AND(FH48&gt;0.46,FH48&lt;=0.64),CONCATENATE("Cours d’eau assez incisé"," (haut. pleins bords"," [0,5 – 1 m[)."),"")</f>
        <v/>
      </c>
      <c r="GE48" s="242" t="str">
        <f>IF(AND(FH48&gt;0.64,FH48&lt;=0.82),CONCATENATE("Cours d’eau peu incisé"," (haut. pleins bords"," [0,2 – 0,5 m[)."),"")</f>
        <v/>
      </c>
      <c r="GF48" s="242" t="str">
        <f>IF(AND(FH48&gt;0.82,FH48&lt;=1),CONCATENATE("Cours d’eau très peu incisé"," (haut. pleins bords"," &lt; 0,2 m)."),"")</f>
        <v/>
      </c>
      <c r="GG48" s="218" t="str">
        <f>IF('Eval-Après action écologique'!$J$718="X","Profondeur du lit mineur non renseignée.",IF(LEN('Eval-Après action écologique'!$T$107)=0,"",IF('Eval-Après action écologique'!$T$107=0,"",IF('Eval-Après action écologique'!$J$121="x","","Non renseigné. Site non alluvial."))))</f>
        <v/>
      </c>
      <c r="GH48" s="243" t="str">
        <f t="shared" si="29"/>
        <v/>
      </c>
      <c r="GI48" s="249"/>
    </row>
    <row r="49" spans="1:191" ht="31.5" customHeight="1" x14ac:dyDescent="0.2">
      <c r="A49" s="1138" t="s">
        <v>130</v>
      </c>
      <c r="B49" s="1135" t="s">
        <v>187</v>
      </c>
      <c r="C49" s="235" t="s">
        <v>131</v>
      </c>
      <c r="D49" s="236"/>
      <c r="E49" s="237"/>
      <c r="F49" s="237"/>
      <c r="G49" s="237"/>
      <c r="H49" s="237"/>
      <c r="I49" s="237"/>
      <c r="J49" s="237"/>
      <c r="K49" s="237"/>
      <c r="L49" s="238" t="str">
        <f>IF(LEN('Eval-Avant impact'!$T$107)=0,"",IF('Eval-Avant impact'!$T$107=0,0,IF(COUNTA('Eval-Avant impact'!$T$361:$W$370)=0,"",IF(COUNTIF('Eval-Avant impact'!$T$361:$T$370,"&gt;0")&gt;=8,1,COUNTIF('Eval-Avant impact'!$T$361:$T$370,"&gt;0")/8))))</f>
        <v/>
      </c>
      <c r="M49" s="239"/>
      <c r="N49" s="236"/>
      <c r="O49" s="237"/>
      <c r="P49" s="237"/>
      <c r="Q49" s="237"/>
      <c r="R49" s="237"/>
      <c r="S49" s="237"/>
      <c r="T49" s="237"/>
      <c r="U49" s="237"/>
      <c r="V49" s="238" t="str">
        <f>IF(L49="","",L49*'Eval-Avant impact'!$T$356)</f>
        <v/>
      </c>
      <c r="W49" s="239"/>
      <c r="X49" s="240" t="str">
        <f>IF(LEN('Eval-Avant impact'!$T$107)=0,"",IF('Eval-Avant impact'!$T$107=0,"Site détruit (0 ha).",IF(AND(L49&gt;=0.125,L49&lt;=0.375),CONCATENATE("Nombre de grands habitats très réduit"," (",COUNTIF('Eval-Avant impact'!$T$361:$W$370,"&gt;0")," habitat(s))."),"")))</f>
        <v/>
      </c>
      <c r="Y49" s="241" t="str">
        <f>IF(AND(L49&gt;0.375,L49&lt;=0.5),CONCATENATE("Nombre de grands habitats assez réduit"," (",COUNTIF('Eval-Avant impact'!$T$361:$W$370,"&gt;0")," habitats)."),"")</f>
        <v/>
      </c>
      <c r="Z49" s="242" t="str">
        <f>IF(AND(L49&gt;0.5,L49&lt;=0.625),CONCATENATE("Nombre de grands habitats assez important"," (",COUNTIF('Eval-Avant impact'!$T$361:$W$370,"&gt;0")," habitats)."),"")</f>
        <v/>
      </c>
      <c r="AA49" s="242" t="str">
        <f>IF(AND(L49&gt;0.625,L49&lt;=0.75),CONCATENATE("Nombre de grands habitats important"," (",COUNTIF('Eval-Avant impact'!$T$361:$W$370,"&gt;0")," habitats)."),"")</f>
        <v/>
      </c>
      <c r="AB49" s="242" t="str">
        <f>IF(AND(L49&gt;0.75,L49&lt;=1),CONCATENATE("Nombre de grands habitats très important"," (",COUNTIF('Eval-Avant impact'!$T$361:$W$370,"&gt;0")," habitats)."),"")</f>
        <v/>
      </c>
      <c r="AC49" s="246"/>
      <c r="AD49" s="243" t="str">
        <f>L49</f>
        <v/>
      </c>
      <c r="AE49" s="244" t="str">
        <f>V49</f>
        <v/>
      </c>
      <c r="AF49" s="245"/>
      <c r="AG49" s="1138" t="s">
        <v>130</v>
      </c>
      <c r="AH49" s="1135" t="s">
        <v>187</v>
      </c>
      <c r="AI49" s="235" t="s">
        <v>131</v>
      </c>
      <c r="AJ49" s="236"/>
      <c r="AK49" s="237"/>
      <c r="AL49" s="237"/>
      <c r="AM49" s="237"/>
      <c r="AN49" s="237"/>
      <c r="AO49" s="237"/>
      <c r="AP49" s="237"/>
      <c r="AQ49" s="237"/>
      <c r="AR49" s="238" t="str">
        <f>IF(LEN('Eval-Avec impact envisagé'!$T$107)=0,"",IF('Eval-Avec impact envisagé'!$T$107=0,0,IF(COUNTA('Eval-Avec impact envisagé'!$T$361:$W$370)=0,"",IF(COUNTIF('Eval-Avec impact envisagé'!$T$361:$T$370,"&gt;0")&gt;=8,1,COUNTIF('Eval-Avec impact envisagé'!$T$361:$T$370,"&gt;0")/8))))</f>
        <v/>
      </c>
      <c r="AS49" s="239"/>
      <c r="AT49" s="236"/>
      <c r="AU49" s="237"/>
      <c r="AV49" s="237"/>
      <c r="AW49" s="237"/>
      <c r="AX49" s="237"/>
      <c r="AY49" s="237"/>
      <c r="AZ49" s="237"/>
      <c r="BA49" s="237"/>
      <c r="BB49" s="238" t="str">
        <f>IF(AR49="","",AR49*'Eval-Avec impact envisagé'!$T$356)</f>
        <v/>
      </c>
      <c r="BC49" s="239"/>
      <c r="BD49" s="240" t="str">
        <f>IF(LEN('Eval-Avec impact envisagé'!$T$107)=0,"",IF('Eval-Avec impact envisagé'!$T$107=0,"Site détruit (0 ha).",IF(AND(AR49&gt;=0.125,AR49&lt;=0.375),CONCATENATE("Nombre de grands habitats très réduit"," (",COUNTIF('Eval-Avec impact envisagé'!$T$361:$W$370,"&gt;0")," habitat(s))."),"")))</f>
        <v/>
      </c>
      <c r="BE49" s="241" t="str">
        <f>IF(AND(AR49&gt;0.375,AR49&lt;=0.5),CONCATENATE("Nombre de grands habitats assez réduit"," (",COUNTIF('Eval-Avec impact envisagé'!$T$361:$W$370,"&gt;0")," habitats)."),"")</f>
        <v/>
      </c>
      <c r="BF49" s="242" t="str">
        <f>IF(AND(AR49&gt;0.5,AR49&lt;=0.625),CONCATENATE("Nombre de grands habitats assez important"," (",COUNTIF('Eval-Avec impact envisagé'!$T$361:$W$370,"&gt;0")," habitats)."),"")</f>
        <v/>
      </c>
      <c r="BG49" s="242" t="str">
        <f>IF(AND(AR49&gt;0.625,AR49&lt;=0.75),CONCATENATE("Nombre de grands habitats important"," (",COUNTIF('Eval-Avec impact envisagé'!$T$361:$W$370,"&gt;0")," habitats)."),"")</f>
        <v/>
      </c>
      <c r="BH49" s="242" t="str">
        <f>IF(AND(AR49&gt;0.75,AR49&lt;=1),CONCATENATE("Nombre de grands habitats très important"," (",COUNTIF('Eval-Avec impact envisagé'!$T$361:$W$370,"&gt;0")," habitats)."),"")</f>
        <v/>
      </c>
      <c r="BI49" s="246"/>
      <c r="BJ49" s="243" t="str">
        <f>AR49</f>
        <v/>
      </c>
      <c r="BK49" s="244" t="str">
        <f>BB49</f>
        <v/>
      </c>
      <c r="BL49" s="245"/>
      <c r="BM49" s="1138" t="s">
        <v>130</v>
      </c>
      <c r="BN49" s="1135" t="s">
        <v>187</v>
      </c>
      <c r="BO49" s="235" t="s">
        <v>131</v>
      </c>
      <c r="BP49" s="236"/>
      <c r="BQ49" s="237"/>
      <c r="BR49" s="237"/>
      <c r="BS49" s="237"/>
      <c r="BT49" s="237"/>
      <c r="BU49" s="237"/>
      <c r="BV49" s="237"/>
      <c r="BW49" s="237"/>
      <c r="BX49" s="238" t="str">
        <f>IF(LEN('Eval-Après impact'!$T$107)=0,"",IF('Eval-Après impact'!$T$107=0,0,IF(COUNTA('Eval-Après impact'!$T$361:$W$370)=0,"",IF(COUNTIF('Eval-Après impact'!$T$361:$T$370,"&gt;0")&gt;=8,1,COUNTIF('Eval-Après impact'!$T$361:$T$370,"&gt;0")/8))))</f>
        <v/>
      </c>
      <c r="BY49" s="239"/>
      <c r="BZ49" s="236"/>
      <c r="CA49" s="237"/>
      <c r="CB49" s="237"/>
      <c r="CC49" s="237"/>
      <c r="CD49" s="237"/>
      <c r="CE49" s="237"/>
      <c r="CF49" s="237"/>
      <c r="CG49" s="237"/>
      <c r="CH49" s="238" t="str">
        <f>IF(BX49="","",BX49*'Eval-Après impact'!$T$356)</f>
        <v/>
      </c>
      <c r="CI49" s="239"/>
      <c r="CJ49" s="240" t="str">
        <f>IF(LEN('Eval-Après impact'!$T$107)=0,"",IF('Eval-Après impact'!$T$107=0,"Site détruit (0 ha).",IF(AND(BX49&gt;=0.125,BX49&lt;=0.375),CONCATENATE("Nombre de grands habitats très réduit"," (",COUNTIF('Eval-Après impact'!$T$361:$W$370,"&gt;0")," habitat(s))."),"")))</f>
        <v/>
      </c>
      <c r="CK49" s="241" t="str">
        <f>IF(AND(BX49&gt;0.375,BX49&lt;=0.5),CONCATENATE("Nombre de grands habitats assez réduit"," (",COUNTIF('Eval-Après impact'!$T$361:$W$370,"&gt;0")," habitats)."),"")</f>
        <v/>
      </c>
      <c r="CL49" s="242" t="str">
        <f>IF(AND(BX49&gt;0.5,BX49&lt;=0.625),CONCATENATE("Nombre de grands habitats assez important"," (",COUNTIF('Eval-Après impact'!$T$361:$W$370,"&gt;0")," habitats)."),"")</f>
        <v/>
      </c>
      <c r="CM49" s="242" t="str">
        <f>IF(AND(BX49&gt;0.625,BX49&lt;=0.75),CONCATENATE("Nombre de grands habitats important"," (",COUNTIF('Eval-Après impact'!$T$361:$W$370,"&gt;0")," habitats)."),"")</f>
        <v/>
      </c>
      <c r="CN49" s="242" t="str">
        <f>IF(AND(BX49&gt;0.75,BX49&lt;=1),CONCATENATE("Nombre de grands habitats très important"," (",COUNTIF('Eval-Après impact'!$T$361:$W$370,"&gt;0")," habitats)."),"")</f>
        <v/>
      </c>
      <c r="CO49" s="246"/>
      <c r="CP49" s="243" t="str">
        <f>BX49</f>
        <v/>
      </c>
      <c r="CQ49" s="244" t="str">
        <f>CH49</f>
        <v/>
      </c>
      <c r="CR49" s="245"/>
      <c r="CS49" s="1138" t="s">
        <v>130</v>
      </c>
      <c r="CT49" s="1135" t="s">
        <v>187</v>
      </c>
      <c r="CU49" s="235" t="s">
        <v>131</v>
      </c>
      <c r="CV49" s="236"/>
      <c r="CW49" s="237"/>
      <c r="CX49" s="237"/>
      <c r="CY49" s="237"/>
      <c r="CZ49" s="237"/>
      <c r="DA49" s="237"/>
      <c r="DB49" s="237"/>
      <c r="DC49" s="237"/>
      <c r="DD49" s="238" t="str">
        <f>IF(LEN('Eval-Avant action écologique'!$T$107)=0,"",IF('Eval-Avant action écologique'!$T$107=0,0,IF(COUNTA('Eval-Avant action écologique'!$T$361:$W$370)=0,"",IF(COUNTIF('Eval-Avant action écologique'!$T$361:$T$370,"&gt;0")&gt;=8,1,COUNTIF('Eval-Avant action écologique'!$T$361:$T$370,"&gt;0")/8))))</f>
        <v/>
      </c>
      <c r="DE49" s="239"/>
      <c r="DF49" s="236"/>
      <c r="DG49" s="237"/>
      <c r="DH49" s="237"/>
      <c r="DI49" s="237"/>
      <c r="DJ49" s="237"/>
      <c r="DK49" s="237"/>
      <c r="DL49" s="237"/>
      <c r="DM49" s="237"/>
      <c r="DN49" s="238" t="str">
        <f>IF(DD49="","",DD49*'Eval-Avant action écologique'!$T$356)</f>
        <v/>
      </c>
      <c r="DO49" s="239"/>
      <c r="DP49" s="240" t="str">
        <f>IF(LEN('Eval-Avant action écologique'!$T$107)=0,"",IF('Eval-Avant action écologique'!$T$107=0,"Site détruit (0 ha).",IF(AND(DD49&gt;=0.125,DD49&lt;=0.375),CONCATENATE("Nombre de grands habitats très réduit"," (",COUNTIF('Eval-Avant action écologique'!$T$361:$W$370,"&gt;0")," habitat(s))."),"")))</f>
        <v/>
      </c>
      <c r="DQ49" s="241" t="str">
        <f>IF(AND(DD49&gt;0.375,DD49&lt;=0.5),CONCATENATE("Nombre de grands habitats assez réduit"," (",COUNTIF('Eval-Avant action écologique'!$T$361:$W$370,"&gt;0")," habitats)."),"")</f>
        <v/>
      </c>
      <c r="DR49" s="242" t="str">
        <f>IF(AND(DD49&gt;0.5,DD49&lt;=0.625),CONCATENATE("Nombre de grands habitats assez important"," (",COUNTIF('Eval-Avant action écologique'!$T$361:$W$370,"&gt;0")," habitats)."),"")</f>
        <v/>
      </c>
      <c r="DS49" s="242" t="str">
        <f>IF(AND(DD49&gt;0.625,DD49&lt;=0.75),CONCATENATE("Nombre de grands habitats important"," (",COUNTIF('Eval-Avant action écologique'!$T$361:$W$370,"&gt;0")," habitats)."),"")</f>
        <v/>
      </c>
      <c r="DT49" s="242" t="str">
        <f>IF(AND(DD49&gt;0.75,DD49&lt;=1),CONCATENATE("Nombre de grands habitats très important"," (",COUNTIF('Eval-Avant action écologique'!$T$361:$W$370,"&gt;0")," habitats)."),"")</f>
        <v/>
      </c>
      <c r="DU49" s="246"/>
      <c r="DV49" s="243" t="str">
        <f>DD49</f>
        <v/>
      </c>
      <c r="DW49" s="244" t="str">
        <f>DN49</f>
        <v/>
      </c>
      <c r="DX49" s="245"/>
      <c r="DY49" s="1138" t="s">
        <v>130</v>
      </c>
      <c r="DZ49" s="1135" t="s">
        <v>187</v>
      </c>
      <c r="EA49" s="235" t="s">
        <v>131</v>
      </c>
      <c r="EB49" s="236"/>
      <c r="EC49" s="237"/>
      <c r="ED49" s="237"/>
      <c r="EE49" s="237"/>
      <c r="EF49" s="237"/>
      <c r="EG49" s="237"/>
      <c r="EH49" s="237"/>
      <c r="EI49" s="237"/>
      <c r="EJ49" s="238" t="str">
        <f>IF(LEN('Eval-Avec act. écol. envisagée'!$T$107)=0,"",IF('Eval-Avec act. écol. envisagée'!$T$107=0,0,IF(COUNTA('Eval-Avec act. écol. envisagée'!$T$361:$W$370)=0,"",IF(COUNTIF('Eval-Avec act. écol. envisagée'!$T$361:$T$370,"&gt;0")&gt;=8,1,COUNTIF('Eval-Avec act. écol. envisagée'!$T$361:$T$370,"&gt;0")/8))))</f>
        <v/>
      </c>
      <c r="EK49" s="239"/>
      <c r="EL49" s="236"/>
      <c r="EM49" s="237"/>
      <c r="EN49" s="237"/>
      <c r="EO49" s="237"/>
      <c r="EP49" s="237"/>
      <c r="EQ49" s="237"/>
      <c r="ER49" s="237"/>
      <c r="ES49" s="237"/>
      <c r="ET49" s="238" t="str">
        <f>IF(EJ49="","",EJ49*'Eval-Avec act. écol. envisagée'!$T$356)</f>
        <v/>
      </c>
      <c r="EU49" s="239"/>
      <c r="EV49" s="240" t="str">
        <f>IF(LEN('Eval-Avec act. écol. envisagée'!$T$107)=0,"",IF('Eval-Avec act. écol. envisagée'!$T$107=0,"Site détruit (0 ha).",IF(AND(EJ49&gt;=0.125,EJ49&lt;=0.375),CONCATENATE("Nombre de grands habitats très réduit"," (",COUNTIF('Eval-Avec act. écol. envisagée'!$T$361:$W$370,"&gt;0")," habitat(s))."),"")))</f>
        <v/>
      </c>
      <c r="EW49" s="241" t="str">
        <f>IF(AND(EJ49&gt;0.375,EJ49&lt;=0.5),CONCATENATE("Nombre de grands habitats assez réduit"," (",COUNTIF('Eval-Avec act. écol. envisagée'!$T$361:$W$370,"&gt;0")," habitats)."),"")</f>
        <v/>
      </c>
      <c r="EX49" s="242" t="str">
        <f>IF(AND(EJ49&gt;0.5,EJ49&lt;=0.625),CONCATENATE("Nombre de grands habitats assez important"," (",COUNTIF('Eval-Avec act. écol. envisagée'!$T$361:$W$370,"&gt;0")," habitats)."),"")</f>
        <v/>
      </c>
      <c r="EY49" s="242" t="str">
        <f>IF(AND(EJ49&gt;0.625,EJ49&lt;=0.75),CONCATENATE("Nombre de grands habitats important"," (",COUNTIF('Eval-Avec act. écol. envisagée'!$T$361:$W$370,"&gt;0")," habitats)."),"")</f>
        <v/>
      </c>
      <c r="EZ49" s="242" t="str">
        <f>IF(AND(EJ49&gt;0.75,EJ49&lt;=1),CONCATENATE("Nombre de grands habitats très important"," (",COUNTIF('Eval-Avec act. écol. envisagée'!$T$361:$W$370,"&gt;0")," habitats)."),"")</f>
        <v/>
      </c>
      <c r="FA49" s="246"/>
      <c r="FB49" s="243" t="str">
        <f>EJ49</f>
        <v/>
      </c>
      <c r="FC49" s="244" t="str">
        <f>ET49</f>
        <v/>
      </c>
      <c r="FD49" s="245"/>
      <c r="FE49" s="1138" t="s">
        <v>130</v>
      </c>
      <c r="FF49" s="1135" t="s">
        <v>187</v>
      </c>
      <c r="FG49" s="235" t="s">
        <v>131</v>
      </c>
      <c r="FH49" s="236"/>
      <c r="FI49" s="237"/>
      <c r="FJ49" s="237"/>
      <c r="FK49" s="237"/>
      <c r="FL49" s="237"/>
      <c r="FM49" s="237"/>
      <c r="FN49" s="237"/>
      <c r="FO49" s="237"/>
      <c r="FP49" s="238" t="str">
        <f>IF(LEN('Eval-Après action écologique'!$T$107)=0,"",IF('Eval-Après action écologique'!$T$107=0,0,IF(COUNTA('Eval-Après action écologique'!$T$361:$W$370)=0,"",IF(COUNTIF('Eval-Après action écologique'!$T$361:$T$370,"&gt;0")&gt;=8,1,COUNTIF('Eval-Après action écologique'!$T$361:$T$370,"&gt;0")/8))))</f>
        <v/>
      </c>
      <c r="FQ49" s="239"/>
      <c r="FR49" s="236"/>
      <c r="FS49" s="237"/>
      <c r="FT49" s="237"/>
      <c r="FU49" s="237"/>
      <c r="FV49" s="237"/>
      <c r="FW49" s="237"/>
      <c r="FX49" s="237"/>
      <c r="FY49" s="237"/>
      <c r="FZ49" s="238" t="str">
        <f>IF(FP49="","",FP49*'Eval-Après action écologique'!$T$356)</f>
        <v/>
      </c>
      <c r="GA49" s="239"/>
      <c r="GB49" s="240" t="str">
        <f>IF(LEN('Eval-Après action écologique'!$T$107)=0,"",IF('Eval-Après action écologique'!$T$107=0,"Site détruit (0 ha).",IF(AND(FP49&gt;=0.125,FP49&lt;=0.375),CONCATENATE("Nombre de grands habitats très réduit"," (",COUNTIF('Eval-Après action écologique'!$T$361:$W$370,"&gt;0")," habitat(s))."),"")))</f>
        <v/>
      </c>
      <c r="GC49" s="241" t="str">
        <f>IF(AND(FP49&gt;0.375,FP49&lt;=0.5),CONCATENATE("Nombre de grands habitats assez réduit"," (",COUNTIF('Eval-Après action écologique'!$T$361:$W$370,"&gt;0")," habitats)."),"")</f>
        <v/>
      </c>
      <c r="GD49" s="242" t="str">
        <f>IF(AND(FP49&gt;0.5,FP49&lt;=0.625),CONCATENATE("Nombre de grands habitats assez important"," (",COUNTIF('Eval-Après action écologique'!$T$361:$W$370,"&gt;0")," habitats)."),"")</f>
        <v/>
      </c>
      <c r="GE49" s="242" t="str">
        <f>IF(AND(FP49&gt;0.625,FP49&lt;=0.75),CONCATENATE("Nombre de grands habitats important"," (",COUNTIF('Eval-Après action écologique'!$T$361:$W$370,"&gt;0")," habitats)."),"")</f>
        <v/>
      </c>
      <c r="GF49" s="242" t="str">
        <f>IF(AND(FP49&gt;0.75,FP49&lt;=1),CONCATENATE("Nombre de grands habitats très important"," (",COUNTIF('Eval-Après action écologique'!$T$361:$W$370,"&gt;0")," habitats)."),"")</f>
        <v/>
      </c>
      <c r="GG49" s="246"/>
      <c r="GH49" s="243" t="str">
        <f>FP49</f>
        <v/>
      </c>
      <c r="GI49" s="244" t="str">
        <f>FZ49</f>
        <v/>
      </c>
    </row>
    <row r="50" spans="1:191" ht="31.5" customHeight="1" x14ac:dyDescent="0.2">
      <c r="A50" s="1138"/>
      <c r="B50" s="1137"/>
      <c r="C50" s="235" t="s">
        <v>217</v>
      </c>
      <c r="D50" s="236"/>
      <c r="E50" s="237"/>
      <c r="F50" s="237"/>
      <c r="G50" s="237"/>
      <c r="H50" s="237"/>
      <c r="I50" s="237"/>
      <c r="J50" s="237"/>
      <c r="K50" s="237"/>
      <c r="L50" s="238" t="str">
        <f>IF(LEN('Eval-Avant impact'!$T$107)=0,"",IF('Eval-Avant impact'!$T$107=0,0,IF(COUNTA('Eval-Avant impact'!$T$361:$W$370)=0,"",IF(COUNTIF('Eval-Avant impact'!$T$361:$T$370,"&gt;0")=1,0,(IF('Eval-Avant impact'!$T$361&gt;0,(-1)*('Eval-Avant impact'!$T$361/100)*LOG('Eval-Avant impact'!$T$361/100),0)+IF('Eval-Avant impact'!$T$362&gt;0,(-1)*('Eval-Avant impact'!$T$362/100)*LOG('Eval-Avant impact'!$T$362/100),0)+IF('Eval-Avant impact'!$T$363&gt;0,(-1)*('Eval-Avant impact'!$T$363/100)*LOG('Eval-Avant impact'!$T$363/100),0)+IF('Eval-Avant impact'!$T$364&gt;0,(-1)*('Eval-Avant impact'!$T$364/100)*LOG('Eval-Avant impact'!$T$364/100),0)+IF('Eval-Avant impact'!$T$365&gt;0,(-1)*('Eval-Avant impact'!$T$365/100)*LOG('Eval-Avant impact'!$T$365/100),0)+IF('Eval-Avant impact'!$T$366&gt;0,(-1)*('Eval-Avant impact'!$T$366/100)*LOG('Eval-Avant impact'!$T$366/100),0)+IF('Eval-Avant impact'!$T$367&gt;0,(-1)*('Eval-Avant impact'!$T$367/100)*LOG('Eval-Avant impact'!$T$367/100),0)+IF('Eval-Avant impact'!$T$368&gt;0,(-1)*('Eval-Avant impact'!$T$368/100)*LOG('Eval-Avant impact'!$T$368/100),0)+IF('Eval-Avant impact'!$T$369&gt;0,(-1)*('Eval-Avant impact'!$T$369/100)*LOG('Eval-Avant impact'!$T$369/100),0)+IF('Eval-Avant impact'!$T$370&gt;0,(-1)*('Eval-Avant impact'!$T$370/100)*LOG('Eval-Avant impact'!$T$370/100),0))/LOG(COUNTIF('Eval-Avant impact'!$T$361:$T$370,"&gt;0"))))))</f>
        <v/>
      </c>
      <c r="M50" s="239"/>
      <c r="N50" s="236"/>
      <c r="O50" s="237"/>
      <c r="P50" s="237"/>
      <c r="Q50" s="237"/>
      <c r="R50" s="237"/>
      <c r="S50" s="237"/>
      <c r="T50" s="237"/>
      <c r="U50" s="237"/>
      <c r="V50" s="238" t="str">
        <f>IF(L50="","",L50*'Eval-Avant impact'!$T$356)</f>
        <v/>
      </c>
      <c r="W50" s="239"/>
      <c r="X50" s="240" t="str">
        <f>IF(LEN('Eval-Avant impact'!$T$107)=0,"",IF('Eval-Avant impact'!$T$107=0,"Site détruit (0 ha).",IF(AND(L50&gt;=0,L50&lt;=0.3),CONCATENATE("Equitabilité de répartition des grands habitats très réduite (E=",ROUND(L50,2),")."),"")))</f>
        <v/>
      </c>
      <c r="Y50" s="241" t="str">
        <f>IF(AND(L50&gt;0.3,L50&lt;=0.43),CONCATENATE("Equitabilité de répartition des grands habitats réduite (E=",ROUND(L50,2),")."),"")</f>
        <v/>
      </c>
      <c r="Z50" s="242" t="str">
        <f>IF(AND(L50&gt;0.43,L50&lt;=0.57),CONCATENATE("Equitabilité de répartition des grands habitats assez réduite (E=",ROUND($L$50,2),")."),"")</f>
        <v/>
      </c>
      <c r="AA50" s="242" t="str">
        <f>IF(AND(L50&gt;0.57,L50&lt;=0.7),CONCATENATE("Equitabilité de répartition des grands habitats élevée (E=",ROUND(L50,2),")."),"")</f>
        <v/>
      </c>
      <c r="AB50" s="242" t="str">
        <f>IF(AND(L50&gt;0.7,L50&lt;=1),CONCATENATE("Equitabilité de répartition des grands habitats très élevée (E=",ROUND(L50,2),")."),"")</f>
        <v/>
      </c>
      <c r="AC50" s="246"/>
      <c r="AD50" s="243" t="str">
        <f>L50</f>
        <v/>
      </c>
      <c r="AE50" s="244" t="str">
        <f>V50</f>
        <v/>
      </c>
      <c r="AF50" s="245"/>
      <c r="AG50" s="1138"/>
      <c r="AH50" s="1137"/>
      <c r="AI50" s="235" t="s">
        <v>217</v>
      </c>
      <c r="AJ50" s="236"/>
      <c r="AK50" s="237"/>
      <c r="AL50" s="237"/>
      <c r="AM50" s="237"/>
      <c r="AN50" s="237"/>
      <c r="AO50" s="237"/>
      <c r="AP50" s="237"/>
      <c r="AQ50" s="237"/>
      <c r="AR50" s="238" t="str">
        <f>IF(LEN('Eval-Avec impact envisagé'!$T$107)=0,"",IF('Eval-Avec impact envisagé'!$T$107=0,0,IF(COUNTA('Eval-Avec impact envisagé'!$T$361:$W$370)=0,"",IF(COUNTIF('Eval-Avec impact envisagé'!$T$361:$T$370,"&gt;0")=1,0,(IF('Eval-Avec impact envisagé'!$T$361&gt;0,(-1)*('Eval-Avec impact envisagé'!$T$361/100)*LOG('Eval-Avec impact envisagé'!$T$361/100),0)+IF('Eval-Avec impact envisagé'!$T$362&gt;0,(-1)*('Eval-Avec impact envisagé'!$T$362/100)*LOG('Eval-Avec impact envisagé'!$T$362/100),0)+IF('Eval-Avec impact envisagé'!$T$363&gt;0,(-1)*('Eval-Avec impact envisagé'!$T$363/100)*LOG('Eval-Avec impact envisagé'!$T$363/100),0)+IF('Eval-Avec impact envisagé'!$T$364&gt;0,(-1)*('Eval-Avec impact envisagé'!$T$364/100)*LOG('Eval-Avec impact envisagé'!$T$364/100),0)+IF('Eval-Avec impact envisagé'!$T$365&gt;0,(-1)*('Eval-Avec impact envisagé'!$T$365/100)*LOG('Eval-Avec impact envisagé'!$T$365/100),0)+IF('Eval-Avec impact envisagé'!$T$366&gt;0,(-1)*('Eval-Avec impact envisagé'!$T$366/100)*LOG('Eval-Avec impact envisagé'!$T$366/100),0)+IF('Eval-Avec impact envisagé'!$T$367&gt;0,(-1)*('Eval-Avec impact envisagé'!$T$367/100)*LOG('Eval-Avec impact envisagé'!$T$367/100),0)+IF('Eval-Avec impact envisagé'!$T$368&gt;0,(-1)*('Eval-Avec impact envisagé'!$T$368/100)*LOG('Eval-Avec impact envisagé'!$T$368/100),0)+IF('Eval-Avec impact envisagé'!$T$369&gt;0,(-1)*('Eval-Avec impact envisagé'!$T$369/100)*LOG('Eval-Avec impact envisagé'!$T$369/100),0)+IF('Eval-Avec impact envisagé'!$T$370&gt;0,(-1)*('Eval-Avec impact envisagé'!$T$370/100)*LOG('Eval-Avec impact envisagé'!$T$370/100),0))/LOG(COUNTIF('Eval-Avec impact envisagé'!$T$361:$T$370,"&gt;0"))))))</f>
        <v/>
      </c>
      <c r="AS50" s="239"/>
      <c r="AT50" s="236"/>
      <c r="AU50" s="237"/>
      <c r="AV50" s="237"/>
      <c r="AW50" s="237"/>
      <c r="AX50" s="237"/>
      <c r="AY50" s="237"/>
      <c r="AZ50" s="237"/>
      <c r="BA50" s="237"/>
      <c r="BB50" s="238" t="str">
        <f>IF(AR50="","",AR50*'Eval-Avec impact envisagé'!$T$356)</f>
        <v/>
      </c>
      <c r="BC50" s="239"/>
      <c r="BD50" s="240" t="str">
        <f>IF(LEN('Eval-Avec impact envisagé'!$T$107)=0,"",IF('Eval-Avec impact envisagé'!$T$107=0,"Site détruit (0 ha).",IF(AND(AR50&gt;=0,AR50&lt;=0.3),CONCATENATE("Equitabilité de répartition des grands habitats très réduite (E=",ROUND(AR50,2),")."),"")))</f>
        <v/>
      </c>
      <c r="BE50" s="241" t="str">
        <f>IF(AND(AR50&gt;0.3,AR50&lt;=0.43),CONCATENATE("Equitabilité de répartition des grands habitats réduite (E=",ROUND(AR50,2),")."),"")</f>
        <v/>
      </c>
      <c r="BF50" s="242" t="str">
        <f>IF(AND(AR50&gt;0.43,AR50&lt;=0.57),CONCATENATE("Equitabilité de répartition des grands habitats assez réduite (E=",ROUND(AR50,2),")."),"")</f>
        <v/>
      </c>
      <c r="BG50" s="242" t="str">
        <f>IF(AND(AR50&gt;0.57,AR50&lt;=0.7),CONCATENATE("Equitabilité de répartition des grands habitats élevée (E=",ROUND(AR50,2),")."),"")</f>
        <v/>
      </c>
      <c r="BH50" s="242" t="str">
        <f>IF(AND(AR50&gt;0.7,AR50&lt;=1),CONCATENATE("Equitabilité de répartition des grands habitats très élevée (E=",ROUND(AR50,2),")."),"")</f>
        <v/>
      </c>
      <c r="BI50" s="246"/>
      <c r="BJ50" s="243" t="str">
        <f>AR50</f>
        <v/>
      </c>
      <c r="BK50" s="244" t="str">
        <f>BB50</f>
        <v/>
      </c>
      <c r="BL50" s="245"/>
      <c r="BM50" s="1138"/>
      <c r="BN50" s="1137"/>
      <c r="BO50" s="235" t="s">
        <v>217</v>
      </c>
      <c r="BP50" s="236"/>
      <c r="BQ50" s="237"/>
      <c r="BR50" s="237"/>
      <c r="BS50" s="237"/>
      <c r="BT50" s="237"/>
      <c r="BU50" s="237"/>
      <c r="BV50" s="237"/>
      <c r="BW50" s="237"/>
      <c r="BX50" s="238" t="str">
        <f>IF(LEN('Eval-Après impact'!$T$107)=0,"",IF('Eval-Après impact'!$T$107=0,0,IF(COUNTA('Eval-Après impact'!$T$361:$W$370)=0,"",IF(COUNTIF('Eval-Après impact'!$T$361:$T$370,"&gt;0")=1,0,(IF('Eval-Après impact'!$T$361&gt;0,(-1)*('Eval-Après impact'!$T$361/100)*LOG('Eval-Après impact'!$T$361/100),0)+IF('Eval-Après impact'!$T$362&gt;0,(-1)*('Eval-Après impact'!$T$362/100)*LOG('Eval-Après impact'!$T$362/100),0)+IF('Eval-Après impact'!$T$363&gt;0,(-1)*('Eval-Après impact'!$T$363/100)*LOG('Eval-Après impact'!$T$363/100),0)+IF('Eval-Après impact'!$T$364&gt;0,(-1)*('Eval-Après impact'!$T$364/100)*LOG('Eval-Après impact'!$T$364/100),0)+IF('Eval-Après impact'!$T$365&gt;0,(-1)*('Eval-Après impact'!$T$365/100)*LOG('Eval-Après impact'!$T$365/100),0)+IF('Eval-Après impact'!$T$366&gt;0,(-1)*('Eval-Après impact'!$T$366/100)*LOG('Eval-Après impact'!$T$366/100),0)+IF('Eval-Après impact'!$T$367&gt;0,(-1)*('Eval-Après impact'!$T$367/100)*LOG('Eval-Après impact'!$T$367/100),0)+IF('Eval-Après impact'!$T$368&gt;0,(-1)*('Eval-Après impact'!$T$368/100)*LOG('Eval-Après impact'!$T$368/100),0)+IF('Eval-Après impact'!$T$369&gt;0,(-1)*('Eval-Après impact'!$T$369/100)*LOG('Eval-Après impact'!$T$369/100),0)+IF('Eval-Après impact'!$T$370&gt;0,(-1)*('Eval-Après impact'!$T$370/100)*LOG('Eval-Après impact'!$T$370/100),0))/LOG(COUNTIF('Eval-Après impact'!$T$361:$T$370,"&gt;0"))))))</f>
        <v/>
      </c>
      <c r="BY50" s="239"/>
      <c r="BZ50" s="236"/>
      <c r="CA50" s="237"/>
      <c r="CB50" s="237"/>
      <c r="CC50" s="237"/>
      <c r="CD50" s="237"/>
      <c r="CE50" s="237"/>
      <c r="CF50" s="237"/>
      <c r="CG50" s="237"/>
      <c r="CH50" s="238" t="str">
        <f>IF(BX50="","",BX50*'Eval-Après impact'!$T$356)</f>
        <v/>
      </c>
      <c r="CI50" s="239"/>
      <c r="CJ50" s="240" t="str">
        <f>IF(LEN('Eval-Après impact'!$T$107)=0,"",IF('Eval-Après impact'!$T$107=0,"Site détruit (0 ha).",IF(AND(BX50&gt;=0,BX50&lt;=0.3),CONCATENATE("Equitabilité de répartition des grands habitats très réduite (E=",ROUND(BX50,2),")."),"")))</f>
        <v/>
      </c>
      <c r="CK50" s="241" t="str">
        <f>IF(AND(BX50&gt;0.3,BX50&lt;=0.43),CONCATENATE("Equitabilité de répartition des grands habitats réduite (E=",ROUND(BX50,2),")."),"")</f>
        <v/>
      </c>
      <c r="CL50" s="242" t="str">
        <f>IF(AND(BX50&gt;0.43,BX50&lt;=0.57),CONCATENATE("Equitabilité de répartition des grands habitats assez réduite (E=",ROUND(BX50,2),")."),"")</f>
        <v/>
      </c>
      <c r="CM50" s="242" t="str">
        <f>IF(AND(BX50&gt;0.57,BX50&lt;=0.7),CONCATENATE("Equitabilité de répartition des grands habitats élevée (E=",ROUND(BX50,2),")."),"")</f>
        <v/>
      </c>
      <c r="CN50" s="242" t="str">
        <f>IF(AND(BX50&gt;0.7,BX50&lt;=1),CONCATENATE("Equitabilité de répartition des grands habitats très élevée (E=",ROUND(BX50,2),")."),"")</f>
        <v/>
      </c>
      <c r="CO50" s="246"/>
      <c r="CP50" s="243" t="str">
        <f>BX50</f>
        <v/>
      </c>
      <c r="CQ50" s="244" t="str">
        <f>CH50</f>
        <v/>
      </c>
      <c r="CR50" s="245"/>
      <c r="CS50" s="1138"/>
      <c r="CT50" s="1137"/>
      <c r="CU50" s="235" t="s">
        <v>217</v>
      </c>
      <c r="CV50" s="236"/>
      <c r="CW50" s="237"/>
      <c r="CX50" s="237"/>
      <c r="CY50" s="237"/>
      <c r="CZ50" s="237"/>
      <c r="DA50" s="237"/>
      <c r="DB50" s="237"/>
      <c r="DC50" s="237"/>
      <c r="DD50" s="238" t="str">
        <f>IF(LEN('Eval-Avant action écologique'!$T$107)=0,"",IF('Eval-Avant action écologique'!$T$107=0,0,IF(COUNTA('Eval-Avant action écologique'!$T$361:$W$370)=0,"",IF(COUNTIF('Eval-Avant action écologique'!$T$361:$T$370,"&gt;0")=1,0,(IF('Eval-Avant action écologique'!$T$361&gt;0,(-1)*('Eval-Avant action écologique'!$T$361/100)*LOG('Eval-Avant action écologique'!$T$361/100),0)+IF('Eval-Avant action écologique'!$T$362&gt;0,(-1)*('Eval-Avant action écologique'!$T$362/100)*LOG('Eval-Avant action écologique'!$T$362/100),0)+IF('Eval-Avant action écologique'!$T$363&gt;0,(-1)*('Eval-Avant action écologique'!$T$363/100)*LOG('Eval-Avant action écologique'!$T$363/100),0)+IF('Eval-Avant action écologique'!$T$364&gt;0,(-1)*('Eval-Avant action écologique'!$T$364/100)*LOG('Eval-Avant action écologique'!$T$364/100),0)+IF('Eval-Avant action écologique'!$T$365&gt;0,(-1)*('Eval-Avant action écologique'!$T$365/100)*LOG('Eval-Avant action écologique'!$T$365/100),0)+IF('Eval-Avant action écologique'!$T$366&gt;0,(-1)*('Eval-Avant action écologique'!$T$366/100)*LOG('Eval-Avant action écologique'!$T$366/100),0)+IF('Eval-Avant action écologique'!$T$367&gt;0,(-1)*('Eval-Avant action écologique'!$T$367/100)*LOG('Eval-Avant action écologique'!$T$367/100),0)+IF('Eval-Avant action écologique'!$T$368&gt;0,(-1)*('Eval-Avant action écologique'!$T$368/100)*LOG('Eval-Avant action écologique'!$T$368/100),0)+IF('Eval-Avant action écologique'!$T$369&gt;0,(-1)*('Eval-Avant action écologique'!$T$369/100)*LOG('Eval-Avant action écologique'!$T$369/100),0)+IF('Eval-Avant action écologique'!$T$370&gt;0,(-1)*('Eval-Avant action écologique'!$T$370/100)*LOG('Eval-Avant action écologique'!$T$370/100),0))/LOG(COUNTIF('Eval-Avant action écologique'!$T$361:$T$370,"&gt;0"))))))</f>
        <v/>
      </c>
      <c r="DE50" s="239"/>
      <c r="DF50" s="236"/>
      <c r="DG50" s="237"/>
      <c r="DH50" s="237"/>
      <c r="DI50" s="237"/>
      <c r="DJ50" s="237"/>
      <c r="DK50" s="237"/>
      <c r="DL50" s="237"/>
      <c r="DM50" s="237"/>
      <c r="DN50" s="238" t="str">
        <f>IF(DD50="","",DD50*'Eval-Avant action écologique'!$T$356)</f>
        <v/>
      </c>
      <c r="DO50" s="239"/>
      <c r="DP50" s="240" t="str">
        <f>IF(LEN('Eval-Avant action écologique'!$T$107)=0,"",IF('Eval-Avant action écologique'!$T$107=0,"Site détruit (0 ha).",IF(AND(DD50&gt;=0,DD50&lt;=0.3),CONCATENATE("Equitabilité de répartition des grands habitats très réduite (E=",ROUND(DD50,2),")."),"")))</f>
        <v/>
      </c>
      <c r="DQ50" s="241" t="str">
        <f>IF(AND(DD50&gt;0.3,DD50&lt;=0.43),CONCATENATE("Equitabilité de répartition des grands habitats réduite (E=",ROUND(DD50,2),")."),"")</f>
        <v/>
      </c>
      <c r="DR50" s="242" t="str">
        <f>IF(AND(DD50&gt;0.43,DD50&lt;=0.57),CONCATENATE("Equitabilité de répartition des grands habitats assez réduite (E=",ROUND(DD50,2),")."),"")</f>
        <v/>
      </c>
      <c r="DS50" s="242" t="str">
        <f>IF(AND(DD50&gt;0.57,DD50&lt;=0.7),CONCATENATE("Equitabilité de répartition des grands habitats élevée (E=",ROUND(DD50,2),")."),"")</f>
        <v/>
      </c>
      <c r="DT50" s="242" t="str">
        <f>IF(AND(DD50&gt;0.7,DD50&lt;=1),CONCATENATE("Equitabilité de répartition des grands habitats très élevée (E=",ROUND(DD50,2),")."),"")</f>
        <v/>
      </c>
      <c r="DU50" s="246"/>
      <c r="DV50" s="243" t="str">
        <f>DD50</f>
        <v/>
      </c>
      <c r="DW50" s="244" t="str">
        <f>DN50</f>
        <v/>
      </c>
      <c r="DX50" s="245"/>
      <c r="DY50" s="1138"/>
      <c r="DZ50" s="1137"/>
      <c r="EA50" s="235" t="s">
        <v>217</v>
      </c>
      <c r="EB50" s="236"/>
      <c r="EC50" s="237"/>
      <c r="ED50" s="237"/>
      <c r="EE50" s="237"/>
      <c r="EF50" s="237"/>
      <c r="EG50" s="237"/>
      <c r="EH50" s="237"/>
      <c r="EI50" s="237"/>
      <c r="EJ50" s="238" t="str">
        <f>IF(LEN('Eval-Avec act. écol. envisagée'!$T$107)=0,"",IF('Eval-Avec act. écol. envisagée'!$T$107=0,0,IF(COUNTA('Eval-Avec act. écol. envisagée'!$T$361:$W$370)=0,"",IF(COUNTIF('Eval-Avec act. écol. envisagée'!$T$361:$T$370,"&gt;0")=1,0,(IF('Eval-Avec act. écol. envisagée'!$T$361&gt;0,(-1)*('Eval-Avec act. écol. envisagée'!$T$361/100)*LOG('Eval-Avec act. écol. envisagée'!$T$361/100),0)+IF('Eval-Avec act. écol. envisagée'!$T$362&gt;0,(-1)*('Eval-Avec act. écol. envisagée'!$T$362/100)*LOG('Eval-Avec act. écol. envisagée'!$T$362/100),0)+IF('Eval-Avec act. écol. envisagée'!$T$363&gt;0,(-1)*('Eval-Avec act. écol. envisagée'!$T$363/100)*LOG('Eval-Avec act. écol. envisagée'!$T$363/100),0)+IF('Eval-Avec act. écol. envisagée'!$T$364&gt;0,(-1)*('Eval-Avec act. écol. envisagée'!$T$364/100)*LOG('Eval-Avec act. écol. envisagée'!$T$364/100),0)+IF('Eval-Avec act. écol. envisagée'!$T$365&gt;0,(-1)*('Eval-Avec act. écol. envisagée'!$T$365/100)*LOG('Eval-Avec act. écol. envisagée'!$T$365/100),0)+IF('Eval-Avec act. écol. envisagée'!$T$366&gt;0,(-1)*('Eval-Avec act. écol. envisagée'!$T$366/100)*LOG('Eval-Avec act. écol. envisagée'!$T$366/100),0)+IF('Eval-Avec act. écol. envisagée'!$T$367&gt;0,(-1)*('Eval-Avec act. écol. envisagée'!$T$367/100)*LOG('Eval-Avec act. écol. envisagée'!$T$367/100),0)+IF('Eval-Avec act. écol. envisagée'!$T$368&gt;0,(-1)*('Eval-Avec act. écol. envisagée'!$T$368/100)*LOG('Eval-Avec act. écol. envisagée'!$T$368/100),0)+IF('Eval-Avec act. écol. envisagée'!$T$369&gt;0,(-1)*('Eval-Avec act. écol. envisagée'!$T$369/100)*LOG('Eval-Avec act. écol. envisagée'!$T$369/100),0)+IF('Eval-Avec act. écol. envisagée'!$T$370&gt;0,(-1)*('Eval-Avec act. écol. envisagée'!$T$370/100)*LOG('Eval-Avec act. écol. envisagée'!$T$370/100),0))/LOG(COUNTIF('Eval-Avec act. écol. envisagée'!$T$361:$T$370,"&gt;0"))))))</f>
        <v/>
      </c>
      <c r="EK50" s="239"/>
      <c r="EL50" s="236"/>
      <c r="EM50" s="237"/>
      <c r="EN50" s="237"/>
      <c r="EO50" s="237"/>
      <c r="EP50" s="237"/>
      <c r="EQ50" s="237"/>
      <c r="ER50" s="237"/>
      <c r="ES50" s="237"/>
      <c r="ET50" s="238" t="str">
        <f>IF(EJ50="","",EJ50*'Eval-Avec act. écol. envisagée'!$T$356)</f>
        <v/>
      </c>
      <c r="EU50" s="239"/>
      <c r="EV50" s="240" t="str">
        <f>IF(LEN('Eval-Avec act. écol. envisagée'!$T$107)=0,"",IF('Eval-Avec act. écol. envisagée'!$T$107=0,"Site détruit (0 ha).",IF(AND(EJ50&gt;=0,EJ50&lt;=0.3),CONCATENATE("Equitabilité de répartition des grands habitats très réduite (E=",ROUND(EJ50,2),")."),"")))</f>
        <v/>
      </c>
      <c r="EW50" s="241" t="str">
        <f>IF(AND(EJ50&gt;0.3,EJ50&lt;=0.43),CONCATENATE("Equitabilité de répartition des grands habitats réduite (E=",ROUND(EJ50,2),")."),"")</f>
        <v/>
      </c>
      <c r="EX50" s="242" t="str">
        <f>IF(AND(EJ50&gt;0.43,EJ50&lt;=0.57),CONCATENATE("Equitabilité de répartition des grands habitats assez réduite (E=",ROUND(EJ50,2),")."),"")</f>
        <v/>
      </c>
      <c r="EY50" s="242" t="str">
        <f>IF(AND(EJ50&gt;0.57,EJ50&lt;=0.7),CONCATENATE("Equitabilité de répartition des grands habitats élevée (E=",ROUND(EJ50,2),")."),"")</f>
        <v/>
      </c>
      <c r="EZ50" s="242" t="str">
        <f>IF(AND(EJ50&gt;0.7,EJ50&lt;=1),CONCATENATE("Equitabilité de répartition des grands habitats très élevée (E=",ROUND(EJ50,2),")."),"")</f>
        <v/>
      </c>
      <c r="FA50" s="246"/>
      <c r="FB50" s="243" t="str">
        <f>EJ50</f>
        <v/>
      </c>
      <c r="FC50" s="244" t="str">
        <f>ET50</f>
        <v/>
      </c>
      <c r="FD50" s="245"/>
      <c r="FE50" s="1138"/>
      <c r="FF50" s="1137"/>
      <c r="FG50" s="235" t="s">
        <v>217</v>
      </c>
      <c r="FH50" s="236"/>
      <c r="FI50" s="237"/>
      <c r="FJ50" s="237"/>
      <c r="FK50" s="237"/>
      <c r="FL50" s="237"/>
      <c r="FM50" s="237"/>
      <c r="FN50" s="237"/>
      <c r="FO50" s="237"/>
      <c r="FP50" s="238" t="str">
        <f>IF(LEN('Eval-Après action écologique'!$T$107)=0,"",IF('Eval-Après action écologique'!$T$107=0,0,IF(COUNTA('Eval-Après action écologique'!$T$361:$W$370)=0,"",IF(COUNTIF('Eval-Après action écologique'!$T$361:$T$370,"&gt;0")=1,0,(IF('Eval-Après action écologique'!$T$361&gt;0,(-1)*('Eval-Après action écologique'!$T$361/100)*LOG('Eval-Après action écologique'!$T$361/100),0)+IF('Eval-Après action écologique'!$T$362&gt;0,(-1)*('Eval-Après action écologique'!$T$362/100)*LOG('Eval-Après action écologique'!$T$362/100),0)+IF('Eval-Après action écologique'!$T$363&gt;0,(-1)*('Eval-Après action écologique'!$T$363/100)*LOG('Eval-Après action écologique'!$T$363/100),0)+IF('Eval-Après action écologique'!$T$364&gt;0,(-1)*('Eval-Après action écologique'!$T$364/100)*LOG('Eval-Après action écologique'!$T$364/100),0)+IF('Eval-Après action écologique'!$T$365&gt;0,(-1)*('Eval-Après action écologique'!$T$365/100)*LOG('Eval-Après action écologique'!$T$365/100),0)+IF('Eval-Après action écologique'!$T$366&gt;0,(-1)*('Eval-Après action écologique'!$T$366/100)*LOG('Eval-Après action écologique'!$T$366/100),0)+IF('Eval-Après action écologique'!$T$367&gt;0,(-1)*('Eval-Après action écologique'!$T$367/100)*LOG('Eval-Après action écologique'!$T$367/100),0)+IF('Eval-Après action écologique'!$T$368&gt;0,(-1)*('Eval-Après action écologique'!$T$368/100)*LOG('Eval-Après action écologique'!$T$368/100),0)+IF('Eval-Après action écologique'!$T$369&gt;0,(-1)*('Eval-Après action écologique'!$T$369/100)*LOG('Eval-Après action écologique'!$T$369/100),0)+IF('Eval-Après action écologique'!$T$370&gt;0,(-1)*('Eval-Après action écologique'!$T$370/100)*LOG('Eval-Après action écologique'!$T$370/100),0))/LOG(COUNTIF('Eval-Après action écologique'!$T$361:$T$370,"&gt;0"))))))</f>
        <v/>
      </c>
      <c r="FQ50" s="239"/>
      <c r="FR50" s="236"/>
      <c r="FS50" s="237"/>
      <c r="FT50" s="237"/>
      <c r="FU50" s="237"/>
      <c r="FV50" s="237"/>
      <c r="FW50" s="237"/>
      <c r="FX50" s="237"/>
      <c r="FY50" s="237"/>
      <c r="FZ50" s="238" t="str">
        <f>IF(FP50="","",FP50*'Eval-Après action écologique'!$T$356)</f>
        <v/>
      </c>
      <c r="GA50" s="239"/>
      <c r="GB50" s="240" t="str">
        <f>IF(LEN('Eval-Après action écologique'!$T$107)=0,"",IF('Eval-Après action écologique'!$T$107=0,"Site détruit (0 ha).",IF(AND(FP50&gt;=0,FP50&lt;=0.3),CONCATENATE("Equitabilité de répartition des grands habitats très réduite (E=",ROUND(FP50,2),")."),"")))</f>
        <v/>
      </c>
      <c r="GC50" s="241" t="str">
        <f>IF(AND(FP50&gt;0.3,FP50&lt;=0.43),CONCATENATE("Equitabilité de répartition des grands habitats réduite (E=",ROUND(FP50,2),")."),"")</f>
        <v/>
      </c>
      <c r="GD50" s="242" t="str">
        <f>IF(AND(FP50&gt;0.43,FP50&lt;=0.57),CONCATENATE("Equitabilité de répartition des grands habitats assez réduite (E=",ROUND(FP50,2),")."),"")</f>
        <v/>
      </c>
      <c r="GE50" s="242" t="str">
        <f>IF(AND(FP50&gt;0.57,FP50&lt;=0.7),CONCATENATE("Equitabilité de répartition des grands habitats élevée (E=",ROUND(FP50,2),")."),"")</f>
        <v/>
      </c>
      <c r="GF50" s="242" t="str">
        <f>IF(AND(FP50&gt;0.7,FP50&lt;=1),CONCATENATE("Equitabilité de répartition des grands habitats très élevée (E=",ROUND(FP50,2),")."),"")</f>
        <v/>
      </c>
      <c r="GG50" s="246"/>
      <c r="GH50" s="243" t="str">
        <f>FP50</f>
        <v/>
      </c>
      <c r="GI50" s="244" t="str">
        <f>FZ50</f>
        <v/>
      </c>
    </row>
    <row r="51" spans="1:191" ht="31.5" customHeight="1" x14ac:dyDescent="0.2">
      <c r="A51" s="1138"/>
      <c r="B51" s="234" t="s">
        <v>188</v>
      </c>
      <c r="C51" s="235" t="s">
        <v>132</v>
      </c>
      <c r="D51" s="236"/>
      <c r="E51" s="237"/>
      <c r="F51" s="237"/>
      <c r="G51" s="237"/>
      <c r="H51" s="237"/>
      <c r="I51" s="237"/>
      <c r="J51" s="237"/>
      <c r="K51" s="237"/>
      <c r="L51" s="237"/>
      <c r="M51" s="250" t="str">
        <f>IF(LEN('Eval-Avant impact'!$T$107)=0,"",IF('Eval-Avant impact'!$T$107=0,0,IF(OR(COUNTA('Eval-Avant impact'!$J$376,'Eval-Avant impact'!$T$376,'Eval-Avant impact'!$J$377)=0,COUNTA('Eval-Avant impact'!$T$382,'Eval-Avant impact'!$T$387,'Eval-Avant impact'!$T$393,'Eval-Avant impact'!$T$394)=0),"",IF('Eval-Avant impact'!$J$376="X",IF(('Eval-Avant impact'!$T$382/'Eval-Avant impact'!$T$356)&gt;=0.08266,1,('Eval-Avant impact'!$T$382/'Eval-Avant impact'!$T$356)*12.0975),IF('Eval-Avant impact'!$T$376="X",IF(('Eval-Avant impact'!$T$387/'Eval-Avant impact'!$T$356)&gt;=0.07471,1, (1.10634*'Eval-Avant impact'!$T$387/'Eval-Avant impact'!$T$356)*12.0975),IF('Eval-Avant impact'!$J$377="X",IF(('Eval-Avant impact'!$T$393/'Eval-Avant impact'!$T$356+1.10634*'Eval-Avant impact'!$T$394/'Eval-Avant impact'!$T$356)&gt;=0.08266,1,('Eval-Avant impact'!$T$393/'Eval-Avant impact'!$T$356+1.10634*'Eval-Avant impact'!$T$394/'Eval-Avant impact'!$T$356)*12.0975)))))))</f>
        <v/>
      </c>
      <c r="N51" s="236"/>
      <c r="O51" s="237"/>
      <c r="P51" s="237"/>
      <c r="Q51" s="237"/>
      <c r="R51" s="237"/>
      <c r="S51" s="237"/>
      <c r="T51" s="237"/>
      <c r="U51" s="237"/>
      <c r="V51" s="237"/>
      <c r="W51" s="250" t="str">
        <f>IF(M51="","",M51*'Eval-Avant impact'!$T$356)</f>
        <v/>
      </c>
      <c r="X51" s="240" t="str">
        <f>IF(LEN('Eval-Avant impact'!$T$107)=0,"",IF('Eval-Avant impact'!$T$107=0,"Site détruit (0 ha).",IF(AND(M51&gt;=0,M51&lt;=0.2),CONCATENATE("Densité de corr. boisés très réduite (",CONCATENATE(IF('Eval-Avant impact'!$J$376="X",CONCATENATE(ROUND(100*('Eval-Avant impact'!$T$382/'Eval-Avant impact'!$T$356)/1.10634,1)," km/100ha)."),""),IF('Eval-Avant impact'!$T$376="X",CONCATENATE(ROUND(100*'Eval-Avant impact'!$T$387/'Eval-Avant impact'!$T$356,1)," km/100ha)."),""),IF('Eval-Avant impact'!$J$377="X",CONCATENATE(ROUND((100*('Eval-Avant impact'!$T$393/'Eval-Avant impact'!$T$356)/1.10634)+(100*'Eval-Avant impact'!$T$394/'Eval-Avant impact'!$T$356),1)," km/100ha)."),""))),"")))</f>
        <v/>
      </c>
      <c r="Y51" s="241" t="str">
        <f>IF(AND(M51&gt;0.2,M51&lt;=0.4),CONCATENATE("Densité de corr. boisés assez réduite (",CONCATENATE(IF('Eval-Avant impact'!$J$376="X",CONCATENATE(ROUND(100*('Eval-Avant impact'!$T$382/'Eval-Avant impact'!$T$356)/1.10634,1)," km/100ha)."),""),IF('Eval-Avant impact'!$T$376="X",CONCATENATE(ROUND(100*'Eval-Avant impact'!$T$387/'Eval-Avant impact'!$T$356,1)," km/100ha)."),""),IF('Eval-Avant impact'!$J$377="X",CONCATENATE(ROUND((100*('Eval-Avant impact'!$T$393/'Eval-Avant impact'!$T$356)/1.10634)+(100*'Eval-Avant impact'!$T$394/'Eval-Avant impact'!$T$356),1)," km/100ha)."),""))),"")</f>
        <v/>
      </c>
      <c r="Z51" s="242" t="str">
        <f>IF(AND(M51&gt;0.4,M51&lt;=0.6),CONCATENATE("Densité de corr. boisés assez importante (",CONCATENATE(IF('Eval-Avant impact'!$J$376="X",CONCATENATE(ROUND(100*('Eval-Avant impact'!$T$382/'Eval-Avant impact'!$T$356)/1.10634,1)," km/100ha)."),""),IF('Eval-Avant impact'!$T$376="X",CONCATENATE(ROUND(100*'Eval-Avant impact'!$T$387/'Eval-Avant impact'!$T$356,1)," km/100ha)."),""),IF('Eval-Avant impact'!$J$377="X",CONCATENATE(ROUND((100*('Eval-Avant impact'!$T$393/'Eval-Avant impact'!$T$356)/1.10634)+(100*'Eval-Avant impact'!$T$394/'Eval-Avant impact'!$T$356),1)," km/100ha)."),""))),"")</f>
        <v/>
      </c>
      <c r="AA51" s="242" t="str">
        <f>IF(AND(M51&gt;0.6,M51&lt;=0.8),CONCATENATE("Densité de corr. boisés importante (",CONCATENATE(IF('Eval-Avant impact'!$J$376="X",CONCATENATE(ROUND(100*('Eval-Avant impact'!$T$382/'Eval-Avant impact'!$T$356)/1.10634,1)," km/100ha)."),""),IF('Eval-Avant impact'!$T$376="X",CONCATENATE(ROUND(100*'Eval-Avant impact'!$T$387/'Eval-Avant impact'!$T$356,1)," km/100ha)."),""),IF('Eval-Avant impact'!$J$377="X",CONCATENATE(ROUND((100*('Eval-Avant impact'!$T$393/'Eval-Avant impact'!$T$356)/1.10634)+(100*'Eval-Avant impact'!$T$394/'Eval-Avant impact'!$T$356),1)," km/100ha)."),""))),"")</f>
        <v/>
      </c>
      <c r="AB51" s="242" t="str">
        <f>IF(AND(M51&gt;0.8,M51&lt;=1),CONCATENATE("Densité de corr. boisés très importante (",CONCATENATE(IF('Eval-Avant impact'!$J$376="X",CONCATENATE(ROUND(100*('Eval-Avant impact'!$T$382/'Eval-Avant impact'!$T$356)/1.10634,1)," km/100ha)."),""),IF('Eval-Avant impact'!$T$376="X",CONCATENATE(ROUND(100*'Eval-Avant impact'!$T$387/'Eval-Avant impact'!$T$356,1)," km/100ha)."),""),IF('Eval-Avant impact'!$J$377="X",CONCATENATE(ROUND((100*('Eval-Avant impact'!$T$393/'Eval-Avant impact'!$T$356)/1.10634)+(100*'Eval-Avant impact'!$T$394/'Eval-Avant impact'!$T$356),1)," km/100ha)."),""))),"")</f>
        <v/>
      </c>
      <c r="AC51" s="246"/>
      <c r="AD51" s="243" t="str">
        <f>M51</f>
        <v/>
      </c>
      <c r="AE51" s="244" t="str">
        <f>W51</f>
        <v/>
      </c>
      <c r="AF51" s="245"/>
      <c r="AG51" s="1138"/>
      <c r="AH51" s="234" t="s">
        <v>188</v>
      </c>
      <c r="AI51" s="235" t="s">
        <v>132</v>
      </c>
      <c r="AJ51" s="236"/>
      <c r="AK51" s="237"/>
      <c r="AL51" s="237"/>
      <c r="AM51" s="237"/>
      <c r="AN51" s="237"/>
      <c r="AO51" s="237"/>
      <c r="AP51" s="237"/>
      <c r="AQ51" s="237"/>
      <c r="AR51" s="237"/>
      <c r="AS51" s="250" t="str">
        <f>IF(LEN('Eval-Avec impact envisagé'!$T$107)=0,"",IF('Eval-Avec impact envisagé'!$T$107=0,0,IF(OR(COUNTA('Eval-Avec impact envisagé'!$J$376,'Eval-Avec impact envisagé'!$T$376,'Eval-Avec impact envisagé'!$J$377)=0,COUNTA('Eval-Avec impact envisagé'!$T$382,'Eval-Avec impact envisagé'!$T$387,'Eval-Avec impact envisagé'!$T$393,'Eval-Avec impact envisagé'!$T$394)=0),"",IF('Eval-Avec impact envisagé'!$J$376="X",IF(('Eval-Avec impact envisagé'!$T$382/'Eval-Avec impact envisagé'!$T$356)&gt;=0.08266,1,('Eval-Avec impact envisagé'!$T$382/'Eval-Avec impact envisagé'!$T$356)*12.0975),IF('Eval-Avec impact envisagé'!$T$376="X",IF(('Eval-Avec impact envisagé'!$T$387/'Eval-Avec impact envisagé'!$T$356)&gt;=0.07471,1, (1.10634*'Eval-Avec impact envisagé'!$T$387/'Eval-Avec impact envisagé'!$T$356)*12.0975),IF('Eval-Avec impact envisagé'!$J$377="X",IF(('Eval-Avec impact envisagé'!$T$393/'Eval-Avec impact envisagé'!$T$356+1.10634*'Eval-Avec impact envisagé'!$T$394/'Eval-Avec impact envisagé'!$T$356)&gt;=0.08266,1,('Eval-Avec impact envisagé'!$T$393/'Eval-Avec impact envisagé'!$T$356+1.10634*'Eval-Avec impact envisagé'!$T$394/'Eval-Avec impact envisagé'!$T$356)*12.0975)))))))</f>
        <v/>
      </c>
      <c r="AT51" s="236"/>
      <c r="AU51" s="237"/>
      <c r="AV51" s="237"/>
      <c r="AW51" s="237"/>
      <c r="AX51" s="237"/>
      <c r="AY51" s="237"/>
      <c r="AZ51" s="237"/>
      <c r="BA51" s="237"/>
      <c r="BB51" s="237"/>
      <c r="BC51" s="250" t="str">
        <f>IF(AS51="","",AS51*'Eval-Avec impact envisagé'!$T$356)</f>
        <v/>
      </c>
      <c r="BD51" s="240" t="str">
        <f>IF(LEN('Eval-Avec impact envisagé'!$T$107)=0,"",IF('Eval-Avec impact envisagé'!$T$107=0,"Site détruit (0 ha).",IF(AND(AS51&gt;=0,AS51&lt;=0.2),CONCATENATE("Densité de corr. boisés très réduite (",CONCATENATE(IF('Eval-Avec impact envisagé'!$J$376="X",CONCATENATE(ROUND(100*('Eval-Avec impact envisagé'!$T$382/'Eval-Avec impact envisagé'!$T$356)/1.10634,1)," km/100ha)."),""),IF('Eval-Avec impact envisagé'!$T$376="X",CONCATENATE(ROUND(100*'Eval-Avec impact envisagé'!$T$387/'Eval-Avec impact envisagé'!$T$356,1)," km/100ha)."),""),IF('Eval-Avec impact envisagé'!$J$377="X",CONCATENATE(ROUND((100*('Eval-Avec impact envisagé'!$T$393/'Eval-Avec impact envisagé'!$T$356)/1.10634)+(100*'Eval-Avec impact envisagé'!$T$394/'Eval-Avec impact envisagé'!$T$356),1)," km/100ha)."),""))),"")))</f>
        <v/>
      </c>
      <c r="BE51" s="241" t="str">
        <f>IF(AND(AS51&gt;0.2,AS51&lt;=0.4),CONCATENATE("Densité de corr. boisés assez réduite (",CONCATENATE(IF('Eval-Avec impact envisagé'!$J$376="X",CONCATENATE(ROUND(100*('Eval-Avec impact envisagé'!$T$382/'Eval-Avec impact envisagé'!$T$356)/1.10634,1)," km/100ha)."),""),IF('Eval-Avec impact envisagé'!$T$376="X",CONCATENATE(ROUND(100*'Eval-Avec impact envisagé'!$T$387/'Eval-Avec impact envisagé'!$T$356,1)," km/100ha)."),""),IF('Eval-Avec impact envisagé'!$J$377="X",CONCATENATE(ROUND((100*('Eval-Avec impact envisagé'!$T$393/'Eval-Avec impact envisagé'!$T$356)/1.10634)+(100*'Eval-Avec impact envisagé'!$T$394/'Eval-Avec impact envisagé'!$T$356),1)," km/100ha)."),""))),"")</f>
        <v/>
      </c>
      <c r="BF51" s="242" t="str">
        <f>IF(AND(AS51&gt;0.4,AS51&lt;=0.6),CONCATENATE("Densité de corr. boisés assez importante (",CONCATENATE(IF('Eval-Avec impact envisagé'!$J$376="X",CONCATENATE(ROUND(100*('Eval-Avec impact envisagé'!$T$382/'Eval-Avec impact envisagé'!$T$356)/1.10634,1)," km/100ha)."),""),IF('Eval-Avec impact envisagé'!$T$376="X",CONCATENATE(ROUND(100*'Eval-Avec impact envisagé'!$T$387/'Eval-Avec impact envisagé'!$T$356,1)," km/100ha)."),""),IF('Eval-Avec impact envisagé'!$J$377="X",CONCATENATE(ROUND((100*('Eval-Avec impact envisagé'!$T$393/'Eval-Avec impact envisagé'!$T$356)/1.10634)+(100*'Eval-Avec impact envisagé'!$T$394/'Eval-Avec impact envisagé'!$T$356),1)," km/100ha)."),""))),"")</f>
        <v/>
      </c>
      <c r="BG51" s="242" t="str">
        <f>IF(AND(AS51&gt;0.6,AS51&lt;=0.8),CONCATENATE("Densité de corr. boisés importante (",CONCATENATE(IF('Eval-Avec impact envisagé'!$J$376="X",CONCATENATE(ROUND(100*('Eval-Avec impact envisagé'!$T$382/'Eval-Avec impact envisagé'!$T$356)/1.10634,1)," km/100ha)."),""),IF('Eval-Avec impact envisagé'!$T$376="X",CONCATENATE(ROUND(100*'Eval-Avec impact envisagé'!$T$387/'Eval-Avec impact envisagé'!$T$356,1)," km/100ha)."),""),IF('Eval-Avec impact envisagé'!$J$377="X",CONCATENATE(ROUND((100*('Eval-Avec impact envisagé'!$T$393/'Eval-Avec impact envisagé'!$T$356)/1.10634)+(100*'Eval-Avec impact envisagé'!$T$394/'Eval-Avec impact envisagé'!$T$356),1)," km/100ha)."),""))),"")</f>
        <v/>
      </c>
      <c r="BH51" s="242" t="str">
        <f>IF(AND(AS51&gt;0.8,AS51&lt;=1),CONCATENATE("Densité de corr. boisés très importante (",CONCATENATE(IF('Eval-Avec impact envisagé'!$J$376="X",CONCATENATE(ROUND(100*('Eval-Avec impact envisagé'!$T$382/'Eval-Avec impact envisagé'!$T$356)/1.10634,1)," km/100ha)."),""),IF('Eval-Avec impact envisagé'!$T$376="X",CONCATENATE(ROUND(100*'Eval-Avec impact envisagé'!$T$387/'Eval-Avec impact envisagé'!$T$356,1)," km/100ha)."),""),IF('Eval-Avec impact envisagé'!$J$377="X",CONCATENATE(ROUND((100*('Eval-Avec impact envisagé'!$T$393/'Eval-Avec impact envisagé'!$T$356)/1.10634)+(100*'Eval-Avec impact envisagé'!$T$394/'Eval-Avec impact envisagé'!$T$356),1)," km/100ha)."),""))),"")</f>
        <v/>
      </c>
      <c r="BI51" s="246"/>
      <c r="BJ51" s="243" t="str">
        <f>AS51</f>
        <v/>
      </c>
      <c r="BK51" s="244" t="str">
        <f>BC51</f>
        <v/>
      </c>
      <c r="BL51" s="245"/>
      <c r="BM51" s="1138"/>
      <c r="BN51" s="234" t="s">
        <v>188</v>
      </c>
      <c r="BO51" s="235" t="s">
        <v>132</v>
      </c>
      <c r="BP51" s="236"/>
      <c r="BQ51" s="237"/>
      <c r="BR51" s="237"/>
      <c r="BS51" s="237"/>
      <c r="BT51" s="237"/>
      <c r="BU51" s="237"/>
      <c r="BV51" s="237"/>
      <c r="BW51" s="237"/>
      <c r="BX51" s="237"/>
      <c r="BY51" s="250" t="str">
        <f>IF(LEN('Eval-Après impact'!$T$107)=0,"",IF('Eval-Après impact'!$T$107=0,0,IF(OR(COUNTA('Eval-Après impact'!$J$376,'Eval-Après impact'!$T$376,'Eval-Après impact'!$J$377)=0,COUNTA('Eval-Après impact'!$T$382,'Eval-Après impact'!$T$387,'Eval-Après impact'!$T$393,'Eval-Après impact'!$T$394)=0),"",IF('Eval-Après impact'!$J$376="X",IF(('Eval-Après impact'!$T$382/'Eval-Après impact'!$T$356)&gt;=0.08266,1,('Eval-Après impact'!$T$382/'Eval-Après impact'!$T$356)*12.0975),IF('Eval-Après impact'!$T$376="X",IF(('Eval-Après impact'!$T$387/'Eval-Après impact'!$T$356)&gt;=0.07471,1, (1.10634*'Eval-Après impact'!$T$387/'Eval-Après impact'!$T$356)*12.0975),IF('Eval-Après impact'!$J$377="X",IF(('Eval-Après impact'!$T$393/'Eval-Après impact'!$T$356+1.10634*'Eval-Après impact'!$T$394/'Eval-Après impact'!$T$356)&gt;=0.08266,1,('Eval-Après impact'!$T$393/'Eval-Après impact'!$T$356+1.10634*'Eval-Après impact'!$T$394/'Eval-Après impact'!$T$356)*12.0975)))))))</f>
        <v/>
      </c>
      <c r="BZ51" s="236"/>
      <c r="CA51" s="237"/>
      <c r="CB51" s="237"/>
      <c r="CC51" s="237"/>
      <c r="CD51" s="237"/>
      <c r="CE51" s="237"/>
      <c r="CF51" s="237"/>
      <c r="CG51" s="237"/>
      <c r="CH51" s="237"/>
      <c r="CI51" s="250" t="str">
        <f>IF(BY51="","",BY51*'Eval-Après impact'!$T$356)</f>
        <v/>
      </c>
      <c r="CJ51" s="240" t="str">
        <f>IF(LEN('Eval-Après impact'!$T$107)=0,"",IF('Eval-Après impact'!$T$107=0,"Site détruit (0 ha).",IF(AND(BY51&gt;=0,BY51&lt;=0.2),CONCATENATE("Densité de corr. boisés très réduite (",CONCATENATE(IF('Eval-Après impact'!$J$376="X",CONCATENATE(ROUND(100*('Eval-Après impact'!$T$382/'Eval-Après impact'!$T$356)/1.10634,1)," km/100ha)."),""),IF('Eval-Après impact'!$T$376="X",CONCATENATE(ROUND(100*'Eval-Après impact'!$T$387/'Eval-Après impact'!$T$356,1)," km/100ha)."),""),IF('Eval-Après impact'!$J$377="X",CONCATENATE(ROUND((100*('Eval-Après impact'!$T$393/'Eval-Après impact'!$T$356)/1.10634)+(100*'Eval-Après impact'!$T$394/'Eval-Après impact'!$T$356),1)," km/100ha)."),""))),"")))</f>
        <v/>
      </c>
      <c r="CK51" s="241" t="str">
        <f>IF(AND(BY51&gt;0.2,BY51&lt;=0.4),CONCATENATE("Densité de corr. boisés assez réduite (",CONCATENATE(IF('Eval-Après impact'!$J$376="X",CONCATENATE(ROUND(100*('Eval-Après impact'!$T$382/'Eval-Après impact'!$T$356)/1.10634,1)," km/100ha)."),""),IF('Eval-Après impact'!$T$376="X",CONCATENATE(ROUND(100*'Eval-Après impact'!$T$387/'Eval-Après impact'!$T$356,1)," km/100ha)."),""),IF('Eval-Après impact'!$J$377="X",CONCATENATE(ROUND((100*('Eval-Après impact'!$T$393/'Eval-Après impact'!$T$356)/1.10634)+(100*'Eval-Après impact'!$T$394/'Eval-Après impact'!$T$356),1)," km/100ha)."),""))),"")</f>
        <v/>
      </c>
      <c r="CL51" s="242" t="str">
        <f>IF(AND(BY51&gt;0.4,BY51&lt;=0.6),CONCATENATE("Densité de corr. boisés assez importante (",CONCATENATE(IF('Eval-Après impact'!$J$376="X",CONCATENATE(ROUND(100*('Eval-Après impact'!$T$382/'Eval-Après impact'!$T$356)/1.10634,1)," km/100ha)."),""),IF('Eval-Après impact'!$T$376="X",CONCATENATE(ROUND(100*'Eval-Après impact'!$T$387/'Eval-Après impact'!$T$356,1)," km/100ha)."),""),IF('Eval-Après impact'!$J$377="X",CONCATENATE(ROUND((100*('Eval-Après impact'!$T$393/'Eval-Après impact'!$T$356)/1.10634)+(100*'Eval-Après impact'!$T$394/'Eval-Après impact'!$T$356),1)," km/100ha)."),""))),"")</f>
        <v/>
      </c>
      <c r="CM51" s="242" t="str">
        <f>IF(AND(BY51&gt;0.6,BY51&lt;=0.8),CONCATENATE("Densité de corr. boisés importante (",CONCATENATE(IF('Eval-Après impact'!$J$376="X",CONCATENATE(ROUND(100*('Eval-Après impact'!$T$382/'Eval-Après impact'!$T$356)/1.10634,1)," km/100ha)."),""),IF('Eval-Après impact'!$T$376="X",CONCATENATE(ROUND(100*'Eval-Après impact'!$T$387/'Eval-Après impact'!$T$356,1)," km/100ha)."),""),IF('Eval-Après impact'!$J$377="X",CONCATENATE(ROUND((100*('Eval-Après impact'!$T$393/'Eval-Après impact'!$T$356)/1.10634)+(100*'Eval-Après impact'!$T$394/'Eval-Après impact'!$T$356),1)," km/100ha)."),""))),"")</f>
        <v/>
      </c>
      <c r="CN51" s="242" t="str">
        <f>IF(AND(BY51&gt;0.8,BY51&lt;=1),CONCATENATE("Densité de corr. boisés très importante (",CONCATENATE(IF('Eval-Après impact'!$J$376="X",CONCATENATE(ROUND(100*('Eval-Après impact'!$T$382/'Eval-Après impact'!$T$356)/1.10634,1)," km/100ha)."),""),IF('Eval-Après impact'!$T$376="X",CONCATENATE(ROUND(100*'Eval-Après impact'!$T$387/'Eval-Après impact'!$T$356,1)," km/100ha)."),""),IF('Eval-Après impact'!$J$377="X",CONCATENATE(ROUND((100*('Eval-Après impact'!$T$393/'Eval-Après impact'!$T$356)/1.10634)+(100*'Eval-Après impact'!$T$394/'Eval-Après impact'!$T$356),1)," km/100ha)."),""))),"")</f>
        <v/>
      </c>
      <c r="CO51" s="246"/>
      <c r="CP51" s="243" t="str">
        <f>BY51</f>
        <v/>
      </c>
      <c r="CQ51" s="244" t="str">
        <f>CI51</f>
        <v/>
      </c>
      <c r="CR51" s="245"/>
      <c r="CS51" s="1138"/>
      <c r="CT51" s="234" t="s">
        <v>188</v>
      </c>
      <c r="CU51" s="235" t="s">
        <v>132</v>
      </c>
      <c r="CV51" s="236"/>
      <c r="CW51" s="237"/>
      <c r="CX51" s="237"/>
      <c r="CY51" s="237"/>
      <c r="CZ51" s="237"/>
      <c r="DA51" s="237"/>
      <c r="DB51" s="237"/>
      <c r="DC51" s="237"/>
      <c r="DD51" s="237"/>
      <c r="DE51" s="250" t="str">
        <f>IF(LEN('Eval-Avant action écologique'!$T$107)=0,"",IF('Eval-Avant action écologique'!$T$107=0,0,IF(OR(COUNTA('Eval-Avant action écologique'!$J$376,'Eval-Avant action écologique'!$T$376,'Eval-Avant action écologique'!$J$377)=0,COUNTA('Eval-Avant action écologique'!$T$382,'Eval-Avant action écologique'!$T$387,'Eval-Avant action écologique'!$T$393,'Eval-Avant action écologique'!$T$394)=0),"",IF('Eval-Avant action écologique'!$J$376="X",IF(('Eval-Avant action écologique'!$T$382/'Eval-Avant action écologique'!$T$356)&gt;=0.08266,1,('Eval-Avant action écologique'!$T$382/'Eval-Avant action écologique'!$T$356)*12.0975),IF('Eval-Avant action écologique'!$T$376="X",IF(('Eval-Avant action écologique'!$T$387/'Eval-Avant action écologique'!$T$356)&gt;=0.07471,1, (1.10634*'Eval-Avant action écologique'!$T$387/'Eval-Avant action écologique'!$T$356)*12.0975),IF('Eval-Avant action écologique'!$J$377="X",IF(('Eval-Avant action écologique'!$T$393/'Eval-Avant action écologique'!$T$356+1.10634*'Eval-Avant action écologique'!$T$394/'Eval-Avant action écologique'!$T$356)&gt;=0.08266,1,('Eval-Avant action écologique'!$T$393/'Eval-Avant action écologique'!$T$356+1.10634*'Eval-Avant action écologique'!$T$394/'Eval-Avant action écologique'!$T$356)*12.0975)))))))</f>
        <v/>
      </c>
      <c r="DF51" s="236"/>
      <c r="DG51" s="237"/>
      <c r="DH51" s="237"/>
      <c r="DI51" s="237"/>
      <c r="DJ51" s="237"/>
      <c r="DK51" s="237"/>
      <c r="DL51" s="237"/>
      <c r="DM51" s="237"/>
      <c r="DN51" s="237"/>
      <c r="DO51" s="250" t="str">
        <f>IF(DE51="","",DE51*'Eval-Avant action écologique'!$T$356)</f>
        <v/>
      </c>
      <c r="DP51" s="240" t="str">
        <f>IF(LEN('Eval-Avant action écologique'!$T$107)=0,"",IF('Eval-Avant action écologique'!$T$107=0,"Site détruit (0 ha).",IF(AND(DE51&gt;=0,DE51&lt;=0.2),CONCATENATE("Densité de corr. boisés très réduite (",CONCATENATE(IF('Eval-Avant action écologique'!$J$376="X",CONCATENATE(ROUND(100*('Eval-Avant action écologique'!$T$382/'Eval-Avant action écologique'!$T$356)/1.10634,1)," km/100ha)."),""),IF('Eval-Avant action écologique'!$T$376="X",CONCATENATE(ROUND(100*'Eval-Avant action écologique'!$T$387/'Eval-Avant action écologique'!$T$356,1)," km/100ha)."),""),IF('Eval-Avant action écologique'!$J$377="X",CONCATENATE(ROUND((100*('Eval-Avant action écologique'!$T$393/'Eval-Avant action écologique'!$T$356)/1.10634)+(100*'Eval-Avant action écologique'!$T$394/'Eval-Avant action écologique'!$T$356),1)," km/100ha)."),""))),"")))</f>
        <v/>
      </c>
      <c r="DQ51" s="241" t="str">
        <f>IF(AND(DE51&gt;0.2,DE51&lt;=0.4),CONCATENATE("Densité de corr. boisés assez réduite (",CONCATENATE(IF('Eval-Avant action écologique'!$J$376="X",CONCATENATE(ROUND(100*('Eval-Avant action écologique'!$T$382/'Eval-Avant action écologique'!$T$356)/1.10634,1)," km/100ha)."),""),IF('Eval-Avant action écologique'!$T$376="X",CONCATENATE(ROUND(100*'Eval-Avant action écologique'!$T$387/'Eval-Avant action écologique'!$T$356,1)," km/100ha)."),""),IF('Eval-Avant action écologique'!$J$377="X",CONCATENATE(ROUND((100*('Eval-Avant action écologique'!$T$393/'Eval-Avant action écologique'!$T$356)/1.10634)+(100*'Eval-Avant action écologique'!$T$394/'Eval-Avant action écologique'!$T$356),1)," km/100ha)."),""))),"")</f>
        <v/>
      </c>
      <c r="DR51" s="242" t="str">
        <f>IF(AND(DE51&gt;0.4,DE51&lt;=0.6),CONCATENATE("Densité de corr. boisés assez importante (",CONCATENATE(IF('Eval-Avant action écologique'!$J$376="X",CONCATENATE(ROUND(100*('Eval-Avant action écologique'!$T$382/'Eval-Avant action écologique'!$T$356)/1.10634,1)," km/100ha)."),""),IF('Eval-Avant action écologique'!$T$376="X",CONCATENATE(ROUND(100*'Eval-Avant action écologique'!$T$387/'Eval-Avant action écologique'!$T$356,1)," km/100ha)."),""),IF('Eval-Avant action écologique'!$J$377="X",CONCATENATE(ROUND((100*('Eval-Avant action écologique'!$T$393/'Eval-Avant action écologique'!$T$356)/1.10634)+(100*'Eval-Avant action écologique'!$T$394/'Eval-Avant action écologique'!$T$356),1)," km/100ha)."),""))),"")</f>
        <v/>
      </c>
      <c r="DS51" s="242" t="str">
        <f>IF(AND(DE51&gt;0.6,DE51&lt;=0.8),CONCATENATE("Densité de corr. boisés importante (",CONCATENATE(IF('Eval-Avant action écologique'!$J$376="X",CONCATENATE(ROUND(100*('Eval-Avant action écologique'!$T$382/'Eval-Avant action écologique'!$T$356)/1.10634,1)," km/100ha)."),""),IF('Eval-Avant action écologique'!$T$376="X",CONCATENATE(ROUND(100*'Eval-Avant action écologique'!$T$387/'Eval-Avant action écologique'!$T$356,1)," km/100ha)."),""),IF('Eval-Avant action écologique'!$J$377="X",CONCATENATE(ROUND((100*('Eval-Avant action écologique'!$T$393/'Eval-Avant action écologique'!$T$356)/1.10634)+(100*'Eval-Avant action écologique'!$T$394/'Eval-Avant action écologique'!$T$356),1)," km/100ha)."),""))),"")</f>
        <v/>
      </c>
      <c r="DT51" s="242" t="str">
        <f>IF(AND(DE51&gt;0.8,DE51&lt;=1),CONCATENATE("Densité de corr. boisés très importante (",CONCATENATE(IF('Eval-Avant action écologique'!$J$376="X",CONCATENATE(ROUND(100*('Eval-Avant action écologique'!$T$382/'Eval-Avant action écologique'!$T$356)/1.10634,1)," km/100ha)."),""),IF('Eval-Avant action écologique'!$T$376="X",CONCATENATE(ROUND(100*'Eval-Avant action écologique'!$T$387/'Eval-Avant action écologique'!$T$356,1)," km/100ha)."),""),IF('Eval-Avant action écologique'!$J$377="X",CONCATENATE(ROUND((100*('Eval-Avant action écologique'!$T$393/'Eval-Avant action écologique'!$T$356)/1.10634)+(100*'Eval-Avant action écologique'!$T$394/'Eval-Avant action écologique'!$T$356),1)," km/100ha)."),""))),"")</f>
        <v/>
      </c>
      <c r="DU51" s="246"/>
      <c r="DV51" s="243" t="str">
        <f>DE51</f>
        <v/>
      </c>
      <c r="DW51" s="244" t="str">
        <f>DO51</f>
        <v/>
      </c>
      <c r="DX51" s="245"/>
      <c r="DY51" s="1138"/>
      <c r="DZ51" s="234" t="s">
        <v>188</v>
      </c>
      <c r="EA51" s="235" t="s">
        <v>132</v>
      </c>
      <c r="EB51" s="236"/>
      <c r="EC51" s="237"/>
      <c r="ED51" s="237"/>
      <c r="EE51" s="237"/>
      <c r="EF51" s="237"/>
      <c r="EG51" s="237"/>
      <c r="EH51" s="237"/>
      <c r="EI51" s="237"/>
      <c r="EJ51" s="237"/>
      <c r="EK51" s="250" t="str">
        <f>IF(LEN('Eval-Avec act. écol. envisagée'!$T$107)=0,"",IF('Eval-Avec act. écol. envisagée'!$T$107=0,0,IF(OR(COUNTA('Eval-Avec act. écol. envisagée'!$J$376,'Eval-Avec act. écol. envisagée'!$T$376,'Eval-Avec act. écol. envisagée'!$J$377)=0,COUNTA('Eval-Avec act. écol. envisagée'!$T$382,'Eval-Avec act. écol. envisagée'!$T$387,'Eval-Avec act. écol. envisagée'!$T$393,'Eval-Avec act. écol. envisagée'!$T$394)=0),"",IF('Eval-Avec act. écol. envisagée'!$J$376="X",IF(('Eval-Avec act. écol. envisagée'!$T$382/'Eval-Avec act. écol. envisagée'!$T$356)&gt;=0.08266,1,('Eval-Avec act. écol. envisagée'!$T$382/'Eval-Avec act. écol. envisagée'!$T$356)*12.0975),IF('Eval-Avec act. écol. envisagée'!$T$376="X",IF(('Eval-Avec act. écol. envisagée'!$T$387/'Eval-Avec act. écol. envisagée'!$T$356)&gt;=0.07471,1, (1.10634*'Eval-Avec act. écol. envisagée'!$T$387/'Eval-Avec act. écol. envisagée'!$T$356)*12.0975),IF('Eval-Avec act. écol. envisagée'!$J$377="X",IF(('Eval-Avec act. écol. envisagée'!$T$393/'Eval-Avec act. écol. envisagée'!$T$356+1.10634*'Eval-Avec act. écol. envisagée'!$T$394/'Eval-Avec act. écol. envisagée'!$T$356)&gt;=0.08266,1,('Eval-Avec act. écol. envisagée'!$T$393/'Eval-Avec act. écol. envisagée'!$T$356+1.10634*'Eval-Avec act. écol. envisagée'!$T$394/'Eval-Avec act. écol. envisagée'!$T$356)*12.0975)))))))</f>
        <v/>
      </c>
      <c r="EL51" s="236"/>
      <c r="EM51" s="237"/>
      <c r="EN51" s="237"/>
      <c r="EO51" s="237"/>
      <c r="EP51" s="237"/>
      <c r="EQ51" s="237"/>
      <c r="ER51" s="237"/>
      <c r="ES51" s="237"/>
      <c r="ET51" s="237"/>
      <c r="EU51" s="250" t="str">
        <f>IF(EK51="","",EK51*'Eval-Avec act. écol. envisagée'!$T$356)</f>
        <v/>
      </c>
      <c r="EV51" s="240" t="str">
        <f>IF(LEN('Eval-Avec act. écol. envisagée'!$T$107)=0,"",IF('Eval-Avec act. écol. envisagée'!$T$107=0,"Site détruit (0 ha).",IF(AND(EK51&gt;=0,EK51&lt;=0.2),CONCATENATE("Densité de corr. boisés très réduite (",CONCATENATE(IF('Eval-Avec act. écol. envisagée'!$J$376="X",CONCATENATE(ROUND(100*('Eval-Avec act. écol. envisagée'!$T$382/'Eval-Avec act. écol. envisagée'!$T$356)/1.10634,1)," km/100ha)."),""),IF('Eval-Avec act. écol. envisagée'!$T$376="X",CONCATENATE(ROUND(100*'Eval-Avec act. écol. envisagée'!$T$387/'Eval-Avec act. écol. envisagée'!$T$356,1)," km/100ha)."),""),IF('Eval-Avec act. écol. envisagée'!$J$377="X",CONCATENATE(ROUND((100*('Eval-Avec act. écol. envisagée'!$T$393/'Eval-Avec act. écol. envisagée'!$T$356)/1.10634)+(100*'Eval-Avec act. écol. envisagée'!$T$394/'Eval-Avec act. écol. envisagée'!$T$356),1)," km/100ha)."),""))),"")))</f>
        <v/>
      </c>
      <c r="EW51" s="241" t="str">
        <f>IF(AND(EK51&gt;0.2,EK51&lt;=0.4),CONCATENATE("Densité de corr. boisés assez réduite (",CONCATENATE(IF('Eval-Avec act. écol. envisagée'!$J$376="X",CONCATENATE(ROUND(100*('Eval-Avec act. écol. envisagée'!$T$382/'Eval-Avec act. écol. envisagée'!$T$356)/1.10634,1)," km/100ha)."),""),IF('Eval-Avec act. écol. envisagée'!$T$376="X",CONCATENATE(ROUND(100*'Eval-Avec act. écol. envisagée'!$T$387/'Eval-Avec act. écol. envisagée'!$T$356,1)," km/100ha)."),""),IF('Eval-Avec act. écol. envisagée'!$J$377="X",CONCATENATE(ROUND((100*('Eval-Avec act. écol. envisagée'!$T$393/'Eval-Avec act. écol. envisagée'!$T$356)/1.10634)+(100*'Eval-Avec act. écol. envisagée'!$T$394/'Eval-Avec act. écol. envisagée'!$T$356),1)," km/100ha)."),""))),"")</f>
        <v/>
      </c>
      <c r="EX51" s="242" t="str">
        <f>IF(AND(EK51&gt;0.4,EK51&lt;=0.6),CONCATENATE("Densité de corr. boisés assez importante (",CONCATENATE(IF('Eval-Avec act. écol. envisagée'!$J$376="X",CONCATENATE(ROUND(100*('Eval-Avec act. écol. envisagée'!$T$382/'Eval-Avec act. écol. envisagée'!$T$356)/1.10634,1)," km/100ha)."),""),IF('Eval-Avec act. écol. envisagée'!$T$376="X",CONCATENATE(ROUND(100*'Eval-Avec act. écol. envisagée'!$T$387/'Eval-Avec act. écol. envisagée'!$T$356,1)," km/100ha)."),""),IF('Eval-Avec act. écol. envisagée'!$J$377="X",CONCATENATE(ROUND((100*('Eval-Avec act. écol. envisagée'!$T$393/'Eval-Avec act. écol. envisagée'!$T$356)/1.10634)+(100*'Eval-Avec act. écol. envisagée'!$T$394/'Eval-Avec act. écol. envisagée'!$T$356),1)," km/100ha)."),""))),"")</f>
        <v/>
      </c>
      <c r="EY51" s="242" t="str">
        <f>IF(AND(EK51&gt;0.6,EK51&lt;=0.8),CONCATENATE("Densité de corr. boisés importante (",CONCATENATE(IF('Eval-Avec act. écol. envisagée'!$J$376="X",CONCATENATE(ROUND(100*('Eval-Avec act. écol. envisagée'!$T$382/'Eval-Avec act. écol. envisagée'!$T$356)/1.10634,1)," km/100ha)."),""),IF('Eval-Avec act. écol. envisagée'!$T$376="X",CONCATENATE(ROUND(100*'Eval-Avec act. écol. envisagée'!$T$387/'Eval-Avec act. écol. envisagée'!$T$356,1)," km/100ha)."),""),IF('Eval-Avec act. écol. envisagée'!$J$377="X",CONCATENATE(ROUND((100*('Eval-Avec act. écol. envisagée'!$T$393/'Eval-Avec act. écol. envisagée'!$T$356)/1.10634)+(100*'Eval-Avec act. écol. envisagée'!$T$394/'Eval-Avec act. écol. envisagée'!$T$356),1)," km/100ha)."),""))),"")</f>
        <v/>
      </c>
      <c r="EZ51" s="242" t="str">
        <f>IF(AND(EK51&gt;0.8,EK51&lt;=1),CONCATENATE("Densité de corr. boisés très importante (",CONCATENATE(IF('Eval-Avec act. écol. envisagée'!$J$376="X",CONCATENATE(ROUND(100*('Eval-Avec act. écol. envisagée'!$T$382/'Eval-Avec act. écol. envisagée'!$T$356)/1.10634,1)," km/100ha)."),""),IF('Eval-Avec act. écol. envisagée'!$T$376="X",CONCATENATE(ROUND(100*'Eval-Avec act. écol. envisagée'!$T$387/'Eval-Avec act. écol. envisagée'!$T$356,1)," km/100ha)."),""),IF('Eval-Avec act. écol. envisagée'!$J$377="X",CONCATENATE(ROUND((100*('Eval-Avec act. écol. envisagée'!$T$393/'Eval-Avec act. écol. envisagée'!$T$356)/1.10634)+(100*'Eval-Avec act. écol. envisagée'!$T$394/'Eval-Avec act. écol. envisagée'!$T$356),1)," km/100ha)."),""))),"")</f>
        <v/>
      </c>
      <c r="FA51" s="246"/>
      <c r="FB51" s="243" t="str">
        <f>EK51</f>
        <v/>
      </c>
      <c r="FC51" s="244" t="str">
        <f>EU51</f>
        <v/>
      </c>
      <c r="FD51" s="245"/>
      <c r="FE51" s="1138"/>
      <c r="FF51" s="234" t="s">
        <v>188</v>
      </c>
      <c r="FG51" s="235" t="s">
        <v>132</v>
      </c>
      <c r="FH51" s="236"/>
      <c r="FI51" s="237"/>
      <c r="FJ51" s="237"/>
      <c r="FK51" s="237"/>
      <c r="FL51" s="237"/>
      <c r="FM51" s="237"/>
      <c r="FN51" s="237"/>
      <c r="FO51" s="237"/>
      <c r="FP51" s="237"/>
      <c r="FQ51" s="250" t="str">
        <f>IF(LEN('Eval-Après action écologique'!$T$107)=0,"",IF('Eval-Après action écologique'!$T$107=0,0,IF(OR(COUNTA('Eval-Après action écologique'!$J$376,'Eval-Après action écologique'!$T$376,'Eval-Après action écologique'!$J$377)=0,COUNTA('Eval-Après action écologique'!$T$382,'Eval-Après action écologique'!$T$387,'Eval-Après action écologique'!$T$393,'Eval-Après action écologique'!$T$394)=0),"",IF('Eval-Après action écologique'!$J$376="X",IF(('Eval-Après action écologique'!$T$382/'Eval-Après action écologique'!$T$356)&gt;=0.08266,1,('Eval-Après action écologique'!$T$382/'Eval-Après action écologique'!$T$356)*12.0975),IF('Eval-Après action écologique'!$T$376="X",IF(('Eval-Après action écologique'!$T$387/'Eval-Après action écologique'!$T$356)&gt;=0.07471,1, (1.10634*'Eval-Après action écologique'!$T$387/'Eval-Après action écologique'!$T$356)*12.0975),IF('Eval-Après action écologique'!$J$377="X",IF(('Eval-Après action écologique'!$T$393/'Eval-Après action écologique'!$T$356+1.10634*'Eval-Après action écologique'!$T$394/'Eval-Après action écologique'!$T$356)&gt;=0.08266,1,('Eval-Après action écologique'!$T$393/'Eval-Après action écologique'!$T$356+1.10634*'Eval-Après action écologique'!$T$394/'Eval-Après action écologique'!$T$356)*12.0975)))))))</f>
        <v/>
      </c>
      <c r="FR51" s="236"/>
      <c r="FS51" s="237"/>
      <c r="FT51" s="237"/>
      <c r="FU51" s="237"/>
      <c r="FV51" s="237"/>
      <c r="FW51" s="237"/>
      <c r="FX51" s="237"/>
      <c r="FY51" s="237"/>
      <c r="FZ51" s="237"/>
      <c r="GA51" s="250" t="str">
        <f>IF(FQ51="","",FQ51*'Eval-Après action écologique'!$T$356)</f>
        <v/>
      </c>
      <c r="GB51" s="240" t="str">
        <f>IF(LEN('Eval-Après action écologique'!$T$107)=0,"",IF('Eval-Après action écologique'!$T$107=0,"Site détruit (0 ha).",IF(AND(FQ51&gt;=0,FQ51&lt;=0.2),CONCATENATE("Densité de corr. boisés très réduite (",CONCATENATE(IF('Eval-Après action écologique'!$J$376="X",CONCATENATE(ROUND(100*('Eval-Après action écologique'!$T$382/'Eval-Après action écologique'!$T$356)/1.10634,1)," km/100ha)."),""),IF('Eval-Après action écologique'!$T$376="X",CONCATENATE(ROUND(100*'Eval-Après action écologique'!$T$387/'Eval-Après action écologique'!$T$356,1)," km/100ha)."),""),IF('Eval-Après action écologique'!$J$377="X",CONCATENATE(ROUND((100*('Eval-Après action écologique'!$T$393/'Eval-Après action écologique'!$T$356)/1.10634)+(100*'Eval-Après action écologique'!$T$394/'Eval-Après action écologique'!$T$356),1)," km/100ha)."),""))),"")))</f>
        <v/>
      </c>
      <c r="GC51" s="241" t="str">
        <f>IF(AND(FQ51&gt;0.2,FQ51&lt;=0.4),CONCATENATE("Densité de corr. boisés assez réduite (",CONCATENATE(IF('Eval-Après action écologique'!$J$376="X",CONCATENATE(ROUND(100*('Eval-Après action écologique'!$T$382/'Eval-Après action écologique'!$T$356)/1.10634,1)," km/100ha)."),""),IF('Eval-Après action écologique'!$T$376="X",CONCATENATE(ROUND(100*'Eval-Après action écologique'!$T$387/'Eval-Après action écologique'!$T$356,1)," km/100ha)."),""),IF('Eval-Après action écologique'!$J$377="X",CONCATENATE(ROUND((100*('Eval-Après action écologique'!$T$393/'Eval-Après action écologique'!$T$356)/1.10634)+(100*'Eval-Après action écologique'!$T$394/'Eval-Après action écologique'!$T$356),1)," km/100ha)."),""))),"")</f>
        <v/>
      </c>
      <c r="GD51" s="242" t="str">
        <f>IF(AND(FQ51&gt;0.4,FQ51&lt;=0.6),CONCATENATE("Densité de corr. boisés assez importante (",CONCATENATE(IF('Eval-Après action écologique'!$J$376="X",CONCATENATE(ROUND(100*('Eval-Après action écologique'!$T$382/'Eval-Après action écologique'!$T$356)/1.10634,1)," km/100ha)."),""),IF('Eval-Après action écologique'!$T$376="X",CONCATENATE(ROUND(100*'Eval-Après action écologique'!$T$387/'Eval-Après action écologique'!$T$356,1)," km/100ha)."),""),IF('Eval-Après action écologique'!$J$377="X",CONCATENATE(ROUND((100*('Eval-Après action écologique'!$T$393/'Eval-Après action écologique'!$T$356)/1.10634)+(100*'Eval-Après action écologique'!$T$394/'Eval-Après action écologique'!$T$356),1)," km/100ha)."),""))),"")</f>
        <v/>
      </c>
      <c r="GE51" s="242" t="str">
        <f>IF(AND(FQ51&gt;0.6,FQ51&lt;=0.8),CONCATENATE("Densité de corr. boisés importante (",CONCATENATE(IF('Eval-Après action écologique'!$J$376="X",CONCATENATE(ROUND(100*('Eval-Après action écologique'!$T$382/'Eval-Après action écologique'!$T$356)/1.10634,1)," km/100ha)."),""),IF('Eval-Après action écologique'!$T$376="X",CONCATENATE(ROUND(100*'Eval-Après action écologique'!$T$387/'Eval-Après action écologique'!$T$356,1)," km/100ha)."),""),IF('Eval-Après action écologique'!$J$377="X",CONCATENATE(ROUND((100*('Eval-Après action écologique'!$T$393/'Eval-Après action écologique'!$T$356)/1.10634)+(100*'Eval-Après action écologique'!$T$394/'Eval-Après action écologique'!$T$356),1)," km/100ha)."),""))),"")</f>
        <v/>
      </c>
      <c r="GF51" s="242" t="str">
        <f>IF(AND(FQ51&gt;0.8,FQ51&lt;=1),CONCATENATE("Densité de corr. boisés très importante (",CONCATENATE(IF('Eval-Après action écologique'!$J$376="X",CONCATENATE(ROUND(100*('Eval-Après action écologique'!$T$382/'Eval-Après action écologique'!$T$356)/1.10634,1)," km/100ha)."),""),IF('Eval-Après action écologique'!$T$376="X",CONCATENATE(ROUND(100*'Eval-Après action écologique'!$T$387/'Eval-Après action écologique'!$T$356,1)," km/100ha)."),""),IF('Eval-Après action écologique'!$J$377="X",CONCATENATE(ROUND((100*('Eval-Après action écologique'!$T$393/'Eval-Après action écologique'!$T$356)/1.10634)+(100*'Eval-Après action écologique'!$T$394/'Eval-Après action écologique'!$T$356),1)," km/100ha)."),""))),"")</f>
        <v/>
      </c>
      <c r="GG51" s="246"/>
      <c r="GH51" s="243" t="str">
        <f>FQ51</f>
        <v/>
      </c>
      <c r="GI51" s="244" t="str">
        <f>GA51</f>
        <v/>
      </c>
    </row>
    <row r="52" spans="1:191" ht="31.5" customHeight="1" x14ac:dyDescent="0.2">
      <c r="A52" s="1138"/>
      <c r="B52" s="234" t="s">
        <v>189</v>
      </c>
      <c r="C52" s="235" t="s">
        <v>133</v>
      </c>
      <c r="D52" s="236"/>
      <c r="E52" s="237"/>
      <c r="F52" s="237"/>
      <c r="G52" s="237"/>
      <c r="H52" s="237"/>
      <c r="I52" s="237"/>
      <c r="J52" s="237"/>
      <c r="K52" s="237"/>
      <c r="L52" s="237"/>
      <c r="M52" s="250" t="str">
        <f>IF(LEN('Eval-Avant impact'!$T$107)=0,"",IF('Eval-Avant impact'!$T$107=0,0,IF(COUNTA('Eval-Avant impact'!$T$399)=0,"",IF(('Eval-Avant impact'!$T$399/'Eval-Avant impact'!$T$356)&gt;=0.01237,1,('Eval-Avant impact'!$T$399/'Eval-Avant impact'!$T$356)*80.8242065))))</f>
        <v/>
      </c>
      <c r="N52" s="236"/>
      <c r="O52" s="237"/>
      <c r="P52" s="237"/>
      <c r="Q52" s="237"/>
      <c r="R52" s="237"/>
      <c r="S52" s="237"/>
      <c r="T52" s="237"/>
      <c r="U52" s="237"/>
      <c r="V52" s="237"/>
      <c r="W52" s="250" t="str">
        <f>IF(M52="","",M52*'Eval-Avant impact'!$T$356)</f>
        <v/>
      </c>
      <c r="X52" s="240" t="str">
        <f>IF(LEN('Eval-Avant impact'!$T$107)=0,"",IF('Eval-Avant impact'!$T$107=0,"Site détruit (0 ha).",IF(AND(M52&gt;=0,M52&lt;=0.2),CONCATENATE("Densité de corr. aq. perm. très réduite"," (",ROUND(100*'Eval-Avant impact'!$T$399/'Eval-Avant impact'!$T$356,1),"km/100ha)."),"")))</f>
        <v/>
      </c>
      <c r="Y52" s="241" t="str">
        <f>IF(AND(M52&gt;0.2,M52&lt;=0.4),CONCATENATE("Densité de corr. aq. perm. assez réduite"," (",ROUND(100*'Eval-Avant impact'!$T$399/'Eval-Avant impact'!$T$356,1),"km/100ha)."),"")</f>
        <v/>
      </c>
      <c r="Z52" s="242" t="str">
        <f>IF(AND(M52&gt;0.4,M52&lt;=0.6),CONCATENATE("Densité de corr. aq. perm. assez importante"," (",ROUND(100*'Eval-Avant impact'!$T$399/'Eval-Avant impact'!$T$356,1),"km/100ha)."),"")</f>
        <v/>
      </c>
      <c r="AA52" s="242" t="str">
        <f>IF(AND(M52&gt;0.6,M52&lt;=0.8),CONCATENATE("Densité de corr. aq. perm. importante"," (",ROUND(100*'Eval-Avant impact'!$T$399/'Eval-Avant impact'!$T$356,1),"km/100ha)."),"")</f>
        <v/>
      </c>
      <c r="AB52" s="242" t="str">
        <f>IF(AND(M52&gt;0.8,M52&lt;=1),CONCATENATE("Densité de corr. aq. perm. très importante"," (",ROUND(100*'Eval-Avant impact'!$T$399/'Eval-Avant impact'!$T$356,1),"km/100ha)."),"")</f>
        <v/>
      </c>
      <c r="AC52" s="246"/>
      <c r="AD52" s="243" t="str">
        <f>M52</f>
        <v/>
      </c>
      <c r="AE52" s="244" t="str">
        <f>W52</f>
        <v/>
      </c>
      <c r="AF52" s="245"/>
      <c r="AG52" s="1138"/>
      <c r="AH52" s="234" t="s">
        <v>189</v>
      </c>
      <c r="AI52" s="235" t="s">
        <v>133</v>
      </c>
      <c r="AJ52" s="236"/>
      <c r="AK52" s="237"/>
      <c r="AL52" s="237"/>
      <c r="AM52" s="237"/>
      <c r="AN52" s="237"/>
      <c r="AO52" s="237"/>
      <c r="AP52" s="237"/>
      <c r="AQ52" s="237"/>
      <c r="AR52" s="237"/>
      <c r="AS52" s="250" t="str">
        <f>IF(LEN('Eval-Avec impact envisagé'!$T$107)=0,"",IF('Eval-Avec impact envisagé'!$T$107=0,0,IF(COUNTA('Eval-Avec impact envisagé'!$T$399)=0,"",IF(('Eval-Avec impact envisagé'!$T$399/'Eval-Avec impact envisagé'!$T$356)&gt;=0.01237,1,('Eval-Avec impact envisagé'!$T$399/'Eval-Avec impact envisagé'!$T$356)*80.8242065))))</f>
        <v/>
      </c>
      <c r="AT52" s="236"/>
      <c r="AU52" s="237"/>
      <c r="AV52" s="237"/>
      <c r="AW52" s="237"/>
      <c r="AX52" s="237"/>
      <c r="AY52" s="237"/>
      <c r="AZ52" s="237"/>
      <c r="BA52" s="237"/>
      <c r="BB52" s="237"/>
      <c r="BC52" s="250" t="str">
        <f>IF(AS52="","",AS52*'Eval-Avec impact envisagé'!$T$356)</f>
        <v/>
      </c>
      <c r="BD52" s="240" t="str">
        <f>IF(LEN('Eval-Avec impact envisagé'!$T$107)=0,"",IF('Eval-Avec impact envisagé'!$T$107=0,"Site détruit (0 ha).",IF(AND(AS52&gt;=0,AS52&lt;=0.2),CONCATENATE("Densité de corr. aq. perm. très réduite"," (",ROUND(100*'Eval-Avec impact envisagé'!$T$399/'Eval-Avec impact envisagé'!$T$356,1),"km/100ha)."),"")))</f>
        <v/>
      </c>
      <c r="BE52" s="241" t="str">
        <f>IF(AND(AS52&gt;0.2,AS52&lt;=0.4),CONCATENATE("Densité de corr. aq. perm. assez réduite"," (",ROUND(100*'Eval-Avec impact envisagé'!$T$399/'Eval-Avec impact envisagé'!$T$356,1),"km/100ha)."),"")</f>
        <v/>
      </c>
      <c r="BF52" s="242" t="str">
        <f>IF(AND(AS52&gt;0.4,AS52&lt;=0.6),CONCATENATE("Densité de corr. aq. perm. assez importante"," (",ROUND(100*'Eval-Avec impact envisagé'!$T$399/'Eval-Avec impact envisagé'!$T$356,1),"km/100ha)."),"")</f>
        <v/>
      </c>
      <c r="BG52" s="242" t="str">
        <f>IF(AND(AS52&gt;0.6,AS52&lt;=0.8),CONCATENATE("Densité de corr. aq. perm. importante"," (",ROUND(100*'Eval-Avec impact envisagé'!$T$399/'Eval-Avec impact envisagé'!$T$356,1),"km/100ha)."),"")</f>
        <v/>
      </c>
      <c r="BH52" s="242" t="str">
        <f>IF(AND(AS52&gt;0.8,AS52&lt;=1),CONCATENATE("Densité de corr. aq. perm. très importante"," (",ROUND(100*'Eval-Avec impact envisagé'!$T$399/'Eval-Avec impact envisagé'!$T$356,1),"km/100ha)."),"")</f>
        <v/>
      </c>
      <c r="BI52" s="246"/>
      <c r="BJ52" s="243" t="str">
        <f>AS52</f>
        <v/>
      </c>
      <c r="BK52" s="244" t="str">
        <f>BC52</f>
        <v/>
      </c>
      <c r="BL52" s="245"/>
      <c r="BM52" s="1138"/>
      <c r="BN52" s="234" t="s">
        <v>189</v>
      </c>
      <c r="BO52" s="235" t="s">
        <v>133</v>
      </c>
      <c r="BP52" s="236"/>
      <c r="BQ52" s="237"/>
      <c r="BR52" s="237"/>
      <c r="BS52" s="237"/>
      <c r="BT52" s="237"/>
      <c r="BU52" s="237"/>
      <c r="BV52" s="237"/>
      <c r="BW52" s="237"/>
      <c r="BX52" s="237"/>
      <c r="BY52" s="250" t="str">
        <f>IF(LEN('Eval-Après impact'!$T$107)=0,"",IF('Eval-Après impact'!$T$107=0,0,IF(COUNTA('Eval-Après impact'!$T$399)=0,"",IF(('Eval-Après impact'!$T$399/'Eval-Après impact'!$T$356)&gt;=0.01237,1,('Eval-Après impact'!$T$399/'Eval-Après impact'!$T$356)*80.8242065))))</f>
        <v/>
      </c>
      <c r="BZ52" s="236"/>
      <c r="CA52" s="237"/>
      <c r="CB52" s="237"/>
      <c r="CC52" s="237"/>
      <c r="CD52" s="237"/>
      <c r="CE52" s="237"/>
      <c r="CF52" s="237"/>
      <c r="CG52" s="237"/>
      <c r="CH52" s="237"/>
      <c r="CI52" s="250" t="str">
        <f>IF(BY52="","",BY52*'Eval-Après impact'!$T$356)</f>
        <v/>
      </c>
      <c r="CJ52" s="240" t="str">
        <f>IF(LEN('Eval-Après impact'!$T$107)=0,"",IF('Eval-Après impact'!$T$107=0,"Site détruit (0 ha).",IF(AND(BY52&gt;=0,BY52&lt;=0.2),CONCATENATE("Densité de corr. aq. perm. très réduite"," (",ROUND(100*'Eval-Après impact'!$T$399/'Eval-Après impact'!$T$356,1),"km/100ha)."),"")))</f>
        <v/>
      </c>
      <c r="CK52" s="241" t="str">
        <f>IF(AND(BY52&gt;0.2,BY52&lt;=0.4),CONCATENATE("Densité de corr. aq. perm. assez réduite"," (",ROUND(100*'Eval-Après impact'!$T$399/'Eval-Après impact'!$T$356,1),"km/100ha)."),"")</f>
        <v/>
      </c>
      <c r="CL52" s="242" t="str">
        <f>IF(AND(BY52&gt;0.4,BY52&lt;=0.6),CONCATENATE("Densité de corr. aq. perm. assez importante"," (",ROUND(100*'Eval-Après impact'!$T$399/'Eval-Après impact'!$T$356,1),"km/100ha)."),"")</f>
        <v/>
      </c>
      <c r="CM52" s="242" t="str">
        <f>IF(AND(BY52&gt;0.6,BY52&lt;=0.8),CONCATENATE("Densité de corr. aq. perm. importante"," (",ROUND(100*'Eval-Après impact'!$T$399/'Eval-Après impact'!$T$356,1),"km/100ha)."),"")</f>
        <v/>
      </c>
      <c r="CN52" s="242" t="str">
        <f>IF(AND(BY52&gt;0.8,BY52&lt;=1),CONCATENATE("Densité de corr. aq. perm. très importante"," (",ROUND(100*'Eval-Après impact'!$T$399/'Eval-Après impact'!$T$356,1),"km/100ha)."),"")</f>
        <v/>
      </c>
      <c r="CO52" s="246"/>
      <c r="CP52" s="243" t="str">
        <f>BY52</f>
        <v/>
      </c>
      <c r="CQ52" s="244" t="str">
        <f>CI52</f>
        <v/>
      </c>
      <c r="CR52" s="245"/>
      <c r="CS52" s="1138"/>
      <c r="CT52" s="234" t="s">
        <v>189</v>
      </c>
      <c r="CU52" s="235" t="s">
        <v>133</v>
      </c>
      <c r="CV52" s="236"/>
      <c r="CW52" s="237"/>
      <c r="CX52" s="237"/>
      <c r="CY52" s="237"/>
      <c r="CZ52" s="237"/>
      <c r="DA52" s="237"/>
      <c r="DB52" s="237"/>
      <c r="DC52" s="237"/>
      <c r="DD52" s="237"/>
      <c r="DE52" s="250" t="str">
        <f>IF(LEN('Eval-Avant action écologique'!$T$107)=0,"",IF('Eval-Avant action écologique'!$T$107=0,0,IF(COUNTA('Eval-Avant action écologique'!$T$399)=0,"",IF(('Eval-Avant action écologique'!$T$399/'Eval-Avant action écologique'!$T$356)&gt;=0.01237,1,('Eval-Avant action écologique'!$T$399/'Eval-Avant action écologique'!$T$356)*80.8242065))))</f>
        <v/>
      </c>
      <c r="DF52" s="236"/>
      <c r="DG52" s="237"/>
      <c r="DH52" s="237"/>
      <c r="DI52" s="237"/>
      <c r="DJ52" s="237"/>
      <c r="DK52" s="237"/>
      <c r="DL52" s="237"/>
      <c r="DM52" s="237"/>
      <c r="DN52" s="237"/>
      <c r="DO52" s="250" t="str">
        <f>IF(DE52="","",DE52*'Eval-Avant action écologique'!$T$356)</f>
        <v/>
      </c>
      <c r="DP52" s="240" t="str">
        <f>IF(LEN('Eval-Avant action écologique'!$T$107)=0,"",IF('Eval-Avant action écologique'!$T$107=0,"Site détruit (0 ha).",IF(AND(DE52&gt;=0,DE52&lt;=0.2),CONCATENATE("Densité de corr. aq. perm. très réduite"," (",ROUND(100*'Eval-Avant action écologique'!$T$399/'Eval-Avant action écologique'!$T$356,1),"km/100ha)."),"")))</f>
        <v/>
      </c>
      <c r="DQ52" s="241" t="str">
        <f>IF(AND(DE52&gt;0.2,DE52&lt;=0.4),CONCATENATE("Densité de corr. aq. perm. assez réduite"," (",ROUND(100*'Eval-Avant action écologique'!$T$399/'Eval-Avant action écologique'!$T$356,1),"km/100ha)."),"")</f>
        <v/>
      </c>
      <c r="DR52" s="242" t="str">
        <f>IF(AND(DE52&gt;0.4,DE52&lt;=0.6),CONCATENATE("Densité de corr. aq. perm. assez importante"," (",ROUND(100*'Eval-Avant action écologique'!$T$399/'Eval-Avant action écologique'!$T$356,1),"km/100ha)."),"")</f>
        <v/>
      </c>
      <c r="DS52" s="242" t="str">
        <f>IF(AND(DE52&gt;0.6,DE52&lt;=0.8),CONCATENATE("Densité de corr. aq. perm. importante"," (",ROUND(100*'Eval-Avant action écologique'!$T$399/'Eval-Avant action écologique'!$T$356,1),"km/100ha)."),"")</f>
        <v/>
      </c>
      <c r="DT52" s="242" t="str">
        <f>IF(AND(DE52&gt;0.8,DE52&lt;=1),CONCATENATE("Densité de corr. aq. perm. très importante"," (",ROUND(100*'Eval-Avant action écologique'!$T$399/'Eval-Avant action écologique'!$T$356,1),"km/100ha)."),"")</f>
        <v/>
      </c>
      <c r="DU52" s="246"/>
      <c r="DV52" s="243" t="str">
        <f>DE52</f>
        <v/>
      </c>
      <c r="DW52" s="244" t="str">
        <f>DO52</f>
        <v/>
      </c>
      <c r="DX52" s="245"/>
      <c r="DY52" s="1138"/>
      <c r="DZ52" s="234" t="s">
        <v>189</v>
      </c>
      <c r="EA52" s="235" t="s">
        <v>133</v>
      </c>
      <c r="EB52" s="236"/>
      <c r="EC52" s="237"/>
      <c r="ED52" s="237"/>
      <c r="EE52" s="237"/>
      <c r="EF52" s="237"/>
      <c r="EG52" s="237"/>
      <c r="EH52" s="237"/>
      <c r="EI52" s="237"/>
      <c r="EJ52" s="237"/>
      <c r="EK52" s="250" t="str">
        <f>IF(LEN('Eval-Avec act. écol. envisagée'!$T$107)=0,"",IF('Eval-Avec act. écol. envisagée'!$T$107=0,0,IF(COUNTA('Eval-Avec act. écol. envisagée'!$T$399)=0,"",IF(('Eval-Avec act. écol. envisagée'!$T$399/'Eval-Avec act. écol. envisagée'!$T$356)&gt;=0.01237,1,('Eval-Avec act. écol. envisagée'!$T$399/'Eval-Avec act. écol. envisagée'!$T$356)*80.8242065))))</f>
        <v/>
      </c>
      <c r="EL52" s="236"/>
      <c r="EM52" s="237"/>
      <c r="EN52" s="237"/>
      <c r="EO52" s="237"/>
      <c r="EP52" s="237"/>
      <c r="EQ52" s="237"/>
      <c r="ER52" s="237"/>
      <c r="ES52" s="237"/>
      <c r="ET52" s="237"/>
      <c r="EU52" s="250" t="str">
        <f>IF(EK52="","",EK52*'Eval-Avec act. écol. envisagée'!$T$356)</f>
        <v/>
      </c>
      <c r="EV52" s="240" t="str">
        <f>IF(LEN('Eval-Avec act. écol. envisagée'!$T$107)=0,"",IF('Eval-Avec act. écol. envisagée'!$T$107=0,"Site détruit (0 ha).",IF(AND(EK52&gt;=0,EK52&lt;=0.2),CONCATENATE("Densité de corr. aq. perm. très réduite"," (",ROUND(100*'Eval-Avec act. écol. envisagée'!$T$399/'Eval-Avec act. écol. envisagée'!$T$356,1),"km/100ha)."),"")))</f>
        <v/>
      </c>
      <c r="EW52" s="241" t="str">
        <f>IF(AND(EK52&gt;0.2,EK52&lt;=0.4),CONCATENATE("Densité de corr. aq. perm. assez réduite"," (",ROUND(100*'Eval-Avec act. écol. envisagée'!$T$399/'Eval-Avec act. écol. envisagée'!$T$356,1),"km/100ha)."),"")</f>
        <v/>
      </c>
      <c r="EX52" s="242" t="str">
        <f>IF(AND(EK52&gt;0.4,EK52&lt;=0.6),CONCATENATE("Densité de corr. aq. perm. assez importante"," (",ROUND(100*'Eval-Avec act. écol. envisagée'!$T$399/'Eval-Avec act. écol. envisagée'!$T$356,1),"km/100ha)."),"")</f>
        <v/>
      </c>
      <c r="EY52" s="242" t="str">
        <f>IF(AND(EK52&gt;0.6,EK52&lt;=0.8),CONCATENATE("Densité de corr. aq. perm. importante"," (",ROUND(100*'Eval-Avec act. écol. envisagée'!$T$399/'Eval-Avec act. écol. envisagée'!$T$356,1),"km/100ha)."),"")</f>
        <v/>
      </c>
      <c r="EZ52" s="242" t="str">
        <f>IF(AND(EK52&gt;0.8,EK52&lt;=1),CONCATENATE("Densité de corr. aq. perm. très importante"," (",ROUND(100*'Eval-Avec act. écol. envisagée'!$T$399/'Eval-Avec act. écol. envisagée'!$T$356,1),"km/100ha)."),"")</f>
        <v/>
      </c>
      <c r="FA52" s="246"/>
      <c r="FB52" s="243" t="str">
        <f>EK52</f>
        <v/>
      </c>
      <c r="FC52" s="244" t="str">
        <f>EU52</f>
        <v/>
      </c>
      <c r="FD52" s="245"/>
      <c r="FE52" s="1138"/>
      <c r="FF52" s="234" t="s">
        <v>189</v>
      </c>
      <c r="FG52" s="235" t="s">
        <v>133</v>
      </c>
      <c r="FH52" s="236"/>
      <c r="FI52" s="237"/>
      <c r="FJ52" s="237"/>
      <c r="FK52" s="237"/>
      <c r="FL52" s="237"/>
      <c r="FM52" s="237"/>
      <c r="FN52" s="237"/>
      <c r="FO52" s="237"/>
      <c r="FP52" s="237"/>
      <c r="FQ52" s="250" t="str">
        <f>IF(LEN('Eval-Après action écologique'!$T$107)=0,"",IF('Eval-Après action écologique'!$T$107=0,0,IF(COUNTA('Eval-Après action écologique'!$T$399)=0,"",IF(('Eval-Après action écologique'!$T$399/'Eval-Après action écologique'!$T$356)&gt;=0.01237,1,('Eval-Après action écologique'!$T$399/'Eval-Après action écologique'!$T$356)*80.8242065))))</f>
        <v/>
      </c>
      <c r="FR52" s="236"/>
      <c r="FS52" s="237"/>
      <c r="FT52" s="237"/>
      <c r="FU52" s="237"/>
      <c r="FV52" s="237"/>
      <c r="FW52" s="237"/>
      <c r="FX52" s="237"/>
      <c r="FY52" s="237"/>
      <c r="FZ52" s="237"/>
      <c r="GA52" s="250" t="str">
        <f>IF(FQ52="","",FQ52*'Eval-Après action écologique'!$T$356)</f>
        <v/>
      </c>
      <c r="GB52" s="240" t="str">
        <f>IF(LEN('Eval-Après action écologique'!$T$107)=0,"",IF('Eval-Après action écologique'!$T$107=0,"Site détruit (0 ha).",IF(AND(FQ52&gt;=0,FQ52&lt;=0.2),CONCATENATE("Densité de corr. aq. perm. très réduite"," (",ROUND(100*'Eval-Après action écologique'!$T$399/'Eval-Après action écologique'!$T$356,1),"km/100ha)."),"")))</f>
        <v/>
      </c>
      <c r="GC52" s="241" t="str">
        <f>IF(AND(FQ52&gt;0.2,FQ52&lt;=0.4),CONCATENATE("Densité de corr. aq. perm. assez réduite"," (",ROUND(100*'Eval-Après action écologique'!$T$399/'Eval-Après action écologique'!$T$356,1),"km/100ha)."),"")</f>
        <v/>
      </c>
      <c r="GD52" s="242" t="str">
        <f>IF(AND(FQ52&gt;0.4,FQ52&lt;=0.6),CONCATENATE("Densité de corr. aq. perm. assez importante"," (",ROUND(100*'Eval-Après action écologique'!$T$399/'Eval-Après action écologique'!$T$356,1),"km/100ha)."),"")</f>
        <v/>
      </c>
      <c r="GE52" s="242" t="str">
        <f>IF(AND(FQ52&gt;0.6,FQ52&lt;=0.8),CONCATENATE("Densité de corr. aq. perm. importante"," (",ROUND(100*'Eval-Après action écologique'!$T$399/'Eval-Après action écologique'!$T$356,1),"km/100ha)."),"")</f>
        <v/>
      </c>
      <c r="GF52" s="242" t="str">
        <f>IF(AND(FQ52&gt;0.8,FQ52&lt;=1),CONCATENATE("Densité de corr. aq. perm. très importante"," (",ROUND(100*'Eval-Après action écologique'!$T$399/'Eval-Après action écologique'!$T$356,1),"km/100ha)."),"")</f>
        <v/>
      </c>
      <c r="GG52" s="246"/>
      <c r="GH52" s="243" t="str">
        <f>FQ52</f>
        <v/>
      </c>
      <c r="GI52" s="244" t="str">
        <f>GA52</f>
        <v/>
      </c>
    </row>
    <row r="53" spans="1:191" ht="31.5" customHeight="1" x14ac:dyDescent="0.2">
      <c r="A53" s="1138"/>
      <c r="B53" s="234" t="s">
        <v>190</v>
      </c>
      <c r="C53" s="235" t="s">
        <v>134</v>
      </c>
      <c r="D53" s="236"/>
      <c r="E53" s="237"/>
      <c r="F53" s="237"/>
      <c r="G53" s="237"/>
      <c r="H53" s="237"/>
      <c r="I53" s="237"/>
      <c r="J53" s="237"/>
      <c r="K53" s="237"/>
      <c r="L53" s="237"/>
      <c r="M53" s="250" t="str">
        <f>IF(LEN('Eval-Avant impact'!$T$107)=0,"",IF('Eval-Avant impact'!$T$107=0,0,IF(COUNTA('Eval-Avant impact'!$T$398)=0,"",IF(('Eval-Avant impact'!$T$398/'Eval-Avant impact'!$T$356)&gt;=0.02297,1,('Eval-Avant impact'!$T$398/'Eval-Avant impact'!$T$356)*43.526393))))</f>
        <v/>
      </c>
      <c r="N53" s="236"/>
      <c r="O53" s="237"/>
      <c r="P53" s="237"/>
      <c r="Q53" s="237"/>
      <c r="R53" s="237"/>
      <c r="S53" s="237"/>
      <c r="T53" s="237"/>
      <c r="U53" s="237"/>
      <c r="V53" s="237"/>
      <c r="W53" s="250" t="str">
        <f>IF(M53="","",M53*'Eval-Avant impact'!$T$356)</f>
        <v/>
      </c>
      <c r="X53" s="240" t="str">
        <f>IF(LEN('Eval-Avant impact'!$T$107)=0,"",IF('Eval-Avant impact'!$T$107=0,"Site détruit (0 ha).",IF(AND(M53&gt;=0,M53&lt;=0.2),CONCATENATE("Densité de corr. aq. temp. très réduite"," (",ROUND(100*'Eval-Avant impact'!$T$398/'Eval-Avant impact'!$T$356,1)," km/100ha)."),"")))</f>
        <v/>
      </c>
      <c r="Y53" s="241" t="str">
        <f>IF(AND(M53&gt;0.2,M53&lt;=0.4),CONCATENATE("Densité de corr. aq. temp. assez réduite"," (",ROUND(100*'Eval-Avant impact'!$T$398/'Eval-Avant impact'!$T$356,1)," km/100ha)."),"")</f>
        <v/>
      </c>
      <c r="Z53" s="242" t="str">
        <f>IF(AND(M53&gt;0.4,M53&lt;=0.6),CONCATENATE("Densité de corr. aq. temp. assez importante"," (",ROUND(100*'Eval-Avant impact'!$T$398/'Eval-Avant impact'!$T$356,1)," km/100ha)."),"")</f>
        <v/>
      </c>
      <c r="AA53" s="242" t="str">
        <f>IF(AND(M53&gt;0.6,M53&lt;=0.8),CONCATENATE("Densité de corr. aq. temp. importante"," (",ROUND(100*'Eval-Avant impact'!$T$398/'Eval-Avant impact'!$T$356,1)," km/100ha)."),"")</f>
        <v/>
      </c>
      <c r="AB53" s="242" t="str">
        <f>IF(AND(M53&gt;0.8,M53&lt;=1),CONCATENATE("Densité de corr. aq. temp. très importante"," (",ROUND(100*'Eval-Avant impact'!$T$398/'Eval-Avant impact'!$T$356,1)," km/100ha)."),"")</f>
        <v/>
      </c>
      <c r="AC53" s="246"/>
      <c r="AD53" s="243" t="str">
        <f>M53</f>
        <v/>
      </c>
      <c r="AE53" s="244" t="str">
        <f>W53</f>
        <v/>
      </c>
      <c r="AF53" s="245"/>
      <c r="AG53" s="1138"/>
      <c r="AH53" s="234" t="s">
        <v>190</v>
      </c>
      <c r="AI53" s="235" t="s">
        <v>134</v>
      </c>
      <c r="AJ53" s="236"/>
      <c r="AK53" s="237"/>
      <c r="AL53" s="237"/>
      <c r="AM53" s="237"/>
      <c r="AN53" s="237"/>
      <c r="AO53" s="237"/>
      <c r="AP53" s="237"/>
      <c r="AQ53" s="237"/>
      <c r="AR53" s="237"/>
      <c r="AS53" s="250" t="str">
        <f>IF(LEN('Eval-Avec impact envisagé'!$T$107)=0,"",IF('Eval-Avec impact envisagé'!$T$107=0,0,IF(COUNTA('Eval-Avec impact envisagé'!$T$398)=0,"",IF(('Eval-Avec impact envisagé'!$T$398/'Eval-Avec impact envisagé'!$T$356)&gt;=0.02297,1,('Eval-Avec impact envisagé'!$T$398/'Eval-Avec impact envisagé'!$T$356)*43.526393))))</f>
        <v/>
      </c>
      <c r="AT53" s="236"/>
      <c r="AU53" s="237"/>
      <c r="AV53" s="237"/>
      <c r="AW53" s="237"/>
      <c r="AX53" s="237"/>
      <c r="AY53" s="237"/>
      <c r="AZ53" s="237"/>
      <c r="BA53" s="237"/>
      <c r="BB53" s="237"/>
      <c r="BC53" s="250" t="str">
        <f>IF(AS53="","",AS53*'Eval-Avec impact envisagé'!$T$356)</f>
        <v/>
      </c>
      <c r="BD53" s="240" t="str">
        <f>IF(LEN('Eval-Avec impact envisagé'!$T$107)=0,"",IF('Eval-Avec impact envisagé'!$T$107=0,"Site détruit (0 ha).",IF(AND(AS53&gt;=0,AS53&lt;=0.2),CONCATENATE("Densité de corr. aq. temp. très réduite"," (",ROUND(100*'Eval-Avec impact envisagé'!$T$398/'Eval-Avec impact envisagé'!$T$356,1)," km/100ha)."),"")))</f>
        <v/>
      </c>
      <c r="BE53" s="241" t="str">
        <f>IF(AND(AS53&gt;0.2,AS53&lt;=0.4),CONCATENATE("Densité de corr. aq. temp. assez réduite"," (",ROUND(100*'Eval-Avec impact envisagé'!$T$398/'Eval-Avec impact envisagé'!$T$356,1)," km/100ha)."),"")</f>
        <v/>
      </c>
      <c r="BF53" s="242" t="str">
        <f>IF(AND(AS53&gt;0.4,AS53&lt;=0.6),CONCATENATE("Densité de corr. aq. temp. assez importante"," (",ROUND(100*'Eval-Avec impact envisagé'!$T$398/'Eval-Avec impact envisagé'!$T$356,1)," km/100ha)."),"")</f>
        <v/>
      </c>
      <c r="BG53" s="242" t="str">
        <f>IF(AND(AS53&gt;0.6,AS53&lt;=0.8),CONCATENATE("Densité de corr. aq. temp. importante"," (",ROUND(100*'Eval-Avec impact envisagé'!$T$398/'Eval-Avec impact envisagé'!$T$356,1)," km/100ha)."),"")</f>
        <v/>
      </c>
      <c r="BH53" s="242" t="str">
        <f>IF(AND(AS53&gt;0.8,AS53&lt;=1),CONCATENATE("Densité de corr. aq. temp. très importante"," (",ROUND(100*'Eval-Avec impact envisagé'!$T$398/'Eval-Avec impact envisagé'!$T$356,1)," km/100ha)."),"")</f>
        <v/>
      </c>
      <c r="BI53" s="246"/>
      <c r="BJ53" s="243" t="str">
        <f>AS53</f>
        <v/>
      </c>
      <c r="BK53" s="244" t="str">
        <f>BC53</f>
        <v/>
      </c>
      <c r="BL53" s="245"/>
      <c r="BM53" s="1138"/>
      <c r="BN53" s="234" t="s">
        <v>190</v>
      </c>
      <c r="BO53" s="235" t="s">
        <v>134</v>
      </c>
      <c r="BP53" s="236"/>
      <c r="BQ53" s="237"/>
      <c r="BR53" s="237"/>
      <c r="BS53" s="237"/>
      <c r="BT53" s="237"/>
      <c r="BU53" s="237"/>
      <c r="BV53" s="237"/>
      <c r="BW53" s="237"/>
      <c r="BX53" s="237"/>
      <c r="BY53" s="250" t="str">
        <f>IF(LEN('Eval-Après impact'!$T$107)=0,"",IF('Eval-Après impact'!$T$107=0,0,IF(COUNTA('Eval-Après impact'!$T$398)=0,"",IF(('Eval-Après impact'!$T$398/'Eval-Après impact'!$T$356)&gt;=0.02297,1,('Eval-Après impact'!$T$398/'Eval-Après impact'!$T$356)*43.526393))))</f>
        <v/>
      </c>
      <c r="BZ53" s="236"/>
      <c r="CA53" s="237"/>
      <c r="CB53" s="237"/>
      <c r="CC53" s="237"/>
      <c r="CD53" s="237"/>
      <c r="CE53" s="237"/>
      <c r="CF53" s="237"/>
      <c r="CG53" s="237"/>
      <c r="CH53" s="237"/>
      <c r="CI53" s="250" t="str">
        <f>IF(BY53="","",BY53*'Eval-Après impact'!$T$356)</f>
        <v/>
      </c>
      <c r="CJ53" s="240" t="str">
        <f>IF(LEN('Eval-Après impact'!$T$107)=0,"",IF('Eval-Après impact'!$T$107=0,"Site détruit (0 ha).",IF(AND(BY53&gt;=0,BY53&lt;=0.2),CONCATENATE("Densité de corr. aq. temp. très réduite"," (",ROUND(100*'Eval-Après impact'!$T$398/'Eval-Après impact'!$T$356,1)," km/100ha)."),"")))</f>
        <v/>
      </c>
      <c r="CK53" s="241" t="str">
        <f>IF(AND(BY53&gt;0.2,BY53&lt;=0.4),CONCATENATE("Densité de corr. aq. temp. assez réduite"," (",ROUND(100*'Eval-Après impact'!$T$398/'Eval-Après impact'!$T$356,1)," km/100ha)."),"")</f>
        <v/>
      </c>
      <c r="CL53" s="242" t="str">
        <f>IF(AND(BY53&gt;0.4,BY53&lt;=0.6),CONCATENATE("Densité de corr. aq. temp. assez importante"," (",ROUND(100*'Eval-Après impact'!$T$398/'Eval-Après impact'!$T$356,1)," km/100ha)."),"")</f>
        <v/>
      </c>
      <c r="CM53" s="242" t="str">
        <f>IF(AND(BY53&gt;0.6,BY53&lt;=0.8),CONCATENATE("Densité de corr. aq. temp. importante"," (",ROUND(100*'Eval-Après impact'!$T$398/'Eval-Après impact'!$T$356,1)," km/100ha)."),"")</f>
        <v/>
      </c>
      <c r="CN53" s="242" t="str">
        <f>IF(AND(BY53&gt;0.8,BY53&lt;=1),CONCATENATE("Densité de corr. aq. temp. très importante"," (",ROUND(100*'Eval-Après impact'!$T$398/'Eval-Après impact'!$T$356,1)," km/100ha)."),"")</f>
        <v/>
      </c>
      <c r="CO53" s="246"/>
      <c r="CP53" s="243" t="str">
        <f>BY53</f>
        <v/>
      </c>
      <c r="CQ53" s="244" t="str">
        <f>CI53</f>
        <v/>
      </c>
      <c r="CR53" s="245"/>
      <c r="CS53" s="1138"/>
      <c r="CT53" s="234" t="s">
        <v>190</v>
      </c>
      <c r="CU53" s="235" t="s">
        <v>134</v>
      </c>
      <c r="CV53" s="236"/>
      <c r="CW53" s="237"/>
      <c r="CX53" s="237"/>
      <c r="CY53" s="237"/>
      <c r="CZ53" s="237"/>
      <c r="DA53" s="237"/>
      <c r="DB53" s="237"/>
      <c r="DC53" s="237"/>
      <c r="DD53" s="237"/>
      <c r="DE53" s="250" t="str">
        <f>IF(LEN('Eval-Avant action écologique'!$T$107)=0,"",IF('Eval-Avant action écologique'!$T$107=0,0,IF(COUNTA('Eval-Avant action écologique'!$T$398)=0,"",IF(('Eval-Avant action écologique'!$T$398/'Eval-Avant action écologique'!$T$356)&gt;=0.02297,1,('Eval-Avant action écologique'!$T$398/'Eval-Avant action écologique'!$T$356)*43.526393))))</f>
        <v/>
      </c>
      <c r="DF53" s="236"/>
      <c r="DG53" s="237"/>
      <c r="DH53" s="237"/>
      <c r="DI53" s="237"/>
      <c r="DJ53" s="237"/>
      <c r="DK53" s="237"/>
      <c r="DL53" s="237"/>
      <c r="DM53" s="237"/>
      <c r="DN53" s="237"/>
      <c r="DO53" s="250" t="str">
        <f>IF(DE53="","",DE53*'Eval-Avant action écologique'!$T$356)</f>
        <v/>
      </c>
      <c r="DP53" s="240" t="str">
        <f>IF(LEN('Eval-Avant action écologique'!$T$107)=0,"",IF('Eval-Avant action écologique'!$T$107=0,"Site détruit (0 ha).",IF(AND(DE53&gt;=0,DE53&lt;=0.2),CONCATENATE("Densité de corr. aq. temp. très réduite"," (",ROUND(100*'Eval-Avant action écologique'!$T$398/'Eval-Avant action écologique'!$T$356,1)," km/100ha)."),"")))</f>
        <v/>
      </c>
      <c r="DQ53" s="241" t="str">
        <f>IF(AND(DE53&gt;0.2,DE53&lt;=0.4),CONCATENATE("Densité de corr. aq. temp. assez réduite"," (",ROUND(100*'Eval-Avant action écologique'!$T$398/'Eval-Avant action écologique'!$T$356,1)," km/100ha)."),"")</f>
        <v/>
      </c>
      <c r="DR53" s="242" t="str">
        <f>IF(AND(DE53&gt;0.4,DE53&lt;=0.6),CONCATENATE("Densité de corr. aq. temp. assez importante"," (",ROUND(100*'Eval-Avant action écologique'!$T$398/'Eval-Avant action écologique'!$T$356,1)," km/100ha)."),"")</f>
        <v/>
      </c>
      <c r="DS53" s="242" t="str">
        <f>IF(AND(DE53&gt;0.6,DE53&lt;=0.8),CONCATENATE("Densité de corr. aq. temp. importante"," (",ROUND(100*'Eval-Avant action écologique'!$T$398/'Eval-Avant action écologique'!$T$356,1)," km/100ha)."),"")</f>
        <v/>
      </c>
      <c r="DT53" s="242" t="str">
        <f>IF(AND(DE53&gt;0.8,DE53&lt;=1),CONCATENATE("Densité de corr. aq. temp. très importante"," (",ROUND(100*'Eval-Avant action écologique'!$T$398/'Eval-Avant action écologique'!$T$356,1)," km/100ha)."),"")</f>
        <v/>
      </c>
      <c r="DU53" s="246"/>
      <c r="DV53" s="243" t="str">
        <f>DE53</f>
        <v/>
      </c>
      <c r="DW53" s="244" t="str">
        <f>DO53</f>
        <v/>
      </c>
      <c r="DX53" s="245"/>
      <c r="DY53" s="1138"/>
      <c r="DZ53" s="234" t="s">
        <v>190</v>
      </c>
      <c r="EA53" s="235" t="s">
        <v>134</v>
      </c>
      <c r="EB53" s="236"/>
      <c r="EC53" s="237"/>
      <c r="ED53" s="237"/>
      <c r="EE53" s="237"/>
      <c r="EF53" s="237"/>
      <c r="EG53" s="237"/>
      <c r="EH53" s="237"/>
      <c r="EI53" s="237"/>
      <c r="EJ53" s="237"/>
      <c r="EK53" s="250" t="str">
        <f>IF(LEN('Eval-Avec act. écol. envisagée'!$T$107)=0,"",IF('Eval-Avec act. écol. envisagée'!$T$107=0,0,IF(COUNTA('Eval-Avec act. écol. envisagée'!$T$398)=0,"",IF(('Eval-Avec act. écol. envisagée'!$T$398/'Eval-Avec act. écol. envisagée'!$T$356)&gt;=0.02297,1,('Eval-Avec act. écol. envisagée'!$T$398/'Eval-Avec act. écol. envisagée'!$T$356)*43.526393))))</f>
        <v/>
      </c>
      <c r="EL53" s="236"/>
      <c r="EM53" s="237"/>
      <c r="EN53" s="237"/>
      <c r="EO53" s="237"/>
      <c r="EP53" s="237"/>
      <c r="EQ53" s="237"/>
      <c r="ER53" s="237"/>
      <c r="ES53" s="237"/>
      <c r="ET53" s="237"/>
      <c r="EU53" s="250" t="str">
        <f>IF(EK53="","",EK53*'Eval-Avec act. écol. envisagée'!$T$356)</f>
        <v/>
      </c>
      <c r="EV53" s="240" t="str">
        <f>IF(LEN('Eval-Avec act. écol. envisagée'!$T$107)=0,"",IF('Eval-Avec act. écol. envisagée'!$T$107=0,"Site détruit (0 ha).",IF(AND(EK53&gt;=0,EK53&lt;=0.2),CONCATENATE("Densité de corr. aq. temp. très réduite"," (",ROUND(100*'Eval-Avec act. écol. envisagée'!$T$398/'Eval-Avec act. écol. envisagée'!$T$356,1)," km/100ha)."),"")))</f>
        <v/>
      </c>
      <c r="EW53" s="241" t="str">
        <f>IF(AND(EK53&gt;0.2,EK53&lt;=0.4),CONCATENATE("Densité de corr. aq. temp. assez réduite"," (",ROUND(100*'Eval-Avec act. écol. envisagée'!$T$398/'Eval-Avec act. écol. envisagée'!$T$356,1)," km/100ha)."),"")</f>
        <v/>
      </c>
      <c r="EX53" s="242" t="str">
        <f>IF(AND(EK53&gt;0.4,EK53&lt;=0.6),CONCATENATE("Densité de corr. aq. temp. assez importante"," (",ROUND(100*'Eval-Avec act. écol. envisagée'!$T$398/'Eval-Avec act. écol. envisagée'!$T$356,1)," km/100ha)."),"")</f>
        <v/>
      </c>
      <c r="EY53" s="242" t="str">
        <f>IF(AND(EK53&gt;0.6,EK53&lt;=0.8),CONCATENATE("Densité de corr. aq. temp. importante"," (",ROUND(100*'Eval-Avec act. écol. envisagée'!$T$398/'Eval-Avec act. écol. envisagée'!$T$356,1)," km/100ha)."),"")</f>
        <v/>
      </c>
      <c r="EZ53" s="242" t="str">
        <f>IF(AND(EK53&gt;0.8,EK53&lt;=1),CONCATENATE("Densité de corr. aq. temp. très importante"," (",ROUND(100*'Eval-Avec act. écol. envisagée'!$T$398/'Eval-Avec act. écol. envisagée'!$T$356,1)," km/100ha)."),"")</f>
        <v/>
      </c>
      <c r="FA53" s="246"/>
      <c r="FB53" s="243" t="str">
        <f>EK53</f>
        <v/>
      </c>
      <c r="FC53" s="244" t="str">
        <f>EU53</f>
        <v/>
      </c>
      <c r="FD53" s="245"/>
      <c r="FE53" s="1138"/>
      <c r="FF53" s="234" t="s">
        <v>190</v>
      </c>
      <c r="FG53" s="235" t="s">
        <v>134</v>
      </c>
      <c r="FH53" s="236"/>
      <c r="FI53" s="237"/>
      <c r="FJ53" s="237"/>
      <c r="FK53" s="237"/>
      <c r="FL53" s="237"/>
      <c r="FM53" s="237"/>
      <c r="FN53" s="237"/>
      <c r="FO53" s="237"/>
      <c r="FP53" s="237"/>
      <c r="FQ53" s="250" t="str">
        <f>IF(LEN('Eval-Après action écologique'!$T$107)=0,"",IF('Eval-Après action écologique'!$T$107=0,0,IF(COUNTA('Eval-Après action écologique'!$T$398)=0,"",IF(('Eval-Après action écologique'!$T$398/'Eval-Après action écologique'!$T$356)&gt;=0.02297,1,('Eval-Après action écologique'!$T$398/'Eval-Après action écologique'!$T$356)*43.526393))))</f>
        <v/>
      </c>
      <c r="FR53" s="236"/>
      <c r="FS53" s="237"/>
      <c r="FT53" s="237"/>
      <c r="FU53" s="237"/>
      <c r="FV53" s="237"/>
      <c r="FW53" s="237"/>
      <c r="FX53" s="237"/>
      <c r="FY53" s="237"/>
      <c r="FZ53" s="237"/>
      <c r="GA53" s="250" t="str">
        <f>IF(FQ53="","",FQ53*'Eval-Après action écologique'!$T$356)</f>
        <v/>
      </c>
      <c r="GB53" s="240" t="str">
        <f>IF(LEN('Eval-Après action écologique'!$T$107)=0,"",IF('Eval-Après action écologique'!$T$107=0,"Site détruit (0 ha).",IF(AND(FQ53&gt;=0,FQ53&lt;=0.2),CONCATENATE("Densité de corr. aq. temp. très réduite"," (",ROUND(100*'Eval-Après action écologique'!$T$398/'Eval-Après action écologique'!$T$356,1)," km/100ha)."),"")))</f>
        <v/>
      </c>
      <c r="GC53" s="241" t="str">
        <f>IF(AND(FQ53&gt;0.2,FQ53&lt;=0.4),CONCATENATE("Densité de corr. aq. temp. assez réduite"," (",ROUND(100*'Eval-Après action écologique'!$T$398/'Eval-Après action écologique'!$T$356,1)," km/100ha)."),"")</f>
        <v/>
      </c>
      <c r="GD53" s="242" t="str">
        <f>IF(AND(FQ53&gt;0.4,FQ53&lt;=0.6),CONCATENATE("Densité de corr. aq. temp. assez importante"," (",ROUND(100*'Eval-Après action écologique'!$T$398/'Eval-Après action écologique'!$T$356,1)," km/100ha)."),"")</f>
        <v/>
      </c>
      <c r="GE53" s="242" t="str">
        <f>IF(AND(FQ53&gt;0.6,FQ53&lt;=0.8),CONCATENATE("Densité de corr. aq. temp. importante"," (",ROUND(100*'Eval-Après action écologique'!$T$398/'Eval-Après action écologique'!$T$356,1)," km/100ha)."),"")</f>
        <v/>
      </c>
      <c r="GF53" s="242" t="str">
        <f>IF(AND(FQ53&gt;0.8,FQ53&lt;=1),CONCATENATE("Densité de corr. aq. temp. très importante"," (",ROUND(100*'Eval-Après action écologique'!$T$398/'Eval-Après action écologique'!$T$356,1)," km/100ha)."),"")</f>
        <v/>
      </c>
      <c r="GG53" s="246"/>
      <c r="GH53" s="243" t="str">
        <f>FQ53</f>
        <v/>
      </c>
      <c r="GI53" s="244" t="str">
        <f>GA53</f>
        <v/>
      </c>
    </row>
    <row r="54" spans="1:191" ht="31.5" customHeight="1" x14ac:dyDescent="0.2">
      <c r="A54" s="1138"/>
      <c r="B54" s="234" t="s">
        <v>191</v>
      </c>
      <c r="C54" s="235" t="s">
        <v>135</v>
      </c>
      <c r="D54" s="236"/>
      <c r="E54" s="237"/>
      <c r="F54" s="237"/>
      <c r="G54" s="237"/>
      <c r="H54" s="237"/>
      <c r="I54" s="237"/>
      <c r="J54" s="237"/>
      <c r="K54" s="237"/>
      <c r="L54" s="237"/>
      <c r="M54" s="250" t="str">
        <f>IF(LEN('Eval-Avant impact'!$T$107)=0,"",IF('Eval-Avant impact'!$T$107=0,0,IF(COUNTA('Eval-Avant impact'!$T$408)=0,"",IF(('Eval-Avant impact'!$T$408/'Eval-Avant impact'!$T$356)&gt;=0.00872,0,1-('Eval-Avant impact'!$T$408*114.582772/'Eval-Avant impact'!$T$356)))))</f>
        <v/>
      </c>
      <c r="N54" s="236"/>
      <c r="O54" s="237"/>
      <c r="P54" s="237"/>
      <c r="Q54" s="237"/>
      <c r="R54" s="237"/>
      <c r="S54" s="237"/>
      <c r="T54" s="237"/>
      <c r="U54" s="237"/>
      <c r="V54" s="237"/>
      <c r="W54" s="250" t="str">
        <f>IF(M54="","",M54*'Eval-Avant impact'!$T$356)</f>
        <v/>
      </c>
      <c r="X54" s="240" t="str">
        <f>IF(LEN('Eval-Avant impact'!$T$107)=0,"",IF('Eval-Avant impact'!$T$107=0,"Site détruit (0 ha).",IF(AND(M54&gt;=0,M54&lt;=0.2),CONCATENATE("Densité de grandes infrast. de transp. très importante"," (",ROUND(100*'Eval-Avant impact'!$T$408/'Eval-Avant impact'!$T$356,1)," km/100ha)."),"")))</f>
        <v/>
      </c>
      <c r="Y54" s="241" t="str">
        <f>IF(AND(M54&gt;0.2,M54&lt;=0.4),CONCATENATE("Densité de grandes infrast. de transp. importante"," (",ROUND(100*'Eval-Avant impact'!$T$408/'Eval-Avant impact'!$T$356,1)," km/100ha)."),"")</f>
        <v/>
      </c>
      <c r="Z54" s="242" t="str">
        <f>IF(AND(M54&gt;0.4,M54&lt;=0.6),CONCATENATE("Densité de grandes infrast. de transp. assez importante"," (",ROUND(100*'Eval-Avant impact'!$T$408/'Eval-Avant impact'!$T$356,1)," km/100ha)."),"")</f>
        <v/>
      </c>
      <c r="AA54" s="242" t="str">
        <f>IF(AND(M54&gt;0.6,M54&lt;=0.8),CONCATENATE("Densité de grandes infrast. de transp. réduite"," (",ROUND(100*'Eval-Avant impact'!$T$408/'Eval-Avant impact'!$T$356,1)," km/100ha)."),"")</f>
        <v/>
      </c>
      <c r="AB54" s="242" t="str">
        <f>IF(AND(M54&gt;0.8,M54&lt;=1),CONCATENATE("Densité de grandes infrast. de transp. très réduite"," (",ROUND(100*'Eval-Avant impact'!$T$408/'Eval-Avant impact'!$T$356,1)," km/100ha)."),"")</f>
        <v/>
      </c>
      <c r="AC54" s="246"/>
      <c r="AD54" s="243" t="str">
        <f>M54</f>
        <v/>
      </c>
      <c r="AE54" s="244" t="str">
        <f>W54</f>
        <v/>
      </c>
      <c r="AF54" s="245"/>
      <c r="AG54" s="1138"/>
      <c r="AH54" s="234" t="s">
        <v>191</v>
      </c>
      <c r="AI54" s="235" t="s">
        <v>135</v>
      </c>
      <c r="AJ54" s="236"/>
      <c r="AK54" s="237"/>
      <c r="AL54" s="237"/>
      <c r="AM54" s="237"/>
      <c r="AN54" s="237"/>
      <c r="AO54" s="237"/>
      <c r="AP54" s="237"/>
      <c r="AQ54" s="237"/>
      <c r="AR54" s="237"/>
      <c r="AS54" s="250" t="str">
        <f>IF(LEN('Eval-Avec impact envisagé'!$T$107)=0,"",IF('Eval-Avec impact envisagé'!$T$107=0,0,IF(COUNTA('Eval-Avec impact envisagé'!$T$408)=0,"",IF(('Eval-Avec impact envisagé'!$T$408/'Eval-Avec impact envisagé'!$T$356)&gt;=0.00872,0,1-('Eval-Avec impact envisagé'!$T$408*114.582772/'Eval-Avec impact envisagé'!$T$356)))))</f>
        <v/>
      </c>
      <c r="AT54" s="236"/>
      <c r="AU54" s="237"/>
      <c r="AV54" s="237"/>
      <c r="AW54" s="237"/>
      <c r="AX54" s="237"/>
      <c r="AY54" s="237"/>
      <c r="AZ54" s="237"/>
      <c r="BA54" s="237"/>
      <c r="BB54" s="237"/>
      <c r="BC54" s="250" t="str">
        <f>IF(AS54="","",AS54*'Eval-Avec impact envisagé'!$T$356)</f>
        <v/>
      </c>
      <c r="BD54" s="240" t="str">
        <f>IF(LEN('Eval-Avec impact envisagé'!$T$107)=0,"",IF('Eval-Avec impact envisagé'!$T$107=0,"Site détruit (0 ha).",IF(AND(AS54&gt;=0,AS54&lt;=0.2),CONCATENATE("Densité de grandes infrast. de transp. très importante"," (",ROUND(100*'Eval-Avec impact envisagé'!$T$408/'Eval-Avec impact envisagé'!$T$356,1)," km/100ha)."),"")))</f>
        <v/>
      </c>
      <c r="BE54" s="241" t="str">
        <f>IF(AND(AS54&gt;0.2,AS54&lt;=0.4),CONCATENATE("Densité de grandes infrast. de transp. importante"," (",ROUND(100*'Eval-Avec impact envisagé'!$T$408/'Eval-Avec impact envisagé'!$T$356,1)," km/100ha)."),"")</f>
        <v/>
      </c>
      <c r="BF54" s="242" t="str">
        <f>IF(AND(AS54&gt;0.4,AS54&lt;=0.6),CONCATENATE("Densité de grandes infrast. de transp. assez importante"," (",ROUND(100*'Eval-Avec impact envisagé'!$T$408/'Eval-Avec impact envisagé'!$T$356,1)," km/100ha)."),"")</f>
        <v/>
      </c>
      <c r="BG54" s="242" t="str">
        <f>IF(AND(AS54&gt;0.6,AS54&lt;=0.8),CONCATENATE("Densité de grandes infrast. de transp. réduite"," (",ROUND(100*'Eval-Avec impact envisagé'!$T$408/'Eval-Avec impact envisagé'!$T$356,1)," km/100ha)."),"")</f>
        <v/>
      </c>
      <c r="BH54" s="242" t="str">
        <f>IF(AND(AS54&gt;0.8,AS54&lt;=1),CONCATENATE("Densité de grandes infrast. de transp. très réduite"," (",ROUND(100*'Eval-Avec impact envisagé'!$T$408/'Eval-Avec impact envisagé'!$T$356,1)," km/100ha)."),"")</f>
        <v/>
      </c>
      <c r="BI54" s="246"/>
      <c r="BJ54" s="243" t="str">
        <f>AS54</f>
        <v/>
      </c>
      <c r="BK54" s="244" t="str">
        <f>BC54</f>
        <v/>
      </c>
      <c r="BL54" s="245"/>
      <c r="BM54" s="1138"/>
      <c r="BN54" s="234" t="s">
        <v>191</v>
      </c>
      <c r="BO54" s="235" t="s">
        <v>135</v>
      </c>
      <c r="BP54" s="236"/>
      <c r="BQ54" s="237"/>
      <c r="BR54" s="237"/>
      <c r="BS54" s="237"/>
      <c r="BT54" s="237"/>
      <c r="BU54" s="237"/>
      <c r="BV54" s="237"/>
      <c r="BW54" s="237"/>
      <c r="BX54" s="237"/>
      <c r="BY54" s="250" t="str">
        <f>IF(LEN('Eval-Après impact'!$T$107)=0,"",IF('Eval-Après impact'!$T$107=0,0,IF(COUNTA('Eval-Après impact'!$T$408)=0,"",IF(('Eval-Après impact'!$T$408/'Eval-Après impact'!$T$356)&gt;=0.00872,0,1-('Eval-Après impact'!$T$408*114.582772/'Eval-Après impact'!$T$356)))))</f>
        <v/>
      </c>
      <c r="BZ54" s="236"/>
      <c r="CA54" s="237"/>
      <c r="CB54" s="237"/>
      <c r="CC54" s="237"/>
      <c r="CD54" s="237"/>
      <c r="CE54" s="237"/>
      <c r="CF54" s="237"/>
      <c r="CG54" s="237"/>
      <c r="CH54" s="237"/>
      <c r="CI54" s="250" t="str">
        <f>IF(BY54="","",BY54*'Eval-Après impact'!$T$356)</f>
        <v/>
      </c>
      <c r="CJ54" s="240" t="str">
        <f>IF(LEN('Eval-Après impact'!$T$107)=0,"",IF('Eval-Après impact'!$T$107=0,"Site détruit (0 ha).",IF(AND(BY54&gt;=0,BY54&lt;=0.2),CONCATENATE("Densité de grandes infrast. de transp. très importante"," (",ROUND(100*'Eval-Après impact'!$T$408/'Eval-Après impact'!$T$356,1)," km/100ha)."),"")))</f>
        <v/>
      </c>
      <c r="CK54" s="241" t="str">
        <f>IF(AND(BY54&gt;0.2,BY54&lt;=0.4),CONCATENATE("Densité de grandes infrast. de transp. importante"," (",ROUND(100*'Eval-Après impact'!$T$408/'Eval-Après impact'!$T$356,1)," km/100ha)."),"")</f>
        <v/>
      </c>
      <c r="CL54" s="242" t="str">
        <f>IF(AND(BY54&gt;0.4,BY54&lt;=0.6),CONCATENATE("Densité de grandes infrast. de transp. assez importante"," (",ROUND(100*'Eval-Après impact'!$T$408/'Eval-Après impact'!$T$356,1)," km/100ha)."),"")</f>
        <v/>
      </c>
      <c r="CM54" s="242" t="str">
        <f>IF(AND(BY54&gt;0.6,BY54&lt;=0.8),CONCATENATE("Densité de grandes infrast. de transp. réduite"," (",ROUND(100*'Eval-Après impact'!$T$408/'Eval-Après impact'!$T$356,1)," km/100ha)."),"")</f>
        <v/>
      </c>
      <c r="CN54" s="242" t="str">
        <f>IF(AND(BY54&gt;0.8,BY54&lt;=1),CONCATENATE("Densité de grandes infrast. de transp. très réduite"," (",ROUND(100*'Eval-Après impact'!$T$408/'Eval-Après impact'!$T$356,1)," km/100ha)."),"")</f>
        <v/>
      </c>
      <c r="CO54" s="246"/>
      <c r="CP54" s="243" t="str">
        <f>BY54</f>
        <v/>
      </c>
      <c r="CQ54" s="244" t="str">
        <f>CI54</f>
        <v/>
      </c>
      <c r="CR54" s="245"/>
      <c r="CS54" s="1138"/>
      <c r="CT54" s="234" t="s">
        <v>191</v>
      </c>
      <c r="CU54" s="235" t="s">
        <v>135</v>
      </c>
      <c r="CV54" s="236"/>
      <c r="CW54" s="237"/>
      <c r="CX54" s="237"/>
      <c r="CY54" s="237"/>
      <c r="CZ54" s="237"/>
      <c r="DA54" s="237"/>
      <c r="DB54" s="237"/>
      <c r="DC54" s="237"/>
      <c r="DD54" s="237"/>
      <c r="DE54" s="250" t="str">
        <f>IF(LEN('Eval-Avant action écologique'!$T$107)=0,"",IF('Eval-Avant action écologique'!$T$107=0,0,IF(COUNTA('Eval-Avant action écologique'!$T$408)=0,"",IF(('Eval-Avant action écologique'!$T$408/'Eval-Avant action écologique'!$T$356)&gt;=0.00872,0,1-('Eval-Avant action écologique'!$T$408*114.582772/'Eval-Avant action écologique'!$T$356)))))</f>
        <v/>
      </c>
      <c r="DF54" s="236"/>
      <c r="DG54" s="237"/>
      <c r="DH54" s="237"/>
      <c r="DI54" s="237"/>
      <c r="DJ54" s="237"/>
      <c r="DK54" s="237"/>
      <c r="DL54" s="237"/>
      <c r="DM54" s="237"/>
      <c r="DN54" s="237"/>
      <c r="DO54" s="250" t="str">
        <f>IF(DE54="","",DE54*'Eval-Avant action écologique'!$T$356)</f>
        <v/>
      </c>
      <c r="DP54" s="240" t="str">
        <f>IF(LEN('Eval-Avant action écologique'!$T$107)=0,"",IF('Eval-Avant action écologique'!$T$107=0,"Site détruit (0 ha).",IF(AND(DE54&gt;=0,DE54&lt;=0.2),CONCATENATE("Densité de grandes infrast. de transp. très importante"," (",ROUND(100*'Eval-Avant action écologique'!$T$408/'Eval-Avant action écologique'!$T$356,1)," km/100ha)."),"")))</f>
        <v/>
      </c>
      <c r="DQ54" s="241" t="str">
        <f>IF(AND(DE54&gt;0.2,DE54&lt;=0.4),CONCATENATE("Densité de grandes infrast. de transp. importante"," (",ROUND(100*'Eval-Avant action écologique'!$T$408/'Eval-Avant action écologique'!$T$356,1)," km/100ha)."),"")</f>
        <v/>
      </c>
      <c r="DR54" s="242" t="str">
        <f>IF(AND(DE54&gt;0.4,DE54&lt;=0.6),CONCATENATE("Densité de grandes infrast. de transp. assez importante"," (",ROUND(100*'Eval-Avant action écologique'!$T$408/'Eval-Avant action écologique'!$T$356,1)," km/100ha)."),"")</f>
        <v/>
      </c>
      <c r="DS54" s="242" t="str">
        <f>IF(AND(DE54&gt;0.6,DE54&lt;=0.8),CONCATENATE("Densité de grandes infrast. de transp. réduite"," (",ROUND(100*'Eval-Avant action écologique'!$T$408/'Eval-Avant action écologique'!$T$356,1)," km/100ha)."),"")</f>
        <v/>
      </c>
      <c r="DT54" s="242" t="str">
        <f>IF(AND(DE54&gt;0.8,DE54&lt;=1),CONCATENATE("Densité de grandes infrast. de transp. très réduite"," (",ROUND(100*'Eval-Avant action écologique'!$T$408/'Eval-Avant action écologique'!$T$356,1)," km/100ha)."),"")</f>
        <v/>
      </c>
      <c r="DU54" s="246"/>
      <c r="DV54" s="243" t="str">
        <f>DE54</f>
        <v/>
      </c>
      <c r="DW54" s="244" t="str">
        <f>DO54</f>
        <v/>
      </c>
      <c r="DX54" s="245"/>
      <c r="DY54" s="1138"/>
      <c r="DZ54" s="234" t="s">
        <v>191</v>
      </c>
      <c r="EA54" s="235" t="s">
        <v>135</v>
      </c>
      <c r="EB54" s="236"/>
      <c r="EC54" s="237"/>
      <c r="ED54" s="237"/>
      <c r="EE54" s="237"/>
      <c r="EF54" s="237"/>
      <c r="EG54" s="237"/>
      <c r="EH54" s="237"/>
      <c r="EI54" s="237"/>
      <c r="EJ54" s="237"/>
      <c r="EK54" s="250" t="str">
        <f>IF(LEN('Eval-Avec act. écol. envisagée'!$T$107)=0,"",IF('Eval-Avec act. écol. envisagée'!$T$107=0,0,IF(COUNTA('Eval-Avec act. écol. envisagée'!$T$408)=0,"",IF(('Eval-Avec act. écol. envisagée'!$T$408/'Eval-Avec act. écol. envisagée'!$T$356)&gt;=0.00872,0,1-('Eval-Avec act. écol. envisagée'!$T$408*114.582772/'Eval-Avec act. écol. envisagée'!$T$356)))))</f>
        <v/>
      </c>
      <c r="EL54" s="236"/>
      <c r="EM54" s="237"/>
      <c r="EN54" s="237"/>
      <c r="EO54" s="237"/>
      <c r="EP54" s="237"/>
      <c r="EQ54" s="237"/>
      <c r="ER54" s="237"/>
      <c r="ES54" s="237"/>
      <c r="ET54" s="237"/>
      <c r="EU54" s="250" t="str">
        <f>IF(EK54="","",EK54*'Eval-Avec act. écol. envisagée'!$T$356)</f>
        <v/>
      </c>
      <c r="EV54" s="240" t="str">
        <f>IF(LEN('Eval-Avec act. écol. envisagée'!$T$107)=0,"",IF('Eval-Avec act. écol. envisagée'!$T$107=0,"Site détruit (0 ha).",IF(AND(EK54&gt;=0,EK54&lt;=0.2),CONCATENATE("Densité de grandes infrast. de transp. très importante"," (",ROUND(100*'Eval-Avec act. écol. envisagée'!$T$408/'Eval-Avec act. écol. envisagée'!$T$356,1)," km/100ha)."),"")))</f>
        <v/>
      </c>
      <c r="EW54" s="241" t="str">
        <f>IF(AND(EK54&gt;0.2,EK54&lt;=0.4),CONCATENATE("Densité de grandes infrast. de transp. importante"," (",ROUND(100*'Eval-Avec act. écol. envisagée'!$T$408/'Eval-Avec act. écol. envisagée'!$T$356,1)," km/100ha)."),"")</f>
        <v/>
      </c>
      <c r="EX54" s="242" t="str">
        <f>IF(AND(EK54&gt;0.4,EK54&lt;=0.6),CONCATENATE("Densité de grandes infrast. de transp. assez importante"," (",ROUND(100*'Eval-Avec act. écol. envisagée'!$T$408/'Eval-Avec act. écol. envisagée'!$T$356,1)," km/100ha)."),"")</f>
        <v/>
      </c>
      <c r="EY54" s="242" t="str">
        <f>IF(AND(EK54&gt;0.6,EK54&lt;=0.8),CONCATENATE("Densité de grandes infrast. de transp. réduite"," (",ROUND(100*'Eval-Avec act. écol. envisagée'!$T$408/'Eval-Avec act. écol. envisagée'!$T$356,1)," km/100ha)."),"")</f>
        <v/>
      </c>
      <c r="EZ54" s="242" t="str">
        <f>IF(AND(EK54&gt;0.8,EK54&lt;=1),CONCATENATE("Densité de grandes infrast. de transp. très réduite"," (",ROUND(100*'Eval-Avec act. écol. envisagée'!$T$408/'Eval-Avec act. écol. envisagée'!$T$356,1)," km/100ha)."),"")</f>
        <v/>
      </c>
      <c r="FA54" s="246"/>
      <c r="FB54" s="243" t="str">
        <f>EK54</f>
        <v/>
      </c>
      <c r="FC54" s="244" t="str">
        <f>EU54</f>
        <v/>
      </c>
      <c r="FD54" s="245"/>
      <c r="FE54" s="1138"/>
      <c r="FF54" s="234" t="s">
        <v>191</v>
      </c>
      <c r="FG54" s="235" t="s">
        <v>135</v>
      </c>
      <c r="FH54" s="236"/>
      <c r="FI54" s="237"/>
      <c r="FJ54" s="237"/>
      <c r="FK54" s="237"/>
      <c r="FL54" s="237"/>
      <c r="FM54" s="237"/>
      <c r="FN54" s="237"/>
      <c r="FO54" s="237"/>
      <c r="FP54" s="237"/>
      <c r="FQ54" s="250" t="str">
        <f>IF(LEN('Eval-Après action écologique'!$T$107)=0,"",IF('Eval-Après action écologique'!$T$107=0,0,IF(COUNTA('Eval-Après action écologique'!$T$408)=0,"",IF(('Eval-Après action écologique'!$T$408/'Eval-Après action écologique'!$T$356)&gt;=0.00872,0,1-('Eval-Après action écologique'!$T$408*114.582772/'Eval-Après action écologique'!$T$356)))))</f>
        <v/>
      </c>
      <c r="FR54" s="236"/>
      <c r="FS54" s="237"/>
      <c r="FT54" s="237"/>
      <c r="FU54" s="237"/>
      <c r="FV54" s="237"/>
      <c r="FW54" s="237"/>
      <c r="FX54" s="237"/>
      <c r="FY54" s="237"/>
      <c r="FZ54" s="237"/>
      <c r="GA54" s="250" t="str">
        <f>IF(FQ54="","",FQ54*'Eval-Après action écologique'!$T$356)</f>
        <v/>
      </c>
      <c r="GB54" s="240" t="str">
        <f>IF(LEN('Eval-Après action écologique'!$T$107)=0,"",IF('Eval-Après action écologique'!$T$107=0,"Site détruit (0 ha).",IF(AND(FQ54&gt;=0,FQ54&lt;=0.2),CONCATENATE("Densité de grandes infrast. de transp. très importante"," (",ROUND(100*'Eval-Après action écologique'!$T$408/'Eval-Après action écologique'!$T$356,1)," km/100ha)."),"")))</f>
        <v/>
      </c>
      <c r="GC54" s="241" t="str">
        <f>IF(AND(FQ54&gt;0.2,FQ54&lt;=0.4),CONCATENATE("Densité de grandes infrast. de transp. importante"," (",ROUND(100*'Eval-Après action écologique'!$T$408/'Eval-Après action écologique'!$T$356,1)," km/100ha)."),"")</f>
        <v/>
      </c>
      <c r="GD54" s="242" t="str">
        <f>IF(AND(FQ54&gt;0.4,FQ54&lt;=0.6),CONCATENATE("Densité de grandes infrast. de transp. assez importante"," (",ROUND(100*'Eval-Après action écologique'!$T$408/'Eval-Après action écologique'!$T$356,1)," km/100ha)."),"")</f>
        <v/>
      </c>
      <c r="GE54" s="242" t="str">
        <f>IF(AND(FQ54&gt;0.6,FQ54&lt;=0.8),CONCATENATE("Densité de grandes infrast. de transp. réduite"," (",ROUND(100*'Eval-Après action écologique'!$T$408/'Eval-Après action écologique'!$T$356,1)," km/100ha)."),"")</f>
        <v/>
      </c>
      <c r="GF54" s="242" t="str">
        <f>IF(AND(FQ54&gt;0.8,FQ54&lt;=1),CONCATENATE("Densité de grandes infrast. de transp. très réduite"," (",ROUND(100*'Eval-Après action écologique'!$T$408/'Eval-Après action écologique'!$T$356,1)," km/100ha)."),"")</f>
        <v/>
      </c>
      <c r="GG54" s="246"/>
      <c r="GH54" s="243" t="str">
        <f>FQ54</f>
        <v/>
      </c>
      <c r="GI54" s="244" t="str">
        <f>GA54</f>
        <v/>
      </c>
    </row>
    <row r="55" spans="1:191" ht="31.5" customHeight="1" x14ac:dyDescent="0.2">
      <c r="A55" s="1138"/>
      <c r="B55" s="234" t="s">
        <v>192</v>
      </c>
      <c r="C55" s="235" t="s">
        <v>136</v>
      </c>
      <c r="D55" s="236"/>
      <c r="E55" s="237"/>
      <c r="F55" s="237"/>
      <c r="G55" s="237"/>
      <c r="H55" s="237"/>
      <c r="I55" s="237"/>
      <c r="J55" s="237"/>
      <c r="K55" s="237"/>
      <c r="L55" s="237"/>
      <c r="M55" s="250" t="str">
        <f>IF(LEN('Eval-Avant impact'!$T$107)=0,"",IF('Eval-Avant impact'!$T$107=0,0,IF(COUNTA('Eval-Avant impact'!$T$424)=0,"",IF(('Eval-Avant impact'!$T$424/'Eval-Avant impact'!$T$356)&gt;=0.05372,0,1-('Eval-Avant impact'!$T$424*18.61331891/'Eval-Avant impact'!$T$356)))))</f>
        <v/>
      </c>
      <c r="N55" s="236"/>
      <c r="O55" s="237"/>
      <c r="P55" s="237"/>
      <c r="Q55" s="237"/>
      <c r="R55" s="237"/>
      <c r="S55" s="237"/>
      <c r="T55" s="237"/>
      <c r="U55" s="237"/>
      <c r="V55" s="237"/>
      <c r="W55" s="250" t="str">
        <f>IF(M55="","",M55*'Eval-Avant impact'!$T$356)</f>
        <v/>
      </c>
      <c r="X55" s="240" t="str">
        <f>IF(LEN('Eval-Avant impact'!$T$107)=0,"",IF('Eval-Avant impact'!$T$107=0,"Site détruit (0 ha).",IF(AND(M55&gt;=0,M55&lt;=0.2),CONCATENATE("Densité de petites infrast. de transp. très importante"," (",ROUND(100*'Eval-Avant impact'!$T$424/'Eval-Avant impact'!$T$356,1)," km/100ha)."),"")))</f>
        <v/>
      </c>
      <c r="Y55" s="241" t="str">
        <f>IF(AND(M55&gt;0.2,M55&lt;=0.4),CONCATENATE("Densité de petites infrast. de transp. importante"," (",ROUND(100*'Eval-Avant impact'!$T$424/'Eval-Avant impact'!$T$356,1)," km/100ha)."),"")</f>
        <v/>
      </c>
      <c r="Z55" s="242" t="str">
        <f>IF(AND(M55&gt;0.4,M55&lt;=0.6),CONCATENATE("Densité de petites infrast. de transp. assez importante"," (",ROUND(100*'Eval-Avant impact'!$T$424/'Eval-Avant impact'!$T$356,1)," km/100ha)."),"")</f>
        <v/>
      </c>
      <c r="AA55" s="242" t="str">
        <f>IF(AND(M55&gt;0.6,M55&lt;=0.8),CONCATENATE("Densité de petites infrast. de transp. réduite"," (",ROUND(100*'Eval-Avant impact'!$T$424/'Eval-Avant impact'!$T$356,1)," km/100ha)."),"")</f>
        <v/>
      </c>
      <c r="AB55" s="242" t="str">
        <f>IF(AND(M55&gt;0.8,M55&lt;=1),CONCATENATE("Densité de petites infrast. de transp. très réduite"," (",ROUND(100*'Eval-Avant impact'!$T$424/'Eval-Avant impact'!$T$356,1)," km/100ha)."),"")</f>
        <v/>
      </c>
      <c r="AC55" s="246"/>
      <c r="AD55" s="243" t="str">
        <f>M55</f>
        <v/>
      </c>
      <c r="AE55" s="244" t="str">
        <f>W55</f>
        <v/>
      </c>
      <c r="AF55" s="245"/>
      <c r="AG55" s="1138"/>
      <c r="AH55" s="234" t="s">
        <v>192</v>
      </c>
      <c r="AI55" s="235" t="s">
        <v>136</v>
      </c>
      <c r="AJ55" s="236"/>
      <c r="AK55" s="237"/>
      <c r="AL55" s="237"/>
      <c r="AM55" s="237"/>
      <c r="AN55" s="237"/>
      <c r="AO55" s="237"/>
      <c r="AP55" s="237"/>
      <c r="AQ55" s="237"/>
      <c r="AR55" s="237"/>
      <c r="AS55" s="250" t="str">
        <f>IF(LEN('Eval-Avec impact envisagé'!$T$107)=0,"",IF('Eval-Avec impact envisagé'!$T$107=0,0,IF(COUNTA('Eval-Avec impact envisagé'!$T$424)=0,"",IF(('Eval-Avec impact envisagé'!$T$424/'Eval-Avec impact envisagé'!$T$356)&gt;=0.05372,0,1-('Eval-Avec impact envisagé'!$T$424*18.61331891/'Eval-Avec impact envisagé'!$T$356)))))</f>
        <v/>
      </c>
      <c r="AT55" s="236"/>
      <c r="AU55" s="237"/>
      <c r="AV55" s="237"/>
      <c r="AW55" s="237"/>
      <c r="AX55" s="237"/>
      <c r="AY55" s="237"/>
      <c r="AZ55" s="237"/>
      <c r="BA55" s="237"/>
      <c r="BB55" s="237"/>
      <c r="BC55" s="250" t="str">
        <f>IF(AS55="","",AS55*'Eval-Avec impact envisagé'!$T$356)</f>
        <v/>
      </c>
      <c r="BD55" s="240" t="str">
        <f>IF(LEN('Eval-Avec impact envisagé'!$T$107)=0,"",IF('Eval-Avec impact envisagé'!$T$107=0,"Site détruit (0 ha).",IF(AND(AS55&gt;=0,AS55&lt;=0.2),CONCATENATE("Densité de petites infrast. de transp. très importante"," (",ROUND(100*'Eval-Avec impact envisagé'!$T$424/'Eval-Avec impact envisagé'!$T$356,1)," km/100ha)."),"")))</f>
        <v/>
      </c>
      <c r="BE55" s="241" t="str">
        <f>IF(AND(AS55&gt;0.2,AS55&lt;=0.4),CONCATENATE("Densité de petites infrast. de transp. importante"," (",ROUND(100*'Eval-Avec impact envisagé'!$T$424/'Eval-Avec impact envisagé'!$T$356,1)," km/100ha)."),"")</f>
        <v/>
      </c>
      <c r="BF55" s="242" t="str">
        <f>IF(AND(AS55&gt;0.4,AS55&lt;=0.6),CONCATENATE("Densité de petites infrast. de transp. assez importante"," (",ROUND(100*'Eval-Avec impact envisagé'!$T$424/'Eval-Avec impact envisagé'!$T$356,1)," km/100ha)."),"")</f>
        <v/>
      </c>
      <c r="BG55" s="242" t="str">
        <f>IF(AND(AS55&gt;0.6,AS55&lt;=0.8),CONCATENATE("Densité de petites infrast. de transp. réduite"," (",ROUND(100*'Eval-Avec impact envisagé'!$T$424/'Eval-Avec impact envisagé'!$T$356,1)," km/100ha)."),"")</f>
        <v/>
      </c>
      <c r="BH55" s="242" t="str">
        <f>IF(AND(AS55&gt;0.8,AS55&lt;=1),CONCATENATE("Densité de petites infrast. de transp. très réduite"," (",ROUND(100*'Eval-Avec impact envisagé'!$T$424/'Eval-Avec impact envisagé'!$T$356,1)," km/100ha)."),"")</f>
        <v/>
      </c>
      <c r="BI55" s="246"/>
      <c r="BJ55" s="243" t="str">
        <f>AS55</f>
        <v/>
      </c>
      <c r="BK55" s="244" t="str">
        <f>BC55</f>
        <v/>
      </c>
      <c r="BL55" s="245"/>
      <c r="BM55" s="1138"/>
      <c r="BN55" s="234" t="s">
        <v>192</v>
      </c>
      <c r="BO55" s="235" t="s">
        <v>136</v>
      </c>
      <c r="BP55" s="236"/>
      <c r="BQ55" s="237"/>
      <c r="BR55" s="237"/>
      <c r="BS55" s="237"/>
      <c r="BT55" s="237"/>
      <c r="BU55" s="237"/>
      <c r="BV55" s="237"/>
      <c r="BW55" s="237"/>
      <c r="BX55" s="237"/>
      <c r="BY55" s="250" t="str">
        <f>IF(LEN('Eval-Après impact'!$T$107)=0,"",IF('Eval-Après impact'!$T$107=0,0,IF(COUNTA('Eval-Après impact'!$T$424)=0,"",IF(('Eval-Après impact'!$T$424/'Eval-Après impact'!$T$356)&gt;=0.05372,0,1-('Eval-Après impact'!$T$424*18.61331891/'Eval-Après impact'!$T$356)))))</f>
        <v/>
      </c>
      <c r="BZ55" s="236"/>
      <c r="CA55" s="237"/>
      <c r="CB55" s="237"/>
      <c r="CC55" s="237"/>
      <c r="CD55" s="237"/>
      <c r="CE55" s="237"/>
      <c r="CF55" s="237"/>
      <c r="CG55" s="237"/>
      <c r="CH55" s="237"/>
      <c r="CI55" s="250" t="str">
        <f>IF(BY55="","",BY55*'Eval-Après impact'!$T$356)</f>
        <v/>
      </c>
      <c r="CJ55" s="240" t="str">
        <f>IF(LEN('Eval-Après impact'!$T$107)=0,"",IF('Eval-Après impact'!$T$107=0,"Site détruit (0 ha).",IF(AND(BY55&gt;=0,BY55&lt;=0.2),CONCATENATE("Densité de petites infrast. de transp. très importante"," (",ROUND(100*'Eval-Après impact'!$T$424/'Eval-Après impact'!$T$356,1)," km/100ha)."),"")))</f>
        <v/>
      </c>
      <c r="CK55" s="241" t="str">
        <f>IF(AND(BY55&gt;0.2,BY55&lt;=0.4),CONCATENATE("Densité de petites infrast. de transp. importante"," (",ROUND(100*'Eval-Après impact'!$T$424/'Eval-Après impact'!$T$356,1)," km/100ha)."),"")</f>
        <v/>
      </c>
      <c r="CL55" s="242" t="str">
        <f>IF(AND(BY55&gt;0.4,BY55&lt;=0.6),CONCATENATE("Densité de petites infrast. de transp. assez importante"," (",ROUND(100*'Eval-Après impact'!$T$424/'Eval-Après impact'!$T$356,1)," km/100ha)."),"")</f>
        <v/>
      </c>
      <c r="CM55" s="242" t="str">
        <f>IF(AND(BY55&gt;0.6,BY55&lt;=0.8),CONCATENATE("Densité de petites infrast. de transp. réduite"," (",ROUND(100*'Eval-Après impact'!$T$424/'Eval-Après impact'!$T$356,1)," km/100ha)."),"")</f>
        <v/>
      </c>
      <c r="CN55" s="242" t="str">
        <f>IF(AND(BY55&gt;0.8,BY55&lt;=1),CONCATENATE("Densité de petites infrast. de transp. très réduite"," (",ROUND(100*'Eval-Après impact'!$T$424/'Eval-Après impact'!$T$356,1)," km/100ha)."),"")</f>
        <v/>
      </c>
      <c r="CO55" s="246"/>
      <c r="CP55" s="243" t="str">
        <f>BY55</f>
        <v/>
      </c>
      <c r="CQ55" s="244" t="str">
        <f>CI55</f>
        <v/>
      </c>
      <c r="CR55" s="245"/>
      <c r="CS55" s="1138"/>
      <c r="CT55" s="234" t="s">
        <v>192</v>
      </c>
      <c r="CU55" s="235" t="s">
        <v>136</v>
      </c>
      <c r="CV55" s="236"/>
      <c r="CW55" s="237"/>
      <c r="CX55" s="237"/>
      <c r="CY55" s="237"/>
      <c r="CZ55" s="237"/>
      <c r="DA55" s="237"/>
      <c r="DB55" s="237"/>
      <c r="DC55" s="237"/>
      <c r="DD55" s="237"/>
      <c r="DE55" s="250" t="str">
        <f>IF(LEN('Eval-Avant action écologique'!$T$107)=0,"",IF('Eval-Avant action écologique'!$T$107=0,0,IF(COUNTA('Eval-Avant action écologique'!$T$424)=0,"",IF(('Eval-Avant action écologique'!$T$424/'Eval-Avant action écologique'!$T$356)&gt;=0.05372,0,1-('Eval-Avant action écologique'!$T$424*18.61331891/'Eval-Avant action écologique'!$T$356)))))</f>
        <v/>
      </c>
      <c r="DF55" s="236"/>
      <c r="DG55" s="237"/>
      <c r="DH55" s="237"/>
      <c r="DI55" s="237"/>
      <c r="DJ55" s="237"/>
      <c r="DK55" s="237"/>
      <c r="DL55" s="237"/>
      <c r="DM55" s="237"/>
      <c r="DN55" s="237"/>
      <c r="DO55" s="250" t="str">
        <f>IF(DE55="","",DE55*'Eval-Avant action écologique'!$T$356)</f>
        <v/>
      </c>
      <c r="DP55" s="240" t="str">
        <f>IF(LEN('Eval-Avant action écologique'!$T$107)=0,"",IF('Eval-Avant action écologique'!$T$107=0,"Site détruit (0 ha).",IF(AND(DE55&gt;=0,DE55&lt;=0.2),CONCATENATE("Densité de petites infrast. de transp. très importante"," (",ROUND(100*'Eval-Avant action écologique'!$T$424/'Eval-Avant action écologique'!$T$356,1)," km/100ha)."),"")))</f>
        <v/>
      </c>
      <c r="DQ55" s="241" t="str">
        <f>IF(AND(DE55&gt;0.2,DE55&lt;=0.4),CONCATENATE("Densité de petites infrast. de transp. importante"," (",ROUND(100*'Eval-Avant action écologique'!$T$424/'Eval-Avant action écologique'!$T$356,1)," km/100ha)."),"")</f>
        <v/>
      </c>
      <c r="DR55" s="242" t="str">
        <f>IF(AND(DE55&gt;0.4,DE55&lt;=0.6),CONCATENATE("Densité de petites infrast. de transp. assez importante"," (",ROUND(100*'Eval-Avant action écologique'!$T$424/'Eval-Avant action écologique'!$T$356,1)," km/100ha)."),"")</f>
        <v/>
      </c>
      <c r="DS55" s="242" t="str">
        <f>IF(AND(DE55&gt;0.6,DE55&lt;=0.8),CONCATENATE("Densité de petites infrast. de transp. réduite"," (",ROUND(100*'Eval-Avant action écologique'!$T$424/'Eval-Avant action écologique'!$T$356,1)," km/100ha)."),"")</f>
        <v/>
      </c>
      <c r="DT55" s="242" t="str">
        <f>IF(AND(DE55&gt;0.8,DE55&lt;=1),CONCATENATE("Densité de petites infrast. de transp. très réduite"," (",ROUND(100*'Eval-Avant action écologique'!$T$424/'Eval-Avant action écologique'!$T$356,1)," km/100ha)."),"")</f>
        <v/>
      </c>
      <c r="DU55" s="246"/>
      <c r="DV55" s="243" t="str">
        <f>DE55</f>
        <v/>
      </c>
      <c r="DW55" s="244" t="str">
        <f>DO55</f>
        <v/>
      </c>
      <c r="DX55" s="245"/>
      <c r="DY55" s="1138"/>
      <c r="DZ55" s="234" t="s">
        <v>192</v>
      </c>
      <c r="EA55" s="235" t="s">
        <v>136</v>
      </c>
      <c r="EB55" s="236"/>
      <c r="EC55" s="237"/>
      <c r="ED55" s="237"/>
      <c r="EE55" s="237"/>
      <c r="EF55" s="237"/>
      <c r="EG55" s="237"/>
      <c r="EH55" s="237"/>
      <c r="EI55" s="237"/>
      <c r="EJ55" s="237"/>
      <c r="EK55" s="250" t="str">
        <f>IF(LEN('Eval-Avec act. écol. envisagée'!$T$107)=0,"",IF('Eval-Avec act. écol. envisagée'!$T$107=0,0,IF(COUNTA('Eval-Avec act. écol. envisagée'!$T$424)=0,"",IF(('Eval-Avec act. écol. envisagée'!$T$424/'Eval-Avec act. écol. envisagée'!$T$356)&gt;=0.05372,0,1-('Eval-Avec act. écol. envisagée'!$T$424*18.61331891/'Eval-Avec act. écol. envisagée'!$T$356)))))</f>
        <v/>
      </c>
      <c r="EL55" s="236"/>
      <c r="EM55" s="237"/>
      <c r="EN55" s="237"/>
      <c r="EO55" s="237"/>
      <c r="EP55" s="237"/>
      <c r="EQ55" s="237"/>
      <c r="ER55" s="237"/>
      <c r="ES55" s="237"/>
      <c r="ET55" s="237"/>
      <c r="EU55" s="250" t="str">
        <f>IF(EK55="","",EK55*'Eval-Avec act. écol. envisagée'!$T$356)</f>
        <v/>
      </c>
      <c r="EV55" s="240" t="str">
        <f>IF(LEN('Eval-Avec act. écol. envisagée'!$T$107)=0,"",IF('Eval-Avec act. écol. envisagée'!$T$107=0,"Site détruit (0 ha).",IF(AND(EK55&gt;=0,EK55&lt;=0.2),CONCATENATE("Densité de petites infrast. de transp. très importante"," (",ROUND(100*'Eval-Avec act. écol. envisagée'!$T$424/'Eval-Avec act. écol. envisagée'!$T$356,1)," km/100ha)."),"")))</f>
        <v/>
      </c>
      <c r="EW55" s="241" t="str">
        <f>IF(AND(EK55&gt;0.2,EK55&lt;=0.4),CONCATENATE("Densité de petites infrast. de transp. importante"," (",ROUND(100*'Eval-Avec act. écol. envisagée'!$T$424/'Eval-Avec act. écol. envisagée'!$T$356,1)," km/100ha)."),"")</f>
        <v/>
      </c>
      <c r="EX55" s="242" t="str">
        <f>IF(AND(EK55&gt;0.4,EK55&lt;=0.6),CONCATENATE("Densité de petites infrast. de transp. assez importante"," (",ROUND(100*'Eval-Avec act. écol. envisagée'!$T$424/'Eval-Avec act. écol. envisagée'!$T$356,1)," km/100ha)."),"")</f>
        <v/>
      </c>
      <c r="EY55" s="242" t="str">
        <f>IF(AND(EK55&gt;0.6,EK55&lt;=0.8),CONCATENATE("Densité de petites infrast. de transp. réduite"," (",ROUND(100*'Eval-Avec act. écol. envisagée'!$T$424/'Eval-Avec act. écol. envisagée'!$T$356,1)," km/100ha)."),"")</f>
        <v/>
      </c>
      <c r="EZ55" s="242" t="str">
        <f>IF(AND(EK55&gt;0.8,EK55&lt;=1),CONCATENATE("Densité de petites infrast. de transp. très réduite"," (",ROUND(100*'Eval-Avec act. écol. envisagée'!$T$424/'Eval-Avec act. écol. envisagée'!$T$356,1)," km/100ha)."),"")</f>
        <v/>
      </c>
      <c r="FA55" s="246"/>
      <c r="FB55" s="243" t="str">
        <f>EK55</f>
        <v/>
      </c>
      <c r="FC55" s="244" t="str">
        <f>EU55</f>
        <v/>
      </c>
      <c r="FD55" s="245"/>
      <c r="FE55" s="1138"/>
      <c r="FF55" s="234" t="s">
        <v>192</v>
      </c>
      <c r="FG55" s="235" t="s">
        <v>136</v>
      </c>
      <c r="FH55" s="236"/>
      <c r="FI55" s="237"/>
      <c r="FJ55" s="237"/>
      <c r="FK55" s="237"/>
      <c r="FL55" s="237"/>
      <c r="FM55" s="237"/>
      <c r="FN55" s="237"/>
      <c r="FO55" s="237"/>
      <c r="FP55" s="237"/>
      <c r="FQ55" s="250" t="str">
        <f>IF(LEN('Eval-Après action écologique'!$T$107)=0,"",IF('Eval-Après action écologique'!$T$107=0,0,IF(COUNTA('Eval-Après action écologique'!$T$424)=0,"",IF(('Eval-Après action écologique'!$T$424/'Eval-Après action écologique'!$T$356)&gt;=0.05372,0,1-('Eval-Après action écologique'!$T$424*18.61331891/'Eval-Après action écologique'!$T$356)))))</f>
        <v/>
      </c>
      <c r="FR55" s="236"/>
      <c r="FS55" s="237"/>
      <c r="FT55" s="237"/>
      <c r="FU55" s="237"/>
      <c r="FV55" s="237"/>
      <c r="FW55" s="237"/>
      <c r="FX55" s="237"/>
      <c r="FY55" s="237"/>
      <c r="FZ55" s="237"/>
      <c r="GA55" s="250" t="str">
        <f>IF(FQ55="","",FQ55*'Eval-Après action écologique'!$T$356)</f>
        <v/>
      </c>
      <c r="GB55" s="240" t="str">
        <f>IF(LEN('Eval-Après action écologique'!$T$107)=0,"",IF('Eval-Après action écologique'!$T$107=0,"Site détruit (0 ha).",IF(AND(FQ55&gt;=0,FQ55&lt;=0.2),CONCATENATE("Densité de petites infrast. de transp. très importante"," (",ROUND(100*'Eval-Après action écologique'!$T$424/'Eval-Après action écologique'!$T$356,1)," km/100ha)."),"")))</f>
        <v/>
      </c>
      <c r="GC55" s="241" t="str">
        <f>IF(AND(FQ55&gt;0.2,FQ55&lt;=0.4),CONCATENATE("Densité de petites infrast. de transp. importante"," (",ROUND(100*'Eval-Après action écologique'!$T$424/'Eval-Après action écologique'!$T$356,1)," km/100ha)."),"")</f>
        <v/>
      </c>
      <c r="GD55" s="242" t="str">
        <f>IF(AND(FQ55&gt;0.4,FQ55&lt;=0.6),CONCATENATE("Densité de petites infrast. de transp. assez importante"," (",ROUND(100*'Eval-Après action écologique'!$T$424/'Eval-Après action écologique'!$T$356,1)," km/100ha)."),"")</f>
        <v/>
      </c>
      <c r="GE55" s="242" t="str">
        <f>IF(AND(FQ55&gt;0.6,FQ55&lt;=0.8),CONCATENATE("Densité de petites infrast. de transp. réduite"," (",ROUND(100*'Eval-Après action écologique'!$T$424/'Eval-Après action écologique'!$T$356,1)," km/100ha)."),"")</f>
        <v/>
      </c>
      <c r="GF55" s="242" t="str">
        <f>IF(AND(FQ55&gt;0.8,FQ55&lt;=1),CONCATENATE("Densité de petites infrast. de transp. très réduite"," (",ROUND(100*'Eval-Après action écologique'!$T$424/'Eval-Après action écologique'!$T$356,1)," km/100ha)."),"")</f>
        <v/>
      </c>
      <c r="GG55" s="246"/>
      <c r="GH55" s="243" t="str">
        <f>FQ55</f>
        <v/>
      </c>
      <c r="GI55" s="244" t="str">
        <f>GA55</f>
        <v/>
      </c>
    </row>
    <row r="56" spans="1:191" ht="31.5" customHeight="1" x14ac:dyDescent="0.2">
      <c r="A56" s="1132" t="s">
        <v>43</v>
      </c>
      <c r="B56" s="234" t="s">
        <v>186</v>
      </c>
      <c r="C56" s="235" t="s">
        <v>137</v>
      </c>
      <c r="D56" s="236"/>
      <c r="E56" s="237"/>
      <c r="F56" s="238" t="str">
        <f>IF(LEN('Eval-Avant impact'!$T$107)=0,"",IF('Eval-Avant impact'!$T$107=0,0,IF('Eval-Avant impact'!$T$491="","",'Eval-Avant impact'!$T$491/100)))</f>
        <v/>
      </c>
      <c r="G56" s="238" t="str">
        <f>IF(LEN('Eval-Avant impact'!$T$107)=0,"",IF('Eval-Avant impact'!$T$107=0,0,IF('Eval-Avant impact'!$T$491="","",'Eval-Avant impact'!$T$491/100)))</f>
        <v/>
      </c>
      <c r="H56" s="238" t="str">
        <f>IF(LEN('Eval-Avant impact'!$T$107)=0,"",IF('Eval-Avant impact'!$T$107=0,0,IF('Eval-Avant impact'!$T$491="","",'Eval-Avant impact'!$T$491/100)))</f>
        <v/>
      </c>
      <c r="I56" s="238" t="str">
        <f>IF(LEN('Eval-Avant impact'!$T$107)=0,"",IF('Eval-Avant impact'!$T$107=0,0,IF('Eval-Avant impact'!$T$491="","",'Eval-Avant impact'!$T$491/100)))</f>
        <v/>
      </c>
      <c r="J56" s="238" t="str">
        <f>IF(LEN('Eval-Avant impact'!$T$107)=0,"",IF('Eval-Avant impact'!$T$107=0,0,IF('Eval-Avant impact'!$T$491="","",'Eval-Avant impact'!$T$491/100)))</f>
        <v/>
      </c>
      <c r="K56" s="237"/>
      <c r="L56" s="237"/>
      <c r="M56" s="239"/>
      <c r="N56" s="236"/>
      <c r="O56" s="237"/>
      <c r="P56" s="238" t="str">
        <f>IF(F56="","",F56*'Eval-Avant impact'!$T$107)</f>
        <v/>
      </c>
      <c r="Q56" s="238" t="str">
        <f>IF(F56="","",F56*'Eval-Avant impact'!$T$107)</f>
        <v/>
      </c>
      <c r="R56" s="238" t="str">
        <f>IF(F56="","",F56*'Eval-Avant impact'!$T$107)</f>
        <v/>
      </c>
      <c r="S56" s="238" t="str">
        <f>IF(F56="","",F56*'Eval-Avant impact'!$T$107)</f>
        <v/>
      </c>
      <c r="T56" s="238" t="str">
        <f>IF(F56="","",F56*'Eval-Avant impact'!$T$107)</f>
        <v/>
      </c>
      <c r="U56" s="237"/>
      <c r="V56" s="237"/>
      <c r="W56" s="239"/>
      <c r="X56" s="240" t="str">
        <f>IF(LEN('Eval-Avant impact'!$T$107)=0,"",IF('Eval-Avant impact'!$T$107=0,"Site détruit (0 ha).",CONCATENATE((IF(F56=0,"Absence de couvert vég. permanent.","")),(IF(AND(F56&lt;=0.2,F56&gt;0),CONCATENATE("Couvert vég. permanent très réduit (",ROUND('Eval-Avant impact'!$T$491,0)," %).",),"")))))</f>
        <v/>
      </c>
      <c r="Y56" s="241" t="str">
        <f>(IF(AND(F56&gt;0.2,F56&lt;=0.4),CONCATENATE("Couvert vég. permanent assez réduit (",ROUND('Eval-Avant impact'!$T$491,0)," %)."),""))</f>
        <v/>
      </c>
      <c r="Z56" s="241" t="str">
        <f>(IF(AND(F56&gt;0.4,F56&lt;=0.6),CONCATENATE("Couvert vég. permanent assez important (",ROUND('Eval-Avant impact'!$T$491,0)," %)."),""))</f>
        <v/>
      </c>
      <c r="AA56" s="241" t="str">
        <f>(IF(AND(F56&gt;0.6,F56&lt;=0.8),CONCATENATE("Couvert vég. permanent important (",ROUND('Eval-Avant impact'!$T$491,0)," %)."),""))</f>
        <v/>
      </c>
      <c r="AB56" s="241" t="str">
        <f>(IF(AND(F56&gt;0.8,F56&lt;=1),CONCATENATE("Couvert vég. permanent très important (",ROUND('Eval-Avant impact'!$T$491,0)," %)."),""))</f>
        <v/>
      </c>
      <c r="AC56" s="246"/>
      <c r="AD56" s="243" t="str">
        <f>F56</f>
        <v/>
      </c>
      <c r="AE56" s="244" t="str">
        <f>P56</f>
        <v/>
      </c>
      <c r="AF56" s="245"/>
      <c r="AG56" s="1132" t="s">
        <v>43</v>
      </c>
      <c r="AH56" s="234" t="s">
        <v>186</v>
      </c>
      <c r="AI56" s="235" t="s">
        <v>137</v>
      </c>
      <c r="AJ56" s="236"/>
      <c r="AK56" s="237"/>
      <c r="AL56" s="238" t="str">
        <f>IF(LEN('Eval-Avec impact envisagé'!$T$107)=0,"",IF('Eval-Avec impact envisagé'!$T$107=0,0,IF('Eval-Avec impact envisagé'!$T$491="","",'Eval-Avec impact envisagé'!$T$491/100)))</f>
        <v/>
      </c>
      <c r="AM56" s="238" t="str">
        <f>IF(LEN('Eval-Avec impact envisagé'!$T$107)=0,"",IF('Eval-Avec impact envisagé'!$T$107=0,0,IF('Eval-Avec impact envisagé'!$T$491="","",'Eval-Avec impact envisagé'!$T$491/100)))</f>
        <v/>
      </c>
      <c r="AN56" s="238" t="str">
        <f>IF(LEN('Eval-Avec impact envisagé'!$T$107)=0,"",IF('Eval-Avec impact envisagé'!$T$107=0,0,IF('Eval-Avec impact envisagé'!$T$491="","",'Eval-Avec impact envisagé'!$T$491/100)))</f>
        <v/>
      </c>
      <c r="AO56" s="238" t="str">
        <f>IF(LEN('Eval-Avec impact envisagé'!$T$107)=0,"",IF('Eval-Avec impact envisagé'!$T$107=0,0,IF('Eval-Avec impact envisagé'!$T$491="","",'Eval-Avec impact envisagé'!$T$491/100)))</f>
        <v/>
      </c>
      <c r="AP56" s="238" t="str">
        <f>IF(LEN('Eval-Avec impact envisagé'!$T$107)=0,"",IF('Eval-Avec impact envisagé'!$T$107=0,0,IF('Eval-Avec impact envisagé'!$T$491="","",'Eval-Avec impact envisagé'!$T$491/100)))</f>
        <v/>
      </c>
      <c r="AQ56" s="237"/>
      <c r="AR56" s="237"/>
      <c r="AS56" s="239"/>
      <c r="AT56" s="236"/>
      <c r="AU56" s="237"/>
      <c r="AV56" s="238" t="str">
        <f>IF(AL56="","",AL56*'Eval-Avec impact envisagé'!$T$107)</f>
        <v/>
      </c>
      <c r="AW56" s="238" t="str">
        <f>IF(AL56="","",AL56*'Eval-Avec impact envisagé'!$T$107)</f>
        <v/>
      </c>
      <c r="AX56" s="238" t="str">
        <f>IF(AL56="","",AL56*'Eval-Avec impact envisagé'!$T$107)</f>
        <v/>
      </c>
      <c r="AY56" s="238" t="str">
        <f>IF(AL56="","",AL56*'Eval-Avec impact envisagé'!$T$107)</f>
        <v/>
      </c>
      <c r="AZ56" s="238" t="str">
        <f>IF(AL56="","",AL56*'Eval-Avec impact envisagé'!$T$107)</f>
        <v/>
      </c>
      <c r="BA56" s="237"/>
      <c r="BB56" s="237"/>
      <c r="BC56" s="239"/>
      <c r="BD56" s="240" t="str">
        <f>IF(LEN('Eval-Avec impact envisagé'!$T$107)=0,"",IF('Eval-Avec impact envisagé'!$T$107=0,"Site détruit (0 ha).",CONCATENATE((IF(AL56=0,"Absence de couvert vég. permanent.","")),(IF(AND(AL56&lt;=0.2,AL56&gt;0),CONCATENATE("Couvert vég. permanent très réduit (",ROUND('Eval-Avec impact envisagé'!$T$491,0)," %).",),"")))))</f>
        <v/>
      </c>
      <c r="BE56" s="241" t="str">
        <f>(IF(AND(AL56&gt;0.2,AL56&lt;=0.4),CONCATENATE("Couvert vég. permanent assez réduit (",ROUND('Eval-Avec impact envisagé'!$T$491,0)," %)."),""))</f>
        <v/>
      </c>
      <c r="BF56" s="241" t="str">
        <f>(IF(AND(AL56&gt;0.4,AL56&lt;=0.6),CONCATENATE("Couvert vég. permanent assez important (",ROUND('Eval-Avec impact envisagé'!$T$491,0)," %)."),""))</f>
        <v/>
      </c>
      <c r="BG56" s="241" t="str">
        <f>(IF(AND(AL56&gt;0.6,AL56&lt;=0.8),CONCATENATE("Couvert vég. permanent important (",ROUND('Eval-Avec impact envisagé'!$T$491,0)," %)."),""))</f>
        <v/>
      </c>
      <c r="BH56" s="241" t="str">
        <f>(IF(AND(AL56&gt;0.8,AL56&lt;=1),CONCATENATE("Couvert vég. permanent très important (",ROUND('Eval-Avec impact envisagé'!$T$491,0)," %)."),""))</f>
        <v/>
      </c>
      <c r="BI56" s="246"/>
      <c r="BJ56" s="243" t="str">
        <f>AL56</f>
        <v/>
      </c>
      <c r="BK56" s="244" t="str">
        <f>AV56</f>
        <v/>
      </c>
      <c r="BL56" s="245"/>
      <c r="BM56" s="1132" t="s">
        <v>43</v>
      </c>
      <c r="BN56" s="234" t="s">
        <v>186</v>
      </c>
      <c r="BO56" s="235" t="s">
        <v>137</v>
      </c>
      <c r="BP56" s="236"/>
      <c r="BQ56" s="237"/>
      <c r="BR56" s="238" t="str">
        <f>IF(LEN('Eval-Après impact'!$T$107)=0,"",IF('Eval-Après impact'!$T$107=0,0,IF('Eval-Après impact'!$T$491="","",'Eval-Après impact'!$T$491/100)))</f>
        <v/>
      </c>
      <c r="BS56" s="238" t="str">
        <f>IF(LEN('Eval-Après impact'!$T$107)=0,"",IF('Eval-Après impact'!$T$107=0,0,IF('Eval-Après impact'!$T$491="","",'Eval-Après impact'!$T$491/100)))</f>
        <v/>
      </c>
      <c r="BT56" s="238" t="str">
        <f>IF(LEN('Eval-Après impact'!$T$107)=0,"",IF('Eval-Après impact'!$T$107=0,0,IF('Eval-Après impact'!$T$491="","",'Eval-Après impact'!$T$491/100)))</f>
        <v/>
      </c>
      <c r="BU56" s="238" t="str">
        <f>IF(LEN('Eval-Après impact'!$T$107)=0,"",IF('Eval-Après impact'!$T$107=0,0,IF('Eval-Après impact'!$T$491="","",'Eval-Après impact'!$T$491/100)))</f>
        <v/>
      </c>
      <c r="BV56" s="238" t="str">
        <f>IF(LEN('Eval-Après impact'!$T$107)=0,"",IF('Eval-Après impact'!$T$107=0,0,IF('Eval-Après impact'!$T$491="","",'Eval-Après impact'!$T$491/100)))</f>
        <v/>
      </c>
      <c r="BW56" s="237"/>
      <c r="BX56" s="237"/>
      <c r="BY56" s="239"/>
      <c r="BZ56" s="236"/>
      <c r="CA56" s="237"/>
      <c r="CB56" s="238" t="str">
        <f>IF(BR56="","",BR56*'Eval-Après impact'!$T$107)</f>
        <v/>
      </c>
      <c r="CC56" s="238" t="str">
        <f>IF(BR56="","",BR56*'Eval-Après impact'!$T$107)</f>
        <v/>
      </c>
      <c r="CD56" s="238" t="str">
        <f>IF(BR56="","",BR56*'Eval-Après impact'!$T$107)</f>
        <v/>
      </c>
      <c r="CE56" s="238" t="str">
        <f>IF(BR56="","",BR56*'Eval-Après impact'!$T$107)</f>
        <v/>
      </c>
      <c r="CF56" s="238" t="str">
        <f>IF(BR56="","",BR56*'Eval-Après impact'!$T$107)</f>
        <v/>
      </c>
      <c r="CG56" s="237"/>
      <c r="CH56" s="237"/>
      <c r="CI56" s="239"/>
      <c r="CJ56" s="240" t="str">
        <f>IF(LEN('Eval-Après impact'!$T$107)=0,"",IF('Eval-Après impact'!$T$107=0,"Site détruit (0 ha).",CONCATENATE((IF(BR56=0,"Absence de couvert vég. permanent.","")),(IF(AND(BR56&lt;=0.2,BR56&gt;0),CONCATENATE("Couvert vég. permanent très réduit (",ROUND('Eval-Après impact'!$T$491,0)," %).",),"")))))</f>
        <v/>
      </c>
      <c r="CK56" s="241" t="str">
        <f>(IF(AND(BR56&gt;0.2,BR56&lt;=0.4),CONCATENATE("Couvert vég. permanent assez réduit (",ROUND('Eval-Après impact'!$T$491,0)," %)."),""))</f>
        <v/>
      </c>
      <c r="CL56" s="241" t="str">
        <f>(IF(AND(BR56&gt;0.4,BR56&lt;=0.6),CONCATENATE("Couvert vég. permanent assez important (",ROUND('Eval-Après impact'!$T$491,0)," %)."),""))</f>
        <v/>
      </c>
      <c r="CM56" s="241" t="str">
        <f>(IF(AND(BR56&gt;0.6,BR56&lt;=0.8),CONCATENATE("Couvert vég. permanent important (",ROUND('Eval-Après impact'!$T$491,0)," %)."),""))</f>
        <v/>
      </c>
      <c r="CN56" s="241" t="str">
        <f>(IF(AND(BR56&gt;0.8,BR56&lt;=1),CONCATENATE("Couvert vég. permanent très important (",ROUND('Eval-Après impact'!$T$491,0)," %)."),""))</f>
        <v/>
      </c>
      <c r="CO56" s="246"/>
      <c r="CP56" s="243" t="str">
        <f>BR56</f>
        <v/>
      </c>
      <c r="CQ56" s="244" t="str">
        <f>CB56</f>
        <v/>
      </c>
      <c r="CR56" s="245"/>
      <c r="CS56" s="1132" t="s">
        <v>43</v>
      </c>
      <c r="CT56" s="234" t="s">
        <v>186</v>
      </c>
      <c r="CU56" s="235" t="s">
        <v>137</v>
      </c>
      <c r="CV56" s="236"/>
      <c r="CW56" s="237"/>
      <c r="CX56" s="238" t="str">
        <f>IF(LEN('Eval-Avant action écologique'!$T$107)=0,"",IF('Eval-Avant action écologique'!$T$107=0,0,IF('Eval-Avant action écologique'!$T$491="","",'Eval-Avant action écologique'!$T$491/100)))</f>
        <v/>
      </c>
      <c r="CY56" s="238" t="str">
        <f>IF(LEN('Eval-Avant action écologique'!$T$107)=0,"",IF('Eval-Avant action écologique'!$T$107=0,0,IF('Eval-Avant action écologique'!$T$491="","",'Eval-Avant action écologique'!$T$491/100)))</f>
        <v/>
      </c>
      <c r="CZ56" s="238" t="str">
        <f>IF(LEN('Eval-Avant action écologique'!$T$107)=0,"",IF('Eval-Avant action écologique'!$T$107=0,0,IF('Eval-Avant action écologique'!$T$491="","",'Eval-Avant action écologique'!$T$491/100)))</f>
        <v/>
      </c>
      <c r="DA56" s="238" t="str">
        <f>IF(LEN('Eval-Avant action écologique'!$T$107)=0,"",IF('Eval-Avant action écologique'!$T$107=0,0,IF('Eval-Avant action écologique'!$T$491="","",'Eval-Avant action écologique'!$T$491/100)))</f>
        <v/>
      </c>
      <c r="DB56" s="238" t="str">
        <f>IF(LEN('Eval-Avant action écologique'!$T$107)=0,"",IF('Eval-Avant action écologique'!$T$107=0,0,IF('Eval-Avant action écologique'!$T$491="","",'Eval-Avant action écologique'!$T$491/100)))</f>
        <v/>
      </c>
      <c r="DC56" s="237"/>
      <c r="DD56" s="237"/>
      <c r="DE56" s="239"/>
      <c r="DF56" s="236"/>
      <c r="DG56" s="237"/>
      <c r="DH56" s="238" t="str">
        <f>IF(CX56="","",CX56*'Eval-Avant action écologique'!$T$107)</f>
        <v/>
      </c>
      <c r="DI56" s="238" t="str">
        <f>IF(CX56="","",CX56*'Eval-Avant action écologique'!$T$107)</f>
        <v/>
      </c>
      <c r="DJ56" s="238" t="str">
        <f>IF(CX56="","",CX56*'Eval-Avant action écologique'!$T$107)</f>
        <v/>
      </c>
      <c r="DK56" s="238" t="str">
        <f>IF(CX56="","",CX56*'Eval-Avant action écologique'!$T$107)</f>
        <v/>
      </c>
      <c r="DL56" s="238" t="str">
        <f>IF(CX56="","",CX56*'Eval-Avant action écologique'!$T$107)</f>
        <v/>
      </c>
      <c r="DM56" s="237"/>
      <c r="DN56" s="237"/>
      <c r="DO56" s="239"/>
      <c r="DP56" s="240" t="str">
        <f>IF(LEN('Eval-Avant action écologique'!$T$107)=0,"",IF('Eval-Avant action écologique'!$T$107=0,"Site détruit (0 ha).",CONCATENATE((IF(CX56=0,"Absence de couvert vég. permanent.","")),(IF(AND(CX56&lt;=0.2,CX56&gt;0),CONCATENATE("Couvert vég. permanent très réduit (",ROUND('Eval-Avant action écologique'!$T$491,0)," %).",),"")))))</f>
        <v/>
      </c>
      <c r="DQ56" s="241" t="str">
        <f>(IF(AND(CX56&gt;0.2,CX56&lt;=0.4),CONCATENATE("Couvert vég. permanent assez réduit (",ROUND('Eval-Avant action écologique'!$T$491,0)," %)."),""))</f>
        <v/>
      </c>
      <c r="DR56" s="241" t="str">
        <f>(IF(AND(CX56&gt;0.4,CX56&lt;=0.6),CONCATENATE("Couvert vég. permanent assez important (",ROUND('Eval-Avant action écologique'!$T$491,0)," %)."),""))</f>
        <v/>
      </c>
      <c r="DS56" s="241" t="str">
        <f>(IF(AND(CX56&gt;0.6,CX56&lt;=0.8),CONCATENATE("Couvert vég. permanent important (",ROUND('Eval-Avant action écologique'!$T$491,0)," %)."),""))</f>
        <v/>
      </c>
      <c r="DT56" s="241" t="str">
        <f>(IF(AND(CX56&gt;0.8,CX56&lt;=1),CONCATENATE("Couvert vég. permanent très important (",ROUND('Eval-Avant action écologique'!$T$491,0)," %)."),""))</f>
        <v/>
      </c>
      <c r="DU56" s="246"/>
      <c r="DV56" s="243" t="str">
        <f>CX56</f>
        <v/>
      </c>
      <c r="DW56" s="244" t="str">
        <f>DH56</f>
        <v/>
      </c>
      <c r="DX56" s="245"/>
      <c r="DY56" s="1132" t="s">
        <v>43</v>
      </c>
      <c r="DZ56" s="234" t="s">
        <v>186</v>
      </c>
      <c r="EA56" s="235" t="s">
        <v>137</v>
      </c>
      <c r="EB56" s="236"/>
      <c r="EC56" s="237"/>
      <c r="ED56" s="238" t="str">
        <f>IF(LEN('Eval-Avec act. écol. envisagée'!$T$107)=0,"",IF('Eval-Avec act. écol. envisagée'!$T$107=0,0,IF('Eval-Avec act. écol. envisagée'!$T$491="","",'Eval-Avec act. écol. envisagée'!$T$491/100)))</f>
        <v/>
      </c>
      <c r="EE56" s="238" t="str">
        <f>IF(LEN('Eval-Avec act. écol. envisagée'!$T$107)=0,"",IF('Eval-Avec act. écol. envisagée'!$T$107=0,0,IF('Eval-Avec act. écol. envisagée'!$T$491="","",'Eval-Avec act. écol. envisagée'!$T$491/100)))</f>
        <v/>
      </c>
      <c r="EF56" s="238" t="str">
        <f>IF(LEN('Eval-Avec act. écol. envisagée'!$T$107)=0,"",IF('Eval-Avec act. écol. envisagée'!$T$107=0,0,IF('Eval-Avec act. écol. envisagée'!$T$491="","",'Eval-Avec act. écol. envisagée'!$T$491/100)))</f>
        <v/>
      </c>
      <c r="EG56" s="238" t="str">
        <f>IF(LEN('Eval-Avec act. écol. envisagée'!$T$107)=0,"",IF('Eval-Avec act. écol. envisagée'!$T$107=0,0,IF('Eval-Avec act. écol. envisagée'!$T$491="","",'Eval-Avec act. écol. envisagée'!$T$491/100)))</f>
        <v/>
      </c>
      <c r="EH56" s="238" t="str">
        <f>IF(LEN('Eval-Avec act. écol. envisagée'!$T$107)=0,"",IF('Eval-Avec act. écol. envisagée'!$T$107=0,0,IF('Eval-Avec act. écol. envisagée'!$T$491="","",'Eval-Avec act. écol. envisagée'!$T$491/100)))</f>
        <v/>
      </c>
      <c r="EI56" s="237"/>
      <c r="EJ56" s="237"/>
      <c r="EK56" s="239"/>
      <c r="EL56" s="236"/>
      <c r="EM56" s="237"/>
      <c r="EN56" s="238" t="str">
        <f>IF(ED56="","",ED56*'Eval-Avec act. écol. envisagée'!$T$107)</f>
        <v/>
      </c>
      <c r="EO56" s="238" t="str">
        <f>IF(ED56="","",ED56*'Eval-Avec act. écol. envisagée'!$T$107)</f>
        <v/>
      </c>
      <c r="EP56" s="238" t="str">
        <f>IF(ED56="","",ED56*'Eval-Avec act. écol. envisagée'!$T$107)</f>
        <v/>
      </c>
      <c r="EQ56" s="238" t="str">
        <f>IF(ED56="","",ED56*'Eval-Avec act. écol. envisagée'!$T$107)</f>
        <v/>
      </c>
      <c r="ER56" s="238" t="str">
        <f>IF(ED56="","",ED56*'Eval-Avec act. écol. envisagée'!$T$107)</f>
        <v/>
      </c>
      <c r="ES56" s="237"/>
      <c r="ET56" s="237"/>
      <c r="EU56" s="239"/>
      <c r="EV56" s="240" t="str">
        <f>IF(LEN('Eval-Avec act. écol. envisagée'!$T$107)=0,"",IF('Eval-Avec act. écol. envisagée'!$T$107=0,"Site détruit (0 ha).",CONCATENATE((IF(ED56=0,"Absence de couvert vég. permanent.","")),(IF(AND(ED56&lt;=0.2,ED56&gt;0),CONCATENATE("Couvert vég. permanent très réduit (",ROUND('Eval-Avec act. écol. envisagée'!$T$491,0)," %).",),"")))))</f>
        <v/>
      </c>
      <c r="EW56" s="241" t="str">
        <f>(IF(AND(ED56&gt;0.2,ED56&lt;=0.4),CONCATENATE("Couvert vég. permanent assez réduit (",ROUND('Eval-Avec act. écol. envisagée'!$T$491,0)," %)."),""))</f>
        <v/>
      </c>
      <c r="EX56" s="241" t="str">
        <f>(IF(AND(ED56&gt;0.4,ED56&lt;=0.6),CONCATENATE("Couvert vég. permanent assez important (",ROUND('Eval-Avec act. écol. envisagée'!$T$491,0)," %)."),""))</f>
        <v/>
      </c>
      <c r="EY56" s="241" t="str">
        <f>(IF(AND(ED56&gt;0.6,ED56&lt;=0.8),CONCATENATE("Couvert vég. permanent important (",ROUND('Eval-Avec act. écol. envisagée'!$T$491,0)," %)."),""))</f>
        <v/>
      </c>
      <c r="EZ56" s="241" t="str">
        <f>(IF(AND(ED56&gt;0.8,ED56&lt;=1),CONCATENATE("Couvert vég. permanent très important (",ROUND('Eval-Avec act. écol. envisagée'!$T$491,0)," %)."),""))</f>
        <v/>
      </c>
      <c r="FA56" s="246"/>
      <c r="FB56" s="243" t="str">
        <f>ED56</f>
        <v/>
      </c>
      <c r="FC56" s="244" t="str">
        <f>EN56</f>
        <v/>
      </c>
      <c r="FD56" s="245"/>
      <c r="FE56" s="1132" t="s">
        <v>43</v>
      </c>
      <c r="FF56" s="234" t="s">
        <v>186</v>
      </c>
      <c r="FG56" s="235" t="s">
        <v>137</v>
      </c>
      <c r="FH56" s="236"/>
      <c r="FI56" s="237"/>
      <c r="FJ56" s="238" t="str">
        <f>IF(LEN('Eval-Après action écologique'!$T$107)=0,"",IF('Eval-Après action écologique'!$T$107=0,0,IF('Eval-Après action écologique'!$T$491="","",'Eval-Après action écologique'!$T$491/100)))</f>
        <v/>
      </c>
      <c r="FK56" s="238" t="str">
        <f>IF(LEN('Eval-Après action écologique'!$T$107)=0,"",IF('Eval-Après action écologique'!$T$107=0,0,IF('Eval-Après action écologique'!$T$491="","",'Eval-Après action écologique'!$T$491/100)))</f>
        <v/>
      </c>
      <c r="FL56" s="238" t="str">
        <f>IF(LEN('Eval-Après action écologique'!$T$107)=0,"",IF('Eval-Après action écologique'!$T$107=0,0,IF('Eval-Après action écologique'!$T$491="","",'Eval-Après action écologique'!$T$491/100)))</f>
        <v/>
      </c>
      <c r="FM56" s="238" t="str">
        <f>IF(LEN('Eval-Après action écologique'!$T$107)=0,"",IF('Eval-Après action écologique'!$T$107=0,0,IF('Eval-Après action écologique'!$T$491="","",'Eval-Après action écologique'!$T$491/100)))</f>
        <v/>
      </c>
      <c r="FN56" s="238" t="str">
        <f>IF(LEN('Eval-Après action écologique'!$T$107)=0,"",IF('Eval-Après action écologique'!$T$107=0,0,IF('Eval-Après action écologique'!$T$491="","",'Eval-Après action écologique'!$T$491/100)))</f>
        <v/>
      </c>
      <c r="FO56" s="237"/>
      <c r="FP56" s="237"/>
      <c r="FQ56" s="239"/>
      <c r="FR56" s="236"/>
      <c r="FS56" s="237"/>
      <c r="FT56" s="238" t="str">
        <f>IF(FJ56="","",FJ56*'Eval-Après action écologique'!$T$107)</f>
        <v/>
      </c>
      <c r="FU56" s="238" t="str">
        <f>IF(FJ56="","",FJ56*'Eval-Après action écologique'!$T$107)</f>
        <v/>
      </c>
      <c r="FV56" s="238" t="str">
        <f>IF(FJ56="","",FJ56*'Eval-Après action écologique'!$T$107)</f>
        <v/>
      </c>
      <c r="FW56" s="238" t="str">
        <f>IF(FJ56="","",FJ56*'Eval-Après action écologique'!$T$107)</f>
        <v/>
      </c>
      <c r="FX56" s="238" t="str">
        <f>IF(FJ56="","",FJ56*'Eval-Après action écologique'!$T$107)</f>
        <v/>
      </c>
      <c r="FY56" s="237"/>
      <c r="FZ56" s="237"/>
      <c r="GA56" s="239"/>
      <c r="GB56" s="240" t="str">
        <f>IF(LEN('Eval-Après action écologique'!$T$107)=0,"",IF('Eval-Après action écologique'!$T$107=0,"Site détruit (0 ha).",CONCATENATE((IF(FJ56=0,"Absence de couvert vég. permanent.","")),(IF(AND(FJ56&lt;=0.2,FJ56&gt;0),CONCATENATE("Couvert vég. permanent très réduit (",ROUND('Eval-Après action écologique'!$T$491,0)," %).",),"")))))</f>
        <v/>
      </c>
      <c r="GC56" s="241" t="str">
        <f>(IF(AND(FJ56&gt;0.2,FJ56&lt;=0.4),CONCATENATE("Couvert vég. permanent assez réduit (",ROUND('Eval-Après action écologique'!$T$491,0)," %)."),""))</f>
        <v/>
      </c>
      <c r="GD56" s="241" t="str">
        <f>(IF(AND(FJ56&gt;0.4,FJ56&lt;=0.6),CONCATENATE("Couvert vég. permanent assez important (",ROUND('Eval-Après action écologique'!$T$491,0)," %)."),""))</f>
        <v/>
      </c>
      <c r="GE56" s="241" t="str">
        <f>(IF(AND(FJ56&gt;0.6,FJ56&lt;=0.8),CONCATENATE("Couvert vég. permanent important (",ROUND('Eval-Après action écologique'!$T$491,0)," %)."),""))</f>
        <v/>
      </c>
      <c r="GF56" s="241" t="str">
        <f>(IF(AND(FJ56&gt;0.8,FJ56&lt;=1),CONCATENATE("Couvert vég. permanent très important (",ROUND('Eval-Après action écologique'!$T$491,0)," %)."),""))</f>
        <v/>
      </c>
      <c r="GG56" s="246"/>
      <c r="GH56" s="243" t="str">
        <f>FJ56</f>
        <v/>
      </c>
      <c r="GI56" s="244" t="str">
        <f>FT56</f>
        <v/>
      </c>
    </row>
    <row r="57" spans="1:191" ht="31.5" customHeight="1" x14ac:dyDescent="0.2">
      <c r="A57" s="1133"/>
      <c r="B57" s="1135" t="s">
        <v>74</v>
      </c>
      <c r="C57" s="235" t="s">
        <v>415</v>
      </c>
      <c r="D57" s="236"/>
      <c r="E57" s="237"/>
      <c r="F57" s="237"/>
      <c r="G57" s="237"/>
      <c r="H57" s="238" t="str">
        <f>IF(LEN('Eval-Avant impact'!$T$107)=0,"",IF('Eval-Avant impact'!$T$107=0,0,IF(COUNTA('Eval-Avant impact'!$T$619,'Eval-Avant impact'!$T$622:$T$624,'Eval-Avant impact'!$T$626:$T$630)=0,"",IF(SUM('Eval-Avant impact'!$T$624, 'Eval-Avant impact'!$T$628)&gt;0,"",SUM(0.1*'Eval-Avant impact'!$T$619/100,0.55*('Eval-Avant impact'!$T$622+'Eval-Avant impact'!$T$626)/100,1*('Eval-Avant impact'!$T$623+'Eval-Avant impact'!$T$627+'Eval-Avant impact'!$T$629+'Eval-Avant impact'!$T$630)/100)))))</f>
        <v/>
      </c>
      <c r="I57" s="237"/>
      <c r="J57" s="238" t="str">
        <f>IF(LEN('Eval-Avant impact'!$T$107)=0,"",IF('Eval-Avant impact'!$T$107=0,0,IF(COUNTA('Eval-Avant impact'!$T$619,'Eval-Avant impact'!$T$622:$T$624,'Eval-Avant impact'!$T$626:$T$630)=0,"",IF(SUM('Eval-Avant impact'!$T$624, 'Eval-Avant impact'!$T$628)&gt;0,"",SUM(0.1*'Eval-Avant impact'!$T$619/100,0.55*('Eval-Avant impact'!$T$622+'Eval-Avant impact'!$T$626)/100,1*('Eval-Avant impact'!$T$623+'Eval-Avant impact'!$T$627+'Eval-Avant impact'!$T$629+'Eval-Avant impact'!$T$630)/100)))))</f>
        <v/>
      </c>
      <c r="K57" s="237"/>
      <c r="L57" s="237"/>
      <c r="M57" s="239"/>
      <c r="N57" s="236"/>
      <c r="O57" s="237"/>
      <c r="P57" s="237"/>
      <c r="Q57" s="237"/>
      <c r="R57" s="238" t="str">
        <f>IF(H57="","",H57*'Eval-Avant impact'!$T$107)</f>
        <v/>
      </c>
      <c r="S57" s="237"/>
      <c r="T57" s="238" t="str">
        <f>IF(H57="","",H57*'Eval-Avant impact'!$T$107)</f>
        <v/>
      </c>
      <c r="U57" s="237"/>
      <c r="V57" s="237"/>
      <c r="W57" s="239"/>
      <c r="X57" s="240" t="str">
        <f>IF(LEN('Eval-Avant impact'!$T$107)=0,"",IF('Eval-Avant impact'!$T$107=0,"Site détruit (0 ha).",(IF(AND(H57&gt;=0,H57&lt;=0.2),CONCATENATE("Couvert principalement clairsemé ou muscinal."),""))))</f>
        <v/>
      </c>
      <c r="Y57" s="241" t="str">
        <f>(IF(AND(H57&gt;0.2,H57&lt;=0.4),CONCATENATE("Couverts intermédiaires."),""))</f>
        <v/>
      </c>
      <c r="Z57" s="241" t="str">
        <f>(IF(AND(H57&gt;0.4,H57&lt;=0.6),CONCATENATE("Couverts intermédiaires."),""))</f>
        <v/>
      </c>
      <c r="AA57" s="241" t="str">
        <f>(IF(AND(H57&gt;0.6,H57&lt;=0.8),CONCATENATE("Couverts intermédiaires."),""))</f>
        <v/>
      </c>
      <c r="AB57" s="241" t="str">
        <f>(IF(AND(H57&gt;0.8,H57&lt;=1),CONCATENATE("Couvert surtout herbacé avec export de biomasse et/ou arbustif et/ou arborescent."),""))</f>
        <v/>
      </c>
      <c r="AC57" s="218" t="str">
        <f>IF(LEN('Eval-Avant impact'!$T$107)=0,"",IF('Eval-Avant impact'!$T$107=0,"",IF(H57="","Non renseigné. Méconnaissances des pratiques.","")))</f>
        <v/>
      </c>
      <c r="AD57" s="243" t="str">
        <f>H57</f>
        <v/>
      </c>
      <c r="AE57" s="244" t="str">
        <f>R57</f>
        <v/>
      </c>
      <c r="AF57" s="245"/>
      <c r="AG57" s="1133"/>
      <c r="AH57" s="1135" t="s">
        <v>74</v>
      </c>
      <c r="AI57" s="235" t="s">
        <v>415</v>
      </c>
      <c r="AJ57" s="236"/>
      <c r="AK57" s="237"/>
      <c r="AL57" s="237"/>
      <c r="AM57" s="237"/>
      <c r="AN57" s="238" t="str">
        <f>IF(LEN('Eval-Avec impact envisagé'!$T$107)=0,"",IF('Eval-Avec impact envisagé'!$T$107=0,0,IF(COUNTA('Eval-Avec impact envisagé'!$T$619,'Eval-Avec impact envisagé'!$T$622:$T$624,'Eval-Avec impact envisagé'!$T$626:$T$630)=0,"",IF(SUM('Eval-Avec impact envisagé'!$T$624, 'Eval-Avec impact envisagé'!$T$628)&gt;0,"",SUM(0.1*'Eval-Avec impact envisagé'!$T$619/100,0.55*('Eval-Avec impact envisagé'!$T$622+'Eval-Avec impact envisagé'!$T$626)/100,1*('Eval-Avec impact envisagé'!$T$623+'Eval-Avec impact envisagé'!$T$627+'Eval-Avec impact envisagé'!$T$629+'Eval-Avec impact envisagé'!$T$630)/100)))))</f>
        <v/>
      </c>
      <c r="AO57" s="237"/>
      <c r="AP57" s="238" t="str">
        <f>IF(LEN('Eval-Avec impact envisagé'!$T$107)=0,"",IF('Eval-Avec impact envisagé'!$T$107=0,0,IF(COUNTA('Eval-Avec impact envisagé'!$T$619,'Eval-Avec impact envisagé'!$T$622:$T$624,'Eval-Avec impact envisagé'!$T$626:$T$630)=0,"",IF(SUM('Eval-Avec impact envisagé'!$T$624, 'Eval-Avec impact envisagé'!$T$628)&gt;0,"",SUM(0.1*'Eval-Avec impact envisagé'!$T$619/100,0.55*('Eval-Avec impact envisagé'!$T$622+'Eval-Avec impact envisagé'!$T$626)/100,1*('Eval-Avec impact envisagé'!$T$623+'Eval-Avec impact envisagé'!$T$627+'Eval-Avec impact envisagé'!$T$629+'Eval-Avec impact envisagé'!$T$630)/100)))))</f>
        <v/>
      </c>
      <c r="AQ57" s="237"/>
      <c r="AR57" s="237"/>
      <c r="AS57" s="239"/>
      <c r="AT57" s="236"/>
      <c r="AU57" s="237"/>
      <c r="AV57" s="237"/>
      <c r="AW57" s="237"/>
      <c r="AX57" s="238" t="str">
        <f>IF(AN57="","",AN57*'Eval-Avec impact envisagé'!$T$107)</f>
        <v/>
      </c>
      <c r="AY57" s="237"/>
      <c r="AZ57" s="238" t="str">
        <f>IF(AN57="","",AN57*'Eval-Avec impact envisagé'!$T$107)</f>
        <v/>
      </c>
      <c r="BA57" s="237"/>
      <c r="BB57" s="237"/>
      <c r="BC57" s="239"/>
      <c r="BD57" s="240" t="str">
        <f>IF(LEN('Eval-Avec impact envisagé'!$T$107)=0,"",IF('Eval-Avec impact envisagé'!$T$107=0,"Site détruit (0 ha).",(IF(AND(AN57&gt;=0,AN57&lt;=0.2),CONCATENATE("Couvert principalement clairsemé ou muscinal."),""))))</f>
        <v/>
      </c>
      <c r="BE57" s="241" t="str">
        <f>(IF(AND(AN57&gt;0.2,AN57&lt;=0.4),CONCATENATE("Couverts intermédiaires."),""))</f>
        <v/>
      </c>
      <c r="BF57" s="241" t="str">
        <f>(IF(AND(AN57&gt;0.4,AN57&lt;=0.6),CONCATENATE("Couverts intermédiaires."),""))</f>
        <v/>
      </c>
      <c r="BG57" s="241" t="str">
        <f>(IF(AND(AN57&gt;0.6,AN57&lt;=0.8),CONCATENATE("Couverts intermédiaires."),""))</f>
        <v/>
      </c>
      <c r="BH57" s="241" t="str">
        <f>(IF(AND(AN57&gt;0.8,AN57&lt;=1),CONCATENATE("Couvert surtout herbacé avec export de biomasse et/ou arbustif et/ou arborescent."),""))</f>
        <v/>
      </c>
      <c r="BI57" s="218" t="str">
        <f>IF(LEN('Eval-Avec impact envisagé'!$T$107)=0,"",IF('Eval-Avec impact envisagé'!$T$107=0,"",IF(AN57="","Non renseigné. Méconnaissances des pratiques.","")))</f>
        <v/>
      </c>
      <c r="BJ57" s="243" t="str">
        <f>AN57</f>
        <v/>
      </c>
      <c r="BK57" s="244" t="str">
        <f>AX57</f>
        <v/>
      </c>
      <c r="BL57" s="245"/>
      <c r="BM57" s="1133"/>
      <c r="BN57" s="1135" t="s">
        <v>74</v>
      </c>
      <c r="BO57" s="235" t="s">
        <v>415</v>
      </c>
      <c r="BP57" s="236"/>
      <c r="BQ57" s="237"/>
      <c r="BR57" s="237"/>
      <c r="BS57" s="237"/>
      <c r="BT57" s="238" t="str">
        <f>IF(LEN('Eval-Après impact'!$T$107)=0,"",IF('Eval-Après impact'!$T$107=0,0,IF(COUNTA('Eval-Après impact'!$T$619,'Eval-Après impact'!$T$622:$T$624,'Eval-Après impact'!$T$626:$T$630)=0,"",IF(SUM('Eval-Après impact'!$T$624, 'Eval-Après impact'!$T$628)&gt;0,"",SUM(0.1*'Eval-Après impact'!$T$619/100,0.55*('Eval-Après impact'!$T$622+'Eval-Après impact'!$T$626)/100,1*('Eval-Après impact'!$T$623+'Eval-Après impact'!$T$627+'Eval-Après impact'!$T$629+'Eval-Après impact'!$T$630)/100)))))</f>
        <v/>
      </c>
      <c r="BU57" s="237"/>
      <c r="BV57" s="238" t="str">
        <f>IF(LEN('Eval-Après impact'!$T$107)=0,"",IF('Eval-Après impact'!$T$107=0,0,IF(COUNTA('Eval-Après impact'!$T$619,'Eval-Après impact'!$T$622:$T$624,'Eval-Après impact'!$T$626:$T$630)=0,"",IF(SUM('Eval-Après impact'!$T$624, 'Eval-Après impact'!$T$628)&gt;0,"",SUM(0.1*'Eval-Après impact'!$T$619/100,0.55*('Eval-Après impact'!$T$622+'Eval-Après impact'!$T$626)/100,1*('Eval-Après impact'!$T$623+'Eval-Après impact'!$T$627+'Eval-Après impact'!$T$629+'Eval-Après impact'!$T$630)/100)))))</f>
        <v/>
      </c>
      <c r="BW57" s="237"/>
      <c r="BX57" s="237"/>
      <c r="BY57" s="239"/>
      <c r="BZ57" s="236"/>
      <c r="CA57" s="237"/>
      <c r="CB57" s="237"/>
      <c r="CC57" s="237"/>
      <c r="CD57" s="238" t="str">
        <f>IF(BT57="","",BT57*'Eval-Après impact'!$T$107)</f>
        <v/>
      </c>
      <c r="CE57" s="237"/>
      <c r="CF57" s="238" t="str">
        <f>IF(BT57="","",BT57*'Eval-Après impact'!$T$107)</f>
        <v/>
      </c>
      <c r="CG57" s="237"/>
      <c r="CH57" s="237"/>
      <c r="CI57" s="239"/>
      <c r="CJ57" s="240" t="str">
        <f>IF(LEN('Eval-Après impact'!$T$107)=0,"",IF('Eval-Après impact'!$T$107=0,"Site détruit (0 ha).",(IF(AND(BT57&gt;=0,BT57&lt;=0.2),CONCATENATE("Couvert principalement clairsemé ou muscinal."),""))))</f>
        <v/>
      </c>
      <c r="CK57" s="241" t="str">
        <f>(IF(AND(BT57&gt;0.2,BT57&lt;=0.4),CONCATENATE("Couverts intermédiaires."),""))</f>
        <v/>
      </c>
      <c r="CL57" s="241" t="str">
        <f>(IF(AND(BT57&gt;0.4,BT57&lt;=0.6),CONCATENATE("Couverts intermédiaires."),""))</f>
        <v/>
      </c>
      <c r="CM57" s="241" t="str">
        <f>(IF(AND(BT57&gt;0.6,BT57&lt;=0.8),CONCATENATE("Couverts intermédiaires."),""))</f>
        <v/>
      </c>
      <c r="CN57" s="241" t="str">
        <f>(IF(AND(BT57&gt;0.8,BT57&lt;=1),CONCATENATE("Couvert surtout herbacé avec export de biomasse et/ou arbustif et/ou arborescent."),""))</f>
        <v/>
      </c>
      <c r="CO57" s="218" t="str">
        <f>IF(LEN('Eval-Après impact'!$T$107)=0,"",IF('Eval-Après impact'!$T$107=0,"",IF(BT57="","Non renseigné. Méconnaissances des pratiques.","")))</f>
        <v/>
      </c>
      <c r="CP57" s="243" t="str">
        <f>BT57</f>
        <v/>
      </c>
      <c r="CQ57" s="244" t="str">
        <f>CD57</f>
        <v/>
      </c>
      <c r="CR57" s="245"/>
      <c r="CS57" s="1133"/>
      <c r="CT57" s="1135" t="s">
        <v>74</v>
      </c>
      <c r="CU57" s="235" t="s">
        <v>415</v>
      </c>
      <c r="CV57" s="236"/>
      <c r="CW57" s="237"/>
      <c r="CX57" s="237"/>
      <c r="CY57" s="237"/>
      <c r="CZ57" s="238" t="str">
        <f>IF(LEN('Eval-Avant action écologique'!$T$107)=0,"",IF('Eval-Avant action écologique'!$T$107=0,0,IF(COUNTA('Eval-Avant action écologique'!$T$619,'Eval-Avant action écologique'!$T$622:$T$624,'Eval-Avant action écologique'!$T$626:$T$630)=0,"",IF(SUM('Eval-Avant action écologique'!$T$624, 'Eval-Avant action écologique'!$T$628)&gt;0,"",SUM(0.1*'Eval-Avant action écologique'!$T$619/100,0.55*('Eval-Avant action écologique'!$T$622+'Eval-Avant action écologique'!$T$626)/100,1*('Eval-Avant action écologique'!$T$623+'Eval-Avant action écologique'!$T$627+'Eval-Avant action écologique'!$T$629+'Eval-Avant action écologique'!$T$630)/100)))))</f>
        <v/>
      </c>
      <c r="DA57" s="237"/>
      <c r="DB57" s="238" t="str">
        <f>IF(LEN('Eval-Avant action écologique'!$T$107)=0,"",IF('Eval-Avant action écologique'!$T$107=0,0,IF(COUNTA('Eval-Avant action écologique'!$T$619,'Eval-Avant action écologique'!$T$622:$T$624,'Eval-Avant action écologique'!$T$626:$T$630)=0,"",IF(SUM('Eval-Avant action écologique'!$T$624, 'Eval-Avant action écologique'!$T$628)&gt;0,"",SUM(0.1*'Eval-Avant action écologique'!$T$619/100,0.55*('Eval-Avant action écologique'!$T$622+'Eval-Avant action écologique'!$T$626)/100,1*('Eval-Avant action écologique'!$T$623+'Eval-Avant action écologique'!$T$627+'Eval-Avant action écologique'!$T$629+'Eval-Avant action écologique'!$T$630)/100)))))</f>
        <v/>
      </c>
      <c r="DC57" s="237"/>
      <c r="DD57" s="237"/>
      <c r="DE57" s="239"/>
      <c r="DF57" s="236"/>
      <c r="DG57" s="237"/>
      <c r="DH57" s="237"/>
      <c r="DI57" s="237"/>
      <c r="DJ57" s="238" t="str">
        <f>IF(CZ57="","",CZ57*'Eval-Avant action écologique'!$T$107)</f>
        <v/>
      </c>
      <c r="DK57" s="237"/>
      <c r="DL57" s="238" t="str">
        <f>IF(CZ57="","",CZ57*'Eval-Avant action écologique'!$T$107)</f>
        <v/>
      </c>
      <c r="DM57" s="237"/>
      <c r="DN57" s="237"/>
      <c r="DO57" s="239"/>
      <c r="DP57" s="240" t="str">
        <f>IF(LEN('Eval-Avant action écologique'!$T$107)=0,"",IF('Eval-Avant action écologique'!$T$107=0,"Site détruit (0 ha).",(IF(AND(CZ57&gt;=0,CZ57&lt;=0.2),CONCATENATE("Couvert principalement clairsemé ou muscinal."),""))))</f>
        <v/>
      </c>
      <c r="DQ57" s="241" t="str">
        <f>(IF(AND(CZ57&gt;0.2,CZ57&lt;=0.4),CONCATENATE("Couverts intermédiaires."),""))</f>
        <v/>
      </c>
      <c r="DR57" s="241" t="str">
        <f>(IF(AND(CZ57&gt;0.4,CZ57&lt;=0.6),CONCATENATE("Couverts intermédiaires."),""))</f>
        <v/>
      </c>
      <c r="DS57" s="241" t="str">
        <f>(IF(AND(CZ57&gt;0.6,CZ57&lt;=0.8),CONCATENATE("Couverts intermédiaires."),""))</f>
        <v/>
      </c>
      <c r="DT57" s="241" t="str">
        <f>(IF(AND(CZ57&gt;0.8,CZ57&lt;=1),CONCATENATE("Couvert surtout herbacé avec export de biomasse et/ou arbustif et/ou arborescent."),""))</f>
        <v/>
      </c>
      <c r="DU57" s="218" t="str">
        <f>IF(LEN('Eval-Avant action écologique'!$T$107)=0,"",IF('Eval-Avant action écologique'!$T$107=0,"",IF(CZ57="","Non renseigné. Méconnaissances des pratiques.","")))</f>
        <v/>
      </c>
      <c r="DV57" s="243" t="str">
        <f>CZ57</f>
        <v/>
      </c>
      <c r="DW57" s="244" t="str">
        <f>DJ57</f>
        <v/>
      </c>
      <c r="DX57" s="245"/>
      <c r="DY57" s="1133"/>
      <c r="DZ57" s="1135" t="s">
        <v>74</v>
      </c>
      <c r="EA57" s="235" t="s">
        <v>415</v>
      </c>
      <c r="EB57" s="236"/>
      <c r="EC57" s="237"/>
      <c r="ED57" s="237"/>
      <c r="EE57" s="237"/>
      <c r="EF57" s="238" t="str">
        <f>IF(LEN('Eval-Avec act. écol. envisagée'!$T$107)=0,"",IF('Eval-Avec act. écol. envisagée'!$T$107=0,0,IF(COUNTA('Eval-Avec act. écol. envisagée'!$T$619,'Eval-Avec act. écol. envisagée'!$T$622:$T$624,'Eval-Avec act. écol. envisagée'!$T$626:$T$630)=0,"",IF(SUM('Eval-Avec act. écol. envisagée'!$T$624, 'Eval-Avec act. écol. envisagée'!$T$628)&gt;0,"",SUM(0.1*'Eval-Avec act. écol. envisagée'!$T$619/100,0.55*('Eval-Avec act. écol. envisagée'!$T$622+'Eval-Avec act. écol. envisagée'!$T$626)/100,1*('Eval-Avec act. écol. envisagée'!$T$623+'Eval-Avec act. écol. envisagée'!$T$627+'Eval-Avec act. écol. envisagée'!$T$629+'Eval-Avec act. écol. envisagée'!$T$630)/100)))))</f>
        <v/>
      </c>
      <c r="EG57" s="237"/>
      <c r="EH57" s="238" t="str">
        <f>IF(LEN('Eval-Avec act. écol. envisagée'!$T$107)=0,"",IF('Eval-Avec act. écol. envisagée'!$T$107=0,0,IF(COUNTA('Eval-Avec act. écol. envisagée'!$T$619,'Eval-Avec act. écol. envisagée'!$T$622:$T$624,'Eval-Avec act. écol. envisagée'!$T$626:$T$630)=0,"",IF(SUM('Eval-Avec act. écol. envisagée'!$T$624, 'Eval-Avec act. écol. envisagée'!$T$628)&gt;0,"",SUM(0.1*'Eval-Avec act. écol. envisagée'!$T$619/100,0.55*('Eval-Avec act. écol. envisagée'!$T$622+'Eval-Avec act. écol. envisagée'!$T$626)/100,1*('Eval-Avec act. écol. envisagée'!$T$623+'Eval-Avec act. écol. envisagée'!$T$627+'Eval-Avec act. écol. envisagée'!$T$629+'Eval-Avec act. écol. envisagée'!$T$630)/100)))))</f>
        <v/>
      </c>
      <c r="EI57" s="237"/>
      <c r="EJ57" s="237"/>
      <c r="EK57" s="239"/>
      <c r="EL57" s="236"/>
      <c r="EM57" s="237"/>
      <c r="EN57" s="237"/>
      <c r="EO57" s="237"/>
      <c r="EP57" s="238" t="str">
        <f>IF(EF57="","",EF57*'Eval-Avec act. écol. envisagée'!$T$107)</f>
        <v/>
      </c>
      <c r="EQ57" s="237"/>
      <c r="ER57" s="238" t="str">
        <f>IF(EF57="","",EF57*'Eval-Avec act. écol. envisagée'!$T$107)</f>
        <v/>
      </c>
      <c r="ES57" s="237"/>
      <c r="ET57" s="237"/>
      <c r="EU57" s="239"/>
      <c r="EV57" s="240" t="str">
        <f>IF(LEN('Eval-Avec act. écol. envisagée'!$T$107)=0,"",IF('Eval-Avec act. écol. envisagée'!$T$107=0,"Site détruit (0 ha).",(IF(AND(EF57&gt;=0,EF57&lt;=0.2),CONCATENATE("Couvert principalement clairsemé ou muscinal."),""))))</f>
        <v/>
      </c>
      <c r="EW57" s="241" t="str">
        <f>(IF(AND(EF57&gt;0.2,EF57&lt;=0.4),CONCATENATE("Couverts intermédiaires."),""))</f>
        <v/>
      </c>
      <c r="EX57" s="241" t="str">
        <f>(IF(AND(EF57&gt;0.4,EF57&lt;=0.6),CONCATENATE("Couverts intermédiaires."),""))</f>
        <v/>
      </c>
      <c r="EY57" s="241" t="str">
        <f>(IF(AND(EF57&gt;0.6,EF57&lt;=0.8),CONCATENATE("Couverts intermédiaires."),""))</f>
        <v/>
      </c>
      <c r="EZ57" s="241" t="str">
        <f>(IF(AND(EF57&gt;0.8,EF57&lt;=1),CONCATENATE("Couvert surtout herbacé avec export de biomasse et/ou arbustif et/ou arborescent."),""))</f>
        <v/>
      </c>
      <c r="FA57" s="218" t="str">
        <f>IF(LEN('Eval-Avec act. écol. envisagée'!$T$107)=0,"",IF('Eval-Avec act. écol. envisagée'!$T$107=0,"",IF(EF57="","Non renseigné. Méconnaissances des pratiques.","")))</f>
        <v/>
      </c>
      <c r="FB57" s="243" t="str">
        <f>EF57</f>
        <v/>
      </c>
      <c r="FC57" s="244" t="str">
        <f>EP57</f>
        <v/>
      </c>
      <c r="FD57" s="245"/>
      <c r="FE57" s="1133"/>
      <c r="FF57" s="1135" t="s">
        <v>74</v>
      </c>
      <c r="FG57" s="235" t="s">
        <v>415</v>
      </c>
      <c r="FH57" s="236"/>
      <c r="FI57" s="237"/>
      <c r="FJ57" s="237"/>
      <c r="FK57" s="237"/>
      <c r="FL57" s="238" t="str">
        <f>IF(LEN('Eval-Après action écologique'!$T$107)=0,"",IF('Eval-Après action écologique'!$T$107=0,0,IF(COUNTA('Eval-Après action écologique'!$T$619,'Eval-Après action écologique'!$T$622:$T$624,'Eval-Après action écologique'!$T$626:$T$630)=0,"",IF(SUM('Eval-Après action écologique'!$T$624, 'Eval-Après action écologique'!$T$628)&gt;0,"",SUM(0.1*'Eval-Après action écologique'!$T$619/100,0.55*('Eval-Après action écologique'!$T$622+'Eval-Après action écologique'!$T$626)/100,1*('Eval-Après action écologique'!$T$623+'Eval-Après action écologique'!$T$627+'Eval-Après action écologique'!$T$629+'Eval-Après action écologique'!$T$630)/100)))))</f>
        <v/>
      </c>
      <c r="FM57" s="237"/>
      <c r="FN57" s="238" t="str">
        <f>IF(LEN('Eval-Après action écologique'!$T$107)=0,"",IF('Eval-Après action écologique'!$T$107=0,0,IF(COUNTA('Eval-Après action écologique'!$T$619,'Eval-Après action écologique'!$T$622:$T$624,'Eval-Après action écologique'!$T$626:$T$630)=0,"",IF(SUM('Eval-Après action écologique'!$T$624, 'Eval-Après action écologique'!$T$628)&gt;0,"",SUM(0.1*'Eval-Après action écologique'!$T$619/100,0.55*('Eval-Après action écologique'!$T$622+'Eval-Après action écologique'!$T$626)/100,1*('Eval-Après action écologique'!$T$623+'Eval-Après action écologique'!$T$627+'Eval-Après action écologique'!$T$629+'Eval-Après action écologique'!$T$630)/100)))))</f>
        <v/>
      </c>
      <c r="FO57" s="237"/>
      <c r="FP57" s="237"/>
      <c r="FQ57" s="239"/>
      <c r="FR57" s="236"/>
      <c r="FS57" s="237"/>
      <c r="FT57" s="237"/>
      <c r="FU57" s="237"/>
      <c r="FV57" s="238" t="str">
        <f>IF(FL57="","",FL57*'Eval-Après action écologique'!$T$107)</f>
        <v/>
      </c>
      <c r="FW57" s="237"/>
      <c r="FX57" s="238" t="str">
        <f>IF(FL57="","",FL57*'Eval-Après action écologique'!$T$107)</f>
        <v/>
      </c>
      <c r="FY57" s="237"/>
      <c r="FZ57" s="237"/>
      <c r="GA57" s="239"/>
      <c r="GB57" s="240" t="str">
        <f>IF(LEN('Eval-Après action écologique'!$T$107)=0,"",IF('Eval-Après action écologique'!$T$107=0,"Site détruit (0 ha).",(IF(AND(FL57&gt;=0,FL57&lt;=0.2),CONCATENATE("Couvert principalement clairsemé ou muscinal."),""))))</f>
        <v/>
      </c>
      <c r="GC57" s="241" t="str">
        <f>(IF(AND(FL57&gt;0.2,FL57&lt;=0.4),CONCATENATE("Couverts intermédiaires."),""))</f>
        <v/>
      </c>
      <c r="GD57" s="241" t="str">
        <f>(IF(AND(FL57&gt;0.4,FL57&lt;=0.6),CONCATENATE("Couverts intermédiaires."),""))</f>
        <v/>
      </c>
      <c r="GE57" s="241" t="str">
        <f>(IF(AND(FL57&gt;0.6,FL57&lt;=0.8),CONCATENATE("Couverts intermédiaires."),""))</f>
        <v/>
      </c>
      <c r="GF57" s="241" t="str">
        <f>(IF(AND(FL57&gt;0.8,FL57&lt;=1),CONCATENATE("Couvert surtout herbacé avec export de biomasse et/ou arbustif et/ou arborescent."),""))</f>
        <v/>
      </c>
      <c r="GG57" s="218" t="str">
        <f>IF(LEN('Eval-Après action écologique'!$T$107)=0,"",IF('Eval-Après action écologique'!$T$107=0,"",IF(FL57="","Non renseigné. Méconnaissances des pratiques.","")))</f>
        <v/>
      </c>
      <c r="GH57" s="243" t="str">
        <f>FL57</f>
        <v/>
      </c>
      <c r="GI57" s="244" t="str">
        <f>FV57</f>
        <v/>
      </c>
    </row>
    <row r="58" spans="1:191" ht="31.5" customHeight="1" x14ac:dyDescent="0.2">
      <c r="A58" s="1133"/>
      <c r="B58" s="1136"/>
      <c r="C58" s="235" t="s">
        <v>416</v>
      </c>
      <c r="D58" s="236"/>
      <c r="E58" s="251"/>
      <c r="F58" s="237"/>
      <c r="G58" s="237"/>
      <c r="H58" s="237"/>
      <c r="I58" s="237"/>
      <c r="J58" s="237"/>
      <c r="K58" s="238" t="str">
        <f>IF(LEN('Eval-Avant impact'!$T$107)=0,"",IF('Eval-Avant impact'!$T$107=0,0,IF(COUNTA('Eval-Avant impact'!$T$619,'Eval-Avant impact'!$T$622:$T$624,'Eval-Avant impact'!$T$626:$T$630)=0,"",IF(SUM('Eval-Avant impact'!$T$624, 'Eval-Avant impact'!$T$628)&gt;0,"",SUM(0.1*'Eval-Avant impact'!$T$619/100,0.25*'Eval-Avant impact'!$T$622/100,0.4*'Eval-Avant impact'!$T$623/100,0.55*'Eval-Avant impact'!$T$626/100,0.7*'Eval-Avant impact'!$T$627/100,0.85*'Eval-Avant impact'!$T$629/100,1*'Eval-Avant impact'!$T$630/100)))))</f>
        <v/>
      </c>
      <c r="L58" s="237"/>
      <c r="M58" s="239"/>
      <c r="N58" s="236"/>
      <c r="O58" s="237"/>
      <c r="P58" s="237"/>
      <c r="Q58" s="237"/>
      <c r="R58" s="237"/>
      <c r="S58" s="237"/>
      <c r="T58" s="237"/>
      <c r="U58" s="238" t="str">
        <f>IF(K58="","",K58*'Eval-Avant impact'!$T$107)</f>
        <v/>
      </c>
      <c r="V58" s="237"/>
      <c r="W58" s="239"/>
      <c r="X58" s="240" t="str">
        <f>IF(LEN('Eval-Avant impact'!$T$107)=0,"",IF('Eval-Avant impact'!$T$107=0,"Site détruit (0 ha).",(IF(AND(K58&gt;=0,K58&lt;=0.2),CONCATENATE("Couvert principalement clairsemé ou muscinal."),""))))</f>
        <v/>
      </c>
      <c r="Y58" s="241" t="str">
        <f>(IF(AND(K58&gt;0.2,K58&lt;=0.4),CONCATENATE("Couverts intermédiaires."),""))</f>
        <v/>
      </c>
      <c r="Z58" s="241" t="str">
        <f>(IF(AND(K58&gt;0.4,K58&lt;=0.6),CONCATENATE("Couverts intermédiaires."),""))</f>
        <v/>
      </c>
      <c r="AA58" s="241" t="str">
        <f>(IF(AND(K58&gt;0.6,K58&lt;=0.8),CONCATENATE("Couverts intermédiaires."),""))</f>
        <v/>
      </c>
      <c r="AB58" s="241" t="str">
        <f>(IF(AND(K58&gt;0.8,K58&lt;=1),CONCATENATE("Couvert surtout arborescent."),""))</f>
        <v/>
      </c>
      <c r="AC58" s="218" t="str">
        <f>IF(LEN('Eval-Avant impact'!$T$107)=0,"",IF('Eval-Avant impact'!$T$107=0,"",IF(K58="","Non renseigné. Méconnaissances des pratiques.","")))</f>
        <v/>
      </c>
      <c r="AD58" s="243" t="str">
        <f>K58</f>
        <v/>
      </c>
      <c r="AE58" s="244" t="str">
        <f>U58</f>
        <v/>
      </c>
      <c r="AF58" s="245"/>
      <c r="AG58" s="1133"/>
      <c r="AH58" s="1136"/>
      <c r="AI58" s="235" t="s">
        <v>416</v>
      </c>
      <c r="AJ58" s="236"/>
      <c r="AK58" s="251"/>
      <c r="AL58" s="237"/>
      <c r="AM58" s="237"/>
      <c r="AN58" s="237"/>
      <c r="AO58" s="237"/>
      <c r="AP58" s="237"/>
      <c r="AQ58" s="238" t="str">
        <f>IF(LEN('Eval-Avec impact envisagé'!$T$107)=0,"",IF('Eval-Avec impact envisagé'!$T$107=0,0,IF(COUNTA('Eval-Avec impact envisagé'!$T$619,'Eval-Avec impact envisagé'!$T$622:$T$624,'Eval-Avec impact envisagé'!$T$626:$T$630)=0,"",IF(SUM('Eval-Avec impact envisagé'!$T$624, 'Eval-Avec impact envisagé'!$T$628)&gt;0,"",SUM(0.1*'Eval-Avec impact envisagé'!$T$619/100,0.25*'Eval-Avec impact envisagé'!$T$622/100,0.4*'Eval-Avec impact envisagé'!$T$623/100,0.55*'Eval-Avec impact envisagé'!$T$626/100,0.7*'Eval-Avec impact envisagé'!$T$627/100,0.85*'Eval-Avec impact envisagé'!$T$629/100,1*'Eval-Avec impact envisagé'!$T$630/100)))))</f>
        <v/>
      </c>
      <c r="AR58" s="237"/>
      <c r="AS58" s="239"/>
      <c r="AT58" s="236"/>
      <c r="AU58" s="237"/>
      <c r="AV58" s="237"/>
      <c r="AW58" s="237"/>
      <c r="AX58" s="237"/>
      <c r="AY58" s="237"/>
      <c r="AZ58" s="237"/>
      <c r="BA58" s="238" t="str">
        <f>IF(AQ58="","",AQ58*'Eval-Avec impact envisagé'!$T$107)</f>
        <v/>
      </c>
      <c r="BB58" s="237"/>
      <c r="BC58" s="239"/>
      <c r="BD58" s="240" t="str">
        <f>IF(LEN('Eval-Avec impact envisagé'!$T$107)=0,"",IF('Eval-Avec impact envisagé'!$T$107=0,"Site détruit (0 ha).",(IF(AND(AQ58&gt;=0,AQ58&lt;=0.2),CONCATENATE("Couvert principalement clairsemé ou muscinal."),""))))</f>
        <v/>
      </c>
      <c r="BE58" s="241" t="str">
        <f>(IF(AND(AQ58&gt;0.2,AQ58&lt;=0.4),CONCATENATE("Couverts intermédiaires."),""))</f>
        <v/>
      </c>
      <c r="BF58" s="241" t="str">
        <f>(IF(AND(AQ58&gt;0.4,AQ58&lt;=0.6),CONCATENATE("Couverts intermédiaires."),""))</f>
        <v/>
      </c>
      <c r="BG58" s="241" t="str">
        <f>(IF(AND(AQ58&gt;0.6,AQ58&lt;=0.8),CONCATENATE("Couverts intermédiaires."),""))</f>
        <v/>
      </c>
      <c r="BH58" s="241" t="str">
        <f>(IF(AND(AQ58&gt;0.8,AQ58&lt;=1),CONCATENATE("Couvert surtout arborescent."),""))</f>
        <v/>
      </c>
      <c r="BI58" s="218" t="str">
        <f>IF(LEN('Eval-Avec impact envisagé'!$T$107)=0,"",IF('Eval-Avec impact envisagé'!$T$107=0,"",IF(AQ58="","Non renseigné. Méconnaissances des pratiques.","")))</f>
        <v/>
      </c>
      <c r="BJ58" s="243" t="str">
        <f>AQ58</f>
        <v/>
      </c>
      <c r="BK58" s="244" t="str">
        <f>BA58</f>
        <v/>
      </c>
      <c r="BL58" s="245"/>
      <c r="BM58" s="1133"/>
      <c r="BN58" s="1136"/>
      <c r="BO58" s="235" t="s">
        <v>416</v>
      </c>
      <c r="BP58" s="236"/>
      <c r="BQ58" s="251"/>
      <c r="BR58" s="237"/>
      <c r="BS58" s="237"/>
      <c r="BT58" s="237"/>
      <c r="BU58" s="237"/>
      <c r="BV58" s="237"/>
      <c r="BW58" s="238" t="str">
        <f>IF(LEN('Eval-Après impact'!$T$107)=0,"",IF('Eval-Après impact'!$T$107=0,0,IF(COUNTA('Eval-Après impact'!$T$619,'Eval-Après impact'!$T$622:$T$624,'Eval-Après impact'!$T$626:$T$630)=0,"",IF(SUM('Eval-Après impact'!$T$624, 'Eval-Après impact'!$T$628)&gt;0,"",SUM(0.1*'Eval-Après impact'!$T$619/100,0.25*'Eval-Après impact'!$T$622/100,0.4*'Eval-Après impact'!$T$623/100,0.55*'Eval-Après impact'!$T$626/100,0.7*'Eval-Après impact'!$T$627/100,0.85*'Eval-Après impact'!$T$629/100,1*'Eval-Après impact'!$T$630/100)))))</f>
        <v/>
      </c>
      <c r="BX58" s="237"/>
      <c r="BY58" s="239"/>
      <c r="BZ58" s="236"/>
      <c r="CA58" s="237"/>
      <c r="CB58" s="237"/>
      <c r="CC58" s="237"/>
      <c r="CD58" s="237"/>
      <c r="CE58" s="237"/>
      <c r="CF58" s="237"/>
      <c r="CG58" s="238" t="str">
        <f>IF(BW58="","",BW58*'Eval-Après impact'!$T$107)</f>
        <v/>
      </c>
      <c r="CH58" s="237"/>
      <c r="CI58" s="239"/>
      <c r="CJ58" s="240" t="str">
        <f>IF(LEN('Eval-Après impact'!$T$107)=0,"",IF('Eval-Après impact'!$T$107=0,"Site détruit (0 ha).",(IF(AND(BW58&gt;=0,BW58&lt;=0.2),CONCATENATE("Couvert principalement clairsemé ou muscinal."),""))))</f>
        <v/>
      </c>
      <c r="CK58" s="241" t="str">
        <f>(IF(AND(BW58&gt;0.2,BW58&lt;=0.4),CONCATENATE("Couverts intermédiaires."),""))</f>
        <v/>
      </c>
      <c r="CL58" s="241" t="str">
        <f>(IF(AND(BW58&gt;0.4,BW58&lt;=0.6),CONCATENATE("Couverts intermédiaires."),""))</f>
        <v/>
      </c>
      <c r="CM58" s="241" t="str">
        <f>(IF(AND(BW58&gt;0.6,BW58&lt;=0.8),CONCATENATE("Couverts intermédiaires."),""))</f>
        <v/>
      </c>
      <c r="CN58" s="241" t="str">
        <f>(IF(AND(BW58&gt;0.8,BW58&lt;=1),CONCATENATE("Couvert surtout arborescent."),""))</f>
        <v/>
      </c>
      <c r="CO58" s="218" t="str">
        <f>IF(LEN('Eval-Après impact'!$T$107)=0,"",IF('Eval-Après impact'!$T$107=0,"",IF(BW58="","Non renseigné. Méconnaissances des pratiques.","")))</f>
        <v/>
      </c>
      <c r="CP58" s="243" t="str">
        <f>BW58</f>
        <v/>
      </c>
      <c r="CQ58" s="244" t="str">
        <f>CG58</f>
        <v/>
      </c>
      <c r="CR58" s="245"/>
      <c r="CS58" s="1133"/>
      <c r="CT58" s="1136"/>
      <c r="CU58" s="235" t="s">
        <v>416</v>
      </c>
      <c r="CV58" s="236"/>
      <c r="CW58" s="251"/>
      <c r="CX58" s="237"/>
      <c r="CY58" s="237"/>
      <c r="CZ58" s="237"/>
      <c r="DA58" s="237"/>
      <c r="DB58" s="237"/>
      <c r="DC58" s="238" t="str">
        <f>IF(LEN('Eval-Avant action écologique'!$T$107)=0,"",IF('Eval-Avant action écologique'!$T$107=0,0,IF(COUNTA('Eval-Avant action écologique'!$T$619,'Eval-Avant action écologique'!$T$622:$T$624,'Eval-Avant action écologique'!$T$626:$T$630)=0,"",IF(SUM('Eval-Avant action écologique'!$T$624, 'Eval-Avant action écologique'!$T$628)&gt;0,"",SUM(0.1*'Eval-Avant action écologique'!$T$619/100,0.25*'Eval-Avant action écologique'!$T$622/100,0.4*'Eval-Avant action écologique'!$T$623/100,0.55*'Eval-Avant action écologique'!$T$626/100,0.7*'Eval-Avant action écologique'!$T$627/100,0.85*'Eval-Avant action écologique'!$T$629/100,1*'Eval-Avant action écologique'!$T$630/100)))))</f>
        <v/>
      </c>
      <c r="DD58" s="237"/>
      <c r="DE58" s="239"/>
      <c r="DF58" s="236"/>
      <c r="DG58" s="237"/>
      <c r="DH58" s="237"/>
      <c r="DI58" s="237"/>
      <c r="DJ58" s="237"/>
      <c r="DK58" s="237"/>
      <c r="DL58" s="237"/>
      <c r="DM58" s="238" t="str">
        <f>IF(DC58="","",DC58*'Eval-Avant action écologique'!$T$107)</f>
        <v/>
      </c>
      <c r="DN58" s="237"/>
      <c r="DO58" s="239"/>
      <c r="DP58" s="240" t="str">
        <f>IF(LEN('Eval-Avant action écologique'!$T$107)=0,"",IF('Eval-Avant action écologique'!$T$107=0,"Site détruit (0 ha).",(IF(AND(DC58&gt;=0,DC58&lt;=0.2),CONCATENATE("Couvert principalement clairsemé ou muscinal."),""))))</f>
        <v/>
      </c>
      <c r="DQ58" s="241" t="str">
        <f>(IF(AND(DC58&gt;0.2,DC58&lt;=0.4),CONCATENATE("Couverts intermédiaires."),""))</f>
        <v/>
      </c>
      <c r="DR58" s="241" t="str">
        <f>(IF(AND(DC58&gt;0.4,DC58&lt;=0.6),CONCATENATE("Couverts intermédiaires."),""))</f>
        <v/>
      </c>
      <c r="DS58" s="241" t="str">
        <f>(IF(AND(DC58&gt;0.6,DC58&lt;=0.8),CONCATENATE("Couverts intermédiaires."),""))</f>
        <v/>
      </c>
      <c r="DT58" s="241" t="str">
        <f>(IF(AND(DC58&gt;0.8,DC58&lt;=1),CONCATENATE("Couvert surtout arborescent."),""))</f>
        <v/>
      </c>
      <c r="DU58" s="218" t="str">
        <f>IF(LEN('Eval-Avant action écologique'!$T$107)=0,"",IF('Eval-Avant action écologique'!$T$107=0,"",IF(DC58="","Non renseigné. Méconnaissances des pratiques.","")))</f>
        <v/>
      </c>
      <c r="DV58" s="243" t="str">
        <f>DC58</f>
        <v/>
      </c>
      <c r="DW58" s="244" t="str">
        <f>DM58</f>
        <v/>
      </c>
      <c r="DX58" s="245"/>
      <c r="DY58" s="1133"/>
      <c r="DZ58" s="1136"/>
      <c r="EA58" s="235" t="s">
        <v>416</v>
      </c>
      <c r="EB58" s="236"/>
      <c r="EC58" s="251"/>
      <c r="ED58" s="237"/>
      <c r="EE58" s="237"/>
      <c r="EF58" s="237"/>
      <c r="EG58" s="237"/>
      <c r="EH58" s="237"/>
      <c r="EI58" s="238" t="str">
        <f>IF(LEN('Eval-Avec act. écol. envisagée'!$T$107)=0,"",IF('Eval-Avec act. écol. envisagée'!$T$107=0,0,IF(COUNTA('Eval-Avec act. écol. envisagée'!$T$619,'Eval-Avec act. écol. envisagée'!$T$622:$T$624,'Eval-Avec act. écol. envisagée'!$T$626:$T$630)=0,"",IF(SUM('Eval-Avec act. écol. envisagée'!$T$624, 'Eval-Avec act. écol. envisagée'!$T$628)&gt;0,"",SUM(0.1*'Eval-Avec act. écol. envisagée'!$T$619/100,0.25*'Eval-Avec act. écol. envisagée'!$T$622/100,0.4*'Eval-Avec act. écol. envisagée'!$T$623/100,0.55*'Eval-Avec act. écol. envisagée'!$T$626/100,0.7*'Eval-Avec act. écol. envisagée'!$T$627/100,0.85*'Eval-Avec act. écol. envisagée'!$T$629/100,1*'Eval-Avec act. écol. envisagée'!$T$630/100)))))</f>
        <v/>
      </c>
      <c r="EJ58" s="237"/>
      <c r="EK58" s="239"/>
      <c r="EL58" s="236"/>
      <c r="EM58" s="237"/>
      <c r="EN58" s="237"/>
      <c r="EO58" s="237"/>
      <c r="EP58" s="237"/>
      <c r="EQ58" s="237"/>
      <c r="ER58" s="237"/>
      <c r="ES58" s="238" t="str">
        <f>IF(EI58="","",EI58*'Eval-Avec act. écol. envisagée'!$T$107)</f>
        <v/>
      </c>
      <c r="ET58" s="237"/>
      <c r="EU58" s="239"/>
      <c r="EV58" s="240" t="str">
        <f>IF(LEN('Eval-Avec act. écol. envisagée'!$T$107)=0,"",IF('Eval-Avec act. écol. envisagée'!$T$107=0,"Site détruit (0 ha).",(IF(AND(EI58&gt;=0,EI58&lt;=0.2),CONCATENATE("Couvert principalement clairsemé ou muscinal."),""))))</f>
        <v/>
      </c>
      <c r="EW58" s="241" t="str">
        <f>(IF(AND(EI58&gt;0.2,EI58&lt;=0.4),CONCATENATE("Couverts intermédiaires."),""))</f>
        <v/>
      </c>
      <c r="EX58" s="241" t="str">
        <f>(IF(AND(EI58&gt;0.4,EI58&lt;=0.6),CONCATENATE("Couverts intermédiaires."),""))</f>
        <v/>
      </c>
      <c r="EY58" s="241" t="str">
        <f>(IF(AND(EI58&gt;0.6,EI58&lt;=0.8),CONCATENATE("Couverts intermédiaires."),""))</f>
        <v/>
      </c>
      <c r="EZ58" s="241" t="str">
        <f>(IF(AND(EI58&gt;0.8,EI58&lt;=1),CONCATENATE("Couvert surtout arborescent."),""))</f>
        <v/>
      </c>
      <c r="FA58" s="218" t="str">
        <f>IF(LEN('Eval-Avec act. écol. envisagée'!$T$107)=0,"",IF('Eval-Avec act. écol. envisagée'!$T$107=0,"",IF(EI58="","Non renseigné. Méconnaissances des pratiques.","")))</f>
        <v/>
      </c>
      <c r="FB58" s="243" t="str">
        <f>EI58</f>
        <v/>
      </c>
      <c r="FC58" s="244" t="str">
        <f>ES58</f>
        <v/>
      </c>
      <c r="FD58" s="245"/>
      <c r="FE58" s="1133"/>
      <c r="FF58" s="1136"/>
      <c r="FG58" s="235" t="s">
        <v>416</v>
      </c>
      <c r="FH58" s="236"/>
      <c r="FI58" s="251"/>
      <c r="FJ58" s="237"/>
      <c r="FK58" s="237"/>
      <c r="FL58" s="237"/>
      <c r="FM58" s="237"/>
      <c r="FN58" s="237"/>
      <c r="FO58" s="238" t="str">
        <f>IF(LEN('Eval-Après action écologique'!$T$107)=0,"",IF('Eval-Après action écologique'!$T$107=0,0,IF(COUNTA('Eval-Après action écologique'!$T$619,'Eval-Après action écologique'!$T$622:$T$624,'Eval-Après action écologique'!$T$626:$T$630)=0,"",IF(SUM('Eval-Après action écologique'!$T$624, 'Eval-Après action écologique'!$T$628)&gt;0,"",SUM(0.1*'Eval-Après action écologique'!$T$619/100,0.25*'Eval-Après action écologique'!$T$622/100,0.4*'Eval-Après action écologique'!$T$623/100,0.55*'Eval-Après action écologique'!$T$626/100,0.7*'Eval-Après action écologique'!$T$627/100,0.85*'Eval-Après action écologique'!$T$629/100,1*'Eval-Après action écologique'!$T$630/100)))))</f>
        <v/>
      </c>
      <c r="FP58" s="237"/>
      <c r="FQ58" s="239"/>
      <c r="FR58" s="236"/>
      <c r="FS58" s="237"/>
      <c r="FT58" s="237"/>
      <c r="FU58" s="237"/>
      <c r="FV58" s="237"/>
      <c r="FW58" s="237"/>
      <c r="FX58" s="237"/>
      <c r="FY58" s="238" t="str">
        <f>IF(FO58="","",FO58*'Eval-Après action écologique'!$T$107)</f>
        <v/>
      </c>
      <c r="FZ58" s="237"/>
      <c r="GA58" s="239"/>
      <c r="GB58" s="240" t="str">
        <f>IF(LEN('Eval-Après action écologique'!$T$107)=0,"",IF('Eval-Après action écologique'!$T$107=0,"Site détruit (0 ha).",(IF(AND(FO58&gt;=0,FO58&lt;=0.2),CONCATENATE("Couvert principalement clairsemé ou muscinal."),""))))</f>
        <v/>
      </c>
      <c r="GC58" s="241" t="str">
        <f>(IF(AND(FO58&gt;0.2,FO58&lt;=0.4),CONCATENATE("Couverts intermédiaires."),""))</f>
        <v/>
      </c>
      <c r="GD58" s="241" t="str">
        <f>(IF(AND(FO58&gt;0.4,FO58&lt;=0.6),CONCATENATE("Couverts intermédiaires."),""))</f>
        <v/>
      </c>
      <c r="GE58" s="241" t="str">
        <f>(IF(AND(FO58&gt;0.6,FO58&lt;=0.8),CONCATENATE("Couverts intermédiaires."),""))</f>
        <v/>
      </c>
      <c r="GF58" s="241" t="str">
        <f>(IF(AND(FO58&gt;0.8,FO58&lt;=1),CONCATENATE("Couvert surtout arborescent."),""))</f>
        <v/>
      </c>
      <c r="GG58" s="218" t="str">
        <f>IF(LEN('Eval-Après action écologique'!$T$107)=0,"",IF('Eval-Après action écologique'!$T$107=0,"",IF(FO58="","Non renseigné. Méconnaissances des pratiques.","")))</f>
        <v/>
      </c>
      <c r="GH58" s="243" t="str">
        <f>FO58</f>
        <v/>
      </c>
      <c r="GI58" s="244" t="str">
        <f>FY58</f>
        <v/>
      </c>
    </row>
    <row r="59" spans="1:191" ht="31.5" customHeight="1" x14ac:dyDescent="0.2">
      <c r="A59" s="1133"/>
      <c r="B59" s="1137"/>
      <c r="C59" s="235" t="s">
        <v>138</v>
      </c>
      <c r="D59" s="243" t="str">
        <f>IF(LEN('Eval-Avant impact'!$T$107)=0,"",IF('Eval-Avant impact'!$T$107=0,0,IF('Eval-Avant impact'!$J$121="X",SUM(0.2333*SUM('Eval-Avant impact'!$T$619,'Eval-Avant impact'!$T$622:$T$624)/100,0.4167*SUM('Eval-Avant impact'!$T$626:$T$628,'Eval-Avant impact'!$T$629)/100,1*'Eval-Avant impact'!$T$630/100),"")))</f>
        <v/>
      </c>
      <c r="E59" s="237"/>
      <c r="F59" s="238" t="str">
        <f>IF(LEN('Eval-Avant impact'!$T$107)=0,"",IF('Eval-Avant impact'!$T$107=0,0,IF('Eval-Avant impact'!$J$121="X",SUM(0.2333*SUM('Eval-Avant impact'!$T$619,'Eval-Avant impact'!$T$622:$T$624)/100,0.4167*SUM('Eval-Avant impact'!$T$626:$T$628,'Eval-Avant impact'!$T$629)/100,1*'Eval-Avant impact'!$T$630/100),"")))</f>
        <v/>
      </c>
      <c r="G59" s="238" t="str">
        <f>IF(LEN('Eval-Avant impact'!$T$107)=0,"",IF('Eval-Avant impact'!$T$107=0,0,IF('Eval-Avant impact'!$J$121="X",SUM(0.2333*SUM('Eval-Avant impact'!$T$619,'Eval-Avant impact'!$T$622:$T$624)/100,0.4167*SUM('Eval-Avant impact'!$T$626:$T$628,'Eval-Avant impact'!$T$629)/100,1*'Eval-Avant impact'!$T$630/100),"")))</f>
        <v/>
      </c>
      <c r="H59" s="238" t="str">
        <f>IF(LEN('Eval-Avant impact'!$T$107)=0,"",IF('Eval-Avant impact'!$T$107=0,0,IF('Eval-Avant impact'!$J$121="X",SUM(0.2333*SUM('Eval-Avant impact'!$T$619,'Eval-Avant impact'!$T$622:$T$624)/100,0.4167*SUM('Eval-Avant impact'!$T$626:$T$628,'Eval-Avant impact'!$T$629)/100,1*'Eval-Avant impact'!$T$630/100),"")))</f>
        <v/>
      </c>
      <c r="I59" s="238" t="str">
        <f>IF(LEN('Eval-Avant impact'!$T$107)=0,"",IF('Eval-Avant impact'!$T$107=0,0,IF('Eval-Avant impact'!$J$121="X",SUM(0.2333*SUM('Eval-Avant impact'!$T$619,'Eval-Avant impact'!$T$622:$T$624)/100,0.4167*SUM('Eval-Avant impact'!$T$626:$T$628,'Eval-Avant impact'!$T$629)/100,1*'Eval-Avant impact'!$T$630/100),"")))</f>
        <v/>
      </c>
      <c r="J59" s="238" t="str">
        <f>IF(LEN('Eval-Avant impact'!$T$107)=0,"",IF('Eval-Avant impact'!$T$107=0,0,IF('Eval-Avant impact'!$J$121="X",SUM(0.2333*SUM('Eval-Avant impact'!$T$619,'Eval-Avant impact'!$T$622:$T$624)/100,0.4167*SUM('Eval-Avant impact'!$T$626:$T$628,'Eval-Avant impact'!$T$629)/100,1*'Eval-Avant impact'!$T$630/100),"")))</f>
        <v/>
      </c>
      <c r="K59" s="252"/>
      <c r="L59" s="237"/>
      <c r="M59" s="239"/>
      <c r="N59" s="243" t="str">
        <f>IF(D59="","",D59*'Eval-Avant impact'!$T$107)</f>
        <v/>
      </c>
      <c r="O59" s="237"/>
      <c r="P59" s="238" t="str">
        <f>IF(D59="","",D59*'Eval-Avant impact'!$T$107)</f>
        <v/>
      </c>
      <c r="Q59" s="238" t="str">
        <f>IF(D59="","",D59*'Eval-Avant impact'!$T$107)</f>
        <v/>
      </c>
      <c r="R59" s="238" t="str">
        <f>IF(D59="","",D59*'Eval-Avant impact'!$T$107)</f>
        <v/>
      </c>
      <c r="S59" s="238" t="str">
        <f>IF(D59="","",D59*'Eval-Avant impact'!$T$107)</f>
        <v/>
      </c>
      <c r="T59" s="238" t="str">
        <f>IF(D59="","",D59*'Eval-Avant impact'!$T$107)</f>
        <v/>
      </c>
      <c r="U59" s="237"/>
      <c r="V59" s="237"/>
      <c r="W59" s="239"/>
      <c r="X59" s="240" t="str">
        <f>IF(LEN('Eval-Avant impact'!$T$107)=0,"",IF('Eval-Avant impact'!$T$107=0,"Site détruit (0 ha).",(IF(AND(D59&gt;=0.23,D59&lt;=0.3),CONCATENATE("Couvert végétal majoritairement bas."),""))))</f>
        <v/>
      </c>
      <c r="Y59" s="241" t="str">
        <f>(IF(AND(D59&gt;0.3,D59&lt;=0.4),CONCATENATE("Couvert végétal intermédiaire."),""))</f>
        <v/>
      </c>
      <c r="Z59" s="241" t="str">
        <f>(IF(AND(D59&gt;0.4,D59&lt;=0.6),CONCATENATE("Couvert végétal intermédiaire."),""))</f>
        <v/>
      </c>
      <c r="AA59" s="241" t="str">
        <f>(IF(AND(D59&gt;0.6,D59&lt;=0.8),CONCATENATE("Couvert végétal intermédiaire."),""))</f>
        <v/>
      </c>
      <c r="AB59" s="241" t="str">
        <f>(IF(AND(D59&gt;0.8,D59&lt;=1),CONCATENATE("Couvert surtout arborescent."),""))</f>
        <v/>
      </c>
      <c r="AC59" s="218" t="str">
        <f>IF(LEN('Eval-Avant impact'!$T$107)=0,"",IF('Eval-Avant impact'!$T$107=0,"",IF('Eval-Avant impact'!$J$121="x","","Non renseigné. Site non alluvial.")))</f>
        <v/>
      </c>
      <c r="AD59" s="243" t="str">
        <f>D59</f>
        <v/>
      </c>
      <c r="AE59" s="244" t="str">
        <f>N59</f>
        <v/>
      </c>
      <c r="AF59" s="245"/>
      <c r="AG59" s="1133"/>
      <c r="AH59" s="1137"/>
      <c r="AI59" s="235" t="s">
        <v>138</v>
      </c>
      <c r="AJ59" s="243" t="str">
        <f>IF(LEN('Eval-Avec impact envisagé'!$T$107)=0,"",IF(AND('Eval-Avec impact envisagé'!$T$107=0,'Eval-Avant impact'!$J$121="X"),0,IF('Eval-Avant impact'!$J$121="X",SUM(0.2333*SUM('Eval-Avec impact envisagé'!$T$619,'Eval-Avec impact envisagé'!$T$622:$T$624)/100,0.4167*SUM('Eval-Avec impact envisagé'!$T$626:$T$628,'Eval-Avec impact envisagé'!$T$629)/100,1*'Eval-Avec impact envisagé'!$T$630/100),"")))</f>
        <v/>
      </c>
      <c r="AK59" s="237"/>
      <c r="AL59" s="253" t="str">
        <f>IF(LEN('Eval-Avec impact envisagé'!$T$107)=0,"",IF(AND('Eval-Avec impact envisagé'!$T$107=0,'Eval-Avant impact'!$J$121="X"),0,IF('Eval-Avant impact'!$J$121="X",SUM(0.2333*SUM('Eval-Avec impact envisagé'!$T$619,'Eval-Avec impact envisagé'!$T$622:$T$624)/100,0.4167*SUM('Eval-Avec impact envisagé'!$T$626:$T$628,'Eval-Avec impact envisagé'!$T$629)/100,1*'Eval-Avec impact envisagé'!$T$630/100),"")))</f>
        <v/>
      </c>
      <c r="AM59" s="253" t="str">
        <f>IF(LEN('Eval-Avec impact envisagé'!$T$107)=0,"",IF(AND('Eval-Avec impact envisagé'!$T$107=0,'Eval-Avant impact'!$J$121="X"),0,IF('Eval-Avant impact'!$J$121="X",SUM(0.2333*SUM('Eval-Avec impact envisagé'!$T$619,'Eval-Avec impact envisagé'!$T$622:$T$624)/100,0.4167*SUM('Eval-Avec impact envisagé'!$T$626:$T$628,'Eval-Avec impact envisagé'!$T$629)/100,1*'Eval-Avec impact envisagé'!$T$630/100),"")))</f>
        <v/>
      </c>
      <c r="AN59" s="253" t="str">
        <f>IF(LEN('Eval-Avec impact envisagé'!$T$107)=0,"",IF(AND('Eval-Avec impact envisagé'!$T$107=0,'Eval-Avant impact'!$J$121="X"),0,IF('Eval-Avant impact'!$J$121="X",SUM(0.2333*SUM('Eval-Avec impact envisagé'!$T$619,'Eval-Avec impact envisagé'!$T$622:$T$624)/100,0.4167*SUM('Eval-Avec impact envisagé'!$T$626:$T$628,'Eval-Avec impact envisagé'!$T$629)/100,1*'Eval-Avec impact envisagé'!$T$630/100),"")))</f>
        <v/>
      </c>
      <c r="AO59" s="253" t="str">
        <f>IF(LEN('Eval-Avec impact envisagé'!$T$107)=0,"",IF(AND('Eval-Avec impact envisagé'!$T$107=0,'Eval-Avant impact'!$J$121="X"),0,IF('Eval-Avant impact'!$J$121="X",SUM(0.2333*SUM('Eval-Avec impact envisagé'!$T$619,'Eval-Avec impact envisagé'!$T$622:$T$624)/100,0.4167*SUM('Eval-Avec impact envisagé'!$T$626:$T$628,'Eval-Avec impact envisagé'!$T$629)/100,1*'Eval-Avec impact envisagé'!$T$630/100),"")))</f>
        <v/>
      </c>
      <c r="AP59" s="253" t="str">
        <f>IF(LEN('Eval-Avec impact envisagé'!$T$107)=0,"",IF(AND('Eval-Avec impact envisagé'!$T$107=0,'Eval-Avant impact'!$J$121="X"),0,IF('Eval-Avant impact'!$J$121="X",SUM(0.2333*SUM('Eval-Avec impact envisagé'!$T$619,'Eval-Avec impact envisagé'!$T$622:$T$624)/100,0.4167*SUM('Eval-Avec impact envisagé'!$T$626:$T$628,'Eval-Avec impact envisagé'!$T$629)/100,1*'Eval-Avec impact envisagé'!$T$630/100),"")))</f>
        <v/>
      </c>
      <c r="AQ59" s="252"/>
      <c r="AR59" s="237"/>
      <c r="AS59" s="239"/>
      <c r="AT59" s="243" t="str">
        <f>IF(AJ59="","",AJ59*'Eval-Avec impact envisagé'!$T$107)</f>
        <v/>
      </c>
      <c r="AU59" s="237"/>
      <c r="AV59" s="238" t="str">
        <f>IF(AJ59="","",AJ59*'Eval-Avec impact envisagé'!$T$107)</f>
        <v/>
      </c>
      <c r="AW59" s="238" t="str">
        <f>IF(AJ59="","",AJ59*'Eval-Avec impact envisagé'!$T$107)</f>
        <v/>
      </c>
      <c r="AX59" s="238" t="str">
        <f>IF(AJ59="","",AJ59*'Eval-Avec impact envisagé'!$T$107)</f>
        <v/>
      </c>
      <c r="AY59" s="238" t="str">
        <f>IF(AJ59="","",AJ59*'Eval-Avec impact envisagé'!$T$107)</f>
        <v/>
      </c>
      <c r="AZ59" s="238" t="str">
        <f>IF(AJ59="","",AJ59*'Eval-Avec impact envisagé'!$T$107)</f>
        <v/>
      </c>
      <c r="BA59" s="237"/>
      <c r="BB59" s="237"/>
      <c r="BC59" s="239"/>
      <c r="BD59" s="240" t="str">
        <f>IF(LEN('Eval-Avec impact envisagé'!$T$107)=0,"",IF('Eval-Avec impact envisagé'!$T$107=0,"Site détruit (0 ha).",(IF(AND(AJ59&gt;=0.23,AJ59&lt;=0.3),CONCATENATE("Couvert végétal majoritairement bas."),""))))</f>
        <v/>
      </c>
      <c r="BE59" s="241" t="str">
        <f>(IF(AND(AJ59&gt;0.3,AJ59&lt;=0.4),CONCATENATE("Couvert végétal intermédiaire."),""))</f>
        <v/>
      </c>
      <c r="BF59" s="241" t="str">
        <f>(IF(AND(AJ59&gt;0.4,AJ59&lt;=0.6),CONCATENATE("Couvert végétal intermédiaire."),""))</f>
        <v/>
      </c>
      <c r="BG59" s="241" t="str">
        <f>(IF(AND(AJ59&gt;0.6,AJ59&lt;=0.8),CONCATENATE("Couvert végétal intermédiaire."),""))</f>
        <v/>
      </c>
      <c r="BH59" s="241" t="str">
        <f>(IF(AND(AJ59&gt;0.8,AJ59&lt;=1),CONCATENATE("Couvert surtout arborescent."),""))</f>
        <v/>
      </c>
      <c r="BI59" s="218" t="str">
        <f>IF(LEN('Eval-Avec impact envisagé'!$T$107)=0,"",IF('Eval-Avec impact envisagé'!$T$107=0,"",IF('Eval-Avec impact envisagé'!$J$121="x","","Non renseigné. Site non alluvial.")))</f>
        <v/>
      </c>
      <c r="BJ59" s="243" t="str">
        <f>AJ59</f>
        <v/>
      </c>
      <c r="BK59" s="244" t="str">
        <f>AT59</f>
        <v/>
      </c>
      <c r="BL59" s="245"/>
      <c r="BM59" s="1133"/>
      <c r="BN59" s="1137"/>
      <c r="BO59" s="235" t="s">
        <v>138</v>
      </c>
      <c r="BP59" s="253" t="str">
        <f>IF(LEN('Eval-Après impact'!$T$107)=0,"",IF(AND('Eval-Après impact'!$T$107=0,'Eval-Avant impact'!$J$121="X"),0,IF('Eval-Avant impact'!$J$121="X",SUM(0.2333*SUM('Eval-Après impact'!$T$619,'Eval-Après impact'!$T$622:$T$624)/100,0.4167*SUM('Eval-Après impact'!$T$626:$T$628,'Eval-Après impact'!$T$629)/100,1*'Eval-Après impact'!$T$630/100),"")))</f>
        <v/>
      </c>
      <c r="BQ59" s="237"/>
      <c r="BR59" s="253" t="str">
        <f>IF(LEN('Eval-Après impact'!$T$107)=0,"",IF(AND('Eval-Après impact'!$T$107=0,'Eval-Avant impact'!$J$121="X"),0,IF('Eval-Avant impact'!$J$121="X",SUM(0.2333*SUM('Eval-Après impact'!$T$619,'Eval-Après impact'!$T$622:$T$624)/100,0.4167*SUM('Eval-Après impact'!$T$626:$T$628,'Eval-Après impact'!$T$629)/100,1*'Eval-Après impact'!$T$630/100),"")))</f>
        <v/>
      </c>
      <c r="BS59" s="253" t="str">
        <f>IF(LEN('Eval-Après impact'!$T$107)=0,"",IF(AND('Eval-Après impact'!$T$107=0,'Eval-Avant impact'!$J$121="X"),0,IF('Eval-Avant impact'!$J$121="X",SUM(0.2333*SUM('Eval-Après impact'!$T$619,'Eval-Après impact'!$T$622:$T$624)/100,0.4167*SUM('Eval-Après impact'!$T$626:$T$628,'Eval-Après impact'!$T$629)/100,1*'Eval-Après impact'!$T$630/100),"")))</f>
        <v/>
      </c>
      <c r="BT59" s="253" t="str">
        <f>IF(LEN('Eval-Après impact'!$T$107)=0,"",IF(AND('Eval-Après impact'!$T$107=0,'Eval-Avant impact'!$J$121="X"),0,IF('Eval-Avant impact'!$J$121="X",SUM(0.2333*SUM('Eval-Après impact'!$T$619,'Eval-Après impact'!$T$622:$T$624)/100,0.4167*SUM('Eval-Après impact'!$T$626:$T$628,'Eval-Après impact'!$T$629)/100,1*'Eval-Après impact'!$T$630/100),"")))</f>
        <v/>
      </c>
      <c r="BU59" s="253" t="str">
        <f>IF(LEN('Eval-Après impact'!$T$107)=0,"",IF(AND('Eval-Après impact'!$T$107=0,'Eval-Avant impact'!$J$121="X"),0,IF('Eval-Avant impact'!$J$121="X",SUM(0.2333*SUM('Eval-Après impact'!$T$619,'Eval-Après impact'!$T$622:$T$624)/100,0.4167*SUM('Eval-Après impact'!$T$626:$T$628,'Eval-Après impact'!$T$629)/100,1*'Eval-Après impact'!$T$630/100),"")))</f>
        <v/>
      </c>
      <c r="BV59" s="253" t="str">
        <f>IF(LEN('Eval-Après impact'!$T$107)=0,"",IF(AND('Eval-Après impact'!$T$107=0,'Eval-Avant impact'!$J$121="X"),0,IF('Eval-Avant impact'!$J$121="X",SUM(0.2333*SUM('Eval-Après impact'!$T$619,'Eval-Après impact'!$T$622:$T$624)/100,0.4167*SUM('Eval-Après impact'!$T$626:$T$628,'Eval-Après impact'!$T$629)/100,1*'Eval-Après impact'!$T$630/100),"")))</f>
        <v/>
      </c>
      <c r="BW59" s="252"/>
      <c r="BX59" s="237"/>
      <c r="BY59" s="239"/>
      <c r="BZ59" s="243" t="str">
        <f>IF(BP59="","",BP59*'Eval-Après impact'!$T$107)</f>
        <v/>
      </c>
      <c r="CA59" s="237"/>
      <c r="CB59" s="238" t="str">
        <f>IF(BP59="","",BP59*'Eval-Après impact'!$T$107)</f>
        <v/>
      </c>
      <c r="CC59" s="238" t="str">
        <f>IF(BP59="","",BP59*'Eval-Après impact'!$T$107)</f>
        <v/>
      </c>
      <c r="CD59" s="238" t="str">
        <f>IF(BP59="","",BP59*'Eval-Après impact'!$T$107)</f>
        <v/>
      </c>
      <c r="CE59" s="238" t="str">
        <f>IF(BP59="","",BP59*'Eval-Après impact'!$T$107)</f>
        <v/>
      </c>
      <c r="CF59" s="238" t="str">
        <f>IF(BP59="","",BP59*'Eval-Après impact'!$T$107)</f>
        <v/>
      </c>
      <c r="CG59" s="237"/>
      <c r="CH59" s="237"/>
      <c r="CI59" s="239"/>
      <c r="CJ59" s="240" t="str">
        <f>IF(LEN('Eval-Après impact'!$T$107)=0,"",IF('Eval-Après impact'!$T$107=0,"Site détruit (0 ha).",(IF(AND(BP59&gt;=0.23,BP59&lt;=0.3),CONCATENATE("Couvert végétal majoritairement bas."),""))))</f>
        <v/>
      </c>
      <c r="CK59" s="241" t="str">
        <f>(IF(AND(BP59&gt;0.3,BP59&lt;=0.4),CONCATENATE("Couvert végétal intermédiaire."),""))</f>
        <v/>
      </c>
      <c r="CL59" s="241" t="str">
        <f>(IF(AND(BP59&gt;0.4,BP59&lt;=0.6),CONCATENATE("Couvert végétal intermédiaire."),""))</f>
        <v/>
      </c>
      <c r="CM59" s="241" t="str">
        <f>(IF(AND(BP59&gt;0.6,BP59&lt;=0.8),CONCATENATE("Couvert végétal intermédiaire."),""))</f>
        <v/>
      </c>
      <c r="CN59" s="241" t="str">
        <f>(IF(AND(BP59&gt;0.8,BP59&lt;=1),CONCATENATE("Couvert surtout arborescent."),""))</f>
        <v/>
      </c>
      <c r="CO59" s="218" t="str">
        <f>IF(LEN('Eval-Après impact'!$T$107)=0,"",IF('Eval-Après impact'!$T$107=0,"",IF('Eval-Après impact'!$J$121="x","","Non renseigné. Site non alluvial.")))</f>
        <v/>
      </c>
      <c r="CP59" s="243" t="str">
        <f>BP59</f>
        <v/>
      </c>
      <c r="CQ59" s="244" t="str">
        <f>BZ59</f>
        <v/>
      </c>
      <c r="CR59" s="245"/>
      <c r="CS59" s="1133"/>
      <c r="CT59" s="1137"/>
      <c r="CU59" s="235" t="s">
        <v>138</v>
      </c>
      <c r="CV59" s="243" t="str">
        <f>IF(LEN('Eval-Avant action écologique'!$T$107)=0,"",IF('Eval-Avant action écologique'!$T$107=0,0,IF('Eval-Avant action écologique'!$J$121="X",SUM(0.2333*SUM('Eval-Avant action écologique'!$T$619,'Eval-Avant action écologique'!$T$622:$T$624)/100,0.4167*SUM('Eval-Avant action écologique'!$T$626:$T$628,'Eval-Avant action écologique'!$T$629)/100,1*'Eval-Avant action écologique'!$T$630/100),"")))</f>
        <v/>
      </c>
      <c r="CW59" s="237"/>
      <c r="CX59" s="238" t="str">
        <f>IF(LEN('Eval-Avant action écologique'!$T$107)=0,"",IF('Eval-Avant action écologique'!$T$107=0,0,IF('Eval-Avant action écologique'!$J$121="X",SUM(0.2333*SUM('Eval-Avant action écologique'!$T$619,'Eval-Avant action écologique'!$T$622:$T$624)/100,0.4167*SUM('Eval-Avant action écologique'!$T$626:$T$628,'Eval-Avant action écologique'!$T$629)/100,1*'Eval-Avant action écologique'!$T$630/100),"")))</f>
        <v/>
      </c>
      <c r="CY59" s="238" t="str">
        <f>IF(LEN('Eval-Avant action écologique'!$T$107)=0,"",IF('Eval-Avant action écologique'!$T$107=0,0,IF('Eval-Avant action écologique'!$J$121="X",SUM(0.2333*SUM('Eval-Avant action écologique'!$T$619,'Eval-Avant action écologique'!$T$622:$T$624)/100,0.4167*SUM('Eval-Avant action écologique'!$T$626:$T$628,'Eval-Avant action écologique'!$T$629)/100,1*'Eval-Avant action écologique'!$T$630/100),"")))</f>
        <v/>
      </c>
      <c r="CZ59" s="238" t="str">
        <f>IF(LEN('Eval-Avant action écologique'!$T$107)=0,"",IF('Eval-Avant action écologique'!$T$107=0,0,IF('Eval-Avant action écologique'!$J$121="X",SUM(0.2333*SUM('Eval-Avant action écologique'!$T$619,'Eval-Avant action écologique'!$T$622:$T$624)/100,0.4167*SUM('Eval-Avant action écologique'!$T$626:$T$628,'Eval-Avant action écologique'!$T$629)/100,1*'Eval-Avant action écologique'!$T$630/100),"")))</f>
        <v/>
      </c>
      <c r="DA59" s="238" t="str">
        <f>IF(LEN('Eval-Avant action écologique'!$T$107)=0,"",IF('Eval-Avant action écologique'!$T$107=0,0,IF('Eval-Avant action écologique'!$J$121="X",SUM(0.2333*SUM('Eval-Avant action écologique'!$T$619,'Eval-Avant action écologique'!$T$622:$T$624)/100,0.4167*SUM('Eval-Avant action écologique'!$T$626:$T$628,'Eval-Avant action écologique'!$T$629)/100,1*'Eval-Avant action écologique'!$T$630/100),"")))</f>
        <v/>
      </c>
      <c r="DB59" s="238" t="str">
        <f>IF(LEN('Eval-Avant action écologique'!$T$107)=0,"",IF('Eval-Avant action écologique'!$T$107=0,0,IF('Eval-Avant action écologique'!$J$121="X",SUM(0.2333*SUM('Eval-Avant action écologique'!$T$619,'Eval-Avant action écologique'!$T$622:$T$624)/100,0.4167*SUM('Eval-Avant action écologique'!$T$626:$T$628,'Eval-Avant action écologique'!$T$629)/100,1*'Eval-Avant action écologique'!$T$630/100),"")))</f>
        <v/>
      </c>
      <c r="DC59" s="252"/>
      <c r="DD59" s="237"/>
      <c r="DE59" s="239"/>
      <c r="DF59" s="243" t="str">
        <f>IF(CV59="","",CV59*'Eval-Avant action écologique'!$T$107)</f>
        <v/>
      </c>
      <c r="DG59" s="237"/>
      <c r="DH59" s="238" t="str">
        <f>IF(CV59="","",CV59*'Eval-Avant action écologique'!$T$107)</f>
        <v/>
      </c>
      <c r="DI59" s="238" t="str">
        <f>IF(CV59="","",CV59*'Eval-Avant action écologique'!$T$107)</f>
        <v/>
      </c>
      <c r="DJ59" s="238" t="str">
        <f>IF(CV59="","",CV59*'Eval-Avant action écologique'!$T$107)</f>
        <v/>
      </c>
      <c r="DK59" s="238" t="str">
        <f>IF(CV59="","",CV59*'Eval-Avant action écologique'!$T$107)</f>
        <v/>
      </c>
      <c r="DL59" s="238" t="str">
        <f>IF(CV59="","",CV59*'Eval-Avant action écologique'!$T$107)</f>
        <v/>
      </c>
      <c r="DM59" s="237"/>
      <c r="DN59" s="237"/>
      <c r="DO59" s="239"/>
      <c r="DP59" s="240" t="str">
        <f>IF(LEN('Eval-Avant action écologique'!$T$107)=0,"",IF('Eval-Avant action écologique'!$T$107=0,"Site détruit (0 ha).",(IF(AND(CV59&gt;=0.23,CV59&lt;=0.3),CONCATENATE("Couvert végétal majoritairement bas."),""))))</f>
        <v/>
      </c>
      <c r="DQ59" s="241" t="str">
        <f>(IF(AND(CV59&gt;0.3,CV59&lt;=0.4),CONCATENATE("Couvert végétal intermédiaire."),""))</f>
        <v/>
      </c>
      <c r="DR59" s="241" t="str">
        <f>(IF(AND(CV59&gt;0.4,CV59&lt;=0.6),CONCATENATE("Couvert végétal intermédiaire."),""))</f>
        <v/>
      </c>
      <c r="DS59" s="241" t="str">
        <f>(IF(AND(CV59&gt;0.6,CV59&lt;=0.8),CONCATENATE("Couvert végétal intermédiaire."),""))</f>
        <v/>
      </c>
      <c r="DT59" s="241" t="str">
        <f>(IF(AND(CV59&gt;0.8,CV59&lt;=1),CONCATENATE("Couvert surtout arborescent."),""))</f>
        <v/>
      </c>
      <c r="DU59" s="218" t="str">
        <f>IF(LEN('Eval-Avant action écologique'!$T$107)=0,"",IF('Eval-Avant action écologique'!$T$107=0,"",IF('Eval-Avant action écologique'!$J$121="x","","Non renseigné. Site non alluvial.")))</f>
        <v/>
      </c>
      <c r="DV59" s="243" t="str">
        <f>CV59</f>
        <v/>
      </c>
      <c r="DW59" s="244" t="str">
        <f>DF59</f>
        <v/>
      </c>
      <c r="DX59" s="245"/>
      <c r="DY59" s="1133"/>
      <c r="DZ59" s="1137"/>
      <c r="EA59" s="235" t="s">
        <v>138</v>
      </c>
      <c r="EB59" s="253" t="str">
        <f>IF(LEN('Eval-Avec act. écol. envisagée'!$T$107)=0,"",IF(AND('Eval-Avec act. écol. envisagée'!$T$107=0,'Eval-Avant action écologique'!$J$121="X"),0,IF('Eval-Avant action écologique'!$J$121="X",SUM(0.2333*SUM('Eval-Avec act. écol. envisagée'!$T$619,'Eval-Avec act. écol. envisagée'!$T$622:$T$624)/100,0.4167*SUM('Eval-Avec act. écol. envisagée'!$T$626:$T$628,'Eval-Avec act. écol. envisagée'!$T$629)/100,1*'Eval-Avec act. écol. envisagée'!$T$630/100),"")))</f>
        <v/>
      </c>
      <c r="EC59" s="237"/>
      <c r="ED59" s="253" t="str">
        <f>IF(LEN('Eval-Avec act. écol. envisagée'!$T$107)=0,"",IF(AND('Eval-Avec act. écol. envisagée'!$T$107=0,'Eval-Avant action écologique'!$J$121="X"),0,IF('Eval-Avant action écologique'!$J$121="X",SUM(0.2333*SUM('Eval-Avec act. écol. envisagée'!$T$619,'Eval-Avec act. écol. envisagée'!$T$622:$T$624)/100,0.4167*SUM('Eval-Avec act. écol. envisagée'!$T$626:$T$628,'Eval-Avec act. écol. envisagée'!$T$629)/100,1*'Eval-Avec act. écol. envisagée'!$T$630/100),"")))</f>
        <v/>
      </c>
      <c r="EE59" s="253" t="str">
        <f>IF(LEN('Eval-Avec act. écol. envisagée'!$T$107)=0,"",IF(AND('Eval-Avec act. écol. envisagée'!$T$107=0,'Eval-Avant action écologique'!$J$121="X"),0,IF('Eval-Avant action écologique'!$J$121="X",SUM(0.2333*SUM('Eval-Avec act. écol. envisagée'!$T$619,'Eval-Avec act. écol. envisagée'!$T$622:$T$624)/100,0.4167*SUM('Eval-Avec act. écol. envisagée'!$T$626:$T$628,'Eval-Avec act. écol. envisagée'!$T$629)/100,1*'Eval-Avec act. écol. envisagée'!$T$630/100),"")))</f>
        <v/>
      </c>
      <c r="EF59" s="253" t="str">
        <f>IF(LEN('Eval-Avec act. écol. envisagée'!$T$107)=0,"",IF(AND('Eval-Avec act. écol. envisagée'!$T$107=0,'Eval-Avant action écologique'!$J$121="X"),0,IF('Eval-Avant action écologique'!$J$121="X",SUM(0.2333*SUM('Eval-Avec act. écol. envisagée'!$T$619,'Eval-Avec act. écol. envisagée'!$T$622:$T$624)/100,0.4167*SUM('Eval-Avec act. écol. envisagée'!$T$626:$T$628,'Eval-Avec act. écol. envisagée'!$T$629)/100,1*'Eval-Avec act. écol. envisagée'!$T$630/100),"")))</f>
        <v/>
      </c>
      <c r="EG59" s="253" t="str">
        <f>IF(LEN('Eval-Avec act. écol. envisagée'!$T$107)=0,"",IF(AND('Eval-Avec act. écol. envisagée'!$T$107=0,'Eval-Avant action écologique'!$J$121="X"),0,IF('Eval-Avant action écologique'!$J$121="X",SUM(0.2333*SUM('Eval-Avec act. écol. envisagée'!$T$619,'Eval-Avec act. écol. envisagée'!$T$622:$T$624)/100,0.4167*SUM('Eval-Avec act. écol. envisagée'!$T$626:$T$628,'Eval-Avec act. écol. envisagée'!$T$629)/100,1*'Eval-Avec act. écol. envisagée'!$T$630/100),"")))</f>
        <v/>
      </c>
      <c r="EH59" s="253" t="str">
        <f>IF(LEN('Eval-Avec act. écol. envisagée'!$T$107)=0,"",IF(AND('Eval-Avec act. écol. envisagée'!$T$107=0,'Eval-Avant action écologique'!$J$121="X"),0,IF('Eval-Avant action écologique'!$J$121="X",SUM(0.2333*SUM('Eval-Avec act. écol. envisagée'!$T$619,'Eval-Avec act. écol. envisagée'!$T$622:$T$624)/100,0.4167*SUM('Eval-Avec act. écol. envisagée'!$T$626:$T$628,'Eval-Avec act. écol. envisagée'!$T$629)/100,1*'Eval-Avec act. écol. envisagée'!$T$630/100),"")))</f>
        <v/>
      </c>
      <c r="EI59" s="252"/>
      <c r="EJ59" s="237"/>
      <c r="EK59" s="239"/>
      <c r="EL59" s="243" t="str">
        <f>IF(EB59="","",EB59*'Eval-Avec act. écol. envisagée'!$T$107)</f>
        <v/>
      </c>
      <c r="EM59" s="237"/>
      <c r="EN59" s="238" t="str">
        <f>IF(EB59="","",EB59*'Eval-Avec act. écol. envisagée'!$T$107)</f>
        <v/>
      </c>
      <c r="EO59" s="238" t="str">
        <f>IF(EB59="","",EB59*'Eval-Avec act. écol. envisagée'!$T$107)</f>
        <v/>
      </c>
      <c r="EP59" s="238" t="str">
        <f>IF(EB59="","",EB59*'Eval-Avec act. écol. envisagée'!$T$107)</f>
        <v/>
      </c>
      <c r="EQ59" s="238" t="str">
        <f>IF(EB59="","",EB59*'Eval-Avec act. écol. envisagée'!$T$107)</f>
        <v/>
      </c>
      <c r="ER59" s="238" t="str">
        <f>IF(EB59="","",EB59*'Eval-Avec act. écol. envisagée'!$T$107)</f>
        <v/>
      </c>
      <c r="ES59" s="237"/>
      <c r="ET59" s="237"/>
      <c r="EU59" s="239"/>
      <c r="EV59" s="240" t="str">
        <f>IF(LEN('Eval-Avec act. écol. envisagée'!$T$107)=0,"",IF('Eval-Avec act. écol. envisagée'!$T$107=0,"Site détruit (0 ha).",(IF(AND(EB59&gt;=0.23,EB59&lt;=0.3),CONCATENATE("Couvert végétal majoritairement bas."),""))))</f>
        <v/>
      </c>
      <c r="EW59" s="241" t="str">
        <f>(IF(AND(EB59&gt;0.3,EB59&lt;=0.4),CONCATENATE("Couvert végétal intermédiaire."),""))</f>
        <v/>
      </c>
      <c r="EX59" s="241" t="str">
        <f>(IF(AND(EB59&gt;0.4,EB59&lt;=0.6),CONCATENATE("Couvert végétal intermédiaire."),""))</f>
        <v/>
      </c>
      <c r="EY59" s="241" t="str">
        <f>(IF(AND(EB59&gt;0.6,EB59&lt;=0.8),CONCATENATE("Couvert végétal intermédiaire."),""))</f>
        <v/>
      </c>
      <c r="EZ59" s="241" t="str">
        <f>(IF(AND(EB59&gt;0.8,EB59&lt;=1),CONCATENATE("Couvert surtout arborescent."),""))</f>
        <v/>
      </c>
      <c r="FA59" s="218" t="str">
        <f>IF(LEN('Eval-Avec act. écol. envisagée'!$T$107)=0,"",IF('Eval-Avec act. écol. envisagée'!$T$107=0,"",IF('Eval-Avec act. écol. envisagée'!$J$121="x","","Non renseigné. Site non alluvial.")))</f>
        <v/>
      </c>
      <c r="FB59" s="243" t="str">
        <f>EB59</f>
        <v/>
      </c>
      <c r="FC59" s="244" t="str">
        <f>EL59</f>
        <v/>
      </c>
      <c r="FD59" s="245"/>
      <c r="FE59" s="1133"/>
      <c r="FF59" s="1137"/>
      <c r="FG59" s="235" t="s">
        <v>138</v>
      </c>
      <c r="FH59" s="253" t="str">
        <f>IF(LEN('Eval-Après action écologique'!$T$107)=0,"",IF(AND('Eval-Après action écologique'!$T$107=0,'Eval-Avant action écologique'!$J$121="X"),0,IF('Eval-Avant action écologique'!$J$121="X",SUM(0.2333*SUM('Eval-Après action écologique'!$T$619,'Eval-Après action écologique'!$T$622:$T$624)/100,0.4167*SUM('Eval-Après action écologique'!$T$626:$T$628,'Eval-Après action écologique'!$T$629)/100,1*'Eval-Après action écologique'!$T$630/100),"")))</f>
        <v/>
      </c>
      <c r="FI59" s="237"/>
      <c r="FJ59" s="253" t="str">
        <f>IF(LEN('Eval-Après action écologique'!$T$107)=0,"",IF(AND('Eval-Après action écologique'!$T$107=0,'Eval-Avant action écologique'!$J$121="X"),0,IF('Eval-Avant action écologique'!$J$121="X",SUM(0.2333*SUM('Eval-Après action écologique'!$T$619,'Eval-Après action écologique'!$T$622:$T$624)/100,0.4167*SUM('Eval-Après action écologique'!$T$626:$T$628,'Eval-Après action écologique'!$T$629)/100,1*'Eval-Après action écologique'!$T$630/100),"")))</f>
        <v/>
      </c>
      <c r="FK59" s="253" t="str">
        <f>IF(LEN('Eval-Après action écologique'!$T$107)=0,"",IF(AND('Eval-Après action écologique'!$T$107=0,'Eval-Avant action écologique'!$J$121="X"),0,IF('Eval-Avant action écologique'!$J$121="X",SUM(0.2333*SUM('Eval-Après action écologique'!$T$619,'Eval-Après action écologique'!$T$622:$T$624)/100,0.4167*SUM('Eval-Après action écologique'!$T$626:$T$628,'Eval-Après action écologique'!$T$629)/100,1*'Eval-Après action écologique'!$T$630/100),"")))</f>
        <v/>
      </c>
      <c r="FL59" s="253" t="str">
        <f>IF(LEN('Eval-Après action écologique'!$T$107)=0,"",IF(AND('Eval-Après action écologique'!$T$107=0,'Eval-Avant action écologique'!$J$121="X"),0,IF('Eval-Avant action écologique'!$J$121="X",SUM(0.2333*SUM('Eval-Après action écologique'!$T$619,'Eval-Après action écologique'!$T$622:$T$624)/100,0.4167*SUM('Eval-Après action écologique'!$T$626:$T$628,'Eval-Après action écologique'!$T$629)/100,1*'Eval-Après action écologique'!$T$630/100),"")))</f>
        <v/>
      </c>
      <c r="FM59" s="253" t="str">
        <f>IF(LEN('Eval-Après action écologique'!$T$107)=0,"",IF(AND('Eval-Après action écologique'!$T$107=0,'Eval-Avant action écologique'!$J$121="X"),0,IF('Eval-Avant action écologique'!$J$121="X",SUM(0.2333*SUM('Eval-Après action écologique'!$T$619,'Eval-Après action écologique'!$T$622:$T$624)/100,0.4167*SUM('Eval-Après action écologique'!$T$626:$T$628,'Eval-Après action écologique'!$T$629)/100,1*'Eval-Après action écologique'!$T$630/100),"")))</f>
        <v/>
      </c>
      <c r="FN59" s="253" t="str">
        <f>IF(LEN('Eval-Après action écologique'!$T$107)=0,"",IF(AND('Eval-Après action écologique'!$T$107=0,'Eval-Avant action écologique'!$J$121="X"),0,IF('Eval-Avant action écologique'!$J$121="X",SUM(0.2333*SUM('Eval-Après action écologique'!$T$619,'Eval-Après action écologique'!$T$622:$T$624)/100,0.4167*SUM('Eval-Après action écologique'!$T$626:$T$628,'Eval-Après action écologique'!$T$629)/100,1*'Eval-Après action écologique'!$T$630/100),"")))</f>
        <v/>
      </c>
      <c r="FO59" s="252"/>
      <c r="FP59" s="237"/>
      <c r="FQ59" s="239"/>
      <c r="FR59" s="243" t="str">
        <f>IF(FH59="","",FH59*'Eval-Après action écologique'!$T$107)</f>
        <v/>
      </c>
      <c r="FS59" s="237"/>
      <c r="FT59" s="238" t="str">
        <f>IF(FH59="","",FH59*'Eval-Après action écologique'!$T$107)</f>
        <v/>
      </c>
      <c r="FU59" s="238" t="str">
        <f>IF(FH59="","",FH59*'Eval-Après action écologique'!$T$107)</f>
        <v/>
      </c>
      <c r="FV59" s="238" t="str">
        <f>IF(FH59="","",FH59*'Eval-Après action écologique'!$T$107)</f>
        <v/>
      </c>
      <c r="FW59" s="238" t="str">
        <f>IF(FH59="","",FH59*'Eval-Après action écologique'!$T$107)</f>
        <v/>
      </c>
      <c r="FX59" s="238" t="str">
        <f>IF(FH59="","",FH59*'Eval-Après action écologique'!$T$107)</f>
        <v/>
      </c>
      <c r="FY59" s="237"/>
      <c r="FZ59" s="237"/>
      <c r="GA59" s="239"/>
      <c r="GB59" s="240" t="str">
        <f>IF(LEN('Eval-Après action écologique'!$T$107)=0,"",IF('Eval-Après action écologique'!$T$107=0,"Site détruit (0 ha).",(IF(AND(FH59&gt;=0.23,FH59&lt;=0.3),CONCATENATE("Couvert végétal majoritairement bas."),""))))</f>
        <v/>
      </c>
      <c r="GC59" s="241" t="str">
        <f>(IF(AND(FH59&gt;0.3,FH59&lt;=0.4),CONCATENATE("Couvert végétal intermédiaire."),""))</f>
        <v/>
      </c>
      <c r="GD59" s="241" t="str">
        <f>(IF(AND(FH59&gt;0.4,FH59&lt;=0.6),CONCATENATE("Couvert végétal intermédiaire."),""))</f>
        <v/>
      </c>
      <c r="GE59" s="241" t="str">
        <f>(IF(AND(FH59&gt;0.6,FH59&lt;=0.8),CONCATENATE("Couvert végétal intermédiaire."),""))</f>
        <v/>
      </c>
      <c r="GF59" s="241" t="str">
        <f>(IF(AND(FH59&gt;0.8,FH59&lt;=1),CONCATENATE("Couvert surtout arborescent."),""))</f>
        <v/>
      </c>
      <c r="GG59" s="218" t="str">
        <f>IF(LEN('Eval-Après action écologique'!$T$107)=0,"",IF('Eval-Après action écologique'!$T$107=0,"",IF('Eval-Après action écologique'!$J$121="x","","Non renseigné. Site non alluvial.")))</f>
        <v/>
      </c>
      <c r="GH59" s="243" t="str">
        <f>FH59</f>
        <v/>
      </c>
      <c r="GI59" s="244" t="str">
        <f>FR59</f>
        <v/>
      </c>
    </row>
    <row r="60" spans="1:191" ht="31.5" customHeight="1" x14ac:dyDescent="0.2">
      <c r="A60" s="1133"/>
      <c r="B60" s="234" t="s">
        <v>78</v>
      </c>
      <c r="C60" s="235" t="s">
        <v>139</v>
      </c>
      <c r="D60" s="243" t="str">
        <f>IF(LEN('Eval-Avant impact'!$T$107)=0,"",IF('Eval-Avant impact'!$T$107=0,0,IF(SUM('Eval-Avant impact'!$J$669,'Eval-Avant impact'!$J$670)/('Eval-Avant impact'!$T$107*1000)&gt;=0.176,0,1-SUM('Eval-Avant impact'!$J$669,'Eval-Avant impact'!$J$670)*5.676/('Eval-Avant impact'!$T$107*1000))))</f>
        <v/>
      </c>
      <c r="E60" s="238" t="str">
        <f>IF(LEN('Eval-Avant impact'!$T$107)=0,"",IF('Eval-Avant impact'!$T$107=0,0,IF(SUM('Eval-Avant impact'!$J$669,'Eval-Avant impact'!$J$670)/('Eval-Avant impact'!$T$107*1000)&gt;=0.176,0,1-SUM('Eval-Avant impact'!$J$669,'Eval-Avant impact'!$J$670)*5.676/('Eval-Avant impact'!$T$107*1000))))</f>
        <v/>
      </c>
      <c r="F60" s="253" t="str">
        <f>IF(LEN('Eval-Avant impact'!$T$107)=0,"",IF('Eval-Avant impact'!$T$107=0,0,IF(SUM('Eval-Avant impact'!$J$669,'Eval-Avant impact'!$J$670)/('Eval-Avant impact'!$T$107*1000)&gt;=0.176,0,1-SUM('Eval-Avant impact'!$J$669,'Eval-Avant impact'!$J$670)*5.676/('Eval-Avant impact'!$T$107*1000))))</f>
        <v/>
      </c>
      <c r="G60" s="253" t="str">
        <f>IF(LEN('Eval-Avant impact'!$T$107)=0,"",IF('Eval-Avant impact'!$T$107=0,0,IF(SUM('Eval-Avant impact'!$J$669,'Eval-Avant impact'!$J$670)/('Eval-Avant impact'!$T$107*1000)&gt;=0.176,0,1-SUM('Eval-Avant impact'!$J$669,'Eval-Avant impact'!$J$670)*5.676/('Eval-Avant impact'!$T$107*1000))))</f>
        <v/>
      </c>
      <c r="H60" s="253" t="str">
        <f>IF(LEN('Eval-Avant impact'!$T$107)=0,"",IF('Eval-Avant impact'!$T$107=0,0,IF(SUM('Eval-Avant impact'!$J$669,'Eval-Avant impact'!$J$670)/('Eval-Avant impact'!$T$107*1000)&gt;=0.176,0,1-SUM('Eval-Avant impact'!$J$669,'Eval-Avant impact'!$J$670)*5.676/('Eval-Avant impact'!$T$107*1000))))</f>
        <v/>
      </c>
      <c r="I60" s="253" t="str">
        <f>IF(LEN('Eval-Avant impact'!$T$107)=0,"",IF('Eval-Avant impact'!$T$107=0,0,IF(SUM('Eval-Avant impact'!$J$669,'Eval-Avant impact'!$J$670)/('Eval-Avant impact'!$T$107*1000)&gt;=0.176,0,1-SUM('Eval-Avant impact'!$J$669,'Eval-Avant impact'!$J$670)*5.676/('Eval-Avant impact'!$T$107*1000))))</f>
        <v/>
      </c>
      <c r="J60" s="253" t="str">
        <f>IF(LEN('Eval-Avant impact'!$T$107)=0,"",IF('Eval-Avant impact'!$T$107=0,0,IF(SUM('Eval-Avant impact'!$J$669,'Eval-Avant impact'!$J$670)/('Eval-Avant impact'!$T$107*1000)&gt;=0.176,0,1-SUM('Eval-Avant impact'!$J$669,'Eval-Avant impact'!$J$670)*5.676/('Eval-Avant impact'!$T$107*1000))))</f>
        <v/>
      </c>
      <c r="K60" s="237"/>
      <c r="L60" s="237"/>
      <c r="M60" s="239"/>
      <c r="N60" s="243" t="str">
        <f>IF(D60="","",D60*'Eval-Avant impact'!$T$107)</f>
        <v/>
      </c>
      <c r="O60" s="238" t="str">
        <f>IF(D60="","",D60*'Eval-Avant impact'!$T$107)</f>
        <v/>
      </c>
      <c r="P60" s="238" t="str">
        <f>IF(D60="","",D60*'Eval-Avant impact'!$T$107)</f>
        <v/>
      </c>
      <c r="Q60" s="238" t="str">
        <f>IF(D60="","",D60*'Eval-Avant impact'!$T$107)</f>
        <v/>
      </c>
      <c r="R60" s="238" t="str">
        <f>IF(D60="","",D60*'Eval-Avant impact'!$T$107)</f>
        <v/>
      </c>
      <c r="S60" s="238" t="str">
        <f>IF(D60="","",D60*'Eval-Avant impact'!$T$107)</f>
        <v/>
      </c>
      <c r="T60" s="238" t="str">
        <f>IF(D60="","",D60*'Eval-Avant impact'!$T$107)</f>
        <v/>
      </c>
      <c r="U60" s="237"/>
      <c r="V60" s="237"/>
      <c r="W60" s="239"/>
      <c r="X60" s="240" t="str">
        <f>IF(LEN('Eval-Avant impact'!$T$107)=0,"",IF('Eval-Avant impact'!$T$107=0,"Site détruit (0 ha).",(IF(AND(D60&gt;=0,D60&lt;=0.2),CONCATENATE("Densité de rigoles très importante (",ROUND(SUM('Eval-Avant impact'!$J$669:$K$670)/'Eval-Avant impact'!$T$107,0)," m/ha).",),""))))</f>
        <v/>
      </c>
      <c r="Y60" s="241" t="str">
        <f>(IF(AND(D60&gt;0.2,D60&lt;=0.4),CONCATENATE("Densité de rigoles importante (",ROUND(SUM('Eval-Avant impact'!$J$669:$K$670)/'Eval-Avant impact'!$T$107,0)," m/ha).",),""))</f>
        <v/>
      </c>
      <c r="Z60" s="241" t="str">
        <f>(IF(AND(D60&gt;0.4,D60&lt;=0.6),CONCATENATE("Densité de rigoles assez importante (",ROUND(SUM('Eval-Avant impact'!$J$669:$K$670)/'Eval-Avant impact'!$T$107,0)," m/ha).",),""))</f>
        <v/>
      </c>
      <c r="AA60" s="241" t="str">
        <f>(IF(AND(D60&gt;0.6,D60&lt;=0.8),CONCATENATE("Densité de rigoles assez réduite (",ROUND(SUM('Eval-Avant impact'!$J$669:$K$670)/'Eval-Avant impact'!$T$107,0)," m/ha).",),""))</f>
        <v/>
      </c>
      <c r="AB60" s="241" t="str">
        <f>CONCATENATE((IF(D60=1,"Absence de rigoles.","")),(IF(AND(D60&lt;1,D60&gt;0.8),CONCATENATE("Densité de rigoles très réduite (",ROUND(SUM('Eval-Avant impact'!$J$669:$K$670)/'Eval-Avant impact'!$T$107,0)," m/ha).",),"")))</f>
        <v/>
      </c>
      <c r="AC60" s="246"/>
      <c r="AD60" s="243" t="str">
        <f>D60</f>
        <v/>
      </c>
      <c r="AE60" s="244" t="str">
        <f>N60</f>
        <v/>
      </c>
      <c r="AF60" s="245"/>
      <c r="AG60" s="1133"/>
      <c r="AH60" s="234" t="s">
        <v>78</v>
      </c>
      <c r="AI60" s="235" t="s">
        <v>139</v>
      </c>
      <c r="AJ60" s="243" t="str">
        <f>IF(LEN('Eval-Avec impact envisagé'!$T$107)=0,"",IF('Eval-Avec impact envisagé'!$T$107=0,0,IF(SUM('Eval-Avec impact envisagé'!$J$669,'Eval-Avec impact envisagé'!$J$670)/('Eval-Avec impact envisagé'!$T$107*1000)&gt;=0.176,0,1-SUM('Eval-Avec impact envisagé'!$J$669,'Eval-Avec impact envisagé'!$J$670)*5.676/('Eval-Avec impact envisagé'!$T$107*1000))))</f>
        <v/>
      </c>
      <c r="AK60" s="238" t="str">
        <f>IF(LEN('Eval-Avec impact envisagé'!$T$107)=0,"",IF('Eval-Avec impact envisagé'!$T$107=0,0,IF(SUM('Eval-Avec impact envisagé'!$J$669,'Eval-Avec impact envisagé'!$J$670)/('Eval-Avec impact envisagé'!$T$107*1000)&gt;=0.176,0,1-SUM('Eval-Avec impact envisagé'!$J$669,'Eval-Avec impact envisagé'!$J$670)*5.676/('Eval-Avec impact envisagé'!$T$107*1000))))</f>
        <v/>
      </c>
      <c r="AL60" s="253" t="str">
        <f>IF(LEN('Eval-Avec impact envisagé'!$T$107)=0,"",IF('Eval-Avec impact envisagé'!$T$107=0,0,IF(SUM('Eval-Avec impact envisagé'!$J$669,'Eval-Avec impact envisagé'!$J$670)/('Eval-Avec impact envisagé'!$T$107*1000)&gt;=0.176,0,1-SUM('Eval-Avec impact envisagé'!$J$669,'Eval-Avec impact envisagé'!$J$670)*5.676/('Eval-Avec impact envisagé'!$T$107*1000))))</f>
        <v/>
      </c>
      <c r="AM60" s="253" t="str">
        <f>IF(LEN('Eval-Avec impact envisagé'!$T$107)=0,"",IF('Eval-Avec impact envisagé'!$T$107=0,0,IF(SUM('Eval-Avec impact envisagé'!$J$669,'Eval-Avec impact envisagé'!$J$670)/('Eval-Avec impact envisagé'!$T$107*1000)&gt;=0.176,0,1-SUM('Eval-Avec impact envisagé'!$J$669,'Eval-Avec impact envisagé'!$J$670)*5.676/('Eval-Avec impact envisagé'!$T$107*1000))))</f>
        <v/>
      </c>
      <c r="AN60" s="253" t="str">
        <f>IF(LEN('Eval-Avec impact envisagé'!$T$107)=0,"",IF('Eval-Avec impact envisagé'!$T$107=0,0,IF(SUM('Eval-Avec impact envisagé'!$J$669,'Eval-Avec impact envisagé'!$J$670)/('Eval-Avec impact envisagé'!$T$107*1000)&gt;=0.176,0,1-SUM('Eval-Avec impact envisagé'!$J$669,'Eval-Avec impact envisagé'!$J$670)*5.676/('Eval-Avec impact envisagé'!$T$107*1000))))</f>
        <v/>
      </c>
      <c r="AO60" s="253" t="str">
        <f>IF(LEN('Eval-Avec impact envisagé'!$T$107)=0,"",IF('Eval-Avec impact envisagé'!$T$107=0,0,IF(SUM('Eval-Avec impact envisagé'!$J$669,'Eval-Avec impact envisagé'!$J$670)/('Eval-Avec impact envisagé'!$T$107*1000)&gt;=0.176,0,1-SUM('Eval-Avec impact envisagé'!$J$669,'Eval-Avec impact envisagé'!$J$670)*5.676/('Eval-Avec impact envisagé'!$T$107*1000))))</f>
        <v/>
      </c>
      <c r="AP60" s="253" t="str">
        <f>IF(LEN('Eval-Avec impact envisagé'!$T$107)=0,"",IF('Eval-Avec impact envisagé'!$T$107=0,0,IF(SUM('Eval-Avec impact envisagé'!$J$669,'Eval-Avec impact envisagé'!$J$670)/('Eval-Avec impact envisagé'!$T$107*1000)&gt;=0.176,0,1-SUM('Eval-Avec impact envisagé'!$J$669,'Eval-Avec impact envisagé'!$J$670)*5.676/('Eval-Avec impact envisagé'!$T$107*1000))))</f>
        <v/>
      </c>
      <c r="AQ60" s="237"/>
      <c r="AR60" s="237"/>
      <c r="AS60" s="239"/>
      <c r="AT60" s="243" t="str">
        <f>IF(AJ60="","",AJ60*'Eval-Avec impact envisagé'!$T$107)</f>
        <v/>
      </c>
      <c r="AU60" s="238" t="str">
        <f>IF(AJ60="","",AJ60*'Eval-Avec impact envisagé'!$T$107)</f>
        <v/>
      </c>
      <c r="AV60" s="238" t="str">
        <f>IF(AJ60="","",AJ60*'Eval-Avec impact envisagé'!$T$107)</f>
        <v/>
      </c>
      <c r="AW60" s="238" t="str">
        <f>IF(AJ60="","",AJ60*'Eval-Avec impact envisagé'!$T$107)</f>
        <v/>
      </c>
      <c r="AX60" s="238" t="str">
        <f>IF(AJ60="","",AJ60*'Eval-Avec impact envisagé'!$T$107)</f>
        <v/>
      </c>
      <c r="AY60" s="238" t="str">
        <f>IF(AJ60="","",AJ60*'Eval-Avec impact envisagé'!$T$107)</f>
        <v/>
      </c>
      <c r="AZ60" s="238" t="str">
        <f>IF(AJ60="","",AJ60*'Eval-Avec impact envisagé'!$T$107)</f>
        <v/>
      </c>
      <c r="BA60" s="237"/>
      <c r="BB60" s="237"/>
      <c r="BC60" s="239"/>
      <c r="BD60" s="240" t="str">
        <f>IF(LEN('Eval-Avec impact envisagé'!$T$107)=0,"",IF('Eval-Avec impact envisagé'!$T$107=0,"Site détruit (0 ha).",(IF(AND(AJ60&gt;=0,AJ60&lt;=0.2),CONCATENATE("Densité de rigoles très importante (",ROUND(SUM('Eval-Avec impact envisagé'!$J$669:$K$670)/'Eval-Avec impact envisagé'!$T$107,0)," m/ha).",),""))))</f>
        <v/>
      </c>
      <c r="BE60" s="241" t="str">
        <f>(IF(AND(AJ60&gt;0.2,AJ60&lt;=0.4),CONCATENATE("Densité de rigoles importante (",ROUND(SUM('Eval-Avec impact envisagé'!$J$669:$K$670)/'Eval-Avec impact envisagé'!$T$107,0)," m/ha).",),""))</f>
        <v/>
      </c>
      <c r="BF60" s="241" t="str">
        <f>(IF(AND(AJ60&gt;0.4,AJ60&lt;=0.6),CONCATENATE("Densité de rigoles assez importante (",ROUND(SUM('Eval-Avec impact envisagé'!$J$669:$K$670)/'Eval-Avec impact envisagé'!$T$107,0)," m/ha).",),""))</f>
        <v/>
      </c>
      <c r="BG60" s="241" t="str">
        <f>(IF(AND(AJ60&gt;0.6,AJ60&lt;=0.8),CONCATENATE("Densité de rigoles assez réduite (",ROUND(SUM('Eval-Avec impact envisagé'!$J$669:$K$670)/'Eval-Avec impact envisagé'!$T$107,0)," m/ha).",),""))</f>
        <v/>
      </c>
      <c r="BH60" s="241" t="str">
        <f>CONCATENATE((IF(AJ60=1,"Absence de rigoles.","")),(IF(AND(AJ60&lt;1,AJ60&gt;0.8),CONCATENATE("Densité de rigoles très réduite (",ROUND(SUM('Eval-Avec impact envisagé'!$J$669:$K$670)/'Eval-Avec impact envisagé'!$T$107,0)," m/ha).",),"")))</f>
        <v/>
      </c>
      <c r="BI60" s="246"/>
      <c r="BJ60" s="243" t="str">
        <f>AJ60</f>
        <v/>
      </c>
      <c r="BK60" s="244" t="str">
        <f>AT60</f>
        <v/>
      </c>
      <c r="BL60" s="245"/>
      <c r="BM60" s="1133"/>
      <c r="BN60" s="234" t="s">
        <v>78</v>
      </c>
      <c r="BO60" s="235" t="s">
        <v>139</v>
      </c>
      <c r="BP60" s="243" t="str">
        <f>IF(LEN('Eval-Après impact'!$T$107)=0,"",IF('Eval-Après impact'!$T$107=0,0,IF(SUM('Eval-Après impact'!$J$669,'Eval-Après impact'!$J$670)/('Eval-Après impact'!$T$107*1000)&gt;=0.176,0,1-SUM('Eval-Après impact'!$J$669,'Eval-Après impact'!$J$670)*5.676/('Eval-Après impact'!$T$107*1000))))</f>
        <v/>
      </c>
      <c r="BQ60" s="238" t="str">
        <f>IF(LEN('Eval-Après impact'!$T$107)=0,"",IF('Eval-Après impact'!$T$107=0,0,IF(SUM('Eval-Après impact'!$J$669,'Eval-Après impact'!$J$670)/('Eval-Après impact'!$T$107*1000)&gt;=0.176,0,1-SUM('Eval-Après impact'!$J$669,'Eval-Après impact'!$J$670)*5.676/('Eval-Après impact'!$T$107*1000))))</f>
        <v/>
      </c>
      <c r="BR60" s="253" t="str">
        <f>IF(LEN('Eval-Après impact'!$T$107)=0,"",IF('Eval-Après impact'!$T$107=0,0,IF(SUM('Eval-Après impact'!$J$669,'Eval-Après impact'!$J$670)/('Eval-Après impact'!$T$107*1000)&gt;=0.176,0,1-SUM('Eval-Après impact'!$J$669,'Eval-Après impact'!$J$670)*5.676/('Eval-Après impact'!$T$107*1000))))</f>
        <v/>
      </c>
      <c r="BS60" s="253" t="str">
        <f>IF(LEN('Eval-Après impact'!$T$107)=0,"",IF('Eval-Après impact'!$T$107=0,0,IF(SUM('Eval-Après impact'!$J$669,'Eval-Après impact'!$J$670)/('Eval-Après impact'!$T$107*1000)&gt;=0.176,0,1-SUM('Eval-Après impact'!$J$669,'Eval-Après impact'!$J$670)*5.676/('Eval-Après impact'!$T$107*1000))))</f>
        <v/>
      </c>
      <c r="BT60" s="253" t="str">
        <f>IF(LEN('Eval-Après impact'!$T$107)=0,"",IF('Eval-Après impact'!$T$107=0,0,IF(SUM('Eval-Après impact'!$J$669,'Eval-Après impact'!$J$670)/('Eval-Après impact'!$T$107*1000)&gt;=0.176,0,1-SUM('Eval-Après impact'!$J$669,'Eval-Après impact'!$J$670)*5.676/('Eval-Après impact'!$T$107*1000))))</f>
        <v/>
      </c>
      <c r="BU60" s="253" t="str">
        <f>IF(LEN('Eval-Après impact'!$T$107)=0,"",IF('Eval-Après impact'!$T$107=0,0,IF(SUM('Eval-Après impact'!$J$669,'Eval-Après impact'!$J$670)/('Eval-Après impact'!$T$107*1000)&gt;=0.176,0,1-SUM('Eval-Après impact'!$J$669,'Eval-Après impact'!$J$670)*5.676/('Eval-Après impact'!$T$107*1000))))</f>
        <v/>
      </c>
      <c r="BV60" s="253" t="str">
        <f>IF(LEN('Eval-Après impact'!$T$107)=0,"",IF('Eval-Après impact'!$T$107=0,0,IF(SUM('Eval-Après impact'!$J$669,'Eval-Après impact'!$J$670)/('Eval-Après impact'!$T$107*1000)&gt;=0.176,0,1-SUM('Eval-Après impact'!$J$669,'Eval-Après impact'!$J$670)*5.676/('Eval-Après impact'!$T$107*1000))))</f>
        <v/>
      </c>
      <c r="BW60" s="237"/>
      <c r="BX60" s="237"/>
      <c r="BY60" s="239"/>
      <c r="BZ60" s="243" t="str">
        <f>IF(BP60="","",BP60*'Eval-Après impact'!$T$107)</f>
        <v/>
      </c>
      <c r="CA60" s="238" t="str">
        <f>IF(BP60="","",BP60*'Eval-Après impact'!$T$107)</f>
        <v/>
      </c>
      <c r="CB60" s="238" t="str">
        <f>IF(BP60="","",BP60*'Eval-Après impact'!$T$107)</f>
        <v/>
      </c>
      <c r="CC60" s="238" t="str">
        <f>IF(BP60="","",BP60*'Eval-Après impact'!$T$107)</f>
        <v/>
      </c>
      <c r="CD60" s="238" t="str">
        <f>IF(BP60="","",BP60*'Eval-Après impact'!$T$107)</f>
        <v/>
      </c>
      <c r="CE60" s="238" t="str">
        <f>IF(BP60="","",BP60*'Eval-Après impact'!$T$107)</f>
        <v/>
      </c>
      <c r="CF60" s="238" t="str">
        <f>IF(BP60="","",BP60*'Eval-Après impact'!$T$107)</f>
        <v/>
      </c>
      <c r="CG60" s="237"/>
      <c r="CH60" s="237"/>
      <c r="CI60" s="239"/>
      <c r="CJ60" s="240" t="str">
        <f>IF(LEN('Eval-Après impact'!$T$107)=0,"",IF('Eval-Après impact'!$T$107=0,"Site détruit (0 ha).",(IF(AND(BP60&gt;=0,BP60&lt;=0.2),CONCATENATE("Densité de rigoles très importante (",ROUND(SUM('Eval-Après impact'!$J$669:$K$670)/'Eval-Après impact'!$T$107,0)," m/ha).",),""))))</f>
        <v/>
      </c>
      <c r="CK60" s="241" t="str">
        <f>(IF(AND(BP60&gt;0.2,BP60&lt;=0.4),CONCATENATE("Densité de rigoles importante (",ROUND(SUM('Eval-Après impact'!$J$669:$K$670)/'Eval-Après impact'!$T$107,0)," m/ha).",),""))</f>
        <v/>
      </c>
      <c r="CL60" s="241" t="str">
        <f>(IF(AND(BP60&gt;0.4,BP60&lt;=0.6),CONCATENATE("Densité de rigoles assez importante (",ROUND(SUM('Eval-Après impact'!$J$669:$K$670)/'Eval-Après impact'!$T$107,0)," m/ha).",),""))</f>
        <v/>
      </c>
      <c r="CM60" s="241" t="str">
        <f>(IF(AND(BP60&gt;0.6,BP60&lt;=0.8),CONCATENATE("Densité de rigoles assez réduite (",ROUND(SUM('Eval-Après impact'!$J$669:$K$670)/'Eval-Après impact'!$T$107,0)," m/ha).",),""))</f>
        <v/>
      </c>
      <c r="CN60" s="241" t="str">
        <f>CONCATENATE((IF(BP60=1,"Absence de rigoles.","")),(IF(AND(BP60&lt;1,BP60&gt;0.8),CONCATENATE("Densité de rigoles très réduite (",ROUND(SUM('Eval-Après impact'!$J$669:$K$670)/'Eval-Après impact'!$T$107,0)," m/ha).",),"")))</f>
        <v/>
      </c>
      <c r="CO60" s="246"/>
      <c r="CP60" s="243" t="str">
        <f>BP60</f>
        <v/>
      </c>
      <c r="CQ60" s="244" t="str">
        <f>BZ60</f>
        <v/>
      </c>
      <c r="CR60" s="245"/>
      <c r="CS60" s="1133"/>
      <c r="CT60" s="234" t="s">
        <v>78</v>
      </c>
      <c r="CU60" s="235" t="s">
        <v>139</v>
      </c>
      <c r="CV60" s="243" t="str">
        <f>IF(LEN('Eval-Avant action écologique'!$T$107)=0,"",IF('Eval-Avant action écologique'!$T$107=0,0,IF(SUM('Eval-Avant action écologique'!$J$669,'Eval-Avant action écologique'!$J$670)/('Eval-Avant action écologique'!$T$107*1000)&gt;=0.176,0,1-SUM('Eval-Avant action écologique'!$J$669,'Eval-Avant action écologique'!$J$670)*5.676/('Eval-Avant action écologique'!$T$107*1000))))</f>
        <v/>
      </c>
      <c r="CW60" s="238" t="str">
        <f>IF(LEN('Eval-Avant action écologique'!$T$107)=0,"",IF('Eval-Avant action écologique'!$T$107=0,0,IF(SUM('Eval-Avant action écologique'!$J$669,'Eval-Avant action écologique'!$J$670)/('Eval-Avant action écologique'!$T$107*1000)&gt;=0.176,0,1-SUM('Eval-Avant action écologique'!$J$669,'Eval-Avant action écologique'!$J$670)*5.676/('Eval-Avant action écologique'!$T$107*1000))))</f>
        <v/>
      </c>
      <c r="CX60" s="253" t="str">
        <f>IF(LEN('Eval-Avant action écologique'!$T$107)=0,"",IF('Eval-Avant action écologique'!$T$107=0,0,IF(SUM('Eval-Avant action écologique'!$J$669,'Eval-Avant action écologique'!$J$670)/('Eval-Avant action écologique'!$T$107*1000)&gt;=0.176,0,1-SUM('Eval-Avant action écologique'!$J$669,'Eval-Avant action écologique'!$J$670)*5.676/('Eval-Avant action écologique'!$T$107*1000))))</f>
        <v/>
      </c>
      <c r="CY60" s="253" t="str">
        <f>IF(LEN('Eval-Avant action écologique'!$T$107)=0,"",IF('Eval-Avant action écologique'!$T$107=0,0,IF(SUM('Eval-Avant action écologique'!$J$669,'Eval-Avant action écologique'!$J$670)/('Eval-Avant action écologique'!$T$107*1000)&gt;=0.176,0,1-SUM('Eval-Avant action écologique'!$J$669,'Eval-Avant action écologique'!$J$670)*5.676/('Eval-Avant action écologique'!$T$107*1000))))</f>
        <v/>
      </c>
      <c r="CZ60" s="253" t="str">
        <f>IF(LEN('Eval-Avant action écologique'!$T$107)=0,"",IF('Eval-Avant action écologique'!$T$107=0,0,IF(SUM('Eval-Avant action écologique'!$J$669,'Eval-Avant action écologique'!$J$670)/('Eval-Avant action écologique'!$T$107*1000)&gt;=0.176,0,1-SUM('Eval-Avant action écologique'!$J$669,'Eval-Avant action écologique'!$J$670)*5.676/('Eval-Avant action écologique'!$T$107*1000))))</f>
        <v/>
      </c>
      <c r="DA60" s="253" t="str">
        <f>IF(LEN('Eval-Avant action écologique'!$T$107)=0,"",IF('Eval-Avant action écologique'!$T$107=0,0,IF(SUM('Eval-Avant action écologique'!$J$669,'Eval-Avant action écologique'!$J$670)/('Eval-Avant action écologique'!$T$107*1000)&gt;=0.176,0,1-SUM('Eval-Avant action écologique'!$J$669,'Eval-Avant action écologique'!$J$670)*5.676/('Eval-Avant action écologique'!$T$107*1000))))</f>
        <v/>
      </c>
      <c r="DB60" s="253" t="str">
        <f>IF(LEN('Eval-Avant action écologique'!$T$107)=0,"",IF('Eval-Avant action écologique'!$T$107=0,0,IF(SUM('Eval-Avant action écologique'!$J$669,'Eval-Avant action écologique'!$J$670)/('Eval-Avant action écologique'!$T$107*1000)&gt;=0.176,0,1-SUM('Eval-Avant action écologique'!$J$669,'Eval-Avant action écologique'!$J$670)*5.676/('Eval-Avant action écologique'!$T$107*1000))))</f>
        <v/>
      </c>
      <c r="DC60" s="237"/>
      <c r="DD60" s="237"/>
      <c r="DE60" s="239"/>
      <c r="DF60" s="243" t="str">
        <f>IF(CV60="","",CV60*'Eval-Avant action écologique'!$T$107)</f>
        <v/>
      </c>
      <c r="DG60" s="238" t="str">
        <f>IF(CV60="","",CV60*'Eval-Avant action écologique'!$T$107)</f>
        <v/>
      </c>
      <c r="DH60" s="238" t="str">
        <f>IF(CV60="","",CV60*'Eval-Avant action écologique'!$T$107)</f>
        <v/>
      </c>
      <c r="DI60" s="238" t="str">
        <f>IF(CV60="","",CV60*'Eval-Avant action écologique'!$T$107)</f>
        <v/>
      </c>
      <c r="DJ60" s="238" t="str">
        <f>IF(CV60="","",CV60*'Eval-Avant action écologique'!$T$107)</f>
        <v/>
      </c>
      <c r="DK60" s="238" t="str">
        <f>IF(CV60="","",CV60*'Eval-Avant action écologique'!$T$107)</f>
        <v/>
      </c>
      <c r="DL60" s="238" t="str">
        <f>IF(CV60="","",CV60*'Eval-Avant action écologique'!$T$107)</f>
        <v/>
      </c>
      <c r="DM60" s="237"/>
      <c r="DN60" s="237"/>
      <c r="DO60" s="239"/>
      <c r="DP60" s="240" t="str">
        <f>IF(LEN('Eval-Avant action écologique'!$T$107)=0,"",IF('Eval-Avant action écologique'!$T$107=0,"Site détruit (0 ha).",(IF(AND(CV60&gt;=0,CV60&lt;=0.2),CONCATENATE("Densité de rigoles très importante (",ROUND(SUM('Eval-Avant action écologique'!$J$669:$K$670)/'Eval-Avant action écologique'!$T$107,0)," m/ha).",),""))))</f>
        <v/>
      </c>
      <c r="DQ60" s="241" t="str">
        <f>(IF(AND(CV60&gt;0.2,CV60&lt;=0.4),CONCATENATE("Densité de rigoles importante (",ROUND(SUM('Eval-Avant action écologique'!$J$669:$K$670)/'Eval-Avant action écologique'!$T$107,0)," m/ha).",),""))</f>
        <v/>
      </c>
      <c r="DR60" s="241" t="str">
        <f>(IF(AND(CV60&gt;0.4,CV60&lt;=0.6),CONCATENATE("Densité de rigoles assez importante (",ROUND(SUM('Eval-Avant action écologique'!$J$669:$K$670)/'Eval-Avant action écologique'!$T$107,0)," m/ha).",),""))</f>
        <v/>
      </c>
      <c r="DS60" s="241" t="str">
        <f>(IF(AND(CV60&gt;0.6,CV60&lt;=0.8),CONCATENATE("Densité de rigoles assez réduite (",ROUND(SUM('Eval-Avant action écologique'!$J$669:$K$670)/'Eval-Avant action écologique'!$T$107,0)," m/ha).",),""))</f>
        <v/>
      </c>
      <c r="DT60" s="241" t="str">
        <f>CONCATENATE((IF(CV60=1,"Absence de rigoles.","")),(IF(AND(CV60&lt;1,CV60&gt;0.8),CONCATENATE("Densité de rigoles très réduite (",ROUND(SUM('Eval-Avant action écologique'!$J$669:$K$670)/'Eval-Avant action écologique'!$T$107,0)," m/ha).",),"")))</f>
        <v/>
      </c>
      <c r="DU60" s="246"/>
      <c r="DV60" s="243" t="str">
        <f>CV60</f>
        <v/>
      </c>
      <c r="DW60" s="244" t="str">
        <f>DF60</f>
        <v/>
      </c>
      <c r="DX60" s="245"/>
      <c r="DY60" s="1133"/>
      <c r="DZ60" s="234" t="s">
        <v>78</v>
      </c>
      <c r="EA60" s="235" t="s">
        <v>139</v>
      </c>
      <c r="EB60" s="243" t="str">
        <f>IF(LEN('Eval-Avec act. écol. envisagée'!$T$107)=0,"",IF('Eval-Avec act. écol. envisagée'!$T$107=0,0,IF(SUM('Eval-Avec act. écol. envisagée'!$J$669,'Eval-Avec act. écol. envisagée'!$J$670)/('Eval-Avec act. écol. envisagée'!$T$107*1000)&gt;=0.176,0,1-SUM('Eval-Avec act. écol. envisagée'!$J$669,'Eval-Avec act. écol. envisagée'!$J$670)*5.676/('Eval-Avec act. écol. envisagée'!$T$107*1000))))</f>
        <v/>
      </c>
      <c r="EC60" s="238" t="str">
        <f>IF(LEN('Eval-Avec act. écol. envisagée'!$T$107)=0,"",IF('Eval-Avec act. écol. envisagée'!$T$107=0,0,IF(SUM('Eval-Avec act. écol. envisagée'!$J$669,'Eval-Avec act. écol. envisagée'!$J$670)/('Eval-Avec act. écol. envisagée'!$T$107*1000)&gt;=0.176,0,1-SUM('Eval-Avec act. écol. envisagée'!$J$669,'Eval-Avec act. écol. envisagée'!$J$670)*5.676/('Eval-Avec act. écol. envisagée'!$T$107*1000))))</f>
        <v/>
      </c>
      <c r="ED60" s="253" t="str">
        <f>IF(LEN('Eval-Avec act. écol. envisagée'!$T$107)=0,"",IF('Eval-Avec act. écol. envisagée'!$T$107=0,0,IF(SUM('Eval-Avec act. écol. envisagée'!$J$669,'Eval-Avec act. écol. envisagée'!$J$670)/('Eval-Avec act. écol. envisagée'!$T$107*1000)&gt;=0.176,0,1-SUM('Eval-Avec act. écol. envisagée'!$J$669,'Eval-Avec act. écol. envisagée'!$J$670)*5.676/('Eval-Avec act. écol. envisagée'!$T$107*1000))))</f>
        <v/>
      </c>
      <c r="EE60" s="253" t="str">
        <f>IF(LEN('Eval-Avec act. écol. envisagée'!$T$107)=0,"",IF('Eval-Avec act. écol. envisagée'!$T$107=0,0,IF(SUM('Eval-Avec act. écol. envisagée'!$J$669,'Eval-Avec act. écol. envisagée'!$J$670)/('Eval-Avec act. écol. envisagée'!$T$107*1000)&gt;=0.176,0,1-SUM('Eval-Avec act. écol. envisagée'!$J$669,'Eval-Avec act. écol. envisagée'!$J$670)*5.676/('Eval-Avec act. écol. envisagée'!$T$107*1000))))</f>
        <v/>
      </c>
      <c r="EF60" s="253" t="str">
        <f>IF(LEN('Eval-Avec act. écol. envisagée'!$T$107)=0,"",IF('Eval-Avec act. écol. envisagée'!$T$107=0,0,IF(SUM('Eval-Avec act. écol. envisagée'!$J$669,'Eval-Avec act. écol. envisagée'!$J$670)/('Eval-Avec act. écol. envisagée'!$T$107*1000)&gt;=0.176,0,1-SUM('Eval-Avec act. écol. envisagée'!$J$669,'Eval-Avec act. écol. envisagée'!$J$670)*5.676/('Eval-Avec act. écol. envisagée'!$T$107*1000))))</f>
        <v/>
      </c>
      <c r="EG60" s="253" t="str">
        <f>IF(LEN('Eval-Avec act. écol. envisagée'!$T$107)=0,"",IF('Eval-Avec act. écol. envisagée'!$T$107=0,0,IF(SUM('Eval-Avec act. écol. envisagée'!$J$669,'Eval-Avec act. écol. envisagée'!$J$670)/('Eval-Avec act. écol. envisagée'!$T$107*1000)&gt;=0.176,0,1-SUM('Eval-Avec act. écol. envisagée'!$J$669,'Eval-Avec act. écol. envisagée'!$J$670)*5.676/('Eval-Avec act. écol. envisagée'!$T$107*1000))))</f>
        <v/>
      </c>
      <c r="EH60" s="253" t="str">
        <f>IF(LEN('Eval-Avec act. écol. envisagée'!$T$107)=0,"",IF('Eval-Avec act. écol. envisagée'!$T$107=0,0,IF(SUM('Eval-Avec act. écol. envisagée'!$J$669,'Eval-Avec act. écol. envisagée'!$J$670)/('Eval-Avec act. écol. envisagée'!$T$107*1000)&gt;=0.176,0,1-SUM('Eval-Avec act. écol. envisagée'!$J$669,'Eval-Avec act. écol. envisagée'!$J$670)*5.676/('Eval-Avec act. écol. envisagée'!$T$107*1000))))</f>
        <v/>
      </c>
      <c r="EI60" s="237"/>
      <c r="EJ60" s="237"/>
      <c r="EK60" s="239"/>
      <c r="EL60" s="243" t="str">
        <f>IF(EB60="","",EB60*'Eval-Avec act. écol. envisagée'!$T$107)</f>
        <v/>
      </c>
      <c r="EM60" s="238" t="str">
        <f>IF(EB60="","",EB60*'Eval-Avec act. écol. envisagée'!$T$107)</f>
        <v/>
      </c>
      <c r="EN60" s="238" t="str">
        <f>IF(EB60="","",EB60*'Eval-Avec act. écol. envisagée'!$T$107)</f>
        <v/>
      </c>
      <c r="EO60" s="238" t="str">
        <f>IF(EB60="","",EB60*'Eval-Avec act. écol. envisagée'!$T$107)</f>
        <v/>
      </c>
      <c r="EP60" s="238" t="str">
        <f>IF(EB60="","",EB60*'Eval-Avec act. écol. envisagée'!$T$107)</f>
        <v/>
      </c>
      <c r="EQ60" s="238" t="str">
        <f>IF(EB60="","",EB60*'Eval-Avec act. écol. envisagée'!$T$107)</f>
        <v/>
      </c>
      <c r="ER60" s="238" t="str">
        <f>IF(EB60="","",EB60*'Eval-Avec act. écol. envisagée'!$T$107)</f>
        <v/>
      </c>
      <c r="ES60" s="237"/>
      <c r="ET60" s="237"/>
      <c r="EU60" s="239"/>
      <c r="EV60" s="240" t="str">
        <f>IF(LEN('Eval-Avec act. écol. envisagée'!$T$107)=0,"",IF('Eval-Avec act. écol. envisagée'!$T$107=0,"Site détruit (0 ha).",(IF(AND(EB60&gt;=0,EB60&lt;=0.2),CONCATENATE("Densité de rigoles très importante (",ROUND(SUM('Eval-Avec act. écol. envisagée'!$J$669:$K$670)/'Eval-Avec act. écol. envisagée'!$T$107,0)," m/ha).",),""))))</f>
        <v/>
      </c>
      <c r="EW60" s="241" t="str">
        <f>(IF(AND(EB60&gt;0.2,EB60&lt;=0.4),CONCATENATE("Densité de rigoles importante (",ROUND(SUM('Eval-Avec act. écol. envisagée'!$J$669:$K$670)/'Eval-Avec act. écol. envisagée'!$T$107,0)," m/ha).",),""))</f>
        <v/>
      </c>
      <c r="EX60" s="241" t="str">
        <f>(IF(AND(EB60&gt;0.4,EB60&lt;=0.6),CONCATENATE("Densité de rigoles assez importante (",ROUND(SUM('Eval-Avec act. écol. envisagée'!$J$669:$K$670)/'Eval-Avec act. écol. envisagée'!$T$107,0)," m/ha).",),""))</f>
        <v/>
      </c>
      <c r="EY60" s="241" t="str">
        <f>(IF(AND(EB60&gt;0.6,EB60&lt;=0.8),CONCATENATE("Densité de rigoles assez réduite (",ROUND(SUM('Eval-Avec act. écol. envisagée'!$J$669:$K$670)/'Eval-Avec act. écol. envisagée'!$T$107,0)," m/ha).",),""))</f>
        <v/>
      </c>
      <c r="EZ60" s="241" t="str">
        <f>CONCATENATE((IF(EB60=1,"Absence de rigoles.","")),(IF(AND(EB60&lt;1,EB60&gt;0.8),CONCATENATE("Densité de rigoles très réduite (",ROUND(SUM('Eval-Avec act. écol. envisagée'!$J$669:$K$670)/'Eval-Avec act. écol. envisagée'!$T$107,0)," m/ha).",),"")))</f>
        <v/>
      </c>
      <c r="FA60" s="246"/>
      <c r="FB60" s="243" t="str">
        <f>EB60</f>
        <v/>
      </c>
      <c r="FC60" s="244" t="str">
        <f>EL60</f>
        <v/>
      </c>
      <c r="FD60" s="245"/>
      <c r="FE60" s="1133"/>
      <c r="FF60" s="234" t="s">
        <v>78</v>
      </c>
      <c r="FG60" s="235" t="s">
        <v>139</v>
      </c>
      <c r="FH60" s="243" t="str">
        <f>IF(LEN('Eval-Après action écologique'!$T$107)=0,"",IF('Eval-Après action écologique'!$T$107=0,0,IF(SUM('Eval-Après action écologique'!$J$669,'Eval-Après action écologique'!$J$670)/('Eval-Après action écologique'!$T$107*1000)&gt;=0.176,0,1-SUM('Eval-Après action écologique'!$J$669,'Eval-Après action écologique'!$J$670)*5.676/('Eval-Après action écologique'!$T$107*1000))))</f>
        <v/>
      </c>
      <c r="FI60" s="238" t="str">
        <f>IF(LEN('Eval-Après action écologique'!$T$107)=0,"",IF('Eval-Après action écologique'!$T$107=0,0,IF(SUM('Eval-Après action écologique'!$J$669,'Eval-Après action écologique'!$J$670)/('Eval-Après action écologique'!$T$107*1000)&gt;=0.176,0,1-SUM('Eval-Après action écologique'!$J$669,'Eval-Après action écologique'!$J$670)*5.676/('Eval-Après action écologique'!$T$107*1000))))</f>
        <v/>
      </c>
      <c r="FJ60" s="253" t="str">
        <f>IF(LEN('Eval-Après action écologique'!$T$107)=0,"",IF('Eval-Après action écologique'!$T$107=0,0,IF(SUM('Eval-Après action écologique'!$J$669,'Eval-Après action écologique'!$J$670)/('Eval-Après action écologique'!$T$107*1000)&gt;=0.176,0,1-SUM('Eval-Après action écologique'!$J$669,'Eval-Après action écologique'!$J$670)*5.676/('Eval-Après action écologique'!$T$107*1000))))</f>
        <v/>
      </c>
      <c r="FK60" s="253" t="str">
        <f>IF(LEN('Eval-Après action écologique'!$T$107)=0,"",IF('Eval-Après action écologique'!$T$107=0,0,IF(SUM('Eval-Après action écologique'!$J$669,'Eval-Après action écologique'!$J$670)/('Eval-Après action écologique'!$T$107*1000)&gt;=0.176,0,1-SUM('Eval-Après action écologique'!$J$669,'Eval-Après action écologique'!$J$670)*5.676/('Eval-Après action écologique'!$T$107*1000))))</f>
        <v/>
      </c>
      <c r="FL60" s="253" t="str">
        <f>IF(LEN('Eval-Après action écologique'!$T$107)=0,"",IF('Eval-Après action écologique'!$T$107=0,0,IF(SUM('Eval-Après action écologique'!$J$669,'Eval-Après action écologique'!$J$670)/('Eval-Après action écologique'!$T$107*1000)&gt;=0.176,0,1-SUM('Eval-Après action écologique'!$J$669,'Eval-Après action écologique'!$J$670)*5.676/('Eval-Après action écologique'!$T$107*1000))))</f>
        <v/>
      </c>
      <c r="FM60" s="253" t="str">
        <f>IF(LEN('Eval-Après action écologique'!$T$107)=0,"",IF('Eval-Après action écologique'!$T$107=0,0,IF(SUM('Eval-Après action écologique'!$J$669,'Eval-Après action écologique'!$J$670)/('Eval-Après action écologique'!$T$107*1000)&gt;=0.176,0,1-SUM('Eval-Après action écologique'!$J$669,'Eval-Après action écologique'!$J$670)*5.676/('Eval-Après action écologique'!$T$107*1000))))</f>
        <v/>
      </c>
      <c r="FN60" s="253" t="str">
        <f>IF(LEN('Eval-Après action écologique'!$T$107)=0,"",IF('Eval-Après action écologique'!$T$107=0,0,IF(SUM('Eval-Après action écologique'!$J$669,'Eval-Après action écologique'!$J$670)/('Eval-Après action écologique'!$T$107*1000)&gt;=0.176,0,1-SUM('Eval-Après action écologique'!$J$669,'Eval-Après action écologique'!$J$670)*5.676/('Eval-Après action écologique'!$T$107*1000))))</f>
        <v/>
      </c>
      <c r="FO60" s="237"/>
      <c r="FP60" s="237"/>
      <c r="FQ60" s="239"/>
      <c r="FR60" s="243" t="str">
        <f>IF(FH60="","",FH60*'Eval-Après action écologique'!$T$107)</f>
        <v/>
      </c>
      <c r="FS60" s="238" t="str">
        <f>IF(FH60="","",FH60*'Eval-Après action écologique'!$T$107)</f>
        <v/>
      </c>
      <c r="FT60" s="238" t="str">
        <f>IF(FH60="","",FH60*'Eval-Après action écologique'!$T$107)</f>
        <v/>
      </c>
      <c r="FU60" s="238" t="str">
        <f>IF(FH60="","",FH60*'Eval-Après action écologique'!$T$107)</f>
        <v/>
      </c>
      <c r="FV60" s="238" t="str">
        <f>IF(FH60="","",FH60*'Eval-Après action écologique'!$T$107)</f>
        <v/>
      </c>
      <c r="FW60" s="238" t="str">
        <f>IF(FH60="","",FH60*'Eval-Après action écologique'!$T$107)</f>
        <v/>
      </c>
      <c r="FX60" s="238" t="str">
        <f>IF(FH60="","",FH60*'Eval-Après action écologique'!$T$107)</f>
        <v/>
      </c>
      <c r="FY60" s="237"/>
      <c r="FZ60" s="237"/>
      <c r="GA60" s="239"/>
      <c r="GB60" s="240" t="str">
        <f>IF(LEN('Eval-Après action écologique'!$T$107)=0,"",IF('Eval-Après action écologique'!$T$107=0,"Site détruit (0 ha).",(IF(AND(FH60&gt;=0,FH60&lt;=0.2),CONCATENATE("Densité de rigoles très importante (",ROUND(SUM('Eval-Après action écologique'!$J$669:$K$670)/'Eval-Après action écologique'!$T$107,0)," m/ha).",),""))))</f>
        <v/>
      </c>
      <c r="GC60" s="241" t="str">
        <f>(IF(AND(FH60&gt;0.2,FH60&lt;=0.4),CONCATENATE("Densité de rigoles importante (",ROUND(SUM('Eval-Après action écologique'!$J$669:$K$670)/'Eval-Après action écologique'!$T$107,0)," m/ha).",),""))</f>
        <v/>
      </c>
      <c r="GD60" s="241" t="str">
        <f>(IF(AND(FH60&gt;0.4,FH60&lt;=0.6),CONCATENATE("Densité de rigoles assez importante (",ROUND(SUM('Eval-Après action écologique'!$J$669:$K$670)/'Eval-Après action écologique'!$T$107,0)," m/ha).",),""))</f>
        <v/>
      </c>
      <c r="GE60" s="241" t="str">
        <f>(IF(AND(FH60&gt;0.6,FH60&lt;=0.8),CONCATENATE("Densité de rigoles assez réduite (",ROUND(SUM('Eval-Après action écologique'!$J$669:$K$670)/'Eval-Après action écologique'!$T$107,0)," m/ha).",),""))</f>
        <v/>
      </c>
      <c r="GF60" s="241" t="str">
        <f>CONCATENATE((IF(FH60=1,"Absence de rigoles.","")),(IF(AND(FH60&lt;1,FH60&gt;0.8),CONCATENATE("Densité de rigoles très réduite (",ROUND(SUM('Eval-Après action écologique'!$J$669:$K$670)/'Eval-Après action écologique'!$T$107,0)," m/ha).",),"")))</f>
        <v/>
      </c>
      <c r="GG60" s="246"/>
      <c r="GH60" s="243" t="str">
        <f>FH60</f>
        <v/>
      </c>
      <c r="GI60" s="244" t="str">
        <f>FR60</f>
        <v/>
      </c>
    </row>
    <row r="61" spans="1:191" ht="31.5" customHeight="1" x14ac:dyDescent="0.2">
      <c r="A61" s="1133"/>
      <c r="B61" s="234" t="s">
        <v>79</v>
      </c>
      <c r="C61" s="235" t="s">
        <v>140</v>
      </c>
      <c r="D61" s="243" t="str">
        <f>IF(LEN('Eval-Avant impact'!$T$107)=0,"",IF('Eval-Avant impact'!$T$107=0,0,IF(SUM('Eval-Avant impact'!$N$669,'Eval-Avant impact'!$N$670)/('Eval-Avant impact'!$T$107*1000)&gt;=0.28,0,1-SUM('Eval-Avant impact'!$N$669,'Eval-Avant impact'!$N$670)*3.56688/('Eval-Avant impact'!$T$107*1000))))</f>
        <v/>
      </c>
      <c r="E61" s="238" t="str">
        <f>IF(LEN('Eval-Avant impact'!$T$107)=0,"",IF('Eval-Avant impact'!$T$107=0,0,IF(SUM('Eval-Avant impact'!$N$669,'Eval-Avant impact'!$N$670)/('Eval-Avant impact'!$T$107*1000)&gt;=0.28,0,1-SUM('Eval-Avant impact'!$N$669,'Eval-Avant impact'!$N$670)*3.56688/('Eval-Avant impact'!$T$107*1000))))</f>
        <v/>
      </c>
      <c r="F61" s="238" t="str">
        <f>IF(LEN('Eval-Avant impact'!$T$107)=0,"",IF('Eval-Avant impact'!$T$107=0,0,IF(SUM('Eval-Avant impact'!$N$669,'Eval-Avant impact'!$N$670)/('Eval-Avant impact'!$T$107*1000)&gt;=0.28,0,1-SUM('Eval-Avant impact'!$N$669,'Eval-Avant impact'!$N$670)*3.56688/('Eval-Avant impact'!$T$107*1000))))</f>
        <v/>
      </c>
      <c r="G61" s="238" t="str">
        <f>IF(LEN('Eval-Avant impact'!$T$107)=0,"",IF('Eval-Avant impact'!$T$107=0,0,IF(SUM('Eval-Avant impact'!$N$669,'Eval-Avant impact'!$N$670)/('Eval-Avant impact'!$T$107*1000)&gt;=0.28,0,1-SUM('Eval-Avant impact'!$N$669,'Eval-Avant impact'!$N$670)*3.56688/('Eval-Avant impact'!$T$107*1000))))</f>
        <v/>
      </c>
      <c r="H61" s="238" t="str">
        <f>IF(LEN('Eval-Avant impact'!$T$107)=0,"",IF('Eval-Avant impact'!$T$107=0,0,IF(SUM('Eval-Avant impact'!$N$669,'Eval-Avant impact'!$N$670)/('Eval-Avant impact'!$T$107*1000)&gt;=0.28,0,1-SUM('Eval-Avant impact'!$N$669,'Eval-Avant impact'!$N$670)*3.56688/('Eval-Avant impact'!$T$107*1000))))</f>
        <v/>
      </c>
      <c r="I61" s="238" t="str">
        <f>IF(LEN('Eval-Avant impact'!$T$107)=0,"",IF('Eval-Avant impact'!$T$107=0,0,IF(SUM('Eval-Avant impact'!$N$669,'Eval-Avant impact'!$N$670)/('Eval-Avant impact'!$T$107*1000)&gt;=0.28,0,1-SUM('Eval-Avant impact'!$N$669,'Eval-Avant impact'!$N$670)*3.56688/('Eval-Avant impact'!$T$107*1000))))</f>
        <v/>
      </c>
      <c r="J61" s="238" t="str">
        <f>IF(LEN('Eval-Avant impact'!$T$107)=0,"",IF('Eval-Avant impact'!$T$107=0,0,IF(SUM('Eval-Avant impact'!$N$669,'Eval-Avant impact'!$N$670)/('Eval-Avant impact'!$T$107*1000)&gt;=0.28,0,1-SUM('Eval-Avant impact'!$N$669,'Eval-Avant impact'!$N$670)*3.56688/('Eval-Avant impact'!$T$107*1000))))</f>
        <v/>
      </c>
      <c r="K61" s="237"/>
      <c r="L61" s="237"/>
      <c r="M61" s="239"/>
      <c r="N61" s="243" t="str">
        <f>IF(D61="","",D61*'Eval-Avant impact'!$T$107)</f>
        <v/>
      </c>
      <c r="O61" s="238" t="str">
        <f>IF(D61="","",D61*'Eval-Avant impact'!$T$107)</f>
        <v/>
      </c>
      <c r="P61" s="238" t="str">
        <f>IF(D61="","",D61*'Eval-Avant impact'!$T$107)</f>
        <v/>
      </c>
      <c r="Q61" s="238" t="str">
        <f>IF(D61="","",D61*'Eval-Avant impact'!$T$107)</f>
        <v/>
      </c>
      <c r="R61" s="238" t="str">
        <f>IF(D61="","",D61*'Eval-Avant impact'!$T$107)</f>
        <v/>
      </c>
      <c r="S61" s="238" t="str">
        <f>IF(D61="","",D61*'Eval-Avant impact'!$T$107)</f>
        <v/>
      </c>
      <c r="T61" s="238" t="str">
        <f>IF(D61="","",D61*'Eval-Avant impact'!$T$107)</f>
        <v/>
      </c>
      <c r="U61" s="237"/>
      <c r="V61" s="237"/>
      <c r="W61" s="239"/>
      <c r="X61" s="240" t="str">
        <f>IF(LEN('Eval-Avant impact'!$T$107)=0,"",IF('Eval-Avant impact'!$T$107=0,"Site détruit (0 ha).",(IF(AND(D61&gt;=0,D61&lt;=0.2),CONCATENATE("Densité de fossés très importante (",ROUND(SUM('Eval-Avant impact'!$N$669:$P$670)/'Eval-Avant impact'!$T$107,0)," m/ha).",),""))))</f>
        <v/>
      </c>
      <c r="Y61" s="241" t="str">
        <f>(IF(AND(D61&gt;0.2,D61&lt;=0.4),CONCATENATE("Densité de fossés importante (",ROUND(SUM('Eval-Avant impact'!$N$669:$P$670)/'Eval-Avant impact'!$T$107,0)," m/ha).",),""))</f>
        <v/>
      </c>
      <c r="Z61" s="241" t="str">
        <f>(IF(AND(D61&gt;0.4,D61&lt;=0.6),CONCATENATE("Densité de fossés assez importante (",ROUND(SUM('Eval-Avant impact'!$N$669:$P$670)/'Eval-Avant impact'!$T$107,0)," m/ha).",),""))</f>
        <v/>
      </c>
      <c r="AA61" s="241" t="str">
        <f>(IF(AND(D61&gt;0.6,D61&lt;=0.8),CONCATENATE("Densité de fossés assez réduite (",ROUND(SUM('Eval-Avant impact'!$N$669:$P$670)/'Eval-Avant impact'!$T$107,0)," m/ha).",),""))</f>
        <v/>
      </c>
      <c r="AB61" s="241" t="str">
        <f>CONCATENATE((IF(D61=1,"Absence de fossés.","")),(IF(AND(D61&lt;1,D61&gt;0.8),CONCATENATE("Densité de fossés très réduite (",ROUND(SUM('Eval-Avant impact'!$N$669:$P$670)/'Eval-Avant impact'!$T$107,0)," m/ha).",),"")))</f>
        <v/>
      </c>
      <c r="AC61" s="246"/>
      <c r="AD61" s="243" t="str">
        <f>D61</f>
        <v/>
      </c>
      <c r="AE61" s="244" t="str">
        <f>N61</f>
        <v/>
      </c>
      <c r="AF61" s="245"/>
      <c r="AG61" s="1133"/>
      <c r="AH61" s="234" t="s">
        <v>79</v>
      </c>
      <c r="AI61" s="235" t="s">
        <v>140</v>
      </c>
      <c r="AJ61" s="243" t="str">
        <f>IF(LEN('Eval-Avec impact envisagé'!$T$107)=0,"",IF('Eval-Avec impact envisagé'!$T$107=0,0,IF(SUM('Eval-Avec impact envisagé'!$N$669,'Eval-Avec impact envisagé'!$N$670)/('Eval-Avec impact envisagé'!$T$107*1000)&gt;=0.28,0,1-SUM('Eval-Avec impact envisagé'!$N$669,'Eval-Avec impact envisagé'!$N$670)*3.56688/('Eval-Avec impact envisagé'!$T$107*1000))))</f>
        <v/>
      </c>
      <c r="AK61" s="238" t="str">
        <f>IF(LEN('Eval-Avec impact envisagé'!$T$107)=0,"",IF('Eval-Avec impact envisagé'!$T$107=0,0,IF(SUM('Eval-Avec impact envisagé'!$N$669,'Eval-Avec impact envisagé'!$N$670)/('Eval-Avec impact envisagé'!$T$107*1000)&gt;=0.28,0,1-SUM('Eval-Avec impact envisagé'!$N$669,'Eval-Avec impact envisagé'!$N$670)*3.56688/('Eval-Avec impact envisagé'!$T$107*1000))))</f>
        <v/>
      </c>
      <c r="AL61" s="238" t="str">
        <f>IF(LEN('Eval-Avec impact envisagé'!$T$107)=0,"",IF('Eval-Avec impact envisagé'!$T$107=0,0,IF(SUM('Eval-Avec impact envisagé'!$N$669,'Eval-Avec impact envisagé'!$N$670)/('Eval-Avec impact envisagé'!$T$107*1000)&gt;=0.28,0,1-SUM('Eval-Avec impact envisagé'!$N$669,'Eval-Avec impact envisagé'!$N$670)*3.56688/('Eval-Avec impact envisagé'!$T$107*1000))))</f>
        <v/>
      </c>
      <c r="AM61" s="238" t="str">
        <f>IF(LEN('Eval-Avec impact envisagé'!$T$107)=0,"",IF('Eval-Avec impact envisagé'!$T$107=0,0,IF(SUM('Eval-Avec impact envisagé'!$N$669,'Eval-Avec impact envisagé'!$N$670)/('Eval-Avec impact envisagé'!$T$107*1000)&gt;=0.28,0,1-SUM('Eval-Avec impact envisagé'!$N$669,'Eval-Avec impact envisagé'!$N$670)*3.56688/('Eval-Avec impact envisagé'!$T$107*1000))))</f>
        <v/>
      </c>
      <c r="AN61" s="238" t="str">
        <f>IF(LEN('Eval-Avec impact envisagé'!$T$107)=0,"",IF('Eval-Avec impact envisagé'!$T$107=0,0,IF(SUM('Eval-Avec impact envisagé'!$N$669,'Eval-Avec impact envisagé'!$N$670)/('Eval-Avec impact envisagé'!$T$107*1000)&gt;=0.28,0,1-SUM('Eval-Avec impact envisagé'!$N$669,'Eval-Avec impact envisagé'!$N$670)*3.56688/('Eval-Avec impact envisagé'!$T$107*1000))))</f>
        <v/>
      </c>
      <c r="AO61" s="238" t="str">
        <f>IF(LEN('Eval-Avec impact envisagé'!$T$107)=0,"",IF('Eval-Avec impact envisagé'!$T$107=0,0,IF(SUM('Eval-Avec impact envisagé'!$N$669,'Eval-Avec impact envisagé'!$N$670)/('Eval-Avec impact envisagé'!$T$107*1000)&gt;=0.28,0,1-SUM('Eval-Avec impact envisagé'!$N$669,'Eval-Avec impact envisagé'!$N$670)*3.56688/('Eval-Avec impact envisagé'!$T$107*1000))))</f>
        <v/>
      </c>
      <c r="AP61" s="238" t="str">
        <f>IF(LEN('Eval-Avec impact envisagé'!$T$107)=0,"",IF('Eval-Avec impact envisagé'!$T$107=0,0,IF(SUM('Eval-Avec impact envisagé'!$N$669,'Eval-Avec impact envisagé'!$N$670)/('Eval-Avec impact envisagé'!$T$107*1000)&gt;=0.28,0,1-SUM('Eval-Avec impact envisagé'!$N$669,'Eval-Avec impact envisagé'!$N$670)*3.56688/('Eval-Avec impact envisagé'!$T$107*1000))))</f>
        <v/>
      </c>
      <c r="AQ61" s="237"/>
      <c r="AR61" s="237"/>
      <c r="AS61" s="239"/>
      <c r="AT61" s="243" t="str">
        <f>IF(AJ61="","",AJ61*'Eval-Avec impact envisagé'!$T$107)</f>
        <v/>
      </c>
      <c r="AU61" s="238" t="str">
        <f>IF(AJ61="","",AJ61*'Eval-Avec impact envisagé'!$T$107)</f>
        <v/>
      </c>
      <c r="AV61" s="238" t="str">
        <f>IF(AJ61="","",AJ61*'Eval-Avec impact envisagé'!$T$107)</f>
        <v/>
      </c>
      <c r="AW61" s="238" t="str">
        <f>IF(AJ61="","",AJ61*'Eval-Avec impact envisagé'!$T$107)</f>
        <v/>
      </c>
      <c r="AX61" s="238" t="str">
        <f>IF(AJ61="","",AJ61*'Eval-Avec impact envisagé'!$T$107)</f>
        <v/>
      </c>
      <c r="AY61" s="238" t="str">
        <f>IF(AJ61="","",AJ61*'Eval-Avec impact envisagé'!$T$107)</f>
        <v/>
      </c>
      <c r="AZ61" s="238" t="str">
        <f>IF(AJ61="","",AJ61*'Eval-Avec impact envisagé'!$T$107)</f>
        <v/>
      </c>
      <c r="BA61" s="237"/>
      <c r="BB61" s="237"/>
      <c r="BC61" s="239"/>
      <c r="BD61" s="240" t="str">
        <f>IF(LEN('Eval-Avec impact envisagé'!$T$107)=0,"",IF('Eval-Avec impact envisagé'!$T$107=0,"Site détruit (0 ha).",(IF(AND(AJ61&gt;=0,AJ61&lt;=0.2),CONCATENATE("Densité de fossés très importante (",ROUND(SUM('Eval-Avec impact envisagé'!$N$669:$P$670)/'Eval-Avec impact envisagé'!$T$107,0)," m/ha).",),""))))</f>
        <v/>
      </c>
      <c r="BE61" s="241" t="str">
        <f>(IF(AND(AJ61&gt;0.2,AJ61&lt;=0.4),CONCATENATE("Densité de fossés importante (",ROUND(SUM('Eval-Avec impact envisagé'!$N$669:$P$670)/'Eval-Avec impact envisagé'!$T$107,0)," m/ha).",),""))</f>
        <v/>
      </c>
      <c r="BF61" s="241" t="str">
        <f>(IF(AND(AJ61&gt;0.4,AJ61&lt;=0.6),CONCATENATE("Densité de fossés assez importante (",ROUND(SUM('Eval-Avec impact envisagé'!$N$669:$P$670)/'Eval-Avec impact envisagé'!$T$107,0)," m/ha).",),""))</f>
        <v/>
      </c>
      <c r="BG61" s="241" t="str">
        <f>(IF(AND(AJ61&gt;0.6,AJ61&lt;=0.8),CONCATENATE("Densité de fossés assez réduite (",ROUND(SUM('Eval-Avec impact envisagé'!$N$669:$P$670)/'Eval-Avec impact envisagé'!$T$107,0)," m/ha).",),""))</f>
        <v/>
      </c>
      <c r="BH61" s="241" t="str">
        <f>CONCATENATE((IF(AJ61=1,"Absence de fossés.","")),(IF(AND(AJ61&lt;1,AJ61&gt;0.8),CONCATENATE("Densité de fossés très réduite (",ROUND(SUM('Eval-Avec impact envisagé'!$N$669:$P$670)/'Eval-Avec impact envisagé'!$T$107,0)," m/ha).",),"")))</f>
        <v/>
      </c>
      <c r="BI61" s="246"/>
      <c r="BJ61" s="243" t="str">
        <f>AJ61</f>
        <v/>
      </c>
      <c r="BK61" s="244" t="str">
        <f>AT61</f>
        <v/>
      </c>
      <c r="BL61" s="245"/>
      <c r="BM61" s="1133"/>
      <c r="BN61" s="234" t="s">
        <v>79</v>
      </c>
      <c r="BO61" s="235" t="s">
        <v>140</v>
      </c>
      <c r="BP61" s="243" t="str">
        <f>IF(LEN('Eval-Après impact'!$T$107)=0,"",IF('Eval-Après impact'!$T$107=0,0,IF(SUM('Eval-Après impact'!$N$669,'Eval-Après impact'!$N$670)/('Eval-Après impact'!$T$107*1000)&gt;=0.28,0,1-SUM('Eval-Après impact'!$N$669,'Eval-Après impact'!$N$670)*3.56688/('Eval-Après impact'!$T$107*1000))))</f>
        <v/>
      </c>
      <c r="BQ61" s="238" t="str">
        <f>IF(LEN('Eval-Après impact'!$T$107)=0,"",IF('Eval-Après impact'!$T$107=0,0,IF(SUM('Eval-Après impact'!$N$669,'Eval-Après impact'!$N$670)/('Eval-Après impact'!$T$107*1000)&gt;=0.28,0,1-SUM('Eval-Après impact'!$N$669,'Eval-Après impact'!$N$670)*3.56688/('Eval-Après impact'!$T$107*1000))))</f>
        <v/>
      </c>
      <c r="BR61" s="238" t="str">
        <f>IF(LEN('Eval-Après impact'!$T$107)=0,"",IF('Eval-Après impact'!$T$107=0,0,IF(SUM('Eval-Après impact'!$N$669,'Eval-Après impact'!$N$670)/('Eval-Après impact'!$T$107*1000)&gt;=0.28,0,1-SUM('Eval-Après impact'!$N$669,'Eval-Après impact'!$N$670)*3.56688/('Eval-Après impact'!$T$107*1000))))</f>
        <v/>
      </c>
      <c r="BS61" s="238" t="str">
        <f>IF(LEN('Eval-Après impact'!$T$107)=0,"",IF('Eval-Après impact'!$T$107=0,0,IF(SUM('Eval-Après impact'!$N$669,'Eval-Après impact'!$N$670)/('Eval-Après impact'!$T$107*1000)&gt;=0.28,0,1-SUM('Eval-Après impact'!$N$669,'Eval-Après impact'!$N$670)*3.56688/('Eval-Après impact'!$T$107*1000))))</f>
        <v/>
      </c>
      <c r="BT61" s="238" t="str">
        <f>IF(LEN('Eval-Après impact'!$T$107)=0,"",IF('Eval-Après impact'!$T$107=0,0,IF(SUM('Eval-Après impact'!$N$669,'Eval-Après impact'!$N$670)/('Eval-Après impact'!$T$107*1000)&gt;=0.28,0,1-SUM('Eval-Après impact'!$N$669,'Eval-Après impact'!$N$670)*3.56688/('Eval-Après impact'!$T$107*1000))))</f>
        <v/>
      </c>
      <c r="BU61" s="238" t="str">
        <f>IF(LEN('Eval-Après impact'!$T$107)=0,"",IF('Eval-Après impact'!$T$107=0,0,IF(SUM('Eval-Après impact'!$N$669,'Eval-Après impact'!$N$670)/('Eval-Après impact'!$T$107*1000)&gt;=0.28,0,1-SUM('Eval-Après impact'!$N$669,'Eval-Après impact'!$N$670)*3.56688/('Eval-Après impact'!$T$107*1000))))</f>
        <v/>
      </c>
      <c r="BV61" s="238" t="str">
        <f>IF(LEN('Eval-Après impact'!$T$107)=0,"",IF('Eval-Après impact'!$T$107=0,0,IF(SUM('Eval-Après impact'!$N$669,'Eval-Après impact'!$N$670)/('Eval-Après impact'!$T$107*1000)&gt;=0.28,0,1-SUM('Eval-Après impact'!$N$669,'Eval-Après impact'!$N$670)*3.56688/('Eval-Après impact'!$T$107*1000))))</f>
        <v/>
      </c>
      <c r="BW61" s="237"/>
      <c r="BX61" s="237"/>
      <c r="BY61" s="239"/>
      <c r="BZ61" s="243" t="str">
        <f>IF(BP61="","",BP61*'Eval-Après impact'!$T$107)</f>
        <v/>
      </c>
      <c r="CA61" s="238" t="str">
        <f>IF(BP61="","",BP61*'Eval-Après impact'!$T$107)</f>
        <v/>
      </c>
      <c r="CB61" s="238" t="str">
        <f>IF(BP61="","",BP61*'Eval-Après impact'!$T$107)</f>
        <v/>
      </c>
      <c r="CC61" s="238" t="str">
        <f>IF(BP61="","",BP61*'Eval-Après impact'!$T$107)</f>
        <v/>
      </c>
      <c r="CD61" s="238" t="str">
        <f>IF(BP61="","",BP61*'Eval-Après impact'!$T$107)</f>
        <v/>
      </c>
      <c r="CE61" s="238" t="str">
        <f>IF(BP61="","",BP61*'Eval-Après impact'!$T$107)</f>
        <v/>
      </c>
      <c r="CF61" s="238" t="str">
        <f>IF(BP61="","",BP61*'Eval-Après impact'!$T$107)</f>
        <v/>
      </c>
      <c r="CG61" s="237"/>
      <c r="CH61" s="237"/>
      <c r="CI61" s="239"/>
      <c r="CJ61" s="240" t="str">
        <f>IF(LEN('Eval-Après impact'!$T$107)=0,"",IF('Eval-Après impact'!$T$107=0,"Site détruit (0 ha).",(IF(AND(BP61&gt;=0,BP61&lt;=0.2),CONCATENATE("Densité de fossés très importante (",ROUND(SUM('Eval-Après impact'!$N$669:$P$670)/'Eval-Après impact'!$T$107,0)," m/ha).",),""))))</f>
        <v/>
      </c>
      <c r="CK61" s="241" t="str">
        <f>(IF(AND(BP61&gt;0.2,BP61&lt;=0.4),CONCATENATE("Densité de fossés importante (",ROUND(SUM('Eval-Après impact'!$N$669:$P$670)/'Eval-Après impact'!$T$107,0)," m/ha).",),""))</f>
        <v/>
      </c>
      <c r="CL61" s="241" t="str">
        <f>(IF(AND(BP61&gt;0.4,BP61&lt;=0.6),CONCATENATE("Densité de fossés assez importante (",ROUND(SUM('Eval-Après impact'!$N$669:$P$670)/'Eval-Après impact'!$T$107,0)," m/ha).",),""))</f>
        <v/>
      </c>
      <c r="CM61" s="241" t="str">
        <f>(IF(AND(BP61&gt;0.6,BP61&lt;=0.8),CONCATENATE("Densité de fossés assez réduite (",ROUND(SUM('Eval-Après impact'!$N$669:$P$670)/'Eval-Après impact'!$T$107,0)," m/ha).",),""))</f>
        <v/>
      </c>
      <c r="CN61" s="241" t="str">
        <f>CONCATENATE((IF(BP61=1,"Absence de fossés.","")),(IF(AND(BP61&lt;1,BP61&gt;0.8),CONCATENATE("Densité de fossés très réduite (",ROUND(SUM('Eval-Après impact'!$N$669:$P$670)/'Eval-Après impact'!$T$107,0)," m/ha).",),"")))</f>
        <v/>
      </c>
      <c r="CO61" s="246"/>
      <c r="CP61" s="243" t="str">
        <f>BP61</f>
        <v/>
      </c>
      <c r="CQ61" s="244" t="str">
        <f>BZ61</f>
        <v/>
      </c>
      <c r="CR61" s="245"/>
      <c r="CS61" s="1133"/>
      <c r="CT61" s="234" t="s">
        <v>79</v>
      </c>
      <c r="CU61" s="235" t="s">
        <v>140</v>
      </c>
      <c r="CV61" s="243" t="str">
        <f>IF(LEN('Eval-Avant action écologique'!$T$107)=0,"",IF('Eval-Avant action écologique'!$T$107=0,0,IF(SUM('Eval-Avant action écologique'!$N$669,'Eval-Avant action écologique'!$N$670)/('Eval-Avant action écologique'!$T$107*1000)&gt;=0.28,0,1-SUM('Eval-Avant action écologique'!$N$669,'Eval-Avant action écologique'!$N$670)*3.56688/('Eval-Avant action écologique'!$T$107*1000))))</f>
        <v/>
      </c>
      <c r="CW61" s="238" t="str">
        <f>IF(LEN('Eval-Avant action écologique'!$T$107)=0,"",IF('Eval-Avant action écologique'!$T$107=0,0,IF(SUM('Eval-Avant action écologique'!$N$669,'Eval-Avant action écologique'!$N$670)/('Eval-Avant action écologique'!$T$107*1000)&gt;=0.28,0,1-SUM('Eval-Avant action écologique'!$N$669,'Eval-Avant action écologique'!$N$670)*3.56688/('Eval-Avant action écologique'!$T$107*1000))))</f>
        <v/>
      </c>
      <c r="CX61" s="238" t="str">
        <f>IF(LEN('Eval-Avant action écologique'!$T$107)=0,"",IF('Eval-Avant action écologique'!$T$107=0,0,IF(SUM('Eval-Avant action écologique'!$N$669,'Eval-Avant action écologique'!$N$670)/('Eval-Avant action écologique'!$T$107*1000)&gt;=0.28,0,1-SUM('Eval-Avant action écologique'!$N$669,'Eval-Avant action écologique'!$N$670)*3.56688/('Eval-Avant action écologique'!$T$107*1000))))</f>
        <v/>
      </c>
      <c r="CY61" s="238" t="str">
        <f>IF(LEN('Eval-Avant action écologique'!$T$107)=0,"",IF('Eval-Avant action écologique'!$T$107=0,0,IF(SUM('Eval-Avant action écologique'!$N$669,'Eval-Avant action écologique'!$N$670)/('Eval-Avant action écologique'!$T$107*1000)&gt;=0.28,0,1-SUM('Eval-Avant action écologique'!$N$669,'Eval-Avant action écologique'!$N$670)*3.56688/('Eval-Avant action écologique'!$T$107*1000))))</f>
        <v/>
      </c>
      <c r="CZ61" s="238" t="str">
        <f>IF(LEN('Eval-Avant action écologique'!$T$107)=0,"",IF('Eval-Avant action écologique'!$T$107=0,0,IF(SUM('Eval-Avant action écologique'!$N$669,'Eval-Avant action écologique'!$N$670)/('Eval-Avant action écologique'!$T$107*1000)&gt;=0.28,0,1-SUM('Eval-Avant action écologique'!$N$669,'Eval-Avant action écologique'!$N$670)*3.56688/('Eval-Avant action écologique'!$T$107*1000))))</f>
        <v/>
      </c>
      <c r="DA61" s="238" t="str">
        <f>IF(LEN('Eval-Avant action écologique'!$T$107)=0,"",IF('Eval-Avant action écologique'!$T$107=0,0,IF(SUM('Eval-Avant action écologique'!$N$669,'Eval-Avant action écologique'!$N$670)/('Eval-Avant action écologique'!$T$107*1000)&gt;=0.28,0,1-SUM('Eval-Avant action écologique'!$N$669,'Eval-Avant action écologique'!$N$670)*3.56688/('Eval-Avant action écologique'!$T$107*1000))))</f>
        <v/>
      </c>
      <c r="DB61" s="238" t="str">
        <f>IF(LEN('Eval-Avant action écologique'!$T$107)=0,"",IF('Eval-Avant action écologique'!$T$107=0,0,IF(SUM('Eval-Avant action écologique'!$N$669,'Eval-Avant action écologique'!$N$670)/('Eval-Avant action écologique'!$T$107*1000)&gt;=0.28,0,1-SUM('Eval-Avant action écologique'!$N$669,'Eval-Avant action écologique'!$N$670)*3.56688/('Eval-Avant action écologique'!$T$107*1000))))</f>
        <v/>
      </c>
      <c r="DC61" s="237"/>
      <c r="DD61" s="237"/>
      <c r="DE61" s="239"/>
      <c r="DF61" s="243" t="str">
        <f>IF(CV61="","",CV61*'Eval-Avant action écologique'!$T$107)</f>
        <v/>
      </c>
      <c r="DG61" s="238" t="str">
        <f>IF(CV61="","",CV61*'Eval-Avant action écologique'!$T$107)</f>
        <v/>
      </c>
      <c r="DH61" s="238" t="str">
        <f>IF(CV61="","",CV61*'Eval-Avant action écologique'!$T$107)</f>
        <v/>
      </c>
      <c r="DI61" s="238" t="str">
        <f>IF(CV61="","",CV61*'Eval-Avant action écologique'!$T$107)</f>
        <v/>
      </c>
      <c r="DJ61" s="238" t="str">
        <f>IF(CV61="","",CV61*'Eval-Avant action écologique'!$T$107)</f>
        <v/>
      </c>
      <c r="DK61" s="238" t="str">
        <f>IF(CV61="","",CV61*'Eval-Avant action écologique'!$T$107)</f>
        <v/>
      </c>
      <c r="DL61" s="238" t="str">
        <f>IF(CV61="","",CV61*'Eval-Avant action écologique'!$T$107)</f>
        <v/>
      </c>
      <c r="DM61" s="237"/>
      <c r="DN61" s="237"/>
      <c r="DO61" s="239"/>
      <c r="DP61" s="240" t="str">
        <f>IF(LEN('Eval-Avant action écologique'!$T$107)=0,"",IF('Eval-Avant action écologique'!$T$107=0,"Site détruit (0 ha).",(IF(AND(CV61&gt;=0,CV61&lt;=0.2),CONCATENATE("Densité de fossés très importante (",ROUND(SUM('Eval-Avant action écologique'!$N$669:$P$670)/'Eval-Avant action écologique'!$T$107,0)," m/ha).",),""))))</f>
        <v/>
      </c>
      <c r="DQ61" s="241" t="str">
        <f>(IF(AND(CV61&gt;0.2,CV61&lt;=0.4),CONCATENATE("Densité de fossés importante (",ROUND(SUM('Eval-Avant action écologique'!$N$669:$P$670)/'Eval-Avant action écologique'!$T$107,0)," m/ha).",),""))</f>
        <v/>
      </c>
      <c r="DR61" s="241" t="str">
        <f>(IF(AND(CV61&gt;0.4,CV61&lt;=0.6),CONCATENATE("Densité de fossés assez importante (",ROUND(SUM('Eval-Avant action écologique'!$N$669:$P$670)/'Eval-Avant action écologique'!$T$107,0)," m/ha).",),""))</f>
        <v/>
      </c>
      <c r="DS61" s="241" t="str">
        <f>(IF(AND(CV61&gt;0.6,CV61&lt;=0.8),CONCATENATE("Densité de fossés assez réduite (",ROUND(SUM('Eval-Avant action écologique'!$N$669:$P$670)/'Eval-Avant action écologique'!$T$107,0)," m/ha).",),""))</f>
        <v/>
      </c>
      <c r="DT61" s="241" t="str">
        <f>CONCATENATE((IF(CV61=1,"Absence de fossés.","")),(IF(AND(CV61&lt;1,CV61&gt;0.8),CONCATENATE("Densité de fossés très réduite (",ROUND(SUM('Eval-Avant action écologique'!$N$669:$P$670)/'Eval-Avant action écologique'!$T$107,0)," m/ha).",),"")))</f>
        <v/>
      </c>
      <c r="DU61" s="246"/>
      <c r="DV61" s="243" t="str">
        <f>CV61</f>
        <v/>
      </c>
      <c r="DW61" s="244" t="str">
        <f>DF61</f>
        <v/>
      </c>
      <c r="DX61" s="245"/>
      <c r="DY61" s="1133"/>
      <c r="DZ61" s="234" t="s">
        <v>79</v>
      </c>
      <c r="EA61" s="235" t="s">
        <v>140</v>
      </c>
      <c r="EB61" s="243" t="str">
        <f>IF(LEN('Eval-Avec act. écol. envisagée'!$T$107)=0,"",IF('Eval-Avec act. écol. envisagée'!$T$107=0,0,IF(SUM('Eval-Avec act. écol. envisagée'!$N$669,'Eval-Avec act. écol. envisagée'!$N$670)/('Eval-Avec act. écol. envisagée'!$T$107*1000)&gt;=0.28,0,1-SUM('Eval-Avec act. écol. envisagée'!$N$669,'Eval-Avec act. écol. envisagée'!$N$670)*3.56688/('Eval-Avec act. écol. envisagée'!$T$107*1000))))</f>
        <v/>
      </c>
      <c r="EC61" s="238" t="str">
        <f>IF(LEN('Eval-Avec act. écol. envisagée'!$T$107)=0,"",IF('Eval-Avec act. écol. envisagée'!$T$107=0,0,IF(SUM('Eval-Avec act. écol. envisagée'!$N$669,'Eval-Avec act. écol. envisagée'!$N$670)/('Eval-Avec act. écol. envisagée'!$T$107*1000)&gt;=0.28,0,1-SUM('Eval-Avec act. écol. envisagée'!$N$669,'Eval-Avec act. écol. envisagée'!$N$670)*3.56688/('Eval-Avec act. écol. envisagée'!$T$107*1000))))</f>
        <v/>
      </c>
      <c r="ED61" s="238" t="str">
        <f>IF(LEN('Eval-Avec act. écol. envisagée'!$T$107)=0,"",IF('Eval-Avec act. écol. envisagée'!$T$107=0,0,IF(SUM('Eval-Avec act. écol. envisagée'!$N$669,'Eval-Avec act. écol. envisagée'!$N$670)/('Eval-Avec act. écol. envisagée'!$T$107*1000)&gt;=0.28,0,1-SUM('Eval-Avec act. écol. envisagée'!$N$669,'Eval-Avec act. écol. envisagée'!$N$670)*3.56688/('Eval-Avec act. écol. envisagée'!$T$107*1000))))</f>
        <v/>
      </c>
      <c r="EE61" s="238" t="str">
        <f>IF(LEN('Eval-Avec act. écol. envisagée'!$T$107)=0,"",IF('Eval-Avec act. écol. envisagée'!$T$107=0,0,IF(SUM('Eval-Avec act. écol. envisagée'!$N$669,'Eval-Avec act. écol. envisagée'!$N$670)/('Eval-Avec act. écol. envisagée'!$T$107*1000)&gt;=0.28,0,1-SUM('Eval-Avec act. écol. envisagée'!$N$669,'Eval-Avec act. écol. envisagée'!$N$670)*3.56688/('Eval-Avec act. écol. envisagée'!$T$107*1000))))</f>
        <v/>
      </c>
      <c r="EF61" s="238" t="str">
        <f>IF(LEN('Eval-Avec act. écol. envisagée'!$T$107)=0,"",IF('Eval-Avec act. écol. envisagée'!$T$107=0,0,IF(SUM('Eval-Avec act. écol. envisagée'!$N$669,'Eval-Avec act. écol. envisagée'!$N$670)/('Eval-Avec act. écol. envisagée'!$T$107*1000)&gt;=0.28,0,1-SUM('Eval-Avec act. écol. envisagée'!$N$669,'Eval-Avec act. écol. envisagée'!$N$670)*3.56688/('Eval-Avec act. écol. envisagée'!$T$107*1000))))</f>
        <v/>
      </c>
      <c r="EG61" s="238" t="str">
        <f>IF(LEN('Eval-Avec act. écol. envisagée'!$T$107)=0,"",IF('Eval-Avec act. écol. envisagée'!$T$107=0,0,IF(SUM('Eval-Avec act. écol. envisagée'!$N$669,'Eval-Avec act. écol. envisagée'!$N$670)/('Eval-Avec act. écol. envisagée'!$T$107*1000)&gt;=0.28,0,1-SUM('Eval-Avec act. écol. envisagée'!$N$669,'Eval-Avec act. écol. envisagée'!$N$670)*3.56688/('Eval-Avec act. écol. envisagée'!$T$107*1000))))</f>
        <v/>
      </c>
      <c r="EH61" s="238" t="str">
        <f>IF(LEN('Eval-Avec act. écol. envisagée'!$T$107)=0,"",IF('Eval-Avec act. écol. envisagée'!$T$107=0,0,IF(SUM('Eval-Avec act. écol. envisagée'!$N$669,'Eval-Avec act. écol. envisagée'!$N$670)/('Eval-Avec act. écol. envisagée'!$T$107*1000)&gt;=0.28,0,1-SUM('Eval-Avec act. écol. envisagée'!$N$669,'Eval-Avec act. écol. envisagée'!$N$670)*3.56688/('Eval-Avec act. écol. envisagée'!$T$107*1000))))</f>
        <v/>
      </c>
      <c r="EI61" s="237"/>
      <c r="EJ61" s="237"/>
      <c r="EK61" s="239"/>
      <c r="EL61" s="243" t="str">
        <f>IF(EB61="","",EB61*'Eval-Avec act. écol. envisagée'!$T$107)</f>
        <v/>
      </c>
      <c r="EM61" s="238" t="str">
        <f>IF(EB61="","",EB61*'Eval-Avec act. écol. envisagée'!$T$107)</f>
        <v/>
      </c>
      <c r="EN61" s="238" t="str">
        <f>IF(EB61="","",EB61*'Eval-Avec act. écol. envisagée'!$T$107)</f>
        <v/>
      </c>
      <c r="EO61" s="238" t="str">
        <f>IF(EB61="","",EB61*'Eval-Avec act. écol. envisagée'!$T$107)</f>
        <v/>
      </c>
      <c r="EP61" s="238" t="str">
        <f>IF(EB61="","",EB61*'Eval-Avec act. écol. envisagée'!$T$107)</f>
        <v/>
      </c>
      <c r="EQ61" s="238" t="str">
        <f>IF(EB61="","",EB61*'Eval-Avec act. écol. envisagée'!$T$107)</f>
        <v/>
      </c>
      <c r="ER61" s="238" t="str">
        <f>IF(EB61="","",EB61*'Eval-Avec act. écol. envisagée'!$T$107)</f>
        <v/>
      </c>
      <c r="ES61" s="237"/>
      <c r="ET61" s="237"/>
      <c r="EU61" s="239"/>
      <c r="EV61" s="240" t="str">
        <f>IF(LEN('Eval-Avec act. écol. envisagée'!$T$107)=0,"",IF('Eval-Avec act. écol. envisagée'!$T$107=0,"Site détruit (0 ha).",(IF(AND(EB61&gt;=0,EB61&lt;=0.2),CONCATENATE("Densité de fossés très importante (",ROUND(SUM('Eval-Avec act. écol. envisagée'!$N$669:$P$670)/'Eval-Avec act. écol. envisagée'!$T$107,0)," m/ha).",),""))))</f>
        <v/>
      </c>
      <c r="EW61" s="241" t="str">
        <f>(IF(AND(EB61&gt;0.2,EB61&lt;=0.4),CONCATENATE("Densité de fossés importante (",ROUND(SUM('Eval-Avec act. écol. envisagée'!$N$669:$P$670)/'Eval-Avec act. écol. envisagée'!$T$107,0)," m/ha).",),""))</f>
        <v/>
      </c>
      <c r="EX61" s="241" t="str">
        <f>(IF(AND(EB61&gt;0.4,EB61&lt;=0.6),CONCATENATE("Densité de fossés assez importante (",ROUND(SUM('Eval-Avec act. écol. envisagée'!$N$669:$P$670)/'Eval-Avec act. écol. envisagée'!$T$107,0)," m/ha).",),""))</f>
        <v/>
      </c>
      <c r="EY61" s="241" t="str">
        <f>(IF(AND(EB61&gt;0.6,EB61&lt;=0.8),CONCATENATE("Densité de fossés assez réduite (",ROUND(SUM('Eval-Avec act. écol. envisagée'!$N$669:$P$670)/'Eval-Avec act. écol. envisagée'!$T$107,0)," m/ha).",),""))</f>
        <v/>
      </c>
      <c r="EZ61" s="241" t="str">
        <f>CONCATENATE((IF(EB61=1,"Absence de fossés.","")),(IF(AND(EB61&lt;1,EB61&gt;0.8),CONCATENATE("Densité de fossés très réduite (",ROUND(SUM('Eval-Avec act. écol. envisagée'!$N$669:$P$670)/'Eval-Avec act. écol. envisagée'!$T$107,0)," m/ha).",),"")))</f>
        <v/>
      </c>
      <c r="FA61" s="246"/>
      <c r="FB61" s="243" t="str">
        <f>EB61</f>
        <v/>
      </c>
      <c r="FC61" s="244" t="str">
        <f>EL61</f>
        <v/>
      </c>
      <c r="FD61" s="245"/>
      <c r="FE61" s="1133"/>
      <c r="FF61" s="234" t="s">
        <v>79</v>
      </c>
      <c r="FG61" s="235" t="s">
        <v>140</v>
      </c>
      <c r="FH61" s="243" t="str">
        <f>IF(LEN('Eval-Après action écologique'!$T$107)=0,"",IF('Eval-Après action écologique'!$T$107=0,0,IF(SUM('Eval-Après action écologique'!$N$669,'Eval-Après action écologique'!$N$670)/('Eval-Après action écologique'!$T$107*1000)&gt;=0.28,0,1-SUM('Eval-Après action écologique'!$N$669,'Eval-Après action écologique'!$N$670)*3.56688/('Eval-Après action écologique'!$T$107*1000))))</f>
        <v/>
      </c>
      <c r="FI61" s="238" t="str">
        <f>IF(LEN('Eval-Après action écologique'!$T$107)=0,"",IF('Eval-Après action écologique'!$T$107=0,0,IF(SUM('Eval-Après action écologique'!$N$669,'Eval-Après action écologique'!$N$670)/('Eval-Après action écologique'!$T$107*1000)&gt;=0.28,0,1-SUM('Eval-Après action écologique'!$N$669,'Eval-Après action écologique'!$N$670)*3.56688/('Eval-Après action écologique'!$T$107*1000))))</f>
        <v/>
      </c>
      <c r="FJ61" s="238" t="str">
        <f>IF(LEN('Eval-Après action écologique'!$T$107)=0,"",IF('Eval-Après action écologique'!$T$107=0,0,IF(SUM('Eval-Après action écologique'!$N$669,'Eval-Après action écologique'!$N$670)/('Eval-Après action écologique'!$T$107*1000)&gt;=0.28,0,1-SUM('Eval-Après action écologique'!$N$669,'Eval-Après action écologique'!$N$670)*3.56688/('Eval-Après action écologique'!$T$107*1000))))</f>
        <v/>
      </c>
      <c r="FK61" s="238" t="str">
        <f>IF(LEN('Eval-Après action écologique'!$T$107)=0,"",IF('Eval-Après action écologique'!$T$107=0,0,IF(SUM('Eval-Après action écologique'!$N$669,'Eval-Après action écologique'!$N$670)/('Eval-Après action écologique'!$T$107*1000)&gt;=0.28,0,1-SUM('Eval-Après action écologique'!$N$669,'Eval-Après action écologique'!$N$670)*3.56688/('Eval-Après action écologique'!$T$107*1000))))</f>
        <v/>
      </c>
      <c r="FL61" s="238" t="str">
        <f>IF(LEN('Eval-Après action écologique'!$T$107)=0,"",IF('Eval-Après action écologique'!$T$107=0,0,IF(SUM('Eval-Après action écologique'!$N$669,'Eval-Après action écologique'!$N$670)/('Eval-Après action écologique'!$T$107*1000)&gt;=0.28,0,1-SUM('Eval-Après action écologique'!$N$669,'Eval-Après action écologique'!$N$670)*3.56688/('Eval-Après action écologique'!$T$107*1000))))</f>
        <v/>
      </c>
      <c r="FM61" s="238" t="str">
        <f>IF(LEN('Eval-Après action écologique'!$T$107)=0,"",IF('Eval-Après action écologique'!$T$107=0,0,IF(SUM('Eval-Après action écologique'!$N$669,'Eval-Après action écologique'!$N$670)/('Eval-Après action écologique'!$T$107*1000)&gt;=0.28,0,1-SUM('Eval-Après action écologique'!$N$669,'Eval-Après action écologique'!$N$670)*3.56688/('Eval-Après action écologique'!$T$107*1000))))</f>
        <v/>
      </c>
      <c r="FN61" s="238" t="str">
        <f>IF(LEN('Eval-Après action écologique'!$T$107)=0,"",IF('Eval-Après action écologique'!$T$107=0,0,IF(SUM('Eval-Après action écologique'!$N$669,'Eval-Après action écologique'!$N$670)/('Eval-Après action écologique'!$T$107*1000)&gt;=0.28,0,1-SUM('Eval-Après action écologique'!$N$669,'Eval-Après action écologique'!$N$670)*3.56688/('Eval-Après action écologique'!$T$107*1000))))</f>
        <v/>
      </c>
      <c r="FO61" s="237"/>
      <c r="FP61" s="237"/>
      <c r="FQ61" s="239"/>
      <c r="FR61" s="243" t="str">
        <f>IF(FH61="","",FH61*'Eval-Après action écologique'!$T$107)</f>
        <v/>
      </c>
      <c r="FS61" s="238" t="str">
        <f>IF(FH61="","",FH61*'Eval-Après action écologique'!$T$107)</f>
        <v/>
      </c>
      <c r="FT61" s="238" t="str">
        <f>IF(FH61="","",FH61*'Eval-Après action écologique'!$T$107)</f>
        <v/>
      </c>
      <c r="FU61" s="238" t="str">
        <f>IF(FH61="","",FH61*'Eval-Après action écologique'!$T$107)</f>
        <v/>
      </c>
      <c r="FV61" s="238" t="str">
        <f>IF(FH61="","",FH61*'Eval-Après action écologique'!$T$107)</f>
        <v/>
      </c>
      <c r="FW61" s="238" t="str">
        <f>IF(FH61="","",FH61*'Eval-Après action écologique'!$T$107)</f>
        <v/>
      </c>
      <c r="FX61" s="238" t="str">
        <f>IF(FH61="","",FH61*'Eval-Après action écologique'!$T$107)</f>
        <v/>
      </c>
      <c r="FY61" s="237"/>
      <c r="FZ61" s="237"/>
      <c r="GA61" s="239"/>
      <c r="GB61" s="240" t="str">
        <f>IF(LEN('Eval-Après action écologique'!$T$107)=0,"",IF('Eval-Après action écologique'!$T$107=0,"Site détruit (0 ha).",(IF(AND(FH61&gt;=0,FH61&lt;=0.2),CONCATENATE("Densité de fossés très importante (",ROUND(SUM('Eval-Après action écologique'!$N$669:$P$670)/'Eval-Après action écologique'!$T$107,0)," m/ha).",),""))))</f>
        <v/>
      </c>
      <c r="GC61" s="241" t="str">
        <f>(IF(AND(FH61&gt;0.2,FH61&lt;=0.4),CONCATENATE("Densité de fossés importante (",ROUND(SUM('Eval-Après action écologique'!$N$669:$P$670)/'Eval-Après action écologique'!$T$107,0)," m/ha).",),""))</f>
        <v/>
      </c>
      <c r="GD61" s="241" t="str">
        <f>(IF(AND(FH61&gt;0.4,FH61&lt;=0.6),CONCATENATE("Densité de fossés assez importante (",ROUND(SUM('Eval-Après action écologique'!$N$669:$P$670)/'Eval-Après action écologique'!$T$107,0)," m/ha).",),""))</f>
        <v/>
      </c>
      <c r="GE61" s="241" t="str">
        <f>(IF(AND(FH61&gt;0.6,FH61&lt;=0.8),CONCATENATE("Densité de fossés assez réduite (",ROUND(SUM('Eval-Après action écologique'!$N$669:$P$670)/'Eval-Après action écologique'!$T$107,0)," m/ha).",),""))</f>
        <v/>
      </c>
      <c r="GF61" s="241" t="str">
        <f>CONCATENATE((IF(FH61=1,"Absence de fossés.","")),(IF(AND(FH61&lt;1,FH61&gt;0.8),CONCATENATE("Densité de fossés très réduite (",ROUND(SUM('Eval-Après action écologique'!$N$669:$P$670)/'Eval-Après action écologique'!$T$107,0)," m/ha).",),"")))</f>
        <v/>
      </c>
      <c r="GG61" s="246"/>
      <c r="GH61" s="243" t="str">
        <f>FH61</f>
        <v/>
      </c>
      <c r="GI61" s="244" t="str">
        <f>FR61</f>
        <v/>
      </c>
    </row>
    <row r="62" spans="1:191" ht="31.5" customHeight="1" x14ac:dyDescent="0.2">
      <c r="A62" s="1133"/>
      <c r="B62" s="234" t="s">
        <v>80</v>
      </c>
      <c r="C62" s="235" t="s">
        <v>141</v>
      </c>
      <c r="D62" s="243" t="str">
        <f>IF(LEN('Eval-Avant impact'!$T$107)=0,"",IF('Eval-Avant impact'!$T$107=0,0,IF(SUM('Eval-Avant impact'!$T$669,'Eval-Avant impact'!$T$670)/('Eval-Avant impact'!$T$107*1000)&gt;=0.14,0,1-SUM('Eval-Avant impact'!$T$669,'Eval-Avant impact'!$T$670)*7.134/('Eval-Avant impact'!$T$107*1000))))</f>
        <v/>
      </c>
      <c r="E62" s="238" t="str">
        <f>IF(LEN('Eval-Avant impact'!$T$107)=0,"",IF('Eval-Avant impact'!$T$107=0,0,IF(SUM('Eval-Avant impact'!$T$669,'Eval-Avant impact'!$T$670)/('Eval-Avant impact'!$T$107*1000)&gt;=0.14,0,1-SUM('Eval-Avant impact'!$T$669,'Eval-Avant impact'!$T$670)*7.134/('Eval-Avant impact'!$T$107*1000))))</f>
        <v/>
      </c>
      <c r="F62" s="238" t="str">
        <f>IF(LEN('Eval-Avant impact'!$T$107)=0,"",IF('Eval-Avant impact'!$T$107=0,0,IF(SUM('Eval-Avant impact'!$T$669,'Eval-Avant impact'!$T$670)/('Eval-Avant impact'!$T$107*1000)&gt;=0.14,0,1-SUM('Eval-Avant impact'!$T$669,'Eval-Avant impact'!$T$670)*7.134/('Eval-Avant impact'!$T$107*1000))))</f>
        <v/>
      </c>
      <c r="G62" s="238" t="str">
        <f>IF(LEN('Eval-Avant impact'!$T$107)=0,"",IF('Eval-Avant impact'!$T$107=0,0,IF(SUM('Eval-Avant impact'!$T$669,'Eval-Avant impact'!$T$670)/('Eval-Avant impact'!$T$107*1000)&gt;=0.14,0,1-SUM('Eval-Avant impact'!$T$669,'Eval-Avant impact'!$T$670)*7.134/('Eval-Avant impact'!$T$107*1000))))</f>
        <v/>
      </c>
      <c r="H62" s="238" t="str">
        <f>IF(LEN('Eval-Avant impact'!$T$107)=0,"",IF('Eval-Avant impact'!$T$107=0,0,IF(SUM('Eval-Avant impact'!$T$669,'Eval-Avant impact'!$T$670)/('Eval-Avant impact'!$T$107*1000)&gt;=0.14,0,1-SUM('Eval-Avant impact'!$T$669,'Eval-Avant impact'!$T$670)*7.134/('Eval-Avant impact'!$T$107*1000))))</f>
        <v/>
      </c>
      <c r="I62" s="238" t="str">
        <f>IF(LEN('Eval-Avant impact'!$T$107)=0,"",IF('Eval-Avant impact'!$T$107=0,0,IF(SUM('Eval-Avant impact'!$T$669,'Eval-Avant impact'!$T$670)/('Eval-Avant impact'!$T$107*1000)&gt;=0.14,0,1-SUM('Eval-Avant impact'!$T$669,'Eval-Avant impact'!$T$670)*7.134/('Eval-Avant impact'!$T$107*1000))))</f>
        <v/>
      </c>
      <c r="J62" s="238" t="str">
        <f>IF(LEN('Eval-Avant impact'!$T$107)=0,"",IF('Eval-Avant impact'!$T$107=0,0,IF(SUM('Eval-Avant impact'!$T$669,'Eval-Avant impact'!$T$670)/('Eval-Avant impact'!$T$107*1000)&gt;=0.14,0,1-SUM('Eval-Avant impact'!$T$669,'Eval-Avant impact'!$T$670)*7.134/('Eval-Avant impact'!$T$107*1000))))</f>
        <v/>
      </c>
      <c r="K62" s="237"/>
      <c r="L62" s="237"/>
      <c r="M62" s="239"/>
      <c r="N62" s="243" t="str">
        <f>IF(D62="","",D62*'Eval-Avant impact'!$T$107)</f>
        <v/>
      </c>
      <c r="O62" s="238" t="str">
        <f>IF(D62="","",D62*'Eval-Avant impact'!$T$107)</f>
        <v/>
      </c>
      <c r="P62" s="238" t="str">
        <f>IF(D62="","",D62*'Eval-Avant impact'!$T$107)</f>
        <v/>
      </c>
      <c r="Q62" s="238" t="str">
        <f>IF(D62="","",D62*'Eval-Avant impact'!$T$107)</f>
        <v/>
      </c>
      <c r="R62" s="238" t="str">
        <f>IF(D62="","",D62*'Eval-Avant impact'!$T$107)</f>
        <v/>
      </c>
      <c r="S62" s="238" t="str">
        <f>IF(D62="","",D62*'Eval-Avant impact'!$T$107)</f>
        <v/>
      </c>
      <c r="T62" s="238" t="str">
        <f>IF(D62="","",D62*'Eval-Avant impact'!$T$107)</f>
        <v/>
      </c>
      <c r="U62" s="237"/>
      <c r="V62" s="237"/>
      <c r="W62" s="239"/>
      <c r="X62" s="240" t="str">
        <f>IF(LEN('Eval-Avant impact'!$T$107)=0,"",IF('Eval-Avant impact'!$T$107=0,"Site détruit (0 ha).",(IF(AND(D62&gt;=0,D62&lt;=0.2),CONCATENATE("Densité de fossés profonds très importante (",ROUND(SUM('Eval-Avant impact'!$T$669:$W$670)/'Eval-Avant impact'!$T$107,0)," m/ha).",),""))))</f>
        <v/>
      </c>
      <c r="Y62" s="241" t="str">
        <f>(IF(AND(D62&gt;0.2,D62&lt;=0.4),CONCATENATE("Densité de fossés profonds importante (",ROUND(SUM('Eval-Avant impact'!$T$669:$W$670)/'Eval-Avant impact'!$T$107,0)," m/ha).",),""))</f>
        <v/>
      </c>
      <c r="Z62" s="241" t="str">
        <f>(IF(AND(D62&gt;0.4,D62&lt;=0.6),CONCATENATE("Densité de fossés profonds assez importante (",ROUND(SUM('Eval-Avant impact'!$T$669:$W$670)/'Eval-Avant impact'!$T$107,0)," m/ha).",),""))</f>
        <v/>
      </c>
      <c r="AA62" s="241" t="str">
        <f>(IF(AND(D62&gt;0.6,D62&lt;=0.8),CONCATENATE("Densité de fossés profonds assez réduite (",ROUND(SUM('Eval-Avant impact'!$T$669:$W$670)/'Eval-Avant impact'!$T$107,0)," m/ha).",),""))</f>
        <v/>
      </c>
      <c r="AB62" s="241" t="str">
        <f>CONCATENATE((IF(D62=1,"Absence de fossés profonds.","")),(IF(AND(D62&lt;1,D62&gt;0.8),CONCATENATE("Densité de fossés profonds très réduite (",ROUND(SUM('Eval-Avant impact'!$T$669:$W$670)/'Eval-Avant impact'!$T$107,0)," m/ha).",),"")))</f>
        <v/>
      </c>
      <c r="AC62" s="246"/>
      <c r="AD62" s="243" t="str">
        <f>D62</f>
        <v/>
      </c>
      <c r="AE62" s="244" t="str">
        <f>N62</f>
        <v/>
      </c>
      <c r="AF62" s="245"/>
      <c r="AG62" s="1133"/>
      <c r="AH62" s="234" t="s">
        <v>80</v>
      </c>
      <c r="AI62" s="235" t="s">
        <v>141</v>
      </c>
      <c r="AJ62" s="243" t="str">
        <f>IF(LEN('Eval-Avec impact envisagé'!$T$107)=0,"",IF('Eval-Avec impact envisagé'!$T$107=0,0,IF(SUM('Eval-Avec impact envisagé'!$T$669,'Eval-Avec impact envisagé'!$T$670)/('Eval-Avec impact envisagé'!$T$107*1000)&gt;=0.14,0,1-SUM('Eval-Avec impact envisagé'!$T$669,'Eval-Avec impact envisagé'!$T$670)*7.134/('Eval-Avec impact envisagé'!$T$107*1000))))</f>
        <v/>
      </c>
      <c r="AK62" s="238" t="str">
        <f>IF(LEN('Eval-Avec impact envisagé'!$T$107)=0,"",IF('Eval-Avec impact envisagé'!$T$107=0,0,IF(SUM('Eval-Avec impact envisagé'!$T$669,'Eval-Avec impact envisagé'!$T$670)/('Eval-Avec impact envisagé'!$T$107*1000)&gt;=0.14,0,1-SUM('Eval-Avec impact envisagé'!$T$669,'Eval-Avec impact envisagé'!$T$670)*7.134/('Eval-Avec impact envisagé'!$T$107*1000))))</f>
        <v/>
      </c>
      <c r="AL62" s="238" t="str">
        <f>IF(LEN('Eval-Avec impact envisagé'!$T$107)=0,"",IF('Eval-Avec impact envisagé'!$T$107=0,0,IF(SUM('Eval-Avec impact envisagé'!$T$669,'Eval-Avec impact envisagé'!$T$670)/('Eval-Avec impact envisagé'!$T$107*1000)&gt;=0.14,0,1-SUM('Eval-Avec impact envisagé'!$T$669,'Eval-Avec impact envisagé'!$T$670)*7.134/('Eval-Avec impact envisagé'!$T$107*1000))))</f>
        <v/>
      </c>
      <c r="AM62" s="238" t="str">
        <f>IF(LEN('Eval-Avec impact envisagé'!$T$107)=0,"",IF('Eval-Avec impact envisagé'!$T$107=0,0,IF(SUM('Eval-Avec impact envisagé'!$T$669,'Eval-Avec impact envisagé'!$T$670)/('Eval-Avec impact envisagé'!$T$107*1000)&gt;=0.14,0,1-SUM('Eval-Avec impact envisagé'!$T$669,'Eval-Avec impact envisagé'!$T$670)*7.134/('Eval-Avec impact envisagé'!$T$107*1000))))</f>
        <v/>
      </c>
      <c r="AN62" s="238" t="str">
        <f>IF(LEN('Eval-Avec impact envisagé'!$T$107)=0,"",IF('Eval-Avec impact envisagé'!$T$107=0,0,IF(SUM('Eval-Avec impact envisagé'!$T$669,'Eval-Avec impact envisagé'!$T$670)/('Eval-Avec impact envisagé'!$T$107*1000)&gt;=0.14,0,1-SUM('Eval-Avec impact envisagé'!$T$669,'Eval-Avec impact envisagé'!$T$670)*7.134/('Eval-Avec impact envisagé'!$T$107*1000))))</f>
        <v/>
      </c>
      <c r="AO62" s="238" t="str">
        <f>IF(LEN('Eval-Avec impact envisagé'!$T$107)=0,"",IF('Eval-Avec impact envisagé'!$T$107=0,0,IF(SUM('Eval-Avec impact envisagé'!$T$669,'Eval-Avec impact envisagé'!$T$670)/('Eval-Avec impact envisagé'!$T$107*1000)&gt;=0.14,0,1-SUM('Eval-Avec impact envisagé'!$T$669,'Eval-Avec impact envisagé'!$T$670)*7.134/('Eval-Avec impact envisagé'!$T$107*1000))))</f>
        <v/>
      </c>
      <c r="AP62" s="238" t="str">
        <f>IF(LEN('Eval-Avec impact envisagé'!$T$107)=0,"",IF('Eval-Avec impact envisagé'!$T$107=0,0,IF(SUM('Eval-Avec impact envisagé'!$T$669,'Eval-Avec impact envisagé'!$T$670)/('Eval-Avec impact envisagé'!$T$107*1000)&gt;=0.14,0,1-SUM('Eval-Avec impact envisagé'!$T$669,'Eval-Avec impact envisagé'!$T$670)*7.134/('Eval-Avec impact envisagé'!$T$107*1000))))</f>
        <v/>
      </c>
      <c r="AQ62" s="237"/>
      <c r="AR62" s="237"/>
      <c r="AS62" s="239"/>
      <c r="AT62" s="243" t="str">
        <f>IF(AJ62="","",AJ62*'Eval-Avec impact envisagé'!$T$107)</f>
        <v/>
      </c>
      <c r="AU62" s="238" t="str">
        <f>IF(AJ62="","",AJ62*'Eval-Avec impact envisagé'!$T$107)</f>
        <v/>
      </c>
      <c r="AV62" s="238" t="str">
        <f>IF(AJ62="","",AJ62*'Eval-Avec impact envisagé'!$T$107)</f>
        <v/>
      </c>
      <c r="AW62" s="238" t="str">
        <f>IF(AJ62="","",AJ62*'Eval-Avec impact envisagé'!$T$107)</f>
        <v/>
      </c>
      <c r="AX62" s="238" t="str">
        <f>IF(AJ62="","",AJ62*'Eval-Avec impact envisagé'!$T$107)</f>
        <v/>
      </c>
      <c r="AY62" s="238" t="str">
        <f>IF(AJ62="","",AJ62*'Eval-Avec impact envisagé'!$T$107)</f>
        <v/>
      </c>
      <c r="AZ62" s="238" t="str">
        <f>IF(AJ62="","",AJ62*'Eval-Avec impact envisagé'!$T$107)</f>
        <v/>
      </c>
      <c r="BA62" s="237"/>
      <c r="BB62" s="237"/>
      <c r="BC62" s="239"/>
      <c r="BD62" s="240" t="str">
        <f>IF(LEN('Eval-Avec impact envisagé'!$T$107)=0,"",IF('Eval-Avec impact envisagé'!$T$107=0,"Site détruit (0 ha).",(IF(AND(AJ62&gt;=0,AJ62&lt;=0.2),CONCATENATE("Densité de fossés profonds très importante (",ROUND(SUM('Eval-Avec impact envisagé'!$T$669:$W$670)/'Eval-Avec impact envisagé'!$T$107,0)," m/ha).",),""))))</f>
        <v/>
      </c>
      <c r="BE62" s="241" t="str">
        <f>(IF(AND(AJ62&gt;0.2,AJ62&lt;=0.4),CONCATENATE("Densité de fossés profonds importante (",ROUND(SUM('Eval-Avec impact envisagé'!$T$669:$W$670)/'Eval-Avec impact envisagé'!$T$107,0)," m/ha).",),""))</f>
        <v/>
      </c>
      <c r="BF62" s="241" t="str">
        <f>(IF(AND(AJ62&gt;0.4,AJ62&lt;=0.6),CONCATENATE("Densité de fossés profonds assez importante (",ROUND(SUM('Eval-Avec impact envisagé'!$T$669:$W$670)/'Eval-Avec impact envisagé'!$T$107,0)," m/ha).",),""))</f>
        <v/>
      </c>
      <c r="BG62" s="241" t="str">
        <f>(IF(AND(AJ62&gt;0.6,AJ62&lt;=0.8),CONCATENATE("Densité de fossés profonds assez réduite (",ROUND(SUM('Eval-Avec impact envisagé'!$T$669:$W$670)/'Eval-Avec impact envisagé'!$T$107,0)," m/ha).",),""))</f>
        <v/>
      </c>
      <c r="BH62" s="241" t="str">
        <f>CONCATENATE((IF(AJ62=1,"Absence de fossés profonds.","")),(IF(AND(AJ62&lt;1,AJ62&gt;0.8),CONCATENATE("Densité de fossés profonds très réduite (",ROUND(SUM('Eval-Avec impact envisagé'!$T$669:$W$670)/'Eval-Avec impact envisagé'!$T$107,0)," m/ha).",),"")))</f>
        <v/>
      </c>
      <c r="BI62" s="246"/>
      <c r="BJ62" s="243" t="str">
        <f>AJ62</f>
        <v/>
      </c>
      <c r="BK62" s="244" t="str">
        <f>AT62</f>
        <v/>
      </c>
      <c r="BL62" s="245"/>
      <c r="BM62" s="1133"/>
      <c r="BN62" s="234" t="s">
        <v>80</v>
      </c>
      <c r="BO62" s="235" t="s">
        <v>141</v>
      </c>
      <c r="BP62" s="243" t="str">
        <f>IF(LEN('Eval-Après impact'!$T$107)=0,"",IF('Eval-Après impact'!$T$107=0,0,IF(SUM('Eval-Après impact'!$T$669,'Eval-Après impact'!$T$670)/('Eval-Après impact'!$T$107*1000)&gt;=0.14,0,1-SUM('Eval-Après impact'!$T$669,'Eval-Après impact'!$T$670)*7.134/('Eval-Après impact'!$T$107*1000))))</f>
        <v/>
      </c>
      <c r="BQ62" s="238" t="str">
        <f>IF(LEN('Eval-Après impact'!$T$107)=0,"",IF('Eval-Après impact'!$T$107=0,0,IF(SUM('Eval-Après impact'!$T$669,'Eval-Après impact'!$T$670)/('Eval-Après impact'!$T$107*1000)&gt;=0.14,0,1-SUM('Eval-Après impact'!$T$669,'Eval-Après impact'!$T$670)*7.134/('Eval-Après impact'!$T$107*1000))))</f>
        <v/>
      </c>
      <c r="BR62" s="238" t="str">
        <f>IF(LEN('Eval-Après impact'!$T$107)=0,"",IF('Eval-Après impact'!$T$107=0,0,IF(SUM('Eval-Après impact'!$T$669,'Eval-Après impact'!$T$670)/('Eval-Après impact'!$T$107*1000)&gt;=0.14,0,1-SUM('Eval-Après impact'!$T$669,'Eval-Après impact'!$T$670)*7.134/('Eval-Après impact'!$T$107*1000))))</f>
        <v/>
      </c>
      <c r="BS62" s="238" t="str">
        <f>IF(LEN('Eval-Après impact'!$T$107)=0,"",IF('Eval-Après impact'!$T$107=0,0,IF(SUM('Eval-Après impact'!$T$669,'Eval-Après impact'!$T$670)/('Eval-Après impact'!$T$107*1000)&gt;=0.14,0,1-SUM('Eval-Après impact'!$T$669,'Eval-Après impact'!$T$670)*7.134/('Eval-Après impact'!$T$107*1000))))</f>
        <v/>
      </c>
      <c r="BT62" s="238" t="str">
        <f>IF(LEN('Eval-Après impact'!$T$107)=0,"",IF('Eval-Après impact'!$T$107=0,0,IF(SUM('Eval-Après impact'!$T$669,'Eval-Après impact'!$T$670)/('Eval-Après impact'!$T$107*1000)&gt;=0.14,0,1-SUM('Eval-Après impact'!$T$669,'Eval-Après impact'!$T$670)*7.134/('Eval-Après impact'!$T$107*1000))))</f>
        <v/>
      </c>
      <c r="BU62" s="238" t="str">
        <f>IF(LEN('Eval-Après impact'!$T$107)=0,"",IF('Eval-Après impact'!$T$107=0,0,IF(SUM('Eval-Après impact'!$T$669,'Eval-Après impact'!$T$670)/('Eval-Après impact'!$T$107*1000)&gt;=0.14,0,1-SUM('Eval-Après impact'!$T$669,'Eval-Après impact'!$T$670)*7.134/('Eval-Après impact'!$T$107*1000))))</f>
        <v/>
      </c>
      <c r="BV62" s="238" t="str">
        <f>IF(LEN('Eval-Après impact'!$T$107)=0,"",IF('Eval-Après impact'!$T$107=0,0,IF(SUM('Eval-Après impact'!$T$669,'Eval-Après impact'!$T$670)/('Eval-Après impact'!$T$107*1000)&gt;=0.14,0,1-SUM('Eval-Après impact'!$T$669,'Eval-Après impact'!$T$670)*7.134/('Eval-Après impact'!$T$107*1000))))</f>
        <v/>
      </c>
      <c r="BW62" s="237"/>
      <c r="BX62" s="237"/>
      <c r="BY62" s="239"/>
      <c r="BZ62" s="243" t="str">
        <f>IF(BP62="","",BP62*'Eval-Après impact'!$T$107)</f>
        <v/>
      </c>
      <c r="CA62" s="238" t="str">
        <f>IF(BP62="","",BP62*'Eval-Après impact'!$T$107)</f>
        <v/>
      </c>
      <c r="CB62" s="238" t="str">
        <f>IF(BP62="","",BP62*'Eval-Après impact'!$T$107)</f>
        <v/>
      </c>
      <c r="CC62" s="238" t="str">
        <f>IF(BP62="","",BP62*'Eval-Après impact'!$T$107)</f>
        <v/>
      </c>
      <c r="CD62" s="238" t="str">
        <f>IF(BP62="","",BP62*'Eval-Après impact'!$T$107)</f>
        <v/>
      </c>
      <c r="CE62" s="238" t="str">
        <f>IF(BP62="","",BP62*'Eval-Après impact'!$T$107)</f>
        <v/>
      </c>
      <c r="CF62" s="238" t="str">
        <f>IF(BP62="","",BP62*'Eval-Après impact'!$T$107)</f>
        <v/>
      </c>
      <c r="CG62" s="237"/>
      <c r="CH62" s="237"/>
      <c r="CI62" s="239"/>
      <c r="CJ62" s="240" t="str">
        <f>IF(LEN('Eval-Après impact'!$T$107)=0,"",IF('Eval-Après impact'!$T$107=0,"Site détruit (0 ha).",(IF(AND(BP62&gt;=0,BP62&lt;=0.2),CONCATENATE("Densité de fossés profonds très importante (",ROUND(SUM('Eval-Après impact'!$T$669:$W$670)/'Eval-Après impact'!$T$107,0)," m/ha).",),""))))</f>
        <v/>
      </c>
      <c r="CK62" s="241" t="str">
        <f>(IF(AND(BP62&gt;0.2,BP62&lt;=0.4),CONCATENATE("Densité de fossés profonds importante (",ROUND(SUM('Eval-Après impact'!$T$669:$W$670)/'Eval-Après impact'!$T$107,0)," m/ha).",),""))</f>
        <v/>
      </c>
      <c r="CL62" s="241" t="str">
        <f>(IF(AND(BP62&gt;0.4,BP62&lt;=0.6),CONCATENATE("Densité de fossés profonds assez importante (",ROUND(SUM('Eval-Après impact'!$T$669:$W$670)/'Eval-Après impact'!$T$107,0)," m/ha).",),""))</f>
        <v/>
      </c>
      <c r="CM62" s="241" t="str">
        <f>(IF(AND(BP62&gt;0.6,BP62&lt;=0.8),CONCATENATE("Densité de fossés profonds assez réduite (",ROUND(SUM('Eval-Après impact'!$T$669:$W$670)/'Eval-Après impact'!$T$107,0)," m/ha).",),""))</f>
        <v/>
      </c>
      <c r="CN62" s="241" t="str">
        <f>CONCATENATE((IF(BP62=1,"Absence de fossés profonds.","")),(IF(AND(BP62&lt;1,BP62&gt;0.8),CONCATENATE("Densité de fossés profonds très réduite (",ROUND(SUM('Eval-Après impact'!$T$669:$W$670)/'Eval-Après impact'!$T$107,0)," m/ha).",),"")))</f>
        <v/>
      </c>
      <c r="CO62" s="246"/>
      <c r="CP62" s="243" t="str">
        <f>BP62</f>
        <v/>
      </c>
      <c r="CQ62" s="244" t="str">
        <f>BZ62</f>
        <v/>
      </c>
      <c r="CR62" s="245"/>
      <c r="CS62" s="1133"/>
      <c r="CT62" s="234" t="s">
        <v>80</v>
      </c>
      <c r="CU62" s="235" t="s">
        <v>141</v>
      </c>
      <c r="CV62" s="243" t="str">
        <f>IF(LEN('Eval-Avant action écologique'!$T$107)=0,"",IF('Eval-Avant action écologique'!$T$107=0,0,IF(SUM('Eval-Avant action écologique'!$T$669,'Eval-Avant action écologique'!$T$670)/('Eval-Avant action écologique'!$T$107*1000)&gt;=0.14,0,1-SUM('Eval-Avant action écologique'!$T$669,'Eval-Avant action écologique'!$T$670)*7.134/('Eval-Avant action écologique'!$T$107*1000))))</f>
        <v/>
      </c>
      <c r="CW62" s="238" t="str">
        <f>IF(LEN('Eval-Avant action écologique'!$T$107)=0,"",IF('Eval-Avant action écologique'!$T$107=0,0,IF(SUM('Eval-Avant action écologique'!$T$669,'Eval-Avant action écologique'!$T$670)/('Eval-Avant action écologique'!$T$107*1000)&gt;=0.14,0,1-SUM('Eval-Avant action écologique'!$T$669,'Eval-Avant action écologique'!$T$670)*7.134/('Eval-Avant action écologique'!$T$107*1000))))</f>
        <v/>
      </c>
      <c r="CX62" s="238" t="str">
        <f>IF(LEN('Eval-Avant action écologique'!$T$107)=0,"",IF('Eval-Avant action écologique'!$T$107=0,0,IF(SUM('Eval-Avant action écologique'!$T$669,'Eval-Avant action écologique'!$T$670)/('Eval-Avant action écologique'!$T$107*1000)&gt;=0.14,0,1-SUM('Eval-Avant action écologique'!$T$669,'Eval-Avant action écologique'!$T$670)*7.134/('Eval-Avant action écologique'!$T$107*1000))))</f>
        <v/>
      </c>
      <c r="CY62" s="238" t="str">
        <f>IF(LEN('Eval-Avant action écologique'!$T$107)=0,"",IF('Eval-Avant action écologique'!$T$107=0,0,IF(SUM('Eval-Avant action écologique'!$T$669,'Eval-Avant action écologique'!$T$670)/('Eval-Avant action écologique'!$T$107*1000)&gt;=0.14,0,1-SUM('Eval-Avant action écologique'!$T$669,'Eval-Avant action écologique'!$T$670)*7.134/('Eval-Avant action écologique'!$T$107*1000))))</f>
        <v/>
      </c>
      <c r="CZ62" s="238" t="str">
        <f>IF(LEN('Eval-Avant action écologique'!$T$107)=0,"",IF('Eval-Avant action écologique'!$T$107=0,0,IF(SUM('Eval-Avant action écologique'!$T$669,'Eval-Avant action écologique'!$T$670)/('Eval-Avant action écologique'!$T$107*1000)&gt;=0.14,0,1-SUM('Eval-Avant action écologique'!$T$669,'Eval-Avant action écologique'!$T$670)*7.134/('Eval-Avant action écologique'!$T$107*1000))))</f>
        <v/>
      </c>
      <c r="DA62" s="238" t="str">
        <f>IF(LEN('Eval-Avant action écologique'!$T$107)=0,"",IF('Eval-Avant action écologique'!$T$107=0,0,IF(SUM('Eval-Avant action écologique'!$T$669,'Eval-Avant action écologique'!$T$670)/('Eval-Avant action écologique'!$T$107*1000)&gt;=0.14,0,1-SUM('Eval-Avant action écologique'!$T$669,'Eval-Avant action écologique'!$T$670)*7.134/('Eval-Avant action écologique'!$T$107*1000))))</f>
        <v/>
      </c>
      <c r="DB62" s="238" t="str">
        <f>IF(LEN('Eval-Avant action écologique'!$T$107)=0,"",IF('Eval-Avant action écologique'!$T$107=0,0,IF(SUM('Eval-Avant action écologique'!$T$669,'Eval-Avant action écologique'!$T$670)/('Eval-Avant action écologique'!$T$107*1000)&gt;=0.14,0,1-SUM('Eval-Avant action écologique'!$T$669,'Eval-Avant action écologique'!$T$670)*7.134/('Eval-Avant action écologique'!$T$107*1000))))</f>
        <v/>
      </c>
      <c r="DC62" s="237"/>
      <c r="DD62" s="237"/>
      <c r="DE62" s="239"/>
      <c r="DF62" s="243" t="str">
        <f>IF(CV62="","",CV62*'Eval-Avant action écologique'!$T$107)</f>
        <v/>
      </c>
      <c r="DG62" s="238" t="str">
        <f>IF(CV62="","",CV62*'Eval-Avant action écologique'!$T$107)</f>
        <v/>
      </c>
      <c r="DH62" s="238" t="str">
        <f>IF(CV62="","",CV62*'Eval-Avant action écologique'!$T$107)</f>
        <v/>
      </c>
      <c r="DI62" s="238" t="str">
        <f>IF(CV62="","",CV62*'Eval-Avant action écologique'!$T$107)</f>
        <v/>
      </c>
      <c r="DJ62" s="238" t="str">
        <f>IF(CV62="","",CV62*'Eval-Avant action écologique'!$T$107)</f>
        <v/>
      </c>
      <c r="DK62" s="238" t="str">
        <f>IF(CV62="","",CV62*'Eval-Avant action écologique'!$T$107)</f>
        <v/>
      </c>
      <c r="DL62" s="238" t="str">
        <f>IF(CV62="","",CV62*'Eval-Avant action écologique'!$T$107)</f>
        <v/>
      </c>
      <c r="DM62" s="237"/>
      <c r="DN62" s="237"/>
      <c r="DO62" s="239"/>
      <c r="DP62" s="240" t="str">
        <f>IF(LEN('Eval-Avant action écologique'!$T$107)=0,"",IF('Eval-Avant action écologique'!$T$107=0,"Site détruit (0 ha).",(IF(AND(CV62&gt;=0,CV62&lt;=0.2),CONCATENATE("Densité de fossés profonds très importante (",ROUND(SUM('Eval-Avant action écologique'!$T$669:$W$670)/'Eval-Avant action écologique'!$T$107,0)," m/ha).",),""))))</f>
        <v/>
      </c>
      <c r="DQ62" s="241" t="str">
        <f>(IF(AND(CV62&gt;0.2,CV62&lt;=0.4),CONCATENATE("Densité de fossés profonds importante (",ROUND(SUM('Eval-Avant action écologique'!$T$669:$W$670)/'Eval-Avant action écologique'!$T$107,0)," m/ha).",),""))</f>
        <v/>
      </c>
      <c r="DR62" s="241" t="str">
        <f>(IF(AND(CV62&gt;0.4,CV62&lt;=0.6),CONCATENATE("Densité de fossés profonds assez importante (",ROUND(SUM('Eval-Avant action écologique'!$T$669:$W$670)/'Eval-Avant action écologique'!$T$107,0)," m/ha).",),""))</f>
        <v/>
      </c>
      <c r="DS62" s="241" t="str">
        <f>(IF(AND(CV62&gt;0.6,CV62&lt;=0.8),CONCATENATE("Densité de fossés profonds assez réduite (",ROUND(SUM('Eval-Avant action écologique'!$T$669:$W$670)/'Eval-Avant action écologique'!$T$107,0)," m/ha).",),""))</f>
        <v/>
      </c>
      <c r="DT62" s="241" t="str">
        <f>CONCATENATE((IF(CV62=1,"Absence de fossés profonds.","")),(IF(AND(CV62&lt;1,CV62&gt;0.8),CONCATENATE("Densité de fossés profonds très réduite (",ROUND(SUM('Eval-Avant action écologique'!$T$669:$W$670)/'Eval-Avant action écologique'!$T$107,0)," m/ha).",),"")))</f>
        <v/>
      </c>
      <c r="DU62" s="246"/>
      <c r="DV62" s="243" t="str">
        <f>CV62</f>
        <v/>
      </c>
      <c r="DW62" s="244" t="str">
        <f>DF62</f>
        <v/>
      </c>
      <c r="DX62" s="245"/>
      <c r="DY62" s="1133"/>
      <c r="DZ62" s="234" t="s">
        <v>80</v>
      </c>
      <c r="EA62" s="235" t="s">
        <v>141</v>
      </c>
      <c r="EB62" s="243" t="str">
        <f>IF(LEN('Eval-Avec act. écol. envisagée'!$T$107)=0,"",IF('Eval-Avec act. écol. envisagée'!$T$107=0,0,IF(SUM('Eval-Avec act. écol. envisagée'!$T$669,'Eval-Avec act. écol. envisagée'!$T$670)/('Eval-Avec act. écol. envisagée'!$T$107*1000)&gt;=0.14,0,1-SUM('Eval-Avec act. écol. envisagée'!$T$669,'Eval-Avec act. écol. envisagée'!$T$670)*7.134/('Eval-Avec act. écol. envisagée'!$T$107*1000))))</f>
        <v/>
      </c>
      <c r="EC62" s="238" t="str">
        <f>IF(LEN('Eval-Avec act. écol. envisagée'!$T$107)=0,"",IF('Eval-Avec act. écol. envisagée'!$T$107=0,0,IF(SUM('Eval-Avec act. écol. envisagée'!$T$669,'Eval-Avec act. écol. envisagée'!$T$670)/('Eval-Avec act. écol. envisagée'!$T$107*1000)&gt;=0.14,0,1-SUM('Eval-Avec act. écol. envisagée'!$T$669,'Eval-Avec act. écol. envisagée'!$T$670)*7.134/('Eval-Avec act. écol. envisagée'!$T$107*1000))))</f>
        <v/>
      </c>
      <c r="ED62" s="238" t="str">
        <f>IF(LEN('Eval-Avec act. écol. envisagée'!$T$107)=0,"",IF('Eval-Avec act. écol. envisagée'!$T$107=0,0,IF(SUM('Eval-Avec act. écol. envisagée'!$T$669,'Eval-Avec act. écol. envisagée'!$T$670)/('Eval-Avec act. écol. envisagée'!$T$107*1000)&gt;=0.14,0,1-SUM('Eval-Avec act. écol. envisagée'!$T$669,'Eval-Avec act. écol. envisagée'!$T$670)*7.134/('Eval-Avec act. écol. envisagée'!$T$107*1000))))</f>
        <v/>
      </c>
      <c r="EE62" s="238" t="str">
        <f>IF(LEN('Eval-Avec act. écol. envisagée'!$T$107)=0,"",IF('Eval-Avec act. écol. envisagée'!$T$107=0,0,IF(SUM('Eval-Avec act. écol. envisagée'!$T$669,'Eval-Avec act. écol. envisagée'!$T$670)/('Eval-Avec act. écol. envisagée'!$T$107*1000)&gt;=0.14,0,1-SUM('Eval-Avec act. écol. envisagée'!$T$669,'Eval-Avec act. écol. envisagée'!$T$670)*7.134/('Eval-Avec act. écol. envisagée'!$T$107*1000))))</f>
        <v/>
      </c>
      <c r="EF62" s="238" t="str">
        <f>IF(LEN('Eval-Avec act. écol. envisagée'!$T$107)=0,"",IF('Eval-Avec act. écol. envisagée'!$T$107=0,0,IF(SUM('Eval-Avec act. écol. envisagée'!$T$669,'Eval-Avec act. écol. envisagée'!$T$670)/('Eval-Avec act. écol. envisagée'!$T$107*1000)&gt;=0.14,0,1-SUM('Eval-Avec act. écol. envisagée'!$T$669,'Eval-Avec act. écol. envisagée'!$T$670)*7.134/('Eval-Avec act. écol. envisagée'!$T$107*1000))))</f>
        <v/>
      </c>
      <c r="EG62" s="238" t="str">
        <f>IF(LEN('Eval-Avec act. écol. envisagée'!$T$107)=0,"",IF('Eval-Avec act. écol. envisagée'!$T$107=0,0,IF(SUM('Eval-Avec act. écol. envisagée'!$T$669,'Eval-Avec act. écol. envisagée'!$T$670)/('Eval-Avec act. écol. envisagée'!$T$107*1000)&gt;=0.14,0,1-SUM('Eval-Avec act. écol. envisagée'!$T$669,'Eval-Avec act. écol. envisagée'!$T$670)*7.134/('Eval-Avec act. écol. envisagée'!$T$107*1000))))</f>
        <v/>
      </c>
      <c r="EH62" s="238" t="str">
        <f>IF(LEN('Eval-Avec act. écol. envisagée'!$T$107)=0,"",IF('Eval-Avec act. écol. envisagée'!$T$107=0,0,IF(SUM('Eval-Avec act. écol. envisagée'!$T$669,'Eval-Avec act. écol. envisagée'!$T$670)/('Eval-Avec act. écol. envisagée'!$T$107*1000)&gt;=0.14,0,1-SUM('Eval-Avec act. écol. envisagée'!$T$669,'Eval-Avec act. écol. envisagée'!$T$670)*7.134/('Eval-Avec act. écol. envisagée'!$T$107*1000))))</f>
        <v/>
      </c>
      <c r="EI62" s="237"/>
      <c r="EJ62" s="237"/>
      <c r="EK62" s="239"/>
      <c r="EL62" s="243" t="str">
        <f>IF(EB62="","",EB62*'Eval-Avec act. écol. envisagée'!$T$107)</f>
        <v/>
      </c>
      <c r="EM62" s="238" t="str">
        <f>IF(EB62="","",EB62*'Eval-Avec act. écol. envisagée'!$T$107)</f>
        <v/>
      </c>
      <c r="EN62" s="238" t="str">
        <f>IF(EB62="","",EB62*'Eval-Avec act. écol. envisagée'!$T$107)</f>
        <v/>
      </c>
      <c r="EO62" s="238" t="str">
        <f>IF(EB62="","",EB62*'Eval-Avec act. écol. envisagée'!$T$107)</f>
        <v/>
      </c>
      <c r="EP62" s="238" t="str">
        <f>IF(EB62="","",EB62*'Eval-Avec act. écol. envisagée'!$T$107)</f>
        <v/>
      </c>
      <c r="EQ62" s="238" t="str">
        <f>IF(EB62="","",EB62*'Eval-Avec act. écol. envisagée'!$T$107)</f>
        <v/>
      </c>
      <c r="ER62" s="238" t="str">
        <f>IF(EB62="","",EB62*'Eval-Avec act. écol. envisagée'!$T$107)</f>
        <v/>
      </c>
      <c r="ES62" s="237"/>
      <c r="ET62" s="237"/>
      <c r="EU62" s="239"/>
      <c r="EV62" s="240" t="str">
        <f>IF(LEN('Eval-Avec act. écol. envisagée'!$T$107)=0,"",IF('Eval-Avec act. écol. envisagée'!$T$107=0,"Site détruit (0 ha).",(IF(AND(EB62&gt;=0,EB62&lt;=0.2),CONCATENATE("Densité de fossés profonds très importante (",ROUND(SUM('Eval-Avec act. écol. envisagée'!$T$669:$W$670)/'Eval-Avec act. écol. envisagée'!$T$107,0)," m/ha).",),""))))</f>
        <v/>
      </c>
      <c r="EW62" s="241" t="str">
        <f>(IF(AND(EB62&gt;0.2,EB62&lt;=0.4),CONCATENATE("Densité de fossés profonds importante (",ROUND(SUM('Eval-Avec act. écol. envisagée'!$T$669:$W$670)/'Eval-Avec act. écol. envisagée'!$T$107,0)," m/ha).",),""))</f>
        <v/>
      </c>
      <c r="EX62" s="241" t="str">
        <f>(IF(AND(EB62&gt;0.4,EB62&lt;=0.6),CONCATENATE("Densité de fossés profonds assez importante (",ROUND(SUM('Eval-Avec act. écol. envisagée'!$T$669:$W$670)/'Eval-Avec act. écol. envisagée'!$T$107,0)," m/ha).",),""))</f>
        <v/>
      </c>
      <c r="EY62" s="241" t="str">
        <f>(IF(AND(EB62&gt;0.6,EB62&lt;=0.8),CONCATENATE("Densité de fossés profonds assez réduite (",ROUND(SUM('Eval-Avec act. écol. envisagée'!$T$669:$W$670)/'Eval-Avec act. écol. envisagée'!$T$107,0)," m/ha).",),""))</f>
        <v/>
      </c>
      <c r="EZ62" s="241" t="str">
        <f>CONCATENATE((IF(EB62=1,"Absence de fossés profonds.","")),(IF(AND(EB62&lt;1,EB62&gt;0.8),CONCATENATE("Densité de fossés profonds très réduite (",ROUND(SUM('Eval-Avec act. écol. envisagée'!$T$669:$W$670)/'Eval-Avec act. écol. envisagée'!$T$107,0)," m/ha).",),"")))</f>
        <v/>
      </c>
      <c r="FA62" s="246"/>
      <c r="FB62" s="243" t="str">
        <f>EB62</f>
        <v/>
      </c>
      <c r="FC62" s="244" t="str">
        <f>EL62</f>
        <v/>
      </c>
      <c r="FD62" s="245"/>
      <c r="FE62" s="1133"/>
      <c r="FF62" s="234" t="s">
        <v>80</v>
      </c>
      <c r="FG62" s="235" t="s">
        <v>141</v>
      </c>
      <c r="FH62" s="243" t="str">
        <f>IF(LEN('Eval-Après action écologique'!$T$107)=0,"",IF('Eval-Après action écologique'!$T$107=0,0,IF(SUM('Eval-Après action écologique'!$T$669,'Eval-Après action écologique'!$T$670)/('Eval-Après action écologique'!$T$107*1000)&gt;=0.14,0,1-SUM('Eval-Après action écologique'!$T$669,'Eval-Après action écologique'!$T$670)*7.134/('Eval-Après action écologique'!$T$107*1000))))</f>
        <v/>
      </c>
      <c r="FI62" s="238" t="str">
        <f>IF(LEN('Eval-Après action écologique'!$T$107)=0,"",IF('Eval-Après action écologique'!$T$107=0,0,IF(SUM('Eval-Après action écologique'!$T$669,'Eval-Après action écologique'!$T$670)/('Eval-Après action écologique'!$T$107*1000)&gt;=0.14,0,1-SUM('Eval-Après action écologique'!$T$669,'Eval-Après action écologique'!$T$670)*7.134/('Eval-Après action écologique'!$T$107*1000))))</f>
        <v/>
      </c>
      <c r="FJ62" s="238" t="str">
        <f>IF(LEN('Eval-Après action écologique'!$T$107)=0,"",IF('Eval-Après action écologique'!$T$107=0,0,IF(SUM('Eval-Après action écologique'!$T$669,'Eval-Après action écologique'!$T$670)/('Eval-Après action écologique'!$T$107*1000)&gt;=0.14,0,1-SUM('Eval-Après action écologique'!$T$669,'Eval-Après action écologique'!$T$670)*7.134/('Eval-Après action écologique'!$T$107*1000))))</f>
        <v/>
      </c>
      <c r="FK62" s="238" t="str">
        <f>IF(LEN('Eval-Après action écologique'!$T$107)=0,"",IF('Eval-Après action écologique'!$T$107=0,0,IF(SUM('Eval-Après action écologique'!$T$669,'Eval-Après action écologique'!$T$670)/('Eval-Après action écologique'!$T$107*1000)&gt;=0.14,0,1-SUM('Eval-Après action écologique'!$T$669,'Eval-Après action écologique'!$T$670)*7.134/('Eval-Après action écologique'!$T$107*1000))))</f>
        <v/>
      </c>
      <c r="FL62" s="238" t="str">
        <f>IF(LEN('Eval-Après action écologique'!$T$107)=0,"",IF('Eval-Après action écologique'!$T$107=0,0,IF(SUM('Eval-Après action écologique'!$T$669,'Eval-Après action écologique'!$T$670)/('Eval-Après action écologique'!$T$107*1000)&gt;=0.14,0,1-SUM('Eval-Après action écologique'!$T$669,'Eval-Après action écologique'!$T$670)*7.134/('Eval-Après action écologique'!$T$107*1000))))</f>
        <v/>
      </c>
      <c r="FM62" s="238" t="str">
        <f>IF(LEN('Eval-Après action écologique'!$T$107)=0,"",IF('Eval-Après action écologique'!$T$107=0,0,IF(SUM('Eval-Après action écologique'!$T$669,'Eval-Après action écologique'!$T$670)/('Eval-Après action écologique'!$T$107*1000)&gt;=0.14,0,1-SUM('Eval-Après action écologique'!$T$669,'Eval-Après action écologique'!$T$670)*7.134/('Eval-Après action écologique'!$T$107*1000))))</f>
        <v/>
      </c>
      <c r="FN62" s="238" t="str">
        <f>IF(LEN('Eval-Après action écologique'!$T$107)=0,"",IF('Eval-Après action écologique'!$T$107=0,0,IF(SUM('Eval-Après action écologique'!$T$669,'Eval-Après action écologique'!$T$670)/('Eval-Après action écologique'!$T$107*1000)&gt;=0.14,0,1-SUM('Eval-Après action écologique'!$T$669,'Eval-Après action écologique'!$T$670)*7.134/('Eval-Après action écologique'!$T$107*1000))))</f>
        <v/>
      </c>
      <c r="FO62" s="237"/>
      <c r="FP62" s="237"/>
      <c r="FQ62" s="239"/>
      <c r="FR62" s="243" t="str">
        <f>IF(FH62="","",FH62*'Eval-Après action écologique'!$T$107)</f>
        <v/>
      </c>
      <c r="FS62" s="238" t="str">
        <f>IF(FH62="","",FH62*'Eval-Après action écologique'!$T$107)</f>
        <v/>
      </c>
      <c r="FT62" s="238" t="str">
        <f>IF(FH62="","",FH62*'Eval-Après action écologique'!$T$107)</f>
        <v/>
      </c>
      <c r="FU62" s="238" t="str">
        <f>IF(FH62="","",FH62*'Eval-Après action écologique'!$T$107)</f>
        <v/>
      </c>
      <c r="FV62" s="238" t="str">
        <f>IF(FH62="","",FH62*'Eval-Après action écologique'!$T$107)</f>
        <v/>
      </c>
      <c r="FW62" s="238" t="str">
        <f>IF(FH62="","",FH62*'Eval-Après action écologique'!$T$107)</f>
        <v/>
      </c>
      <c r="FX62" s="238" t="str">
        <f>IF(FH62="","",FH62*'Eval-Après action écologique'!$T$107)</f>
        <v/>
      </c>
      <c r="FY62" s="237"/>
      <c r="FZ62" s="237"/>
      <c r="GA62" s="239"/>
      <c r="GB62" s="240" t="str">
        <f>IF(LEN('Eval-Après action écologique'!$T$107)=0,"",IF('Eval-Après action écologique'!$T$107=0,"Site détruit (0 ha).",(IF(AND(FH62&gt;=0,FH62&lt;=0.2),CONCATENATE("Densité de fossés profonds très importante (",ROUND(SUM('Eval-Après action écologique'!$T$669:$W$670)/'Eval-Après action écologique'!$T$107,0)," m/ha).",),""))))</f>
        <v/>
      </c>
      <c r="GC62" s="241" t="str">
        <f>(IF(AND(FH62&gt;0.2,FH62&lt;=0.4),CONCATENATE("Densité de fossés profonds importante (",ROUND(SUM('Eval-Après action écologique'!$T$669:$W$670)/'Eval-Après action écologique'!$T$107,0)," m/ha).",),""))</f>
        <v/>
      </c>
      <c r="GD62" s="241" t="str">
        <f>(IF(AND(FH62&gt;0.4,FH62&lt;=0.6),CONCATENATE("Densité de fossés profonds assez importante (",ROUND(SUM('Eval-Après action écologique'!$T$669:$W$670)/'Eval-Après action écologique'!$T$107,0)," m/ha).",),""))</f>
        <v/>
      </c>
      <c r="GE62" s="241" t="str">
        <f>(IF(AND(FH62&gt;0.6,FH62&lt;=0.8),CONCATENATE("Densité de fossés profonds assez réduite (",ROUND(SUM('Eval-Après action écologique'!$T$669:$W$670)/'Eval-Après action écologique'!$T$107,0)," m/ha).",),""))</f>
        <v/>
      </c>
      <c r="GF62" s="241" t="str">
        <f>CONCATENATE((IF(FH62=1,"Absence de fossés profonds.","")),(IF(AND(FH62&lt;1,FH62&gt;0.8),CONCATENATE("Densité de fossés profonds très réduite (",ROUND(SUM('Eval-Après action écologique'!$T$669:$W$670)/'Eval-Après action écologique'!$T$107,0)," m/ha).",),"")))</f>
        <v/>
      </c>
      <c r="GG62" s="246"/>
      <c r="GH62" s="243" t="str">
        <f>FH62</f>
        <v/>
      </c>
      <c r="GI62" s="244" t="str">
        <f>FR62</f>
        <v/>
      </c>
    </row>
    <row r="63" spans="1:191" ht="31.5" customHeight="1" x14ac:dyDescent="0.2">
      <c r="A63" s="1133"/>
      <c r="B63" s="234" t="s">
        <v>418</v>
      </c>
      <c r="C63" s="235" t="s">
        <v>229</v>
      </c>
      <c r="D63" s="236"/>
      <c r="E63" s="237"/>
      <c r="F63" s="238" t="str">
        <f>IF(LEN('Eval-Avant impact'!$T$107)=0,"",IF('Eval-Avant impact'!$T$107=0,0,IF(SUM('Eval-Avant impact'!$N$669,'Eval-Avant impact'!$N$670,'Eval-Avant impact'!$T$669,'Eval-Avant impact'!$T$670)=0,"",SUM('Eval-Avant impact'!$N$669,'Eval-Avant impact'!$T$669)/SUM('Eval-Avant impact'!$N$669,'Eval-Avant impact'!$N$670,'Eval-Avant impact'!$T$669,'Eval-Avant impact'!$T$670))))</f>
        <v/>
      </c>
      <c r="G63" s="238" t="str">
        <f>IF(LEN('Eval-Avant impact'!$T$107)=0,"",IF('Eval-Avant impact'!$T$107=0,0,IF(SUM('Eval-Avant impact'!$N$669,'Eval-Avant impact'!$N$670,'Eval-Avant impact'!$T$669,'Eval-Avant impact'!$T$670)=0,"",SUM('Eval-Avant impact'!$N$669,'Eval-Avant impact'!$T$669)/SUM('Eval-Avant impact'!$N$669,'Eval-Avant impact'!$N$670,'Eval-Avant impact'!$T$669,'Eval-Avant impact'!$T$670))))</f>
        <v/>
      </c>
      <c r="H63" s="238" t="str">
        <f>IF(LEN('Eval-Avant impact'!$T$107)=0,"",IF('Eval-Avant impact'!$T$107=0,0,IF(SUM('Eval-Avant impact'!$N$669,'Eval-Avant impact'!$N$670,'Eval-Avant impact'!$T$669,'Eval-Avant impact'!$T$670)=0,"",SUM('Eval-Avant impact'!$N$669,'Eval-Avant impact'!$T$669)/SUM('Eval-Avant impact'!$N$669,'Eval-Avant impact'!$N$670,'Eval-Avant impact'!$T$669,'Eval-Avant impact'!$T$670))))</f>
        <v/>
      </c>
      <c r="I63" s="238" t="str">
        <f>IF(LEN('Eval-Avant impact'!$T$107)=0,"",IF('Eval-Avant impact'!$T$107=0,0,IF(SUM('Eval-Avant impact'!$N$669,'Eval-Avant impact'!$N$670,'Eval-Avant impact'!$T$669,'Eval-Avant impact'!$T$670)=0,"",SUM('Eval-Avant impact'!$N$669,'Eval-Avant impact'!$T$669)/SUM('Eval-Avant impact'!$N$669,'Eval-Avant impact'!$N$670,'Eval-Avant impact'!$T$669,'Eval-Avant impact'!$T$670))))</f>
        <v/>
      </c>
      <c r="J63" s="238" t="str">
        <f>IF(LEN('Eval-Avant impact'!$T$107)=0,"",IF('Eval-Avant impact'!$T$107=0,0,IF(SUM('Eval-Avant impact'!$N$669,'Eval-Avant impact'!$N$670,'Eval-Avant impact'!$T$669,'Eval-Avant impact'!$T$670)=0,"",SUM('Eval-Avant impact'!$N$669,'Eval-Avant impact'!$T$669)/SUM('Eval-Avant impact'!$N$669,'Eval-Avant impact'!$N$670,'Eval-Avant impact'!$T$669,'Eval-Avant impact'!$T$670))))</f>
        <v/>
      </c>
      <c r="K63" s="237"/>
      <c r="L63" s="237"/>
      <c r="M63" s="239"/>
      <c r="N63" s="236"/>
      <c r="O63" s="237"/>
      <c r="P63" s="238" t="str">
        <f>IF(F63="","",F63*'Eval-Avant impact'!$T$107)</f>
        <v/>
      </c>
      <c r="Q63" s="238" t="str">
        <f>IF(F63="","",F63*'Eval-Avant impact'!$T$107)</f>
        <v/>
      </c>
      <c r="R63" s="238" t="str">
        <f>IF(F63="","",F63*'Eval-Avant impact'!$T$107)</f>
        <v/>
      </c>
      <c r="S63" s="238" t="str">
        <f>IF(F63="","",F63*'Eval-Avant impact'!$T$107)</f>
        <v/>
      </c>
      <c r="T63" s="238" t="str">
        <f>IF(F63="","",F63*'Eval-Avant impact'!$T$107)</f>
        <v/>
      </c>
      <c r="U63" s="237"/>
      <c r="V63" s="237"/>
      <c r="W63" s="239"/>
      <c r="X63" s="240" t="str">
        <f>IF(LEN('Eval-Avant impact'!$T$107)=0,"",IF('Eval-Avant impact'!$T$107=0,"Site détruit (0 ha).",IFERROR((IF(AND(F63&gt;=0,F63&lt;=0.2),CONCATENATE("Fossés et/ou fossés prof. pas ou très peu végétalisés (",ROUND(100*(('Eval-Avant impact'!$N$669+'Eval-Avant impact'!$T$669)/('Eval-Avant impact'!$N$669+'Eval-Avant impact'!$N$670+'Eval-Avant impact'!$T$669+'Eval-Avant impact'!$T$670)),0)," %)."),"")),"")))</f>
        <v/>
      </c>
      <c r="Y63" s="241" t="str">
        <f>IFERROR((IF(AND(F63&gt;0.2,F63&lt;=0.4),CONCATENATE("Fossés et/ou fossés prof. peu végétalisés (",ROUND(100*(('Eval-Avant impact'!$N$669+'Eval-Avant impact'!$T$669)/('Eval-Avant impact'!$N$669+'Eval-Avant impact'!$N$670+'Eval-Avant impact'!$T$669+'Eval-Avant impact'!$T$670)),0)," %)."),"")),"")</f>
        <v/>
      </c>
      <c r="Z63" s="241" t="str">
        <f>IFERROR((IF(AND(F63&gt;0.4,F63&lt;=0.6),CONCATENATE("Assez forte végétalisation des fossés et/ou fossés prof. (",ROUND(100*(('Eval-Avant impact'!$N$669+'Eval-Avant impact'!$T$669)/('Eval-Avant impact'!$N$669+'Eval-Avant impact'!$N$670+'Eval-Avant impact'!$T$669+'Eval-Avant impact'!$T$670)),0)," %)."),"")),"")</f>
        <v/>
      </c>
      <c r="AA63" s="241" t="str">
        <f>IFERROR((IF(AND(F63&gt;0.6,F63&lt;=0.8),CONCATENATE("Forte végétalisation des fossés et/ou fossés prof. (",ROUND(100*(('Eval-Avant impact'!$N$669+'Eval-Avant impact'!$T$669)/('Eval-Avant impact'!$N$669+'Eval-Avant impact'!$N$670+'Eval-Avant impact'!$T$669+'Eval-Avant impact'!$T$670)),0)," %)."),"")),"")</f>
        <v/>
      </c>
      <c r="AB63" s="241" t="str">
        <f>IFERROR(CONCATENATE((IF(F63=1,"Fossés et/ou fossés prof. entièrement végétalisés.","")),(IF(AND(F63&lt;1,F63&gt;0.8),CONCATENATE("Très forte végétalisation des fossés et/ou fossés prof. (",ROUND(100*(('Eval-Avant impact'!$N$669+'Eval-Avant impact'!$T$669)/('Eval-Avant impact'!$N$669+'Eval-Avant impact'!$N$670+'Eval-Avant impact'!$T$669+'Eval-Avant impact'!$T$670)),0)," %)."),""))),"")</f>
        <v/>
      </c>
      <c r="AC63" s="218" t="str">
        <f>IF(LEN('Eval-Avant impact'!$T$107)=0,"",IF('Eval-Avant impact'!$T$107=0,"",IF(SUM('Eval-Avant impact'!$N$669:$P$670,'Eval-Avant impact'!$T$669:$W$670)=0,"Non renseigné, pas de fossés et fossés prof.","")))</f>
        <v/>
      </c>
      <c r="AD63" s="243" t="str">
        <f>F63</f>
        <v/>
      </c>
      <c r="AE63" s="244" t="str">
        <f>P63</f>
        <v/>
      </c>
      <c r="AF63" s="245"/>
      <c r="AG63" s="1133"/>
      <c r="AH63" s="234" t="s">
        <v>418</v>
      </c>
      <c r="AI63" s="235" t="s">
        <v>229</v>
      </c>
      <c r="AJ63" s="236"/>
      <c r="AK63" s="237"/>
      <c r="AL63" s="238" t="str">
        <f>IF(LEN('Eval-Avec impact envisagé'!$T$107)=0,"",IF('Eval-Avec impact envisagé'!$T$107=0,0,IF(SUM('Eval-Avec impact envisagé'!$N$669,'Eval-Avec impact envisagé'!$N$670,'Eval-Avec impact envisagé'!$T$669,'Eval-Avec impact envisagé'!$T$670)=0,"",SUM('Eval-Avec impact envisagé'!$N$669,'Eval-Avec impact envisagé'!$T$669)/SUM('Eval-Avec impact envisagé'!$N$669,'Eval-Avec impact envisagé'!$N$670,'Eval-Avec impact envisagé'!$T$669,'Eval-Avec impact envisagé'!$T$670))))</f>
        <v/>
      </c>
      <c r="AM63" s="238" t="str">
        <f>IF(LEN('Eval-Avec impact envisagé'!$T$107)=0,"",IF('Eval-Avec impact envisagé'!$T$107=0,0,IF(SUM('Eval-Avec impact envisagé'!$N$669,'Eval-Avec impact envisagé'!$N$670,'Eval-Avec impact envisagé'!$T$669,'Eval-Avec impact envisagé'!$T$670)=0,"",SUM('Eval-Avec impact envisagé'!$N$669,'Eval-Avec impact envisagé'!$T$669)/SUM('Eval-Avec impact envisagé'!$N$669,'Eval-Avec impact envisagé'!$N$670,'Eval-Avec impact envisagé'!$T$669,'Eval-Avec impact envisagé'!$T$670))))</f>
        <v/>
      </c>
      <c r="AN63" s="238" t="str">
        <f>IF(LEN('Eval-Avec impact envisagé'!$T$107)=0,"",IF('Eval-Avec impact envisagé'!$T$107=0,0,IF(SUM('Eval-Avec impact envisagé'!$N$669,'Eval-Avec impact envisagé'!$N$670,'Eval-Avec impact envisagé'!$T$669,'Eval-Avec impact envisagé'!$T$670)=0,"",SUM('Eval-Avec impact envisagé'!$N$669,'Eval-Avec impact envisagé'!$T$669)/SUM('Eval-Avec impact envisagé'!$N$669,'Eval-Avec impact envisagé'!$N$670,'Eval-Avec impact envisagé'!$T$669,'Eval-Avec impact envisagé'!$T$670))))</f>
        <v/>
      </c>
      <c r="AO63" s="238" t="str">
        <f>IF(LEN('Eval-Avec impact envisagé'!$T$107)=0,"",IF('Eval-Avec impact envisagé'!$T$107=0,0,IF(SUM('Eval-Avec impact envisagé'!$N$669,'Eval-Avec impact envisagé'!$N$670,'Eval-Avec impact envisagé'!$T$669,'Eval-Avec impact envisagé'!$T$670)=0,"",SUM('Eval-Avec impact envisagé'!$N$669,'Eval-Avec impact envisagé'!$T$669)/SUM('Eval-Avec impact envisagé'!$N$669,'Eval-Avec impact envisagé'!$N$670,'Eval-Avec impact envisagé'!$T$669,'Eval-Avec impact envisagé'!$T$670))))</f>
        <v/>
      </c>
      <c r="AP63" s="238" t="str">
        <f>IF(LEN('Eval-Avec impact envisagé'!$T$107)=0,"",IF('Eval-Avec impact envisagé'!$T$107=0,0,IF(SUM('Eval-Avec impact envisagé'!$N$669,'Eval-Avec impact envisagé'!$N$670,'Eval-Avec impact envisagé'!$T$669,'Eval-Avec impact envisagé'!$T$670)=0,"",SUM('Eval-Avec impact envisagé'!$N$669,'Eval-Avec impact envisagé'!$T$669)/SUM('Eval-Avec impact envisagé'!$N$669,'Eval-Avec impact envisagé'!$N$670,'Eval-Avec impact envisagé'!$T$669,'Eval-Avec impact envisagé'!$T$670))))</f>
        <v/>
      </c>
      <c r="AQ63" s="237"/>
      <c r="AR63" s="237"/>
      <c r="AS63" s="239"/>
      <c r="AT63" s="236"/>
      <c r="AU63" s="237"/>
      <c r="AV63" s="238" t="str">
        <f>IF(AL63="","",AL63*'Eval-Avec impact envisagé'!$T$107)</f>
        <v/>
      </c>
      <c r="AW63" s="238" t="str">
        <f>IF(AL63="","",AL63*'Eval-Avec impact envisagé'!$T$107)</f>
        <v/>
      </c>
      <c r="AX63" s="238" t="str">
        <f>IF(AL63="","",AL63*'Eval-Avec impact envisagé'!$T$107)</f>
        <v/>
      </c>
      <c r="AY63" s="238" t="str">
        <f>IF(AL63="","",AL63*'Eval-Avec impact envisagé'!$T$107)</f>
        <v/>
      </c>
      <c r="AZ63" s="238" t="str">
        <f>IF(AL63="","",AL63*'Eval-Avec impact envisagé'!$T$107)</f>
        <v/>
      </c>
      <c r="BA63" s="237"/>
      <c r="BB63" s="237"/>
      <c r="BC63" s="239"/>
      <c r="BD63" s="240" t="str">
        <f>IF(LEN('Eval-Avec impact envisagé'!$T$107)=0,"",IF('Eval-Avec impact envisagé'!$T$107=0,"Site détruit (0 ha).",IFERROR((IF(AND(AL63&gt;=0,AL63&lt;=0.2),CONCATENATE("Fossés et/ou fossés prof. pas ou très peu végétalisés (",ROUND(100*(('Eval-Avec impact envisagé'!$N$669+'Eval-Avec impact envisagé'!$T$669)/('Eval-Avec impact envisagé'!$N$669+'Eval-Avec impact envisagé'!$N$670+'Eval-Avec impact envisagé'!$T$669+'Eval-Avec impact envisagé'!$T$670)),0)," %)."),"")),"")))</f>
        <v/>
      </c>
      <c r="BE63" s="241" t="str">
        <f>IFERROR((IF(AND(AL63&gt;0.2,AL63&lt;=0.4),CONCATENATE("Fossés et/ou fossés prof. peu végétalisés (",ROUND(100*(('Eval-Avec impact envisagé'!$N$669+'Eval-Avec impact envisagé'!$T$669)/('Eval-Avec impact envisagé'!$N$669+'Eval-Avec impact envisagé'!$N$670+'Eval-Avec impact envisagé'!$T$669+'Eval-Avec impact envisagé'!$T$670)),0)," %)."),"")),"")</f>
        <v/>
      </c>
      <c r="BF63" s="241" t="str">
        <f>IFERROR((IF(AND(AL63&gt;0.4,AL63&lt;=0.6),CONCATENATE("Assez forte végétalisation des fossés et/ou fossés prof. (",ROUND(100*(('Eval-Avec impact envisagé'!$N$669+'Eval-Avec impact envisagé'!$T$669)/('Eval-Avec impact envisagé'!$N$669+'Eval-Avec impact envisagé'!$N$670+'Eval-Avec impact envisagé'!$T$669+'Eval-Avec impact envisagé'!$T$670)),0)," %)."),"")),"")</f>
        <v/>
      </c>
      <c r="BG63" s="241" t="str">
        <f>IFERROR((IF(AND(AL63&gt;0.6,AL63&lt;=0.8),CONCATENATE("Forte végétalisation des fossés et/ou fossés prof. (",ROUND(100*(('Eval-Avec impact envisagé'!$N$669+'Eval-Avec impact envisagé'!$T$669)/('Eval-Avec impact envisagé'!$N$669+'Eval-Avec impact envisagé'!$N$670+'Eval-Avec impact envisagé'!$T$669+'Eval-Avec impact envisagé'!$T$670)),0)," %)."),"")),"")</f>
        <v/>
      </c>
      <c r="BH63" s="241" t="str">
        <f>IFERROR(CONCATENATE((IF(AL63=1,"Fossés et/ou fossés prof. entièrement végétalisés.","")),(IF(AND(AL63&lt;1,AL63&gt;0.8),CONCATENATE("Très forte végétalisation des fossés et/ou fossés prof. (",ROUND(100*(('Eval-Avec impact envisagé'!$N$669+'Eval-Avec impact envisagé'!$T$669)/('Eval-Avec impact envisagé'!$N$669+'Eval-Avec impact envisagé'!$N$670+'Eval-Avec impact envisagé'!$T$669+'Eval-Avec impact envisagé'!$T$670)),0)," %)."),""))),"")</f>
        <v/>
      </c>
      <c r="BI63" s="218" t="str">
        <f>IF(LEN('Eval-Avec impact envisagé'!$T$107)=0,"",IF('Eval-Avec impact envisagé'!$T$107=0,"",IF(SUM('Eval-Avec impact envisagé'!$N$669:$P$670,'Eval-Avec impact envisagé'!$T$669:$W$670)=0,"Non renseigné, pas de fossés et fossés prof.","")))</f>
        <v/>
      </c>
      <c r="BJ63" s="243" t="str">
        <f>AL63</f>
        <v/>
      </c>
      <c r="BK63" s="244" t="str">
        <f>AV63</f>
        <v/>
      </c>
      <c r="BL63" s="245"/>
      <c r="BM63" s="1133"/>
      <c r="BN63" s="234" t="s">
        <v>418</v>
      </c>
      <c r="BO63" s="235" t="s">
        <v>229</v>
      </c>
      <c r="BP63" s="236"/>
      <c r="BQ63" s="237"/>
      <c r="BR63" s="238" t="str">
        <f>IF(LEN('Eval-Après impact'!$T$107)=0,"",IF('Eval-Après impact'!$T$107=0,0,IF(SUM('Eval-Après impact'!$N$669,'Eval-Après impact'!$N$670,'Eval-Après impact'!$T$669,'Eval-Après impact'!$T$670)=0,"",SUM('Eval-Après impact'!$N$669,'Eval-Après impact'!$T$669)/SUM('Eval-Après impact'!$N$669,'Eval-Après impact'!$N$670,'Eval-Après impact'!$T$669,'Eval-Après impact'!$T$670))))</f>
        <v/>
      </c>
      <c r="BS63" s="238" t="str">
        <f>IF(LEN('Eval-Après impact'!$T$107)=0,"",IF('Eval-Après impact'!$T$107=0,0,IF(SUM('Eval-Après impact'!$N$669,'Eval-Après impact'!$N$670,'Eval-Après impact'!$T$669,'Eval-Après impact'!$T$670)=0,"",SUM('Eval-Après impact'!$N$669,'Eval-Après impact'!$T$669)/SUM('Eval-Après impact'!$N$669,'Eval-Après impact'!$N$670,'Eval-Après impact'!$T$669,'Eval-Après impact'!$T$670))))</f>
        <v/>
      </c>
      <c r="BT63" s="238" t="str">
        <f>IF(LEN('Eval-Après impact'!$T$107)=0,"",IF('Eval-Après impact'!$T$107=0,0,IF(SUM('Eval-Après impact'!$N$669,'Eval-Après impact'!$N$670,'Eval-Après impact'!$T$669,'Eval-Après impact'!$T$670)=0,"",SUM('Eval-Après impact'!$N$669,'Eval-Après impact'!$T$669)/SUM('Eval-Après impact'!$N$669,'Eval-Après impact'!$N$670,'Eval-Après impact'!$T$669,'Eval-Après impact'!$T$670))))</f>
        <v/>
      </c>
      <c r="BU63" s="238" t="str">
        <f>IF(LEN('Eval-Après impact'!$T$107)=0,"",IF('Eval-Après impact'!$T$107=0,0,IF(SUM('Eval-Après impact'!$N$669,'Eval-Après impact'!$N$670,'Eval-Après impact'!$T$669,'Eval-Après impact'!$T$670)=0,"",SUM('Eval-Après impact'!$N$669,'Eval-Après impact'!$T$669)/SUM('Eval-Après impact'!$N$669,'Eval-Après impact'!$N$670,'Eval-Après impact'!$T$669,'Eval-Après impact'!$T$670))))</f>
        <v/>
      </c>
      <c r="BV63" s="238" t="str">
        <f>IF(LEN('Eval-Après impact'!$T$107)=0,"",IF('Eval-Après impact'!$T$107=0,0,IF(SUM('Eval-Après impact'!$N$669,'Eval-Après impact'!$N$670,'Eval-Après impact'!$T$669,'Eval-Après impact'!$T$670)=0,"",SUM('Eval-Après impact'!$N$669,'Eval-Après impact'!$T$669)/SUM('Eval-Après impact'!$N$669,'Eval-Après impact'!$N$670,'Eval-Après impact'!$T$669,'Eval-Après impact'!$T$670))))</f>
        <v/>
      </c>
      <c r="BW63" s="237"/>
      <c r="BX63" s="237"/>
      <c r="BY63" s="239"/>
      <c r="BZ63" s="236"/>
      <c r="CA63" s="237"/>
      <c r="CB63" s="238" t="str">
        <f>IF(BR63="","",BR63*'Eval-Après impact'!$T$107)</f>
        <v/>
      </c>
      <c r="CC63" s="238" t="str">
        <f>IF(BR63="","",BR63*'Eval-Après impact'!$T$107)</f>
        <v/>
      </c>
      <c r="CD63" s="238" t="str">
        <f>IF(BR63="","",BR63*'Eval-Après impact'!$T$107)</f>
        <v/>
      </c>
      <c r="CE63" s="238" t="str">
        <f>IF(BR63="","",BR63*'Eval-Après impact'!$T$107)</f>
        <v/>
      </c>
      <c r="CF63" s="238" t="str">
        <f>IF(BR63="","",BR63*'Eval-Après impact'!$T$107)</f>
        <v/>
      </c>
      <c r="CG63" s="237"/>
      <c r="CH63" s="237"/>
      <c r="CI63" s="239"/>
      <c r="CJ63" s="240" t="str">
        <f>IF(LEN('Eval-Après impact'!$T$107)=0,"",IF('Eval-Après impact'!$T$107=0,"Site détruit (0 ha).",IFERROR((IF(AND(BR63&gt;=0,BR63&lt;=0.2),CONCATENATE("Fossés et/ou fossés prof. pas ou très peu végétalisés (",ROUND(100*(('Eval-Après impact'!$N$669+'Eval-Après impact'!$T$669)/('Eval-Après impact'!$N$669+'Eval-Après impact'!$N$670+'Eval-Après impact'!$T$669+'Eval-Après impact'!$T$670)),0)," %)."),"")),"")))</f>
        <v/>
      </c>
      <c r="CK63" s="241" t="str">
        <f>IFERROR((IF(AND(BR63&gt;0.2,BR63&lt;=0.4),CONCATENATE("Fossés et/ou fossés prof. peu végétalisés (",ROUND(100*(('Eval-Après impact'!$N$669+'Eval-Après impact'!$T$669)/('Eval-Après impact'!$N$669+'Eval-Après impact'!$N$670+'Eval-Après impact'!$T$669+'Eval-Après impact'!$T$670)),0)," %)."),"")),"")</f>
        <v/>
      </c>
      <c r="CL63" s="241" t="str">
        <f>IFERROR((IF(AND(BR63&gt;0.4,BR63&lt;=0.6),CONCATENATE("Assez forte végétalisation des fossés et/ou fossés prof. (",ROUND(100*(('Eval-Après impact'!$N$669+'Eval-Après impact'!$T$669)/('Eval-Après impact'!$N$669+'Eval-Après impact'!$N$670+'Eval-Après impact'!$T$669+'Eval-Après impact'!$T$670)),0)," %)."),"")),"")</f>
        <v/>
      </c>
      <c r="CM63" s="241" t="str">
        <f>IFERROR((IF(AND(BR63&gt;0.6,BR63&lt;=0.8),CONCATENATE("Forte végétalisation des fossés et/ou fossés prof. (",ROUND(100*(('Eval-Après impact'!$N$669+'Eval-Après impact'!$T$669)/('Eval-Après impact'!$N$669+'Eval-Après impact'!$N$670+'Eval-Après impact'!$T$669+'Eval-Après impact'!$T$670)),0)," %)."),"")),"")</f>
        <v/>
      </c>
      <c r="CN63" s="241" t="str">
        <f>IFERROR(CONCATENATE((IF(BR63=1,"Fossés et/ou fossés prof. entièrement végétalisés.","")),(IF(AND(BR63&lt;1,BR63&gt;0.8),CONCATENATE("Très forte végétalisation des fossés et/ou fossés prof. (",ROUND(100*(('Eval-Après impact'!$N$669+'Eval-Après impact'!$T$669)/('Eval-Après impact'!$N$669+'Eval-Après impact'!$N$670+'Eval-Après impact'!$T$669+'Eval-Après impact'!$T$670)),0)," %)."),""))),"")</f>
        <v/>
      </c>
      <c r="CO63" s="218" t="str">
        <f>IF(LEN('Eval-Après impact'!$T$107)=0,"",IF('Eval-Après impact'!$T$107=0,"",IF(SUM('Eval-Après impact'!$N$669:$P$670,'Eval-Après impact'!$T$669:$W$670)=0,"Non renseigné, pas de fossés et fossés prof.","")))</f>
        <v/>
      </c>
      <c r="CP63" s="243" t="str">
        <f>BR63</f>
        <v/>
      </c>
      <c r="CQ63" s="244" t="str">
        <f>CB63</f>
        <v/>
      </c>
      <c r="CR63" s="245"/>
      <c r="CS63" s="1133"/>
      <c r="CT63" s="234" t="s">
        <v>418</v>
      </c>
      <c r="CU63" s="235" t="s">
        <v>229</v>
      </c>
      <c r="CV63" s="236"/>
      <c r="CW63" s="237"/>
      <c r="CX63" s="238" t="str">
        <f>IF(LEN('Eval-Avant action écologique'!$T$107)=0,"",IF('Eval-Avant action écologique'!$T$107=0,0,IF(SUM('Eval-Avant action écologique'!$N$669,'Eval-Avant action écologique'!$N$670,'Eval-Avant action écologique'!$T$669,'Eval-Avant action écologique'!$T$670)=0,"",SUM('Eval-Avant action écologique'!$N$669,'Eval-Avant action écologique'!$T$669)/SUM('Eval-Avant action écologique'!$N$669,'Eval-Avant action écologique'!$N$670,'Eval-Avant action écologique'!$T$669,'Eval-Avant action écologique'!$T$670))))</f>
        <v/>
      </c>
      <c r="CY63" s="238" t="str">
        <f>IF(LEN('Eval-Avant action écologique'!$T$107)=0,"",IF('Eval-Avant action écologique'!$T$107=0,0,IF(SUM('Eval-Avant action écologique'!$N$669,'Eval-Avant action écologique'!$N$670,'Eval-Avant action écologique'!$T$669,'Eval-Avant action écologique'!$T$670)=0,"",SUM('Eval-Avant action écologique'!$N$669,'Eval-Avant action écologique'!$T$669)/SUM('Eval-Avant action écologique'!$N$669,'Eval-Avant action écologique'!$N$670,'Eval-Avant action écologique'!$T$669,'Eval-Avant action écologique'!$T$670))))</f>
        <v/>
      </c>
      <c r="CZ63" s="238" t="str">
        <f>IF(LEN('Eval-Avant action écologique'!$T$107)=0,"",IF('Eval-Avant action écologique'!$T$107=0,0,IF(SUM('Eval-Avant action écologique'!$N$669,'Eval-Avant action écologique'!$N$670,'Eval-Avant action écologique'!$T$669,'Eval-Avant action écologique'!$T$670)=0,"",SUM('Eval-Avant action écologique'!$N$669,'Eval-Avant action écologique'!$T$669)/SUM('Eval-Avant action écologique'!$N$669,'Eval-Avant action écologique'!$N$670,'Eval-Avant action écologique'!$T$669,'Eval-Avant action écologique'!$T$670))))</f>
        <v/>
      </c>
      <c r="DA63" s="238" t="str">
        <f>IF(LEN('Eval-Avant action écologique'!$T$107)=0,"",IF('Eval-Avant action écologique'!$T$107=0,0,IF(SUM('Eval-Avant action écologique'!$N$669,'Eval-Avant action écologique'!$N$670,'Eval-Avant action écologique'!$T$669,'Eval-Avant action écologique'!$T$670)=0,"",SUM('Eval-Avant action écologique'!$N$669,'Eval-Avant action écologique'!$T$669)/SUM('Eval-Avant action écologique'!$N$669,'Eval-Avant action écologique'!$N$670,'Eval-Avant action écologique'!$T$669,'Eval-Avant action écologique'!$T$670))))</f>
        <v/>
      </c>
      <c r="DB63" s="238" t="str">
        <f>IF(LEN('Eval-Avant action écologique'!$T$107)=0,"",IF('Eval-Avant action écologique'!$T$107=0,0,IF(SUM('Eval-Avant action écologique'!$N$669,'Eval-Avant action écologique'!$N$670,'Eval-Avant action écologique'!$T$669,'Eval-Avant action écologique'!$T$670)=0,"",SUM('Eval-Avant action écologique'!$N$669,'Eval-Avant action écologique'!$T$669)/SUM('Eval-Avant action écologique'!$N$669,'Eval-Avant action écologique'!$N$670,'Eval-Avant action écologique'!$T$669,'Eval-Avant action écologique'!$T$670))))</f>
        <v/>
      </c>
      <c r="DC63" s="237"/>
      <c r="DD63" s="237"/>
      <c r="DE63" s="239"/>
      <c r="DF63" s="236"/>
      <c r="DG63" s="237"/>
      <c r="DH63" s="238" t="str">
        <f>IF(CX63="","",CX63*'Eval-Avant action écologique'!$T$107)</f>
        <v/>
      </c>
      <c r="DI63" s="238" t="str">
        <f>IF(CX63="","",CX63*'Eval-Avant action écologique'!$T$107)</f>
        <v/>
      </c>
      <c r="DJ63" s="238" t="str">
        <f>IF(CX63="","",CX63*'Eval-Avant action écologique'!$T$107)</f>
        <v/>
      </c>
      <c r="DK63" s="238" t="str">
        <f>IF(CX63="","",CX63*'Eval-Avant action écologique'!$T$107)</f>
        <v/>
      </c>
      <c r="DL63" s="238" t="str">
        <f>IF(CX63="","",CX63*'Eval-Avant action écologique'!$T$107)</f>
        <v/>
      </c>
      <c r="DM63" s="237"/>
      <c r="DN63" s="237"/>
      <c r="DO63" s="239"/>
      <c r="DP63" s="240" t="str">
        <f>IF(LEN('Eval-Avant action écologique'!$T$107)=0,"",IF('Eval-Avant action écologique'!$T$107=0,"Site détruit (0 ha).",IFERROR((IF(AND(CX63&gt;=0,CX63&lt;=0.2),CONCATENATE("Fossés et/ou fossés prof. pas ou très peu végétalisés (",ROUND(100*(('Eval-Avant action écologique'!$N$669+'Eval-Avant action écologique'!$T$669)/('Eval-Avant action écologique'!$N$669+'Eval-Avant action écologique'!$N$670+'Eval-Avant action écologique'!$T$669+'Eval-Avant action écologique'!$T$670)),0)," %)."),"")),"")))</f>
        <v/>
      </c>
      <c r="DQ63" s="241" t="str">
        <f>IFERROR((IF(AND(CX63&gt;0.2,CX63&lt;=0.4),CONCATENATE("Fossés et/ou fossés prof. peu végétalisés (",ROUND(100*(('Eval-Avant action écologique'!$N$669+'Eval-Avant action écologique'!$T$669)/('Eval-Avant action écologique'!$N$669+'Eval-Avant action écologique'!$N$670+'Eval-Avant action écologique'!$T$669+'Eval-Avant action écologique'!$T$670)),0)," %)."),"")),"")</f>
        <v/>
      </c>
      <c r="DR63" s="241" t="str">
        <f>IFERROR((IF(AND(CX63&gt;0.4,CX63&lt;=0.6),CONCATENATE("Assez forte végétalisation des fossés et/ou fossés prof. (",ROUND(100*(('Eval-Avant action écologique'!$N$669+'Eval-Avant action écologique'!$T$669)/('Eval-Avant action écologique'!$N$669+'Eval-Avant action écologique'!$N$670+'Eval-Avant action écologique'!$T$669+'Eval-Avant action écologique'!$T$670)),0)," %)."),"")),"")</f>
        <v/>
      </c>
      <c r="DS63" s="241" t="str">
        <f>IFERROR((IF(AND(CX63&gt;0.6,CX63&lt;=0.8),CONCATENATE("Forte végétalisation des fossés et/ou fossés prof. (",ROUND(100*(('Eval-Avant action écologique'!$N$669+'Eval-Avant action écologique'!$T$669)/('Eval-Avant action écologique'!$N$669+'Eval-Avant action écologique'!$N$670+'Eval-Avant action écologique'!$T$669+'Eval-Avant action écologique'!$T$670)),0)," %)."),"")),"")</f>
        <v/>
      </c>
      <c r="DT63" s="241" t="str">
        <f>IFERROR(CONCATENATE((IF(CX63=1,"Fossés et/ou fossés prof. entièrement végétalisés.","")),(IF(AND(CX63&lt;1,CX63&gt;0.8),CONCATENATE("Très forte végétalisation des fossés et/ou fossés prof. (",ROUND(100*(('Eval-Avant action écologique'!$N$669+'Eval-Avant action écologique'!$T$669)/('Eval-Avant action écologique'!$N$669+'Eval-Avant action écologique'!$N$670+'Eval-Avant action écologique'!$T$669+'Eval-Avant action écologique'!$T$670)),0)," %)."),""))),"")</f>
        <v/>
      </c>
      <c r="DU63" s="218" t="str">
        <f>IF(LEN('Eval-Avant action écologique'!$T$107)=0,"",IF('Eval-Avant action écologique'!$T$107=0,"",IF(SUM('Eval-Avant action écologique'!$N$669:$P$670,'Eval-Avant action écologique'!$T$669:$W$670)=0,"Non renseigné, pas de fossés et fossés prof.","")))</f>
        <v/>
      </c>
      <c r="DV63" s="243" t="str">
        <f>CX63</f>
        <v/>
      </c>
      <c r="DW63" s="244" t="str">
        <f>DH63</f>
        <v/>
      </c>
      <c r="DX63" s="245"/>
      <c r="DY63" s="1133"/>
      <c r="DZ63" s="234" t="s">
        <v>418</v>
      </c>
      <c r="EA63" s="235" t="s">
        <v>229</v>
      </c>
      <c r="EB63" s="236"/>
      <c r="EC63" s="237"/>
      <c r="ED63" s="238" t="str">
        <f>IF(LEN('Eval-Avec act. écol. envisagée'!$T$107)=0,"",IF('Eval-Avec act. écol. envisagée'!$T$107=0,0,IF(SUM('Eval-Avec act. écol. envisagée'!$N$669,'Eval-Avec act. écol. envisagée'!$N$670,'Eval-Avec act. écol. envisagée'!$T$669,'Eval-Avec act. écol. envisagée'!$T$670)=0,"",SUM('Eval-Avec act. écol. envisagée'!$N$669,'Eval-Avec act. écol. envisagée'!$T$669)/SUM('Eval-Avec act. écol. envisagée'!$N$669,'Eval-Avec act. écol. envisagée'!$N$670,'Eval-Avec act. écol. envisagée'!$T$669,'Eval-Avec act. écol. envisagée'!$T$670))))</f>
        <v/>
      </c>
      <c r="EE63" s="238" t="str">
        <f>IF(LEN('Eval-Avec act. écol. envisagée'!$T$107)=0,"",IF('Eval-Avec act. écol. envisagée'!$T$107=0,0,IF(SUM('Eval-Avec act. écol. envisagée'!$N$669,'Eval-Avec act. écol. envisagée'!$N$670,'Eval-Avec act. écol. envisagée'!$T$669,'Eval-Avec act. écol. envisagée'!$T$670)=0,"",SUM('Eval-Avec act. écol. envisagée'!$N$669,'Eval-Avec act. écol. envisagée'!$T$669)/SUM('Eval-Avec act. écol. envisagée'!$N$669,'Eval-Avec act. écol. envisagée'!$N$670,'Eval-Avec act. écol. envisagée'!$T$669,'Eval-Avec act. écol. envisagée'!$T$670))))</f>
        <v/>
      </c>
      <c r="EF63" s="238" t="str">
        <f>IF(LEN('Eval-Avec act. écol. envisagée'!$T$107)=0,"",IF('Eval-Avec act. écol. envisagée'!$T$107=0,0,IF(SUM('Eval-Avec act. écol. envisagée'!$N$669,'Eval-Avec act. écol. envisagée'!$N$670,'Eval-Avec act. écol. envisagée'!$T$669,'Eval-Avec act. écol. envisagée'!$T$670)=0,"",SUM('Eval-Avec act. écol. envisagée'!$N$669,'Eval-Avec act. écol. envisagée'!$T$669)/SUM('Eval-Avec act. écol. envisagée'!$N$669,'Eval-Avec act. écol. envisagée'!$N$670,'Eval-Avec act. écol. envisagée'!$T$669,'Eval-Avec act. écol. envisagée'!$T$670))))</f>
        <v/>
      </c>
      <c r="EG63" s="238" t="str">
        <f>IF(LEN('Eval-Avec act. écol. envisagée'!$T$107)=0,"",IF('Eval-Avec act. écol. envisagée'!$T$107=0,0,IF(SUM('Eval-Avec act. écol. envisagée'!$N$669,'Eval-Avec act. écol. envisagée'!$N$670,'Eval-Avec act. écol. envisagée'!$T$669,'Eval-Avec act. écol. envisagée'!$T$670)=0,"",SUM('Eval-Avec act. écol. envisagée'!$N$669,'Eval-Avec act. écol. envisagée'!$T$669)/SUM('Eval-Avec act. écol. envisagée'!$N$669,'Eval-Avec act. écol. envisagée'!$N$670,'Eval-Avec act. écol. envisagée'!$T$669,'Eval-Avec act. écol. envisagée'!$T$670))))</f>
        <v/>
      </c>
      <c r="EH63" s="238" t="str">
        <f>IF(LEN('Eval-Avec act. écol. envisagée'!$T$107)=0,"",IF('Eval-Avec act. écol. envisagée'!$T$107=0,0,IF(SUM('Eval-Avec act. écol. envisagée'!$N$669,'Eval-Avec act. écol. envisagée'!$N$670,'Eval-Avec act. écol. envisagée'!$T$669,'Eval-Avec act. écol. envisagée'!$T$670)=0,"",SUM('Eval-Avec act. écol. envisagée'!$N$669,'Eval-Avec act. écol. envisagée'!$T$669)/SUM('Eval-Avec act. écol. envisagée'!$N$669,'Eval-Avec act. écol. envisagée'!$N$670,'Eval-Avec act. écol. envisagée'!$T$669,'Eval-Avec act. écol. envisagée'!$T$670))))</f>
        <v/>
      </c>
      <c r="EI63" s="237"/>
      <c r="EJ63" s="237"/>
      <c r="EK63" s="239"/>
      <c r="EL63" s="236"/>
      <c r="EM63" s="237"/>
      <c r="EN63" s="238" t="str">
        <f>IF(ED63="","",ED63*'Eval-Avec act. écol. envisagée'!$T$107)</f>
        <v/>
      </c>
      <c r="EO63" s="238" t="str">
        <f>IF(ED63="","",ED63*'Eval-Avec act. écol. envisagée'!$T$107)</f>
        <v/>
      </c>
      <c r="EP63" s="238" t="str">
        <f>IF(ED63="","",ED63*'Eval-Avec act. écol. envisagée'!$T$107)</f>
        <v/>
      </c>
      <c r="EQ63" s="238" t="str">
        <f>IF(ED63="","",ED63*'Eval-Avec act. écol. envisagée'!$T$107)</f>
        <v/>
      </c>
      <c r="ER63" s="238" t="str">
        <f>IF(ED63="","",ED63*'Eval-Avec act. écol. envisagée'!$T$107)</f>
        <v/>
      </c>
      <c r="ES63" s="237"/>
      <c r="ET63" s="237"/>
      <c r="EU63" s="239"/>
      <c r="EV63" s="240" t="str">
        <f>IF(LEN('Eval-Avec act. écol. envisagée'!$T$107)=0,"",IF('Eval-Avec act. écol. envisagée'!$T$107=0,"Site détruit (0 ha).",IFERROR((IF(AND(ED63&gt;=0,ED63&lt;=0.2),CONCATENATE("Fossés et/ou fossés prof. pas ou très peu végétalisés (",ROUND(100*(('Eval-Avec act. écol. envisagée'!$N$669+'Eval-Avec act. écol. envisagée'!$T$669)/('Eval-Avec act. écol. envisagée'!$N$669+'Eval-Avec act. écol. envisagée'!$N$670+'Eval-Avec act. écol. envisagée'!$T$669+'Eval-Avec act. écol. envisagée'!$T$670)),0)," %)."),"")),"")))</f>
        <v/>
      </c>
      <c r="EW63" s="241" t="str">
        <f>IFERROR((IF(AND(ED63&gt;0.2,ED63&lt;=0.4),CONCATENATE("Fossés et/ou fossés prof. peu végétalisés (",ROUND(100*(('Eval-Avec act. écol. envisagée'!$N$669+'Eval-Avec act. écol. envisagée'!$T$669)/('Eval-Avec act. écol. envisagée'!$N$669+'Eval-Avec act. écol. envisagée'!$N$670+'Eval-Avec act. écol. envisagée'!$T$669+'Eval-Avec act. écol. envisagée'!$T$670)),0)," %)."),"")),"")</f>
        <v/>
      </c>
      <c r="EX63" s="241" t="str">
        <f>IFERROR((IF(AND(ED63&gt;0.4,ED63&lt;=0.6),CONCATENATE("Assez forte végétalisation des fossés et/ou fossés prof. (",ROUND(100*(('Eval-Avec act. écol. envisagée'!$N$669+'Eval-Avec act. écol. envisagée'!$T$669)/('Eval-Avec act. écol. envisagée'!$N$669+'Eval-Avec act. écol. envisagée'!$N$670+'Eval-Avec act. écol. envisagée'!$T$669+'Eval-Avec act. écol. envisagée'!$T$670)),0)," %)."),"")),"")</f>
        <v/>
      </c>
      <c r="EY63" s="241" t="str">
        <f>IFERROR((IF(AND(ED63&gt;0.6,ED63&lt;=0.8),CONCATENATE("Forte végétalisation des fossés et/ou fossés prof. (",ROUND(100*(('Eval-Avec act. écol. envisagée'!$N$669+'Eval-Avec act. écol. envisagée'!$T$669)/('Eval-Avec act. écol. envisagée'!$N$669+'Eval-Avec act. écol. envisagée'!$N$670+'Eval-Avec act. écol. envisagée'!$T$669+'Eval-Avec act. écol. envisagée'!$T$670)),0)," %)."),"")),"")</f>
        <v/>
      </c>
      <c r="EZ63" s="241" t="str">
        <f>IFERROR(CONCATENATE((IF(ED63=1,"Fossés et/ou fossés prof. entièrement végétalisés.","")),(IF(AND(ED63&lt;1,ED63&gt;0.8),CONCATENATE("Très forte végétalisation des fossés et/ou fossés prof. (",ROUND(100*(('Eval-Avec act. écol. envisagée'!$N$669+'Eval-Avec act. écol. envisagée'!$T$669)/('Eval-Avec act. écol. envisagée'!$N$669+'Eval-Avec act. écol. envisagée'!$N$670+'Eval-Avec act. écol. envisagée'!$T$669+'Eval-Avec act. écol. envisagée'!$T$670)),0)," %)."),""))),"")</f>
        <v/>
      </c>
      <c r="FA63" s="218" t="str">
        <f>IF(LEN('Eval-Avec act. écol. envisagée'!$T$107)=0,"",IF('Eval-Avec act. écol. envisagée'!$T$107=0,"",IF(SUM('Eval-Avec act. écol. envisagée'!$N$669:$P$670,'Eval-Avec act. écol. envisagée'!$T$669:$W$670)=0,"Non renseigné, pas de fossés et fossés prof.","")))</f>
        <v/>
      </c>
      <c r="FB63" s="243" t="str">
        <f>ED63</f>
        <v/>
      </c>
      <c r="FC63" s="244" t="str">
        <f>EN63</f>
        <v/>
      </c>
      <c r="FD63" s="245"/>
      <c r="FE63" s="1133"/>
      <c r="FF63" s="234" t="s">
        <v>418</v>
      </c>
      <c r="FG63" s="235" t="s">
        <v>229</v>
      </c>
      <c r="FH63" s="236"/>
      <c r="FI63" s="237"/>
      <c r="FJ63" s="238" t="str">
        <f>IF(LEN('Eval-Après action écologique'!$T$107)=0,"",IF('Eval-Après action écologique'!$T$107=0,0,IF(SUM('Eval-Après action écologique'!$N$669,'Eval-Après action écologique'!$N$670,'Eval-Après action écologique'!$T$669,'Eval-Après action écologique'!$T$670)=0,"",SUM('Eval-Après action écologique'!$N$669,'Eval-Après action écologique'!$T$669)/SUM('Eval-Après action écologique'!$N$669,'Eval-Après action écologique'!$N$670,'Eval-Après action écologique'!$T$669,'Eval-Après action écologique'!$T$670))))</f>
        <v/>
      </c>
      <c r="FK63" s="238" t="str">
        <f>IF(LEN('Eval-Après action écologique'!$T$107)=0,"",IF('Eval-Après action écologique'!$T$107=0,0,IF(SUM('Eval-Après action écologique'!$N$669,'Eval-Après action écologique'!$N$670,'Eval-Après action écologique'!$T$669,'Eval-Après action écologique'!$T$670)=0,"",SUM('Eval-Après action écologique'!$N$669,'Eval-Après action écologique'!$T$669)/SUM('Eval-Après action écologique'!$N$669,'Eval-Après action écologique'!$N$670,'Eval-Après action écologique'!$T$669,'Eval-Après action écologique'!$T$670))))</f>
        <v/>
      </c>
      <c r="FL63" s="238" t="str">
        <f>IF(LEN('Eval-Après action écologique'!$T$107)=0,"",IF('Eval-Après action écologique'!$T$107=0,0,IF(SUM('Eval-Après action écologique'!$N$669,'Eval-Après action écologique'!$N$670,'Eval-Après action écologique'!$T$669,'Eval-Après action écologique'!$T$670)=0,"",SUM('Eval-Après action écologique'!$N$669,'Eval-Après action écologique'!$T$669)/SUM('Eval-Après action écologique'!$N$669,'Eval-Après action écologique'!$N$670,'Eval-Après action écologique'!$T$669,'Eval-Après action écologique'!$T$670))))</f>
        <v/>
      </c>
      <c r="FM63" s="238" t="str">
        <f>IF(LEN('Eval-Après action écologique'!$T$107)=0,"",IF('Eval-Après action écologique'!$T$107=0,0,IF(SUM('Eval-Après action écologique'!$N$669,'Eval-Après action écologique'!$N$670,'Eval-Après action écologique'!$T$669,'Eval-Après action écologique'!$T$670)=0,"",SUM('Eval-Après action écologique'!$N$669,'Eval-Après action écologique'!$T$669)/SUM('Eval-Après action écologique'!$N$669,'Eval-Après action écologique'!$N$670,'Eval-Après action écologique'!$T$669,'Eval-Après action écologique'!$T$670))))</f>
        <v/>
      </c>
      <c r="FN63" s="238" t="str">
        <f>IF(LEN('Eval-Après action écologique'!$T$107)=0,"",IF('Eval-Après action écologique'!$T$107=0,0,IF(SUM('Eval-Après action écologique'!$N$669,'Eval-Après action écologique'!$N$670,'Eval-Après action écologique'!$T$669,'Eval-Après action écologique'!$T$670)=0,"",SUM('Eval-Après action écologique'!$N$669,'Eval-Après action écologique'!$T$669)/SUM('Eval-Après action écologique'!$N$669,'Eval-Après action écologique'!$N$670,'Eval-Après action écologique'!$T$669,'Eval-Après action écologique'!$T$670))))</f>
        <v/>
      </c>
      <c r="FO63" s="237"/>
      <c r="FP63" s="237"/>
      <c r="FQ63" s="239"/>
      <c r="FR63" s="236"/>
      <c r="FS63" s="237"/>
      <c r="FT63" s="238" t="str">
        <f>IF(FJ63="","",FJ63*'Eval-Après action écologique'!$T$107)</f>
        <v/>
      </c>
      <c r="FU63" s="238" t="str">
        <f>IF(FJ63="","",FJ63*'Eval-Après action écologique'!$T$107)</f>
        <v/>
      </c>
      <c r="FV63" s="238" t="str">
        <f>IF(FJ63="","",FJ63*'Eval-Après action écologique'!$T$107)</f>
        <v/>
      </c>
      <c r="FW63" s="238" t="str">
        <f>IF(FJ63="","",FJ63*'Eval-Après action écologique'!$T$107)</f>
        <v/>
      </c>
      <c r="FX63" s="238" t="str">
        <f>IF(FJ63="","",FJ63*'Eval-Après action écologique'!$T$107)</f>
        <v/>
      </c>
      <c r="FY63" s="237"/>
      <c r="FZ63" s="237"/>
      <c r="GA63" s="239"/>
      <c r="GB63" s="240" t="str">
        <f>IF(LEN('Eval-Après action écologique'!$T$107)=0,"",IF('Eval-Après action écologique'!$T$107=0,"Site détruit (0 ha).",IFERROR((IF(AND(FJ63&gt;=0,FJ63&lt;=0.2),CONCATENATE("Fossés et/ou fossés prof. pas ou très peu végétalisés (",ROUND(100*(('Eval-Après action écologique'!$N$669+'Eval-Après action écologique'!$T$669)/('Eval-Après action écologique'!$N$669+'Eval-Après action écologique'!$N$670+'Eval-Après action écologique'!$T$669+'Eval-Après action écologique'!$T$670)),0)," %)."),"")),"")))</f>
        <v/>
      </c>
      <c r="GC63" s="241" t="str">
        <f>IFERROR((IF(AND(FJ63&gt;0.2,FJ63&lt;=0.4),CONCATENATE("Fossés et/ou fossés prof. peu végétalisés (",ROUND(100*(('Eval-Après action écologique'!$N$669+'Eval-Après action écologique'!$T$669)/('Eval-Après action écologique'!$N$669+'Eval-Après action écologique'!$N$670+'Eval-Après action écologique'!$T$669+'Eval-Après action écologique'!$T$670)),0)," %)."),"")),"")</f>
        <v/>
      </c>
      <c r="GD63" s="241" t="str">
        <f>IFERROR((IF(AND(FJ63&gt;0.4,FJ63&lt;=0.6),CONCATENATE("Assez forte végétalisation des fossés et/ou fossés prof. (",ROUND(100*(('Eval-Après action écologique'!$N$669+'Eval-Après action écologique'!$T$669)/('Eval-Après action écologique'!$N$669+'Eval-Après action écologique'!$N$670+'Eval-Après action écologique'!$T$669+'Eval-Après action écologique'!$T$670)),0)," %)."),"")),"")</f>
        <v/>
      </c>
      <c r="GE63" s="241" t="str">
        <f>IFERROR((IF(AND(FJ63&gt;0.6,FJ63&lt;=0.8),CONCATENATE("Forte végétalisation des fossés et/ou fossés prof. (",ROUND(100*(('Eval-Après action écologique'!$N$669+'Eval-Après action écologique'!$T$669)/('Eval-Après action écologique'!$N$669+'Eval-Après action écologique'!$N$670+'Eval-Après action écologique'!$T$669+'Eval-Après action écologique'!$T$670)),0)," %)."),"")),"")</f>
        <v/>
      </c>
      <c r="GF63" s="241" t="str">
        <f>IFERROR(CONCATENATE((IF(FJ63=1,"Fossés et/ou fossés prof. entièrement végétalisés.","")),(IF(AND(FJ63&lt;1,FJ63&gt;0.8),CONCATENATE("Très forte végétalisation des fossés et/ou fossés prof. (",ROUND(100*(('Eval-Après action écologique'!$N$669+'Eval-Après action écologique'!$T$669)/('Eval-Après action écologique'!$N$669+'Eval-Après action écologique'!$N$670+'Eval-Après action écologique'!$T$669+'Eval-Après action écologique'!$T$670)),0)," %)."),""))),"")</f>
        <v/>
      </c>
      <c r="GG63" s="218" t="str">
        <f>IF(LEN('Eval-Après action écologique'!$T$107)=0,"",IF('Eval-Après action écologique'!$T$107=0,"",IF(SUM('Eval-Après action écologique'!$N$669:$P$670,'Eval-Après action écologique'!$T$669:$W$670)=0,"Non renseigné, pas de fossés et fossés prof.","")))</f>
        <v/>
      </c>
      <c r="GH63" s="243" t="str">
        <f>FJ63</f>
        <v/>
      </c>
      <c r="GI63" s="244" t="str">
        <f>FT63</f>
        <v/>
      </c>
    </row>
    <row r="64" spans="1:191" ht="31.5" customHeight="1" x14ac:dyDescent="0.2">
      <c r="A64" s="1133"/>
      <c r="B64" s="234" t="s">
        <v>193</v>
      </c>
      <c r="C64" s="235" t="s">
        <v>142</v>
      </c>
      <c r="D64" s="236"/>
      <c r="E64" s="238" t="str">
        <f>IF(LEN('Eval-Avant impact'!$T$107)=0,"",IF('Eval-Avant impact'!$T$107=0,0,IF('Eval-Avant impact'!$J$686="X",1-'Eval-Avant impact'!$T$691/100,"")))</f>
        <v/>
      </c>
      <c r="F64" s="237"/>
      <c r="G64" s="238" t="str">
        <f>IF(LEN('Eval-Avant impact'!$T$107)=0,"",IF('Eval-Avant impact'!$T$107=0,0,IF('Eval-Avant impact'!$J$686="X",1-'Eval-Avant impact'!$T$691/100,"")))</f>
        <v/>
      </c>
      <c r="H64" s="238" t="str">
        <f>IF(LEN('Eval-Avant impact'!$T$107)=0,"",IF('Eval-Avant impact'!$T$107=0,0,IF('Eval-Avant impact'!$J$686="X",1-'Eval-Avant impact'!$T$691/100,"")))</f>
        <v/>
      </c>
      <c r="I64" s="238" t="str">
        <f>IF(LEN('Eval-Avant impact'!$T$107)=0,"",IF('Eval-Avant impact'!$T$107=0,0,IF('Eval-Avant impact'!$J$686="X",1-'Eval-Avant impact'!$T$691/100,"")))</f>
        <v/>
      </c>
      <c r="J64" s="238" t="str">
        <f>IF(LEN('Eval-Avant impact'!$T$107)=0,"",IF('Eval-Avant impact'!$T$107=0,0,IF('Eval-Avant impact'!$J$686="X",1-'Eval-Avant impact'!$T$691/100,"")))</f>
        <v/>
      </c>
      <c r="K64" s="237"/>
      <c r="L64" s="237"/>
      <c r="M64" s="239"/>
      <c r="N64" s="236"/>
      <c r="O64" s="238" t="str">
        <f>IF(E64="","",E64*'Eval-Avant impact'!$T$107)</f>
        <v/>
      </c>
      <c r="P64" s="237"/>
      <c r="Q64" s="238" t="str">
        <f>IF(E64="","",E64*'Eval-Avant impact'!$T$107)</f>
        <v/>
      </c>
      <c r="R64" s="238" t="str">
        <f>IF(E64="","",E64*'Eval-Avant impact'!$T$107)</f>
        <v/>
      </c>
      <c r="S64" s="238" t="str">
        <f>IF(E64="","",E64*'Eval-Avant impact'!$T$107)</f>
        <v/>
      </c>
      <c r="T64" s="238" t="str">
        <f>IF(E64="","",E64*'Eval-Avant impact'!$T$107)</f>
        <v/>
      </c>
      <c r="U64" s="237"/>
      <c r="V64" s="237"/>
      <c r="W64" s="239"/>
      <c r="X64" s="240" t="str">
        <f>IF(LEN('Eval-Avant impact'!$T$107)=0,"",IF('Eval-Avant impact'!$T$107=0,"Site détruit (0 ha).",IFERROR((IF(AND(E64&gt;=0,E64&lt;=0.2),CONCATENATE("Site et zone tampon très fortement drainés (",ROUND('Eval-Avant impact'!$T$691,0)," %)."),"")),"")))</f>
        <v/>
      </c>
      <c r="Y64" s="241" t="str">
        <f>IFERROR((IF(AND(E64&gt;0.2,E64&lt;=0.4),CONCATENATE("Site et zone tampon fortement drainés (",ROUND('Eval-Avant impact'!$T$691,0)," %)."),"")),"")</f>
        <v/>
      </c>
      <c r="Z64" s="241" t="str">
        <f>IFERROR((IF(AND(E64&gt;0.4,E64&lt;=0.6),CONCATENATE("Site et zone tampon assez fortement drainés (",ROUND('Eval-Avant impact'!$T$691,0)," %)."),"")),"")</f>
        <v/>
      </c>
      <c r="AA64" s="241" t="str">
        <f>IFERROR((IF(AND(E64&gt;0.6,E64&lt;=0.8),CONCATENATE("Site et zone tampon peu drainés (",ROUND('Eval-Avant impact'!$T$691,0)," %)."),"")),"")</f>
        <v/>
      </c>
      <c r="AB64" s="241" t="str">
        <f>IFERROR((IF(AND(E64&gt;0.8,E64&lt;=1),CONCATENATE("Site et zone tampon très peu ou pas drainés (",ROUND('Eval-Avant impact'!$T$691,0)," %)."),"")),"")</f>
        <v/>
      </c>
      <c r="AC64" s="218" t="str">
        <f>IF(LEN('Eval-Avant impact'!$T$107)=0,"",IF('Eval-Avant impact'!$T$107=0,"",IF('Eval-Avant impact'!$T$686="X","Non renseigné, méconnaissance présence de drains sout.","")))</f>
        <v/>
      </c>
      <c r="AD64" s="243" t="str">
        <f>E64</f>
        <v/>
      </c>
      <c r="AE64" s="244" t="str">
        <f>O64</f>
        <v/>
      </c>
      <c r="AF64" s="245"/>
      <c r="AG64" s="1133"/>
      <c r="AH64" s="234" t="s">
        <v>193</v>
      </c>
      <c r="AI64" s="235" t="s">
        <v>142</v>
      </c>
      <c r="AJ64" s="236"/>
      <c r="AK64" s="238" t="str">
        <f>IF(LEN('Eval-Avec impact envisagé'!$T$107)=0,"",IF('Eval-Avec impact envisagé'!$T$107=0,0,IF('Eval-Avec impact envisagé'!$J$686="X",1-'Eval-Avec impact envisagé'!$T$691/100,"")))</f>
        <v/>
      </c>
      <c r="AL64" s="237"/>
      <c r="AM64" s="238" t="str">
        <f>IF(LEN('Eval-Avec impact envisagé'!$T$107)=0,"",IF('Eval-Avec impact envisagé'!$T$107=0,0,IF('Eval-Avec impact envisagé'!$J$686="X",1-'Eval-Avec impact envisagé'!$T$691/100,"")))</f>
        <v/>
      </c>
      <c r="AN64" s="238" t="str">
        <f>IF(LEN('Eval-Avec impact envisagé'!$T$107)=0,"",IF('Eval-Avec impact envisagé'!$T$107=0,0,IF('Eval-Avec impact envisagé'!$J$686="X",1-'Eval-Avec impact envisagé'!$T$691/100,"")))</f>
        <v/>
      </c>
      <c r="AO64" s="238" t="str">
        <f>IF(LEN('Eval-Avec impact envisagé'!$T$107)=0,"",IF('Eval-Avec impact envisagé'!$T$107=0,0,IF('Eval-Avec impact envisagé'!$J$686="X",1-'Eval-Avec impact envisagé'!$T$691/100,"")))</f>
        <v/>
      </c>
      <c r="AP64" s="238" t="str">
        <f>IF(LEN('Eval-Avec impact envisagé'!$T$107)=0,"",IF('Eval-Avec impact envisagé'!$T$107=0,0,IF('Eval-Avec impact envisagé'!$J$686="X",1-'Eval-Avec impact envisagé'!$T$691/100,"")))</f>
        <v/>
      </c>
      <c r="AQ64" s="237"/>
      <c r="AR64" s="237"/>
      <c r="AS64" s="239"/>
      <c r="AT64" s="236"/>
      <c r="AU64" s="238" t="str">
        <f>IF(AK64="","",AK64*'Eval-Avec impact envisagé'!$T$107)</f>
        <v/>
      </c>
      <c r="AV64" s="237"/>
      <c r="AW64" s="238" t="str">
        <f>IF(AK64="","",AK64*'Eval-Avec impact envisagé'!$T$107)</f>
        <v/>
      </c>
      <c r="AX64" s="238" t="str">
        <f>IF(AK64="","",AK64*'Eval-Avec impact envisagé'!$T$107)</f>
        <v/>
      </c>
      <c r="AY64" s="238" t="str">
        <f>IF(AK64="","",AK64*'Eval-Avec impact envisagé'!$T$107)</f>
        <v/>
      </c>
      <c r="AZ64" s="238" t="str">
        <f>IF(AK64="","",AK64*'Eval-Avec impact envisagé'!$T$107)</f>
        <v/>
      </c>
      <c r="BA64" s="237"/>
      <c r="BB64" s="237"/>
      <c r="BC64" s="239"/>
      <c r="BD64" s="240" t="str">
        <f>IF(LEN('Eval-Avec impact envisagé'!$T$107)=0,"",IF('Eval-Avec impact envisagé'!$T$107=0,"Site détruit (0 ha).",IFERROR((IF(AND(AK64&gt;=0,AK64&lt;=0.2),CONCATENATE("Site et zone tampon très fortement drainés (",ROUND('Eval-Avec impact envisagé'!$T$691,0)," %)."),"")),"")))</f>
        <v/>
      </c>
      <c r="BE64" s="241" t="str">
        <f>IFERROR((IF(AND(AK64&gt;0.2,AK64&lt;=0.4),CONCATENATE("Site et zone tampon fortement drainés (",ROUND('Eval-Avec impact envisagé'!$T$691,0)," %)."),"")),"")</f>
        <v/>
      </c>
      <c r="BF64" s="241" t="str">
        <f>IFERROR((IF(AND(AK64&gt;0.4,AK64&lt;=0.6),CONCATENATE("Site et zone tampon assez fortement drainés (",ROUND('Eval-Avec impact envisagé'!$T$691,0)," %)."),"")),"")</f>
        <v/>
      </c>
      <c r="BG64" s="241" t="str">
        <f>IFERROR((IF(AND(AK64&gt;0.6,AK64&lt;=0.8),CONCATENATE("Site et zone tampon peu drainés (",ROUND('Eval-Avec impact envisagé'!$T$691,0)," %)."),"")),"")</f>
        <v/>
      </c>
      <c r="BH64" s="241" t="str">
        <f>IFERROR((IF(AND(AK64&gt;0.8,AK64&lt;=1),CONCATENATE("Site et zone tampon très peu ou pas drainés (",ROUND('Eval-Avec impact envisagé'!$T$691,0)," %)."),"")),"")</f>
        <v/>
      </c>
      <c r="BI64" s="218" t="str">
        <f>IF(LEN('Eval-Avec impact envisagé'!$T$107)=0,"",IF('Eval-Avec impact envisagé'!$T$107=0,"",IF('Eval-Avec impact envisagé'!$T$686="X","Non renseigné, méconnaissance présence de drains sout.","")))</f>
        <v/>
      </c>
      <c r="BJ64" s="243" t="str">
        <f>AK64</f>
        <v/>
      </c>
      <c r="BK64" s="244" t="str">
        <f>AU64</f>
        <v/>
      </c>
      <c r="BL64" s="245"/>
      <c r="BM64" s="1133"/>
      <c r="BN64" s="234" t="s">
        <v>193</v>
      </c>
      <c r="BO64" s="235" t="s">
        <v>142</v>
      </c>
      <c r="BP64" s="236"/>
      <c r="BQ64" s="238" t="str">
        <f>IF(LEN('Eval-Après impact'!$T$107)=0,"",IF('Eval-Après impact'!$T$107=0,0,IF('Eval-Après impact'!$J$686="X",1-'Eval-Après impact'!$T$691/100,"")))</f>
        <v/>
      </c>
      <c r="BR64" s="237"/>
      <c r="BS64" s="238" t="str">
        <f>IF(LEN('Eval-Après impact'!$T$107)=0,"",IF('Eval-Après impact'!$T$107=0,0,IF('Eval-Après impact'!$J$686="X",1-'Eval-Après impact'!$T$691/100,"")))</f>
        <v/>
      </c>
      <c r="BT64" s="238" t="str">
        <f>IF(LEN('Eval-Après impact'!$T$107)=0,"",IF('Eval-Après impact'!$T$107=0,0,IF('Eval-Après impact'!$J$686="X",1-'Eval-Après impact'!$T$691/100,"")))</f>
        <v/>
      </c>
      <c r="BU64" s="238" t="str">
        <f>IF(LEN('Eval-Après impact'!$T$107)=0,"",IF('Eval-Après impact'!$T$107=0,0,IF('Eval-Après impact'!$J$686="X",1-'Eval-Après impact'!$T$691/100,"")))</f>
        <v/>
      </c>
      <c r="BV64" s="238" t="str">
        <f>IF(LEN('Eval-Après impact'!$T$107)=0,"",IF('Eval-Après impact'!$T$107=0,0,IF('Eval-Après impact'!$J$686="X",1-'Eval-Après impact'!$T$691/100,"")))</f>
        <v/>
      </c>
      <c r="BW64" s="237"/>
      <c r="BX64" s="237"/>
      <c r="BY64" s="239"/>
      <c r="BZ64" s="236"/>
      <c r="CA64" s="238" t="str">
        <f>IF(BQ64="","",BQ64*'Eval-Après impact'!$T$107)</f>
        <v/>
      </c>
      <c r="CB64" s="237"/>
      <c r="CC64" s="238" t="str">
        <f>IF(BQ64="","",BQ64*'Eval-Après impact'!$T$107)</f>
        <v/>
      </c>
      <c r="CD64" s="238" t="str">
        <f>IF(BQ64="","",BQ64*'Eval-Après impact'!$T$107)</f>
        <v/>
      </c>
      <c r="CE64" s="238" t="str">
        <f>IF(BQ64="","",BQ64*'Eval-Après impact'!$T$107)</f>
        <v/>
      </c>
      <c r="CF64" s="238" t="str">
        <f>IF(BQ64="","",BQ64*'Eval-Après impact'!$T$107)</f>
        <v/>
      </c>
      <c r="CG64" s="237"/>
      <c r="CH64" s="237"/>
      <c r="CI64" s="239"/>
      <c r="CJ64" s="240" t="str">
        <f>IF(LEN('Eval-Après impact'!$T$107)=0,"",IF('Eval-Après impact'!$T$107=0,"Site détruit (0 ha).",IFERROR((IF(AND(BQ64&gt;=0,BQ64&lt;=0.2),CONCATENATE("Site et zone tampon très fortement drainés (",ROUND('Eval-Après impact'!$T$691,0)," %)."),"")),"")))</f>
        <v/>
      </c>
      <c r="CK64" s="241" t="str">
        <f>IFERROR((IF(AND(BQ64&gt;0.2,BQ64&lt;=0.4),CONCATENATE("Site et zone tampon fortement drainés (",ROUND('Eval-Après impact'!$T$691,0)," %)."),"")),"")</f>
        <v/>
      </c>
      <c r="CL64" s="241" t="str">
        <f>IFERROR((IF(AND(BQ64&gt;0.4,BQ64&lt;=0.6),CONCATENATE("Site et zone tampon assez fortement drainés (",ROUND('Eval-Après impact'!$T$691,0)," %)."),"")),"")</f>
        <v/>
      </c>
      <c r="CM64" s="241" t="str">
        <f>IFERROR((IF(AND(BQ64&gt;0.6,BQ64&lt;=0.8),CONCATENATE("Site et zone tampon peu drainés (",ROUND('Eval-Après impact'!$T$691,0)," %)."),"")),"")</f>
        <v/>
      </c>
      <c r="CN64" s="241" t="str">
        <f>IFERROR((IF(AND(BQ64&gt;0.8,BQ64&lt;=1),CONCATENATE("Site et zone tampon très peu ou pas drainés (",ROUND('Eval-Après impact'!$T$691,0)," %)."),"")),"")</f>
        <v/>
      </c>
      <c r="CO64" s="218" t="str">
        <f>IF(LEN('Eval-Après impact'!$T$107)=0,"",IF('Eval-Après impact'!$T$107=0,"",IF('Eval-Après impact'!$T$686="X","Non renseigné, méconnaissance présence de drains sout.","")))</f>
        <v/>
      </c>
      <c r="CP64" s="243" t="str">
        <f>BQ64</f>
        <v/>
      </c>
      <c r="CQ64" s="244" t="str">
        <f>CA64</f>
        <v/>
      </c>
      <c r="CR64" s="245"/>
      <c r="CS64" s="1133"/>
      <c r="CT64" s="234" t="s">
        <v>193</v>
      </c>
      <c r="CU64" s="235" t="s">
        <v>142</v>
      </c>
      <c r="CV64" s="236"/>
      <c r="CW64" s="238" t="str">
        <f>IF(LEN('Eval-Avant action écologique'!$T$107)=0,"",IF('Eval-Avant action écologique'!$T$107=0,0,IF('Eval-Avant action écologique'!$J$686="X",1-'Eval-Avant action écologique'!$T$691/100,"")))</f>
        <v/>
      </c>
      <c r="CX64" s="237"/>
      <c r="CY64" s="238" t="str">
        <f>IF(LEN('Eval-Avant action écologique'!$T$107)=0,"",IF('Eval-Avant action écologique'!$T$107=0,0,IF('Eval-Avant action écologique'!$J$686="X",1-'Eval-Avant action écologique'!$T$691/100,"")))</f>
        <v/>
      </c>
      <c r="CZ64" s="238" t="str">
        <f>IF(LEN('Eval-Avant action écologique'!$T$107)=0,"",IF('Eval-Avant action écologique'!$T$107=0,0,IF('Eval-Avant action écologique'!$J$686="X",1-'Eval-Avant action écologique'!$T$691/100,"")))</f>
        <v/>
      </c>
      <c r="DA64" s="238" t="str">
        <f>IF(LEN('Eval-Avant action écologique'!$T$107)=0,"",IF('Eval-Avant action écologique'!$T$107=0,0,IF('Eval-Avant action écologique'!$J$686="X",1-'Eval-Avant action écologique'!$T$691/100,"")))</f>
        <v/>
      </c>
      <c r="DB64" s="238" t="str">
        <f>IF(LEN('Eval-Avant action écologique'!$T$107)=0,"",IF('Eval-Avant action écologique'!$T$107=0,0,IF('Eval-Avant action écologique'!$J$686="X",1-'Eval-Avant action écologique'!$T$691/100,"")))</f>
        <v/>
      </c>
      <c r="DC64" s="237"/>
      <c r="DD64" s="237"/>
      <c r="DE64" s="239"/>
      <c r="DF64" s="236"/>
      <c r="DG64" s="238" t="str">
        <f>IF(CW64="","",CW64*'Eval-Avant action écologique'!$T$107)</f>
        <v/>
      </c>
      <c r="DH64" s="237"/>
      <c r="DI64" s="238" t="str">
        <f>IF(CW64="","",CW64*'Eval-Avant action écologique'!$T$107)</f>
        <v/>
      </c>
      <c r="DJ64" s="238" t="str">
        <f>IF(CW64="","",CW64*'Eval-Avant action écologique'!$T$107)</f>
        <v/>
      </c>
      <c r="DK64" s="238" t="str">
        <f>IF(CW64="","",CW64*'Eval-Avant action écologique'!$T$107)</f>
        <v/>
      </c>
      <c r="DL64" s="238" t="str">
        <f>IF(CW64="","",CW64*'Eval-Avant action écologique'!$T$107)</f>
        <v/>
      </c>
      <c r="DM64" s="237"/>
      <c r="DN64" s="237"/>
      <c r="DO64" s="239"/>
      <c r="DP64" s="240" t="str">
        <f>IF(LEN('Eval-Avant action écologique'!$T$107)=0,"",IF('Eval-Avant action écologique'!$T$107=0,"Site détruit (0 ha).",IFERROR((IF(AND(CW64&gt;=0,CW64&lt;=0.2),CONCATENATE("Site et zone tampon très fortement drainés (",ROUND('Eval-Avant action écologique'!$T$691,0)," %)."),"")),"")))</f>
        <v/>
      </c>
      <c r="DQ64" s="241" t="str">
        <f>IFERROR((IF(AND(CW64&gt;0.2,CW64&lt;=0.4),CONCATENATE("Site et zone tampon fortement drainés (",ROUND('Eval-Avant action écologique'!$T$691,0)," %)."),"")),"")</f>
        <v/>
      </c>
      <c r="DR64" s="241" t="str">
        <f>IFERROR((IF(AND(CW64&gt;0.4,CW64&lt;=0.6),CONCATENATE("Site et zone tampon assez fortement drainés (",ROUND('Eval-Avant action écologique'!$T$691,0)," %)."),"")),"")</f>
        <v/>
      </c>
      <c r="DS64" s="241" t="str">
        <f>IFERROR((IF(AND(CW64&gt;0.6,CW64&lt;=0.8),CONCATENATE("Site et zone tampon peu drainés (",ROUND('Eval-Avant action écologique'!$T$691,0)," %)."),"")),"")</f>
        <v/>
      </c>
      <c r="DT64" s="241" t="str">
        <f>IFERROR((IF(AND(CW64&gt;0.8,CW64&lt;=1),CONCATENATE("Site et zone tampon très peu ou pas drainés (",ROUND('Eval-Avant action écologique'!$T$691,0)," %)."),"")),"")</f>
        <v/>
      </c>
      <c r="DU64" s="218" t="str">
        <f>IF(LEN('Eval-Avant action écologique'!$T$107)=0,"",IF('Eval-Avant action écologique'!$T$107=0,"",IF('Eval-Avant action écologique'!$T$686="X","Non renseigné, méconnaissance présence de drains sout.","")))</f>
        <v/>
      </c>
      <c r="DV64" s="243" t="str">
        <f>CW64</f>
        <v/>
      </c>
      <c r="DW64" s="244" t="str">
        <f>DG64</f>
        <v/>
      </c>
      <c r="DX64" s="245"/>
      <c r="DY64" s="1133"/>
      <c r="DZ64" s="234" t="s">
        <v>193</v>
      </c>
      <c r="EA64" s="235" t="s">
        <v>142</v>
      </c>
      <c r="EB64" s="236"/>
      <c r="EC64" s="238" t="str">
        <f>IF(LEN('Eval-Avec act. écol. envisagée'!$T$107)=0,"",IF('Eval-Avec act. écol. envisagée'!$T$107=0,0,IF('Eval-Avec act. écol. envisagée'!$J$686="X",1-'Eval-Avec act. écol. envisagée'!$T$691/100,"")))</f>
        <v/>
      </c>
      <c r="ED64" s="237"/>
      <c r="EE64" s="238" t="str">
        <f>IF(LEN('Eval-Avec act. écol. envisagée'!$T$107)=0,"",IF('Eval-Avec act. écol. envisagée'!$T$107=0,0,IF('Eval-Avec act. écol. envisagée'!$J$686="X",1-'Eval-Avec act. écol. envisagée'!$T$691/100,"")))</f>
        <v/>
      </c>
      <c r="EF64" s="238" t="str">
        <f>IF(LEN('Eval-Avec act. écol. envisagée'!$T$107)=0,"",IF('Eval-Avec act. écol. envisagée'!$T$107=0,0,IF('Eval-Avec act. écol. envisagée'!$J$686="X",1-'Eval-Avec act. écol. envisagée'!$T$691/100,"")))</f>
        <v/>
      </c>
      <c r="EG64" s="238" t="str">
        <f>IF(LEN('Eval-Avec act. écol. envisagée'!$T$107)=0,"",IF('Eval-Avec act. écol. envisagée'!$T$107=0,0,IF('Eval-Avec act. écol. envisagée'!$J$686="X",1-'Eval-Avec act. écol. envisagée'!$T$691/100,"")))</f>
        <v/>
      </c>
      <c r="EH64" s="238" t="str">
        <f>IF(LEN('Eval-Avec act. écol. envisagée'!$T$107)=0,"",IF('Eval-Avec act. écol. envisagée'!$T$107=0,0,IF('Eval-Avec act. écol. envisagée'!$J$686="X",1-'Eval-Avec act. écol. envisagée'!$T$691/100,"")))</f>
        <v/>
      </c>
      <c r="EI64" s="237"/>
      <c r="EJ64" s="237"/>
      <c r="EK64" s="239"/>
      <c r="EL64" s="236"/>
      <c r="EM64" s="238" t="str">
        <f>IF(EC64="","",EC64*'Eval-Avec act. écol. envisagée'!$T$107)</f>
        <v/>
      </c>
      <c r="EN64" s="237"/>
      <c r="EO64" s="238" t="str">
        <f>IF(EC64="","",EC64*'Eval-Avec act. écol. envisagée'!$T$107)</f>
        <v/>
      </c>
      <c r="EP64" s="238" t="str">
        <f>IF(EC64="","",EC64*'Eval-Avec act. écol. envisagée'!$T$107)</f>
        <v/>
      </c>
      <c r="EQ64" s="238" t="str">
        <f>IF(EC64="","",EC64*'Eval-Avec act. écol. envisagée'!$T$107)</f>
        <v/>
      </c>
      <c r="ER64" s="238" t="str">
        <f>IF(EC64="","",EC64*'Eval-Avec act. écol. envisagée'!$T$107)</f>
        <v/>
      </c>
      <c r="ES64" s="237"/>
      <c r="ET64" s="237"/>
      <c r="EU64" s="239"/>
      <c r="EV64" s="240" t="str">
        <f>IF(LEN('Eval-Avec act. écol. envisagée'!$T$107)=0,"",IF('Eval-Avec act. écol. envisagée'!$T$107=0,"Site détruit (0 ha).",IFERROR((IF(AND(EC64&gt;=0,EC64&lt;=0.2),CONCATENATE("Site et zone tampon très fortement drainés (",ROUND('Eval-Avec act. écol. envisagée'!$T$691,0)," %)."),"")),"")))</f>
        <v/>
      </c>
      <c r="EW64" s="241" t="str">
        <f>IFERROR((IF(AND(EC64&gt;0.2,EC64&lt;=0.4),CONCATENATE("Site et zone tampon fortement drainés (",ROUND('Eval-Avec act. écol. envisagée'!$T$691,0)," %)."),"")),"")</f>
        <v/>
      </c>
      <c r="EX64" s="241" t="str">
        <f>IFERROR((IF(AND(EC64&gt;0.4,EC64&lt;=0.6),CONCATENATE("Site et zone tampon assez fortement drainés (",ROUND('Eval-Avec act. écol. envisagée'!$T$691,0)," %)."),"")),"")</f>
        <v/>
      </c>
      <c r="EY64" s="241" t="str">
        <f>IFERROR((IF(AND(EC64&gt;0.6,EC64&lt;=0.8),CONCATENATE("Site et zone tampon peu drainés (",ROUND('Eval-Avec act. écol. envisagée'!$T$691,0)," %)."),"")),"")</f>
        <v/>
      </c>
      <c r="EZ64" s="241" t="str">
        <f>IFERROR((IF(AND(EC64&gt;0.8,EC64&lt;=1),CONCATENATE("Site et zone tampon très peu ou pas drainés (",ROUND('Eval-Avec act. écol. envisagée'!$T$691,0)," %)."),"")),"")</f>
        <v/>
      </c>
      <c r="FA64" s="218" t="str">
        <f>IF(LEN('Eval-Avec act. écol. envisagée'!$T$107)=0,"",IF('Eval-Avec act. écol. envisagée'!$T$107=0,"",IF('Eval-Avec act. écol. envisagée'!$T$686="X","Non renseigné, méconnaissance présence de drains sout.","")))</f>
        <v/>
      </c>
      <c r="FB64" s="243" t="str">
        <f>EC64</f>
        <v/>
      </c>
      <c r="FC64" s="244" t="str">
        <f>EM64</f>
        <v/>
      </c>
      <c r="FD64" s="245"/>
      <c r="FE64" s="1133"/>
      <c r="FF64" s="234" t="s">
        <v>193</v>
      </c>
      <c r="FG64" s="235" t="s">
        <v>142</v>
      </c>
      <c r="FH64" s="236"/>
      <c r="FI64" s="238" t="str">
        <f>IF(LEN('Eval-Après action écologique'!$T$107)=0,"",IF('Eval-Après action écologique'!$T$107=0,0,IF('Eval-Après action écologique'!$J$686="X",1-'Eval-Après action écologique'!$T$691/100,"")))</f>
        <v/>
      </c>
      <c r="FJ64" s="237"/>
      <c r="FK64" s="238" t="str">
        <f>IF(LEN('Eval-Après action écologique'!$T$107)=0,"",IF('Eval-Après action écologique'!$T$107=0,0,IF('Eval-Après action écologique'!$J$686="X",1-'Eval-Après action écologique'!$T$691/100,"")))</f>
        <v/>
      </c>
      <c r="FL64" s="238" t="str">
        <f>IF(LEN('Eval-Après action écologique'!$T$107)=0,"",IF('Eval-Après action écologique'!$T$107=0,0,IF('Eval-Après action écologique'!$J$686="X",1-'Eval-Après action écologique'!$T$691/100,"")))</f>
        <v/>
      </c>
      <c r="FM64" s="238" t="str">
        <f>IF(LEN('Eval-Après action écologique'!$T$107)=0,"",IF('Eval-Après action écologique'!$T$107=0,0,IF('Eval-Après action écologique'!$J$686="X",1-'Eval-Après action écologique'!$T$691/100,"")))</f>
        <v/>
      </c>
      <c r="FN64" s="238" t="str">
        <f>IF(LEN('Eval-Après action écologique'!$T$107)=0,"",IF('Eval-Après action écologique'!$T$107=0,0,IF('Eval-Après action écologique'!$J$686="X",1-'Eval-Après action écologique'!$T$691/100,"")))</f>
        <v/>
      </c>
      <c r="FO64" s="237"/>
      <c r="FP64" s="237"/>
      <c r="FQ64" s="239"/>
      <c r="FR64" s="236"/>
      <c r="FS64" s="238" t="str">
        <f>IF(FI64="","",FI64*'Eval-Après action écologique'!$T$107)</f>
        <v/>
      </c>
      <c r="FT64" s="237"/>
      <c r="FU64" s="238" t="str">
        <f>IF(FI64="","",FI64*'Eval-Après action écologique'!$T$107)</f>
        <v/>
      </c>
      <c r="FV64" s="238" t="str">
        <f>IF(FI64="","",FI64*'Eval-Après action écologique'!$T$107)</f>
        <v/>
      </c>
      <c r="FW64" s="238" t="str">
        <f>IF(FI64="","",FI64*'Eval-Après action écologique'!$T$107)</f>
        <v/>
      </c>
      <c r="FX64" s="238" t="str">
        <f>IF(FI64="","",FI64*'Eval-Après action écologique'!$T$107)</f>
        <v/>
      </c>
      <c r="FY64" s="237"/>
      <c r="FZ64" s="237"/>
      <c r="GA64" s="239"/>
      <c r="GB64" s="240" t="str">
        <f>IF(LEN('Eval-Après action écologique'!$T$107)=0,"",IF('Eval-Après action écologique'!$T$107=0,"Site détruit (0 ha).",IFERROR((IF(AND(FI64&gt;=0,FI64&lt;=0.2),CONCATENATE("Site et zone tampon très fortement drainés (",ROUND('Eval-Après action écologique'!$T$691,0)," %)."),"")),"")))</f>
        <v/>
      </c>
      <c r="GC64" s="241" t="str">
        <f>IFERROR((IF(AND(FI64&gt;0.2,FI64&lt;=0.4),CONCATENATE("Site et zone tampon fortement drainés (",ROUND('Eval-Après action écologique'!$T$691,0)," %)."),"")),"")</f>
        <v/>
      </c>
      <c r="GD64" s="241" t="str">
        <f>IFERROR((IF(AND(FI64&gt;0.4,FI64&lt;=0.6),CONCATENATE("Site et zone tampon assez fortement drainés (",ROUND('Eval-Après action écologique'!$T$691,0)," %)."),"")),"")</f>
        <v/>
      </c>
      <c r="GE64" s="241" t="str">
        <f>IFERROR((IF(AND(FI64&gt;0.6,FI64&lt;=0.8),CONCATENATE("Site et zone tampon peu drainés (",ROUND('Eval-Après action écologique'!$T$691,0)," %)."),"")),"")</f>
        <v/>
      </c>
      <c r="GF64" s="241" t="str">
        <f>IFERROR((IF(AND(FI64&gt;0.8,FI64&lt;=1),CONCATENATE("Site et zone tampon très peu ou pas drainés (",ROUND('Eval-Après action écologique'!$T$691,0)," %)."),"")),"")</f>
        <v/>
      </c>
      <c r="GG64" s="218" t="str">
        <f>IF(LEN('Eval-Après action écologique'!$T$107)=0,"",IF('Eval-Après action écologique'!$T$107=0,"",IF('Eval-Après action écologique'!$T$686="X","Non renseigné, méconnaissance présence de drains sout.","")))</f>
        <v/>
      </c>
      <c r="GH64" s="243" t="str">
        <f>FI64</f>
        <v/>
      </c>
      <c r="GI64" s="244" t="str">
        <f>FS64</f>
        <v/>
      </c>
    </row>
    <row r="65" spans="1:191" ht="31.5" customHeight="1" x14ac:dyDescent="0.2">
      <c r="A65" s="1133"/>
      <c r="B65" s="234" t="s">
        <v>194</v>
      </c>
      <c r="C65" s="235" t="s">
        <v>143</v>
      </c>
      <c r="D65" s="236"/>
      <c r="E65" s="237"/>
      <c r="F65" s="238" t="str">
        <f>IF(LEN('Eval-Avant impact'!$T$107)=0,"",IF('Eval-Avant impact'!$T$107=0,0,IF('Eval-Avant impact'!$T$699/100&gt;=0.1,0,1-'Eval-Avant impact'!$T$699/10)))</f>
        <v/>
      </c>
      <c r="G65" s="238" t="str">
        <f>IF(LEN('Eval-Avant impact'!$T$107)=0,"",IF('Eval-Avant impact'!$T$107=0,0,IF('Eval-Avant impact'!$T$699/100&gt;=0.1,0,1-'Eval-Avant impact'!$T$699/10)))</f>
        <v/>
      </c>
      <c r="H65" s="238" t="str">
        <f>IF(LEN('Eval-Avant impact'!$T$107)=0,"",IF('Eval-Avant impact'!$T$107=0,0,IF('Eval-Avant impact'!$T$699/100&gt;=0.1,0,1-'Eval-Avant impact'!$T$699/10)))</f>
        <v/>
      </c>
      <c r="I65" s="238" t="str">
        <f>IF(LEN('Eval-Avant impact'!$T$107)=0,"",IF('Eval-Avant impact'!$T$107=0,0,IF('Eval-Avant impact'!$T$699/100&gt;=0.1,0,1-'Eval-Avant impact'!$T$699/10)))</f>
        <v/>
      </c>
      <c r="J65" s="238" t="str">
        <f>IF(LEN('Eval-Avant impact'!$T$107)=0,"",IF('Eval-Avant impact'!$T$107=0,0,IF('Eval-Avant impact'!$T$699/100&gt;=0.1,0,1-'Eval-Avant impact'!$T$699/10)))</f>
        <v/>
      </c>
      <c r="K65" s="237"/>
      <c r="L65" s="237"/>
      <c r="M65" s="239"/>
      <c r="N65" s="236"/>
      <c r="O65" s="237"/>
      <c r="P65" s="238" t="str">
        <f>IF(F65="","",F65*'Eval-Avant impact'!$T$107)</f>
        <v/>
      </c>
      <c r="Q65" s="238" t="str">
        <f>IF(F65="","",F65*'Eval-Avant impact'!$T$107)</f>
        <v/>
      </c>
      <c r="R65" s="238" t="str">
        <f>IF(F65="","",F65*'Eval-Avant impact'!$T$107)</f>
        <v/>
      </c>
      <c r="S65" s="238" t="str">
        <f>IF(F65="","",F65*'Eval-Avant impact'!$T$107)</f>
        <v/>
      </c>
      <c r="T65" s="238" t="str">
        <f>IF(F65="","",F65*'Eval-Avant impact'!$T$107)</f>
        <v/>
      </c>
      <c r="U65" s="237"/>
      <c r="V65" s="237"/>
      <c r="W65" s="239"/>
      <c r="X65" s="240" t="str">
        <f>IF(LEN('Eval-Avant impact'!$T$107)=0,"",IF('Eval-Avant impact'!$T$107=0,"Site détruit (0 ha).",(IF(AND(F65&gt;=0,F65&lt;=0.2),CONCATENATE("Ravinement très important (",ROUND('Eval-Avant impact'!$T$699,0)," %).",),""))))</f>
        <v/>
      </c>
      <c r="Y65" s="241" t="str">
        <f>(IF(AND(F65&gt;0.2,F65&lt;=0.4),CONCATENATE("Ravinement important (",ROUND('Eval-Avant impact'!$T$699,0)," %).",),""))</f>
        <v/>
      </c>
      <c r="Z65" s="241" t="str">
        <f>(IF(AND(F65&gt;0.4,F65&lt;=0.6),CONCATENATE("Ravinement assez important (",ROUND('Eval-Avant impact'!$T$699,0)," %).",),""))</f>
        <v/>
      </c>
      <c r="AA65" s="241" t="str">
        <f>(IF(AND(F65&gt;0.6,F65&lt;=0.8),CONCATENATE("Ravinement réduit (",ROUND('Eval-Avant impact'!$T$699,0)," %).",),""))</f>
        <v/>
      </c>
      <c r="AB65" s="241" t="str">
        <f>CONCATENATE((IF(F65=1,"Absence de ravinement.","")),(IF(AND(F65&lt;1,F65&gt;0.8),CONCATENATE("Ravinement très réduit (",ROUND('Eval-Avant impact'!$T$699,0)," %).",),"")))</f>
        <v/>
      </c>
      <c r="AC65" s="246"/>
      <c r="AD65" s="243" t="str">
        <f>F65</f>
        <v/>
      </c>
      <c r="AE65" s="244" t="str">
        <f>P65</f>
        <v/>
      </c>
      <c r="AF65" s="245"/>
      <c r="AG65" s="1133"/>
      <c r="AH65" s="234" t="s">
        <v>194</v>
      </c>
      <c r="AI65" s="235" t="s">
        <v>143</v>
      </c>
      <c r="AJ65" s="236"/>
      <c r="AK65" s="237"/>
      <c r="AL65" s="238" t="str">
        <f>IF(LEN('Eval-Avec impact envisagé'!$T$107)=0,"",IF('Eval-Avec impact envisagé'!$T$107=0,0,IF('Eval-Avec impact envisagé'!$T$699/100&gt;=0.1,0,1-'Eval-Avec impact envisagé'!$T$699/10)))</f>
        <v/>
      </c>
      <c r="AM65" s="238" t="str">
        <f>IF(LEN('Eval-Avec impact envisagé'!$T$107)=0,"",IF('Eval-Avec impact envisagé'!$T$107=0,0,IF('Eval-Avec impact envisagé'!$T$699/100&gt;=0.1,0,1-'Eval-Avec impact envisagé'!$T$699/10)))</f>
        <v/>
      </c>
      <c r="AN65" s="238" t="str">
        <f>IF(LEN('Eval-Avec impact envisagé'!$T$107)=0,"",IF('Eval-Avec impact envisagé'!$T$107=0,0,IF('Eval-Avec impact envisagé'!$T$699/100&gt;=0.1,0,1-'Eval-Avec impact envisagé'!$T$699/10)))</f>
        <v/>
      </c>
      <c r="AO65" s="238" t="str">
        <f>IF(LEN('Eval-Avec impact envisagé'!$T$107)=0,"",IF('Eval-Avec impact envisagé'!$T$107=0,0,IF('Eval-Avec impact envisagé'!$T$699/100&gt;=0.1,0,1-'Eval-Avec impact envisagé'!$T$699/10)))</f>
        <v/>
      </c>
      <c r="AP65" s="238" t="str">
        <f>IF(LEN('Eval-Avec impact envisagé'!$T$107)=0,"",IF('Eval-Avec impact envisagé'!$T$107=0,0,IF('Eval-Avec impact envisagé'!$T$699/100&gt;=0.1,0,1-'Eval-Avec impact envisagé'!$T$699/10)))</f>
        <v/>
      </c>
      <c r="AQ65" s="237"/>
      <c r="AR65" s="237"/>
      <c r="AS65" s="239"/>
      <c r="AT65" s="236"/>
      <c r="AU65" s="237"/>
      <c r="AV65" s="238" t="str">
        <f>IF(AL65="","",AL65*'Eval-Avec impact envisagé'!$T$107)</f>
        <v/>
      </c>
      <c r="AW65" s="238" t="str">
        <f>IF(AL65="","",AL65*'Eval-Avec impact envisagé'!$T$107)</f>
        <v/>
      </c>
      <c r="AX65" s="238" t="str">
        <f>IF(AL65="","",AL65*'Eval-Avec impact envisagé'!$T$107)</f>
        <v/>
      </c>
      <c r="AY65" s="238" t="str">
        <f>IF(AL65="","",AL65*'Eval-Avec impact envisagé'!$T$107)</f>
        <v/>
      </c>
      <c r="AZ65" s="238" t="str">
        <f>IF(AL65="","",AL65*'Eval-Avec impact envisagé'!$T$107)</f>
        <v/>
      </c>
      <c r="BA65" s="237"/>
      <c r="BB65" s="237"/>
      <c r="BC65" s="239"/>
      <c r="BD65" s="240" t="str">
        <f>IF(LEN('Eval-Avec impact envisagé'!$T$107)=0,"",IF('Eval-Avec impact envisagé'!$T$107=0,"Site détruit (0 ha).",(IF(AND(AL65&gt;=0,AL65&lt;=0.2),CONCATENATE("Ravinement très important (",ROUND('Eval-Avec impact envisagé'!$T$699,0)," %).",),""))))</f>
        <v/>
      </c>
      <c r="BE65" s="241" t="str">
        <f>(IF(AND(AL65&gt;0.2,AL65&lt;=0.4),CONCATENATE("Ravinement important (",ROUND('Eval-Avec impact envisagé'!$T$699,0)," %).",),""))</f>
        <v/>
      </c>
      <c r="BF65" s="241" t="str">
        <f>(IF(AND(AL65&gt;0.4,AL65&lt;=0.6),CONCATENATE("Ravinement assez important (",ROUND('Eval-Avec impact envisagé'!$T$699,0)," %).",),""))</f>
        <v/>
      </c>
      <c r="BG65" s="241" t="str">
        <f>(IF(AND(AL65&gt;0.6,AL65&lt;=0.8),CONCATENATE("Ravinement réduit (",ROUND('Eval-Avec impact envisagé'!$T$699,0)," %).",),""))</f>
        <v/>
      </c>
      <c r="BH65" s="241" t="str">
        <f>CONCATENATE((IF(AL65=1,"Absence de ravinement.","")),(IF(AND(AL65&lt;1,AL65&gt;0.8),CONCATENATE("Ravinement très réduit (",ROUND('Eval-Avec impact envisagé'!$T$699,0)," %).",),"")))</f>
        <v/>
      </c>
      <c r="BI65" s="246"/>
      <c r="BJ65" s="243" t="str">
        <f>AL65</f>
        <v/>
      </c>
      <c r="BK65" s="244" t="str">
        <f>AV65</f>
        <v/>
      </c>
      <c r="BL65" s="245"/>
      <c r="BM65" s="1133"/>
      <c r="BN65" s="234" t="s">
        <v>194</v>
      </c>
      <c r="BO65" s="235" t="s">
        <v>143</v>
      </c>
      <c r="BP65" s="236"/>
      <c r="BQ65" s="237"/>
      <c r="BR65" s="238" t="str">
        <f>IF(LEN('Eval-Après impact'!$T$107)=0,"",IF('Eval-Après impact'!$T$107=0,0,IF('Eval-Après impact'!$T$699/100&gt;=0.1,0,1-'Eval-Après impact'!$T$699/10)))</f>
        <v/>
      </c>
      <c r="BS65" s="238" t="str">
        <f>IF(LEN('Eval-Après impact'!$T$107)=0,"",IF('Eval-Après impact'!$T$107=0,0,IF('Eval-Après impact'!$T$699/100&gt;=0.1,0,1-'Eval-Après impact'!$T$699/10)))</f>
        <v/>
      </c>
      <c r="BT65" s="238" t="str">
        <f>IF(LEN('Eval-Après impact'!$T$107)=0,"",IF('Eval-Après impact'!$T$107=0,0,IF('Eval-Après impact'!$T$699/100&gt;=0.1,0,1-'Eval-Après impact'!$T$699/10)))</f>
        <v/>
      </c>
      <c r="BU65" s="238" t="str">
        <f>IF(LEN('Eval-Après impact'!$T$107)=0,"",IF('Eval-Après impact'!$T$107=0,0,IF('Eval-Après impact'!$T$699/100&gt;=0.1,0,1-'Eval-Après impact'!$T$699/10)))</f>
        <v/>
      </c>
      <c r="BV65" s="238" t="str">
        <f>IF(LEN('Eval-Après impact'!$T$107)=0,"",IF('Eval-Après impact'!$T$107=0,0,IF('Eval-Après impact'!$T$699/100&gt;=0.1,0,1-'Eval-Après impact'!$T$699/10)))</f>
        <v/>
      </c>
      <c r="BW65" s="237"/>
      <c r="BX65" s="237"/>
      <c r="BY65" s="239"/>
      <c r="BZ65" s="236"/>
      <c r="CA65" s="237"/>
      <c r="CB65" s="238" t="str">
        <f>IF(BR65="","",BR65*'Eval-Après impact'!$T$107)</f>
        <v/>
      </c>
      <c r="CC65" s="238" t="str">
        <f>IF(BR65="","",BR65*'Eval-Après impact'!$T$107)</f>
        <v/>
      </c>
      <c r="CD65" s="238" t="str">
        <f>IF(BR65="","",BR65*'Eval-Après impact'!$T$107)</f>
        <v/>
      </c>
      <c r="CE65" s="238" t="str">
        <f>IF(BR65="","",BR65*'Eval-Après impact'!$T$107)</f>
        <v/>
      </c>
      <c r="CF65" s="238" t="str">
        <f>IF(BR65="","",BR65*'Eval-Après impact'!$T$107)</f>
        <v/>
      </c>
      <c r="CG65" s="237"/>
      <c r="CH65" s="237"/>
      <c r="CI65" s="239"/>
      <c r="CJ65" s="240" t="str">
        <f>IF(LEN('Eval-Après impact'!$T$107)=0,"",IF('Eval-Après impact'!$T$107=0,"Site détruit (0 ha).",(IF(AND(BR65&gt;=0,BR65&lt;=0.2),CONCATENATE("Ravinement très important (",ROUND('Eval-Après impact'!$T$699,0)," %).",),""))))</f>
        <v/>
      </c>
      <c r="CK65" s="241" t="str">
        <f>(IF(AND(BR65&gt;0.2,BR65&lt;=0.4),CONCATENATE("Ravinement important (",ROUND('Eval-Après impact'!$T$699,0)," %).",),""))</f>
        <v/>
      </c>
      <c r="CL65" s="241" t="str">
        <f>(IF(AND(BR65&gt;0.4,BR65&lt;=0.6),CONCATENATE("Ravinement assez important (",ROUND('Eval-Après impact'!$T$699,0)," %).",),""))</f>
        <v/>
      </c>
      <c r="CM65" s="241" t="str">
        <f>(IF(AND(BR65&gt;0.6,BR65&lt;=0.8),CONCATENATE("Ravinement réduit (",ROUND('Eval-Après impact'!$T$699,0)," %).",),""))</f>
        <v/>
      </c>
      <c r="CN65" s="241" t="str">
        <f>CONCATENATE((IF(BR65=1,"Absence de ravinement.","")),(IF(AND(BR65&lt;1,BR65&gt;0.8),CONCATENATE("Ravinement très réduit (",ROUND('Eval-Après impact'!$T$699,0)," %).",),"")))</f>
        <v/>
      </c>
      <c r="CO65" s="246"/>
      <c r="CP65" s="243" t="str">
        <f>BR65</f>
        <v/>
      </c>
      <c r="CQ65" s="244" t="str">
        <f>CB65</f>
        <v/>
      </c>
      <c r="CR65" s="245"/>
      <c r="CS65" s="1133"/>
      <c r="CT65" s="234" t="s">
        <v>194</v>
      </c>
      <c r="CU65" s="235" t="s">
        <v>143</v>
      </c>
      <c r="CV65" s="236"/>
      <c r="CW65" s="237"/>
      <c r="CX65" s="238" t="str">
        <f>IF(LEN('Eval-Avant action écologique'!$T$107)=0,"",IF('Eval-Avant action écologique'!$T$107=0,0,IF('Eval-Avant action écologique'!$T$699/100&gt;=0.1,0,1-'Eval-Avant action écologique'!$T$699/10)))</f>
        <v/>
      </c>
      <c r="CY65" s="238" t="str">
        <f>IF(LEN('Eval-Avant action écologique'!$T$107)=0,"",IF('Eval-Avant action écologique'!$T$107=0,0,IF('Eval-Avant action écologique'!$T$699/100&gt;=0.1,0,1-'Eval-Avant action écologique'!$T$699/10)))</f>
        <v/>
      </c>
      <c r="CZ65" s="238" t="str">
        <f>IF(LEN('Eval-Avant action écologique'!$T$107)=0,"",IF('Eval-Avant action écologique'!$T$107=0,0,IF('Eval-Avant action écologique'!$T$699/100&gt;=0.1,0,1-'Eval-Avant action écologique'!$T$699/10)))</f>
        <v/>
      </c>
      <c r="DA65" s="238" t="str">
        <f>IF(LEN('Eval-Avant action écologique'!$T$107)=0,"",IF('Eval-Avant action écologique'!$T$107=0,0,IF('Eval-Avant action écologique'!$T$699/100&gt;=0.1,0,1-'Eval-Avant action écologique'!$T$699/10)))</f>
        <v/>
      </c>
      <c r="DB65" s="238" t="str">
        <f>IF(LEN('Eval-Avant action écologique'!$T$107)=0,"",IF('Eval-Avant action écologique'!$T$107=0,0,IF('Eval-Avant action écologique'!$T$699/100&gt;=0.1,0,1-'Eval-Avant action écologique'!$T$699/10)))</f>
        <v/>
      </c>
      <c r="DC65" s="237"/>
      <c r="DD65" s="237"/>
      <c r="DE65" s="239"/>
      <c r="DF65" s="236"/>
      <c r="DG65" s="237"/>
      <c r="DH65" s="238" t="str">
        <f>IF(CX65="","",CX65*'Eval-Avant action écologique'!$T$107)</f>
        <v/>
      </c>
      <c r="DI65" s="238" t="str">
        <f>IF(CX65="","",CX65*'Eval-Avant action écologique'!$T$107)</f>
        <v/>
      </c>
      <c r="DJ65" s="238" t="str">
        <f>IF(CX65="","",CX65*'Eval-Avant action écologique'!$T$107)</f>
        <v/>
      </c>
      <c r="DK65" s="238" t="str">
        <f>IF(CX65="","",CX65*'Eval-Avant action écologique'!$T$107)</f>
        <v/>
      </c>
      <c r="DL65" s="238" t="str">
        <f>IF(CX65="","",CX65*'Eval-Avant action écologique'!$T$107)</f>
        <v/>
      </c>
      <c r="DM65" s="237"/>
      <c r="DN65" s="237"/>
      <c r="DO65" s="239"/>
      <c r="DP65" s="240" t="str">
        <f>IF(LEN('Eval-Avant action écologique'!$T$107)=0,"",IF('Eval-Avant action écologique'!$T$107=0,"Site détruit (0 ha).",(IF(AND(CX65&gt;=0,CX65&lt;=0.2),CONCATENATE("Ravinement très important (",ROUND('Eval-Avant action écologique'!$T$699,0)," %).",),""))))</f>
        <v/>
      </c>
      <c r="DQ65" s="241" t="str">
        <f>(IF(AND(CX65&gt;0.2,CX65&lt;=0.4),CONCATENATE("Ravinement important (",ROUND('Eval-Avant action écologique'!$T$699,0)," %).",),""))</f>
        <v/>
      </c>
      <c r="DR65" s="241" t="str">
        <f>(IF(AND(CX65&gt;0.4,CX65&lt;=0.6),CONCATENATE("Ravinement assez important (",ROUND('Eval-Avant action écologique'!$T$699,0)," %).",),""))</f>
        <v/>
      </c>
      <c r="DS65" s="241" t="str">
        <f>(IF(AND(CX65&gt;0.6,CX65&lt;=0.8),CONCATENATE("Ravinement réduit (",ROUND('Eval-Avant action écologique'!$T$699,0)," %).",),""))</f>
        <v/>
      </c>
      <c r="DT65" s="241" t="str">
        <f>CONCATENATE((IF(CX65=1,"Absence de ravinement.","")),(IF(AND(CX65&lt;1,CX65&gt;0.8),CONCATENATE("Ravinement très réduit (",ROUND('Eval-Avant action écologique'!$T$699,0)," %).",),"")))</f>
        <v/>
      </c>
      <c r="DU65" s="246"/>
      <c r="DV65" s="243" t="str">
        <f>CX65</f>
        <v/>
      </c>
      <c r="DW65" s="244" t="str">
        <f>DH65</f>
        <v/>
      </c>
      <c r="DX65" s="245"/>
      <c r="DY65" s="1133"/>
      <c r="DZ65" s="234" t="s">
        <v>194</v>
      </c>
      <c r="EA65" s="235" t="s">
        <v>143</v>
      </c>
      <c r="EB65" s="236"/>
      <c r="EC65" s="237"/>
      <c r="ED65" s="238" t="str">
        <f>IF(LEN('Eval-Avec act. écol. envisagée'!$T$107)=0,"",IF('Eval-Avec act. écol. envisagée'!$T$107=0,0,IF('Eval-Avec act. écol. envisagée'!$T$699/100&gt;=0.1,0,1-'Eval-Avec act. écol. envisagée'!$T$699/10)))</f>
        <v/>
      </c>
      <c r="EE65" s="238" t="str">
        <f>IF(LEN('Eval-Avec act. écol. envisagée'!$T$107)=0,"",IF('Eval-Avec act. écol. envisagée'!$T$107=0,0,IF('Eval-Avec act. écol. envisagée'!$T$699/100&gt;=0.1,0,1-'Eval-Avec act. écol. envisagée'!$T$699/10)))</f>
        <v/>
      </c>
      <c r="EF65" s="238" t="str">
        <f>IF(LEN('Eval-Avec act. écol. envisagée'!$T$107)=0,"",IF('Eval-Avec act. écol. envisagée'!$T$107=0,0,IF('Eval-Avec act. écol. envisagée'!$T$699/100&gt;=0.1,0,1-'Eval-Avec act. écol. envisagée'!$T$699/10)))</f>
        <v/>
      </c>
      <c r="EG65" s="238" t="str">
        <f>IF(LEN('Eval-Avec act. écol. envisagée'!$T$107)=0,"",IF('Eval-Avec act. écol. envisagée'!$T$107=0,0,IF('Eval-Avec act. écol. envisagée'!$T$699/100&gt;=0.1,0,1-'Eval-Avec act. écol. envisagée'!$T$699/10)))</f>
        <v/>
      </c>
      <c r="EH65" s="238" t="str">
        <f>IF(LEN('Eval-Avec act. écol. envisagée'!$T$107)=0,"",IF('Eval-Avec act. écol. envisagée'!$T$107=0,0,IF('Eval-Avec act. écol. envisagée'!$T$699/100&gt;=0.1,0,1-'Eval-Avec act. écol. envisagée'!$T$699/10)))</f>
        <v/>
      </c>
      <c r="EI65" s="237"/>
      <c r="EJ65" s="237"/>
      <c r="EK65" s="239"/>
      <c r="EL65" s="236"/>
      <c r="EM65" s="237"/>
      <c r="EN65" s="238" t="str">
        <f>IF(ED65="","",ED65*'Eval-Avec act. écol. envisagée'!$T$107)</f>
        <v/>
      </c>
      <c r="EO65" s="238" t="str">
        <f>IF(ED65="","",ED65*'Eval-Avec act. écol. envisagée'!$T$107)</f>
        <v/>
      </c>
      <c r="EP65" s="238" t="str">
        <f>IF(ED65="","",ED65*'Eval-Avec act. écol. envisagée'!$T$107)</f>
        <v/>
      </c>
      <c r="EQ65" s="238" t="str">
        <f>IF(ED65="","",ED65*'Eval-Avec act. écol. envisagée'!$T$107)</f>
        <v/>
      </c>
      <c r="ER65" s="238" t="str">
        <f>IF(ED65="","",ED65*'Eval-Avec act. écol. envisagée'!$T$107)</f>
        <v/>
      </c>
      <c r="ES65" s="237"/>
      <c r="ET65" s="237"/>
      <c r="EU65" s="239"/>
      <c r="EV65" s="240" t="str">
        <f>IF(LEN('Eval-Avec act. écol. envisagée'!$T$107)=0,"",IF('Eval-Avec act. écol. envisagée'!$T$107=0,"Site détruit (0 ha).",(IF(AND(ED65&gt;=0,ED65&lt;=0.2),CONCATENATE("Ravinement très important (",ROUND('Eval-Avec act. écol. envisagée'!$T$699,0)," %).",),""))))</f>
        <v/>
      </c>
      <c r="EW65" s="241" t="str">
        <f>(IF(AND(ED65&gt;0.2,ED65&lt;=0.4),CONCATENATE("Ravinement important (",ROUND('Eval-Avec act. écol. envisagée'!$T$699,0)," %).",),""))</f>
        <v/>
      </c>
      <c r="EX65" s="241" t="str">
        <f>(IF(AND(ED65&gt;0.4,ED65&lt;=0.6),CONCATENATE("Ravinement assez important (",ROUND('Eval-Avec act. écol. envisagée'!$T$699,0)," %).",),""))</f>
        <v/>
      </c>
      <c r="EY65" s="241" t="str">
        <f>(IF(AND(ED65&gt;0.6,ED65&lt;=0.8),CONCATENATE("Ravinement réduit (",ROUND('Eval-Avec act. écol. envisagée'!$T$699,0)," %).",),""))</f>
        <v/>
      </c>
      <c r="EZ65" s="241" t="str">
        <f>CONCATENATE((IF(ED65=1,"Absence de ravinement.","")),(IF(AND(ED65&lt;1,ED65&gt;0.8),CONCATENATE("Ravinement très réduit (",ROUND('Eval-Avec act. écol. envisagée'!$T$699,0)," %).",),"")))</f>
        <v/>
      </c>
      <c r="FA65" s="246"/>
      <c r="FB65" s="243" t="str">
        <f>ED65</f>
        <v/>
      </c>
      <c r="FC65" s="244" t="str">
        <f>EN65</f>
        <v/>
      </c>
      <c r="FD65" s="245"/>
      <c r="FE65" s="1133"/>
      <c r="FF65" s="234" t="s">
        <v>194</v>
      </c>
      <c r="FG65" s="235" t="s">
        <v>143</v>
      </c>
      <c r="FH65" s="236"/>
      <c r="FI65" s="237"/>
      <c r="FJ65" s="238" t="str">
        <f>IF(LEN('Eval-Après action écologique'!$T$107)=0,"",IF('Eval-Après action écologique'!$T$107=0,0,IF('Eval-Après action écologique'!$T$699/100&gt;=0.1,0,1-'Eval-Après action écologique'!$T$699/10)))</f>
        <v/>
      </c>
      <c r="FK65" s="238" t="str">
        <f>IF(LEN('Eval-Après action écologique'!$T$107)=0,"",IF('Eval-Après action écologique'!$T$107=0,0,IF('Eval-Après action écologique'!$T$699/100&gt;=0.1,0,1-'Eval-Après action écologique'!$T$699/10)))</f>
        <v/>
      </c>
      <c r="FL65" s="238" t="str">
        <f>IF(LEN('Eval-Après action écologique'!$T$107)=0,"",IF('Eval-Après action écologique'!$T$107=0,0,IF('Eval-Après action écologique'!$T$699/100&gt;=0.1,0,1-'Eval-Après action écologique'!$T$699/10)))</f>
        <v/>
      </c>
      <c r="FM65" s="238" t="str">
        <f>IF(LEN('Eval-Après action écologique'!$T$107)=0,"",IF('Eval-Après action écologique'!$T$107=0,0,IF('Eval-Après action écologique'!$T$699/100&gt;=0.1,0,1-'Eval-Après action écologique'!$T$699/10)))</f>
        <v/>
      </c>
      <c r="FN65" s="238" t="str">
        <f>IF(LEN('Eval-Après action écologique'!$T$107)=0,"",IF('Eval-Après action écologique'!$T$107=0,0,IF('Eval-Après action écologique'!$T$699/100&gt;=0.1,0,1-'Eval-Après action écologique'!$T$699/10)))</f>
        <v/>
      </c>
      <c r="FO65" s="237"/>
      <c r="FP65" s="237"/>
      <c r="FQ65" s="239"/>
      <c r="FR65" s="236"/>
      <c r="FS65" s="237"/>
      <c r="FT65" s="238" t="str">
        <f>IF(FJ65="","",FJ65*'Eval-Après action écologique'!$T$107)</f>
        <v/>
      </c>
      <c r="FU65" s="238" t="str">
        <f>IF(FJ65="","",FJ65*'Eval-Après action écologique'!$T$107)</f>
        <v/>
      </c>
      <c r="FV65" s="238" t="str">
        <f>IF(FJ65="","",FJ65*'Eval-Après action écologique'!$T$107)</f>
        <v/>
      </c>
      <c r="FW65" s="238" t="str">
        <f>IF(FJ65="","",FJ65*'Eval-Après action écologique'!$T$107)</f>
        <v/>
      </c>
      <c r="FX65" s="238" t="str">
        <f>IF(FJ65="","",FJ65*'Eval-Après action écologique'!$T$107)</f>
        <v/>
      </c>
      <c r="FY65" s="237"/>
      <c r="FZ65" s="237"/>
      <c r="GA65" s="239"/>
      <c r="GB65" s="240" t="str">
        <f>IF(LEN('Eval-Après action écologique'!$T$107)=0,"",IF('Eval-Après action écologique'!$T$107=0,"Site détruit (0 ha).",(IF(AND(FJ65&gt;=0,FJ65&lt;=0.2),CONCATENATE("Ravinement très important (",ROUND('Eval-Après action écologique'!$T$699,0)," %).",),""))))</f>
        <v/>
      </c>
      <c r="GC65" s="241" t="str">
        <f>(IF(AND(FJ65&gt;0.2,FJ65&lt;=0.4),CONCATENATE("Ravinement important (",ROUND('Eval-Après action écologique'!$T$699,0)," %).",),""))</f>
        <v/>
      </c>
      <c r="GD65" s="241" t="str">
        <f>(IF(AND(FJ65&gt;0.4,FJ65&lt;=0.6),CONCATENATE("Ravinement assez important (",ROUND('Eval-Après action écologique'!$T$699,0)," %).",),""))</f>
        <v/>
      </c>
      <c r="GE65" s="241" t="str">
        <f>(IF(AND(FJ65&gt;0.6,FJ65&lt;=0.8),CONCATENATE("Ravinement réduit (",ROUND('Eval-Après action écologique'!$T$699,0)," %).",),""))</f>
        <v/>
      </c>
      <c r="GF65" s="241" t="str">
        <f>CONCATENATE((IF(FJ65=1,"Absence de ravinement.","")),(IF(AND(FJ65&lt;1,FJ65&gt;0.8),CONCATENATE("Ravinement très réduit (",ROUND('Eval-Après action écologique'!$T$699,0)," %).",),"")))</f>
        <v/>
      </c>
      <c r="GG65" s="246"/>
      <c r="GH65" s="243" t="str">
        <f>FJ65</f>
        <v/>
      </c>
      <c r="GI65" s="244" t="str">
        <f>FT65</f>
        <v/>
      </c>
    </row>
    <row r="66" spans="1:191" ht="31.5" customHeight="1" x14ac:dyDescent="0.2">
      <c r="A66" s="1133"/>
      <c r="B66" s="234" t="s">
        <v>195</v>
      </c>
      <c r="C66" s="235" t="s">
        <v>417</v>
      </c>
      <c r="D66" s="236"/>
      <c r="E66" s="237"/>
      <c r="F66" s="238" t="str">
        <f>IF(OR('Eval-Avant impact'!$T$107="",AND('Eval-Avant impact'!$T$107=0,'Eval-Avant impact'!$J$121=""), AND('Eval-Avant impact'!$T$107&gt;0,'Eval-Avant impact'!$J$121=""),AND('Eval-Avant impact'!$T$107&gt;0,'Eval-Avant impact'!$J$121="x",'Eval-Avant impact'!$T$726=0)),"",IF(AND('Eval-Avant impact'!$T$107=0,'Eval-Avant impact'!$J$121="X"),0,1-'Eval-Avant impact'!$T$734/'Eval-Avant impact'!$T$726))</f>
        <v/>
      </c>
      <c r="G66" s="238" t="str">
        <f>IF(OR('Eval-Avant impact'!$T$107="",AND('Eval-Avant impact'!$T$107=0,'Eval-Avant impact'!$J$121=""), AND('Eval-Avant impact'!$T$107&gt;0,'Eval-Avant impact'!$J$121=""),AND('Eval-Avant impact'!$T$107&gt;0,'Eval-Avant impact'!$J$121="x",'Eval-Avant impact'!$T$726=0)),"",IF(AND('Eval-Avant impact'!$T$107=0,'Eval-Avant impact'!$J$121="X"),0,1-'Eval-Avant impact'!$T$734/'Eval-Avant impact'!$T$726))</f>
        <v/>
      </c>
      <c r="H66" s="238" t="str">
        <f>IF(OR('Eval-Avant impact'!$T$107="",AND('Eval-Avant impact'!$T$107=0,'Eval-Avant impact'!$J$121=""), AND('Eval-Avant impact'!$T$107&gt;0,'Eval-Avant impact'!$J$121=""),AND('Eval-Avant impact'!$T$107&gt;0,'Eval-Avant impact'!$J$121="x",'Eval-Avant impact'!$T$726=0)),"",IF(AND('Eval-Avant impact'!$T$107=0,'Eval-Avant impact'!$J$121="X"),0,1-'Eval-Avant impact'!$T$734/'Eval-Avant impact'!$T$726))</f>
        <v/>
      </c>
      <c r="I66" s="238" t="str">
        <f>IF(OR('Eval-Avant impact'!$T$107="",AND('Eval-Avant impact'!$T$107=0,'Eval-Avant impact'!$J$121=""), AND('Eval-Avant impact'!$T$107&gt;0,'Eval-Avant impact'!$J$121=""),AND('Eval-Avant impact'!$T$107&gt;0,'Eval-Avant impact'!$J$121="x",'Eval-Avant impact'!$T$726=0)),"",IF(AND('Eval-Avant impact'!$T$107=0,'Eval-Avant impact'!$J$121="X"),0,1-'Eval-Avant impact'!$T$734/'Eval-Avant impact'!$T$726))</f>
        <v/>
      </c>
      <c r="J66" s="238" t="str">
        <f>IF(OR('Eval-Avant impact'!$T$107="",AND('Eval-Avant impact'!$T$107=0,'Eval-Avant impact'!$J$121=""), AND('Eval-Avant impact'!$T$107&gt;0,'Eval-Avant impact'!$J$121=""),AND('Eval-Avant impact'!$T$107&gt;0,'Eval-Avant impact'!$J$121="x",'Eval-Avant impact'!$T$726=0)),"",IF(AND('Eval-Avant impact'!$T$107=0,'Eval-Avant impact'!$J$121="X"),0,1-'Eval-Avant impact'!$T$734/'Eval-Avant impact'!$T$726))</f>
        <v/>
      </c>
      <c r="K66" s="237"/>
      <c r="L66" s="237"/>
      <c r="M66" s="239"/>
      <c r="N66" s="236"/>
      <c r="O66" s="237"/>
      <c r="P66" s="238" t="str">
        <f>IF(F66="","",F66*'Eval-Avant impact'!$T$726)</f>
        <v/>
      </c>
      <c r="Q66" s="238" t="str">
        <f>IF(F66="","",F66*'Eval-Avant impact'!$T$726)</f>
        <v/>
      </c>
      <c r="R66" s="238" t="str">
        <f>IF(F66="","",F66*'Eval-Avant impact'!$T$726)</f>
        <v/>
      </c>
      <c r="S66" s="238" t="str">
        <f>IF(F66="","",F66*'Eval-Avant impact'!$T$726)</f>
        <v/>
      </c>
      <c r="T66" s="238" t="str">
        <f>IF(F66="","",F66*'Eval-Avant impact'!$T$726)</f>
        <v/>
      </c>
      <c r="U66" s="237"/>
      <c r="V66" s="237"/>
      <c r="W66" s="239"/>
      <c r="X66" s="240" t="str">
        <f>IF(LEN('Eval-Avant impact'!$T$107)=0,"",IF('Eval-Avant impact'!$T$107=0,"Site détruit (0 ha).",(IF(AND(F66&gt;=0,F66&lt;=0.2),CONCATENATE("Berges nues très importantes (",ROUND(100*'Eval-Avant impact'!$T$734/'Eval-Avant impact'!$T$726,0)," %).",),""))))</f>
        <v/>
      </c>
      <c r="Y66" s="241" t="str">
        <f>(IF(AND(F66&gt;0.2,F66&lt;=0.4),CONCATENATE("Berges nues importantes (",ROUND(100*'Eval-Avant impact'!$T$734/'Eval-Avant impact'!$T$726,0)," %).",),""))</f>
        <v/>
      </c>
      <c r="Z66" s="241" t="str">
        <f>(IF(AND(F66&gt;0.4,F66&lt;=0.6),CONCATENATE("Berges nues assez importantes (",ROUND(100*'Eval-Avant impact'!$T$734/'Eval-Avant impact'!$T$726,0)," %).",),""))</f>
        <v/>
      </c>
      <c r="AA66" s="241" t="str">
        <f>(IF(AND(F66&gt;0.6,F66&lt;=0.8),CONCATENATE("Berges nues assez réduites (",ROUND(100*'Eval-Avant impact'!$T$734/'Eval-Avant impact'!$T$726,0)," %).",),""))</f>
        <v/>
      </c>
      <c r="AB66" s="241" t="str">
        <f>(IF(AND(F66&gt;0.8,F66&lt;=1),CONCATENATE("Berges nues très réduites (",ROUND(100*'Eval-Avant impact'!$T$734/'Eval-Avant impact'!$T$726,0)," %).",),""))</f>
        <v/>
      </c>
      <c r="AC66" s="218" t="str">
        <f>IF(LEN('Eval-Avant impact'!$T$107)=0,"",IF('Eval-Avant impact'!$T$107=0,"",IF('Eval-Avant impact'!$J$121="x","","Non renseigné. Site non alluvial.")))</f>
        <v/>
      </c>
      <c r="AD66" s="243" t="str">
        <f>F66</f>
        <v/>
      </c>
      <c r="AE66" s="244" t="str">
        <f>P66</f>
        <v/>
      </c>
      <c r="AF66" s="245"/>
      <c r="AG66" s="1133"/>
      <c r="AH66" s="234" t="s">
        <v>195</v>
      </c>
      <c r="AI66" s="235" t="s">
        <v>417</v>
      </c>
      <c r="AJ66" s="236"/>
      <c r="AK66" s="237"/>
      <c r="AL66" s="238" t="str">
        <f>IF(OR('Eval-Avec impact envisagé'!$T$107="",AND('Eval-Avec impact envisagé'!$T$107=0,'Eval-Avant impact'!$J$121=""), AND('Eval-Avec impact envisagé'!$T$107&gt;0,'Eval-Avec impact envisagé'!$J$121=""),AND('Eval-Avec impact envisagé'!$T$107&gt;0,'Eval-Avec impact envisagé'!$J$121="x",'Eval-Avec impact envisagé'!$T$726=0)),"",IF(AND('Eval-Avec impact envisagé'!$T$107=0,'Eval-Avant impact'!$J$121="X"),0,1-'Eval-Avec impact envisagé'!$T$734/'Eval-Avec impact envisagé'!$T$726))</f>
        <v/>
      </c>
      <c r="AM66" s="238" t="str">
        <f>IF(OR('Eval-Avec impact envisagé'!$T$107="",AND('Eval-Avec impact envisagé'!$T$107=0,'Eval-Avant impact'!$J$121=""), AND('Eval-Avec impact envisagé'!$T$107&gt;0,'Eval-Avec impact envisagé'!$J$121=""),AND('Eval-Avec impact envisagé'!$T$107&gt;0,'Eval-Avec impact envisagé'!$J$121="x",'Eval-Avec impact envisagé'!$T$726=0)),"",IF(AND('Eval-Avec impact envisagé'!$T$107=0,'Eval-Avant impact'!$J$121="X"),0,1-'Eval-Avec impact envisagé'!$T$734/'Eval-Avec impact envisagé'!$T$726))</f>
        <v/>
      </c>
      <c r="AN66" s="238" t="str">
        <f>IF(OR('Eval-Avec impact envisagé'!$T$107="",AND('Eval-Avec impact envisagé'!$T$107=0,'Eval-Avant impact'!$J$121=""), AND('Eval-Avec impact envisagé'!$T$107&gt;0,'Eval-Avec impact envisagé'!$J$121=""),AND('Eval-Avec impact envisagé'!$T$107&gt;0,'Eval-Avec impact envisagé'!$J$121="x",'Eval-Avec impact envisagé'!$T$726=0)),"",IF(AND('Eval-Avec impact envisagé'!$T$107=0,'Eval-Avant impact'!$J$121="X"),0,1-'Eval-Avec impact envisagé'!$T$734/'Eval-Avec impact envisagé'!$T$726))</f>
        <v/>
      </c>
      <c r="AO66" s="238" t="str">
        <f>IF(OR('Eval-Avec impact envisagé'!$T$107="",AND('Eval-Avec impact envisagé'!$T$107=0,'Eval-Avant impact'!$J$121=""), AND('Eval-Avec impact envisagé'!$T$107&gt;0,'Eval-Avec impact envisagé'!$J$121=""),AND('Eval-Avec impact envisagé'!$T$107&gt;0,'Eval-Avec impact envisagé'!$J$121="x",'Eval-Avec impact envisagé'!$T$726=0)),"",IF(AND('Eval-Avec impact envisagé'!$T$107=0,'Eval-Avant impact'!$J$121="X"),0,1-'Eval-Avec impact envisagé'!$T$734/'Eval-Avec impact envisagé'!$T$726))</f>
        <v/>
      </c>
      <c r="AP66" s="238" t="str">
        <f>IF(OR('Eval-Avec impact envisagé'!$T$107="",AND('Eval-Avec impact envisagé'!$T$107=0,'Eval-Avant impact'!$J$121=""), AND('Eval-Avec impact envisagé'!$T$107&gt;0,'Eval-Avec impact envisagé'!$J$121=""),AND('Eval-Avec impact envisagé'!$T$107&gt;0,'Eval-Avec impact envisagé'!$J$121="x",'Eval-Avec impact envisagé'!$T$726=0)),"",IF(AND('Eval-Avec impact envisagé'!$T$107=0,'Eval-Avant impact'!$J$121="X"),0,1-'Eval-Avec impact envisagé'!$T$734/'Eval-Avec impact envisagé'!$T$726))</f>
        <v/>
      </c>
      <c r="AQ66" s="237"/>
      <c r="AR66" s="237"/>
      <c r="AS66" s="239"/>
      <c r="AT66" s="236"/>
      <c r="AU66" s="237"/>
      <c r="AV66" s="238" t="str">
        <f>IF(AL66="","",AL66*'Eval-Avec impact envisagé'!$T$726)</f>
        <v/>
      </c>
      <c r="AW66" s="238" t="str">
        <f>IF(AL66="","",AL66*'Eval-Avec impact envisagé'!$T$726)</f>
        <v/>
      </c>
      <c r="AX66" s="238" t="str">
        <f>IF(AL66="","",AL66*'Eval-Avec impact envisagé'!$T$726)</f>
        <v/>
      </c>
      <c r="AY66" s="238" t="str">
        <f>IF(AL66="","",AL66*'Eval-Avec impact envisagé'!$T$726)</f>
        <v/>
      </c>
      <c r="AZ66" s="238" t="str">
        <f>IF(AL66="","",AL66*'Eval-Avec impact envisagé'!$T$726)</f>
        <v/>
      </c>
      <c r="BA66" s="237"/>
      <c r="BB66" s="237"/>
      <c r="BC66" s="239"/>
      <c r="BD66" s="240" t="str">
        <f>IF(LEN('Eval-Avec impact envisagé'!$T$107)=0,"",IF('Eval-Avec impact envisagé'!$T$107=0,"Site détruit (0 ha).",(IF(AND(AL66&gt;=0,AL66&lt;=0.2),CONCATENATE("Berges nues très importantes (",ROUND(100*'Eval-Avec impact envisagé'!$T$734/'Eval-Avec impact envisagé'!$T$726,0)," %).",),""))))</f>
        <v/>
      </c>
      <c r="BE66" s="241" t="str">
        <f>(IF(AND(AL66&gt;0.2,AL66&lt;=0.4),CONCATENATE("Berges nues importantes (",ROUND(100*'Eval-Avec impact envisagé'!$T$734/'Eval-Avec impact envisagé'!$T$726,0)," %).",),""))</f>
        <v/>
      </c>
      <c r="BF66" s="241" t="str">
        <f>(IF(AND(AL66&gt;0.4,AL66&lt;=0.6),CONCATENATE("Berges nues assez importantes (",ROUND(100*'Eval-Avec impact envisagé'!$T$734/'Eval-Avec impact envisagé'!$T$726,0)," %).",),""))</f>
        <v/>
      </c>
      <c r="BG66" s="241" t="str">
        <f>(IF(AND(AL66&gt;0.6,AL66&lt;=0.8),CONCATENATE("Berges nues assez réduites (",ROUND(100*'Eval-Avec impact envisagé'!$T$734/'Eval-Avec impact envisagé'!$T$726,0)," %).",),""))</f>
        <v/>
      </c>
      <c r="BH66" s="241" t="str">
        <f>(IF(AND(AL66&gt;0.8,AL66&lt;=1),CONCATENATE("Berges nues très réduites (",ROUND(100*'Eval-Avec impact envisagé'!$T$734/'Eval-Avec impact envisagé'!$T$726,0)," %).",),""))</f>
        <v/>
      </c>
      <c r="BI66" s="218" t="str">
        <f>IF(LEN('Eval-Avec impact envisagé'!$T$107)=0,"",IF('Eval-Avec impact envisagé'!$T$107=0,"",IF('Eval-Avec impact envisagé'!$J$121="x","","Non renseigné. Site non alluvial.")))</f>
        <v/>
      </c>
      <c r="BJ66" s="243" t="str">
        <f>AL66</f>
        <v/>
      </c>
      <c r="BK66" s="244" t="str">
        <f>AV66</f>
        <v/>
      </c>
      <c r="BL66" s="245"/>
      <c r="BM66" s="1133"/>
      <c r="BN66" s="234" t="s">
        <v>195</v>
      </c>
      <c r="BO66" s="235" t="s">
        <v>417</v>
      </c>
      <c r="BP66" s="236"/>
      <c r="BQ66" s="237"/>
      <c r="BR66" s="238" t="str">
        <f>IF(OR('Eval-Après impact'!$T$107="",AND('Eval-Après impact'!$T$107=0,'Eval-Avant impact'!$J$121=""), AND('Eval-Après impact'!$T$107&gt;0,'Eval-Après impact'!$J$121=""),AND('Eval-Après impact'!$T$107&gt;0,'Eval-Après impact'!$J$121="x",'Eval-Après impact'!$T$726=0)),"",IF(AND('Eval-Après impact'!$T$107=0,'Eval-Avant impact'!$J$121="X"),0,1-'Eval-Après impact'!$T$734/'Eval-Après impact'!$T$726))</f>
        <v/>
      </c>
      <c r="BS66" s="238" t="str">
        <f>IF(OR('Eval-Après impact'!$T$107="",AND('Eval-Après impact'!$T$107=0,'Eval-Avant impact'!$J$121=""), AND('Eval-Après impact'!$T$107&gt;0,'Eval-Après impact'!$J$121=""),AND('Eval-Après impact'!$T$107&gt;0,'Eval-Après impact'!$J$121="x",'Eval-Après impact'!$T$726=0)),"",IF(AND('Eval-Après impact'!$T$107=0,'Eval-Avant impact'!$J$121="X"),0,1-'Eval-Après impact'!$T$734/'Eval-Après impact'!$T$726))</f>
        <v/>
      </c>
      <c r="BT66" s="238" t="str">
        <f>IF(OR('Eval-Après impact'!$T$107="",AND('Eval-Après impact'!$T$107=0,'Eval-Avant impact'!$J$121=""), AND('Eval-Après impact'!$T$107&gt;0,'Eval-Après impact'!$J$121=""),AND('Eval-Après impact'!$T$107&gt;0,'Eval-Après impact'!$J$121="x",'Eval-Après impact'!$T$726=0)),"",IF(AND('Eval-Après impact'!$T$107=0,'Eval-Avant impact'!$J$121="X"),0,1-'Eval-Après impact'!$T$734/'Eval-Après impact'!$T$726))</f>
        <v/>
      </c>
      <c r="BU66" s="238" t="str">
        <f>IF(OR('Eval-Après impact'!$T$107="",AND('Eval-Après impact'!$T$107=0,'Eval-Avant impact'!$J$121=""), AND('Eval-Après impact'!$T$107&gt;0,'Eval-Après impact'!$J$121=""),AND('Eval-Après impact'!$T$107&gt;0,'Eval-Après impact'!$J$121="x",'Eval-Après impact'!$T$726=0)),"",IF(AND('Eval-Après impact'!$T$107=0,'Eval-Avant impact'!$J$121="X"),0,1-'Eval-Après impact'!$T$734/'Eval-Après impact'!$T$726))</f>
        <v/>
      </c>
      <c r="BV66" s="238" t="str">
        <f>IF(OR('Eval-Après impact'!$T$107="",AND('Eval-Après impact'!$T$107=0,'Eval-Avant impact'!$J$121=""), AND('Eval-Après impact'!$T$107&gt;0,'Eval-Après impact'!$J$121=""),AND('Eval-Après impact'!$T$107&gt;0,'Eval-Après impact'!$J$121="x",'Eval-Après impact'!$T$726=0)),"",IF(AND('Eval-Après impact'!$T$107=0,'Eval-Avant impact'!$J$121="X"),0,1-'Eval-Après impact'!$T$734/'Eval-Après impact'!$T$726))</f>
        <v/>
      </c>
      <c r="BW66" s="237"/>
      <c r="BX66" s="237"/>
      <c r="BY66" s="239"/>
      <c r="BZ66" s="236"/>
      <c r="CA66" s="237"/>
      <c r="CB66" s="238" t="str">
        <f>IF(BR66="","",BR66*'Eval-Après impact'!$T$726)</f>
        <v/>
      </c>
      <c r="CC66" s="238" t="str">
        <f>IF(BR66="","",BR66*'Eval-Après impact'!$T$726)</f>
        <v/>
      </c>
      <c r="CD66" s="238" t="str">
        <f>IF(BR66="","",BR66*'Eval-Après impact'!$T$726)</f>
        <v/>
      </c>
      <c r="CE66" s="238" t="str">
        <f>IF(BR66="","",BR66*'Eval-Après impact'!$T$726)</f>
        <v/>
      </c>
      <c r="CF66" s="238" t="str">
        <f>IF(BR66="","",BR66*'Eval-Après impact'!$T$726)</f>
        <v/>
      </c>
      <c r="CG66" s="237"/>
      <c r="CH66" s="237"/>
      <c r="CI66" s="239"/>
      <c r="CJ66" s="240" t="str">
        <f>IF(LEN('Eval-Après impact'!$T$107)=0,"",IF('Eval-Après impact'!$T$107=0,"Site détruit (0 ha).",(IF(AND(BR66&gt;=0,BR66&lt;=0.2),CONCATENATE("Berges nues très importantes (",ROUND(100*'Eval-Après impact'!$T$734/'Eval-Après impact'!$T$726,0)," %).",),""))))</f>
        <v/>
      </c>
      <c r="CK66" s="241" t="str">
        <f>(IF(AND(BR66&gt;0.2,BR66&lt;=0.4),CONCATENATE("Berges nues importantes (",ROUND(100*'Eval-Après impact'!$T$734/'Eval-Après impact'!$T$726,0)," %).",),""))</f>
        <v/>
      </c>
      <c r="CL66" s="241" t="str">
        <f>(IF(AND(BR66&gt;0.4,BR66&lt;=0.6),CONCATENATE("Berges nues assez importantes (",ROUND(100*'Eval-Après impact'!$T$734/'Eval-Après impact'!$T$726,0)," %).",),""))</f>
        <v/>
      </c>
      <c r="CM66" s="241" t="str">
        <f>(IF(AND(BR66&gt;0.6,BR66&lt;=0.8),CONCATENATE("Berges nues assez réduites (",ROUND(100*'Eval-Après impact'!$T$734/'Eval-Après impact'!$T$726,0)," %).",),""))</f>
        <v/>
      </c>
      <c r="CN66" s="241" t="str">
        <f>(IF(AND(BR66&gt;0.8,BR66&lt;=1),CONCATENATE("Berges nues très réduites (",ROUND(100*'Eval-Après impact'!$T$734/'Eval-Après impact'!$T$726,0)," %).",),""))</f>
        <v/>
      </c>
      <c r="CO66" s="218" t="str">
        <f>IF(LEN('Eval-Après impact'!$T$107)=0,"",IF('Eval-Après impact'!$T$107=0,"",IF('Eval-Après impact'!$J$121="x","","Non renseigné. Site non alluvial.")))</f>
        <v/>
      </c>
      <c r="CP66" s="243" t="str">
        <f>BR66</f>
        <v/>
      </c>
      <c r="CQ66" s="244" t="str">
        <f>CB66</f>
        <v/>
      </c>
      <c r="CR66" s="245"/>
      <c r="CS66" s="1133"/>
      <c r="CT66" s="234" t="s">
        <v>195</v>
      </c>
      <c r="CU66" s="235" t="s">
        <v>417</v>
      </c>
      <c r="CV66" s="236"/>
      <c r="CW66" s="237"/>
      <c r="CX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écologique'!$T$726=0)),"",IF(AND('Eval-Avant action écologique'!$T$107=0,'Eval-Avant action écologique'!$J$121="X"),0,1-'Eval-Avant action écologique'!$T$734/'Eval-Avant action écologique'!$T$726))</f>
        <v/>
      </c>
      <c r="CY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écologique'!$T$726=0)),"",IF(AND('Eval-Avant action écologique'!$T$107=0,'Eval-Avant action écologique'!$J$121="X"),0,1-'Eval-Avant action écologique'!$T$734/'Eval-Avant action écologique'!$T$726))</f>
        <v/>
      </c>
      <c r="CZ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écologique'!$T$726=0)),"",IF(AND('Eval-Avant action écologique'!$T$107=0,'Eval-Avant action écologique'!$J$121="X"),0,1-'Eval-Avant action écologique'!$T$734/'Eval-Avant action écologique'!$T$726))</f>
        <v/>
      </c>
      <c r="DA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écologique'!$T$726=0)),"",IF(AND('Eval-Avant action écologique'!$T$107=0,'Eval-Avant action écologique'!$J$121="X"),0,1-'Eval-Avant action écologique'!$T$734/'Eval-Avant action écologique'!$T$726))</f>
        <v/>
      </c>
      <c r="DB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écologique'!$T$726=0)),"",IF(AND('Eval-Avant action écologique'!$T$107=0,'Eval-Avant action écologique'!$J$121="X"),0,1-'Eval-Avant action écologique'!$T$734/'Eval-Avant action écologique'!$T$726))</f>
        <v/>
      </c>
      <c r="DC66" s="237"/>
      <c r="DD66" s="237"/>
      <c r="DE66" s="239"/>
      <c r="DF66" s="236"/>
      <c r="DG66" s="237"/>
      <c r="DH66" s="238" t="str">
        <f>IF(CX66="","",CX66*'Eval-Avant action écologique'!$T$726)</f>
        <v/>
      </c>
      <c r="DI66" s="238" t="str">
        <f>IF(CX66="","",CX66*'Eval-Avant action écologique'!$T$726)</f>
        <v/>
      </c>
      <c r="DJ66" s="238" t="str">
        <f>IF(CX66="","",CX66*'Eval-Avant action écologique'!$T$726)</f>
        <v/>
      </c>
      <c r="DK66" s="238" t="str">
        <f>IF(CX66="","",CX66*'Eval-Avant action écologique'!$T$726)</f>
        <v/>
      </c>
      <c r="DL66" s="238" t="str">
        <f>IF(CX66="","",CX66*'Eval-Avant action écologique'!$T$726)</f>
        <v/>
      </c>
      <c r="DM66" s="237"/>
      <c r="DN66" s="237"/>
      <c r="DO66" s="239"/>
      <c r="DP66" s="240" t="str">
        <f>IF(LEN('Eval-Avant action écologique'!$T$107)=0,"",IF('Eval-Avant action écologique'!$T$107=0,"Site détruit (0 ha).",(IF(AND(CX66&gt;=0,CX66&lt;=0.2),CONCATENATE("Berges nues très importantes (",ROUND(100*'Eval-Avant action écologique'!$T$734/'Eval-Avant action écologique'!$T$726,0)," %).",),""))))</f>
        <v/>
      </c>
      <c r="DQ66" s="241" t="str">
        <f>(IF(AND(CX66&gt;0.2,CX66&lt;=0.4),CONCATENATE("Berges nues importantes (",ROUND(100*'Eval-Avant action écologique'!$T$734/'Eval-Avant action écologique'!$T$726,0)," %).",),""))</f>
        <v/>
      </c>
      <c r="DR66" s="241" t="str">
        <f>(IF(AND(CX66&gt;0.4,CX66&lt;=0.6),CONCATENATE("Berges nues assez importantes (",ROUND(100*'Eval-Avant action écologique'!$T$734/'Eval-Avant action écologique'!$T$726,0)," %).",),""))</f>
        <v/>
      </c>
      <c r="DS66" s="241" t="str">
        <f>(IF(AND(CX66&gt;0.6,CX66&lt;=0.8),CONCATENATE("Berges nues assez réduites (",ROUND(100*'Eval-Avant action écologique'!$T$734/'Eval-Avant action écologique'!$T$726,0)," %).",),""))</f>
        <v/>
      </c>
      <c r="DT66" s="241" t="str">
        <f>(IF(AND(CX66&gt;0.8,CX66&lt;=1),CONCATENATE("Berges nues très réduites (",ROUND(100*'Eval-Avant action écologique'!$T$734/'Eval-Avant action écologique'!$T$726,0)," %).",),""))</f>
        <v/>
      </c>
      <c r="DU66" s="218" t="str">
        <f>IF(LEN('Eval-Avant action écologique'!$T$107)=0,"",IF('Eval-Avant action écologique'!$T$107=0,"",IF('Eval-Avant action écologique'!$J$121="x","","Non renseigné. Site non alluvial.")))</f>
        <v/>
      </c>
      <c r="DV66" s="243" t="str">
        <f>CX66</f>
        <v/>
      </c>
      <c r="DW66" s="244" t="str">
        <f>DH66</f>
        <v/>
      </c>
      <c r="DX66" s="245"/>
      <c r="DY66" s="1133"/>
      <c r="DZ66" s="234" t="s">
        <v>195</v>
      </c>
      <c r="EA66" s="235" t="s">
        <v>417</v>
      </c>
      <c r="EB66" s="236"/>
      <c r="EC66" s="237"/>
      <c r="ED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envisagée'!$T$726=0)),"",IF(AND('Eval-Avec act. écol. envisagée'!$T$107=0,'Eval-Avant action écologique'!$J$121="X"),0,1-'Eval-Avec act. écol. envisagée'!$T$734/'Eval-Avec act. écol. envisagée'!$T$726))</f>
        <v/>
      </c>
      <c r="EE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envisagée'!$T$726=0)),"",IF(AND('Eval-Avec act. écol. envisagée'!$T$107=0,'Eval-Avant action écologique'!$J$121="X"),0,1-'Eval-Avec act. écol. envisagée'!$T$734/'Eval-Avec act. écol. envisagée'!$T$726))</f>
        <v/>
      </c>
      <c r="EF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envisagée'!$T$726=0)),"",IF(AND('Eval-Avec act. écol. envisagée'!$T$107=0,'Eval-Avant action écologique'!$J$121="X"),0,1-'Eval-Avec act. écol. envisagée'!$T$734/'Eval-Avec act. écol. envisagée'!$T$726))</f>
        <v/>
      </c>
      <c r="EG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envisagée'!$T$726=0)),"",IF(AND('Eval-Avec act. écol. envisagée'!$T$107=0,'Eval-Avant action écologique'!$J$121="X"),0,1-'Eval-Avec act. écol. envisagée'!$T$734/'Eval-Avec act. écol. envisagée'!$T$726))</f>
        <v/>
      </c>
      <c r="EH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envisagée'!$T$726=0)),"",IF(AND('Eval-Avec act. écol. envisagée'!$T$107=0,'Eval-Avant action écologique'!$J$121="X"),0,1-'Eval-Avec act. écol. envisagée'!$T$734/'Eval-Avec act. écol. envisagée'!$T$726))</f>
        <v/>
      </c>
      <c r="EI66" s="237"/>
      <c r="EJ66" s="237"/>
      <c r="EK66" s="239"/>
      <c r="EL66" s="236"/>
      <c r="EM66" s="237"/>
      <c r="EN66" s="238" t="str">
        <f>IF(ED66="","",ED66*'Eval-Avec act. écol. envisagée'!$T$726)</f>
        <v/>
      </c>
      <c r="EO66" s="238" t="str">
        <f>IF(ED66="","",ED66*'Eval-Avec act. écol. envisagée'!$T$726)</f>
        <v/>
      </c>
      <c r="EP66" s="238" t="str">
        <f>IF(ED66="","",ED66*'Eval-Avec act. écol. envisagée'!$T$726)</f>
        <v/>
      </c>
      <c r="EQ66" s="238" t="str">
        <f>IF(ED66="","",ED66*'Eval-Avec act. écol. envisagée'!$T$726)</f>
        <v/>
      </c>
      <c r="ER66" s="238" t="str">
        <f>IF(ED66="","",ED66*'Eval-Avec act. écol. envisagée'!$T$726)</f>
        <v/>
      </c>
      <c r="ES66" s="237"/>
      <c r="ET66" s="237"/>
      <c r="EU66" s="239"/>
      <c r="EV66" s="240" t="str">
        <f>IF(LEN('Eval-Avec act. écol. envisagée'!$T$107)=0,"",IF('Eval-Avec act. écol. envisagée'!$T$107=0,"Site détruit (0 ha).",(IF(AND(ED66&gt;=0,ED66&lt;=0.2),CONCATENATE("Berges nues très importantes (",ROUND(100*'Eval-Avec act. écol. envisagée'!$T$734/'Eval-Avec act. écol. envisagée'!$T$726,0)," %).",),""))))</f>
        <v/>
      </c>
      <c r="EW66" s="241" t="str">
        <f>(IF(AND(ED66&gt;0.2,ED66&lt;=0.4),CONCATENATE("Berges nues importantes (",ROUND(100*'Eval-Avec act. écol. envisagée'!$T$734/'Eval-Avec act. écol. envisagée'!$T$726,0)," %).",),""))</f>
        <v/>
      </c>
      <c r="EX66" s="241" t="str">
        <f>(IF(AND(ED66&gt;0.4,ED66&lt;=0.6),CONCATENATE("Berges nues assez importantes (",ROUND(100*'Eval-Avec act. écol. envisagée'!$T$734/'Eval-Avec act. écol. envisagée'!$T$726,0)," %).",),""))</f>
        <v/>
      </c>
      <c r="EY66" s="241" t="str">
        <f>(IF(AND(ED66&gt;0.6,ED66&lt;=0.8),CONCATENATE("Berges nues assez réduites (",ROUND(100*'Eval-Avec act. écol. envisagée'!$T$734/'Eval-Avec act. écol. envisagée'!$T$726,0)," %).",),""))</f>
        <v/>
      </c>
      <c r="EZ66" s="241" t="str">
        <f>(IF(AND(ED66&gt;0.8,ED66&lt;=1),CONCATENATE("Berges nues très réduites (",ROUND(100*'Eval-Avec act. écol. envisagée'!$T$734/'Eval-Avec act. écol. envisagée'!$T$726,0)," %).",),""))</f>
        <v/>
      </c>
      <c r="FA66" s="218" t="str">
        <f>IF(LEN('Eval-Avec act. écol. envisagée'!$T$107)=0,"",IF('Eval-Avec act. écol. envisagée'!$T$107=0,"",IF('Eval-Avec act. écol. envisagée'!$J$121="x","","Non renseigné. Site non alluvial.")))</f>
        <v/>
      </c>
      <c r="FB66" s="243" t="str">
        <f>ED66</f>
        <v/>
      </c>
      <c r="FC66" s="244" t="str">
        <f>EN66</f>
        <v/>
      </c>
      <c r="FD66" s="245"/>
      <c r="FE66" s="1133"/>
      <c r="FF66" s="234" t="s">
        <v>195</v>
      </c>
      <c r="FG66" s="235" t="s">
        <v>417</v>
      </c>
      <c r="FH66" s="236"/>
      <c r="FI66" s="237"/>
      <c r="FJ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écologique'!$T$726=0)),"",IF(AND('Eval-Après action écologique'!$T$107=0,'Eval-Avant action écologique'!$J$121="X"),0,1-'Eval-Après action écologique'!$T$734/'Eval-Après action écologique'!$T$726))</f>
        <v/>
      </c>
      <c r="FK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écologique'!$T$726=0)),"",IF(AND('Eval-Après action écologique'!$T$107=0,'Eval-Avant action écologique'!$J$121="X"),0,1-'Eval-Après action écologique'!$T$734/'Eval-Après action écologique'!$T$726))</f>
        <v/>
      </c>
      <c r="FL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écologique'!$T$726=0)),"",IF(AND('Eval-Après action écologique'!$T$107=0,'Eval-Avant action écologique'!$J$121="X"),0,1-'Eval-Après action écologique'!$T$734/'Eval-Après action écologique'!$T$726))</f>
        <v/>
      </c>
      <c r="FM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écologique'!$T$726=0)),"",IF(AND('Eval-Après action écologique'!$T$107=0,'Eval-Avant action écologique'!$J$121="X"),0,1-'Eval-Après action écologique'!$T$734/'Eval-Après action écologique'!$T$726))</f>
        <v/>
      </c>
      <c r="FN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écologique'!$T$726=0)),"",IF(AND('Eval-Après action écologique'!$T$107=0,'Eval-Avant action écologique'!$J$121="X"),0,1-'Eval-Après action écologique'!$T$734/'Eval-Après action écologique'!$T$726))</f>
        <v/>
      </c>
      <c r="FO66" s="237"/>
      <c r="FP66" s="237"/>
      <c r="FQ66" s="239"/>
      <c r="FR66" s="236"/>
      <c r="FS66" s="237"/>
      <c r="FT66" s="238" t="str">
        <f>IF(FJ66="","",FJ66*'Eval-Après action écologique'!$T$726)</f>
        <v/>
      </c>
      <c r="FU66" s="238" t="str">
        <f>IF(FJ66="","",FJ66*'Eval-Après action écologique'!$T$726)</f>
        <v/>
      </c>
      <c r="FV66" s="238" t="str">
        <f>IF(FJ66="","",FJ66*'Eval-Après action écologique'!$T$726)</f>
        <v/>
      </c>
      <c r="FW66" s="238" t="str">
        <f>IF(FJ66="","",FJ66*'Eval-Après action écologique'!$T$726)</f>
        <v/>
      </c>
      <c r="FX66" s="238" t="str">
        <f>IF(FJ66="","",FJ66*'Eval-Après action écologique'!$T$726)</f>
        <v/>
      </c>
      <c r="FY66" s="237"/>
      <c r="FZ66" s="237"/>
      <c r="GA66" s="239"/>
      <c r="GB66" s="240" t="str">
        <f>IF(LEN('Eval-Après action écologique'!$T$107)=0,"",IF('Eval-Après action écologique'!$T$107=0,"Site détruit (0 ha).",(IF(AND(FJ66&gt;=0,FJ66&lt;=0.2),CONCATENATE("Berges nues très importantes (",ROUND(100*'Eval-Après action écologique'!$T$734/'Eval-Après action écologique'!$T$726,0)," %).",),""))))</f>
        <v/>
      </c>
      <c r="GC66" s="241" t="str">
        <f>(IF(AND(FJ66&gt;0.2,FJ66&lt;=0.4),CONCATENATE("Berges nues importantes (",ROUND(100*'Eval-Après action écologique'!$T$734/'Eval-Après action écologique'!$T$726,0)," %).",),""))</f>
        <v/>
      </c>
      <c r="GD66" s="241" t="str">
        <f>(IF(AND(FJ66&gt;0.4,FJ66&lt;=0.6),CONCATENATE("Berges nues assez importantes (",ROUND(100*'Eval-Après action écologique'!$T$734/'Eval-Après action écologique'!$T$726,0)," %).",),""))</f>
        <v/>
      </c>
      <c r="GE66" s="241" t="str">
        <f>(IF(AND(FJ66&gt;0.6,FJ66&lt;=0.8),CONCATENATE("Berges nues assez réduites (",ROUND(100*'Eval-Après action écologique'!$T$734/'Eval-Après action écologique'!$T$726,0)," %).",),""))</f>
        <v/>
      </c>
      <c r="GF66" s="241" t="str">
        <f>(IF(AND(FJ66&gt;0.8,FJ66&lt;=1),CONCATENATE("Berges nues très réduites (",ROUND(100*'Eval-Après action écologique'!$T$734/'Eval-Après action écologique'!$T$726,0)," %).",),""))</f>
        <v/>
      </c>
      <c r="GG66" s="218" t="str">
        <f>IF(LEN('Eval-Après action écologique'!$T$107)=0,"",IF('Eval-Après action écologique'!$T$107=0,"",IF('Eval-Après action écologique'!$J$121="x","","Non renseigné. Site non alluvial.")))</f>
        <v/>
      </c>
      <c r="GH66" s="243" t="str">
        <f>FJ66</f>
        <v/>
      </c>
      <c r="GI66" s="244" t="str">
        <f>FT66</f>
        <v/>
      </c>
    </row>
    <row r="67" spans="1:191" ht="31.5" customHeight="1" x14ac:dyDescent="0.2">
      <c r="A67" s="1133"/>
      <c r="B67" s="1135" t="s">
        <v>196</v>
      </c>
      <c r="C67" s="235" t="s">
        <v>419</v>
      </c>
      <c r="D67" s="236"/>
      <c r="E67" s="237"/>
      <c r="F67" s="237"/>
      <c r="G67" s="237"/>
      <c r="H67" s="237"/>
      <c r="I67" s="237"/>
      <c r="J67" s="238" t="str">
        <f>IF(LEN('Eval-Avant impact'!$T$107)=0,"",IF('Eval-Avant impact'!$T$107=0,0,IF(B26&lt;&gt;100,"",SUM(IF(D9&lt;&gt;"",IF(AND(D9&gt;=6,D9&lt;=7),B9/B26,IF(OR(AND(D9&gt;=5,D9&lt;6),AND(D9&gt;7,D9&lt;=8)),0.55*B9/B26,0.1*B9/B26)),0),IF(D10&lt;&gt;"",IF(AND(D10&gt;=6,D10&lt;=7),B10/B26,IF(OR(AND(D10&gt;=5,D10&lt;6),AND(D10&gt;7,D10&lt;=8)),0.55*B10/B26,0.1*B10/B26)),0),IF(D11&lt;&gt;"",IF(AND(D11&gt;=6,D11&lt;=7),B11/B26,IF(OR(AND(D11&gt;=5,D11&lt;6),AND(D11&gt;7,D11&lt;=8)),0.55*B11/B26,0.1*B11/B26)),0),IF(D12&lt;&gt;"",IF(AND(D12&gt;=6,D12&lt;=7),B12/B26,IF(OR(AND(D12&gt;=5,D12&lt;6),AND(D12&gt;7,D12&lt;=8)),0.55*B12/B26,0.1*B12/B26)),0),IF(D13&lt;&gt;"",IF(AND(D13&gt;=6,D13&lt;=7),B13/B26,IF(OR(AND(D13&gt;=5,D13&lt;6),AND(D13&gt;7,D13&lt;=8)),0.55*B13/B26,0.1*B13/B26)),0),IF(D14&lt;&gt;"",IF(AND(D14&gt;=6,D14&lt;=7),B14/B26,IF(OR(AND(D14&gt;=5,D14&lt;6),AND(D14&gt;7,D14&lt;=8)),0.55*B14/B26,0.1*B14/B26)),0),IF(D15&lt;&gt;"",IF(AND(D15&gt;=6,D15&lt;=7),B15/B26,IF(OR(AND(D15&gt;=5,D15&lt;6),AND(D15&gt;7,D15&lt;=8)),0.55*B15/B26,0.1*B15/B26)),0),IF(D16&lt;&gt;"",IF(AND(D16&gt;=6,D16&lt;=7),B16/B26,IF(OR(AND(D16&gt;=5,D16&lt;6),AND(D16&gt;7,D16&lt;=8)),0.55*B16/B26,0.1*B16/B26)),0),IF(D17&lt;&gt;"",IF(AND(D17&gt;=6,D17&lt;=7),B17/B26,IF(OR(AND(D17&gt;=5,D17&lt;6),AND(D17&gt;7,D17&lt;=8)),0.55*B17/B26,0.1*B17/B26)),0),IF(D18&lt;&gt;"",IF(AND(D18&gt;=6,D18&lt;=7),B18/B26,IF(OR(AND(D18&gt;=5,D18&lt;6),AND(D18&gt;7,D18&lt;=8)),0.55*B18/B26,0.1*B18/B26)),0),IF(D19&lt;&gt;"",IF(AND(D19&gt;=6,D19&lt;=7),B19/B26,IF(OR(AND(D19&gt;=5,D19&lt;6),AND(D19&gt;7,D19&lt;=8)),0.55*B19/B26,0.1*B19/B26)),0),IF(D20&lt;&gt;"",IF(AND(D20&gt;=6,D20&lt;=7),B20/B26,IF(OR(AND(D20&gt;=5,D20&lt;6),AND(D20&gt;7,D20&lt;=8)),0.55*B20/B26,0.1*B20/B26)),0),IF(D21&lt;&gt;"",IF(AND(D21&gt;=6,D21&lt;=7),B21/B26,IF(OR(AND(D21&gt;=5,D21&lt;6),AND(D21&gt;7,D21&lt;=8)),0.55*B21/B26,0.1*B21/B26)),0),IF(D22&lt;&gt;"",IF(AND(D22&gt;=6,D22&lt;=7),B22/B26,IF(OR(AND(D22&gt;=5,D22&lt;6),AND(D22&gt;7,D22&lt;=8)),0.55*B22/B26,0.1*B22/B26)),0),IF(D23&lt;&gt;"",IF(AND(D23&gt;=6,D23&lt;=7),B23/B26,IF(OR(AND(D23&gt;=5,D23&lt;6),AND(D23&gt;7,D23&lt;=8)),0.55*B23/B26,0.1*B23/B26)),0)))))</f>
        <v/>
      </c>
      <c r="K67" s="237"/>
      <c r="L67" s="237"/>
      <c r="M67" s="239"/>
      <c r="N67" s="236"/>
      <c r="O67" s="237"/>
      <c r="P67" s="237"/>
      <c r="Q67" s="237"/>
      <c r="R67" s="237"/>
      <c r="S67" s="237"/>
      <c r="T67" s="238" t="str">
        <f>IF(J67="","",J67*'Eval-Avant impact'!$T$107)</f>
        <v/>
      </c>
      <c r="U67" s="237"/>
      <c r="V67" s="237"/>
      <c r="W67" s="239"/>
      <c r="X67" s="240" t="str">
        <f>IF(LEN('Eval-Avant impact'!$T$107)=0,"",IF('Eval-Avant impact'!$T$107=0,"Site détruit (0 ha).",(IF(AND(J67&gt;=0,J67&lt;=0.1),"Sol généralement très acide ou très basique.",""))))</f>
        <v/>
      </c>
      <c r="Y67" s="248"/>
      <c r="Z67" s="241" t="str">
        <f>(IF(AND(J67&gt;0.1,J67&lt;1),"Sol généralement assez acide ou assez basique.",""))</f>
        <v/>
      </c>
      <c r="AA67" s="248"/>
      <c r="AB67" s="241" t="str">
        <f>(IF(J67=1,"Sol généralement ni acide ni basique.",""))</f>
        <v/>
      </c>
      <c r="AC67" s="218" t="str">
        <f>IF(LEN('Eval-Avant impact'!$T$107)=0,"",IF('Eval-Avant impact'!$T$107=0,"",IF(J67="","pH non renseigné dans tout le site.","")))</f>
        <v/>
      </c>
      <c r="AD67" s="243" t="str">
        <f>J67</f>
        <v/>
      </c>
      <c r="AE67" s="244" t="str">
        <f>T67</f>
        <v/>
      </c>
      <c r="AF67" s="245"/>
      <c r="AG67" s="1133"/>
      <c r="AH67" s="1135" t="s">
        <v>196</v>
      </c>
      <c r="AI67" s="235" t="s">
        <v>419</v>
      </c>
      <c r="AJ67" s="236"/>
      <c r="AK67" s="237"/>
      <c r="AL67" s="237"/>
      <c r="AM67" s="237"/>
      <c r="AN67" s="237"/>
      <c r="AO67" s="237"/>
      <c r="AP67" s="238" t="str">
        <f>IF(LEN('Eval-Avec impact envisagé'!$T$107)=0,"",IF('Eval-Avec impact envisagé'!$T$107=0,0,IF(AH26&lt;&gt;100,"",SUM(IF(AJ9&lt;&gt;"",IF(AND(AJ9&gt;=6,AJ9&lt;=7),AH9/AH26,IF(OR(AND(AJ9&gt;=5,AJ9&lt;6),AND(AJ9&gt;7,AJ9&lt;=8)),0.55*AH9/AH26,0.1*AH9/AH26)),0),IF(AJ10&lt;&gt;"",IF(AND(AJ10&gt;=6,AJ10&lt;=7),AH10/AH26,IF(OR(AND(AJ10&gt;=5,AJ10&lt;6),AND(AJ10&gt;7,AJ10&lt;=8)),0.55*AH10/AH26,0.1*AH10/AH26)),0),IF(AJ11&lt;&gt;"",IF(AND(AJ11&gt;=6,AJ11&lt;=7),AH11/AH26,IF(OR(AND(AJ11&gt;=5,AJ11&lt;6),AND(AJ11&gt;7,AJ11&lt;=8)),0.55*AH11/AH26,0.1*AH11/AH26)),0),IF(AJ12&lt;&gt;"",IF(AND(AJ12&gt;=6,AJ12&lt;=7),AH12/AH26,IF(OR(AND(AJ12&gt;=5,AJ12&lt;6),AND(AJ12&gt;7,AJ12&lt;=8)),0.55*AH12/AH26,0.1*AH12/AH26)),0),IF(AJ13&lt;&gt;"",IF(AND(AJ13&gt;=6,AJ13&lt;=7),AH13/AH26,IF(OR(AND(AJ13&gt;=5,AJ13&lt;6),AND(AJ13&gt;7,AJ13&lt;=8)),0.55*AH13/AH26,0.1*AH13/AH26)),0),IF(AJ14&lt;&gt;"",IF(AND(AJ14&gt;=6,AJ14&lt;=7),AH14/AH26,IF(OR(AND(AJ14&gt;=5,AJ14&lt;6),AND(AJ14&gt;7,AJ14&lt;=8)),0.55*AH14/AH26,0.1*AH14/AH26)),0),IF(AJ15&lt;&gt;"",IF(AND(AJ15&gt;=6,AJ15&lt;=7),AH15/AH26,IF(OR(AND(AJ15&gt;=5,AJ15&lt;6),AND(AJ15&gt;7,AJ15&lt;=8)),0.55*AH15/AH26,0.1*AH15/AH26)),0),IF(AJ16&lt;&gt;"",IF(AND(AJ16&gt;=6,AJ16&lt;=7),AH16/AH26,IF(OR(AND(AJ16&gt;=5,AJ16&lt;6),AND(AJ16&gt;7,AJ16&lt;=8)),0.55*AH16/AH26,0.1*AH16/AH26)),0),IF(AJ17&lt;&gt;"",IF(AND(AJ17&gt;=6,AJ17&lt;=7),AH17/AH26,IF(OR(AND(AJ17&gt;=5,AJ17&lt;6),AND(AJ17&gt;7,AJ17&lt;=8)),0.55*AH17/AH26,0.1*AH17/AH26)),0),IF(AJ18&lt;&gt;"",IF(AND(AJ18&gt;=6,AJ18&lt;=7),AH18/AH26,IF(OR(AND(AJ18&gt;=5,AJ18&lt;6),AND(AJ18&gt;7,AJ18&lt;=8)),0.55*AH18/AH26,0.1*AH18/AH26)),0),IF(AJ19&lt;&gt;"",IF(AND(AJ19&gt;=6,AJ19&lt;=7),AH19/AH26,IF(OR(AND(AJ19&gt;=5,AJ19&lt;6),AND(AJ19&gt;7,AJ19&lt;=8)),0.55*AH19/AH26,0.1*AH19/AH26)),0),IF(AJ20&lt;&gt;"",IF(AND(AJ20&gt;=6,AJ20&lt;=7),AH20/AH26,IF(OR(AND(AJ20&gt;=5,AJ20&lt;6),AND(AJ20&gt;7,AJ20&lt;=8)),0.55*AH20/AH26,0.1*AH20/AH26)),0),IF(AJ21&lt;&gt;"",IF(AND(AJ21&gt;=6,AJ21&lt;=7),AH21/AH26,IF(OR(AND(AJ21&gt;=5,AJ21&lt;6),AND(AJ21&gt;7,AJ21&lt;=8)),0.55*AH21/AH26,0.1*AH21/AH26)),0),IF(AJ22&lt;&gt;"",IF(AND(AJ22&gt;=6,AJ22&lt;=7),AH22/AH26,IF(OR(AND(AJ22&gt;=5,AJ22&lt;6),AND(AJ22&gt;7,AJ22&lt;=8)),0.55*AH22/AH26,0.1*AH22/AH26)),0),IF(AJ23&lt;&gt;"",IF(AND(AJ23&gt;=6,AJ23&lt;=7),AH23/AH26,IF(OR(AND(AJ23&gt;=5,AJ23&lt;6),AND(AJ23&gt;7,AJ23&lt;=8)),0.55*AH23/AH26,0.1*AH23/AH26)),0)))))</f>
        <v/>
      </c>
      <c r="AQ67" s="237"/>
      <c r="AR67" s="237"/>
      <c r="AS67" s="239"/>
      <c r="AT67" s="236"/>
      <c r="AU67" s="237"/>
      <c r="AV67" s="237"/>
      <c r="AW67" s="237"/>
      <c r="AX67" s="237"/>
      <c r="AY67" s="237"/>
      <c r="AZ67" s="238" t="str">
        <f>IF(AP67="","",AP67*'Eval-Avec impact envisagé'!$T$107)</f>
        <v/>
      </c>
      <c r="BA67" s="237"/>
      <c r="BB67" s="237"/>
      <c r="BC67" s="239"/>
      <c r="BD67" s="240" t="str">
        <f>IF(LEN('Eval-Avec impact envisagé'!$T$107)=0,"",IF('Eval-Avec impact envisagé'!$T$107=0,"Site détruit (0 ha).",(IF(AND(AP67&gt;=0,AP67&lt;=0.1),"Sol généralement très acide ou très basique.",""))))</f>
        <v/>
      </c>
      <c r="BE67" s="248"/>
      <c r="BF67" s="241" t="str">
        <f>(IF(AND(AP67&gt;0.1,AP67&lt;1),"Sol généralement assez acide ou assez basique.",""))</f>
        <v/>
      </c>
      <c r="BG67" s="248"/>
      <c r="BH67" s="241" t="str">
        <f>(IF(AP67=1,"Sol généralement ni acide ni basique.",""))</f>
        <v/>
      </c>
      <c r="BI67" s="218" t="str">
        <f>IF(LEN('Eval-Avec impact envisagé'!$T$107)=0,"",IF('Eval-Avec impact envisagé'!$T$107=0,"",IF(AP67="","pH non renseigné dans tout le site.","")))</f>
        <v/>
      </c>
      <c r="BJ67" s="243" t="str">
        <f>AP67</f>
        <v/>
      </c>
      <c r="BK67" s="244" t="str">
        <f>AZ67</f>
        <v/>
      </c>
      <c r="BL67" s="245"/>
      <c r="BM67" s="1133"/>
      <c r="BN67" s="1135" t="s">
        <v>196</v>
      </c>
      <c r="BO67" s="235" t="s">
        <v>419</v>
      </c>
      <c r="BP67" s="236"/>
      <c r="BQ67" s="237"/>
      <c r="BR67" s="237"/>
      <c r="BS67" s="237"/>
      <c r="BT67" s="237"/>
      <c r="BU67" s="237"/>
      <c r="BV67" s="238" t="str">
        <f>IF(LEN('Eval-Après impact'!$T$107)=0,"",IF('Eval-Après impact'!$T$107=0,0,IF(BN26&lt;&gt;100,"",SUM(IF(BP9&lt;&gt;"",IF(AND(BP9&gt;=6,BP9&lt;=7),BN9/BN26,IF(OR(AND(BP9&gt;=5,BP9&lt;6),AND(BP9&gt;7,BP9&lt;=8)),0.55*BN9/BN26,0.1*BN9/BN26)),0),IF(BP10&lt;&gt;"",IF(AND(BP10&gt;=6,BP10&lt;=7),BN10/BN26,IF(OR(AND(BP10&gt;=5,BP10&lt;6),AND(BP10&gt;7,BP10&lt;=8)),0.55*BN10/BN26,0.1*BN10/BN26)),0),IF(BP11&lt;&gt;"",IF(AND(BP11&gt;=6,BP11&lt;=7),BN11/BN26,IF(OR(AND(BP11&gt;=5,BP11&lt;6),AND(BP11&gt;7,BP11&lt;=8)),0.55*BN11/BN26,0.1*BN11/BN26)),0),IF(BP12&lt;&gt;"",IF(AND(BP12&gt;=6,BP12&lt;=7),BN12/BN26,IF(OR(AND(BP12&gt;=5,BP12&lt;6),AND(BP12&gt;7,BP12&lt;=8)),0.55*BN12/BN26,0.1*BN12/BN26)),0),IF(BP13&lt;&gt;"",IF(AND(BP13&gt;=6,BP13&lt;=7),BN13/BN26,IF(OR(AND(BP13&gt;=5,BP13&lt;6),AND(BP13&gt;7,BP13&lt;=8)),0.55*BN13/BN26,0.1*BN13/BN26)),0),IF(BP14&lt;&gt;"",IF(AND(BP14&gt;=6,BP14&lt;=7),BN14/BN26,IF(OR(AND(BP14&gt;=5,BP14&lt;6),AND(BP14&gt;7,BP14&lt;=8)),0.55*BN14/BN26,0.1*BN14/BN26)),0),IF(BP15&lt;&gt;"",IF(AND(BP15&gt;=6,BP15&lt;=7),BN15/BN26,IF(OR(AND(BP15&gt;=5,BP15&lt;6),AND(BP15&gt;7,BP15&lt;=8)),0.55*BN15/BN26,0.1*BN15/BN26)),0),IF(BP16&lt;&gt;"",IF(AND(BP16&gt;=6,BP16&lt;=7),BN16/BN26,IF(OR(AND(BP16&gt;=5,BP16&lt;6),AND(BP16&gt;7,BP16&lt;=8)),0.55*BN16/BN26,0.1*BN16/BN26)),0),IF(BP17&lt;&gt;"",IF(AND(BP17&gt;=6,BP17&lt;=7),BN17/BN26,IF(OR(AND(BP17&gt;=5,BP17&lt;6),AND(BP17&gt;7,BP17&lt;=8)),0.55*BN17/BN26,0.1*BN17/BN26)),0),IF(BP18&lt;&gt;"",IF(AND(BP18&gt;=6,BP18&lt;=7),BN18/BN26,IF(OR(AND(BP18&gt;=5,BP18&lt;6),AND(BP18&gt;7,BP18&lt;=8)),0.55*BN18/BN26,0.1*BN18/BN26)),0),IF(BP19&lt;&gt;"",IF(AND(BP19&gt;=6,BP19&lt;=7),BN19/BN26,IF(OR(AND(BP19&gt;=5,BP19&lt;6),AND(BP19&gt;7,BP19&lt;=8)),0.55*BN19/BN26,0.1*BN19/BN26)),0),IF(BP20&lt;&gt;"",IF(AND(BP20&gt;=6,BP20&lt;=7),BN20/BN26,IF(OR(AND(BP20&gt;=5,BP20&lt;6),AND(BP20&gt;7,BP20&lt;=8)),0.55*BN20/BN26,0.1*BN20/BN26)),0),IF(BP21&lt;&gt;"",IF(AND(BP21&gt;=6,BP21&lt;=7),BN21/BN26,IF(OR(AND(BP21&gt;=5,BP21&lt;6),AND(BP21&gt;7,BP21&lt;=8)),0.55*BN21/BN26,0.1*BN21/BN26)),0),IF(BP22&lt;&gt;"",IF(AND(BP22&gt;=6,BP22&lt;=7),BN22/BN26,IF(OR(AND(BP22&gt;=5,BP22&lt;6),AND(BP22&gt;7,BP22&lt;=8)),0.55*BN22/BN26,0.1*BN22/BN26)),0),IF(BP23&lt;&gt;"",IF(AND(BP23&gt;=6,BP23&lt;=7),BN23/BN26,IF(OR(AND(BP23&gt;=5,BP23&lt;6),AND(BP23&gt;7,BP23&lt;=8)),0.55*BN23/BN26,0.1*BN23/BN26)),0)))))</f>
        <v/>
      </c>
      <c r="BW67" s="237"/>
      <c r="BX67" s="237"/>
      <c r="BY67" s="239"/>
      <c r="BZ67" s="236"/>
      <c r="CA67" s="237"/>
      <c r="CB67" s="237"/>
      <c r="CC67" s="237"/>
      <c r="CD67" s="237"/>
      <c r="CE67" s="237"/>
      <c r="CF67" s="238" t="str">
        <f>IF(BV67="","",BV67*'Eval-Après impact'!$T$107)</f>
        <v/>
      </c>
      <c r="CG67" s="237"/>
      <c r="CH67" s="237"/>
      <c r="CI67" s="239"/>
      <c r="CJ67" s="240" t="str">
        <f>IF(LEN('Eval-Après impact'!$T$107)=0,"",IF('Eval-Après impact'!$T$107=0,"Site détruit (0 ha).",(IF(AND(BV67&gt;=0,BV67&lt;=0.1),"Sol généralement très acide ou très basique.",""))))</f>
        <v/>
      </c>
      <c r="CK67" s="248"/>
      <c r="CL67" s="241" t="str">
        <f>(IF(AND(BV67&gt;0.1,BV67&lt;1),"Sol généralement assez acide ou assez basique.",""))</f>
        <v/>
      </c>
      <c r="CM67" s="248"/>
      <c r="CN67" s="241" t="str">
        <f>(IF(BV67=1,"Sol généralement ni acide ni basique.",""))</f>
        <v/>
      </c>
      <c r="CO67" s="218" t="str">
        <f>IF(LEN('Eval-Après impact'!$T$107)=0,"",IF('Eval-Après impact'!$T$107=0,"",IF(BV67="","pH non renseigné dans tout le site.","")))</f>
        <v/>
      </c>
      <c r="CP67" s="243" t="str">
        <f>BV67</f>
        <v/>
      </c>
      <c r="CQ67" s="244" t="str">
        <f>CF67</f>
        <v/>
      </c>
      <c r="CR67" s="245"/>
      <c r="CS67" s="1133"/>
      <c r="CT67" s="1135" t="s">
        <v>196</v>
      </c>
      <c r="CU67" s="235" t="s">
        <v>419</v>
      </c>
      <c r="CV67" s="236"/>
      <c r="CW67" s="237"/>
      <c r="CX67" s="237"/>
      <c r="CY67" s="237"/>
      <c r="CZ67" s="237"/>
      <c r="DA67" s="237"/>
      <c r="DB67" s="238" t="str">
        <f>IF(LEN('Eval-Avant action écologique'!$T$107)=0,"",IF('Eval-Avant action écologique'!$T$107=0,0,IF(CT26&lt;&gt;100,"",SUM(IF(CV9&lt;&gt;"",IF(AND(CV9&gt;=6,CV9&lt;=7),CT9/CT26,IF(OR(AND(CV9&gt;=5,CV9&lt;6),AND(CV9&gt;7,CV9&lt;=8)),0.55*CT9/CT26,0.1*CT9/CT26)),0),IF(CV10&lt;&gt;"",IF(AND(CV10&gt;=6,CV10&lt;=7),CT10/CT26,IF(OR(AND(CV10&gt;=5,CV10&lt;6),AND(CV10&gt;7,CV10&lt;=8)),0.55*CT10/CT26,0.1*CT10/CT26)),0),IF(CV11&lt;&gt;"",IF(AND(CV11&gt;=6,CV11&lt;=7),CT11/CT26,IF(OR(AND(CV11&gt;=5,CV11&lt;6),AND(CV11&gt;7,CV11&lt;=8)),0.55*CT11/CT26,0.1*CT11/CT26)),0),IF(CV12&lt;&gt;"",IF(AND(CV12&gt;=6,CV12&lt;=7),CT12/CT26,IF(OR(AND(CV12&gt;=5,CV12&lt;6),AND(CV12&gt;7,CV12&lt;=8)),0.55*CT12/CT26,0.1*CT12/CT26)),0),IF(CV13&lt;&gt;"",IF(AND(CV13&gt;=6,CV13&lt;=7),CT13/CT26,IF(OR(AND(CV13&gt;=5,CV13&lt;6),AND(CV13&gt;7,CV13&lt;=8)),0.55*CT13/CT26,0.1*CT13/CT26)),0),IF(CV14&lt;&gt;"",IF(AND(CV14&gt;=6,CV14&lt;=7),CT14/CT26,IF(OR(AND(CV14&gt;=5,CV14&lt;6),AND(CV14&gt;7,CV14&lt;=8)),0.55*CT14/CT26,0.1*CT14/CT26)),0),IF(CV15&lt;&gt;"",IF(AND(CV15&gt;=6,CV15&lt;=7),CT15/CT26,IF(OR(AND(CV15&gt;=5,CV15&lt;6),AND(CV15&gt;7,CV15&lt;=8)),0.55*CT15/CT26,0.1*CT15/CT26)),0),IF(CV16&lt;&gt;"",IF(AND(CV16&gt;=6,CV16&lt;=7),CT16/CT26,IF(OR(AND(CV16&gt;=5,CV16&lt;6),AND(CV16&gt;7,CV16&lt;=8)),0.55*CT16/CT26,0.1*CT16/CT26)),0),IF(CV17&lt;&gt;"",IF(AND(CV17&gt;=6,CV17&lt;=7),CT17/CT26,IF(OR(AND(CV17&gt;=5,CV17&lt;6),AND(CV17&gt;7,CV17&lt;=8)),0.55*CT17/CT26,0.1*CT17/CT26)),0),IF(CV18&lt;&gt;"",IF(AND(CV18&gt;=6,CV18&lt;=7),CT18/CT26,IF(OR(AND(CV18&gt;=5,CV18&lt;6),AND(CV18&gt;7,CV18&lt;=8)),0.55*CT18/CT26,0.1*CT18/CT26)),0),IF(CV19&lt;&gt;"",IF(AND(CV19&gt;=6,CV19&lt;=7),CT19/CT26,IF(OR(AND(CV19&gt;=5,CV19&lt;6),AND(CV19&gt;7,CV19&lt;=8)),0.55*CT19/CT26,0.1*CT19/CT26)),0),IF(CV20&lt;&gt;"",IF(AND(CV20&gt;=6,CV20&lt;=7),CT20/CT26,IF(OR(AND(CV20&gt;=5,CV20&lt;6),AND(CV20&gt;7,CV20&lt;=8)),0.55*CT20/CT26,0.1*CT20/CT26)),0),IF(CV21&lt;&gt;"",IF(AND(CV21&gt;=6,CV21&lt;=7),CT21/CT26,IF(OR(AND(CV21&gt;=5,CV21&lt;6),AND(CV21&gt;7,CV21&lt;=8)),0.55*CT21/CT26,0.1*CT21/CT26)),0),IF(CV22&lt;&gt;"",IF(AND(CV22&gt;=6,CV22&lt;=7),CT22/CT26,IF(OR(AND(CV22&gt;=5,CV22&lt;6),AND(CV22&gt;7,CV22&lt;=8)),0.55*CT22/CT26,0.1*CT22/CT26)),0),IF(CV23&lt;&gt;"",IF(AND(CV23&gt;=6,CV23&lt;=7),CT23/CT26,IF(OR(AND(CV23&gt;=5,CV23&lt;6),AND(CV23&gt;7,CV23&lt;=8)),0.55*CT23/CT26,0.1*CT23/CT26)),0)))))</f>
        <v/>
      </c>
      <c r="DC67" s="237"/>
      <c r="DD67" s="237"/>
      <c r="DE67" s="239"/>
      <c r="DF67" s="236"/>
      <c r="DG67" s="237"/>
      <c r="DH67" s="237"/>
      <c r="DI67" s="237"/>
      <c r="DJ67" s="237"/>
      <c r="DK67" s="237"/>
      <c r="DL67" s="238" t="str">
        <f>IF(DB67="","",DB67*'Eval-Avant action écologique'!$T$107)</f>
        <v/>
      </c>
      <c r="DM67" s="237"/>
      <c r="DN67" s="237"/>
      <c r="DO67" s="239"/>
      <c r="DP67" s="240" t="str">
        <f>IF(LEN('Eval-Avant action écologique'!$T$107)=0,"",IF('Eval-Avant action écologique'!$T$107=0,"Site détruit (0 ha).",(IF(AND(DB67&gt;=0,DB67&lt;=0.1),"Sol généralement très acide ou très basique.",""))))</f>
        <v/>
      </c>
      <c r="DQ67" s="248"/>
      <c r="DR67" s="241" t="str">
        <f>(IF(AND(DB67&gt;0.1,DB67&lt;1),"Sol généralement assez acide ou assez basique.",""))</f>
        <v/>
      </c>
      <c r="DS67" s="248"/>
      <c r="DT67" s="241" t="str">
        <f>(IF(DB67=1,"Sol généralement ni acide ni basique.",""))</f>
        <v/>
      </c>
      <c r="DU67" s="218" t="str">
        <f>IF(LEN('Eval-Avant action écologique'!$T$107)=0,"",IF('Eval-Avant action écologique'!$T$107=0,"",IF(DB67="","pH non renseigné dans tout le site.","")))</f>
        <v/>
      </c>
      <c r="DV67" s="243" t="str">
        <f>DB67</f>
        <v/>
      </c>
      <c r="DW67" s="244" t="str">
        <f>DL67</f>
        <v/>
      </c>
      <c r="DX67" s="245"/>
      <c r="DY67" s="1133"/>
      <c r="DZ67" s="1135" t="s">
        <v>196</v>
      </c>
      <c r="EA67" s="235" t="s">
        <v>419</v>
      </c>
      <c r="EB67" s="236"/>
      <c r="EC67" s="237"/>
      <c r="ED67" s="237"/>
      <c r="EE67" s="237"/>
      <c r="EF67" s="237"/>
      <c r="EG67" s="237"/>
      <c r="EH67" s="238" t="str">
        <f>IF(LEN('Eval-Avec act. écol. envisagée'!$T$107)=0,"",IF('Eval-Avec act. écol. envisagée'!$T$107=0,0,IF(DZ26&lt;&gt;100,"",SUM(IF(EB9&lt;&gt;"",IF(AND(EB9&gt;=6,EB9&lt;=7),DZ9/DZ26,IF(OR(AND(EB9&gt;=5,EB9&lt;6),AND(EB9&gt;7,EB9&lt;=8)),0.55*DZ9/DZ26,0.1*DZ9/DZ26)),0),IF(EB10&lt;&gt;"",IF(AND(EB10&gt;=6,EB10&lt;=7),DZ10/DZ26,IF(OR(AND(EB10&gt;=5,EB10&lt;6),AND(EB10&gt;7,EB10&lt;=8)),0.55*DZ10/DZ26,0.1*DZ10/DZ26)),0),IF(EB11&lt;&gt;"",IF(AND(EB11&gt;=6,EB11&lt;=7),DZ11/DZ26,IF(OR(AND(EB11&gt;=5,EB11&lt;6),AND(EB11&gt;7,EB11&lt;=8)),0.55*DZ11/DZ26,0.1*DZ11/DZ26)),0),IF(EB12&lt;&gt;"",IF(AND(EB12&gt;=6,EB12&lt;=7),DZ12/DZ26,IF(OR(AND(EB12&gt;=5,EB12&lt;6),AND(EB12&gt;7,EB12&lt;=8)),0.55*DZ12/DZ26,0.1*DZ12/DZ26)),0),IF(EB13&lt;&gt;"",IF(AND(EB13&gt;=6,EB13&lt;=7),DZ13/DZ26,IF(OR(AND(EB13&gt;=5,EB13&lt;6),AND(EB13&gt;7,EB13&lt;=8)),0.55*DZ13/DZ26,0.1*DZ13/DZ26)),0),IF(EB14&lt;&gt;"",IF(AND(EB14&gt;=6,EB14&lt;=7),DZ14/DZ26,IF(OR(AND(EB14&gt;=5,EB14&lt;6),AND(EB14&gt;7,EB14&lt;=8)),0.55*DZ14/DZ26,0.1*DZ14/DZ26)),0),IF(EB15&lt;&gt;"",IF(AND(EB15&gt;=6,EB15&lt;=7),DZ15/DZ26,IF(OR(AND(EB15&gt;=5,EB15&lt;6),AND(EB15&gt;7,EB15&lt;=8)),0.55*DZ15/DZ26,0.1*DZ15/DZ26)),0),IF(EB16&lt;&gt;"",IF(AND(EB16&gt;=6,EB16&lt;=7),DZ16/DZ26,IF(OR(AND(EB16&gt;=5,EB16&lt;6),AND(EB16&gt;7,EB16&lt;=8)),0.55*DZ16/DZ26,0.1*DZ16/DZ26)),0),IF(EB17&lt;&gt;"",IF(AND(EB17&gt;=6,EB17&lt;=7),DZ17/DZ26,IF(OR(AND(EB17&gt;=5,EB17&lt;6),AND(EB17&gt;7,EB17&lt;=8)),0.55*DZ17/DZ26,0.1*DZ17/DZ26)),0),IF(EB18&lt;&gt;"",IF(AND(EB18&gt;=6,EB18&lt;=7),DZ18/DZ26,IF(OR(AND(EB18&gt;=5,EB18&lt;6),AND(EB18&gt;7,EB18&lt;=8)),0.55*DZ18/DZ26,0.1*DZ18/DZ26)),0),IF(EB19&lt;&gt;"",IF(AND(EB19&gt;=6,EB19&lt;=7),DZ19/DZ26,IF(OR(AND(EB19&gt;=5,EB19&lt;6),AND(EB19&gt;7,EB19&lt;=8)),0.55*DZ19/DZ26,0.1*DZ19/DZ26)),0),IF(EB20&lt;&gt;"",IF(AND(EB20&gt;=6,EB20&lt;=7),DZ20/DZ26,IF(OR(AND(EB20&gt;=5,EB20&lt;6),AND(EB20&gt;7,EB20&lt;=8)),0.55*DZ20/DZ26,0.1*DZ20/DZ26)),0),IF(EB21&lt;&gt;"",IF(AND(EB21&gt;=6,EB21&lt;=7),DZ21/DZ26,IF(OR(AND(EB21&gt;=5,EB21&lt;6),AND(EB21&gt;7,EB21&lt;=8)),0.55*DZ21/DZ26,0.1*DZ21/DZ26)),0),IF(EB22&lt;&gt;"",IF(AND(EB22&gt;=6,EB22&lt;=7),DZ22/DZ26,IF(OR(AND(EB22&gt;=5,EB22&lt;6),AND(EB22&gt;7,EB22&lt;=8)),0.55*DZ22/DZ26,0.1*DZ22/DZ26)),0),IF(EB23&lt;&gt;"",IF(AND(EB23&gt;=6,EB23&lt;=7),DZ23/DZ26,IF(OR(AND(EB23&gt;=5,EB23&lt;6),AND(EB23&gt;7,EB23&lt;=8)),0.55*DZ23/DZ26,0.1*DZ23/DZ26)),0)))))</f>
        <v/>
      </c>
      <c r="EI67" s="237"/>
      <c r="EJ67" s="237"/>
      <c r="EK67" s="239"/>
      <c r="EL67" s="236"/>
      <c r="EM67" s="237"/>
      <c r="EN67" s="237"/>
      <c r="EO67" s="237"/>
      <c r="EP67" s="237"/>
      <c r="EQ67" s="237"/>
      <c r="ER67" s="238" t="str">
        <f>IF(EH67="","",EH67*'Eval-Avec act. écol. envisagée'!$T$107)</f>
        <v/>
      </c>
      <c r="ES67" s="237"/>
      <c r="ET67" s="237"/>
      <c r="EU67" s="239"/>
      <c r="EV67" s="240" t="str">
        <f>IF(LEN('Eval-Avec act. écol. envisagée'!$T$107)=0,"",IF('Eval-Avec act. écol. envisagée'!$T$107=0,"Site détruit (0 ha).",(IF(AND(EH67&gt;=0,EH67&lt;=0.1),"Sol généralement très acide ou très basique.",""))))</f>
        <v/>
      </c>
      <c r="EW67" s="248"/>
      <c r="EX67" s="241" t="str">
        <f>(IF(AND(EH67&gt;0.1,EH67&lt;1),"Sol généralement assez acide ou assez basique.",""))</f>
        <v/>
      </c>
      <c r="EY67" s="248"/>
      <c r="EZ67" s="241" t="str">
        <f>(IF(EH67=1,"Sol généralement ni acide ni basique.",""))</f>
        <v/>
      </c>
      <c r="FA67" s="218" t="str">
        <f>IF(LEN('Eval-Avec act. écol. envisagée'!$T$107)=0,"",IF('Eval-Avec act. écol. envisagée'!$T$107=0,"",IF(EH67="","pH non renseigné dans tout le site.","")))</f>
        <v/>
      </c>
      <c r="FB67" s="243" t="str">
        <f>EH67</f>
        <v/>
      </c>
      <c r="FC67" s="244" t="str">
        <f>ER67</f>
        <v/>
      </c>
      <c r="FD67" s="245"/>
      <c r="FE67" s="1133"/>
      <c r="FF67" s="1135" t="s">
        <v>196</v>
      </c>
      <c r="FG67" s="235" t="s">
        <v>419</v>
      </c>
      <c r="FH67" s="236"/>
      <c r="FI67" s="237"/>
      <c r="FJ67" s="237"/>
      <c r="FK67" s="237"/>
      <c r="FL67" s="237"/>
      <c r="FM67" s="237"/>
      <c r="FN67" s="238" t="str">
        <f>IF(LEN('Eval-Après action écologique'!$T$107)=0,"",IF('Eval-Après action écologique'!$T$107=0,0,IF(FF26&lt;&gt;100,"",SUM(IF(FH9&lt;&gt;"",IF(AND(FH9&gt;=6,FH9&lt;=7),FF9/FF26,IF(OR(AND(FH9&gt;=5,FH9&lt;6),AND(FH9&gt;7,FH9&lt;=8)),0.55*FF9/FF26,0.1*FF9/FF26)),0),IF(FH10&lt;&gt;"",IF(AND(FH10&gt;=6,FH10&lt;=7),FF10/FF26,IF(OR(AND(FH10&gt;=5,FH10&lt;6),AND(FH10&gt;7,FH10&lt;=8)),0.55*FF10/FF26,0.1*FF10/FF26)),0),IF(FH11&lt;&gt;"",IF(AND(FH11&gt;=6,FH11&lt;=7),FF11/FF26,IF(OR(AND(FH11&gt;=5,FH11&lt;6),AND(FH11&gt;7,FH11&lt;=8)),0.55*FF11/FF26,0.1*FF11/FF26)),0),IF(FH12&lt;&gt;"",IF(AND(FH12&gt;=6,FH12&lt;=7),FF12/FF26,IF(OR(AND(FH12&gt;=5,FH12&lt;6),AND(FH12&gt;7,FH12&lt;=8)),0.55*FF12/FF26,0.1*FF12/FF26)),0),IF(FH13&lt;&gt;"",IF(AND(FH13&gt;=6,FH13&lt;=7),FF13/FF26,IF(OR(AND(FH13&gt;=5,FH13&lt;6),AND(FH13&gt;7,FH13&lt;=8)),0.55*FF13/FF26,0.1*FF13/FF26)),0),IF(FH14&lt;&gt;"",IF(AND(FH14&gt;=6,FH14&lt;=7),FF14/FF26,IF(OR(AND(FH14&gt;=5,FH14&lt;6),AND(FH14&gt;7,FH14&lt;=8)),0.55*FF14/FF26,0.1*FF14/FF26)),0),IF(FH15&lt;&gt;"",IF(AND(FH15&gt;=6,FH15&lt;=7),FF15/FF26,IF(OR(AND(FH15&gt;=5,FH15&lt;6),AND(FH15&gt;7,FH15&lt;=8)),0.55*FF15/FF26,0.1*FF15/FF26)),0),IF(FH16&lt;&gt;"",IF(AND(FH16&gt;=6,FH16&lt;=7),FF16/FF26,IF(OR(AND(FH16&gt;=5,FH16&lt;6),AND(FH16&gt;7,FH16&lt;=8)),0.55*FF16/FF26,0.1*FF16/FF26)),0),IF(FH17&lt;&gt;"",IF(AND(FH17&gt;=6,FH17&lt;=7),FF17/FF26,IF(OR(AND(FH17&gt;=5,FH17&lt;6),AND(FH17&gt;7,FH17&lt;=8)),0.55*FF17/FF26,0.1*FF17/FF26)),0),IF(FH18&lt;&gt;"",IF(AND(FH18&gt;=6,FH18&lt;=7),FF18/FF26,IF(OR(AND(FH18&gt;=5,FH18&lt;6),AND(FH18&gt;7,FH18&lt;=8)),0.55*FF18/FF26,0.1*FF18/FF26)),0),IF(FH19&lt;&gt;"",IF(AND(FH19&gt;=6,FH19&lt;=7),FF19/FF26,IF(OR(AND(FH19&gt;=5,FH19&lt;6),AND(FH19&gt;7,FH19&lt;=8)),0.55*FF19/FF26,0.1*FF19/FF26)),0),IF(FH20&lt;&gt;"",IF(AND(FH20&gt;=6,FH20&lt;=7),FF20/FF26,IF(OR(AND(FH20&gt;=5,FH20&lt;6),AND(FH20&gt;7,FH20&lt;=8)),0.55*FF20/FF26,0.1*FF20/FF26)),0),IF(FH21&lt;&gt;"",IF(AND(FH21&gt;=6,FH21&lt;=7),FF21/FF26,IF(OR(AND(FH21&gt;=5,FH21&lt;6),AND(FH21&gt;7,FH21&lt;=8)),0.55*FF21/FF26,0.1*FF21/FF26)),0),IF(FH22&lt;&gt;"",IF(AND(FH22&gt;=6,FH22&lt;=7),FF22/FF26,IF(OR(AND(FH22&gt;=5,FH22&lt;6),AND(FH22&gt;7,FH22&lt;=8)),0.55*FF22/FF26,0.1*FF22/FF26)),0),IF(FH23&lt;&gt;"",IF(AND(FH23&gt;=6,FH23&lt;=7),FF23/FF26,IF(OR(AND(FH23&gt;=5,FH23&lt;6),AND(FH23&gt;7,FH23&lt;=8)),0.55*FF23/FF26,0.1*FF23/FF26)),0)))))</f>
        <v/>
      </c>
      <c r="FO67" s="237"/>
      <c r="FP67" s="237"/>
      <c r="FQ67" s="239"/>
      <c r="FR67" s="236"/>
      <c r="FS67" s="237"/>
      <c r="FT67" s="237"/>
      <c r="FU67" s="237"/>
      <c r="FV67" s="237"/>
      <c r="FW67" s="237"/>
      <c r="FX67" s="238" t="str">
        <f>IF(FN67="","",FN67*'Eval-Après action écologique'!$T$107)</f>
        <v/>
      </c>
      <c r="FY67" s="237"/>
      <c r="FZ67" s="237"/>
      <c r="GA67" s="239"/>
      <c r="GB67" s="240" t="str">
        <f>IF(LEN('Eval-Après action écologique'!$T$107)=0,"",IF('Eval-Après action écologique'!$T$107=0,"Site détruit (0 ha).",(IF(AND(FN67&gt;=0,FN67&lt;=0.1),"Sol généralement très acide ou très basique.",""))))</f>
        <v/>
      </c>
      <c r="GC67" s="248"/>
      <c r="GD67" s="241" t="str">
        <f>(IF(AND(FN67&gt;0.1,FN67&lt;1),"Sol généralement assez acide ou assez basique.",""))</f>
        <v/>
      </c>
      <c r="GE67" s="248"/>
      <c r="GF67" s="241" t="str">
        <f>(IF(FN67=1,"Sol généralement ni acide ni basique.",""))</f>
        <v/>
      </c>
      <c r="GG67" s="218" t="str">
        <f>IF(LEN('Eval-Après action écologique'!$T$107)=0,"",IF('Eval-Après action écologique'!$T$107=0,"",IF(FN67="","pH non renseigné dans tout le site.","")))</f>
        <v/>
      </c>
      <c r="GH67" s="243" t="str">
        <f>FN67</f>
        <v/>
      </c>
      <c r="GI67" s="244" t="str">
        <f>FX67</f>
        <v/>
      </c>
    </row>
    <row r="68" spans="1:191" ht="31.5" customHeight="1" x14ac:dyDescent="0.2">
      <c r="A68" s="1133"/>
      <c r="B68" s="1137"/>
      <c r="C68" s="235" t="s">
        <v>420</v>
      </c>
      <c r="D68" s="236"/>
      <c r="E68" s="237"/>
      <c r="F68" s="237"/>
      <c r="G68" s="237"/>
      <c r="H68" s="237"/>
      <c r="I68" s="238" t="str">
        <f>IF(LEN('Eval-Avant impact'!$T$107)=0,"",IF('Eval-Avant impact'!$T$107=0,0,IF(B26&lt;&gt;100,"",SUM(IF(D9&lt;&gt;"",IF(AND(D9&gt;=6,D9&lt;=7),0.1*B9/B26,IF(OR(AND(D9&gt;=5,D9&lt;6),AND(D9&gt;7,D9&lt;=8)),0.55*B9/B26,B9/B26)),0),IF(D10&lt;&gt;"",IF(AND(D10&gt;=6,D10&lt;=7),0.1*B10/B26,IF(OR(AND(D10&gt;=5,D10&lt;6),AND(D10&gt;7,D10&lt;=8)),0.55*B10/B26,B10/B26)),0),IF(D11&lt;&gt;"",IF(AND(D11&gt;=6,D11&lt;=7),0.1*B11/B26,IF(OR(AND(D11&gt;=5,D11&lt;6),AND(D11&gt;7,D11&lt;=8)),0.55*B11/B26,B11/B26)),0),IF(D12&lt;&gt;"",IF(AND(D12&gt;=6,D12&lt;=7),0.1*B12/B26,IF(OR(AND(D12&gt;=5,D12&lt;6),AND(D12&gt;7,D12&lt;=8)),0.55*B12/B26,B12/B26)),0),IF(D13&lt;&gt;"",IF(AND(D13&gt;=6,D13&lt;=7),0.1*B13/B26,IF(OR(AND(D13&gt;=5,D13&lt;6),AND(D13&gt;7,D13&lt;=8)),0.55*B13/B26,B13/B26)),0),IF(D14&lt;&gt;"",IF(AND(D14&gt;=6,D14&lt;=7),0.1*B14/B26,IF(OR(AND(D14&gt;=5,D14&lt;6),AND(D14&gt;7,D14&lt;=8)),0.55*B14/B26,B14/B26)),0),IF(D15&lt;&gt;"",IF(AND(D15&gt;=6,D15&lt;=7),0.1*B15/B26,IF(OR(AND(D15&gt;=5,D15&lt;6),AND(D15&gt;7,D15&lt;=8)),0.55*B15/B26,B15/B26)),0),IF(D16&lt;&gt;"",IF(AND(D16&gt;=6,D16&lt;=7),0.1*B16/B26,IF(OR(AND(D16&gt;=5,D16&lt;6),AND(D16&gt;7,D16&lt;=8)),0.55*B16/B26,B16/B26)),0),IF(D17&lt;&gt;"",IF(AND(D17&gt;=6,D17&lt;=7),0.1*B17/B26,IF(OR(AND(D17&gt;=5,D17&lt;6),AND(D17&gt;7,D17&lt;=8)),0.55*B17/B26,B17/B26)),0),IF(D18&lt;&gt;"",IF(AND(D18&gt;=6,D18&lt;=7),0.1*B18/B26,IF(OR(AND(D18&gt;=5,D18&lt;6),AND(D18&gt;7,D18&lt;=8)),0.55*B18/B26,B18/B26)),0),IF(D19&lt;&gt;"",IF(AND(D19&gt;=6,D19&lt;=7),0.1*B19/B26,IF(OR(AND(D19&gt;=5,D19&lt;6),AND(D19&gt;7,D19&lt;=8)),0.55*B19/B26,B19/B26)),0),IF(D20&lt;&gt;"",IF(AND(D20&gt;=6,D20&lt;=7),0.1*B20/B26,IF(OR(AND(D20&gt;=5,D20&lt;6),AND(D20&gt;7,D20&lt;=8)),0.55*B20/B26,B20/B26)),0),IF(D21&lt;&gt;"",IF(AND(D21&gt;=6,D21&lt;=7),0.1*B21/B26,IF(OR(AND(D21&gt;=5,D21&lt;6),AND(D21&gt;7,D21&lt;=8)),0.55*B21/B26,B21/B26)),0),IF(D22&lt;&gt;"",IF(AND(D22&gt;=6,D22&lt;=7),0.1*B22/B26,IF(OR(AND(D22&gt;=5,D22&lt;6),AND(D22&gt;7,D22&lt;=8)),0.55*B22/B26,B22/B26)),0),IF(D23&lt;&gt;"",IF(AND(D23&gt;=6,D23&lt;=7),0.1*B23/B26,IF(OR(AND(D23&gt;=5,D23&lt;6),AND(D23&gt;7,D23&lt;=8)),0.55*B23/B26,B23/B26)),0)))))</f>
        <v/>
      </c>
      <c r="J68" s="237"/>
      <c r="K68" s="237"/>
      <c r="L68" s="237"/>
      <c r="M68" s="239"/>
      <c r="N68" s="236"/>
      <c r="O68" s="237"/>
      <c r="P68" s="237"/>
      <c r="Q68" s="237"/>
      <c r="R68" s="237"/>
      <c r="S68" s="238" t="str">
        <f>IF(I68="","",I68*'Eval-Avant impact'!$T$107)</f>
        <v/>
      </c>
      <c r="T68" s="237"/>
      <c r="U68" s="237"/>
      <c r="V68" s="237"/>
      <c r="W68" s="239"/>
      <c r="X68" s="240" t="str">
        <f>IF(LEN('Eval-Avant impact'!$T$107)=0,"",IF('Eval-Avant impact'!$T$107=0,"Site détruit (0 ha).",(IF(AND(I68&gt;0,I68&lt;=0.1),"Sol généralement ni acide ni basique.",""))))</f>
        <v/>
      </c>
      <c r="Y68" s="248"/>
      <c r="Z68" s="241" t="str">
        <f>(IF(AND(I68&gt;0.1,I68&lt;1),"Sol généralement assez acide ou assez basique.",""))</f>
        <v/>
      </c>
      <c r="AA68" s="248"/>
      <c r="AB68" s="241" t="str">
        <f>(IF(I68=1,"Sol généralement très acide ou très basique.",""))</f>
        <v/>
      </c>
      <c r="AC68" s="218" t="str">
        <f>IF(LEN('Eval-Avant impact'!$T$107)=0,"",IF('Eval-Avant impact'!$T$107=0,"",IF(I68="","pH non renseigné dans tout le site.","")))</f>
        <v/>
      </c>
      <c r="AD68" s="243" t="str">
        <f>I68</f>
        <v/>
      </c>
      <c r="AE68" s="244" t="str">
        <f>S68</f>
        <v/>
      </c>
      <c r="AF68" s="245"/>
      <c r="AG68" s="1133"/>
      <c r="AH68" s="1137"/>
      <c r="AI68" s="235" t="s">
        <v>420</v>
      </c>
      <c r="AJ68" s="236"/>
      <c r="AK68" s="237"/>
      <c r="AL68" s="237"/>
      <c r="AM68" s="237"/>
      <c r="AN68" s="237"/>
      <c r="AO68" s="238" t="str">
        <f>IF(LEN('Eval-Avec impact envisagé'!$T$107)=0,"",IF('Eval-Avec impact envisagé'!$T$107=0,0,IF(AH26&lt;&gt;100,"",SUM(IF(AJ9&lt;&gt;"",IF(AND(AJ9&gt;=6,AJ9&lt;=7),0.1*AH9/AH26,IF(OR(AND(AJ9&gt;=5,AJ9&lt;6),AND(AJ9&gt;7,AJ9&lt;=8)),0.55*AH9/AH26,AH9/AH26)),0),IF(AJ10&lt;&gt;"",IF(AND(AJ10&gt;=6,AJ10&lt;=7),0.1*AH10/AH26,IF(OR(AND(AJ10&gt;=5,AJ10&lt;6),AND(AJ10&gt;7,AJ10&lt;=8)),0.55*AH10/AH26,AH10/AH26)),0),IF(AJ11&lt;&gt;"",IF(AND(AJ11&gt;=6,AJ11&lt;=7),0.1*AH11/AH26,IF(OR(AND(AJ11&gt;=5,AJ11&lt;6),AND(AJ11&gt;7,AJ11&lt;=8)),0.55*AH11/AH26,AH11/AH26)),0),IF(AJ12&lt;&gt;"",IF(AND(AJ12&gt;=6,AJ12&lt;=7),0.1*AH12/AH26,IF(OR(AND(AJ12&gt;=5,AJ12&lt;6),AND(AJ12&gt;7,AJ12&lt;=8)),0.55*AH12/AH26,AH12/AH26)),0),IF(AJ13&lt;&gt;"",IF(AND(AJ13&gt;=6,AJ13&lt;=7),0.1*AH13/AH26,IF(OR(AND(AJ13&gt;=5,AJ13&lt;6),AND(AJ13&gt;7,AJ13&lt;=8)),0.55*AH13/AH26,AH13/AH26)),0),IF(AJ14&lt;&gt;"",IF(AND(AJ14&gt;=6,AJ14&lt;=7),0.1*AH14/AH26,IF(OR(AND(AJ14&gt;=5,AJ14&lt;6),AND(AJ14&gt;7,AJ14&lt;=8)),0.55*AH14/AH26,AH14/AH26)),0),IF(AJ15&lt;&gt;"",IF(AND(AJ15&gt;=6,AJ15&lt;=7),0.1*AH15/AH26,IF(OR(AND(AJ15&gt;=5,AJ15&lt;6),AND(AJ15&gt;7,AJ15&lt;=8)),0.55*AH15/AH26,AH15/AH26)),0),IF(AJ16&lt;&gt;"",IF(AND(AJ16&gt;=6,AJ16&lt;=7),0.1*AH16/AH26,IF(OR(AND(AJ16&gt;=5,AJ16&lt;6),AND(AJ16&gt;7,AJ16&lt;=8)),0.55*AH16/AH26,AH16/AH26)),0),IF(AJ17&lt;&gt;"",IF(AND(AJ17&gt;=6,AJ17&lt;=7),0.1*AH17/AH26,IF(OR(AND(AJ17&gt;=5,AJ17&lt;6),AND(AJ17&gt;7,AJ17&lt;=8)),0.55*AH17/AH26,AH17/AH26)),0),IF(AJ18&lt;&gt;"",IF(AND(AJ18&gt;=6,AJ18&lt;=7),0.1*AH18/AH26,IF(OR(AND(AJ18&gt;=5,AJ18&lt;6),AND(AJ18&gt;7,AJ18&lt;=8)),0.55*AH18/AH26,AH18/AH26)),0),IF(AJ19&lt;&gt;"",IF(AND(AJ19&gt;=6,AJ19&lt;=7),0.1*AH19/AH26,IF(OR(AND(AJ19&gt;=5,AJ19&lt;6),AND(AJ19&gt;7,AJ19&lt;=8)),0.55*AH19/AH26,AH19/AH26)),0),IF(AJ20&lt;&gt;"",IF(AND(AJ20&gt;=6,AJ20&lt;=7),0.1*AH20/AH26,IF(OR(AND(AJ20&gt;=5,AJ20&lt;6),AND(AJ20&gt;7,AJ20&lt;=8)),0.55*AH20/AH26,AH20/AH26)),0),IF(AJ21&lt;&gt;"",IF(AND(AJ21&gt;=6,AJ21&lt;=7),0.1*AH21/AH26,IF(OR(AND(AJ21&gt;=5,AJ21&lt;6),AND(AJ21&gt;7,AJ21&lt;=8)),0.55*AH21/AH26,AH21/AH26)),0),IF(AJ22&lt;&gt;"",IF(AND(AJ22&gt;=6,AJ22&lt;=7),0.1*AH22/AH26,IF(OR(AND(AJ22&gt;=5,AJ22&lt;6),AND(AJ22&gt;7,AJ22&lt;=8)),0.55*AH22/AH26,AH22/AH26)),0),IF(AJ23&lt;&gt;"",IF(AND(AJ23&gt;=6,AJ23&lt;=7),0.1*AH23/AH26,IF(OR(AND(AJ23&gt;=5,AJ23&lt;6),AND(AJ23&gt;7,AJ23&lt;=8)),0.55*AH23/AH26,AH23/AH26)),0)))))</f>
        <v/>
      </c>
      <c r="AP68" s="237"/>
      <c r="AQ68" s="237"/>
      <c r="AR68" s="237"/>
      <c r="AS68" s="239"/>
      <c r="AT68" s="236"/>
      <c r="AU68" s="237"/>
      <c r="AV68" s="237"/>
      <c r="AW68" s="237"/>
      <c r="AX68" s="237"/>
      <c r="AY68" s="238" t="str">
        <f>IF(AO68="","",AO68*'Eval-Avec impact envisagé'!$T$107)</f>
        <v/>
      </c>
      <c r="AZ68" s="237"/>
      <c r="BA68" s="237"/>
      <c r="BB68" s="237"/>
      <c r="BC68" s="239"/>
      <c r="BD68" s="240" t="str">
        <f>IF(LEN('Eval-Avec impact envisagé'!$T$107)=0,"",IF('Eval-Avec impact envisagé'!$T$107=0,"Site détruit (0 ha).",(IF(AND(AO68&gt;0,AO68&lt;=0.1),"Sol généralement ni acide ni basique.",""))))</f>
        <v/>
      </c>
      <c r="BE68" s="248"/>
      <c r="BF68" s="241" t="str">
        <f>(IF(AND(AO68&gt;0.1,AO68&lt;1),"Sol généralement assez acide ou assez basique.",""))</f>
        <v/>
      </c>
      <c r="BG68" s="248"/>
      <c r="BH68" s="241" t="str">
        <f>(IF(AO68=1,"Sol généralement très acide ou très basique.",""))</f>
        <v/>
      </c>
      <c r="BI68" s="218" t="str">
        <f>IF(LEN('Eval-Avec impact envisagé'!$T$107)=0,"",IF('Eval-Avec impact envisagé'!$T$107=0,"",IF(AO68="","pH non renseigné dans tout le site.","")))</f>
        <v/>
      </c>
      <c r="BJ68" s="243" t="str">
        <f>AO68</f>
        <v/>
      </c>
      <c r="BK68" s="244" t="str">
        <f>AY68</f>
        <v/>
      </c>
      <c r="BL68" s="245"/>
      <c r="BM68" s="1133"/>
      <c r="BN68" s="1137"/>
      <c r="BO68" s="235" t="s">
        <v>420</v>
      </c>
      <c r="BP68" s="236"/>
      <c r="BQ68" s="237"/>
      <c r="BR68" s="237"/>
      <c r="BS68" s="237"/>
      <c r="BT68" s="237"/>
      <c r="BU68" s="238" t="str">
        <f>IF(LEN('Eval-Après impact'!$T$107)=0,"",IF('Eval-Après impact'!$T$107=0,0,IF(BN26&lt;&gt;100,"",SUM(IF(BP9&lt;&gt;"",IF(AND(BP9&gt;=6,BP9&lt;=7),0.1*BN9/BN26,IF(OR(AND(BP9&gt;=5,BP9&lt;6),AND(BP9&gt;7,BP9&lt;=8)),0.55*BN9/BN26,BN9/BN26)),0),IF(BP10&lt;&gt;"",IF(AND(BP10&gt;=6,BP10&lt;=7),0.1*BN10/BN26,IF(OR(AND(BP10&gt;=5,BP10&lt;6),AND(BP10&gt;7,BP10&lt;=8)),0.55*BN10/BN26,BN10/BN26)),0),IF(BP11&lt;&gt;"",IF(AND(BP11&gt;=6,BP11&lt;=7),0.1*BN11/BN26,IF(OR(AND(BP11&gt;=5,BP11&lt;6),AND(BP11&gt;7,BP11&lt;=8)),0.55*BN11/BN26,BN11/BN26)),0),IF(BP12&lt;&gt;"",IF(AND(BP12&gt;=6,BP12&lt;=7),0.1*BN12/BN26,IF(OR(AND(BP12&gt;=5,BP12&lt;6),AND(BP12&gt;7,BP12&lt;=8)),0.55*BN12/BN26,BN12/BN26)),0),IF(BP13&lt;&gt;"",IF(AND(BP13&gt;=6,BP13&lt;=7),0.1*BN13/BN26,IF(OR(AND(BP13&gt;=5,BP13&lt;6),AND(BP13&gt;7,BP13&lt;=8)),0.55*BN13/BN26,BN13/BN26)),0),IF(BP14&lt;&gt;"",IF(AND(BP14&gt;=6,BP14&lt;=7),0.1*BN14/BN26,IF(OR(AND(BP14&gt;=5,BP14&lt;6),AND(BP14&gt;7,BP14&lt;=8)),0.55*BN14/BN26,BN14/BN26)),0),IF(BP15&lt;&gt;"",IF(AND(BP15&gt;=6,BP15&lt;=7),0.1*BN15/BN26,IF(OR(AND(BP15&gt;=5,BP15&lt;6),AND(BP15&gt;7,BP15&lt;=8)),0.55*BN15/BN26,BN15/BN26)),0),IF(BP16&lt;&gt;"",IF(AND(BP16&gt;=6,BP16&lt;=7),0.1*BN16/BN26,IF(OR(AND(BP16&gt;=5,BP16&lt;6),AND(BP16&gt;7,BP16&lt;=8)),0.55*BN16/BN26,BN16/BN26)),0),IF(BP17&lt;&gt;"",IF(AND(BP17&gt;=6,BP17&lt;=7),0.1*BN17/BN26,IF(OR(AND(BP17&gt;=5,BP17&lt;6),AND(BP17&gt;7,BP17&lt;=8)),0.55*BN17/BN26,BN17/BN26)),0),IF(BP18&lt;&gt;"",IF(AND(BP18&gt;=6,BP18&lt;=7),0.1*BN18/BN26,IF(OR(AND(BP18&gt;=5,BP18&lt;6),AND(BP18&gt;7,BP18&lt;=8)),0.55*BN18/BN26,BN18/BN26)),0),IF(BP19&lt;&gt;"",IF(AND(BP19&gt;=6,BP19&lt;=7),0.1*BN19/BN26,IF(OR(AND(BP19&gt;=5,BP19&lt;6),AND(BP19&gt;7,BP19&lt;=8)),0.55*BN19/BN26,BN19/BN26)),0),IF(BP20&lt;&gt;"",IF(AND(BP20&gt;=6,BP20&lt;=7),0.1*BN20/BN26,IF(OR(AND(BP20&gt;=5,BP20&lt;6),AND(BP20&gt;7,BP20&lt;=8)),0.55*BN20/BN26,BN20/BN26)),0),IF(BP21&lt;&gt;"",IF(AND(BP21&gt;=6,BP21&lt;=7),0.1*BN21/BN26,IF(OR(AND(BP21&gt;=5,BP21&lt;6),AND(BP21&gt;7,BP21&lt;=8)),0.55*BN21/BN26,BN21/BN26)),0),IF(BP22&lt;&gt;"",IF(AND(BP22&gt;=6,BP22&lt;=7),0.1*BN22/BN26,IF(OR(AND(BP22&gt;=5,BP22&lt;6),AND(BP22&gt;7,BP22&lt;=8)),0.55*BN22/BN26,BN22/BN26)),0),IF(BP23&lt;&gt;"",IF(AND(BP23&gt;=6,BP23&lt;=7),0.1*BN23/BN26,IF(OR(AND(BP23&gt;=5,BP23&lt;6),AND(BP23&gt;7,BP23&lt;=8)),0.55*BN23/BN26,BN23/BN26)),0)))))</f>
        <v/>
      </c>
      <c r="BV68" s="237"/>
      <c r="BW68" s="237"/>
      <c r="BX68" s="237"/>
      <c r="BY68" s="239"/>
      <c r="BZ68" s="236"/>
      <c r="CA68" s="237"/>
      <c r="CB68" s="237"/>
      <c r="CC68" s="237"/>
      <c r="CD68" s="237"/>
      <c r="CE68" s="238" t="str">
        <f>IF(BU68="","",BU68*'Eval-Après impact'!$T$107)</f>
        <v/>
      </c>
      <c r="CF68" s="237"/>
      <c r="CG68" s="237"/>
      <c r="CH68" s="237"/>
      <c r="CI68" s="239"/>
      <c r="CJ68" s="240" t="str">
        <f>IF(LEN('Eval-Après impact'!$T$107)=0,"",IF('Eval-Après impact'!$T$107=0,"Site détruit (0 ha).",(IF(AND(BU68&gt;0,BU68&lt;=0.1),"Sol généralement ni acide ni basique.",""))))</f>
        <v/>
      </c>
      <c r="CK68" s="248"/>
      <c r="CL68" s="241" t="str">
        <f>(IF(AND(BU68&gt;0.1,BU68&lt;1),"Sol généralement assez acide ou assez basique.",""))</f>
        <v/>
      </c>
      <c r="CM68" s="248"/>
      <c r="CN68" s="241" t="str">
        <f>(IF(BU68=1,"Sol généralement très acide ou très basique.",""))</f>
        <v/>
      </c>
      <c r="CO68" s="218" t="str">
        <f>IF(LEN('Eval-Après impact'!$T$107)=0,"",IF('Eval-Après impact'!$T$107=0,"",IF(BU68="","pH non renseigné dans tout le site.","")))</f>
        <v/>
      </c>
      <c r="CP68" s="243" t="str">
        <f>BU68</f>
        <v/>
      </c>
      <c r="CQ68" s="244" t="str">
        <f>CE68</f>
        <v/>
      </c>
      <c r="CR68" s="245"/>
      <c r="CS68" s="1133"/>
      <c r="CT68" s="1137"/>
      <c r="CU68" s="235" t="s">
        <v>420</v>
      </c>
      <c r="CV68" s="236"/>
      <c r="CW68" s="237"/>
      <c r="CX68" s="237"/>
      <c r="CY68" s="237"/>
      <c r="CZ68" s="237"/>
      <c r="DA68" s="238" t="str">
        <f>IF(LEN('Eval-Avant action écologique'!$T$107)=0,"",IF('Eval-Avant action écologique'!$T$107=0,0,IF(CT26&lt;&gt;100,"",SUM(IF(CV9&lt;&gt;"",IF(AND(CV9&gt;=6,CV9&lt;=7),0.1*CT9/CT26,IF(OR(AND(CV9&gt;=5,CV9&lt;6),AND(CV9&gt;7,CV9&lt;=8)),0.55*CT9/CT26,CT9/CT26)),0),IF(CV10&lt;&gt;"",IF(AND(CV10&gt;=6,CV10&lt;=7),0.1*CT10/CT26,IF(OR(AND(CV10&gt;=5,CV10&lt;6),AND(CV10&gt;7,CV10&lt;=8)),0.55*CT10/CT26,CT10/CT26)),0),IF(CV11&lt;&gt;"",IF(AND(CV11&gt;=6,CV11&lt;=7),0.1*CT11/CT26,IF(OR(AND(CV11&gt;=5,CV11&lt;6),AND(CV11&gt;7,CV11&lt;=8)),0.55*CT11/CT26,CT11/CT26)),0),IF(CV12&lt;&gt;"",IF(AND(CV12&gt;=6,CV12&lt;=7),0.1*CT12/CT26,IF(OR(AND(CV12&gt;=5,CV12&lt;6),AND(CV12&gt;7,CV12&lt;=8)),0.55*CT12/CT26,CT12/CT26)),0),IF(CV13&lt;&gt;"",IF(AND(CV13&gt;=6,CV13&lt;=7),0.1*CT13/CT26,IF(OR(AND(CV13&gt;=5,CV13&lt;6),AND(CV13&gt;7,CV13&lt;=8)),0.55*CT13/CT26,CT13/CT26)),0),IF(CV14&lt;&gt;"",IF(AND(CV14&gt;=6,CV14&lt;=7),0.1*CT14/CT26,IF(OR(AND(CV14&gt;=5,CV14&lt;6),AND(CV14&gt;7,CV14&lt;=8)),0.55*CT14/CT26,CT14/CT26)),0),IF(CV15&lt;&gt;"",IF(AND(CV15&gt;=6,CV15&lt;=7),0.1*CT15/CT26,IF(OR(AND(CV15&gt;=5,CV15&lt;6),AND(CV15&gt;7,CV15&lt;=8)),0.55*CT15/CT26,CT15/CT26)),0),IF(CV16&lt;&gt;"",IF(AND(CV16&gt;=6,CV16&lt;=7),0.1*CT16/CT26,IF(OR(AND(CV16&gt;=5,CV16&lt;6),AND(CV16&gt;7,CV16&lt;=8)),0.55*CT16/CT26,CT16/CT26)),0),IF(CV17&lt;&gt;"",IF(AND(CV17&gt;=6,CV17&lt;=7),0.1*CT17/CT26,IF(OR(AND(CV17&gt;=5,CV17&lt;6),AND(CV17&gt;7,CV17&lt;=8)),0.55*CT17/CT26,CT17/CT26)),0),IF(CV18&lt;&gt;"",IF(AND(CV18&gt;=6,CV18&lt;=7),0.1*CT18/CT26,IF(OR(AND(CV18&gt;=5,CV18&lt;6),AND(CV18&gt;7,CV18&lt;=8)),0.55*CT18/CT26,CT18/CT26)),0),IF(CV19&lt;&gt;"",IF(AND(CV19&gt;=6,CV19&lt;=7),0.1*CT19/CT26,IF(OR(AND(CV19&gt;=5,CV19&lt;6),AND(CV19&gt;7,CV19&lt;=8)),0.55*CT19/CT26,CT19/CT26)),0),IF(CV20&lt;&gt;"",IF(AND(CV20&gt;=6,CV20&lt;=7),0.1*CT20/CT26,IF(OR(AND(CV20&gt;=5,CV20&lt;6),AND(CV20&gt;7,CV20&lt;=8)),0.55*CT20/CT26,CT20/CT26)),0),IF(CV21&lt;&gt;"",IF(AND(CV21&gt;=6,CV21&lt;=7),0.1*CT21/CT26,IF(OR(AND(CV21&gt;=5,CV21&lt;6),AND(CV21&gt;7,CV21&lt;=8)),0.55*CT21/CT26,CT21/CT26)),0),IF(CV22&lt;&gt;"",IF(AND(CV22&gt;=6,CV22&lt;=7),0.1*CT22/CT26,IF(OR(AND(CV22&gt;=5,CV22&lt;6),AND(CV22&gt;7,CV22&lt;=8)),0.55*CT22/CT26,CT22/CT26)),0),IF(CV23&lt;&gt;"",IF(AND(CV23&gt;=6,CV23&lt;=7),0.1*CT23/CT26,IF(OR(AND(CV23&gt;=5,CV23&lt;6),AND(CV23&gt;7,CV23&lt;=8)),0.55*CT23/CT26,CT23/CT26)),0)))))</f>
        <v/>
      </c>
      <c r="DB68" s="237"/>
      <c r="DC68" s="237"/>
      <c r="DD68" s="237"/>
      <c r="DE68" s="239"/>
      <c r="DF68" s="236"/>
      <c r="DG68" s="237"/>
      <c r="DH68" s="237"/>
      <c r="DI68" s="237"/>
      <c r="DJ68" s="237"/>
      <c r="DK68" s="238" t="str">
        <f>IF(DA68="","",DA68*'Eval-Avant action écologique'!$T$107)</f>
        <v/>
      </c>
      <c r="DL68" s="237"/>
      <c r="DM68" s="237"/>
      <c r="DN68" s="237"/>
      <c r="DO68" s="239"/>
      <c r="DP68" s="240" t="str">
        <f>IF(LEN('Eval-Avant action écologique'!$T$107)=0,"",IF('Eval-Avant action écologique'!$T$107=0,"Site détruit (0 ha).",(IF(AND(DA68&gt;0,DA68&lt;=0.1),"Sol généralement ni acide ni basique.",""))))</f>
        <v/>
      </c>
      <c r="DQ68" s="248"/>
      <c r="DR68" s="241" t="str">
        <f>(IF(AND(DA68&gt;0.1,DA68&lt;1),"Sol généralement assez acide ou assez basique.",""))</f>
        <v/>
      </c>
      <c r="DS68" s="248"/>
      <c r="DT68" s="241" t="str">
        <f>(IF(DA68=1,"Sol généralement très acide ou très basique.",""))</f>
        <v/>
      </c>
      <c r="DU68" s="218" t="str">
        <f>IF(LEN('Eval-Avant action écologique'!$T$107)=0,"",IF('Eval-Avant action écologique'!$T$107=0,"",IF(DA68="","pH non renseigné dans tout le site.","")))</f>
        <v/>
      </c>
      <c r="DV68" s="243" t="str">
        <f>DA68</f>
        <v/>
      </c>
      <c r="DW68" s="244" t="str">
        <f>DK68</f>
        <v/>
      </c>
      <c r="DX68" s="245"/>
      <c r="DY68" s="1133"/>
      <c r="DZ68" s="1137"/>
      <c r="EA68" s="235" t="s">
        <v>420</v>
      </c>
      <c r="EB68" s="236"/>
      <c r="EC68" s="237"/>
      <c r="ED68" s="237"/>
      <c r="EE68" s="237"/>
      <c r="EF68" s="237"/>
      <c r="EG68" s="238" t="str">
        <f>IF(LEN('Eval-Avec act. écol. envisagée'!$T$107)=0,"",IF('Eval-Avec act. écol. envisagée'!$T$107=0,0,IF(DZ26&lt;&gt;100,"",SUM(IF(EB9&lt;&gt;"",IF(AND(EB9&gt;=6,EB9&lt;=7),0.1*DZ9/DZ26,IF(OR(AND(EB9&gt;=5,EB9&lt;6),AND(EB9&gt;7,EB9&lt;=8)),0.55*DZ9/DZ26,DZ9/DZ26)),0),IF(EB10&lt;&gt;"",IF(AND(EB10&gt;=6,EB10&lt;=7),0.1*DZ10/DZ26,IF(OR(AND(EB10&gt;=5,EB10&lt;6),AND(EB10&gt;7,EB10&lt;=8)),0.55*DZ10/DZ26,DZ10/DZ26)),0),IF(EB11&lt;&gt;"",IF(AND(EB11&gt;=6,EB11&lt;=7),0.1*DZ11/DZ26,IF(OR(AND(EB11&gt;=5,EB11&lt;6),AND(EB11&gt;7,EB11&lt;=8)),0.55*DZ11/DZ26,DZ11/DZ26)),0),IF(EB12&lt;&gt;"",IF(AND(EB12&gt;=6,EB12&lt;=7),0.1*DZ12/DZ26,IF(OR(AND(EB12&gt;=5,EB12&lt;6),AND(EB12&gt;7,EB12&lt;=8)),0.55*DZ12/DZ26,DZ12/DZ26)),0),IF(EB13&lt;&gt;"",IF(AND(EB13&gt;=6,EB13&lt;=7),0.1*DZ13/DZ26,IF(OR(AND(EB13&gt;=5,EB13&lt;6),AND(EB13&gt;7,EB13&lt;=8)),0.55*DZ13/DZ26,DZ13/DZ26)),0),IF(EB14&lt;&gt;"",IF(AND(EB14&gt;=6,EB14&lt;=7),0.1*DZ14/DZ26,IF(OR(AND(EB14&gt;=5,EB14&lt;6),AND(EB14&gt;7,EB14&lt;=8)),0.55*DZ14/DZ26,DZ14/DZ26)),0),IF(EB15&lt;&gt;"",IF(AND(EB15&gt;=6,EB15&lt;=7),0.1*DZ15/DZ26,IF(OR(AND(EB15&gt;=5,EB15&lt;6),AND(EB15&gt;7,EB15&lt;=8)),0.55*DZ15/DZ26,DZ15/DZ26)),0),IF(EB16&lt;&gt;"",IF(AND(EB16&gt;=6,EB16&lt;=7),0.1*DZ16/DZ26,IF(OR(AND(EB16&gt;=5,EB16&lt;6),AND(EB16&gt;7,EB16&lt;=8)),0.55*DZ16/DZ26,DZ16/DZ26)),0),IF(EB17&lt;&gt;"",IF(AND(EB17&gt;=6,EB17&lt;=7),0.1*DZ17/DZ26,IF(OR(AND(EB17&gt;=5,EB17&lt;6),AND(EB17&gt;7,EB17&lt;=8)),0.55*DZ17/DZ26,DZ17/DZ26)),0),IF(EB18&lt;&gt;"",IF(AND(EB18&gt;=6,EB18&lt;=7),0.1*DZ18/DZ26,IF(OR(AND(EB18&gt;=5,EB18&lt;6),AND(EB18&gt;7,EB18&lt;=8)),0.55*DZ18/DZ26,DZ18/DZ26)),0),IF(EB19&lt;&gt;"",IF(AND(EB19&gt;=6,EB19&lt;=7),0.1*DZ19/DZ26,IF(OR(AND(EB19&gt;=5,EB19&lt;6),AND(EB19&gt;7,EB19&lt;=8)),0.55*DZ19/DZ26,DZ19/DZ26)),0),IF(EB20&lt;&gt;"",IF(AND(EB20&gt;=6,EB20&lt;=7),0.1*DZ20/DZ26,IF(OR(AND(EB20&gt;=5,EB20&lt;6),AND(EB20&gt;7,EB20&lt;=8)),0.55*DZ20/DZ26,DZ20/DZ26)),0),IF(EB21&lt;&gt;"",IF(AND(EB21&gt;=6,EB21&lt;=7),0.1*DZ21/DZ26,IF(OR(AND(EB21&gt;=5,EB21&lt;6),AND(EB21&gt;7,EB21&lt;=8)),0.55*DZ21/DZ26,DZ21/DZ26)),0),IF(EB22&lt;&gt;"",IF(AND(EB22&gt;=6,EB22&lt;=7),0.1*DZ22/DZ26,IF(OR(AND(EB22&gt;=5,EB22&lt;6),AND(EB22&gt;7,EB22&lt;=8)),0.55*DZ22/DZ26,DZ22/DZ26)),0),IF(EB23&lt;&gt;"",IF(AND(EB23&gt;=6,EB23&lt;=7),0.1*DZ23/DZ26,IF(OR(AND(EB23&gt;=5,EB23&lt;6),AND(EB23&gt;7,EB23&lt;=8)),0.55*DZ23/DZ26,DZ23/DZ26)),0)))))</f>
        <v/>
      </c>
      <c r="EH68" s="237"/>
      <c r="EI68" s="237"/>
      <c r="EJ68" s="237"/>
      <c r="EK68" s="239"/>
      <c r="EL68" s="236"/>
      <c r="EM68" s="237"/>
      <c r="EN68" s="237"/>
      <c r="EO68" s="237"/>
      <c r="EP68" s="237"/>
      <c r="EQ68" s="238" t="str">
        <f>IF(EG68="","",EG68*'Eval-Avec act. écol. envisagée'!$T$107)</f>
        <v/>
      </c>
      <c r="ER68" s="237"/>
      <c r="ES68" s="237"/>
      <c r="ET68" s="237"/>
      <c r="EU68" s="239"/>
      <c r="EV68" s="240" t="str">
        <f>IF(LEN('Eval-Avec act. écol. envisagée'!$T$107)=0,"",IF('Eval-Avec act. écol. envisagée'!$T$107=0,"Site détruit (0 ha).",(IF(AND(EG68&gt;0,EG68&lt;=0.1),"Sol généralement ni acide ni basique.",""))))</f>
        <v/>
      </c>
      <c r="EW68" s="248"/>
      <c r="EX68" s="241" t="str">
        <f>(IF(AND(EG68&gt;0.1,EG68&lt;1),"Sol généralement assez acide ou assez basique.",""))</f>
        <v/>
      </c>
      <c r="EY68" s="248"/>
      <c r="EZ68" s="241" t="str">
        <f>(IF(EG68=1,"Sol généralement très acide ou très basique.",""))</f>
        <v/>
      </c>
      <c r="FA68" s="218" t="str">
        <f>IF(LEN('Eval-Avec act. écol. envisagée'!$T$107)=0,"",IF('Eval-Avec act. écol. envisagée'!$T$107=0,"",IF(EG68="","pH non renseigné dans tout le site.","")))</f>
        <v/>
      </c>
      <c r="FB68" s="243" t="str">
        <f>EG68</f>
        <v/>
      </c>
      <c r="FC68" s="244" t="str">
        <f>EQ68</f>
        <v/>
      </c>
      <c r="FD68" s="245"/>
      <c r="FE68" s="1133"/>
      <c r="FF68" s="1137"/>
      <c r="FG68" s="235" t="s">
        <v>420</v>
      </c>
      <c r="FH68" s="236"/>
      <c r="FI68" s="237"/>
      <c r="FJ68" s="237"/>
      <c r="FK68" s="237"/>
      <c r="FL68" s="237"/>
      <c r="FM68" s="238" t="str">
        <f>IF(LEN('Eval-Après action écologique'!$T$107)=0,"",IF('Eval-Après action écologique'!$T$107=0,0,IF(FF26&lt;&gt;100,"",SUM(IF(FH9&lt;&gt;"",IF(AND(FH9&gt;=6,FH9&lt;=7),0.1*FF9/FF26,IF(OR(AND(FH9&gt;=5,FH9&lt;6),AND(FH9&gt;7,FH9&lt;=8)),0.55*FF9/FF26,FF9/FF26)),0),IF(FH10&lt;&gt;"",IF(AND(FH10&gt;=6,FH10&lt;=7),0.1*FF10/FF26,IF(OR(AND(FH10&gt;=5,FH10&lt;6),AND(FH10&gt;7,FH10&lt;=8)),0.55*FF10/FF26,FF10/FF26)),0),IF(FH11&lt;&gt;"",IF(AND(FH11&gt;=6,FH11&lt;=7),0.1*FF11/FF26,IF(OR(AND(FH11&gt;=5,FH11&lt;6),AND(FH11&gt;7,FH11&lt;=8)),0.55*FF11/FF26,FF11/FF26)),0),IF(FH12&lt;&gt;"",IF(AND(FH12&gt;=6,FH12&lt;=7),0.1*FF12/FF26,IF(OR(AND(FH12&gt;=5,FH12&lt;6),AND(FH12&gt;7,FH12&lt;=8)),0.55*FF12/FF26,FF12/FF26)),0),IF(FH13&lt;&gt;"",IF(AND(FH13&gt;=6,FH13&lt;=7),0.1*FF13/FF26,IF(OR(AND(FH13&gt;=5,FH13&lt;6),AND(FH13&gt;7,FH13&lt;=8)),0.55*FF13/FF26,FF13/FF26)),0),IF(FH14&lt;&gt;"",IF(AND(FH14&gt;=6,FH14&lt;=7),0.1*FF14/FF26,IF(OR(AND(FH14&gt;=5,FH14&lt;6),AND(FH14&gt;7,FH14&lt;=8)),0.55*FF14/FF26,FF14/FF26)),0),IF(FH15&lt;&gt;"",IF(AND(FH15&gt;=6,FH15&lt;=7),0.1*FF15/FF26,IF(OR(AND(FH15&gt;=5,FH15&lt;6),AND(FH15&gt;7,FH15&lt;=8)),0.55*FF15/FF26,FF15/FF26)),0),IF(FH16&lt;&gt;"",IF(AND(FH16&gt;=6,FH16&lt;=7),0.1*FF16/FF26,IF(OR(AND(FH16&gt;=5,FH16&lt;6),AND(FH16&gt;7,FH16&lt;=8)),0.55*FF16/FF26,FF16/FF26)),0),IF(FH17&lt;&gt;"",IF(AND(FH17&gt;=6,FH17&lt;=7),0.1*FF17/FF26,IF(OR(AND(FH17&gt;=5,FH17&lt;6),AND(FH17&gt;7,FH17&lt;=8)),0.55*FF17/FF26,FF17/FF26)),0),IF(FH18&lt;&gt;"",IF(AND(FH18&gt;=6,FH18&lt;=7),0.1*FF18/FF26,IF(OR(AND(FH18&gt;=5,FH18&lt;6),AND(FH18&gt;7,FH18&lt;=8)),0.55*FF18/FF26,FF18/FF26)),0),IF(FH19&lt;&gt;"",IF(AND(FH19&gt;=6,FH19&lt;=7),0.1*FF19/FF26,IF(OR(AND(FH19&gt;=5,FH19&lt;6),AND(FH19&gt;7,FH19&lt;=8)),0.55*FF19/FF26,FF19/FF26)),0),IF(FH20&lt;&gt;"",IF(AND(FH20&gt;=6,FH20&lt;=7),0.1*FF20/FF26,IF(OR(AND(FH20&gt;=5,FH20&lt;6),AND(FH20&gt;7,FH20&lt;=8)),0.55*FF20/FF26,FF20/FF26)),0),IF(FH21&lt;&gt;"",IF(AND(FH21&gt;=6,FH21&lt;=7),0.1*FF21/FF26,IF(OR(AND(FH21&gt;=5,FH21&lt;6),AND(FH21&gt;7,FH21&lt;=8)),0.55*FF21/FF26,FF21/FF26)),0),IF(FH22&lt;&gt;"",IF(AND(FH22&gt;=6,FH22&lt;=7),0.1*FF22/FF26,IF(OR(AND(FH22&gt;=5,FH22&lt;6),AND(FH22&gt;7,FH22&lt;=8)),0.55*FF22/FF26,FF22/FF26)),0),IF(FH23&lt;&gt;"",IF(AND(FH23&gt;=6,FH23&lt;=7),0.1*FF23/FF26,IF(OR(AND(FH23&gt;=5,FH23&lt;6),AND(FH23&gt;7,FH23&lt;=8)),0.55*FF23/FF26,FF23/FF26)),0)))))</f>
        <v/>
      </c>
      <c r="FN68" s="237"/>
      <c r="FO68" s="237"/>
      <c r="FP68" s="237"/>
      <c r="FQ68" s="239"/>
      <c r="FR68" s="236"/>
      <c r="FS68" s="237"/>
      <c r="FT68" s="237"/>
      <c r="FU68" s="237"/>
      <c r="FV68" s="237"/>
      <c r="FW68" s="238" t="str">
        <f>IF(FM68="","",FM68*'Eval-Après action écologique'!$T$107)</f>
        <v/>
      </c>
      <c r="FX68" s="237"/>
      <c r="FY68" s="237"/>
      <c r="FZ68" s="237"/>
      <c r="GA68" s="239"/>
      <c r="GB68" s="240" t="str">
        <f>IF(LEN('Eval-Après action écologique'!$T$107)=0,"",IF('Eval-Après action écologique'!$T$107=0,"Site détruit (0 ha).",(IF(AND(FM68&gt;0,FM68&lt;=0.1),"Sol généralement ni acide ni basique.",""))))</f>
        <v/>
      </c>
      <c r="GC68" s="248"/>
      <c r="GD68" s="241" t="str">
        <f>(IF(AND(FM68&gt;0.1,FM68&lt;1),"Sol généralement assez acide ou assez basique.",""))</f>
        <v/>
      </c>
      <c r="GE68" s="248"/>
      <c r="GF68" s="241" t="str">
        <f>(IF(FM68=1,"Sol généralement très acide ou très basique.",""))</f>
        <v/>
      </c>
      <c r="GG68" s="218" t="str">
        <f>IF(LEN('Eval-Après action écologique'!$T$107)=0,"",IF('Eval-Après action écologique'!$T$107=0,"",IF(FM68="","pH non renseigné dans tout le site.","")))</f>
        <v/>
      </c>
      <c r="GH68" s="243" t="str">
        <f>FM68</f>
        <v/>
      </c>
      <c r="GI68" s="244" t="str">
        <f>FW68</f>
        <v/>
      </c>
    </row>
    <row r="69" spans="1:191" ht="31.5" customHeight="1" x14ac:dyDescent="0.2">
      <c r="A69" s="1133"/>
      <c r="B69" s="234" t="s">
        <v>197</v>
      </c>
      <c r="C69" s="235" t="s">
        <v>144</v>
      </c>
      <c r="D69" s="236"/>
      <c r="E69" s="237"/>
      <c r="F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G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H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I69" s="237"/>
      <c r="J69" s="237"/>
      <c r="K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L69" s="237"/>
      <c r="M69" s="239"/>
      <c r="N69" s="236"/>
      <c r="O69" s="237"/>
      <c r="P69" s="238" t="str">
        <f>IF(F69="","",F69*'Eval-Avant impact'!$T$107)</f>
        <v/>
      </c>
      <c r="Q69" s="238" t="str">
        <f>IF(F69="","",F69*'Eval-Avant impact'!$T$107)</f>
        <v/>
      </c>
      <c r="R69" s="238" t="str">
        <f>IF(F69="","",F69*'Eval-Avant impact'!$T$107)</f>
        <v/>
      </c>
      <c r="S69" s="237"/>
      <c r="T69" s="237"/>
      <c r="U69" s="238" t="str">
        <f>IF(F69="","",F69*'Eval-Avant impact'!$T$107)</f>
        <v/>
      </c>
      <c r="V69" s="237"/>
      <c r="W69" s="239"/>
      <c r="X69" s="240" t="str">
        <f>IF(LEN('Eval-Avant impact'!$T$107)=0,"",IF('Eval-Avant impact'!$T$107=0,"Site détruit (0 ha).",CONCATENATE(IF(F69=0,"Absence d'épisolum humifère.",""),(IF(AND(F69&gt;0,F69&lt;=0.2),CONCATENATE("Episolum humifère très mince (moy.=",ROUND(F69/0.0097,0)," cm)."),"")))))</f>
        <v/>
      </c>
      <c r="Y69" s="241" t="str">
        <f>(IF(AND(F69&gt;0.2,F69&lt;=0.4),CONCATENATE("Episolum humifère mince (moy.=",ROUND(F69/0.0097,0)," cm)."),""))</f>
        <v/>
      </c>
      <c r="Z69" s="241" t="str">
        <f>(IF(AND(F69&gt;0.4,F69&lt;=0.6),CONCATENATE("Episolum humifère assez mince (moy.=",ROUND(F69/0.0097,0)," cm)."),""))</f>
        <v/>
      </c>
      <c r="AA69" s="241" t="str">
        <f>(IF(AND(F69&gt;0.6,F69&lt;=0.8),CONCATENATE("Episolum humifère épais (moy.=",ROUND(F69/0.0097,0)," cm)."),""))</f>
        <v/>
      </c>
      <c r="AB69" s="241" t="str">
        <f>(IF(AND(F69&gt;0.8,F69&lt;=1),CONCATENATE("Episolum humifère très épais (moy.=",ROUND(F69/0.0097,0)," cm)."),""))</f>
        <v/>
      </c>
      <c r="AC69" s="218" t="str">
        <f>IF(LEN('Eval-Avant impact'!$T$107)=0,"",IF('Eval-Avant impact'!$T$107=0,"",IF(F69="","Episolum humifère non renseigné dans tout le site.","")))</f>
        <v/>
      </c>
      <c r="AD69" s="243" t="str">
        <f>F69</f>
        <v/>
      </c>
      <c r="AE69" s="244" t="str">
        <f>P69</f>
        <v/>
      </c>
      <c r="AF69" s="245"/>
      <c r="AG69" s="1133"/>
      <c r="AH69" s="234" t="s">
        <v>197</v>
      </c>
      <c r="AI69" s="235" t="s">
        <v>144</v>
      </c>
      <c r="AJ69" s="236"/>
      <c r="AK69" s="237"/>
      <c r="AL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M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N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O69" s="237"/>
      <c r="AP69" s="237"/>
      <c r="AQ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R69" s="237"/>
      <c r="AS69" s="239"/>
      <c r="AT69" s="236"/>
      <c r="AU69" s="237"/>
      <c r="AV69" s="238" t="str">
        <f>IF(AL69="","",AL69*'Eval-Avec impact envisagé'!$T$107)</f>
        <v/>
      </c>
      <c r="AW69" s="238" t="str">
        <f>IF(AL69="","",AL69*'Eval-Avec impact envisagé'!$T$107)</f>
        <v/>
      </c>
      <c r="AX69" s="238" t="str">
        <f>IF(AL69="","",AL69*'Eval-Avec impact envisagé'!$T$107)</f>
        <v/>
      </c>
      <c r="AY69" s="237"/>
      <c r="AZ69" s="237"/>
      <c r="BA69" s="238" t="str">
        <f>IF(AL69="","",AL69*'Eval-Avec impact envisagé'!$T$107)</f>
        <v/>
      </c>
      <c r="BB69" s="237"/>
      <c r="BC69" s="239"/>
      <c r="BD69" s="240" t="str">
        <f>IF(LEN('Eval-Avec impact envisagé'!$T$107)=0,"",IF('Eval-Avec impact envisagé'!$T$107=0,"Site détruit (0 ha).",CONCATENATE(IF(AL69=0,"Absence d'épisolum humifère.",""),(IF(AND(AL69&gt;0,AL69&lt;=0.2),CONCATENATE("Episolum humifère très mince (moy.=",ROUND(AL69/0.0097,0)," cm)."),"")))))</f>
        <v/>
      </c>
      <c r="BE69" s="241" t="str">
        <f>(IF(AND(AL69&gt;0.2,AL69&lt;=0.4),CONCATENATE("Episolum humifère mince (moy.=",ROUND(AL69/0.0097,0)," cm)."),""))</f>
        <v/>
      </c>
      <c r="BF69" s="241" t="str">
        <f>(IF(AND(AL69&gt;0.4,AL69&lt;=0.6),CONCATENATE("Episolum humifère assez mince (moy.=",ROUND(AL69/0.0097,0)," cm)."),""))</f>
        <v/>
      </c>
      <c r="BG69" s="241" t="str">
        <f>(IF(AND(AL69&gt;0.6,AL69&lt;=0.8),CONCATENATE("Episolum humifère épais (moy.=",ROUND(AL69/0.0097,0)," cm)."),""))</f>
        <v/>
      </c>
      <c r="BH69" s="241" t="str">
        <f>(IF(AND(AL69&gt;0.8,AL69&lt;=1),CONCATENATE("Episolum humifère très épais (moy.=",ROUND(AL69/0.0097,0)," cm)."),""))</f>
        <v/>
      </c>
      <c r="BI69" s="218" t="str">
        <f>IF(LEN('Eval-Avec impact envisagé'!$T$107)=0,"",IF('Eval-Avec impact envisagé'!$T$107=0,"",IF(AL69="","Episolum humifère non renseigné dans tout le site.","")))</f>
        <v/>
      </c>
      <c r="BJ69" s="243" t="str">
        <f>AL69</f>
        <v/>
      </c>
      <c r="BK69" s="244" t="str">
        <f>AV69</f>
        <v/>
      </c>
      <c r="BL69" s="245"/>
      <c r="BM69" s="1133"/>
      <c r="BN69" s="234" t="s">
        <v>197</v>
      </c>
      <c r="BO69" s="235" t="s">
        <v>144</v>
      </c>
      <c r="BP69" s="236"/>
      <c r="BQ69" s="237"/>
      <c r="BR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S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T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U69" s="237"/>
      <c r="BV69" s="237"/>
      <c r="BW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X69" s="237"/>
      <c r="BY69" s="239"/>
      <c r="BZ69" s="236"/>
      <c r="CA69" s="237"/>
      <c r="CB69" s="238" t="str">
        <f>IF(BR69="","",BR69*'Eval-Après impact'!$T$107)</f>
        <v/>
      </c>
      <c r="CC69" s="238" t="str">
        <f>IF(BR69="","",BR69*'Eval-Après impact'!$T$107)</f>
        <v/>
      </c>
      <c r="CD69" s="238" t="str">
        <f>IF(BR69="","",BR69*'Eval-Après impact'!$T$107)</f>
        <v/>
      </c>
      <c r="CE69" s="237"/>
      <c r="CF69" s="237"/>
      <c r="CG69" s="238" t="str">
        <f>IF(BR69="","",BR69*'Eval-Après impact'!$T$107)</f>
        <v/>
      </c>
      <c r="CH69" s="237"/>
      <c r="CI69" s="239"/>
      <c r="CJ69" s="240" t="str">
        <f>IF(LEN('Eval-Après impact'!$T$107)=0,"",IF('Eval-Après impact'!$T$107=0,"Site détruit (0 ha).",CONCATENATE(IF(BR69=0,"Absence d'épisolum humifère.",""),(IF(AND(BR69&gt;0,BR69&lt;=0.2),CONCATENATE("Episolum humifère très mince (moy.=",ROUND(BR69/0.0097,0)," cm)."),"")))))</f>
        <v/>
      </c>
      <c r="CK69" s="241" t="str">
        <f>(IF(AND(BR69&gt;0.2,BR69&lt;=0.4),CONCATENATE("Episolum humifère mince (moy.=",ROUND(BR69/0.0097,0)," cm)."),""))</f>
        <v/>
      </c>
      <c r="CL69" s="241" t="str">
        <f>(IF(AND(BR69&gt;0.4,BR69&lt;=0.6),CONCATENATE("Episolum humifère assez mince (moy.=",ROUND(BR69/0.0097,0)," cm)."),""))</f>
        <v/>
      </c>
      <c r="CM69" s="241" t="str">
        <f>(IF(AND(BR69&gt;0.6,BR69&lt;=0.8),CONCATENATE("Episolum humifère épais (moy.=",ROUND(BR69/0.0097,0)," cm)."),""))</f>
        <v/>
      </c>
      <c r="CN69" s="241" t="str">
        <f>(IF(AND(BR69&gt;0.8,BR69&lt;=1),CONCATENATE("Episolum humifère très épais (moy.=",ROUND(BR69/0.0097,0)," cm)."),""))</f>
        <v/>
      </c>
      <c r="CO69" s="218" t="str">
        <f>IF(LEN('Eval-Après impact'!$T$107)=0,"",IF('Eval-Après impact'!$T$107=0,"",IF(BR69="","Episolum humifère non renseigné dans tout le site.","")))</f>
        <v/>
      </c>
      <c r="CP69" s="243" t="str">
        <f>BR69</f>
        <v/>
      </c>
      <c r="CQ69" s="244" t="str">
        <f>CB69</f>
        <v/>
      </c>
      <c r="CR69" s="245"/>
      <c r="CS69" s="1133"/>
      <c r="CT69" s="234" t="s">
        <v>197</v>
      </c>
      <c r="CU69" s="235" t="s">
        <v>144</v>
      </c>
      <c r="CV69" s="236"/>
      <c r="CW69" s="237"/>
      <c r="CX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CY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CZ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DA69" s="237"/>
      <c r="DB69" s="237"/>
      <c r="DC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DD69" s="237"/>
      <c r="DE69" s="239"/>
      <c r="DF69" s="236"/>
      <c r="DG69" s="237"/>
      <c r="DH69" s="238" t="str">
        <f>IF(CX69="","",CX69*'Eval-Avant action écologique'!$T$107)</f>
        <v/>
      </c>
      <c r="DI69" s="238" t="str">
        <f>IF(CX69="","",CX69*'Eval-Avant action écologique'!$T$107)</f>
        <v/>
      </c>
      <c r="DJ69" s="238" t="str">
        <f>IF(CX69="","",CX69*'Eval-Avant action écologique'!$T$107)</f>
        <v/>
      </c>
      <c r="DK69" s="237"/>
      <c r="DL69" s="237"/>
      <c r="DM69" s="238" t="str">
        <f>IF(CX69="","",CX69*'Eval-Avant action écologique'!$T$107)</f>
        <v/>
      </c>
      <c r="DN69" s="237"/>
      <c r="DO69" s="239"/>
      <c r="DP69" s="240" t="str">
        <f>IF(LEN('Eval-Avant action écologique'!$T$107)=0,"",IF('Eval-Avant action écologique'!$T$107=0,"Site détruit (0 ha).",CONCATENATE(IF(CX69=0,"Absence d'épisolum humifère.",""),(IF(AND(CX69&gt;0,CX69&lt;=0.2),CONCATENATE("Episolum humifère très mince (moy.=",ROUND(CX69/0.0097,0)," cm)."),"")))))</f>
        <v/>
      </c>
      <c r="DQ69" s="241" t="str">
        <f>(IF(AND(CX69&gt;0.2,CX69&lt;=0.4),CONCATENATE("Episolum humifère mince (moy.=",ROUND(CX69/0.0097,0)," cm)."),""))</f>
        <v/>
      </c>
      <c r="DR69" s="241" t="str">
        <f>(IF(AND(CX69&gt;0.4,CX69&lt;=0.6),CONCATENATE("Episolum humifère assez mince (moy.=",ROUND(CX69/0.0097,0)," cm)."),""))</f>
        <v/>
      </c>
      <c r="DS69" s="241" t="str">
        <f>(IF(AND(CX69&gt;0.6,CX69&lt;=0.8),CONCATENATE("Episolum humifère épais (moy.=",ROUND(CX69/0.0097,0)," cm)."),""))</f>
        <v/>
      </c>
      <c r="DT69" s="241" t="str">
        <f>(IF(AND(CX69&gt;0.8,CX69&lt;=1),CONCATENATE("Episolum humifère très épais (moy.=",ROUND(CX69/0.0097,0)," cm)."),""))</f>
        <v/>
      </c>
      <c r="DU69" s="218" t="str">
        <f>IF(LEN('Eval-Avant action écologique'!$T$107)=0,"",IF('Eval-Avant action écologique'!$T$107=0,"",IF(CX69="","Episolum humifère non renseigné dans tout le site.","")))</f>
        <v/>
      </c>
      <c r="DV69" s="243" t="str">
        <f>CX69</f>
        <v/>
      </c>
      <c r="DW69" s="244" t="str">
        <f>DH69</f>
        <v/>
      </c>
      <c r="DX69" s="245"/>
      <c r="DY69" s="1133"/>
      <c r="DZ69" s="234" t="s">
        <v>197</v>
      </c>
      <c r="EA69" s="235" t="s">
        <v>144</v>
      </c>
      <c r="EB69" s="236"/>
      <c r="EC69" s="237"/>
      <c r="ED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E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F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G69" s="237"/>
      <c r="EH69" s="237"/>
      <c r="EI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J69" s="237"/>
      <c r="EK69" s="239"/>
      <c r="EL69" s="236"/>
      <c r="EM69" s="237"/>
      <c r="EN69" s="238" t="str">
        <f>IF(ED69="","",ED69*'Eval-Avec act. écol. envisagée'!$T$107)</f>
        <v/>
      </c>
      <c r="EO69" s="238" t="str">
        <f>IF(ED69="","",ED69*'Eval-Avec act. écol. envisagée'!$T$107)</f>
        <v/>
      </c>
      <c r="EP69" s="238" t="str">
        <f>IF(ED69="","",ED69*'Eval-Avec act. écol. envisagée'!$T$107)</f>
        <v/>
      </c>
      <c r="EQ69" s="237"/>
      <c r="ER69" s="237"/>
      <c r="ES69" s="238" t="str">
        <f>IF(ED69="","",ED69*'Eval-Avec act. écol. envisagée'!$T$107)</f>
        <v/>
      </c>
      <c r="ET69" s="237"/>
      <c r="EU69" s="239"/>
      <c r="EV69" s="240" t="str">
        <f>IF(LEN('Eval-Avec act. écol. envisagée'!$T$107)=0,"",IF('Eval-Avec act. écol. envisagée'!$T$107=0,"Site détruit (0 ha).",CONCATENATE(IF(ED69=0,"Absence d'épisolum humifère.",""),(IF(AND(ED69&gt;0,ED69&lt;=0.2),CONCATENATE("Episolum humifère très mince (moy.=",ROUND(ED69/0.0097,0)," cm)."),"")))))</f>
        <v/>
      </c>
      <c r="EW69" s="241" t="str">
        <f>(IF(AND(ED69&gt;0.2,ED69&lt;=0.4),CONCATENATE("Episolum humifère mince (moy.=",ROUND(ED69/0.0097,0)," cm)."),""))</f>
        <v/>
      </c>
      <c r="EX69" s="241" t="str">
        <f>(IF(AND(ED69&gt;0.4,ED69&lt;=0.6),CONCATENATE("Episolum humifère assez mince (moy.=",ROUND(ED69/0.0097,0)," cm)."),""))</f>
        <v/>
      </c>
      <c r="EY69" s="241" t="str">
        <f>(IF(AND(ED69&gt;0.6,ED69&lt;=0.8),CONCATENATE("Episolum humifère épais (moy.=",ROUND(ED69/0.0097,0)," cm)."),""))</f>
        <v/>
      </c>
      <c r="EZ69" s="241" t="str">
        <f>(IF(AND(ED69&gt;0.8,ED69&lt;=1),CONCATENATE("Episolum humifère très épais (moy.=",ROUND(ED69/0.0097,0)," cm)."),""))</f>
        <v/>
      </c>
      <c r="FA69" s="218" t="str">
        <f>IF(LEN('Eval-Avec act. écol. envisagée'!$T$107)=0,"",IF('Eval-Avec act. écol. envisagée'!$T$107=0,"",IF(ED69="","Episolum humifère non renseigné dans tout le site.","")))</f>
        <v/>
      </c>
      <c r="FB69" s="243" t="str">
        <f>ED69</f>
        <v/>
      </c>
      <c r="FC69" s="244" t="str">
        <f>EN69</f>
        <v/>
      </c>
      <c r="FD69" s="245"/>
      <c r="FE69" s="1133"/>
      <c r="FF69" s="234" t="s">
        <v>197</v>
      </c>
      <c r="FG69" s="235" t="s">
        <v>144</v>
      </c>
      <c r="FH69" s="236"/>
      <c r="FI69" s="237"/>
      <c r="FJ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K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L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M69" s="237"/>
      <c r="FN69" s="237"/>
      <c r="FO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P69" s="237"/>
      <c r="FQ69" s="239"/>
      <c r="FR69" s="236"/>
      <c r="FS69" s="237"/>
      <c r="FT69" s="238" t="str">
        <f>IF(FJ69="","",FJ69*'Eval-Après action écologique'!$T$107)</f>
        <v/>
      </c>
      <c r="FU69" s="238" t="str">
        <f>IF(FJ69="","",FJ69*'Eval-Après action écologique'!$T$107)</f>
        <v/>
      </c>
      <c r="FV69" s="238" t="str">
        <f>IF(FJ69="","",FJ69*'Eval-Après action écologique'!$T$107)</f>
        <v/>
      </c>
      <c r="FW69" s="237"/>
      <c r="FX69" s="237"/>
      <c r="FY69" s="238" t="str">
        <f>IF(FJ69="","",FJ69*'Eval-Après action écologique'!$T$107)</f>
        <v/>
      </c>
      <c r="FZ69" s="237"/>
      <c r="GA69" s="239"/>
      <c r="GB69" s="240" t="str">
        <f>IF(LEN('Eval-Après action écologique'!$T$107)=0,"",IF('Eval-Après action écologique'!$T$107=0,"Site détruit (0 ha).",CONCATENATE(IF(FJ69=0,"Absence d'épisolum humifère.",""),(IF(AND(FJ69&gt;0,FJ69&lt;=0.2),CONCATENATE("Episolum humifère très mince (moy.=",ROUND(FJ69/0.0097,0)," cm)."),"")))))</f>
        <v/>
      </c>
      <c r="GC69" s="241" t="str">
        <f>(IF(AND(FJ69&gt;0.2,FJ69&lt;=0.4),CONCATENATE("Episolum humifère mince (moy.=",ROUND(FJ69/0.0097,0)," cm)."),""))</f>
        <v/>
      </c>
      <c r="GD69" s="241" t="str">
        <f>(IF(AND(FJ69&gt;0.4,FJ69&lt;=0.6),CONCATENATE("Episolum humifère assez mince (moy.=",ROUND(FJ69/0.0097,0)," cm)."),""))</f>
        <v/>
      </c>
      <c r="GE69" s="241" t="str">
        <f>(IF(AND(FJ69&gt;0.6,FJ69&lt;=0.8),CONCATENATE("Episolum humifère épais (moy.=",ROUND(FJ69/0.0097,0)," cm)."),""))</f>
        <v/>
      </c>
      <c r="GF69" s="241" t="str">
        <f>(IF(AND(FJ69&gt;0.8,FJ69&lt;=1),CONCATENATE("Episolum humifère très épais (moy.=",ROUND(FJ69/0.0097,0)," cm)."),""))</f>
        <v/>
      </c>
      <c r="GG69" s="218" t="str">
        <f>IF(LEN('Eval-Après action écologique'!$T$107)=0,"",IF('Eval-Après action écologique'!$T$107=0,"",IF(FJ69="","Episolum humifère non renseigné dans tout le site.","")))</f>
        <v/>
      </c>
      <c r="GH69" s="243" t="str">
        <f>FJ69</f>
        <v/>
      </c>
      <c r="GI69" s="244" t="str">
        <f>FT69</f>
        <v/>
      </c>
    </row>
    <row r="70" spans="1:191" ht="31.5" customHeight="1" x14ac:dyDescent="0.2">
      <c r="A70" s="1133"/>
      <c r="B70" s="234" t="s">
        <v>503</v>
      </c>
      <c r="C70" s="235" t="s">
        <v>145</v>
      </c>
      <c r="D70" s="236"/>
      <c r="E70" s="237"/>
      <c r="F70" s="237"/>
      <c r="G70" s="238" t="str">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
      </c>
      <c r="H70" s="238" t="str">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
      </c>
      <c r="I70" s="237"/>
      <c r="J70" s="237"/>
      <c r="K70" s="238" t="str">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
      </c>
      <c r="L70" s="237"/>
      <c r="M70" s="239"/>
      <c r="N70" s="236"/>
      <c r="O70" s="237"/>
      <c r="P70" s="237"/>
      <c r="Q70" s="238" t="str">
        <f>IF(G70="","",G70*'Eval-Avant impact'!$T$107)</f>
        <v/>
      </c>
      <c r="R70" s="238" t="str">
        <f>IF(G70="","",G70*'Eval-Avant impact'!$T$107)</f>
        <v/>
      </c>
      <c r="S70" s="237"/>
      <c r="T70" s="237"/>
      <c r="U70" s="238" t="str">
        <f>IF(G70="","",G70*'Eval-Avant impact'!$T$107)</f>
        <v/>
      </c>
      <c r="V70" s="237"/>
      <c r="W70" s="239"/>
      <c r="X70" s="240" t="str">
        <f>IF(LEN('Eval-Avant impact'!$T$107)=0,"",IF('Eval-Avant impact'!$T$107=0,"Site détruit (0 ha).",CONCATENATE(IF(G70=0,"Absence d'horizon humifère enfoui.",""),(IF(AND(G70&gt;0,G70&lt;=0.2),CONCATENATE("Horizon humifère enfoui très mince (moy.=",ROUND(G70/0.0333,0)," cm)."),"")))))</f>
        <v/>
      </c>
      <c r="Y70" s="241" t="str">
        <f>(IF(AND(G70&gt;0.2,G70&lt;=0.4),CONCATENATE("Horizon humifère enfoui mince (moy.=",ROUND(G70/0.0333,0)," cm)."),""))</f>
        <v/>
      </c>
      <c r="Z70" s="241" t="str">
        <f>(IF(AND(G70&gt;0.4,G70&lt;=0.6),CONCATENATE("Horizon humifère enfoui assez mince (moy.=",ROUND(G70/0.0333,0)," cm)."),""))</f>
        <v/>
      </c>
      <c r="AA70" s="241" t="str">
        <f>(IF(AND(G70&gt;0.6,G70&lt;=0.8),CONCATENATE("Horizon humifère enfoui épais (moy.=",ROUND(G70/0.0333,0)," cm)."),""))</f>
        <v/>
      </c>
      <c r="AB70" s="241" t="str">
        <f>(IF(AND(G70&gt;0.8,G70&lt;=1),CONCATENATE("Horizon humifère enfoui très épais (moy.=",ROUND(G70/0.0333,0)," cm)."),""))</f>
        <v/>
      </c>
      <c r="AC70" s="218" t="str">
        <f>IF(LEN('Eval-Avant impact'!$T$107)=0,"",IF('Eval-Avant impact'!$T$107=0,"",IF(G70="","Horizon humifère enfoui non renseigné dans tout le site.","")))</f>
        <v/>
      </c>
      <c r="AD70" s="243" t="str">
        <f>G70</f>
        <v/>
      </c>
      <c r="AE70" s="244" t="str">
        <f>Q70</f>
        <v/>
      </c>
      <c r="AF70" s="245"/>
      <c r="AG70" s="1133"/>
      <c r="AH70" s="234" t="s">
        <v>503</v>
      </c>
      <c r="AI70" s="235" t="s">
        <v>145</v>
      </c>
      <c r="AJ70" s="236"/>
      <c r="AK70" s="237"/>
      <c r="AL70" s="237"/>
      <c r="AM70" s="238" t="str">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
      </c>
      <c r="AN70" s="238" t="str">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
      </c>
      <c r="AO70" s="237"/>
      <c r="AP70" s="237"/>
      <c r="AQ70" s="238" t="str">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
      </c>
      <c r="AR70" s="237"/>
      <c r="AS70" s="239"/>
      <c r="AT70" s="236"/>
      <c r="AU70" s="237"/>
      <c r="AV70" s="237"/>
      <c r="AW70" s="238" t="str">
        <f>IF(AM70="","",AM70*'Eval-Avec impact envisagé'!$T$107)</f>
        <v/>
      </c>
      <c r="AX70" s="238" t="str">
        <f>IF(AM70="","",AM70*'Eval-Avec impact envisagé'!$T$107)</f>
        <v/>
      </c>
      <c r="AY70" s="237"/>
      <c r="AZ70" s="237"/>
      <c r="BA70" s="238" t="str">
        <f>IF(AM70="","",AM70*'Eval-Avec impact envisagé'!$T$107)</f>
        <v/>
      </c>
      <c r="BB70" s="237"/>
      <c r="BC70" s="239"/>
      <c r="BD70" s="240" t="str">
        <f>IF(LEN('Eval-Avec impact envisagé'!$T$107)=0,"",IF('Eval-Avec impact envisagé'!$T$107=0,"Site détruit (0 ha).",CONCATENATE(IF(AM70=0,"Absence d'horizon humifère enfoui.",""),(IF(AND(AM70&gt;0,AM70&lt;=0.2),CONCATENATE("Horizon humifère enfoui très mince (moy.=",ROUND(AM70/0.0333,0)," cm)."),"")))))</f>
        <v/>
      </c>
      <c r="BE70" s="241" t="str">
        <f>(IF(AND(AM70&gt;0.2,AM70&lt;=0.4),CONCATENATE("Horizon humifère enfoui mince (moy.=",ROUND(AM70/0.0333,0)," cm)."),""))</f>
        <v/>
      </c>
      <c r="BF70" s="241" t="str">
        <f>(IF(AND(AM70&gt;0.4,AM70&lt;=0.6),CONCATENATE("Horizon humifère enfoui assez mince (moy.=",ROUND(AM70/0.0333,0)," cm)."),""))</f>
        <v/>
      </c>
      <c r="BG70" s="241" t="str">
        <f>(IF(AND(AM70&gt;0.6,AM70&lt;=0.8),CONCATENATE("Horizon humifère enfoui épais (moy.=",ROUND(AM70/0.0333,0)," cm)."),""))</f>
        <v/>
      </c>
      <c r="BH70" s="241" t="str">
        <f>(IF(AND(AM70&gt;0.8,AM70&lt;=1),CONCATENATE("Horizon humifère enfoui très épais (moy.=",ROUND(AM70/0.0333,0)," cm)."),""))</f>
        <v/>
      </c>
      <c r="BI70" s="218" t="str">
        <f>IF(LEN('Eval-Avec impact envisagé'!$T$107)=0,"",IF('Eval-Avec impact envisagé'!$T$107=0,"",IF(AM70="","Horizon humifère enfoui non renseigné dans tout le site.","")))</f>
        <v/>
      </c>
      <c r="BJ70" s="243" t="str">
        <f>AM70</f>
        <v/>
      </c>
      <c r="BK70" s="244" t="str">
        <f>AW70</f>
        <v/>
      </c>
      <c r="BL70" s="245"/>
      <c r="BM70" s="1133"/>
      <c r="BN70" s="234" t="s">
        <v>503</v>
      </c>
      <c r="BO70" s="235" t="s">
        <v>145</v>
      </c>
      <c r="BP70" s="236"/>
      <c r="BQ70" s="237"/>
      <c r="BR70" s="237"/>
      <c r="BS70" s="238"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T70" s="238"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U70" s="237"/>
      <c r="BV70" s="237"/>
      <c r="BW70" s="238"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X70" s="237"/>
      <c r="BY70" s="239"/>
      <c r="BZ70" s="236"/>
      <c r="CA70" s="237"/>
      <c r="CB70" s="237"/>
      <c r="CC70" s="238" t="str">
        <f>IF(BS70="","",BS70*'Eval-Après impact'!$T$107)</f>
        <v/>
      </c>
      <c r="CD70" s="238" t="str">
        <f>IF(BS70="","",BS70*'Eval-Après impact'!$T$107)</f>
        <v/>
      </c>
      <c r="CE70" s="237"/>
      <c r="CF70" s="237"/>
      <c r="CG70" s="238" t="str">
        <f>IF(BS70="","",BS70*'Eval-Après impact'!$T$107)</f>
        <v/>
      </c>
      <c r="CH70" s="237"/>
      <c r="CI70" s="239"/>
      <c r="CJ70" s="240" t="str">
        <f>IF(LEN('Eval-Après impact'!$T$107)=0,"",IF('Eval-Après impact'!$T$107=0,"Site détruit (0 ha).",CONCATENATE(IF(BS70=0,"Absence d'horizon humifère enfoui.",""),(IF(AND(BS70&gt;0,BS70&lt;=0.2),CONCATENATE("Horizon humifère enfoui très mince (moy.=",ROUND(BS70/0.0333,0)," cm)."),"")))))</f>
        <v/>
      </c>
      <c r="CK70" s="241" t="str">
        <f>(IF(AND(BS70&gt;0.2,BS70&lt;=0.4),CONCATENATE("Horizon humifère enfoui mince (moy.=",ROUND(BS70/0.0333,0)," cm)."),""))</f>
        <v/>
      </c>
      <c r="CL70" s="241" t="str">
        <f>(IF(AND(BS70&gt;0.4,BS70&lt;=0.6),CONCATENATE("Horizon humifère enfoui assez mince (moy.=",ROUND(BS70/0.0333,0)," cm)."),""))</f>
        <v/>
      </c>
      <c r="CM70" s="241" t="str">
        <f>(IF(AND(BS70&gt;0.6,BS70&lt;=0.8),CONCATENATE("Horizon humifère enfoui épais (moy.=",ROUND(BS70/0.0333,0)," cm)."),""))</f>
        <v/>
      </c>
      <c r="CN70" s="241" t="str">
        <f>(IF(AND(BS70&gt;0.8,BS70&lt;=1),CONCATENATE("Horizon humifère enfoui très épais (moy.=",ROUND(BS70/0.0333,0)," cm)."),""))</f>
        <v/>
      </c>
      <c r="CO70" s="218" t="str">
        <f>IF(LEN('Eval-Après impact'!$T$107)=0,"",IF('Eval-Après impact'!$T$107=0,"",IF(BS70="","Horizon humifère enfoui non renseigné dans tout le site.","")))</f>
        <v/>
      </c>
      <c r="CP70" s="243" t="str">
        <f>BS70</f>
        <v/>
      </c>
      <c r="CQ70" s="244" t="str">
        <f>CC70</f>
        <v/>
      </c>
      <c r="CR70" s="245"/>
      <c r="CS70" s="1133"/>
      <c r="CT70" s="234" t="s">
        <v>503</v>
      </c>
      <c r="CU70" s="235" t="s">
        <v>145</v>
      </c>
      <c r="CV70" s="236"/>
      <c r="CW70" s="237"/>
      <c r="CX70" s="237"/>
      <c r="CY70" s="238" t="str">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
      </c>
      <c r="CZ70" s="238" t="str">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
      </c>
      <c r="DA70" s="237"/>
      <c r="DB70" s="237"/>
      <c r="DC70" s="238" t="str">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
      </c>
      <c r="DD70" s="237"/>
      <c r="DE70" s="239"/>
      <c r="DF70" s="236"/>
      <c r="DG70" s="237"/>
      <c r="DH70" s="237"/>
      <c r="DI70" s="238" t="str">
        <f>IF(CY70="","",CY70*'Eval-Avant action écologique'!$T$107)</f>
        <v/>
      </c>
      <c r="DJ70" s="238" t="str">
        <f>IF(CY70="","",CY70*'Eval-Avant action écologique'!$T$107)</f>
        <v/>
      </c>
      <c r="DK70" s="237"/>
      <c r="DL70" s="237"/>
      <c r="DM70" s="238" t="str">
        <f>IF(CY70="","",CY70*'Eval-Avant action écologique'!$T$107)</f>
        <v/>
      </c>
      <c r="DN70" s="237"/>
      <c r="DO70" s="239"/>
      <c r="DP70" s="240" t="str">
        <f>IF(LEN('Eval-Avant action écologique'!$T$107)=0,"",IF('Eval-Avant action écologique'!$T$107=0,"Site détruit (0 ha).",CONCATENATE(IF(CY70=0,"Absence d'horizon humifère enfoui.",""),(IF(AND(CY70&gt;0,CY70&lt;=0.2),CONCATENATE("Horizon humifère enfoui très mince (moy.=",ROUND(CY70/0.0333,0)," cm)."),"")))))</f>
        <v/>
      </c>
      <c r="DQ70" s="241" t="str">
        <f>(IF(AND(CY70&gt;0.2,CY70&lt;=0.4),CONCATENATE("Horizon humifère enfoui mince (moy.=",ROUND(CY70/0.0333,0)," cm)."),""))</f>
        <v/>
      </c>
      <c r="DR70" s="241" t="str">
        <f>(IF(AND(CY70&gt;0.4,CY70&lt;=0.6),CONCATENATE("Horizon humifère enfoui assez mince (moy.=",ROUND(CY70/0.0333,0)," cm)."),""))</f>
        <v/>
      </c>
      <c r="DS70" s="241" t="str">
        <f>(IF(AND(CY70&gt;0.6,CY70&lt;=0.8),CONCATENATE("Horizon humifère enfoui épais (moy.=",ROUND(CY70/0.0333,0)," cm)."),""))</f>
        <v/>
      </c>
      <c r="DT70" s="241" t="str">
        <f>(IF(AND(CY70&gt;0.8,CY70&lt;=1),CONCATENATE("Horizon humifère enfoui très épais (moy.=",ROUND(CY70/0.0333,0)," cm)."),""))</f>
        <v/>
      </c>
      <c r="DU70" s="218" t="str">
        <f>IF(LEN('Eval-Avant action écologique'!$T$107)=0,"",IF('Eval-Avant action écologique'!$T$107=0,"",IF(CY70="","Horizon humifère enfoui non renseigné dans tout le site.","")))</f>
        <v/>
      </c>
      <c r="DV70" s="243" t="str">
        <f>CY70</f>
        <v/>
      </c>
      <c r="DW70" s="244" t="str">
        <f>DI70</f>
        <v/>
      </c>
      <c r="DX70" s="245"/>
      <c r="DY70" s="1133"/>
      <c r="DZ70" s="234" t="s">
        <v>503</v>
      </c>
      <c r="EA70" s="235" t="s">
        <v>145</v>
      </c>
      <c r="EB70" s="236"/>
      <c r="EC70" s="237"/>
      <c r="ED70" s="237"/>
      <c r="EE70" s="238"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F70" s="238"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G70" s="237"/>
      <c r="EH70" s="237"/>
      <c r="EI70" s="238"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J70" s="237"/>
      <c r="EK70" s="239"/>
      <c r="EL70" s="236"/>
      <c r="EM70" s="237"/>
      <c r="EN70" s="237"/>
      <c r="EO70" s="238" t="str">
        <f>IF(EE70="","",EE70*'Eval-Avec act. écol. envisagée'!$T$107)</f>
        <v/>
      </c>
      <c r="EP70" s="238" t="str">
        <f>IF(EE70="","",EE70*'Eval-Avec act. écol. envisagée'!$T$107)</f>
        <v/>
      </c>
      <c r="EQ70" s="237"/>
      <c r="ER70" s="237"/>
      <c r="ES70" s="238" t="str">
        <f>IF(EE70="","",EE70*'Eval-Avec act. écol. envisagée'!$T$107)</f>
        <v/>
      </c>
      <c r="ET70" s="237"/>
      <c r="EU70" s="239"/>
      <c r="EV70" s="240" t="str">
        <f>IF(LEN('Eval-Avec act. écol. envisagée'!$T$107)=0,"",IF('Eval-Avec act. écol. envisagée'!$T$107=0,"Site détruit (0 ha).",CONCATENATE(IF(EE70=0,"Absence d'horizon humifère enfoui.",""),(IF(AND(EE70&gt;0,EE70&lt;=0.2),CONCATENATE("Horizon humifère enfoui très mince (moy.=",ROUND(EE70/0.0333,0)," cm)."),"")))))</f>
        <v/>
      </c>
      <c r="EW70" s="241" t="str">
        <f>(IF(AND(EE70&gt;0.2,EE70&lt;=0.4),CONCATENATE("Horizon humifère enfoui mince (moy.=",ROUND(EE70/0.0333,0)," cm)."),""))</f>
        <v/>
      </c>
      <c r="EX70" s="241" t="str">
        <f>(IF(AND(EE70&gt;0.4,EE70&lt;=0.6),CONCATENATE("Horizon humifère enfoui assez mince (moy.=",ROUND(EE70/0.0333,0)," cm)."),""))</f>
        <v/>
      </c>
      <c r="EY70" s="241" t="str">
        <f>(IF(AND(EE70&gt;0.6,EE70&lt;=0.8),CONCATENATE("Horizon humifère enfoui épais (moy.=",ROUND(EE70/0.0333,0)," cm)."),""))</f>
        <v/>
      </c>
      <c r="EZ70" s="241" t="str">
        <f>(IF(AND(EE70&gt;0.8,EE70&lt;=1),CONCATENATE("Horizon humifère enfoui très épais (moy.=",ROUND(EE70/0.0333,0)," cm)."),""))</f>
        <v/>
      </c>
      <c r="FA70" s="218" t="str">
        <f>IF(LEN('Eval-Avec act. écol. envisagée'!$T$107)=0,"",IF('Eval-Avec act. écol. envisagée'!$T$107=0,"",IF(EE70="","Horizon humifère enfoui non renseigné dans tout le site.","")))</f>
        <v/>
      </c>
      <c r="FB70" s="243" t="str">
        <f>EE70</f>
        <v/>
      </c>
      <c r="FC70" s="244" t="str">
        <f>EO70</f>
        <v/>
      </c>
      <c r="FD70" s="245"/>
      <c r="FE70" s="1133"/>
      <c r="FF70" s="234" t="s">
        <v>503</v>
      </c>
      <c r="FG70" s="235" t="s">
        <v>145</v>
      </c>
      <c r="FH70" s="236"/>
      <c r="FI70" s="237"/>
      <c r="FJ70" s="237"/>
      <c r="FK70" s="238"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L70" s="238"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M70" s="237"/>
      <c r="FN70" s="237"/>
      <c r="FO70" s="238"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P70" s="237"/>
      <c r="FQ70" s="239"/>
      <c r="FR70" s="236"/>
      <c r="FS70" s="237"/>
      <c r="FT70" s="237"/>
      <c r="FU70" s="238" t="str">
        <f>IF(FK70="","",FK70*'Eval-Après action écologique'!$T$107)</f>
        <v/>
      </c>
      <c r="FV70" s="238" t="str">
        <f>IF(FK70="","",FK70*'Eval-Après action écologique'!$T$107)</f>
        <v/>
      </c>
      <c r="FW70" s="237"/>
      <c r="FX70" s="237"/>
      <c r="FY70" s="238" t="str">
        <f>IF(FK70="","",FK70*'Eval-Après action écologique'!$T$107)</f>
        <v/>
      </c>
      <c r="FZ70" s="237"/>
      <c r="GA70" s="239"/>
      <c r="GB70" s="240" t="str">
        <f>IF(LEN('Eval-Après action écologique'!$T$107)=0,"",IF('Eval-Après action écologique'!$T$107=0,"Site détruit (0 ha).",CONCATENATE(IF(FK70=0,"Absence d'horizon humifère enfoui.",""),(IF(AND(FK70&gt;0,FK70&lt;=0.2),CONCATENATE("Horizon humifère enfoui très mince (moy.=",ROUND(FK70/0.0333,0)," cm)."),"")))))</f>
        <v/>
      </c>
      <c r="GC70" s="241" t="str">
        <f>(IF(AND(FK70&gt;0.2,FK70&lt;=0.4),CONCATENATE("Horizon humifère enfoui mince (moy.=",ROUND(FK70/0.0333,0)," cm)."),""))</f>
        <v/>
      </c>
      <c r="GD70" s="241" t="str">
        <f>(IF(AND(FK70&gt;0.4,FK70&lt;=0.6),CONCATENATE("Horizon humifère enfoui assez mince (moy.=",ROUND(FK70/0.0333,0)," cm)."),""))</f>
        <v/>
      </c>
      <c r="GE70" s="241" t="str">
        <f>(IF(AND(FK70&gt;0.6,FK70&lt;=0.8),CONCATENATE("Horizon humifère enfoui épais (moy.=",ROUND(FK70/0.0333,0)," cm)."),""))</f>
        <v/>
      </c>
      <c r="GF70" s="241" t="str">
        <f>(IF(AND(FK70&gt;0.8,FK70&lt;=1),CONCATENATE("Horizon humifère enfoui très épais (moy.=",ROUND(FK70/0.0333,0)," cm)."),""))</f>
        <v/>
      </c>
      <c r="GG70" s="218" t="str">
        <f>IF(LEN('Eval-Après action écologique'!$T$107)=0,"",IF('Eval-Après action écologique'!$T$107=0,"",IF(FK70="","Horizon humifère enfoui non renseigné dans tout le site.","")))</f>
        <v/>
      </c>
      <c r="GH70" s="243" t="str">
        <f>FK70</f>
        <v/>
      </c>
      <c r="GI70" s="244" t="str">
        <f>FU70</f>
        <v/>
      </c>
    </row>
    <row r="71" spans="1:191" ht="31.5" customHeight="1" x14ac:dyDescent="0.2">
      <c r="A71" s="1133"/>
      <c r="B71" s="234" t="s">
        <v>421</v>
      </c>
      <c r="C71" s="235" t="s">
        <v>146</v>
      </c>
      <c r="D71" s="236"/>
      <c r="E71" s="237"/>
      <c r="F71" s="237"/>
      <c r="G71" s="237"/>
      <c r="H71" s="237"/>
      <c r="I71" s="237"/>
      <c r="J71" s="237"/>
      <c r="K71" s="238" t="str">
        <f>IF(LEN('Eval-Avant impact'!$T$107)=0,"",IF('Eval-Avant impact'!$T$107=0,0,IF(AND(B24=0,B30=""),IF(COUNTIF(K9:M9,"&gt;0")=0,0,((K9/120)+(L9/120)*0.55+(M9/120)*0.1)*(B9*0.01))+IF(COUNTIF(K10:M10,"&gt;0")=0,0,((K10/120)+(L10/120)*0.55+(M10/120)*0.1)*(B10*0.01))+IF(COUNTIF(K11:M11,"&gt;0")=0,0,((K11/120)+(L11/120)*0.55+(M11/120)*0.1)*(B11*0.01))+IF(COUNTIF(K12:M12,"&gt;0")=0,0,((K12/120)+(L12/120)*0.55+(M12/120)*0.1)*(B12*0.01))+IF(COUNTIF(K13:M13,"&gt;0")=0,0,((K13/120)+(L13/120)*0.55+(M13/120)*0.1)*(B13*0.01))+IF(COUNTIF(K14:M14,"&gt;0")=0,0,((K14/120)+(L14/120)*0.55+(M14/120)*0.1)*(B14*0.01))+IF(COUNTIF(K15:M15,"&gt;0")=0,0,((K15/120)+(L15/120)*0.55+(M15/120)*0.1)*(B15*0.01))+IF(COUNTIF(K16:M16,"&gt;0")=0,0,((K16/120)+(L16/120)*0.55+(M16/120)*0.1)*(B16*0.01))+IF(COUNTIF(K17:M17,"&gt;0")=0,0,((K17/120)+(L17/120)*0.55+(M17/120)*0.1)*(B17*0.01))+IF(COUNTIF(K18:M18,"&gt;0")=0,0,((K18/120)+(L18/120)*0.55+(M18/120)*0.1)*(B18*0.01))+IF(COUNTIF(K19:M19,"&gt;0")=0,0,((K19/120)+(L19/120)*0.55+(M19/120)*0.1)*(B19*0.01))+IF(COUNTIF(K20:M20,"&gt;0")=0,0,((K20/120)+(L20/120)*0.55+(M20/120)*0.1)*(B20*0.01))+IF(COUNTIF(K21:M21,"&gt;0")=0,0,((K21/120)+(L21/120)*0.55+(M21/120)*0.1)*(B21*0.01))+IF(COUNTIF(K22:M22,"&gt;0")=0,0,((K22/120)+(L22/120)*0.55+(M22/120)*0.1)*(B22*0.01))+IF(COUNTIF(K23:M23,"&gt;0")=0,0,((K23/120)+(L23/120)*0.55+(M23/120)*0.1)*(B23*0.01)),"")))</f>
        <v/>
      </c>
      <c r="L71" s="237"/>
      <c r="M71" s="239"/>
      <c r="N71" s="236"/>
      <c r="O71" s="237"/>
      <c r="P71" s="237"/>
      <c r="Q71" s="237"/>
      <c r="R71" s="237"/>
      <c r="S71" s="237"/>
      <c r="T71" s="237"/>
      <c r="U71" s="238" t="str">
        <f>IF(K71="","",K71*'Eval-Avant impact'!$T$107)</f>
        <v/>
      </c>
      <c r="V71" s="237"/>
      <c r="W71" s="239"/>
      <c r="X71" s="240" t="str">
        <f>IF(LEN('Eval-Avant impact'!$T$107)=0,"",IF('Eval-Avant impact'!$T$107=0,"Site détruit (0 ha).",CONCATENATE(IF(K71=0,"Absence d'horizon histique (tourbe).",""),(IF(AND(K71&gt;0,K71&lt;=0.2),CONCATENATE("Horizons histiques (tourbe) très minces et/ou très décomposés."),"")))))</f>
        <v/>
      </c>
      <c r="Y71" s="241" t="str">
        <f>IF(AND(K71&gt;0.2,K71&lt;=0.4),CONCATENATE("Horizons histiques (tourbe) minces et/ou décomposés."),"")</f>
        <v/>
      </c>
      <c r="Z71" s="241" t="str">
        <f>IF(AND(K71&gt;0.4,K71&lt;=0.6),CONCATENATE("Horizons histiques (tourbe) assez minces et/ou assez décomposés."),"")</f>
        <v/>
      </c>
      <c r="AA71" s="241" t="str">
        <f>IF(AND(K71&gt;0.6,K71&lt;=0.8),CONCATENATE("Horizons histiques (tourbe) épais et/ou peu décomposés."),"")</f>
        <v/>
      </c>
      <c r="AB71" s="241" t="str">
        <f>(IF(AND(K71&gt;0.8,K71&lt;=1),CONCATENATE("Horizons histiques (tourbe) très épais et/ou très peu décomposés."),""))</f>
        <v/>
      </c>
      <c r="AC71" s="218" t="str">
        <f>IF(LEN('Eval-Avant impact'!$T$107)=0,"",IF('Eval-Avant impact'!$T$107=0,"",IF(K71="","Horizon histique (tourbe) non renseigné dans tout le site.","")))</f>
        <v/>
      </c>
      <c r="AD71" s="243" t="str">
        <f>K71</f>
        <v/>
      </c>
      <c r="AE71" s="244" t="str">
        <f>U71</f>
        <v/>
      </c>
      <c r="AF71" s="245"/>
      <c r="AG71" s="1133"/>
      <c r="AH71" s="234" t="s">
        <v>421</v>
      </c>
      <c r="AI71" s="235" t="s">
        <v>146</v>
      </c>
      <c r="AJ71" s="236"/>
      <c r="AK71" s="237"/>
      <c r="AL71" s="237"/>
      <c r="AM71" s="237"/>
      <c r="AN71" s="237"/>
      <c r="AO71" s="237"/>
      <c r="AP71" s="237"/>
      <c r="AQ71" s="238" t="str">
        <f>IF(LEN('Eval-Avec impact envisagé'!$T$107)=0,"",IF('Eval-Avec impact envisagé'!$T$107=0,0,IF(AND(AH24=0,AH30=""),IF(COUNTIF(AQ9:AS9,"&gt;0")=0,0,((AQ9/120)+(AR9/120)*0.55+(AS9/120)*0.1)*(AH9*0.01))+IF(COUNTIF(AQ10:AS10,"&gt;0")=0,0,((AQ10/120)+(AR10/120)*0.55+(AS10/120)*0.1)*(AH10*0.01))+IF(COUNTIF(AQ11:AS11,"&gt;0")=0,0,((AQ11/120)+(AR11/120)*0.55+(AS11/120)*0.1)*(AH11*0.01))+IF(COUNTIF(AQ12:AS12,"&gt;0")=0,0,((AQ12/120)+(AR12/120)*0.55+(AS12/120)*0.1)*(AH12*0.01))+IF(COUNTIF(AQ13:AS13,"&gt;0")=0,0,((AQ13/120)+(AR13/120)*0.55+(AS13/120)*0.1)*(AH13*0.01))+IF(COUNTIF(AQ14:AS14,"&gt;0")=0,0,((AQ14/120)+(AR14/120)*0.55+(AS14/120)*0.1)*(AH14*0.01))+IF(COUNTIF(AQ15:AS15,"&gt;0")=0,0,((AQ15/120)+(AR15/120)*0.55+(AS15/120)*0.1)*(AH15*0.01))+IF(COUNTIF(AQ16:AS16,"&gt;0")=0,0,((AQ16/120)+(AR16/120)*0.55+(AS16/120)*0.1)*(AH16*0.01))+IF(COUNTIF(AQ17:AS17,"&gt;0")=0,0,((AQ17/120)+(AR17/120)*0.55+(AS17/120)*0.1)*(AH17*0.01))+IF(COUNTIF(AQ18:AS18,"&gt;0")=0,0,((AQ18/120)+(AR18/120)*0.55+(AS18/120)*0.1)*(AH18*0.01))+IF(COUNTIF(AQ19:AS19,"&gt;0")=0,0,((AQ19/120)+(AR19/120)*0.55+(AS19/120)*0.1)*(AH19*0.01))+IF(COUNTIF(AQ20:AS20,"&gt;0")=0,0,((AQ20/120)+(AR20/120)*0.55+(AS20/120)*0.1)*(AH20*0.01))+IF(COUNTIF(AQ21:AS21,"&gt;0")=0,0,((AQ21/120)+(AR21/120)*0.55+(AS21/120)*0.1)*(AH21*0.01))+IF(COUNTIF(AQ22:AS22,"&gt;0")=0,0,((AQ22/120)+(AR22/120)*0.55+(AS22/120)*0.1)*(AH22*0.01))+IF(COUNTIF(AQ23:AS23,"&gt;0")=0,0,((AQ23/120)+(AR23/120)*0.55+(AS23/120)*0.1)*(AH23*0.01)),"")))</f>
        <v/>
      </c>
      <c r="AR71" s="237"/>
      <c r="AS71" s="239"/>
      <c r="AT71" s="236"/>
      <c r="AU71" s="237"/>
      <c r="AV71" s="237"/>
      <c r="AW71" s="237"/>
      <c r="AX71" s="237"/>
      <c r="AY71" s="237"/>
      <c r="AZ71" s="237"/>
      <c r="BA71" s="238" t="str">
        <f>IF(AQ71="","",AQ71*'Eval-Avec impact envisagé'!$T$107)</f>
        <v/>
      </c>
      <c r="BB71" s="237"/>
      <c r="BC71" s="239"/>
      <c r="BD71" s="240" t="str">
        <f>IF(LEN('Eval-Avec impact envisagé'!$T$107)=0,"",IF('Eval-Avec impact envisagé'!$T$107=0,"Site détruit (0 ha).",CONCATENATE(IF(AQ71=0,"Absence d'horizon histique (tourbe).",""),(IF(AND(AQ71&gt;0,AQ71&lt;=0.2),CONCATENATE("Horizons histiques (tourbe) très minces et/ou très décomposés."),"")))))</f>
        <v/>
      </c>
      <c r="BE71" s="241" t="str">
        <f>IF(AND(AQ71&gt;0.2,AQ71&lt;=0.4),CONCATENATE("Horizons histiques (tourbe) minces et/ou décomposés."),"")</f>
        <v/>
      </c>
      <c r="BF71" s="241" t="str">
        <f>IF(AND(AQ71&gt;0.4,AQ71&lt;=0.6),CONCATENATE("Horizons histiques (tourbe) assez minces et/ou assez décomposés."),"")</f>
        <v/>
      </c>
      <c r="BG71" s="241" t="str">
        <f>IF(AND(AQ71&gt;0.6,AQ71&lt;=0.8),CONCATENATE("Horizons histiques (tourbe) épais et/ou peu décomposés."),"")</f>
        <v/>
      </c>
      <c r="BH71" s="241" t="str">
        <f>(IF(AND(AQ71&gt;0.8,AQ71&lt;=1),CONCATENATE("Horizons histiques (tourbe) très épais et/ou très peu décomposés."),""))</f>
        <v/>
      </c>
      <c r="BI71" s="218" t="str">
        <f>IF(LEN('Eval-Avec impact envisagé'!$T$107)=0,"",IF('Eval-Avec impact envisagé'!$T$107=0,"",IF(AQ71="","Horizon histique (tourbe) non renseigné dans tout le site.","")))</f>
        <v/>
      </c>
      <c r="BJ71" s="243" t="str">
        <f>AQ71</f>
        <v/>
      </c>
      <c r="BK71" s="244" t="str">
        <f>BA71</f>
        <v/>
      </c>
      <c r="BL71" s="245"/>
      <c r="BM71" s="1133"/>
      <c r="BN71" s="234" t="s">
        <v>421</v>
      </c>
      <c r="BO71" s="235" t="s">
        <v>146</v>
      </c>
      <c r="BP71" s="236"/>
      <c r="BQ71" s="237"/>
      <c r="BR71" s="237"/>
      <c r="BS71" s="237"/>
      <c r="BT71" s="237"/>
      <c r="BU71" s="237"/>
      <c r="BV71" s="237"/>
      <c r="BW71" s="238" t="str">
        <f>IF(LEN('Eval-Après impact'!$T$107)=0,"",IF('Eval-Après impact'!$T$107=0,0,IF(AND(BN24=0,BN30=""),IF(COUNTIF(BW9:BY9,"&gt;0")=0,0,((BW9/120)+(BX9/120)*0.55+(BY9/120)*0.1)*(BN9*0.01))+IF(COUNTIF(BW10:BY10,"&gt;0")=0,0,((BW10/120)+(BX10/120)*0.55+(BY10/120)*0.1)*(BN10*0.01))+IF(COUNTIF(BW11:BY11,"&gt;0")=0,0,((BW11/120)+(BX11/120)*0.55+(BY11/120)*0.1)*(BN11*0.01))+IF(COUNTIF(BW12:BY12,"&gt;0")=0,0,((BW12/120)+(BX12/120)*0.55+(BY12/120)*0.1)*(BN12*0.01))+IF(COUNTIF(BW13:BY13,"&gt;0")=0,0,((BW13/120)+(BX13/120)*0.55+(BY13/120)*0.1)*(BN13*0.01))+IF(COUNTIF(BW14:BY14,"&gt;0")=0,0,((BW14/120)+(BX14/120)*0.55+(BY14/120)*0.1)*(BN14*0.01))+IF(COUNTIF(BW15:BY15,"&gt;0")=0,0,((BW15/120)+(BX15/120)*0.55+(BY15/120)*0.1)*(BN15*0.01))+IF(COUNTIF(BW16:BY16,"&gt;0")=0,0,((BW16/120)+(BX16/120)*0.55+(BY16/120)*0.1)*(BN16*0.01))+IF(COUNTIF(BW17:BY17,"&gt;0")=0,0,((BW17/120)+(BX17/120)*0.55+(BY17/120)*0.1)*(BN17*0.01))+IF(COUNTIF(BW18:BY18,"&gt;0")=0,0,((BW18/120)+(BX18/120)*0.55+(BY18/120)*0.1)*(BN18*0.01))+IF(COUNTIF(BW19:BY19,"&gt;0")=0,0,((BW19/120)+(BX19/120)*0.55+(BY19/120)*0.1)*(BN19*0.01))+IF(COUNTIF(BW20:BY20,"&gt;0")=0,0,((BW20/120)+(BX20/120)*0.55+(BY20/120)*0.1)*(BN20*0.01))+IF(COUNTIF(BW21:BY21,"&gt;0")=0,0,((BW21/120)+(BX21/120)*0.55+(BY21/120)*0.1)*(BN21*0.01))+IF(COUNTIF(BW22:BY22,"&gt;0")=0,0,((BW22/120)+(BX22/120)*0.55+(BY22/120)*0.1)*(BN22*0.01))+IF(COUNTIF(BW23:BY23,"&gt;0")=0,0,((BW23/120)+(BX23/120)*0.55+(BY23/120)*0.1)*(BN23*0.01)),"")))</f>
        <v/>
      </c>
      <c r="BX71" s="237"/>
      <c r="BY71" s="239"/>
      <c r="BZ71" s="236"/>
      <c r="CA71" s="237"/>
      <c r="CB71" s="237"/>
      <c r="CC71" s="237"/>
      <c r="CD71" s="237"/>
      <c r="CE71" s="237"/>
      <c r="CF71" s="237"/>
      <c r="CG71" s="238" t="str">
        <f>IF(BW71="","",BW71*'Eval-Après impact'!$T$107)</f>
        <v/>
      </c>
      <c r="CH71" s="237"/>
      <c r="CI71" s="239"/>
      <c r="CJ71" s="240" t="str">
        <f>IF(LEN('Eval-Après impact'!$T$107)=0,"",IF('Eval-Après impact'!$T$107=0,"Site détruit (0 ha).",CONCATENATE(IF(BW71=0,"Absence d'horizon histique (tourbe).",""),(IF(AND(BW71&gt;0,BW71&lt;=0.2),CONCATENATE("Horizons histiques (tourbe) très minces et/ou très décomposés."),"")))))</f>
        <v/>
      </c>
      <c r="CK71" s="241" t="str">
        <f>IF(AND(BW71&gt;0.2,BW71&lt;=0.4),CONCATENATE("Horizons histiques (tourbe) minces et/ou décomposés."),"")</f>
        <v/>
      </c>
      <c r="CL71" s="241" t="str">
        <f>IF(AND(BW71&gt;0.4,BW71&lt;=0.6),CONCATENATE("Horizons histiques (tourbe) assez minces et/ou assez décomposés."),"")</f>
        <v/>
      </c>
      <c r="CM71" s="241" t="str">
        <f>IF(AND(BW71&gt;0.6,BW71&lt;=0.8),CONCATENATE("Horizons histiques (tourbe) épais et/ou peu décomposés."),"")</f>
        <v/>
      </c>
      <c r="CN71" s="241" t="str">
        <f>(IF(AND(BW71&gt;0.8,BW71&lt;=1),CONCATENATE("Horizons histiques (tourbe) très épais et/ou très peu décomposés."),""))</f>
        <v/>
      </c>
      <c r="CO71" s="218" t="str">
        <f>IF(LEN('Eval-Après impact'!$T$107)=0,"",IF('Eval-Après impact'!$T$107=0,"",IF(BW71="","Horizon histique (tourbe) non renseigné dans tout le site.","")))</f>
        <v/>
      </c>
      <c r="CP71" s="243" t="str">
        <f>BW71</f>
        <v/>
      </c>
      <c r="CQ71" s="244" t="str">
        <f>CG71</f>
        <v/>
      </c>
      <c r="CR71" s="245"/>
      <c r="CS71" s="1133"/>
      <c r="CT71" s="234" t="s">
        <v>421</v>
      </c>
      <c r="CU71" s="235" t="s">
        <v>146</v>
      </c>
      <c r="CV71" s="236"/>
      <c r="CW71" s="237"/>
      <c r="CX71" s="237"/>
      <c r="CY71" s="237"/>
      <c r="CZ71" s="237"/>
      <c r="DA71" s="237"/>
      <c r="DB71" s="237"/>
      <c r="DC71" s="238" t="str">
        <f>IF(LEN('Eval-Avant action écologique'!$T$107)=0,"",IF('Eval-Avant action écologique'!$T$107=0,0,IF(AND(CT24=0,CT30=""),IF(COUNTIF(DC9:DE9,"&gt;0")=0,0,((DC9/120)+(DD9/120)*0.55+(DE9/120)*0.1)*(CT9*0.01))+IF(COUNTIF(DC10:DE10,"&gt;0")=0,0,((DC10/120)+(DD10/120)*0.55+(DE10/120)*0.1)*(CT10*0.01))+IF(COUNTIF(DC11:DE11,"&gt;0")=0,0,((DC11/120)+(DD11/120)*0.55+(DE11/120)*0.1)*(CT11*0.01))+IF(COUNTIF(DC12:DE12,"&gt;0")=0,0,((DC12/120)+(DD12/120)*0.55+(DE12/120)*0.1)*(CT12*0.01))+IF(COUNTIF(DC13:DE13,"&gt;0")=0,0,((DC13/120)+(DD13/120)*0.55+(DE13/120)*0.1)*(CT13*0.01))+IF(COUNTIF(DC14:DE14,"&gt;0")=0,0,((DC14/120)+(DD14/120)*0.55+(DE14/120)*0.1)*(CT14*0.01))+IF(COUNTIF(DC15:DE15,"&gt;0")=0,0,((DC15/120)+(DD15/120)*0.55+(DE15/120)*0.1)*(CT15*0.01))+IF(COUNTIF(DC16:DE16,"&gt;0")=0,0,((DC16/120)+(DD16/120)*0.55+(DE16/120)*0.1)*(CT16*0.01))+IF(COUNTIF(DC17:DE17,"&gt;0")=0,0,((DC17/120)+(DD17/120)*0.55+(DE17/120)*0.1)*(CT17*0.01))+IF(COUNTIF(DC18:DE18,"&gt;0")=0,0,((DC18/120)+(DD18/120)*0.55+(DE18/120)*0.1)*(CT18*0.01))+IF(COUNTIF(DC19:DE19,"&gt;0")=0,0,((DC19/120)+(DD19/120)*0.55+(DE19/120)*0.1)*(CT19*0.01))+IF(COUNTIF(DC20:DE20,"&gt;0")=0,0,((DC20/120)+(DD20/120)*0.55+(DE20/120)*0.1)*(CT20*0.01))+IF(COUNTIF(DC21:DE21,"&gt;0")=0,0,((DC21/120)+(DD21/120)*0.55+(DE21/120)*0.1)*(CT21*0.01))+IF(COUNTIF(DC22:DE22,"&gt;0")=0,0,((DC22/120)+(DD22/120)*0.55+(DE22/120)*0.1)*(CT22*0.01))+IF(COUNTIF(DC23:DE23,"&gt;0")=0,0,((DC23/120)+(DD23/120)*0.55+(DE23/120)*0.1)*(CT23*0.01)),"")))</f>
        <v/>
      </c>
      <c r="DD71" s="237"/>
      <c r="DE71" s="239"/>
      <c r="DF71" s="236"/>
      <c r="DG71" s="237"/>
      <c r="DH71" s="237"/>
      <c r="DI71" s="237"/>
      <c r="DJ71" s="237"/>
      <c r="DK71" s="237"/>
      <c r="DL71" s="237"/>
      <c r="DM71" s="238" t="str">
        <f>IF(DC71="","",DC71*'Eval-Avant action écologique'!$T$107)</f>
        <v/>
      </c>
      <c r="DN71" s="237"/>
      <c r="DO71" s="239"/>
      <c r="DP71" s="240" t="str">
        <f>IF(LEN('Eval-Avant action écologique'!$T$107)=0,"",IF('Eval-Avant action écologique'!$T$107=0,"Site détruit (0 ha).",CONCATENATE(IF(DC71=0,"Absence d'horizon histique (tourbe).",""),(IF(AND(DC71&gt;0,DC71&lt;=0.2),CONCATENATE("Horizons histiques (tourbe) très minces et/ou très décomposés."),"")))))</f>
        <v/>
      </c>
      <c r="DQ71" s="241" t="str">
        <f>IF(AND(DC71&gt;0.2,DC71&lt;=0.4),CONCATENATE("Horizons histiques (tourbe) minces et/ou décomposés."),"")</f>
        <v/>
      </c>
      <c r="DR71" s="241" t="str">
        <f>IF(AND(DC71&gt;0.4,DC71&lt;=0.6),CONCATENATE("Horizons histiques (tourbe) assez minces et/ou assez décomposés."),"")</f>
        <v/>
      </c>
      <c r="DS71" s="241" t="str">
        <f>IF(AND(DC71&gt;0.6,DC71&lt;=0.8),CONCATENATE("Horizons histiques (tourbe) épais et/ou peu décomposés."),"")</f>
        <v/>
      </c>
      <c r="DT71" s="241" t="str">
        <f>(IF(AND(DC71&gt;0.8,DC71&lt;=1),CONCATENATE("Horizons histiques (tourbe) très épais et/ou très peu décomposés."),""))</f>
        <v/>
      </c>
      <c r="DU71" s="218" t="str">
        <f>IF(LEN('Eval-Avant action écologique'!$T$107)=0,"",IF('Eval-Avant action écologique'!$T$107=0,"",IF(DC71="","Horizon histique (tourbe) non renseigné dans tout le site.","")))</f>
        <v/>
      </c>
      <c r="DV71" s="243" t="str">
        <f>DC71</f>
        <v/>
      </c>
      <c r="DW71" s="244" t="str">
        <f>DM71</f>
        <v/>
      </c>
      <c r="DX71" s="245"/>
      <c r="DY71" s="1133"/>
      <c r="DZ71" s="234" t="s">
        <v>421</v>
      </c>
      <c r="EA71" s="235" t="s">
        <v>146</v>
      </c>
      <c r="EB71" s="236"/>
      <c r="EC71" s="237"/>
      <c r="ED71" s="237"/>
      <c r="EE71" s="237"/>
      <c r="EF71" s="237"/>
      <c r="EG71" s="237"/>
      <c r="EH71" s="237"/>
      <c r="EI71" s="238" t="str">
        <f>IF(LEN('Eval-Avec act. écol. envisagée'!$T$107)=0,"",IF('Eval-Avec act. écol. envisagée'!$T$107=0,0,IF(AND(DZ24=0,DZ30=""),IF(COUNTIF(EI9:EK9,"&gt;0")=0,0,((EI9/120)+(EJ9/120)*0.55+(EK9/120)*0.1)*(DZ9*0.01))+IF(COUNTIF(EI10:EK10,"&gt;0")=0,0,((EI10/120)+(EJ10/120)*0.55+(EK10/120)*0.1)*(DZ10*0.01))+IF(COUNTIF(EI11:EK11,"&gt;0")=0,0,((EI11/120)+(EJ11/120)*0.55+(EK11/120)*0.1)*(DZ11*0.01))+IF(COUNTIF(EI12:EK12,"&gt;0")=0,0,((EI12/120)+(EJ12/120)*0.55+(EK12/120)*0.1)*(DZ12*0.01))+IF(COUNTIF(EI13:EK13,"&gt;0")=0,0,((EI13/120)+(EJ13/120)*0.55+(EK13/120)*0.1)*(DZ13*0.01))+IF(COUNTIF(EI14:EK14,"&gt;0")=0,0,((EI14/120)+(EJ14/120)*0.55+(EK14/120)*0.1)*(DZ14*0.01))+IF(COUNTIF(EI15:EK15,"&gt;0")=0,0,((EI15/120)+(EJ15/120)*0.55+(EK15/120)*0.1)*(DZ15*0.01))+IF(COUNTIF(EI16:EK16,"&gt;0")=0,0,((EI16/120)+(EJ16/120)*0.55+(EK16/120)*0.1)*(DZ16*0.01))+IF(COUNTIF(EI17:EK17,"&gt;0")=0,0,((EI17/120)+(EJ17/120)*0.55+(EK17/120)*0.1)*(DZ17*0.01))+IF(COUNTIF(EI18:EK18,"&gt;0")=0,0,((EI18/120)+(EJ18/120)*0.55+(EK18/120)*0.1)*(DZ18*0.01))+IF(COUNTIF(EI19:EK19,"&gt;0")=0,0,((EI19/120)+(EJ19/120)*0.55+(EK19/120)*0.1)*(DZ19*0.01))+IF(COUNTIF(EI20:EK20,"&gt;0")=0,0,((EI20/120)+(EJ20/120)*0.55+(EK20/120)*0.1)*(DZ20*0.01))+IF(COUNTIF(EI21:EK21,"&gt;0")=0,0,((EI21/120)+(EJ21/120)*0.55+(EK21/120)*0.1)*(DZ21*0.01))+IF(COUNTIF(EI22:EK22,"&gt;0")=0,0,((EI22/120)+(EJ22/120)*0.55+(EK22/120)*0.1)*(DZ22*0.01))+IF(COUNTIF(EI23:EK23,"&gt;0")=0,0,((EI23/120)+(EJ23/120)*0.55+(EK23/120)*0.1)*(DZ23*0.01)),"")))</f>
        <v/>
      </c>
      <c r="EJ71" s="237"/>
      <c r="EK71" s="239"/>
      <c r="EL71" s="236"/>
      <c r="EM71" s="237"/>
      <c r="EN71" s="237"/>
      <c r="EO71" s="237"/>
      <c r="EP71" s="237"/>
      <c r="EQ71" s="237"/>
      <c r="ER71" s="237"/>
      <c r="ES71" s="238" t="str">
        <f>IF(EI71="","",EI71*'Eval-Avec act. écol. envisagée'!$T$107)</f>
        <v/>
      </c>
      <c r="ET71" s="237"/>
      <c r="EU71" s="239"/>
      <c r="EV71" s="240" t="str">
        <f>IF(LEN('Eval-Avec act. écol. envisagée'!$T$107)=0,"",IF('Eval-Avec act. écol. envisagée'!$T$107=0,"Site détruit (0 ha).",CONCATENATE(IF(EI71=0,"Absence d'horizon histique (tourbe).",""),(IF(AND(EI71&gt;0,EI71&lt;=0.2),CONCATENATE("Horizons histiques (tourbe) très minces et/ou très décomposés."),"")))))</f>
        <v/>
      </c>
      <c r="EW71" s="241" t="str">
        <f>IF(AND(EI71&gt;0.2,EI71&lt;=0.4),CONCATENATE("Horizons histiques (tourbe) minces et/ou décomposés."),"")</f>
        <v/>
      </c>
      <c r="EX71" s="241" t="str">
        <f>IF(AND(EI71&gt;0.4,EI71&lt;=0.6),CONCATENATE("Horizons histiques (tourbe) assez minces et/ou assez décomposés."),"")</f>
        <v/>
      </c>
      <c r="EY71" s="241" t="str">
        <f>IF(AND(EI71&gt;0.6,EI71&lt;=0.8),CONCATENATE("Horizons histiques (tourbe) épais et/ou peu décomposés."),"")</f>
        <v/>
      </c>
      <c r="EZ71" s="241" t="str">
        <f>(IF(AND(EI71&gt;0.8,EI71&lt;=1),CONCATENATE("Horizons histiques (tourbe) très épais et/ou très peu décomposés."),""))</f>
        <v/>
      </c>
      <c r="FA71" s="218" t="str">
        <f>IF(LEN('Eval-Avec act. écol. envisagée'!$T$107)=0,"",IF('Eval-Avec act. écol. envisagée'!$T$107=0,"",IF(EI71="","Horizon histique (tourbe) non renseigné dans tout le site.","")))</f>
        <v/>
      </c>
      <c r="FB71" s="243" t="str">
        <f>EI71</f>
        <v/>
      </c>
      <c r="FC71" s="244" t="str">
        <f>ES71</f>
        <v/>
      </c>
      <c r="FD71" s="245"/>
      <c r="FE71" s="1133"/>
      <c r="FF71" s="234" t="s">
        <v>421</v>
      </c>
      <c r="FG71" s="235" t="s">
        <v>146</v>
      </c>
      <c r="FH71" s="236"/>
      <c r="FI71" s="237"/>
      <c r="FJ71" s="237"/>
      <c r="FK71" s="237"/>
      <c r="FL71" s="237"/>
      <c r="FM71" s="237"/>
      <c r="FN71" s="237"/>
      <c r="FO71" s="238" t="str">
        <f>IF(LEN('Eval-Après action écologique'!$T$107)=0,"",IF('Eval-Après action écologique'!$T$107=0,0,IF(AND(FF24=0,FF30=""),IF(COUNTIF(FO9:FQ9,"&gt;0")=0,0,((FO9/120)+(FP9/120)*0.55+(FQ9/120)*0.1)*(FF9*0.01))+IF(COUNTIF(FO10:FQ10,"&gt;0")=0,0,((FO10/120)+(FP10/120)*0.55+(FQ10/120)*0.1)*(FF10*0.01))+IF(COUNTIF(FO11:FQ11,"&gt;0")=0,0,((FO11/120)+(FP11/120)*0.55+(FQ11/120)*0.1)*(FF11*0.01))+IF(COUNTIF(FO12:FQ12,"&gt;0")=0,0,((FO12/120)+(FP12/120)*0.55+(FQ12/120)*0.1)*(FF12*0.01))+IF(COUNTIF(FO13:FQ13,"&gt;0")=0,0,((FO13/120)+(FP13/120)*0.55+(FQ13/120)*0.1)*(FF13*0.01))+IF(COUNTIF(FO14:FQ14,"&gt;0")=0,0,((FO14/120)+(FP14/120)*0.55+(FQ14/120)*0.1)*(FF14*0.01))+IF(COUNTIF(FO15:FQ15,"&gt;0")=0,0,((FO15/120)+(FP15/120)*0.55+(FQ15/120)*0.1)*(FF15*0.01))+IF(COUNTIF(FO16:FQ16,"&gt;0")=0,0,((FO16/120)+(FP16/120)*0.55+(FQ16/120)*0.1)*(FF16*0.01))+IF(COUNTIF(FO17:FQ17,"&gt;0")=0,0,((FO17/120)+(FP17/120)*0.55+(FQ17/120)*0.1)*(FF17*0.01))+IF(COUNTIF(FO18:FQ18,"&gt;0")=0,0,((FO18/120)+(FP18/120)*0.55+(FQ18/120)*0.1)*(FF18*0.01))+IF(COUNTIF(FO19:FQ19,"&gt;0")=0,0,((FO19/120)+(FP19/120)*0.55+(FQ19/120)*0.1)*(FF19*0.01))+IF(COUNTIF(FO20:FQ20,"&gt;0")=0,0,((FO20/120)+(FP20/120)*0.55+(FQ20/120)*0.1)*(FF20*0.01))+IF(COUNTIF(FO21:FQ21,"&gt;0")=0,0,((FO21/120)+(FP21/120)*0.55+(FQ21/120)*0.1)*(FF21*0.01))+IF(COUNTIF(FO22:FQ22,"&gt;0")=0,0,((FO22/120)+(FP22/120)*0.55+(FQ22/120)*0.1)*(FF22*0.01))+IF(COUNTIF(FO23:FQ23,"&gt;0")=0,0,((FO23/120)+(FP23/120)*0.55+(FQ23/120)*0.1)*(FF23*0.01)),"")))</f>
        <v/>
      </c>
      <c r="FP71" s="237"/>
      <c r="FQ71" s="239"/>
      <c r="FR71" s="236"/>
      <c r="FS71" s="237"/>
      <c r="FT71" s="237"/>
      <c r="FU71" s="237"/>
      <c r="FV71" s="237"/>
      <c r="FW71" s="237"/>
      <c r="FX71" s="237"/>
      <c r="FY71" s="238" t="str">
        <f>IF(FO71="","",FO71*'Eval-Après action écologique'!$T$107)</f>
        <v/>
      </c>
      <c r="FZ71" s="237"/>
      <c r="GA71" s="239"/>
      <c r="GB71" s="240" t="str">
        <f>IF(LEN('Eval-Après action écologique'!$T$107)=0,"",IF('Eval-Après action écologique'!$T$107=0,"Site détruit (0 ha).",CONCATENATE(IF(FO71=0,"Absence d'horizon histique (tourbe).",""),(IF(AND(FO71&gt;0,FO71&lt;=0.2),CONCATENATE("Horizons histiques (tourbe) très minces et/ou très décomposés."),"")))))</f>
        <v/>
      </c>
      <c r="GC71" s="241" t="str">
        <f>IF(AND(FO71&gt;0.2,FO71&lt;=0.4),CONCATENATE("Horizons histiques (tourbe) minces et/ou décomposés."),"")</f>
        <v/>
      </c>
      <c r="GD71" s="241" t="str">
        <f>IF(AND(FO71&gt;0.4,FO71&lt;=0.6),CONCATENATE("Horizons histiques (tourbe) assez minces et/ou assez décomposés."),"")</f>
        <v/>
      </c>
      <c r="GE71" s="241" t="str">
        <f>IF(AND(FO71&gt;0.6,FO71&lt;=0.8),CONCATENATE("Horizons histiques (tourbe) épais et/ou peu décomposés."),"")</f>
        <v/>
      </c>
      <c r="GF71" s="241" t="str">
        <f>(IF(AND(FO71&gt;0.8,FO71&lt;=1),CONCATENATE("Horizons histiques (tourbe) très épais et/ou très peu décomposés."),""))</f>
        <v/>
      </c>
      <c r="GG71" s="218" t="str">
        <f>IF(LEN('Eval-Après action écologique'!$T$107)=0,"",IF('Eval-Après action écologique'!$T$107=0,"",IF(FO71="","Horizon histique (tourbe) non renseigné dans tout le site.","")))</f>
        <v/>
      </c>
      <c r="GH71" s="243" t="str">
        <f>FO71</f>
        <v/>
      </c>
      <c r="GI71" s="244" t="str">
        <f>FY71</f>
        <v/>
      </c>
    </row>
    <row r="72" spans="1:191" ht="31.5" customHeight="1" x14ac:dyDescent="0.2">
      <c r="A72" s="1133"/>
      <c r="B72" s="234" t="s">
        <v>422</v>
      </c>
      <c r="C72" s="235" t="s">
        <v>147</v>
      </c>
      <c r="D72" s="236"/>
      <c r="E72" s="237"/>
      <c r="F72" s="237"/>
      <c r="G72" s="237"/>
      <c r="H72" s="237"/>
      <c r="I72" s="237"/>
      <c r="J72" s="237"/>
      <c r="K72" s="238" t="str">
        <f>IF(LEN('Eval-Avant impact'!$T$107)=0,"",IF('Eval-Avant impact'!$T$107=0,0,IF(AND(B24=0,B31=""),IF(COUNTIF(N9:P9,"&gt;0")=0,0,((N9/120)+(O9/120)*0.55+(P9/120)*0.1)*(B9*0.01))+IF(COUNTIF(N10:P10,"&gt;0")=0,0,((N10/120)+(O10/120)*0.55+(P10/120)*0.1)*(B10*0.01))+IF(COUNTIF(N11:P11,"&gt;0")=0,0,((N11/120)+(O11/120)*0.55+(P11/120)*0.1)*(B11*0.01))+IF(COUNTIF(N12:P12,"&gt;0")=0,0,((N12/120)+(O12/120)*0.55+(P12/120)*0.1)*(B12*0.01))+IF(COUNTIF(N13:P13,"&gt;0")=0,0,((N13/120)+(O13/120)*0.55+(P13/120)*0.1)*(B13*0.01))+IF(COUNTIF(N14:P14,"&gt;0")=0,0,((N14/120)+(O14/120)*0.55+(P14/120)*0.1)*(B14*0.01))+IF(COUNTIF(N15:P15,"&gt;0")=0,0,((N15/120)+(O15/120)*0.55+(P15/120)*0.1)*(B15*0.01))+IF(COUNTIF(N16:P16,"&gt;0")=0,0,((N16/120)+(O16/120)*0.55+(P16/120)*0.1)*(B16*0.01))+IF(COUNTIF(N17:P17,"&gt;0")=0,0,((N17/120)+(O17/120)*0.55+(P17/120)*0.1)*(B17*0.01))+IF(COUNTIF(N18:P18,"&gt;0")=0,0,((N18/120)+(O18/120)*0.55+(P18/120)*0.1)*(B18*0.01))+IF(COUNTIF(N19:P19,"&gt;0")=0,0,((N19/120)+(O19/120)*0.55+(P19/120)*0.1)*(B19*0.01))+IF(COUNTIF(N20:P20,"&gt;0")=0,0,((N20/120)+(O20/120)*0.55+(P20/120)*0.1)*(B20*0.01))+IF(COUNTIF(N21:P21,"&gt;0")=0,0,((N21/120)+(O21/120)*0.55+(P21/120)*0.1)*(B21*0.01))+IF(COUNTIF(N22:P22,"&gt;0")=0,0,((N22/120)+(O22/120)*0.55+(P22/120)*0.1)*(B22*0.01))+IF(COUNTIF(N23:P23,"&gt;0")=0,0,((N23/120)+(O23/120)*0.55+(P23/120)*0.1)*(B23*0.01)),"")))</f>
        <v/>
      </c>
      <c r="L72" s="237"/>
      <c r="M72" s="239"/>
      <c r="N72" s="236"/>
      <c r="O72" s="237"/>
      <c r="P72" s="237"/>
      <c r="Q72" s="237"/>
      <c r="R72" s="237"/>
      <c r="S72" s="237"/>
      <c r="T72" s="237"/>
      <c r="U72" s="238" t="str">
        <f>IF(K72="","",K72*'Eval-Avant impact'!$T$107)</f>
        <v/>
      </c>
      <c r="V72" s="237"/>
      <c r="W72" s="239"/>
      <c r="X72" s="240" t="str">
        <f>IF(LEN('Eval-Avant impact'!$T$107)=0,"",IF('Eval-Avant impact'!$T$107=0,"Site détruit (0 ha).",CONCATENATE(IF(K72=0,"Absence d'horizon histique (tourbe).",""),(IF(AND(K72&gt;0,K72&lt;=0.2),CONCATENATE("Horizons histiques (tourbe) très minces et/ou très décomposés."),"")))))</f>
        <v/>
      </c>
      <c r="Y72" s="241" t="str">
        <f>IF(AND(K72&gt;0.2,K72&lt;=0.4),CONCATENATE("Horizons histiques (tourbe) minces et/ou décomposés."),"")</f>
        <v/>
      </c>
      <c r="Z72" s="241" t="str">
        <f>IF(AND(K72&gt;0.4,K72&lt;=0.6),CONCATENATE("Horizons histiques (tourbe) assez minces et/ou assez décomposés."),"")</f>
        <v/>
      </c>
      <c r="AA72" s="241" t="str">
        <f>IF(AND(K72&gt;0.6,K72&lt;=0.8),CONCATENATE("Horizons histiques (tourbe) épais et/ou peu décomposés."),"")</f>
        <v/>
      </c>
      <c r="AB72" s="241" t="str">
        <f>(IF(AND(K72&gt;0.8,K72&lt;=1),CONCATENATE("Horizons histiques (tourbe) très épais et/ou très peu décomposés."),""))</f>
        <v/>
      </c>
      <c r="AC72" s="218" t="str">
        <f>IF(LEN('Eval-Avant impact'!$T$107)=0,"",IF('Eval-Avant impact'!$T$107=0,"",IF(K72="","Horizon histique enfoui (tourbe) non renseigné dans tout le site.","")))</f>
        <v/>
      </c>
      <c r="AD72" s="243" t="str">
        <f>K72</f>
        <v/>
      </c>
      <c r="AE72" s="244" t="str">
        <f>U72</f>
        <v/>
      </c>
      <c r="AF72" s="245"/>
      <c r="AG72" s="1133"/>
      <c r="AH72" s="234" t="s">
        <v>422</v>
      </c>
      <c r="AI72" s="235" t="s">
        <v>147</v>
      </c>
      <c r="AJ72" s="236"/>
      <c r="AK72" s="237"/>
      <c r="AL72" s="237"/>
      <c r="AM72" s="237"/>
      <c r="AN72" s="237"/>
      <c r="AO72" s="237"/>
      <c r="AP72" s="237"/>
      <c r="AQ72" s="238" t="str">
        <f>IF(LEN('Eval-Avec impact envisagé'!$T$107)=0,"",IF('Eval-Avec impact envisagé'!$T$107=0,0,IF(AND(AH24=0,AH31=""),IF(COUNTIF(AT9:AV9,"&gt;0")=0,0,((AT9/120)+(AU9/120)*0.55+(AV9/120)*0.1)*(AH9*0.01))+IF(COUNTIF(AT10:AV10,"&gt;0")=0,0,((AT10/120)+(AU10/120)*0.55+(AV10/120)*0.1)*(AH10*0.01))+IF(COUNTIF(AT11:AV11,"&gt;0")=0,0,((AT11/120)+(AU11/120)*0.55+(AV11/120)*0.1)*(AH11*0.01))+IF(COUNTIF(AT12:AV12,"&gt;0")=0,0,((AT12/120)+(AU12/120)*0.55+(AV12/120)*0.1)*(AH12*0.01))+IF(COUNTIF(AT13:AV13,"&gt;0")=0,0,((AT13/120)+(AU13/120)*0.55+(AV13/120)*0.1)*(AH13*0.01))+IF(COUNTIF(AT14:AV14,"&gt;0")=0,0,((AT14/120)+(AU14/120)*0.55+(AV14/120)*0.1)*(AH14*0.01))+IF(COUNTIF(AT15:AV15,"&gt;0")=0,0,((AT15/120)+(AU15/120)*0.55+(AV15/120)*0.1)*(AH15*0.01))+IF(COUNTIF(AT16:AV16,"&gt;0")=0,0,((AT16/120)+(AU16/120)*0.55+(AV16/120)*0.1)*(AH16*0.01))+IF(COUNTIF(AT17:AV17,"&gt;0")=0,0,((AT17/120)+(AU17/120)*0.55+(AV17/120)*0.1)*(AH17*0.01))+IF(COUNTIF(AT18:AV18,"&gt;0")=0,0,((AT18/120)+(AU18/120)*0.55+(AV18/120)*0.1)*(AH18*0.01))+IF(COUNTIF(AT19:AV19,"&gt;0")=0,0,((AT19/120)+(AU19/120)*0.55+(AV19/120)*0.1)*(AH19*0.01))+IF(COUNTIF(AT20:AV20,"&gt;0")=0,0,((AT20/120)+(AU20/120)*0.55+(AV20/120)*0.1)*(AH20*0.01))+IF(COUNTIF(AT21:AV21,"&gt;0")=0,0,((AT21/120)+(AU21/120)*0.55+(AV21/120)*0.1)*(AH21*0.01))+IF(COUNTIF(AT22:AV22,"&gt;0")=0,0,((AT22/120)+(AU22/120)*0.55+(AV22/120)*0.1)*(AH22*0.01))+IF(COUNTIF(AT23:AV23,"&gt;0")=0,0,((AT23/120)+(AU23/120)*0.55+(AV23/120)*0.1)*(AH23*0.01)),"")))</f>
        <v/>
      </c>
      <c r="AR72" s="237"/>
      <c r="AS72" s="239"/>
      <c r="AT72" s="236"/>
      <c r="AU72" s="237"/>
      <c r="AV72" s="237"/>
      <c r="AW72" s="237"/>
      <c r="AX72" s="237"/>
      <c r="AY72" s="237"/>
      <c r="AZ72" s="237"/>
      <c r="BA72" s="238" t="str">
        <f>IF(AQ72="","",AQ72*'Eval-Avec impact envisagé'!$T$107)</f>
        <v/>
      </c>
      <c r="BB72" s="237"/>
      <c r="BC72" s="239"/>
      <c r="BD72" s="240" t="str">
        <f>IF(LEN('Eval-Avec impact envisagé'!$T$107)=0,"",IF('Eval-Avec impact envisagé'!$T$107=0,"Site détruit (0 ha).",CONCATENATE(IF(AQ72=0,"Absence d'horizon histique (tourbe).",""),(IF(AND(AQ72&gt;0,AQ72&lt;=0.2),CONCATENATE("Horizons histiques (tourbe) très minces et/ou très décomposés."),"")))))</f>
        <v/>
      </c>
      <c r="BE72" s="241" t="str">
        <f>IF(AND(AQ72&gt;0.2,AQ72&lt;=0.4),CONCATENATE("Horizons histiques (tourbe) minces et/ou décomposés."),"")</f>
        <v/>
      </c>
      <c r="BF72" s="241" t="str">
        <f>IF(AND(AQ72&gt;0.4,AQ72&lt;=0.6),CONCATENATE("Horizons histiques (tourbe) assez minces et/ou assez décomposés."),"")</f>
        <v/>
      </c>
      <c r="BG72" s="241" t="str">
        <f>IF(AND(AQ72&gt;0.6,AQ72&lt;=0.8),CONCATENATE("Horizons histiques (tourbe) épais et/ou peu décomposés."),"")</f>
        <v/>
      </c>
      <c r="BH72" s="241" t="str">
        <f>(IF(AND(AQ72&gt;0.8,AQ72&lt;=1),CONCATENATE("Horizons histiques (tourbe) très épais et/ou très peu décomposés."),""))</f>
        <v/>
      </c>
      <c r="BI72" s="218" t="str">
        <f>IF(LEN('Eval-Avec impact envisagé'!$T$107)=0,"",IF('Eval-Avec impact envisagé'!$T$107=0,"",IF(AQ72="","Horizon histique enfoui (tourbe) non renseigné dans tout le site.","")))</f>
        <v/>
      </c>
      <c r="BJ72" s="243" t="str">
        <f>AQ72</f>
        <v/>
      </c>
      <c r="BK72" s="244" t="str">
        <f>BA72</f>
        <v/>
      </c>
      <c r="BL72" s="245"/>
      <c r="BM72" s="1133"/>
      <c r="BN72" s="234" t="s">
        <v>422</v>
      </c>
      <c r="BO72" s="235" t="s">
        <v>147</v>
      </c>
      <c r="BP72" s="236"/>
      <c r="BQ72" s="237"/>
      <c r="BR72" s="237"/>
      <c r="BS72" s="237"/>
      <c r="BT72" s="237"/>
      <c r="BU72" s="237"/>
      <c r="BV72" s="237"/>
      <c r="BW72" s="238" t="str">
        <f>IF(LEN('Eval-Après impact'!$T$107)=0,"",IF('Eval-Après impact'!$T$107=0,0,IF(AND(BN24=0,BN31=""),IF(COUNTIF(BZ9:CB9,"&gt;0")=0,0,((BZ9/120)+(CA9/120)*0.55+(CB9/120)*0.1)*(BN9*0.01))+IF(COUNTIF(BZ10:CB10,"&gt;0")=0,0,((BZ10/120)+(CA10/120)*0.55+(CB10/120)*0.1)*(BN10*0.01))+IF(COUNTIF(BZ11:CB11,"&gt;0")=0,0,((BZ11/120)+(CA11/120)*0.55+(CB11/120)*0.1)*(BN11*0.01))+IF(COUNTIF(BZ12:CB12,"&gt;0")=0,0,((BZ12/120)+(CA12/120)*0.55+(CB12/120)*0.1)*(BN12*0.01))+IF(COUNTIF(BZ13:CB13,"&gt;0")=0,0,((BZ13/120)+(CA13/120)*0.55+(CB13/120)*0.1)*(BN13*0.01))+IF(COUNTIF(BZ14:CB14,"&gt;0")=0,0,((BZ14/120)+(CA14/120)*0.55+(CB14/120)*0.1)*(BN14*0.01))+IF(COUNTIF(BZ15:CB15,"&gt;0")=0,0,((BZ15/120)+(CA15/120)*0.55+(CB15/120)*0.1)*(BN15*0.01))+IF(COUNTIF(BZ16:CB16,"&gt;0")=0,0,((BZ16/120)+(CA16/120)*0.55+(CB16/120)*0.1)*(BN16*0.01))+IF(COUNTIF(BZ17:CB17,"&gt;0")=0,0,((BZ17/120)+(CA17/120)*0.55+(CB17/120)*0.1)*(BN17*0.01))+IF(COUNTIF(BZ18:CB18,"&gt;0")=0,0,((BZ18/120)+(CA18/120)*0.55+(CB18/120)*0.1)*(BN18*0.01))+IF(COUNTIF(BZ19:CB19,"&gt;0")=0,0,((BZ19/120)+(CA19/120)*0.55+(CB19/120)*0.1)*(BN19*0.01))+IF(COUNTIF(BZ20:CB20,"&gt;0")=0,0,((BZ20/120)+(CA20/120)*0.55+(CB20/120)*0.1)*(BN20*0.01))+IF(COUNTIF(BZ21:CB21,"&gt;0")=0,0,((BZ21/120)+(CA21/120)*0.55+(CB21/120)*0.1)*(BN21*0.01))+IF(COUNTIF(BZ22:CB22,"&gt;0")=0,0,((BZ22/120)+(CA22/120)*0.55+(CB22/120)*0.1)*(BN22*0.01))+IF(COUNTIF(BZ23:CB23,"&gt;0")=0,0,((BZ23/120)+(CA23/120)*0.55+(CB23/120)*0.1)*(BN23*0.01)),"")))</f>
        <v/>
      </c>
      <c r="BX72" s="237"/>
      <c r="BY72" s="239"/>
      <c r="BZ72" s="236"/>
      <c r="CA72" s="237"/>
      <c r="CB72" s="237"/>
      <c r="CC72" s="237"/>
      <c r="CD72" s="237"/>
      <c r="CE72" s="237"/>
      <c r="CF72" s="237"/>
      <c r="CG72" s="238" t="str">
        <f>IF(BW72="","",BW72*'Eval-Après impact'!$T$107)</f>
        <v/>
      </c>
      <c r="CH72" s="237"/>
      <c r="CI72" s="239"/>
      <c r="CJ72" s="240" t="str">
        <f>IF(LEN('Eval-Après impact'!$T$107)=0,"",IF('Eval-Après impact'!$T$107=0,"Site détruit (0 ha).",CONCATENATE(IF(BW72=0,"Absence d'horizon histique (tourbe).",""),(IF(AND(BW72&gt;0,BW72&lt;=0.2),CONCATENATE("Horizons histiques (tourbe) très minces et/ou très décomposés."),"")))))</f>
        <v/>
      </c>
      <c r="CK72" s="241" t="str">
        <f>IF(AND(BW72&gt;0.2,BW72&lt;=0.4),CONCATENATE("Horizons histiques (tourbe) minces et/ou décomposés."),"")</f>
        <v/>
      </c>
      <c r="CL72" s="241" t="str">
        <f>IF(AND(BW72&gt;0.4,BW72&lt;=0.6),CONCATENATE("Horizons histiques (tourbe) assez minces et/ou assez décomposés."),"")</f>
        <v/>
      </c>
      <c r="CM72" s="241" t="str">
        <f>IF(AND(BW72&gt;0.6,BW72&lt;=0.8),CONCATENATE("Horizons histiques (tourbe) épais et/ou peu décomposés."),"")</f>
        <v/>
      </c>
      <c r="CN72" s="241" t="str">
        <f>(IF(AND(BW72&gt;0.8,BW72&lt;=1),CONCATENATE("Horizons histiques (tourbe) très épais et/ou très peu décomposés."),""))</f>
        <v/>
      </c>
      <c r="CO72" s="218" t="str">
        <f>IF(LEN('Eval-Après impact'!$T$107)=0,"",IF('Eval-Après impact'!$T$107=0,"",IF(BW72="","Horizon histique enfoui (tourbe) non renseigné dans tout le site.","")))</f>
        <v/>
      </c>
      <c r="CP72" s="243" t="str">
        <f>BW72</f>
        <v/>
      </c>
      <c r="CQ72" s="244" t="str">
        <f>CG72</f>
        <v/>
      </c>
      <c r="CR72" s="245"/>
      <c r="CS72" s="1133"/>
      <c r="CT72" s="234" t="s">
        <v>422</v>
      </c>
      <c r="CU72" s="235" t="s">
        <v>147</v>
      </c>
      <c r="CV72" s="236"/>
      <c r="CW72" s="237"/>
      <c r="CX72" s="237"/>
      <c r="CY72" s="237"/>
      <c r="CZ72" s="237"/>
      <c r="DA72" s="237"/>
      <c r="DB72" s="237"/>
      <c r="DC72" s="238" t="str">
        <f>IF(LEN('Eval-Avant action écologique'!$T$107)=0,"",IF('Eval-Avant action écologique'!$T$107=0,0,IF(AND(CT24=0,CT31=""),IF(COUNTIF(DF9:DH9,"&gt;0")=0,0,((DF9/120)+(DG9/120)*0.55+(DH9/120)*0.1)*(CT9*0.01))+IF(COUNTIF(DF10:DH10,"&gt;0")=0,0,((DF10/120)+(DG10/120)*0.55+(DH10/120)*0.1)*(CT10*0.01))+IF(COUNTIF(DF11:DH11,"&gt;0")=0,0,((DF11/120)+(DG11/120)*0.55+(DH11/120)*0.1)*(CT11*0.01))+IF(COUNTIF(DF12:DH12,"&gt;0")=0,0,((DF12/120)+(DG12/120)*0.55+(DH12/120)*0.1)*(CT12*0.01))+IF(COUNTIF(DF13:DH13,"&gt;0")=0,0,((DF13/120)+(DG13/120)*0.55+(DH13/120)*0.1)*(CT13*0.01))+IF(COUNTIF(DF14:DH14,"&gt;0")=0,0,((DF14/120)+(DG14/120)*0.55+(DH14/120)*0.1)*(CT14*0.01))+IF(COUNTIF(DF15:DH15,"&gt;0")=0,0,((DF15/120)+(DG15/120)*0.55+(DH15/120)*0.1)*(CT15*0.01))+IF(COUNTIF(DF16:DH16,"&gt;0")=0,0,((DF16/120)+(DG16/120)*0.55+(DH16/120)*0.1)*(CT16*0.01))+IF(COUNTIF(DF17:DH17,"&gt;0")=0,0,((DF17/120)+(DG17/120)*0.55+(DH17/120)*0.1)*(CT17*0.01))+IF(COUNTIF(DF18:DH18,"&gt;0")=0,0,((DF18/120)+(DG18/120)*0.55+(DH18/120)*0.1)*(CT18*0.01))+IF(COUNTIF(DF19:DH19,"&gt;0")=0,0,((DF19/120)+(DG19/120)*0.55+(DH19/120)*0.1)*(CT19*0.01))+IF(COUNTIF(DF20:DH20,"&gt;0")=0,0,((DF20/120)+(DG20/120)*0.55+(DH20/120)*0.1)*(CT20*0.01))+IF(COUNTIF(DF21:DH21,"&gt;0")=0,0,((DF21/120)+(DG21/120)*0.55+(DH21/120)*0.1)*(CT21*0.01))+IF(COUNTIF(DF22:DH22,"&gt;0")=0,0,((DF22/120)+(DG22/120)*0.55+(DH22/120)*0.1)*(CT22*0.01))+IF(COUNTIF(DF23:DH23,"&gt;0")=0,0,((DF23/120)+(DG23/120)*0.55+(DH23/120)*0.1)*(CT23*0.01)),"")))</f>
        <v/>
      </c>
      <c r="DD72" s="237"/>
      <c r="DE72" s="239"/>
      <c r="DF72" s="236"/>
      <c r="DG72" s="237"/>
      <c r="DH72" s="237"/>
      <c r="DI72" s="237"/>
      <c r="DJ72" s="237"/>
      <c r="DK72" s="237"/>
      <c r="DL72" s="237"/>
      <c r="DM72" s="238" t="str">
        <f>IF(DC72="","",DC72*'Eval-Avant action écologique'!$T$107)</f>
        <v/>
      </c>
      <c r="DN72" s="237"/>
      <c r="DO72" s="239"/>
      <c r="DP72" s="240" t="str">
        <f>IF(LEN('Eval-Avant action écologique'!$T$107)=0,"",IF('Eval-Avant action écologique'!$T$107=0,"Site détruit (0 ha).",CONCATENATE(IF(DC72=0,"Absence d'horizon histique (tourbe).",""),(IF(AND(DC72&gt;0,DC72&lt;=0.2),CONCATENATE("Horizons histiques (tourbe) très minces et/ou très décomposés."),"")))))</f>
        <v/>
      </c>
      <c r="DQ72" s="241" t="str">
        <f>IF(AND(DC72&gt;0.2,DC72&lt;=0.4),CONCATENATE("Horizons histiques (tourbe) minces et/ou décomposés."),"")</f>
        <v/>
      </c>
      <c r="DR72" s="241" t="str">
        <f>IF(AND(DC72&gt;0.4,DC72&lt;=0.6),CONCATENATE("Horizons histiques (tourbe) assez minces et/ou assez décomposés."),"")</f>
        <v/>
      </c>
      <c r="DS72" s="241" t="str">
        <f>IF(AND(DC72&gt;0.6,DC72&lt;=0.8),CONCATENATE("Horizons histiques (tourbe) épais et/ou peu décomposés."),"")</f>
        <v/>
      </c>
      <c r="DT72" s="241" t="str">
        <f>(IF(AND(DC72&gt;0.8,DC72&lt;=1),CONCATENATE("Horizons histiques (tourbe) très épais et/ou très peu décomposés."),""))</f>
        <v/>
      </c>
      <c r="DU72" s="218" t="str">
        <f>IF(LEN('Eval-Avant action écologique'!$T$107)=0,"",IF('Eval-Avant action écologique'!$T$107=0,"",IF(DC72="","Horizon histique enfoui (tourbe) non renseigné dans tout le site.","")))</f>
        <v/>
      </c>
      <c r="DV72" s="243" t="str">
        <f>DC72</f>
        <v/>
      </c>
      <c r="DW72" s="244" t="str">
        <f>DM72</f>
        <v/>
      </c>
      <c r="DX72" s="245"/>
      <c r="DY72" s="1133"/>
      <c r="DZ72" s="234" t="s">
        <v>422</v>
      </c>
      <c r="EA72" s="235" t="s">
        <v>147</v>
      </c>
      <c r="EB72" s="236"/>
      <c r="EC72" s="237"/>
      <c r="ED72" s="237"/>
      <c r="EE72" s="237"/>
      <c r="EF72" s="237"/>
      <c r="EG72" s="237"/>
      <c r="EH72" s="237"/>
      <c r="EI72" s="238" t="str">
        <f>IF(LEN('Eval-Avec act. écol. envisagée'!$T$107)=0,"",IF('Eval-Avec act. écol. envisagée'!$T$107=0,0,IF(AND(DZ24=0,DZ31=""),IF(COUNTIF(EL9:EN9,"&gt;0")=0,0,((EL9/120)+(EM9/120)*0.55+(EN9/120)*0.1)*(DZ9*0.01))+IF(COUNTIF(EL10:EN10,"&gt;0")=0,0,((EL10/120)+(EM10/120)*0.55+(EN10/120)*0.1)*(DZ10*0.01))+IF(COUNTIF(EL11:EN11,"&gt;0")=0,0,((EL11/120)+(EM11/120)*0.55+(EN11/120)*0.1)*(DZ11*0.01))+IF(COUNTIF(EL12:EN12,"&gt;0")=0,0,((EL12/120)+(EM12/120)*0.55+(EN12/120)*0.1)*(DZ12*0.01))+IF(COUNTIF(EL13:EN13,"&gt;0")=0,0,((EL13/120)+(EM13/120)*0.55+(EN13/120)*0.1)*(DZ13*0.01))+IF(COUNTIF(EL14:EN14,"&gt;0")=0,0,((EL14/120)+(EM14/120)*0.55+(EN14/120)*0.1)*(DZ14*0.01))+IF(COUNTIF(EL15:EN15,"&gt;0")=0,0,((EL15/120)+(EM15/120)*0.55+(EN15/120)*0.1)*(DZ15*0.01))+IF(COUNTIF(EL16:EN16,"&gt;0")=0,0,((EL16/120)+(EM16/120)*0.55+(EN16/120)*0.1)*(DZ16*0.01))+IF(COUNTIF(EL17:EN17,"&gt;0")=0,0,((EL17/120)+(EM17/120)*0.55+(EN17/120)*0.1)*(DZ17*0.01))+IF(COUNTIF(EL18:EN18,"&gt;0")=0,0,((EL18/120)+(EM18/120)*0.55+(EN18/120)*0.1)*(DZ18*0.01))+IF(COUNTIF(EL19:EN19,"&gt;0")=0,0,((EL19/120)+(EM19/120)*0.55+(EN19/120)*0.1)*(DZ19*0.01))+IF(COUNTIF(EL20:EN20,"&gt;0")=0,0,((EL20/120)+(EM20/120)*0.55+(EN20/120)*0.1)*(DZ20*0.01))+IF(COUNTIF(EL21:EN21,"&gt;0")=0,0,((EL21/120)+(EM21/120)*0.55+(EN21/120)*0.1)*(DZ21*0.01))+IF(COUNTIF(EL22:EN22,"&gt;0")=0,0,((EL22/120)+(EM22/120)*0.55+(EN22/120)*0.1)*(DZ22*0.01))+IF(COUNTIF(EL23:EN23,"&gt;0")=0,0,((EL23/120)+(EM23/120)*0.55+(EN23/120)*0.1)*(DZ23*0.01)),"")))</f>
        <v/>
      </c>
      <c r="EJ72" s="237"/>
      <c r="EK72" s="239"/>
      <c r="EL72" s="236"/>
      <c r="EM72" s="237"/>
      <c r="EN72" s="237"/>
      <c r="EO72" s="237"/>
      <c r="EP72" s="237"/>
      <c r="EQ72" s="237"/>
      <c r="ER72" s="237"/>
      <c r="ES72" s="238" t="str">
        <f>IF(EI72="","",EI72*'Eval-Avec act. écol. envisagée'!$T$107)</f>
        <v/>
      </c>
      <c r="ET72" s="237"/>
      <c r="EU72" s="239"/>
      <c r="EV72" s="240" t="str">
        <f>IF(LEN('Eval-Avec act. écol. envisagée'!$T$107)=0,"",IF('Eval-Avec act. écol. envisagée'!$T$107=0,"Site détruit (0 ha).",CONCATENATE(IF(EI72=0,"Absence d'horizon histique (tourbe).",""),(IF(AND(EI72&gt;0,EI72&lt;=0.2),CONCATENATE("Horizons histiques (tourbe) très minces et/ou très décomposés."),"")))))</f>
        <v/>
      </c>
      <c r="EW72" s="241" t="str">
        <f>IF(AND(EI72&gt;0.2,EI72&lt;=0.4),CONCATENATE("Horizons histiques (tourbe) minces et/ou décomposés."),"")</f>
        <v/>
      </c>
      <c r="EX72" s="241" t="str">
        <f>IF(AND(EI72&gt;0.4,EI72&lt;=0.6),CONCATENATE("Horizons histiques (tourbe) assez minces et/ou assez décomposés."),"")</f>
        <v/>
      </c>
      <c r="EY72" s="241" t="str">
        <f>IF(AND(EI72&gt;0.6,EI72&lt;=0.8),CONCATENATE("Horizons histiques (tourbe) épais et/ou peu décomposés."),"")</f>
        <v/>
      </c>
      <c r="EZ72" s="241" t="str">
        <f>(IF(AND(EI72&gt;0.8,EI72&lt;=1),CONCATENATE("Horizons histiques (tourbe) très épais et/ou très peu décomposés."),""))</f>
        <v/>
      </c>
      <c r="FA72" s="218" t="str">
        <f>IF(LEN('Eval-Avec act. écol. envisagée'!$T$107)=0,"",IF('Eval-Avec act. écol. envisagée'!$T$107=0,"",IF(EI72="","Horizon histique enfoui (tourbe) non renseigné dans tout le site.","")))</f>
        <v/>
      </c>
      <c r="FB72" s="243" t="str">
        <f>EI72</f>
        <v/>
      </c>
      <c r="FC72" s="244" t="str">
        <f>ES72</f>
        <v/>
      </c>
      <c r="FD72" s="245"/>
      <c r="FE72" s="1133"/>
      <c r="FF72" s="234" t="s">
        <v>422</v>
      </c>
      <c r="FG72" s="235" t="s">
        <v>147</v>
      </c>
      <c r="FH72" s="236"/>
      <c r="FI72" s="237"/>
      <c r="FJ72" s="237"/>
      <c r="FK72" s="237"/>
      <c r="FL72" s="237"/>
      <c r="FM72" s="237"/>
      <c r="FN72" s="237"/>
      <c r="FO72" s="238" t="str">
        <f>IF(LEN('Eval-Après action écologique'!$T$107)=0,"",IF('Eval-Après action écologique'!$T$107=0,0,IF(AND(FF24=0,FF31=""),IF(COUNTIF(FR9:FT9,"&gt;0")=0,0,((FR9/120)+(FS9/120)*0.55+(FT9/120)*0.1)*(FF9*0.01))+IF(COUNTIF(FR10:FT10,"&gt;0")=0,0,((FR10/120)+(FS10/120)*0.55+(FT10/120)*0.1)*(FF10*0.01))+IF(COUNTIF(FR11:FT11,"&gt;0")=0,0,((FR11/120)+(FS11/120)*0.55+(FT11/120)*0.1)*(FF11*0.01))+IF(COUNTIF(FR12:FT12,"&gt;0")=0,0,((FR12/120)+(FS12/120)*0.55+(FT12/120)*0.1)*(FF12*0.01))+IF(COUNTIF(FR13:FT13,"&gt;0")=0,0,((FR13/120)+(FS13/120)*0.55+(FT13/120)*0.1)*(FF13*0.01))+IF(COUNTIF(FR14:FT14,"&gt;0")=0,0,((FR14/120)+(FS14/120)*0.55+(FT14/120)*0.1)*(FF14*0.01))+IF(COUNTIF(FR15:FT15,"&gt;0")=0,0,((FR15/120)+(FS15/120)*0.55+(FT15/120)*0.1)*(FF15*0.01))+IF(COUNTIF(FR16:FT16,"&gt;0")=0,0,((FR16/120)+(FS16/120)*0.55+(FT16/120)*0.1)*(FF16*0.01))+IF(COUNTIF(FR17:FT17,"&gt;0")=0,0,((FR17/120)+(FS17/120)*0.55+(FT17/120)*0.1)*(FF17*0.01))+IF(COUNTIF(FR18:FT18,"&gt;0")=0,0,((FR18/120)+(FS18/120)*0.55+(FT18/120)*0.1)*(FF18*0.01))+IF(COUNTIF(FR19:FT19,"&gt;0")=0,0,((FR19/120)+(FS19/120)*0.55+(FT19/120)*0.1)*(FF19*0.01))+IF(COUNTIF(FR20:FT20,"&gt;0")=0,0,((FR20/120)+(FS20/120)*0.55+(FT20/120)*0.1)*(FF20*0.01))+IF(COUNTIF(FR21:FT21,"&gt;0")=0,0,((FR21/120)+(FS21/120)*0.55+(FT21/120)*0.1)*(FF21*0.01))+IF(COUNTIF(FR22:FT22,"&gt;0")=0,0,((FR22/120)+(FS22/120)*0.55+(FT22/120)*0.1)*(FF22*0.01))+IF(COUNTIF(FR23:FT23,"&gt;0")=0,0,((FR23/120)+(FS23/120)*0.55+(FT23/120)*0.1)*(FF23*0.01)),"")))</f>
        <v/>
      </c>
      <c r="FP72" s="237"/>
      <c r="FQ72" s="239"/>
      <c r="FR72" s="236"/>
      <c r="FS72" s="237"/>
      <c r="FT72" s="237"/>
      <c r="FU72" s="237"/>
      <c r="FV72" s="237"/>
      <c r="FW72" s="237"/>
      <c r="FX72" s="237"/>
      <c r="FY72" s="238" t="str">
        <f>IF(FO72="","",FO72*'Eval-Après action écologique'!$T$107)</f>
        <v/>
      </c>
      <c r="FZ72" s="237"/>
      <c r="GA72" s="239"/>
      <c r="GB72" s="240" t="str">
        <f>IF(LEN('Eval-Après action écologique'!$T$107)=0,"",IF('Eval-Après action écologique'!$T$107=0,"Site détruit (0 ha).",CONCATENATE(IF(FO72=0,"Absence d'horizon histique (tourbe).",""),(IF(AND(FO72&gt;0,FO72&lt;=0.2),CONCATENATE("Horizons histiques (tourbe) très minces et/ou très décomposés."),"")))))</f>
        <v/>
      </c>
      <c r="GC72" s="241" t="str">
        <f>IF(AND(FO72&gt;0.2,FO72&lt;=0.4),CONCATENATE("Horizons histiques (tourbe) minces et/ou décomposés."),"")</f>
        <v/>
      </c>
      <c r="GD72" s="241" t="str">
        <f>IF(AND(FO72&gt;0.4,FO72&lt;=0.6),CONCATENATE("Horizons histiques (tourbe) assez minces et/ou assez décomposés."),"")</f>
        <v/>
      </c>
      <c r="GE72" s="241" t="str">
        <f>IF(AND(FO72&gt;0.6,FO72&lt;=0.8),CONCATENATE("Horizons histiques (tourbe) épais et/ou peu décomposés."),"")</f>
        <v/>
      </c>
      <c r="GF72" s="241" t="str">
        <f>(IF(AND(FO72&gt;0.8,FO72&lt;=1),CONCATENATE("Horizons histiques (tourbe) très épais et/ou très peu décomposés."),""))</f>
        <v/>
      </c>
      <c r="GG72" s="218" t="str">
        <f>IF(LEN('Eval-Après action écologique'!$T$107)=0,"",IF('Eval-Après action écologique'!$T$107=0,"",IF(FO72="","Horizon histique enfoui (tourbe) non renseigné dans tout le site.","")))</f>
        <v/>
      </c>
      <c r="GH72" s="243" t="str">
        <f>FO72</f>
        <v/>
      </c>
      <c r="GI72" s="244" t="str">
        <f>FY72</f>
        <v/>
      </c>
    </row>
    <row r="73" spans="1:191" ht="31.5" customHeight="1" x14ac:dyDescent="0.2">
      <c r="A73" s="1133"/>
      <c r="B73" s="1135" t="s">
        <v>198</v>
      </c>
      <c r="C73" s="235" t="s">
        <v>425</v>
      </c>
      <c r="D73" s="236"/>
      <c r="E73" s="237"/>
      <c r="F73" s="238" t="str">
        <f>IF(LEN('Eval-Avant impact'!$T$107)=0,"",IF('Eval-Avant impact'!$T$107=0,0,IF(OR(B24&gt;0,B32&lt;100),"",SUM(IF(S9&lt;&gt;"",S9*0.01*B9,0),IF(S10&lt;&gt;"",S10*0.01*B10,0),IF(S11&lt;&gt;"",S11*0.01*B11,0),IF(S12&lt;&gt;"",S12*0.01*B12,0),IF(S13&lt;&gt;"",S13*0.01*B13,0),IF(S14&lt;&gt;"",S14*0.01*B14,0),IF(S15&lt;&gt;"",S15*0.01*B15,0),IF(S16&lt;&gt;"",S16*0.01*B16,0),IF(S17&lt;&gt;"",S17*0.01*B17,0),IF(S18&lt;&gt;"",S18*0.01*B18,0),IF(S19&lt;&gt;"",S19*0.01*B19,0),IF(S20&lt;&gt;"",S20*0.01*B20,0),IF(S21&lt;&gt;"",S21*0.01*B21,0),IF(S22&lt;&gt;"",S22*0.01*B22,0),IF(S23&lt;&gt;"",S23*0.01*B23,0)))))</f>
        <v/>
      </c>
      <c r="G73" s="237"/>
      <c r="H73" s="237"/>
      <c r="I73" s="237"/>
      <c r="J73" s="237"/>
      <c r="K73" s="237"/>
      <c r="L73" s="237"/>
      <c r="M73" s="239"/>
      <c r="N73" s="236"/>
      <c r="O73" s="237"/>
      <c r="P73" s="238" t="str">
        <f>IF(F73="","",F73*'Eval-Avant impact'!$T$107)</f>
        <v/>
      </c>
      <c r="Q73" s="237"/>
      <c r="R73" s="237"/>
      <c r="S73" s="237"/>
      <c r="T73" s="237"/>
      <c r="U73" s="237"/>
      <c r="V73" s="237"/>
      <c r="W73" s="239"/>
      <c r="X73" s="240" t="str">
        <f>IF(LEN('Eval-Avant impact'!$T$107)=0,"",IF('Eval-Avant impact'!$T$107=0,"Site détruit (0 ha).",IF(AND(F73&gt;=0,F73&lt;=0.2),"Granulomètrie majoritairement limoneuse.","")))</f>
        <v/>
      </c>
      <c r="Y73" s="241" t="str">
        <f>IF(AND(F73&gt;0.2,F73&lt;=0.4),"Granulométrie intermédiaire.","")</f>
        <v/>
      </c>
      <c r="Z73" s="241" t="str">
        <f>IF(AND(F73&gt;0.4,F73&lt;=0.6),"Granulométrie intermédiaire.","")</f>
        <v/>
      </c>
      <c r="AA73" s="241" t="str">
        <f>IF(AND(F73&gt;0.6,F73&lt;=0.8),"Granulométrie intermédiaire.","")</f>
        <v/>
      </c>
      <c r="AB73" s="241" t="str">
        <f>IF(AND(F73&gt;=0.8,F73&lt;=1),"Granulométrie très grossière et/ou très fine.","")</f>
        <v/>
      </c>
      <c r="AC73" s="218" t="str">
        <f>IF(LEN('Eval-Avant impact'!$T$107)=0,"",IF('Eval-Avant impact'!$T$107=0,"",IF(F73="","Texture en surface non renseignée dans tout le site.","")))</f>
        <v/>
      </c>
      <c r="AD73" s="243" t="str">
        <f>F73</f>
        <v/>
      </c>
      <c r="AE73" s="244" t="str">
        <f>P73</f>
        <v/>
      </c>
      <c r="AF73" s="245"/>
      <c r="AG73" s="1133"/>
      <c r="AH73" s="1135" t="s">
        <v>198</v>
      </c>
      <c r="AI73" s="235" t="s">
        <v>425</v>
      </c>
      <c r="AJ73" s="236"/>
      <c r="AK73" s="237"/>
      <c r="AL73" s="238" t="str">
        <f>IF(LEN('Eval-Avec impact envisagé'!$T$107)=0,"",IF('Eval-Avec impact envisagé'!$T$107=0,0,IF(OR(AH24&gt;0,AH32&lt;100),"",SUM(IF(AY9&lt;&gt;"",AY9*0.01*AH9,0),IF(AY10&lt;&gt;"",AY10*0.01*AH10,0),IF(AY11&lt;&gt;"",AY11*0.01*AH11,0),IF(AY12&lt;&gt;"",AY12*0.01*AH12,0),IF(AY13&lt;&gt;"",AY13*0.01*AH13,0),IF(AY14&lt;&gt;"",AY14*0.01*AH14,0),IF(AY15&lt;&gt;"",AY15*0.01*AH15,0),IF(AY16&lt;&gt;"",AY16*0.01*AH16,0),IF(AY17&lt;&gt;"",AY17*0.01*AH17,0),IF(AY18&lt;&gt;"",AY18*0.01*AH18,0),IF(AY19&lt;&gt;"",AY19*0.01*AH19,0),IF(AY20&lt;&gt;"",AY20*0.01*AH20,0),IF(AY21&lt;&gt;"",AY21*0.01*AH21,0),IF(AY22&lt;&gt;"",AY22*0.01*AH22,0),IF(AY23&lt;&gt;"",AY23*0.01*AH23,0)))))</f>
        <v/>
      </c>
      <c r="AM73" s="237"/>
      <c r="AN73" s="237"/>
      <c r="AO73" s="237"/>
      <c r="AP73" s="237"/>
      <c r="AQ73" s="237"/>
      <c r="AR73" s="237"/>
      <c r="AS73" s="239"/>
      <c r="AT73" s="236"/>
      <c r="AU73" s="237"/>
      <c r="AV73" s="238" t="str">
        <f>IF(AL73="","",AL73*'Eval-Avec impact envisagé'!$T$107)</f>
        <v/>
      </c>
      <c r="AW73" s="237"/>
      <c r="AX73" s="237"/>
      <c r="AY73" s="237"/>
      <c r="AZ73" s="237"/>
      <c r="BA73" s="237"/>
      <c r="BB73" s="237"/>
      <c r="BC73" s="239"/>
      <c r="BD73" s="240" t="str">
        <f>IF(LEN('Eval-Avec impact envisagé'!$T$107)=0,"",IF('Eval-Avec impact envisagé'!$T$107=0,"Site détruit (0 ha).",IF(AND(AL73&gt;=0,AL73&lt;=0.2),"Granulomètrie majoritairement limoneuse.","")))</f>
        <v/>
      </c>
      <c r="BE73" s="241" t="str">
        <f>IF(AND(AL73&gt;0.2,AL73&lt;=0.4),"Granulométrie intermédiaire.","")</f>
        <v/>
      </c>
      <c r="BF73" s="241" t="str">
        <f>IF(AND(AL73&gt;0.4,AL73&lt;=0.6),"Granulométrie intermédiaire.","")</f>
        <v/>
      </c>
      <c r="BG73" s="241" t="str">
        <f>IF(AND(AL73&gt;0.6,AL73&lt;=0.8),"Granulométrie intermédiaire.","")</f>
        <v/>
      </c>
      <c r="BH73" s="241" t="str">
        <f>IF(AND(AL73&gt;=0.8,AL73&lt;=1),"Granulométrie très grossière et/ou très fine.","")</f>
        <v/>
      </c>
      <c r="BI73" s="218" t="str">
        <f>IF(LEN('Eval-Avec impact envisagé'!$T$107)=0,"",IF('Eval-Avec impact envisagé'!$T$107=0,"",IF(AL73="","Texture en surface non renseignée dans tout le site.","")))</f>
        <v/>
      </c>
      <c r="BJ73" s="243" t="str">
        <f>AL73</f>
        <v/>
      </c>
      <c r="BK73" s="244" t="str">
        <f>AV73</f>
        <v/>
      </c>
      <c r="BL73" s="245"/>
      <c r="BM73" s="1133"/>
      <c r="BN73" s="1135" t="s">
        <v>198</v>
      </c>
      <c r="BO73" s="235" t="s">
        <v>425</v>
      </c>
      <c r="BP73" s="236"/>
      <c r="BQ73" s="237"/>
      <c r="BR73" s="238" t="str">
        <f>IF(LEN('Eval-Après impact'!$T$107)=0,"",IF('Eval-Après impact'!$T$107=0,0,IF(OR(BN24&gt;0,BN32&lt;100),"",SUM(IF(CE9&lt;&gt;"",CE9*0.01*BN9,0),IF(CE10&lt;&gt;"",CE10*0.01*BN10,0),IF(CE11&lt;&gt;"",CE11*0.01*BN11,0),IF(CE12&lt;&gt;"",CE12*0.01*BN12,0),IF(CE13&lt;&gt;"",CE13*0.01*BN13,0),IF(CE14&lt;&gt;"",CE14*0.01*BN14,0),IF(CE15&lt;&gt;"",CE15*0.01*BN15,0),IF(CE16&lt;&gt;"",CE16*0.01*BN16,0),IF(CE17&lt;&gt;"",CE17*0.01*BN17,0),IF(CE18&lt;&gt;"",CE18*0.01*BN18,0),IF(CE19&lt;&gt;"",CE19*0.01*BN19,0),IF(CE20&lt;&gt;"",CE20*0.01*BN20,0),IF(CE21&lt;&gt;"",CE21*0.01*BN21,0),IF(CE22&lt;&gt;"",CE22*0.01*BN22,0),IF(CE23&lt;&gt;"",CE23*0.01*BN23,0)))))</f>
        <v/>
      </c>
      <c r="BS73" s="237"/>
      <c r="BT73" s="237"/>
      <c r="BU73" s="237"/>
      <c r="BV73" s="237"/>
      <c r="BW73" s="237"/>
      <c r="BX73" s="237"/>
      <c r="BY73" s="239"/>
      <c r="BZ73" s="236"/>
      <c r="CA73" s="237"/>
      <c r="CB73" s="238" t="str">
        <f>IF(BR73="","",BR73*'Eval-Après impact'!$T$107)</f>
        <v/>
      </c>
      <c r="CC73" s="237"/>
      <c r="CD73" s="237"/>
      <c r="CE73" s="237"/>
      <c r="CF73" s="237"/>
      <c r="CG73" s="237"/>
      <c r="CH73" s="237"/>
      <c r="CI73" s="239"/>
      <c r="CJ73" s="240" t="str">
        <f>IF(LEN('Eval-Après impact'!$T$107)=0,"",IF('Eval-Après impact'!$T$107=0,"Site détruit (0 ha).",IF(AND(BR73&gt;=0,BR73&lt;=0.2),"Granulomètrie majoritairement limoneuse.","")))</f>
        <v/>
      </c>
      <c r="CK73" s="241" t="str">
        <f>IF(AND(BR73&gt;0.2,BR73&lt;=0.4),"Granulométrie intermédiaire.","")</f>
        <v/>
      </c>
      <c r="CL73" s="241" t="str">
        <f>IF(AND(BR73&gt;0.4,BR73&lt;=0.6),"Granulométrie intermédiaire.","")</f>
        <v/>
      </c>
      <c r="CM73" s="241" t="str">
        <f>IF(AND(BR73&gt;0.6,BR73&lt;=0.8),"Granulométrie intermédiaire.","")</f>
        <v/>
      </c>
      <c r="CN73" s="241" t="str">
        <f>IF(AND(BR73&gt;=0.8,BR73&lt;=1),"Granulométrie très grossière et/ou très fine.","")</f>
        <v/>
      </c>
      <c r="CO73" s="218" t="str">
        <f>IF(LEN('Eval-Après impact'!$T$107)=0,"",IF('Eval-Après impact'!$T$107=0,"",IF(BR73="","Texture en surface non renseignée dans tout le site.","")))</f>
        <v/>
      </c>
      <c r="CP73" s="243" t="str">
        <f>BR73</f>
        <v/>
      </c>
      <c r="CQ73" s="244" t="str">
        <f>CB73</f>
        <v/>
      </c>
      <c r="CR73" s="245"/>
      <c r="CS73" s="1133"/>
      <c r="CT73" s="1135" t="s">
        <v>198</v>
      </c>
      <c r="CU73" s="235" t="s">
        <v>425</v>
      </c>
      <c r="CV73" s="236"/>
      <c r="CW73" s="237"/>
      <c r="CX73" s="238" t="str">
        <f>IF(LEN('Eval-Avant action écologique'!$T$107)=0,"",IF('Eval-Avant action écologique'!$T$107=0,0,IF(OR(CT24&gt;0,CT32&lt;100),"",SUM(IF(DK9&lt;&gt;"",DK9*0.01*CT9,0),IF(DK10&lt;&gt;"",DK10*0.01*CT10,0),IF(DK11&lt;&gt;"",DK11*0.01*CT11,0),IF(DK12&lt;&gt;"",DK12*0.01*CT12,0),IF(DK13&lt;&gt;"",DK13*0.01*CT13,0),IF(DK14&lt;&gt;"",DK14*0.01*CT14,0),IF(DK15&lt;&gt;"",DK15*0.01*CT15,0),IF(DK16&lt;&gt;"",DK16*0.01*CT16,0),IF(DK17&lt;&gt;"",DK17*0.01*CT17,0),IF(DK18&lt;&gt;"",DK18*0.01*CT18,0),IF(DK19&lt;&gt;"",DK19*0.01*CT19,0),IF(DK20&lt;&gt;"",DK20*0.01*CT20,0),IF(DK21&lt;&gt;"",DK21*0.01*CT21,0),IF(DK22&lt;&gt;"",DK22*0.01*CT22,0),IF(DK23&lt;&gt;"",DK23*0.01*CT23,0)))))</f>
        <v/>
      </c>
      <c r="CY73" s="237"/>
      <c r="CZ73" s="237"/>
      <c r="DA73" s="237"/>
      <c r="DB73" s="237"/>
      <c r="DC73" s="237"/>
      <c r="DD73" s="237"/>
      <c r="DE73" s="239"/>
      <c r="DF73" s="236"/>
      <c r="DG73" s="237"/>
      <c r="DH73" s="238" t="str">
        <f>IF(CX73="","",CX73*'Eval-Avant action écologique'!$T$107)</f>
        <v/>
      </c>
      <c r="DI73" s="237"/>
      <c r="DJ73" s="237"/>
      <c r="DK73" s="237"/>
      <c r="DL73" s="237"/>
      <c r="DM73" s="237"/>
      <c r="DN73" s="237"/>
      <c r="DO73" s="239"/>
      <c r="DP73" s="240" t="str">
        <f>IF(LEN('Eval-Avant action écologique'!$T$107)=0,"",IF('Eval-Avant action écologique'!$T$107=0,"Site détruit (0 ha).",IF(AND(CX73&gt;=0,CX73&lt;=0.2),"Granulomètrie majoritairement limoneuse.","")))</f>
        <v/>
      </c>
      <c r="DQ73" s="241" t="str">
        <f>IF(AND(CX73&gt;0.2,CX73&lt;=0.4),"Granulométrie intermédiaire.","")</f>
        <v/>
      </c>
      <c r="DR73" s="241" t="str">
        <f>IF(AND(CX73&gt;0.4,CX73&lt;=0.6),"Granulométrie intermédiaire.","")</f>
        <v/>
      </c>
      <c r="DS73" s="241" t="str">
        <f>IF(AND(CX73&gt;0.6,CX73&lt;=0.8),"Granulométrie intermédiaire.","")</f>
        <v/>
      </c>
      <c r="DT73" s="241" t="str">
        <f>IF(AND(CX73&gt;=0.8,CX73&lt;=1),"Granulométrie très grossière et/ou très fine.","")</f>
        <v/>
      </c>
      <c r="DU73" s="218" t="str">
        <f>IF(LEN('Eval-Avant action écologique'!$T$107)=0,"",IF('Eval-Avant action écologique'!$T$107=0,"",IF(CX73="","Texture en surface non renseignée dans tout le site.","")))</f>
        <v/>
      </c>
      <c r="DV73" s="243" t="str">
        <f>CX73</f>
        <v/>
      </c>
      <c r="DW73" s="244" t="str">
        <f>DH73</f>
        <v/>
      </c>
      <c r="DX73" s="245"/>
      <c r="DY73" s="1133"/>
      <c r="DZ73" s="1135" t="s">
        <v>198</v>
      </c>
      <c r="EA73" s="235" t="s">
        <v>425</v>
      </c>
      <c r="EB73" s="236"/>
      <c r="EC73" s="237"/>
      <c r="ED73" s="238" t="str">
        <f>IF(LEN('Eval-Avec act. écol. envisagée'!$T$107)=0,"",IF('Eval-Avec act. écol. envisagée'!$T$107=0,0,IF(OR(DZ24&gt;0,DZ32&lt;100),"",SUM(IF(EQ9&lt;&gt;"",EQ9*0.01*DZ9,0),IF(EQ10&lt;&gt;"",EQ10*0.01*DZ10,0),IF(EQ11&lt;&gt;"",EQ11*0.01*DZ11,0),IF(EQ12&lt;&gt;"",EQ12*0.01*DZ12,0),IF(EQ13&lt;&gt;"",EQ13*0.01*DZ13,0),IF(EQ14&lt;&gt;"",EQ14*0.01*DZ14,0),IF(EQ15&lt;&gt;"",EQ15*0.01*DZ15,0),IF(EQ16&lt;&gt;"",EQ16*0.01*DZ16,0),IF(EQ17&lt;&gt;"",EQ17*0.01*DZ17,0),IF(EQ18&lt;&gt;"",EQ18*0.01*DZ18,0),IF(EQ19&lt;&gt;"",EQ19*0.01*DZ19,0),IF(EQ20&lt;&gt;"",EQ20*0.01*DZ20,0),IF(EQ21&lt;&gt;"",EQ21*0.01*DZ21,0),IF(EQ22&lt;&gt;"",EQ22*0.01*DZ22,0),IF(EQ23&lt;&gt;"",EQ23*0.01*DZ23,0)))))</f>
        <v/>
      </c>
      <c r="EE73" s="237"/>
      <c r="EF73" s="237"/>
      <c r="EG73" s="237"/>
      <c r="EH73" s="237"/>
      <c r="EI73" s="237"/>
      <c r="EJ73" s="237"/>
      <c r="EK73" s="239"/>
      <c r="EL73" s="236"/>
      <c r="EM73" s="237"/>
      <c r="EN73" s="238" t="str">
        <f>IF(ED73="","",ED73*'Eval-Avec act. écol. envisagée'!$T$107)</f>
        <v/>
      </c>
      <c r="EO73" s="237"/>
      <c r="EP73" s="237"/>
      <c r="EQ73" s="237"/>
      <c r="ER73" s="237"/>
      <c r="ES73" s="237"/>
      <c r="ET73" s="237"/>
      <c r="EU73" s="239"/>
      <c r="EV73" s="240" t="str">
        <f>IF(LEN('Eval-Avec act. écol. envisagée'!$T$107)=0,"",IF('Eval-Avec act. écol. envisagée'!$T$107=0,"Site détruit (0 ha).",IF(AND(ED73&gt;=0,ED73&lt;=0.2),"Granulomètrie majoritairement limoneuse.","")))</f>
        <v/>
      </c>
      <c r="EW73" s="241" t="str">
        <f>IF(AND(ED73&gt;0.2,ED73&lt;=0.4),"Granulométrie intermédiaire.","")</f>
        <v/>
      </c>
      <c r="EX73" s="241" t="str">
        <f>IF(AND(ED73&gt;0.4,ED73&lt;=0.6),"Granulométrie intermédiaire.","")</f>
        <v/>
      </c>
      <c r="EY73" s="241" t="str">
        <f>IF(AND(ED73&gt;0.6,ED73&lt;=0.8),"Granulométrie intermédiaire.","")</f>
        <v/>
      </c>
      <c r="EZ73" s="241" t="str">
        <f>IF(AND(ED73&gt;=0.8,ED73&lt;=1),"Granulométrie très grossière et/ou très fine.","")</f>
        <v/>
      </c>
      <c r="FA73" s="218" t="str">
        <f>IF(LEN('Eval-Avec act. écol. envisagée'!$T$107)=0,"",IF('Eval-Avec act. écol. envisagée'!$T$107=0,"",IF(ED73="","Texture en surface non renseignée dans tout le site.","")))</f>
        <v/>
      </c>
      <c r="FB73" s="243" t="str">
        <f>ED73</f>
        <v/>
      </c>
      <c r="FC73" s="244" t="str">
        <f>EN73</f>
        <v/>
      </c>
      <c r="FD73" s="245"/>
      <c r="FE73" s="1133"/>
      <c r="FF73" s="1135" t="s">
        <v>198</v>
      </c>
      <c r="FG73" s="235" t="s">
        <v>425</v>
      </c>
      <c r="FH73" s="236"/>
      <c r="FI73" s="237"/>
      <c r="FJ73" s="238" t="str">
        <f>IF(LEN('Eval-Après action écologique'!$T$107)=0,"",IF('Eval-Après action écologique'!$T$107=0,0,IF(OR(FF24&gt;0,FF32&lt;100),"",SUM(IF(FW9&lt;&gt;"",FW9*0.01*FF9,0),IF(FW10&lt;&gt;"",FW10*0.01*FF10,0),IF(FW11&lt;&gt;"",FW11*0.01*FF11,0),IF(FW12&lt;&gt;"",FW12*0.01*FF12,0),IF(FW13&lt;&gt;"",FW13*0.01*FF13,0),IF(FW14&lt;&gt;"",FW14*0.01*FF14,0),IF(FW15&lt;&gt;"",FW15*0.01*FF15,0),IF(FW16&lt;&gt;"",FW16*0.01*FF16,0),IF(FW17&lt;&gt;"",FW17*0.01*FF17,0),IF(FW18&lt;&gt;"",FW18*0.01*FF18,0),IF(FW19&lt;&gt;"",FW19*0.01*FF19,0),IF(FW20&lt;&gt;"",FW20*0.01*FF20,0),IF(FW21&lt;&gt;"",FW21*0.01*FF21,0),IF(FW22&lt;&gt;"",FW22*0.01*FF22,0),IF(FW23&lt;&gt;"",FW23*0.01*FF23,0)))))</f>
        <v/>
      </c>
      <c r="FK73" s="237"/>
      <c r="FL73" s="237"/>
      <c r="FM73" s="237"/>
      <c r="FN73" s="237"/>
      <c r="FO73" s="237"/>
      <c r="FP73" s="237"/>
      <c r="FQ73" s="239"/>
      <c r="FR73" s="236"/>
      <c r="FS73" s="237"/>
      <c r="FT73" s="238" t="str">
        <f>IF(FJ73="","",FJ73*'Eval-Après action écologique'!$T$107)</f>
        <v/>
      </c>
      <c r="FU73" s="237"/>
      <c r="FV73" s="237"/>
      <c r="FW73" s="237"/>
      <c r="FX73" s="237"/>
      <c r="FY73" s="237"/>
      <c r="FZ73" s="237"/>
      <c r="GA73" s="239"/>
      <c r="GB73" s="240" t="str">
        <f>IF(LEN('Eval-Après action écologique'!$T$107)=0,"",IF('Eval-Après action écologique'!$T$107=0,"Site détruit (0 ha).",IF(AND(FJ73&gt;=0,FJ73&lt;=0.2),"Granulomètrie majoritairement limoneuse.","")))</f>
        <v/>
      </c>
      <c r="GC73" s="241" t="str">
        <f>IF(AND(FJ73&gt;0.2,FJ73&lt;=0.4),"Granulométrie intermédiaire.","")</f>
        <v/>
      </c>
      <c r="GD73" s="241" t="str">
        <f>IF(AND(FJ73&gt;0.4,FJ73&lt;=0.6),"Granulométrie intermédiaire.","")</f>
        <v/>
      </c>
      <c r="GE73" s="241" t="str">
        <f>IF(AND(FJ73&gt;0.6,FJ73&lt;=0.8),"Granulométrie intermédiaire.","")</f>
        <v/>
      </c>
      <c r="GF73" s="241" t="str">
        <f>IF(AND(FJ73&gt;=0.8,FJ73&lt;=1),"Granulométrie très grossière et/ou très fine.","")</f>
        <v/>
      </c>
      <c r="GG73" s="218" t="str">
        <f>IF(LEN('Eval-Après action écologique'!$T$107)=0,"",IF('Eval-Après action écologique'!$T$107=0,"",IF(FJ73="","Texture en surface non renseignée dans tout le site.","")))</f>
        <v/>
      </c>
      <c r="GH73" s="243" t="str">
        <f>FJ73</f>
        <v/>
      </c>
      <c r="GI73" s="244" t="str">
        <f>FT73</f>
        <v/>
      </c>
    </row>
    <row r="74" spans="1:191" ht="31.5" customHeight="1" x14ac:dyDescent="0.2">
      <c r="A74" s="1133"/>
      <c r="B74" s="1137"/>
      <c r="C74" s="235" t="s">
        <v>424</v>
      </c>
      <c r="D74" s="236"/>
      <c r="E74" s="237"/>
      <c r="F74" s="237"/>
      <c r="G74" s="238" t="str">
        <f>IF(LEN('Eval-Avant impact'!$T$107)=0,"",IF('Eval-Avant impact'!$T$107=0,0,IF(OR(B24&gt;0,B32&lt;100),"",SUM(IF(T9&lt;&gt;"",T9*B9*0.01,0),IF(T10&lt;&gt;"",T10*B10*0.01,0),IF(T11&lt;&gt;"",T11*B11*0.01,0),IF(T12&lt;&gt;"",T12*B12*0.01,0),IF(T13&lt;&gt;"",T13*B13*0.01,0),IF(T14&lt;&gt;"",T14*B14*0.01,0),IF(T15&lt;&gt;"",T15*B15*0.01,0),IF(T16&lt;&gt;"",T16*B16*0.01,0),IF(T17&lt;&gt;"",T17*B17*0.01,0),IF(T18&lt;&gt;"",T18*B18*0.01,0),IF(T19&lt;&gt;"",T19*B19*0.01,0),IF(T20&lt;&gt;"",T20*B20*0.01,0),IF(T21&lt;&gt;"",T21*B21*0.01,0),IF(T22&lt;&gt;"",T22*B22*0.01,0),IF(T23&lt;&gt;"",T23*B23*0.01,0)))))</f>
        <v/>
      </c>
      <c r="H74" s="237"/>
      <c r="I74" s="237"/>
      <c r="J74" s="237"/>
      <c r="K74" s="237"/>
      <c r="L74" s="237"/>
      <c r="M74" s="239"/>
      <c r="N74" s="236"/>
      <c r="O74" s="237"/>
      <c r="P74" s="237"/>
      <c r="Q74" s="238" t="str">
        <f>IF(G74="","",G74*'Eval-Avant impact'!$T$107)</f>
        <v/>
      </c>
      <c r="R74" s="237"/>
      <c r="S74" s="237"/>
      <c r="T74" s="237"/>
      <c r="U74" s="237"/>
      <c r="V74" s="237"/>
      <c r="W74" s="239"/>
      <c r="X74" s="240" t="str">
        <f>IF(LEN('Eval-Avant impact'!$T$107)=0,"",IF('Eval-Avant impact'!$T$107=0,"Site détruit (0 ha).",IF(AND(G74&gt;=0,G74&lt;=0.2),"Granulomètrie très grossière.","")))</f>
        <v/>
      </c>
      <c r="Y74" s="241" t="str">
        <f>IF(AND(G74&gt;0.2,G74&lt;=0.4),"Granulomètrie intermédiaire.","")</f>
        <v/>
      </c>
      <c r="Z74" s="241" t="str">
        <f>IF(AND(G74&gt;0.4,G74&lt;=0.6),"Granulomètrie intermédiaire.","")</f>
        <v/>
      </c>
      <c r="AA74" s="241" t="str">
        <f>IF(AND(G74&gt;0.6,G74&lt;=0.8),"Granulomètrie intermédiaire.","")</f>
        <v/>
      </c>
      <c r="AB74" s="241" t="str">
        <f>IF(AND(G74&gt;0.8,G74&lt;=1),"Granulomètrie très fine.","")</f>
        <v/>
      </c>
      <c r="AC74" s="218" t="str">
        <f>IF(LEN('Eval-Avant impact'!$T$107)=0,"",IF('Eval-Avant impact'!$T$107=0,"",IF(G74="","Texture en surface non renseignée dans tout le site.","")))</f>
        <v/>
      </c>
      <c r="AD74" s="243" t="str">
        <f>G74</f>
        <v/>
      </c>
      <c r="AE74" s="244" t="str">
        <f>Q74</f>
        <v/>
      </c>
      <c r="AF74" s="245"/>
      <c r="AG74" s="1133"/>
      <c r="AH74" s="1137"/>
      <c r="AI74" s="235" t="s">
        <v>424</v>
      </c>
      <c r="AJ74" s="236"/>
      <c r="AK74" s="237"/>
      <c r="AL74" s="237"/>
      <c r="AM74" s="238" t="str">
        <f>IF(LEN('Eval-Avec impact envisagé'!$T$107)=0,"",IF('Eval-Avec impact envisagé'!$T$107=0,0,IF(OR(AH24&gt;0,AH32&lt;100),"",SUM(IF(AZ9&lt;&gt;"",AZ9*AH9*0.01,0),IF(AZ10&lt;&gt;"",AZ10*AH10*0.01,0),IF(AZ11&lt;&gt;"",AZ11*AH11*0.01,0),IF(AZ12&lt;&gt;"",AZ12*AH12*0.01,0),IF(AZ13&lt;&gt;"",AZ13*AH13*0.01,0),IF(AZ14&lt;&gt;"",AZ14*AH14*0.01,0),IF(AZ15&lt;&gt;"",AZ15*AH15*0.01,0),IF(AZ16&lt;&gt;"",AZ16*AH16*0.01,0),IF(AZ17&lt;&gt;"",AZ17*AH17*0.01,0),IF(AZ18&lt;&gt;"",AZ18*AH18*0.01,0),IF(AZ19&lt;&gt;"",AZ19*AH19*0.01,0),IF(AZ20&lt;&gt;"",AZ20*AH20*0.01,0),IF(AZ21&lt;&gt;"",AZ21*AH21*0.01,0),IF(AZ22&lt;&gt;"",AZ22*AH22*0.01,0),IF(AZ23&lt;&gt;"",AZ23*AH23*0.01,0)))))</f>
        <v/>
      </c>
      <c r="AN74" s="237"/>
      <c r="AO74" s="237"/>
      <c r="AP74" s="237"/>
      <c r="AQ74" s="237"/>
      <c r="AR74" s="237"/>
      <c r="AS74" s="239"/>
      <c r="AT74" s="236"/>
      <c r="AU74" s="237"/>
      <c r="AV74" s="237"/>
      <c r="AW74" s="238" t="str">
        <f>IF(AM74="","",AM74*'Eval-Avec impact envisagé'!$T$107)</f>
        <v/>
      </c>
      <c r="AX74" s="237"/>
      <c r="AY74" s="237"/>
      <c r="AZ74" s="237"/>
      <c r="BA74" s="237"/>
      <c r="BB74" s="237"/>
      <c r="BC74" s="239"/>
      <c r="BD74" s="240" t="str">
        <f>IF(LEN('Eval-Avec impact envisagé'!$T$107)=0,"",IF('Eval-Avec impact envisagé'!$T$107=0,"Site détruit (0 ha).",IF(AND(AM74&gt;=0,AM74&lt;=0.2),"Granulomètrie très grossière.","")))</f>
        <v/>
      </c>
      <c r="BE74" s="241" t="str">
        <f>IF(AND(AM74&gt;0.2,AM74&lt;=0.4),"Granulomètrie intermédiaire.","")</f>
        <v/>
      </c>
      <c r="BF74" s="241" t="str">
        <f>IF(AND(AM74&gt;0.4,AM74&lt;=0.6),"Granulomètrie intermédiaire.","")</f>
        <v/>
      </c>
      <c r="BG74" s="241" t="str">
        <f>IF(AND(AM74&gt;0.6,AM74&lt;=0.8),"Granulomètrie intermédiaire.","")</f>
        <v/>
      </c>
      <c r="BH74" s="241" t="str">
        <f>IF(AND(AM74&gt;0.8,AM74&lt;=1),"Granulomètrie très fine.","")</f>
        <v/>
      </c>
      <c r="BI74" s="218" t="str">
        <f>IF(LEN('Eval-Avec impact envisagé'!$T$107)=0,"",IF('Eval-Avec impact envisagé'!$T$107=0,"",IF(AM74="","Texture en surface non renseignée dans tout le site.","")))</f>
        <v/>
      </c>
      <c r="BJ74" s="243" t="str">
        <f>AM74</f>
        <v/>
      </c>
      <c r="BK74" s="244" t="str">
        <f>AW74</f>
        <v/>
      </c>
      <c r="BL74" s="245"/>
      <c r="BM74" s="1133"/>
      <c r="BN74" s="1137"/>
      <c r="BO74" s="235" t="s">
        <v>424</v>
      </c>
      <c r="BP74" s="236"/>
      <c r="BQ74" s="237"/>
      <c r="BR74" s="237"/>
      <c r="BS74" s="238" t="str">
        <f>IF(LEN('Eval-Après impact'!$T$107)=0,"",IF('Eval-Après impact'!$T$107=0,0,IF(OR(BN24&gt;0,BN32&lt;100),"",SUM(IF(CF9&lt;&gt;"",CF9*BN9*0.01,0),IF(CF10&lt;&gt;"",CF10*BN10*0.01,0),IF(CF11&lt;&gt;"",CF11*BN11*0.01,0),IF(CF12&lt;&gt;"",CF12*BN12*0.01,0),IF(CF13&lt;&gt;"",CF13*BN13*0.01,0),IF(CF14&lt;&gt;"",CF14*BN14*0.01,0),IF(CF15&lt;&gt;"",CF15*BN15*0.01,0),IF(CF16&lt;&gt;"",CF16*BN16*0.01,0),IF(CF17&lt;&gt;"",CF17*BN17*0.01,0),IF(CF18&lt;&gt;"",CF18*BN18*0.01,0),IF(CF19&lt;&gt;"",CF19*BN19*0.01,0),IF(CF20&lt;&gt;"",CF20*BN20*0.01,0),IF(CF21&lt;&gt;"",CF21*BN21*0.01,0),IF(CF22&lt;&gt;"",CF22*BN22*0.01,0),IF(CF23&lt;&gt;"",CF23*BN23*0.01,0)))))</f>
        <v/>
      </c>
      <c r="BT74" s="237"/>
      <c r="BU74" s="237"/>
      <c r="BV74" s="237"/>
      <c r="BW74" s="237"/>
      <c r="BX74" s="237"/>
      <c r="BY74" s="239"/>
      <c r="BZ74" s="236"/>
      <c r="CA74" s="237"/>
      <c r="CB74" s="237"/>
      <c r="CC74" s="238" t="str">
        <f>IF(BS74="","",BS74*'Eval-Après impact'!$T$107)</f>
        <v/>
      </c>
      <c r="CD74" s="237"/>
      <c r="CE74" s="237"/>
      <c r="CF74" s="237"/>
      <c r="CG74" s="237"/>
      <c r="CH74" s="237"/>
      <c r="CI74" s="239"/>
      <c r="CJ74" s="240" t="str">
        <f>IF(LEN('Eval-Après impact'!$T$107)=0,"",IF('Eval-Après impact'!$T$107=0,"Site détruit (0 ha).",IF(AND(BS74&gt;=0,BS74&lt;=0.2),"Granulomètrie très grossière.","")))</f>
        <v/>
      </c>
      <c r="CK74" s="241" t="str">
        <f>IF(AND(BS74&gt;0.2,BS74&lt;=0.4),"Granulomètrie intermédiaire.","")</f>
        <v/>
      </c>
      <c r="CL74" s="241" t="str">
        <f>IF(AND(BS74&gt;0.4,BS74&lt;=0.6),"Granulomètrie intermédiaire.","")</f>
        <v/>
      </c>
      <c r="CM74" s="241" t="str">
        <f>IF(AND(BS74&gt;0.6,BS74&lt;=0.8),"Granulomètrie intermédiaire.","")</f>
        <v/>
      </c>
      <c r="CN74" s="241" t="str">
        <f>IF(AND(BS74&gt;0.8,BS74&lt;=1),"Granulomètrie très fine.","")</f>
        <v/>
      </c>
      <c r="CO74" s="218" t="str">
        <f>IF(LEN('Eval-Après impact'!$T$107)=0,"",IF('Eval-Après impact'!$T$107=0,"",IF(BS74="","Texture en surface non renseignée dans tout le site.","")))</f>
        <v/>
      </c>
      <c r="CP74" s="243" t="str">
        <f>BS74</f>
        <v/>
      </c>
      <c r="CQ74" s="244" t="str">
        <f>CC74</f>
        <v/>
      </c>
      <c r="CR74" s="245"/>
      <c r="CS74" s="1133"/>
      <c r="CT74" s="1137"/>
      <c r="CU74" s="235" t="s">
        <v>424</v>
      </c>
      <c r="CV74" s="236"/>
      <c r="CW74" s="237"/>
      <c r="CX74" s="237"/>
      <c r="CY74" s="238" t="str">
        <f>IF(LEN('Eval-Avant action écologique'!$T$107)=0,"",IF('Eval-Avant action écologique'!$T$107=0,0,IF(OR(CT24&gt;0,CT32&lt;100),"",SUM(IF(DL9&lt;&gt;"",DL9*CT9*0.01,0),IF(DL10&lt;&gt;"",DL10*CT10*0.01,0),IF(DL11&lt;&gt;"",DL11*CT11*0.01,0),IF(DL12&lt;&gt;"",DL12*CT12*0.01,0),IF(DL13&lt;&gt;"",DL13*CT13*0.01,0),IF(DL14&lt;&gt;"",DL14*CT14*0.01,0),IF(DL15&lt;&gt;"",DL15*CT15*0.01,0),IF(DL16&lt;&gt;"",DL16*CT16*0.01,0),IF(DL17&lt;&gt;"",DL17*CT17*0.01,0),IF(DL18&lt;&gt;"",DL18*CT18*0.01,0),IF(DL19&lt;&gt;"",DL19*CT19*0.01,0),IF(DL20&lt;&gt;"",DL20*CT20*0.01,0),IF(DL21&lt;&gt;"",DL21*CT21*0.01,0),IF(DL22&lt;&gt;"",DL22*CT22*0.01,0),IF(DL23&lt;&gt;"",DL23*CT23*0.01,0)))))</f>
        <v/>
      </c>
      <c r="CZ74" s="237"/>
      <c r="DA74" s="237"/>
      <c r="DB74" s="237"/>
      <c r="DC74" s="237"/>
      <c r="DD74" s="237"/>
      <c r="DE74" s="239"/>
      <c r="DF74" s="236"/>
      <c r="DG74" s="237"/>
      <c r="DH74" s="237"/>
      <c r="DI74" s="238" t="str">
        <f>IF(CY74="","",CY74*'Eval-Avant action écologique'!$T$107)</f>
        <v/>
      </c>
      <c r="DJ74" s="237"/>
      <c r="DK74" s="237"/>
      <c r="DL74" s="237"/>
      <c r="DM74" s="237"/>
      <c r="DN74" s="237"/>
      <c r="DO74" s="239"/>
      <c r="DP74" s="240" t="str">
        <f>IF(LEN('Eval-Avant action écologique'!$T$107)=0,"",IF('Eval-Avant action écologique'!$T$107=0,"Site détruit (0 ha).",IF(AND(CY74&gt;=0,CY74&lt;=0.2),"Granulomètrie très grossière.","")))</f>
        <v/>
      </c>
      <c r="DQ74" s="241" t="str">
        <f>IF(AND(CY74&gt;0.2,CY74&lt;=0.4),"Granulomètrie intermédiaire.","")</f>
        <v/>
      </c>
      <c r="DR74" s="241" t="str">
        <f>IF(AND(CY74&gt;0.4,CY74&lt;=0.6),"Granulomètrie intermédiaire.","")</f>
        <v/>
      </c>
      <c r="DS74" s="241" t="str">
        <f>IF(AND(CY74&gt;0.6,CY74&lt;=0.8),"Granulomètrie intermédiaire.","")</f>
        <v/>
      </c>
      <c r="DT74" s="241" t="str">
        <f>IF(AND(CY74&gt;0.8,CY74&lt;=1),"Granulomètrie très fine.","")</f>
        <v/>
      </c>
      <c r="DU74" s="218" t="str">
        <f>IF(LEN('Eval-Avant action écologique'!$T$107)=0,"",IF('Eval-Avant action écologique'!$T$107=0,"",IF(CY74="","Texture en surface non renseignée dans tout le site.","")))</f>
        <v/>
      </c>
      <c r="DV74" s="243" t="str">
        <f>CY74</f>
        <v/>
      </c>
      <c r="DW74" s="244" t="str">
        <f>DI74</f>
        <v/>
      </c>
      <c r="DX74" s="245"/>
      <c r="DY74" s="1133"/>
      <c r="DZ74" s="1137"/>
      <c r="EA74" s="235" t="s">
        <v>424</v>
      </c>
      <c r="EB74" s="236"/>
      <c r="EC74" s="237"/>
      <c r="ED74" s="237"/>
      <c r="EE74" s="238" t="str">
        <f>IF(LEN('Eval-Avec act. écol. envisagée'!$T$107)=0,"",IF('Eval-Avec act. écol. envisagée'!$T$107=0,0,IF(OR(DZ24&gt;0,DZ32&lt;100),"",SUM(IF(ER9&lt;&gt;"",ER9*DZ9*0.01,0),IF(ER10&lt;&gt;"",ER10*DZ10*0.01,0),IF(ER11&lt;&gt;"",ER11*DZ11*0.01,0),IF(ER12&lt;&gt;"",ER12*DZ12*0.01,0),IF(ER13&lt;&gt;"",ER13*DZ13*0.01,0),IF(ER14&lt;&gt;"",ER14*DZ14*0.01,0),IF(ER15&lt;&gt;"",ER15*DZ15*0.01,0),IF(ER16&lt;&gt;"",ER16*DZ16*0.01,0),IF(ER17&lt;&gt;"",ER17*DZ17*0.01,0),IF(ER18&lt;&gt;"",ER18*DZ18*0.01,0),IF(ER19&lt;&gt;"",ER19*DZ19*0.01,0),IF(ER20&lt;&gt;"",ER20*DZ20*0.01,0),IF(ER21&lt;&gt;"",ER21*DZ21*0.01,0),IF(ER22&lt;&gt;"",ER22*DZ22*0.01,0),IF(ER23&lt;&gt;"",ER23*DZ23*0.01,0)))))</f>
        <v/>
      </c>
      <c r="EF74" s="237"/>
      <c r="EG74" s="237"/>
      <c r="EH74" s="237"/>
      <c r="EI74" s="237"/>
      <c r="EJ74" s="237"/>
      <c r="EK74" s="239"/>
      <c r="EL74" s="236"/>
      <c r="EM74" s="237"/>
      <c r="EN74" s="237"/>
      <c r="EO74" s="238" t="str">
        <f>IF(EE74="","",EE74*'Eval-Avec act. écol. envisagée'!$T$107)</f>
        <v/>
      </c>
      <c r="EP74" s="237"/>
      <c r="EQ74" s="237"/>
      <c r="ER74" s="237"/>
      <c r="ES74" s="237"/>
      <c r="ET74" s="237"/>
      <c r="EU74" s="239"/>
      <c r="EV74" s="240" t="str">
        <f>IF(LEN('Eval-Avec act. écol. envisagée'!$T$107)=0,"",IF('Eval-Avec act. écol. envisagée'!$T$107=0,"Site détruit (0 ha).",IF(AND(EE74&gt;=0,EE74&lt;=0.2),"Granulomètrie très grossière.","")))</f>
        <v/>
      </c>
      <c r="EW74" s="241" t="str">
        <f>IF(AND(EE74&gt;0.2,EE74&lt;=0.4),"Granulomètrie intermédiaire.","")</f>
        <v/>
      </c>
      <c r="EX74" s="241" t="str">
        <f>IF(AND(EE74&gt;0.4,EE74&lt;=0.6),"Granulomètrie intermédiaire.","")</f>
        <v/>
      </c>
      <c r="EY74" s="241" t="str">
        <f>IF(AND(EE74&gt;0.6,EE74&lt;=0.8),"Granulomètrie intermédiaire.","")</f>
        <v/>
      </c>
      <c r="EZ74" s="241" t="str">
        <f>IF(AND(EE74&gt;0.8,EE74&lt;=1),"Granulomètrie très fine.","")</f>
        <v/>
      </c>
      <c r="FA74" s="218" t="str">
        <f>IF(LEN('Eval-Avec act. écol. envisagée'!$T$107)=0,"",IF('Eval-Avec act. écol. envisagée'!$T$107=0,"",IF(EE74="","Texture en surface non renseignée dans tout le site.","")))</f>
        <v/>
      </c>
      <c r="FB74" s="243" t="str">
        <f>EE74</f>
        <v/>
      </c>
      <c r="FC74" s="244" t="str">
        <f>EO74</f>
        <v/>
      </c>
      <c r="FD74" s="245"/>
      <c r="FE74" s="1133"/>
      <c r="FF74" s="1137"/>
      <c r="FG74" s="235" t="s">
        <v>424</v>
      </c>
      <c r="FH74" s="236"/>
      <c r="FI74" s="237"/>
      <c r="FJ74" s="237"/>
      <c r="FK74" s="238" t="str">
        <f>IF(LEN('Eval-Après action écologique'!$T$107)=0,"",IF('Eval-Après action écologique'!$T$107=0,0,IF(OR(FF24&gt;0,FF32&lt;100),"",SUM(IF(FX9&lt;&gt;"",FX9*FF9*0.01,0),IF(FX10&lt;&gt;"",FX10*FF10*0.01,0),IF(FX11&lt;&gt;"",FX11*FF11*0.01,0),IF(FX12&lt;&gt;"",FX12*FF12*0.01,0),IF(FX13&lt;&gt;"",FX13*FF13*0.01,0),IF(FX14&lt;&gt;"",FX14*FF14*0.01,0),IF(FX15&lt;&gt;"",FX15*FF15*0.01,0),IF(FX16&lt;&gt;"",FX16*FF16*0.01,0),IF(FX17&lt;&gt;"",FX17*FF17*0.01,0),IF(FX18&lt;&gt;"",FX18*FF18*0.01,0),IF(FX19&lt;&gt;"",FX19*FF19*0.01,0),IF(FX20&lt;&gt;"",FX20*FF20*0.01,0),IF(FX21&lt;&gt;"",FX21*FF21*0.01,0),IF(FX22&lt;&gt;"",FX22*FF22*0.01,0),IF(FX23&lt;&gt;"",FX23*FF23*0.01,0)))))</f>
        <v/>
      </c>
      <c r="FL74" s="237"/>
      <c r="FM74" s="237"/>
      <c r="FN74" s="237"/>
      <c r="FO74" s="237"/>
      <c r="FP74" s="237"/>
      <c r="FQ74" s="239"/>
      <c r="FR74" s="236"/>
      <c r="FS74" s="237"/>
      <c r="FT74" s="237"/>
      <c r="FU74" s="238" t="str">
        <f>IF(FK74="","",FK74*'Eval-Après action écologique'!$T$107)</f>
        <v/>
      </c>
      <c r="FV74" s="237"/>
      <c r="FW74" s="237"/>
      <c r="FX74" s="237"/>
      <c r="FY74" s="237"/>
      <c r="FZ74" s="237"/>
      <c r="GA74" s="239"/>
      <c r="GB74" s="240" t="str">
        <f>IF(LEN('Eval-Après action écologique'!$T$107)=0,"",IF('Eval-Après action écologique'!$T$107=0,"Site détruit (0 ha).",IF(AND(FK74&gt;=0,FK74&lt;=0.2),"Granulomètrie très grossière.","")))</f>
        <v/>
      </c>
      <c r="GC74" s="241" t="str">
        <f>IF(AND(FK74&gt;0.2,FK74&lt;=0.4),"Granulomètrie intermédiaire.","")</f>
        <v/>
      </c>
      <c r="GD74" s="241" t="str">
        <f>IF(AND(FK74&gt;0.4,FK74&lt;=0.6),"Granulomètrie intermédiaire.","")</f>
        <v/>
      </c>
      <c r="GE74" s="241" t="str">
        <f>IF(AND(FK74&gt;0.6,FK74&lt;=0.8),"Granulomètrie intermédiaire.","")</f>
        <v/>
      </c>
      <c r="GF74" s="241" t="str">
        <f>IF(AND(FK74&gt;0.8,FK74&lt;=1),"Granulomètrie très fine.","")</f>
        <v/>
      </c>
      <c r="GG74" s="218" t="str">
        <f>IF(LEN('Eval-Après action écologique'!$T$107)=0,"",IF('Eval-Après action écologique'!$T$107=0,"",IF(FK74="","Texture en surface non renseignée dans tout le site.","")))</f>
        <v/>
      </c>
      <c r="GH74" s="243" t="str">
        <f>FK74</f>
        <v/>
      </c>
      <c r="GI74" s="244" t="str">
        <f>FU74</f>
        <v/>
      </c>
    </row>
    <row r="75" spans="1:191" ht="31.5" customHeight="1" x14ac:dyDescent="0.2">
      <c r="A75" s="1133"/>
      <c r="B75" s="234" t="s">
        <v>199</v>
      </c>
      <c r="C75" s="235" t="s">
        <v>423</v>
      </c>
      <c r="D75" s="236"/>
      <c r="E75" s="237"/>
      <c r="F75" s="237"/>
      <c r="G75" s="238" t="str">
        <f>IF(LEN('Eval-Avant impact'!$T$107)=0,"",IF('Eval-Avant impact'!$T$107=0,0,IF(OR(B24&gt;0,B35&lt;100),"",SUM(IF(U9&lt;&gt;"",U9*B9*0.01,0),IF(U10&lt;&gt;"",U10*B10*0.01,0),IF(U11&lt;&gt;"",U11*B11*0.01,0),IF(U12&lt;&gt;"",U12*B12*0.01,0),IF(U13&lt;&gt;"",U13*B13*0.01,0),IF(U14&lt;&gt;"",U14*B14*0.01,0),IF(U15&lt;&gt;"",U15*B15*0.01,0),IF(U16&lt;&gt;"",U16*B16*0.01,0),IF(U17&lt;&gt;"",U17*B17*0.01,0),IF(U18&lt;&gt;"",U18*B18*0.01,0),IF(U19&lt;&gt;"",U19*B19*0.01,0),IF(U20&lt;&gt;"",U20*B20*0.01,0),IF(U21&lt;&gt;"",U21*B21*0.01,0),IF(U22&lt;&gt;"",U22*B22*0.01,0),IF(U23&lt;&gt;"",U23*B23*0.01,0)))))</f>
        <v/>
      </c>
      <c r="H75" s="237"/>
      <c r="I75" s="237"/>
      <c r="J75" s="237"/>
      <c r="K75" s="237"/>
      <c r="L75" s="237"/>
      <c r="M75" s="239"/>
      <c r="N75" s="236"/>
      <c r="O75" s="237"/>
      <c r="P75" s="237"/>
      <c r="Q75" s="238" t="str">
        <f>IF(G75="","",G75*'Eval-Avant impact'!$T$107)</f>
        <v/>
      </c>
      <c r="R75" s="237"/>
      <c r="S75" s="237"/>
      <c r="T75" s="237"/>
      <c r="U75" s="237"/>
      <c r="V75" s="237"/>
      <c r="W75" s="239"/>
      <c r="X75" s="240" t="str">
        <f>IF(LEN('Eval-Avant impact'!$T$107)=0,"",IF('Eval-Avant impact'!$T$107=0,"Site détruit (0 ha).",IF(AND(G75&gt;=0,G75&lt;=0.2),"Granulomètrie très grossière.","")))</f>
        <v/>
      </c>
      <c r="Y75" s="241" t="str">
        <f>IF(AND(G75&gt;0.2,G75&lt;=0.4),"Granulomètrie intermédiaire.","")</f>
        <v/>
      </c>
      <c r="Z75" s="241" t="str">
        <f>IF(AND(G75&gt;0.4,G75&lt;=0.6),"Granulomètrie intermédiaire.","")</f>
        <v/>
      </c>
      <c r="AA75" s="241" t="str">
        <f>IF(AND(G75&gt;0.6,G75&lt;=0.8),"Granulomètrie intermédiaire.","")</f>
        <v/>
      </c>
      <c r="AB75" s="241" t="str">
        <f>IF(AND(G75&gt;0.8,G75&lt;=1),"Granulomètrie très fine.","")</f>
        <v/>
      </c>
      <c r="AC75" s="218" t="str">
        <f>IF(LEN('Eval-Avant impact'!$T$107)=0,"",IF('Eval-Avant impact'!$T$107=0,"",IF(G75="","Texture en profondeur non renseignée dans tout le site.","")))</f>
        <v/>
      </c>
      <c r="AD75" s="243" t="str">
        <f>G75</f>
        <v/>
      </c>
      <c r="AE75" s="244" t="str">
        <f>Q75</f>
        <v/>
      </c>
      <c r="AF75" s="245"/>
      <c r="AG75" s="1133"/>
      <c r="AH75" s="234" t="s">
        <v>199</v>
      </c>
      <c r="AI75" s="235" t="s">
        <v>423</v>
      </c>
      <c r="AJ75" s="236"/>
      <c r="AK75" s="237"/>
      <c r="AL75" s="237"/>
      <c r="AM75" s="238" t="str">
        <f>IF(LEN('Eval-Avec impact envisagé'!$T$107)=0,"",IF('Eval-Avec impact envisagé'!$T$107=0,0,IF(OR(AH24&gt;0,AH35&lt;100),"",SUM(IF(BA9&lt;&gt;"",BA9*AH9*0.01,0),IF(BA10&lt;&gt;"",BA10*AH10*0.01,0),IF(BA11&lt;&gt;"",BA11*AH11*0.01,0),IF(BA12&lt;&gt;"",BA12*AH12*0.01,0),IF(BA13&lt;&gt;"",BA13*AH13*0.01,0),IF(BA14&lt;&gt;"",BA14*AH14*0.01,0),IF(BA15&lt;&gt;"",BA15*AH15*0.01,0),IF(BA16&lt;&gt;"",BA16*AH16*0.01,0),IF(BA17&lt;&gt;"",BA17*AH17*0.01,0),IF(BA18&lt;&gt;"",BA18*AH18*0.01,0),IF(BA19&lt;&gt;"",BA19*AH19*0.01,0),IF(BA20&lt;&gt;"",BA20*AH20*0.01,0),IF(BA21&lt;&gt;"",BA21*AH21*0.01,0),IF(BA22&lt;&gt;"",BA22*AH22*0.01,0),IF(BA23&lt;&gt;"",BA23*AH23*0.01,0)))))</f>
        <v/>
      </c>
      <c r="AN75" s="237"/>
      <c r="AO75" s="237"/>
      <c r="AP75" s="237"/>
      <c r="AQ75" s="237"/>
      <c r="AR75" s="237"/>
      <c r="AS75" s="239"/>
      <c r="AT75" s="236"/>
      <c r="AU75" s="237"/>
      <c r="AV75" s="237"/>
      <c r="AW75" s="238" t="str">
        <f>IF(AM75="","",AM75*'Eval-Avec impact envisagé'!$T$107)</f>
        <v/>
      </c>
      <c r="AX75" s="237"/>
      <c r="AY75" s="237"/>
      <c r="AZ75" s="237"/>
      <c r="BA75" s="237"/>
      <c r="BB75" s="237"/>
      <c r="BC75" s="239"/>
      <c r="BD75" s="240" t="str">
        <f>IF(LEN('Eval-Avec impact envisagé'!$T$107)=0,"",IF('Eval-Avec impact envisagé'!$T$107=0,"Site détruit (0 ha).",IF(AND(AM75&gt;=0,AM75&lt;=0.2),"Granulomètrie très grossière.","")))</f>
        <v/>
      </c>
      <c r="BE75" s="241" t="str">
        <f>IF(AND(AM75&gt;0.2,AM75&lt;=0.4),"Granulomètrie intermédiaire.","")</f>
        <v/>
      </c>
      <c r="BF75" s="241" t="str">
        <f>IF(AND(AM75&gt;0.4,AM75&lt;=0.6),"Granulomètrie intermédiaire.","")</f>
        <v/>
      </c>
      <c r="BG75" s="241" t="str">
        <f>IF(AND(AM75&gt;0.6,AM75&lt;=0.8),"Granulomètrie intermédiaire.","")</f>
        <v/>
      </c>
      <c r="BH75" s="241" t="str">
        <f>IF(AND(AM75&gt;0.8,AM75&lt;=1),"Granulomètrie très fine.","")</f>
        <v/>
      </c>
      <c r="BI75" s="218" t="str">
        <f>IF(LEN('Eval-Avec impact envisagé'!$T$107)=0,"",IF('Eval-Avec impact envisagé'!$T$107=0,"",IF(AM75="","Texture en profondeur non renseignée dans tout le site.","")))</f>
        <v/>
      </c>
      <c r="BJ75" s="243" t="str">
        <f>AM75</f>
        <v/>
      </c>
      <c r="BK75" s="244" t="str">
        <f>AW75</f>
        <v/>
      </c>
      <c r="BL75" s="245"/>
      <c r="BM75" s="1133"/>
      <c r="BN75" s="234" t="s">
        <v>199</v>
      </c>
      <c r="BO75" s="235" t="s">
        <v>423</v>
      </c>
      <c r="BP75" s="236"/>
      <c r="BQ75" s="237"/>
      <c r="BR75" s="237"/>
      <c r="BS75" s="238" t="str">
        <f>IF(LEN('Eval-Après impact'!$T$107)=0,"",IF('Eval-Après impact'!$T$107=0,0,IF(OR(BN24&gt;0,BN35&lt;100),"",SUM(IF(CG9&lt;&gt;"",CG9*BN9*0.01,0),IF(CG10&lt;&gt;"",CG10*BN10*0.01,0),IF(CG11&lt;&gt;"",CG11*BN11*0.01,0),IF(CG12&lt;&gt;"",CG12*BN12*0.01,0),IF(CG13&lt;&gt;"",CG13*BN13*0.01,0),IF(CG14&lt;&gt;"",CG14*BN14*0.01,0),IF(CG15&lt;&gt;"",CG15*BN15*0.01,0),IF(CG16&lt;&gt;"",CG16*BN16*0.01,0),IF(CG17&lt;&gt;"",CG17*BN17*0.01,0),IF(CG18&lt;&gt;"",CG18*BN18*0.01,0),IF(CG19&lt;&gt;"",CG19*BN19*0.01,0),IF(CG20&lt;&gt;"",CG20*BN20*0.01,0),IF(CG21&lt;&gt;"",CG21*BN21*0.01,0),IF(CG22&lt;&gt;"",CG22*BN22*0.01,0),IF(CG23&lt;&gt;"",CG23*BN23*0.01,0)))))</f>
        <v/>
      </c>
      <c r="BT75" s="237"/>
      <c r="BU75" s="237"/>
      <c r="BV75" s="237"/>
      <c r="BW75" s="237"/>
      <c r="BX75" s="237"/>
      <c r="BY75" s="239"/>
      <c r="BZ75" s="236"/>
      <c r="CA75" s="237"/>
      <c r="CB75" s="237"/>
      <c r="CC75" s="238" t="str">
        <f>IF(BS75="","",BS75*'Eval-Après impact'!$T$107)</f>
        <v/>
      </c>
      <c r="CD75" s="237"/>
      <c r="CE75" s="237"/>
      <c r="CF75" s="237"/>
      <c r="CG75" s="237"/>
      <c r="CH75" s="237"/>
      <c r="CI75" s="239"/>
      <c r="CJ75" s="240" t="str">
        <f>IF(LEN('Eval-Après impact'!$T$107)=0,"",IF('Eval-Après impact'!$T$107=0,"Site détruit (0 ha).",IF(AND(BS75&gt;=0,BS75&lt;=0.2),"Granulomètrie très grossière.","")))</f>
        <v/>
      </c>
      <c r="CK75" s="241" t="str">
        <f>IF(AND(BS75&gt;0.2,BS75&lt;=0.4),"Granulomètrie intermédiaire.","")</f>
        <v/>
      </c>
      <c r="CL75" s="241" t="str">
        <f>IF(AND(BS75&gt;0.4,BS75&lt;=0.6),"Granulomètrie intermédiaire.","")</f>
        <v/>
      </c>
      <c r="CM75" s="241" t="str">
        <f>IF(AND(BS75&gt;0.6,BS75&lt;=0.8),"Granulomètrie intermédiaire.","")</f>
        <v/>
      </c>
      <c r="CN75" s="241" t="str">
        <f>IF(AND(BS75&gt;0.8,BS75&lt;=1),"Granulomètrie très fine.","")</f>
        <v/>
      </c>
      <c r="CO75" s="218" t="str">
        <f>IF(LEN('Eval-Après impact'!$T$107)=0,"",IF('Eval-Après impact'!$T$107=0,"",IF(BS75="","Texture en profondeur non renseignée dans tout le site.","")))</f>
        <v/>
      </c>
      <c r="CP75" s="243" t="str">
        <f>BS75</f>
        <v/>
      </c>
      <c r="CQ75" s="244" t="str">
        <f>CC75</f>
        <v/>
      </c>
      <c r="CR75" s="245"/>
      <c r="CS75" s="1133"/>
      <c r="CT75" s="234" t="s">
        <v>199</v>
      </c>
      <c r="CU75" s="235" t="s">
        <v>423</v>
      </c>
      <c r="CV75" s="236"/>
      <c r="CW75" s="237"/>
      <c r="CX75" s="237"/>
      <c r="CY75" s="238" t="str">
        <f>IF(LEN('Eval-Avant action écologique'!$T$107)=0,"",IF('Eval-Avant action écologique'!$T$107=0,0,IF(OR(CT24&gt;0,CT35&lt;100),"",SUM(IF(DM9&lt;&gt;"",DM9*CT9*0.01,0),IF(DM10&lt;&gt;"",DM10*CT10*0.01,0),IF(DM11&lt;&gt;"",DM11*CT11*0.01,0),IF(DM12&lt;&gt;"",DM12*CT12*0.01,0),IF(DM13&lt;&gt;"",DM13*CT13*0.01,0),IF(DM14&lt;&gt;"",DM14*CT14*0.01,0),IF(DM15&lt;&gt;"",DM15*CT15*0.01,0),IF(DM16&lt;&gt;"",DM16*CT16*0.01,0),IF(DM17&lt;&gt;"",DM17*CT17*0.01,0),IF(DM18&lt;&gt;"",DM18*CT18*0.01,0),IF(DM19&lt;&gt;"",DM19*CT19*0.01,0),IF(DM20&lt;&gt;"",DM20*CT20*0.01,0),IF(DM21&lt;&gt;"",DM21*CT21*0.01,0),IF(DM22&lt;&gt;"",DM22*CT22*0.01,0),IF(DM23&lt;&gt;"",DM23*CT23*0.01,0)))))</f>
        <v/>
      </c>
      <c r="CZ75" s="237"/>
      <c r="DA75" s="237"/>
      <c r="DB75" s="237"/>
      <c r="DC75" s="237"/>
      <c r="DD75" s="237"/>
      <c r="DE75" s="239"/>
      <c r="DF75" s="236"/>
      <c r="DG75" s="237"/>
      <c r="DH75" s="237"/>
      <c r="DI75" s="238" t="str">
        <f>IF(CY75="","",CY75*'Eval-Avant action écologique'!$T$107)</f>
        <v/>
      </c>
      <c r="DJ75" s="237"/>
      <c r="DK75" s="237"/>
      <c r="DL75" s="237"/>
      <c r="DM75" s="237"/>
      <c r="DN75" s="237"/>
      <c r="DO75" s="239"/>
      <c r="DP75" s="240" t="str">
        <f>IF(LEN('Eval-Avant action écologique'!$T$107)=0,"",IF('Eval-Avant action écologique'!$T$107=0,"Site détruit (0 ha).",IF(AND(CY75&gt;=0,CY75&lt;=0.2),"Granulomètrie très grossière.","")))</f>
        <v/>
      </c>
      <c r="DQ75" s="241" t="str">
        <f>IF(AND(CY75&gt;0.2,CY75&lt;=0.4),"Granulomètrie intermédiaire.","")</f>
        <v/>
      </c>
      <c r="DR75" s="241" t="str">
        <f>IF(AND(CY75&gt;0.4,CY75&lt;=0.6),"Granulomètrie intermédiaire.","")</f>
        <v/>
      </c>
      <c r="DS75" s="241" t="str">
        <f>IF(AND(CY75&gt;0.6,CY75&lt;=0.8),"Granulomètrie intermédiaire.","")</f>
        <v/>
      </c>
      <c r="DT75" s="241" t="str">
        <f>IF(AND(CY75&gt;0.8,CY75&lt;=1),"Granulomètrie très fine.","")</f>
        <v/>
      </c>
      <c r="DU75" s="218" t="str">
        <f>IF(LEN('Eval-Avant action écologique'!$T$107)=0,"",IF('Eval-Avant action écologique'!$T$107=0,"",IF(CY75="","Texture en profondeur non renseignée dans tout le site.","")))</f>
        <v/>
      </c>
      <c r="DV75" s="243" t="str">
        <f>CY75</f>
        <v/>
      </c>
      <c r="DW75" s="244" t="str">
        <f>DI75</f>
        <v/>
      </c>
      <c r="DX75" s="245"/>
      <c r="DY75" s="1133"/>
      <c r="DZ75" s="234" t="s">
        <v>199</v>
      </c>
      <c r="EA75" s="235" t="s">
        <v>423</v>
      </c>
      <c r="EB75" s="236"/>
      <c r="EC75" s="237"/>
      <c r="ED75" s="237"/>
      <c r="EE75" s="238" t="str">
        <f>IF(LEN('Eval-Avec act. écol. envisagée'!$T$107)=0,"",IF('Eval-Avec act. écol. envisagée'!$T$107=0,0,IF(OR(DZ24&gt;0,DZ35&lt;100),"",SUM(IF(ES9&lt;&gt;"",ES9*DZ9*0.01,0),IF(ES10&lt;&gt;"",ES10*DZ10*0.01,0),IF(ES11&lt;&gt;"",ES11*DZ11*0.01,0),IF(ES12&lt;&gt;"",ES12*DZ12*0.01,0),IF(ES13&lt;&gt;"",ES13*DZ13*0.01,0),IF(ES14&lt;&gt;"",ES14*DZ14*0.01,0),IF(ES15&lt;&gt;"",ES15*DZ15*0.01,0),IF(ES16&lt;&gt;"",ES16*DZ16*0.01,0),IF(ES17&lt;&gt;"",ES17*DZ17*0.01,0),IF(ES18&lt;&gt;"",ES18*DZ18*0.01,0),IF(ES19&lt;&gt;"",ES19*DZ19*0.01,0),IF(ES20&lt;&gt;"",ES20*DZ20*0.01,0),IF(ES21&lt;&gt;"",ES21*DZ21*0.01,0),IF(ES22&lt;&gt;"",ES22*DZ22*0.01,0),IF(ES23&lt;&gt;"",ES23*DZ23*0.01,0)))))</f>
        <v/>
      </c>
      <c r="EF75" s="237"/>
      <c r="EG75" s="237"/>
      <c r="EH75" s="237"/>
      <c r="EI75" s="237"/>
      <c r="EJ75" s="237"/>
      <c r="EK75" s="239"/>
      <c r="EL75" s="236"/>
      <c r="EM75" s="237"/>
      <c r="EN75" s="237"/>
      <c r="EO75" s="238" t="str">
        <f>IF(EE75="","",EE75*'Eval-Avec act. écol. envisagée'!$T$107)</f>
        <v/>
      </c>
      <c r="EP75" s="237"/>
      <c r="EQ75" s="237"/>
      <c r="ER75" s="237"/>
      <c r="ES75" s="237"/>
      <c r="ET75" s="237"/>
      <c r="EU75" s="239"/>
      <c r="EV75" s="240" t="str">
        <f>IF(LEN('Eval-Avec act. écol. envisagée'!$T$107)=0,"",IF('Eval-Avec act. écol. envisagée'!$T$107=0,"Site détruit (0 ha).",IF(AND(EE75&gt;=0,EE75&lt;=0.2),"Granulomètrie très grossière.","")))</f>
        <v/>
      </c>
      <c r="EW75" s="241" t="str">
        <f>IF(AND(EE75&gt;0.2,EE75&lt;=0.4),"Granulomètrie intermédiaire.","")</f>
        <v/>
      </c>
      <c r="EX75" s="241" t="str">
        <f>IF(AND(EE75&gt;0.4,EE75&lt;=0.6),"Granulomètrie intermédiaire.","")</f>
        <v/>
      </c>
      <c r="EY75" s="241" t="str">
        <f>IF(AND(EE75&gt;0.6,EE75&lt;=0.8),"Granulomètrie intermédiaire.","")</f>
        <v/>
      </c>
      <c r="EZ75" s="241" t="str">
        <f>IF(AND(EE75&gt;0.8,EE75&lt;=1),"Granulomètrie très fine.","")</f>
        <v/>
      </c>
      <c r="FA75" s="218" t="str">
        <f>IF(LEN('Eval-Avec act. écol. envisagée'!$T$107)=0,"",IF('Eval-Avec act. écol. envisagée'!$T$107=0,"",IF(EE75="","Texture en profondeur non renseignée dans tout le site.","")))</f>
        <v/>
      </c>
      <c r="FB75" s="243" t="str">
        <f>EE75</f>
        <v/>
      </c>
      <c r="FC75" s="244" t="str">
        <f>EO75</f>
        <v/>
      </c>
      <c r="FD75" s="245"/>
      <c r="FE75" s="1133"/>
      <c r="FF75" s="234" t="s">
        <v>199</v>
      </c>
      <c r="FG75" s="235" t="s">
        <v>423</v>
      </c>
      <c r="FH75" s="236"/>
      <c r="FI75" s="237"/>
      <c r="FJ75" s="237"/>
      <c r="FK75" s="238" t="str">
        <f>IF(LEN('Eval-Après action écologique'!$T$107)=0,"",IF('Eval-Après action écologique'!$T$107=0,0,IF(OR(FF24&gt;0,FF35&lt;100),"",SUM(IF(FY9&lt;&gt;"",FY9*FF9*0.01,0),IF(FY10&lt;&gt;"",FY10*FF10*0.01,0),IF(FY11&lt;&gt;"",FY11*FF11*0.01,0),IF(FY12&lt;&gt;"",FY12*FF12*0.01,0),IF(FY13&lt;&gt;"",FY13*FF13*0.01,0),IF(FY14&lt;&gt;"",FY14*FF14*0.01,0),IF(FY15&lt;&gt;"",FY15*FF15*0.01,0),IF(FY16&lt;&gt;"",FY16*FF16*0.01,0),IF(FY17&lt;&gt;"",FY17*FF17*0.01,0),IF(FY18&lt;&gt;"",FY18*FF18*0.01,0),IF(FY19&lt;&gt;"",FY19*FF19*0.01,0),IF(FY20&lt;&gt;"",FY20*FF20*0.01,0),IF(FY21&lt;&gt;"",FY21*FF21*0.01,0),IF(FY22&lt;&gt;"",FY22*FF22*0.01,0),IF(FY23&lt;&gt;"",FY23*FF23*0.01,0)))))</f>
        <v/>
      </c>
      <c r="FL75" s="237"/>
      <c r="FM75" s="237"/>
      <c r="FN75" s="237"/>
      <c r="FO75" s="237"/>
      <c r="FP75" s="237"/>
      <c r="FQ75" s="239"/>
      <c r="FR75" s="236"/>
      <c r="FS75" s="237"/>
      <c r="FT75" s="237"/>
      <c r="FU75" s="238" t="str">
        <f>IF(FK75="","",FK75*'Eval-Après action écologique'!$T$107)</f>
        <v/>
      </c>
      <c r="FV75" s="237"/>
      <c r="FW75" s="237"/>
      <c r="FX75" s="237"/>
      <c r="FY75" s="237"/>
      <c r="FZ75" s="237"/>
      <c r="GA75" s="239"/>
      <c r="GB75" s="240" t="str">
        <f>IF(LEN('Eval-Après action écologique'!$T$107)=0,"",IF('Eval-Après action écologique'!$T$107=0,"Site détruit (0 ha).",IF(AND(FK75&gt;=0,FK75&lt;=0.2),"Granulomètrie très grossière.","")))</f>
        <v/>
      </c>
      <c r="GC75" s="241" t="str">
        <f>IF(AND(FK75&gt;0.2,FK75&lt;=0.4),"Granulomètrie intermédiaire.","")</f>
        <v/>
      </c>
      <c r="GD75" s="241" t="str">
        <f>IF(AND(FK75&gt;0.4,FK75&lt;=0.6),"Granulomètrie intermédiaire.","")</f>
        <v/>
      </c>
      <c r="GE75" s="241" t="str">
        <f>IF(AND(FK75&gt;0.6,FK75&lt;=0.8),"Granulomètrie intermédiaire.","")</f>
        <v/>
      </c>
      <c r="GF75" s="241" t="str">
        <f>IF(AND(FK75&gt;0.8,FK75&lt;=1),"Granulomètrie très fine.","")</f>
        <v/>
      </c>
      <c r="GG75" s="218" t="str">
        <f>IF(LEN('Eval-Après action écologique'!$T$107)=0,"",IF('Eval-Après action écologique'!$T$107=0,"",IF(FK75="","Texture en profondeur non renseignée dans tout le site.","")))</f>
        <v/>
      </c>
      <c r="GH75" s="243" t="str">
        <f>FK75</f>
        <v/>
      </c>
      <c r="GI75" s="244" t="str">
        <f>FU75</f>
        <v/>
      </c>
    </row>
    <row r="76" spans="1:191" ht="31.5" customHeight="1" x14ac:dyDescent="0.2">
      <c r="A76" s="1133"/>
      <c r="B76" s="234" t="s">
        <v>200</v>
      </c>
      <c r="C76" s="235" t="s">
        <v>148</v>
      </c>
      <c r="D76" s="236"/>
      <c r="E76" s="238" t="str">
        <f>IF(LEN('Eval-Avant impact'!$T$107)=0,"",IF('Eval-Avant impact'!$T$107=0,0,IF(OR(B24&gt;0,B33&lt;100),"",SUM(IF(Q9&lt;&gt;"",Q9*B9*0.01,0),IF(Q10&lt;&gt;"",Q10*B10*0.01,0),IF(Q11&lt;&gt;"",Q11*B11*0.01,0),IF(Q12&lt;&gt;"",Q12*B12*0.01,0),IF(Q13&lt;&gt;"",Q13*B13*0.01,0),IF(Q14&lt;&gt;"",Q14*B14*0.01,0),IF(Q15&lt;&gt;"",Q15*B15*0.01,0),IF(Q16&lt;&gt;"",Q16*B16*0.01,0),IF(Q17&lt;&gt;"",Q17*B17*0.01,0),IF(Q18&lt;&gt;"",Q18*B18*0.01,0),IF(Q19&lt;&gt;"",Q19*B19*0.01,0),IF(Q20&lt;&gt;"",Q20*B20*0.01,0),IF(Q21&lt;&gt;"",Q21*B21*0.01,0),IF(Q22&lt;&gt;"",Q22*B22*0.01,0),IF(Q23&lt;&gt;"",Q23*B23*0.01,0)))))</f>
        <v/>
      </c>
      <c r="F76" s="237"/>
      <c r="G76" s="237"/>
      <c r="H76" s="237"/>
      <c r="I76" s="237"/>
      <c r="J76" s="237"/>
      <c r="K76" s="237"/>
      <c r="L76" s="237"/>
      <c r="M76" s="239"/>
      <c r="N76" s="236"/>
      <c r="O76" s="238" t="str">
        <f>IF(E76="","",E76*'Eval-Avant impact'!$T$107)</f>
        <v/>
      </c>
      <c r="P76" s="237"/>
      <c r="Q76" s="237"/>
      <c r="R76" s="237"/>
      <c r="S76" s="237"/>
      <c r="T76" s="237"/>
      <c r="U76" s="237"/>
      <c r="V76" s="237"/>
      <c r="W76" s="239"/>
      <c r="X76" s="240" t="str">
        <f>IF(LEN('Eval-Avant impact'!$T$107)=0,"",IF('Eval-Avant impact'!$T$107=0,"Site détruit (0 ha).",IF(AND(E76&gt;=0,E76&lt;=0.2),"Très faible conductivité hydraulique en surface.","")))</f>
        <v/>
      </c>
      <c r="Y76" s="241" t="str">
        <f>IF(AND(E76&gt;0.2,E76&lt;=0.4),"Faible conductivité hydraulique en surface.","")</f>
        <v/>
      </c>
      <c r="Z76" s="241" t="str">
        <f>IF(AND(E76&gt;0.4,E76&lt;=0.6),"Assez faible conductivité hydraulique en surface.","")</f>
        <v/>
      </c>
      <c r="AA76" s="241" t="str">
        <f>IF(AND(E76&gt;0.6,E76&lt;=0.8),"Forte conductivité hydraulique en surface.","")</f>
        <v/>
      </c>
      <c r="AB76" s="241" t="str">
        <f>IF(AND(E76&gt;0.8,E76&lt;=1),"Très forte conductivité hydraulique en surface.","")</f>
        <v/>
      </c>
      <c r="AC76" s="218" t="str">
        <f>IF(LEN('Eval-Avant impact'!$T$107)=0,"",IF('Eval-Avant impact'!$T$107=0,"",IF(E76="","Type de matériau en surface non renseigné dans tout le site.","")))</f>
        <v/>
      </c>
      <c r="AD76" s="243" t="str">
        <f>E76</f>
        <v/>
      </c>
      <c r="AE76" s="244" t="str">
        <f>O76</f>
        <v/>
      </c>
      <c r="AF76" s="245"/>
      <c r="AG76" s="1133"/>
      <c r="AH76" s="234" t="s">
        <v>200</v>
      </c>
      <c r="AI76" s="235" t="s">
        <v>148</v>
      </c>
      <c r="AJ76" s="236"/>
      <c r="AK76" s="238" t="str">
        <f>IF(LEN('Eval-Avec impact envisagé'!$T$107)=0,"",IF('Eval-Avec impact envisagé'!$T$107=0,0,IF(OR(AH24&gt;0,AH33&lt;100),"",SUM(IF(AW9&lt;&gt;"",AW9*AH9*0.01,0),IF(AW10&lt;&gt;"",AW10*AH10*0.01,0),IF(AW11&lt;&gt;"",AW11*AH11*0.01,0),IF(AW12&lt;&gt;"",AW12*AH12*0.01,0),IF(AW13&lt;&gt;"",AW13*AH13*0.01,0),IF(AW14&lt;&gt;"",AW14*AH14*0.01,0),IF(AW15&lt;&gt;"",AW15*AH15*0.01,0),IF(AW16&lt;&gt;"",AW16*AH16*0.01,0),IF(AW17&lt;&gt;"",AW17*AH17*0.01,0),IF(AW18&lt;&gt;"",AW18*AH18*0.01,0),IF(AW19&lt;&gt;"",AW19*AH19*0.01,0),IF(AW20&lt;&gt;"",AW20*AH20*0.01,0),IF(AW21&lt;&gt;"",AW21*AH21*0.01,0),IF(AW22&lt;&gt;"",AW22*AH22*0.01,0),IF(AW23&lt;&gt;"",AW23*AH23*0.01,0)))))</f>
        <v/>
      </c>
      <c r="AL76" s="237"/>
      <c r="AM76" s="237"/>
      <c r="AN76" s="237"/>
      <c r="AO76" s="237"/>
      <c r="AP76" s="237"/>
      <c r="AQ76" s="237"/>
      <c r="AR76" s="237"/>
      <c r="AS76" s="239"/>
      <c r="AT76" s="236"/>
      <c r="AU76" s="238" t="str">
        <f>IF(AK76="","",AK76*'Eval-Avec impact envisagé'!$T$107)</f>
        <v/>
      </c>
      <c r="AV76" s="237"/>
      <c r="AW76" s="237"/>
      <c r="AX76" s="237"/>
      <c r="AY76" s="237"/>
      <c r="AZ76" s="237"/>
      <c r="BA76" s="237"/>
      <c r="BB76" s="237"/>
      <c r="BC76" s="239"/>
      <c r="BD76" s="240" t="str">
        <f>IF(LEN('Eval-Avec impact envisagé'!$T$107)=0,"",IF('Eval-Avec impact envisagé'!$T$107=0,"Site détruit (0 ha).",IF(AND(AK76&gt;=0,AK76&lt;=0.2),"Très faible conductivité hydraulique en surface.","")))</f>
        <v/>
      </c>
      <c r="BE76" s="241" t="str">
        <f>IF(AND(AK76&gt;0.2,AK76&lt;=0.4),"Faible conductivité hydraulique en surface.","")</f>
        <v/>
      </c>
      <c r="BF76" s="241" t="str">
        <f>IF(AND(AK76&gt;0.4,AK76&lt;=0.6),"Assez faible conductivité hydraulique en surface.","")</f>
        <v/>
      </c>
      <c r="BG76" s="241" t="str">
        <f>IF(AND(AK76&gt;0.6,AK76&lt;=0.8),"Forte conductivité hydraulique en surface.","")</f>
        <v/>
      </c>
      <c r="BH76" s="241" t="str">
        <f>IF(AND(AK76&gt;0.8,AK76&lt;=1),"Très forte conductivité hydraulique en surface.","")</f>
        <v/>
      </c>
      <c r="BI76" s="218" t="str">
        <f>IF(LEN('Eval-Avec impact envisagé'!$T$107)=0,"",IF('Eval-Avec impact envisagé'!$T$107=0,"",IF(AK76="","Type de matériau en surface non renseigné dans tout le site.","")))</f>
        <v/>
      </c>
      <c r="BJ76" s="243" t="str">
        <f>AK76</f>
        <v/>
      </c>
      <c r="BK76" s="244" t="str">
        <f>AU76</f>
        <v/>
      </c>
      <c r="BL76" s="245"/>
      <c r="BM76" s="1133"/>
      <c r="BN76" s="234" t="s">
        <v>200</v>
      </c>
      <c r="BO76" s="235" t="s">
        <v>148</v>
      </c>
      <c r="BP76" s="236"/>
      <c r="BQ76" s="238" t="str">
        <f>IF(LEN('Eval-Après impact'!$T$107)=0,"",IF('Eval-Après impact'!$T$107=0,0,IF(OR(BN24&gt;0,BN33&lt;100),"",SUM(IF(CC9&lt;&gt;"",CC9*BN9*0.01,0),IF(CC10&lt;&gt;"",CC10*BN10*0.01,0),IF(CC11&lt;&gt;"",CC11*BN11*0.01,0),IF(CC12&lt;&gt;"",CC12*BN12*0.01,0),IF(CC13&lt;&gt;"",CC13*BN13*0.01,0),IF(CC14&lt;&gt;"",CC14*BN14*0.01,0),IF(CC15&lt;&gt;"",CC15*BN15*0.01,0),IF(CC16&lt;&gt;"",CC16*BN16*0.01,0),IF(CC17&lt;&gt;"",CC17*BN17*0.01,0),IF(CC18&lt;&gt;"",CC18*BN18*0.01,0),IF(CC19&lt;&gt;"",CC19*BN19*0.01,0),IF(CC20&lt;&gt;"",CC20*BN20*0.01,0),IF(CC21&lt;&gt;"",CC21*BN21*0.01,0),IF(CC22&lt;&gt;"",CC22*BN22*0.01,0),IF(CC23&lt;&gt;"",CC23*BN23*0.01,0)))))</f>
        <v/>
      </c>
      <c r="BR76" s="237"/>
      <c r="BS76" s="237"/>
      <c r="BT76" s="237"/>
      <c r="BU76" s="237"/>
      <c r="BV76" s="237"/>
      <c r="BW76" s="237"/>
      <c r="BX76" s="237"/>
      <c r="BY76" s="239"/>
      <c r="BZ76" s="236"/>
      <c r="CA76" s="238" t="str">
        <f>IF(BQ76="","",BQ76*'Eval-Après impact'!$T$107)</f>
        <v/>
      </c>
      <c r="CB76" s="237"/>
      <c r="CC76" s="237"/>
      <c r="CD76" s="237"/>
      <c r="CE76" s="237"/>
      <c r="CF76" s="237"/>
      <c r="CG76" s="237"/>
      <c r="CH76" s="237"/>
      <c r="CI76" s="239"/>
      <c r="CJ76" s="240" t="str">
        <f>IF(LEN('Eval-Après impact'!$T$107)=0,"",IF('Eval-Après impact'!$T$107=0,"Site détruit (0 ha).",IF(AND(BQ76&gt;=0,BQ76&lt;=0.2),"Très faible conductivité hydraulique en surface.","")))</f>
        <v/>
      </c>
      <c r="CK76" s="241" t="str">
        <f>IF(AND(BQ76&gt;0.2,BQ76&lt;=0.4),"Faible conductivité hydraulique en surface.","")</f>
        <v/>
      </c>
      <c r="CL76" s="241" t="str">
        <f>IF(AND(BQ76&gt;0.4,BQ76&lt;=0.6),"Assez faible conductivité hydraulique en surface.","")</f>
        <v/>
      </c>
      <c r="CM76" s="241" t="str">
        <f>IF(AND(BQ76&gt;0.6,BQ76&lt;=0.8),"Forte conductivité hydraulique en surface.","")</f>
        <v/>
      </c>
      <c r="CN76" s="241" t="str">
        <f>IF(AND(BQ76&gt;0.8,BQ76&lt;=1),"Très forte conductivité hydraulique en surface.","")</f>
        <v/>
      </c>
      <c r="CO76" s="218" t="str">
        <f>IF(LEN('Eval-Après impact'!$T$107)=0,"",IF('Eval-Après impact'!$T$107=0,"",IF(BQ76="","Type de matériau en surface non renseigné dans tout le site.","")))</f>
        <v/>
      </c>
      <c r="CP76" s="243" t="str">
        <f>BQ76</f>
        <v/>
      </c>
      <c r="CQ76" s="244" t="str">
        <f>CA76</f>
        <v/>
      </c>
      <c r="CR76" s="245"/>
      <c r="CS76" s="1133"/>
      <c r="CT76" s="234" t="s">
        <v>200</v>
      </c>
      <c r="CU76" s="235" t="s">
        <v>148</v>
      </c>
      <c r="CV76" s="236"/>
      <c r="CW76" s="238" t="str">
        <f>IF(LEN('Eval-Avant action écologique'!$T$107)=0,"",IF('Eval-Avant action écologique'!$T$107=0,0,IF(OR(CT24&gt;0,CT33&lt;100),"",SUM(IF(DI9&lt;&gt;"",DI9*CT9*0.01,0),IF(DI10&lt;&gt;"",DI10*CT10*0.01,0),IF(DI11&lt;&gt;"",DI11*CT11*0.01,0),IF(DI12&lt;&gt;"",DI12*CT12*0.01,0),IF(DI13&lt;&gt;"",DI13*CT13*0.01,0),IF(DI14&lt;&gt;"",DI14*CT14*0.01,0),IF(DI15&lt;&gt;"",DI15*CT15*0.01,0),IF(DI16&lt;&gt;"",DI16*CT16*0.01,0),IF(DI17&lt;&gt;"",DI17*CT17*0.01,0),IF(DI18&lt;&gt;"",DI18*CT18*0.01,0),IF(DI19&lt;&gt;"",DI19*CT19*0.01,0),IF(DI20&lt;&gt;"",DI20*CT20*0.01,0),IF(DI21&lt;&gt;"",DI21*CT21*0.01,0),IF(DI22&lt;&gt;"",DI22*CT22*0.01,0),IF(DI23&lt;&gt;"",DI23*CT23*0.01,0)))))</f>
        <v/>
      </c>
      <c r="CX76" s="237"/>
      <c r="CY76" s="237"/>
      <c r="CZ76" s="237"/>
      <c r="DA76" s="237"/>
      <c r="DB76" s="237"/>
      <c r="DC76" s="237"/>
      <c r="DD76" s="237"/>
      <c r="DE76" s="239"/>
      <c r="DF76" s="236"/>
      <c r="DG76" s="238" t="str">
        <f>IF(CW76="","",CW76*'Eval-Avant action écologique'!$T$107)</f>
        <v/>
      </c>
      <c r="DH76" s="237"/>
      <c r="DI76" s="237"/>
      <c r="DJ76" s="237"/>
      <c r="DK76" s="237"/>
      <c r="DL76" s="237"/>
      <c r="DM76" s="237"/>
      <c r="DN76" s="237"/>
      <c r="DO76" s="239"/>
      <c r="DP76" s="240" t="str">
        <f>IF(LEN('Eval-Avant action écologique'!$T$107)=0,"",IF('Eval-Avant action écologique'!$T$107=0,"Site détruit (0 ha).",IF(AND(CW76&gt;=0,CW76&lt;=0.2),"Très faible conductivité hydraulique en surface.","")))</f>
        <v/>
      </c>
      <c r="DQ76" s="241" t="str">
        <f>IF(AND(CW76&gt;0.2,CW76&lt;=0.4),"Faible conductivité hydraulique en surface.","")</f>
        <v/>
      </c>
      <c r="DR76" s="241" t="str">
        <f>IF(AND(CW76&gt;0.4,CW76&lt;=0.6),"Assez faible conductivité hydraulique en surface.","")</f>
        <v/>
      </c>
      <c r="DS76" s="241" t="str">
        <f>IF(AND(CW76&gt;0.6,CW76&lt;=0.8),"Forte conductivité hydraulique en surface.","")</f>
        <v/>
      </c>
      <c r="DT76" s="241" t="str">
        <f>IF(AND(CW76&gt;0.8,CW76&lt;=1),"Très forte conductivité hydraulique en surface.","")</f>
        <v/>
      </c>
      <c r="DU76" s="218" t="str">
        <f>IF(LEN('Eval-Avant action écologique'!$T$107)=0,"",IF('Eval-Avant action écologique'!$T$107=0,"",IF(CW76="","Type de matériau en surface non renseigné dans tout le site.","")))</f>
        <v/>
      </c>
      <c r="DV76" s="243" t="str">
        <f>CW76</f>
        <v/>
      </c>
      <c r="DW76" s="244" t="str">
        <f>DG76</f>
        <v/>
      </c>
      <c r="DX76" s="245"/>
      <c r="DY76" s="1133"/>
      <c r="DZ76" s="234" t="s">
        <v>200</v>
      </c>
      <c r="EA76" s="235" t="s">
        <v>148</v>
      </c>
      <c r="EB76" s="236"/>
      <c r="EC76" s="238" t="str">
        <f>IF(LEN('Eval-Avec act. écol. envisagée'!$T$107)=0,"",IF('Eval-Avec act. écol. envisagée'!$T$107=0,0,IF(OR(DZ24&gt;0,DZ33&lt;100),"",SUM(IF(EO9&lt;&gt;"",EO9*DZ9*0.01,0),IF(EO10&lt;&gt;"",EO10*DZ10*0.01,0),IF(EO11&lt;&gt;"",EO11*DZ11*0.01,0),IF(EO12&lt;&gt;"",EO12*DZ12*0.01,0),IF(EO13&lt;&gt;"",EO13*DZ13*0.01,0),IF(EO14&lt;&gt;"",EO14*DZ14*0.01,0),IF(EO15&lt;&gt;"",EO15*DZ15*0.01,0),IF(EO16&lt;&gt;"",EO16*DZ16*0.01,0),IF(EO17&lt;&gt;"",EO17*DZ17*0.01,0),IF(EO18&lt;&gt;"",EO18*DZ18*0.01,0),IF(EO19&lt;&gt;"",EO19*DZ19*0.01,0),IF(EO20&lt;&gt;"",EO20*DZ20*0.01,0),IF(EO21&lt;&gt;"",EO21*DZ21*0.01,0),IF(EO22&lt;&gt;"",EO22*DZ22*0.01,0),IF(EO23&lt;&gt;"",EO23*DZ23*0.01,0)))))</f>
        <v/>
      </c>
      <c r="ED76" s="237"/>
      <c r="EE76" s="237"/>
      <c r="EF76" s="237"/>
      <c r="EG76" s="237"/>
      <c r="EH76" s="237"/>
      <c r="EI76" s="237"/>
      <c r="EJ76" s="237"/>
      <c r="EK76" s="239"/>
      <c r="EL76" s="236"/>
      <c r="EM76" s="238" t="str">
        <f>IF(EC76="","",EC76*'Eval-Avec act. écol. envisagée'!$T$107)</f>
        <v/>
      </c>
      <c r="EN76" s="237"/>
      <c r="EO76" s="237"/>
      <c r="EP76" s="237"/>
      <c r="EQ76" s="237"/>
      <c r="ER76" s="237"/>
      <c r="ES76" s="237"/>
      <c r="ET76" s="237"/>
      <c r="EU76" s="239"/>
      <c r="EV76" s="240" t="str">
        <f>IF(LEN('Eval-Avec act. écol. envisagée'!$T$107)=0,"",IF('Eval-Avec act. écol. envisagée'!$T$107=0,"Site détruit (0 ha).",IF(AND(EC76&gt;=0,EC76&lt;=0.2),"Très faible conductivité hydraulique en surface.","")))</f>
        <v/>
      </c>
      <c r="EW76" s="241" t="str">
        <f>IF(AND(EC76&gt;0.2,EC76&lt;=0.4),"Faible conductivité hydraulique en surface.","")</f>
        <v/>
      </c>
      <c r="EX76" s="241" t="str">
        <f>IF(AND(EC76&gt;0.4,EC76&lt;=0.6),"Assez faible conductivité hydraulique en surface.","")</f>
        <v/>
      </c>
      <c r="EY76" s="241" t="str">
        <f>IF(AND(EC76&gt;0.6,EC76&lt;=0.8),"Forte conductivité hydraulique en surface.","")</f>
        <v/>
      </c>
      <c r="EZ76" s="241" t="str">
        <f>IF(AND(EC76&gt;0.8,EC76&lt;=1),"Très forte conductivité hydraulique en surface.","")</f>
        <v/>
      </c>
      <c r="FA76" s="218" t="str">
        <f>IF(LEN('Eval-Avec act. écol. envisagée'!$T$107)=0,"",IF('Eval-Avec act. écol. envisagée'!$T$107=0,"",IF(EC76="","Type de matériau en surface non renseigné dans tout le site.","")))</f>
        <v/>
      </c>
      <c r="FB76" s="243" t="str">
        <f>EC76</f>
        <v/>
      </c>
      <c r="FC76" s="244" t="str">
        <f>EM76</f>
        <v/>
      </c>
      <c r="FD76" s="245"/>
      <c r="FE76" s="1133"/>
      <c r="FF76" s="234" t="s">
        <v>200</v>
      </c>
      <c r="FG76" s="235" t="s">
        <v>148</v>
      </c>
      <c r="FH76" s="236"/>
      <c r="FI76" s="238" t="str">
        <f>IF(LEN('Eval-Après action écologique'!$T$107)=0,"",IF('Eval-Après action écologique'!$T$107=0,0,IF(OR(FF24&gt;0,FF33&lt;100),"",SUM(IF(FU9&lt;&gt;"",FU9*FF9*0.01,0),IF(FU10&lt;&gt;"",FU10*FF10*0.01,0),IF(FU11&lt;&gt;"",FU11*FF11*0.01,0),IF(FU12&lt;&gt;"",FU12*FF12*0.01,0),IF(FU13&lt;&gt;"",FU13*FF13*0.01,0),IF(FU14&lt;&gt;"",FU14*FF14*0.01,0),IF(FU15&lt;&gt;"",FU15*FF15*0.01,0),IF(FU16&lt;&gt;"",FU16*FF16*0.01,0),IF(FU17&lt;&gt;"",FU17*FF17*0.01,0),IF(FU18&lt;&gt;"",FU18*FF18*0.01,0),IF(FU19&lt;&gt;"",FU19*FF19*0.01,0),IF(FU20&lt;&gt;"",FU20*FF20*0.01,0),IF(FU21&lt;&gt;"",FU21*FF21*0.01,0),IF(FU22&lt;&gt;"",FU22*FF22*0.01,0),IF(FU23&lt;&gt;"",FU23*FF23*0.01,0)))))</f>
        <v/>
      </c>
      <c r="FJ76" s="237"/>
      <c r="FK76" s="237"/>
      <c r="FL76" s="237"/>
      <c r="FM76" s="237"/>
      <c r="FN76" s="237"/>
      <c r="FO76" s="237"/>
      <c r="FP76" s="237"/>
      <c r="FQ76" s="239"/>
      <c r="FR76" s="236"/>
      <c r="FS76" s="238" t="str">
        <f>IF(FI76="","",FI76*'Eval-Après action écologique'!$T$107)</f>
        <v/>
      </c>
      <c r="FT76" s="237"/>
      <c r="FU76" s="237"/>
      <c r="FV76" s="237"/>
      <c r="FW76" s="237"/>
      <c r="FX76" s="237"/>
      <c r="FY76" s="237"/>
      <c r="FZ76" s="237"/>
      <c r="GA76" s="239"/>
      <c r="GB76" s="240" t="str">
        <f>IF(LEN('Eval-Après action écologique'!$T$107)=0,"",IF('Eval-Après action écologique'!$T$107=0,"Site détruit (0 ha).",IF(AND(FI76&gt;=0,FI76&lt;=0.2),"Très faible conductivité hydraulique en surface.","")))</f>
        <v/>
      </c>
      <c r="GC76" s="241" t="str">
        <f>IF(AND(FI76&gt;0.2,FI76&lt;=0.4),"Faible conductivité hydraulique en surface.","")</f>
        <v/>
      </c>
      <c r="GD76" s="241" t="str">
        <f>IF(AND(FI76&gt;0.4,FI76&lt;=0.6),"Assez faible conductivité hydraulique en surface.","")</f>
        <v/>
      </c>
      <c r="GE76" s="241" t="str">
        <f>IF(AND(FI76&gt;0.6,FI76&lt;=0.8),"Forte conductivité hydraulique en surface.","")</f>
        <v/>
      </c>
      <c r="GF76" s="241" t="str">
        <f>IF(AND(FI76&gt;0.8,FI76&lt;=1),"Très forte conductivité hydraulique en surface.","")</f>
        <v/>
      </c>
      <c r="GG76" s="218" t="str">
        <f>IF(LEN('Eval-Après action écologique'!$T$107)=0,"",IF('Eval-Après action écologique'!$T$107=0,"",IF(FI76="","Type de matériau en surface non renseigné dans tout le site.","")))</f>
        <v/>
      </c>
      <c r="GH76" s="243" t="str">
        <f>FI76</f>
        <v/>
      </c>
      <c r="GI76" s="244" t="str">
        <f>FS76</f>
        <v/>
      </c>
    </row>
    <row r="77" spans="1:191" ht="31.5" customHeight="1" x14ac:dyDescent="0.2">
      <c r="A77" s="1133"/>
      <c r="B77" s="234" t="s">
        <v>201</v>
      </c>
      <c r="C77" s="235" t="s">
        <v>149</v>
      </c>
      <c r="D77" s="236"/>
      <c r="E77" s="238" t="str">
        <f>IF(LEN('Eval-Avant impact'!$T$107)=0,"",IF('Eval-Avant impact'!$T$107=0,0,IF(OR(B24&gt;0,B34&lt;100),"",SUM(IF(R9&lt;&gt;"",R9*B9*0.01,0),IF(R10&lt;&gt;"",R10*B10*0.01,0),IF(R11&lt;&gt;"",R11*B11*0.01,0),IF(R12&lt;&gt;"",R12*B12*0.01,0),IF(R13&lt;&gt;"",R13*B13*0.01,0),IF(R14&lt;&gt;"",R14*B14*0.01,0),IF(R15&lt;&gt;"",R15*B15*0.01,0),IF(R16&lt;&gt;"",R16*B16*0.01,0),IF(R17&lt;&gt;"",R17*B17*0.01,0),IF(R18&lt;&gt;"",R18*B18*0.01,0),IF(R19&lt;&gt;"",R19*B19*0.01,0),IF(R20&lt;&gt;"",R20*B20*0.01,0),IF(R21&lt;&gt;"",R21*B21*0.01,0),IF(R22&lt;&gt;"",R22*B22*0.01,0),IF(R23&lt;&gt;"",R23*B23*0.01,0)))))</f>
        <v/>
      </c>
      <c r="F77" s="237"/>
      <c r="G77" s="237"/>
      <c r="H77" s="237"/>
      <c r="I77" s="237"/>
      <c r="J77" s="237"/>
      <c r="K77" s="237"/>
      <c r="L77" s="237"/>
      <c r="M77" s="239"/>
      <c r="N77" s="236"/>
      <c r="O77" s="238" t="str">
        <f>IF(E77="","",E77*'Eval-Avant impact'!$T$107)</f>
        <v/>
      </c>
      <c r="P77" s="237"/>
      <c r="Q77" s="237"/>
      <c r="R77" s="237"/>
      <c r="S77" s="237"/>
      <c r="T77" s="237"/>
      <c r="U77" s="237"/>
      <c r="V77" s="237"/>
      <c r="W77" s="239"/>
      <c r="X77" s="240" t="str">
        <f>IF(LEN('Eval-Avant impact'!$T$107)=0,"",IF('Eval-Avant impact'!$T$107=0,"Site détruit (0 ha).",IF(AND(E77&gt;=0,E77&lt;=0.2),"Très faible conductivité hydraulique en profondeur.","")))</f>
        <v/>
      </c>
      <c r="Y77" s="241" t="str">
        <f>IF(AND(E77&gt;0.2,E77&lt;=0.4),"Faible conductivité hydraulique en profondeur.","")</f>
        <v/>
      </c>
      <c r="Z77" s="241" t="str">
        <f>IF(AND(E77&gt;0.4,E77&lt;=0.6),"Assez faible conductivité hydraulique en profondeur.","")</f>
        <v/>
      </c>
      <c r="AA77" s="241" t="str">
        <f>IF(AND(E77&gt;0.6,E77&lt;=0.8),"Forte conductivité hydraulique en profondeur.","")</f>
        <v/>
      </c>
      <c r="AB77" s="241" t="str">
        <f>IF(AND(E77&gt;0.8,E77&lt;=1),"Très forte conductivité hydraulique en profondeur.","")</f>
        <v/>
      </c>
      <c r="AC77" s="218" t="str">
        <f>IF(LEN('Eval-Avant impact'!$T$107)=0,"",IF('Eval-Avant impact'!$T$107=0,"",IF(E77="","Type de matériau en profondeur non renseigné dans tout le site.","")))</f>
        <v/>
      </c>
      <c r="AD77" s="243" t="str">
        <f>E77</f>
        <v/>
      </c>
      <c r="AE77" s="244" t="str">
        <f>O77</f>
        <v/>
      </c>
      <c r="AF77" s="245"/>
      <c r="AG77" s="1133"/>
      <c r="AH77" s="234" t="s">
        <v>201</v>
      </c>
      <c r="AI77" s="235" t="s">
        <v>149</v>
      </c>
      <c r="AJ77" s="236"/>
      <c r="AK77" s="238" t="str">
        <f>IF(LEN('Eval-Avec impact envisagé'!$T$107)=0,"",IF('Eval-Avec impact envisagé'!$T$107=0,0,IF(OR(AH24&gt;0,AH34&lt;100),"",SUM(IF(AX9&lt;&gt;"",AX9*AH9*0.01,0),IF(AX10&lt;&gt;"",AX10*AH10*0.01,0),IF(AX11&lt;&gt;"",AX11*AH11*0.01,0),IF(AX12&lt;&gt;"",AX12*AH12*0.01,0),IF(AX13&lt;&gt;"",AX13*AH13*0.01,0),IF(AX14&lt;&gt;"",AX14*AH14*0.01,0),IF(AX15&lt;&gt;"",AX15*AH15*0.01,0),IF(AX16&lt;&gt;"",AX16*AH16*0.01,0),IF(AX17&lt;&gt;"",AX17*AH17*0.01,0),IF(AX18&lt;&gt;"",AX18*AH18*0.01,0),IF(AX19&lt;&gt;"",AX19*AH19*0.01,0),IF(AX20&lt;&gt;"",AX20*AH20*0.01,0),IF(AX21&lt;&gt;"",AX21*AH21*0.01,0),IF(AX22&lt;&gt;"",AX22*AH22*0.01,0),IF(AX23&lt;&gt;"",AX23*AH23*0.01,0)))))</f>
        <v/>
      </c>
      <c r="AL77" s="237"/>
      <c r="AM77" s="237"/>
      <c r="AN77" s="237"/>
      <c r="AO77" s="237"/>
      <c r="AP77" s="237"/>
      <c r="AQ77" s="237"/>
      <c r="AR77" s="237"/>
      <c r="AS77" s="239"/>
      <c r="AT77" s="236"/>
      <c r="AU77" s="238" t="str">
        <f>IF(AK77="","",AK77*'Eval-Avec impact envisagé'!$T$107)</f>
        <v/>
      </c>
      <c r="AV77" s="237"/>
      <c r="AW77" s="237"/>
      <c r="AX77" s="237"/>
      <c r="AY77" s="237"/>
      <c r="AZ77" s="237"/>
      <c r="BA77" s="237"/>
      <c r="BB77" s="237"/>
      <c r="BC77" s="239"/>
      <c r="BD77" s="240" t="str">
        <f>IF(LEN('Eval-Avec impact envisagé'!$T$107)=0,"",IF('Eval-Avec impact envisagé'!$T$107=0,"Site détruit (0 ha).",IF(AND(AK77&gt;=0,AK77&lt;=0.2),"Très faible conductivité hydraulique en profondeur.","")))</f>
        <v/>
      </c>
      <c r="BE77" s="241" t="str">
        <f>IF(AND(AK77&gt;0.2,AK77&lt;=0.4),"Faible conductivité hydraulique en profondeur.","")</f>
        <v/>
      </c>
      <c r="BF77" s="241" t="str">
        <f>IF(AND(AK77&gt;0.4,AK77&lt;=0.6),"Assez faible conductivité hydraulique en profondeur.","")</f>
        <v/>
      </c>
      <c r="BG77" s="241" t="str">
        <f>IF(AND(AK77&gt;0.6,AK77&lt;=0.8),"Forte conductivité hydraulique en profondeur.","")</f>
        <v/>
      </c>
      <c r="BH77" s="241" t="str">
        <f>IF(AND(AK77&gt;0.8,AK77&lt;=1),"Très forte conductivité hydraulique en profondeur.","")</f>
        <v/>
      </c>
      <c r="BI77" s="218" t="str">
        <f>IF(LEN('Eval-Avec impact envisagé'!$T$107)=0,"",IF('Eval-Avec impact envisagé'!$T$107=0,"",IF(AK77="","Type de matériau en profondeur non renseigné dans tout le site.","")))</f>
        <v/>
      </c>
      <c r="BJ77" s="243" t="str">
        <f>AK77</f>
        <v/>
      </c>
      <c r="BK77" s="244" t="str">
        <f>AU77</f>
        <v/>
      </c>
      <c r="BL77" s="245"/>
      <c r="BM77" s="1133"/>
      <c r="BN77" s="234" t="s">
        <v>201</v>
      </c>
      <c r="BO77" s="235" t="s">
        <v>149</v>
      </c>
      <c r="BP77" s="236"/>
      <c r="BQ77" s="238" t="str">
        <f>IF(LEN('Eval-Après impact'!$T$107)=0,"",IF('Eval-Après impact'!$T$107=0,0,IF(OR(BN24&gt;0,BN34&lt;100),"",SUM(IF(CD9&lt;&gt;"",CD9*BN9*0.01,0),IF(CD10&lt;&gt;"",CD10*BN10*0.01,0),IF(CD11&lt;&gt;"",CD11*BN11*0.01,0),IF(CD12&lt;&gt;"",CD12*BN12*0.01,0),IF(CD13&lt;&gt;"",CD13*BN13*0.01,0),IF(CD14&lt;&gt;"",CD14*BN14*0.01,0),IF(CD15&lt;&gt;"",CD15*BN15*0.01,0),IF(CD16&lt;&gt;"",CD16*BN16*0.01,0),IF(CD17&lt;&gt;"",CD17*BN17*0.01,0),IF(CD18&lt;&gt;"",CD18*BN18*0.01,0),IF(CD19&lt;&gt;"",CD19*BN19*0.01,0),IF(CD20&lt;&gt;"",CD20*BN20*0.01,0),IF(CD21&lt;&gt;"",CD21*BN21*0.01,0),IF(CD22&lt;&gt;"",CD22*BN22*0.01,0),IF(CD23&lt;&gt;"",CD23*BN23*0.01,0)))))</f>
        <v/>
      </c>
      <c r="BR77" s="237"/>
      <c r="BS77" s="237"/>
      <c r="BT77" s="237"/>
      <c r="BU77" s="237"/>
      <c r="BV77" s="237"/>
      <c r="BW77" s="237"/>
      <c r="BX77" s="237"/>
      <c r="BY77" s="239"/>
      <c r="BZ77" s="236"/>
      <c r="CA77" s="238" t="str">
        <f>IF(BQ77="","",BQ77*'Eval-Après impact'!$T$107)</f>
        <v/>
      </c>
      <c r="CB77" s="237"/>
      <c r="CC77" s="237"/>
      <c r="CD77" s="237"/>
      <c r="CE77" s="237"/>
      <c r="CF77" s="237"/>
      <c r="CG77" s="237"/>
      <c r="CH77" s="237"/>
      <c r="CI77" s="239"/>
      <c r="CJ77" s="240" t="str">
        <f>IF(LEN('Eval-Après impact'!$T$107)=0,"",IF('Eval-Après impact'!$T$107=0,"Site détruit (0 ha).",IF(AND(BQ77&gt;=0,BQ77&lt;=0.2),"Très faible conductivité hydraulique en profondeur.","")))</f>
        <v/>
      </c>
      <c r="CK77" s="241" t="str">
        <f>IF(AND(BQ77&gt;0.2,BQ77&lt;=0.4),"Faible conductivité hydraulique en profondeur.","")</f>
        <v/>
      </c>
      <c r="CL77" s="241" t="str">
        <f>IF(AND(BQ77&gt;0.4,BQ77&lt;=0.6),"Assez faible conductivité hydraulique en profondeur.","")</f>
        <v/>
      </c>
      <c r="CM77" s="241" t="str">
        <f>IF(AND(BQ77&gt;0.6,BQ77&lt;=0.8),"Forte conductivité hydraulique en profondeur.","")</f>
        <v/>
      </c>
      <c r="CN77" s="241" t="str">
        <f>IF(AND(BQ77&gt;0.8,BQ77&lt;=1),"Très forte conductivité hydraulique en profondeur.","")</f>
        <v/>
      </c>
      <c r="CO77" s="218" t="str">
        <f>IF(LEN('Eval-Après impact'!$T$107)=0,"",IF('Eval-Après impact'!$T$107=0,"",IF(BQ77="","Type de matériau en profondeur non renseigné dans tout le site.","")))</f>
        <v/>
      </c>
      <c r="CP77" s="243" t="str">
        <f>BQ77</f>
        <v/>
      </c>
      <c r="CQ77" s="244" t="str">
        <f>CA77</f>
        <v/>
      </c>
      <c r="CR77" s="245"/>
      <c r="CS77" s="1133"/>
      <c r="CT77" s="234" t="s">
        <v>201</v>
      </c>
      <c r="CU77" s="235" t="s">
        <v>149</v>
      </c>
      <c r="CV77" s="236"/>
      <c r="CW77" s="238" t="str">
        <f>IF(LEN('Eval-Avant action écologique'!$T$107)=0,"",IF('Eval-Avant action écologique'!$T$107=0,0,IF(OR(CT24&gt;0,CT34&lt;100),"",SUM(IF(DJ9&lt;&gt;"",DJ9*CT9*0.01,0),IF(DJ10&lt;&gt;"",DJ10*CT10*0.01,0),IF(DJ11&lt;&gt;"",DJ11*CT11*0.01,0),IF(DJ12&lt;&gt;"",DJ12*CT12*0.01,0),IF(DJ13&lt;&gt;"",DJ13*CT13*0.01,0),IF(DJ14&lt;&gt;"",DJ14*CT14*0.01,0),IF(DJ15&lt;&gt;"",DJ15*CT15*0.01,0),IF(DJ16&lt;&gt;"",DJ16*CT16*0.01,0),IF(DJ17&lt;&gt;"",DJ17*CT17*0.01,0),IF(DJ18&lt;&gt;"",DJ18*CT18*0.01,0),IF(DJ19&lt;&gt;"",DJ19*CT19*0.01,0),IF(DJ20&lt;&gt;"",DJ20*CT20*0.01,0),IF(DJ21&lt;&gt;"",DJ21*CT21*0.01,0),IF(DJ22&lt;&gt;"",DJ22*CT22*0.01,0),IF(DJ23&lt;&gt;"",DJ23*CT23*0.01,0)))))</f>
        <v/>
      </c>
      <c r="CX77" s="237"/>
      <c r="CY77" s="237"/>
      <c r="CZ77" s="237"/>
      <c r="DA77" s="237"/>
      <c r="DB77" s="237"/>
      <c r="DC77" s="237"/>
      <c r="DD77" s="237"/>
      <c r="DE77" s="239"/>
      <c r="DF77" s="236"/>
      <c r="DG77" s="238" t="str">
        <f>IF(CW77="","",CW77*'Eval-Avant action écologique'!$T$107)</f>
        <v/>
      </c>
      <c r="DH77" s="237"/>
      <c r="DI77" s="237"/>
      <c r="DJ77" s="237"/>
      <c r="DK77" s="237"/>
      <c r="DL77" s="237"/>
      <c r="DM77" s="237"/>
      <c r="DN77" s="237"/>
      <c r="DO77" s="239"/>
      <c r="DP77" s="240" t="str">
        <f>IF(LEN('Eval-Avant action écologique'!$T$107)=0,"",IF('Eval-Avant action écologique'!$T$107=0,"Site détruit (0 ha).",IF(AND(CW77&gt;=0,CW77&lt;=0.2),"Très faible conductivité hydraulique en profondeur.","")))</f>
        <v/>
      </c>
      <c r="DQ77" s="241" t="str">
        <f>IF(AND(CW77&gt;0.2,CW77&lt;=0.4),"Faible conductivité hydraulique en profondeur.","")</f>
        <v/>
      </c>
      <c r="DR77" s="241" t="str">
        <f>IF(AND(CW77&gt;0.4,CW77&lt;=0.6),"Assez faible conductivité hydraulique en profondeur.","")</f>
        <v/>
      </c>
      <c r="DS77" s="241" t="str">
        <f>IF(AND(CW77&gt;0.6,CW77&lt;=0.8),"Forte conductivité hydraulique en profondeur.","")</f>
        <v/>
      </c>
      <c r="DT77" s="241" t="str">
        <f>IF(AND(CW77&gt;0.8,CW77&lt;=1),"Très forte conductivité hydraulique en profondeur.","")</f>
        <v/>
      </c>
      <c r="DU77" s="218" t="str">
        <f>IF(LEN('Eval-Avant action écologique'!$T$107)=0,"",IF('Eval-Avant action écologique'!$T$107=0,"",IF(CW77="","Type de matériau en profondeur non renseigné dans tout le site.","")))</f>
        <v/>
      </c>
      <c r="DV77" s="243" t="str">
        <f>CW77</f>
        <v/>
      </c>
      <c r="DW77" s="244" t="str">
        <f>DG77</f>
        <v/>
      </c>
      <c r="DX77" s="245"/>
      <c r="DY77" s="1133"/>
      <c r="DZ77" s="234" t="s">
        <v>201</v>
      </c>
      <c r="EA77" s="235" t="s">
        <v>149</v>
      </c>
      <c r="EB77" s="236"/>
      <c r="EC77" s="238" t="str">
        <f>IF(LEN('Eval-Avec act. écol. envisagée'!$T$107)=0,"",IF('Eval-Avec act. écol. envisagée'!$T$107=0,0,IF(OR(DZ24&gt;0,DZ34&lt;100),"",SUM(IF(EP9&lt;&gt;"",EP9*DZ9*0.01,0),IF(EP10&lt;&gt;"",EP10*DZ10*0.01,0),IF(EP11&lt;&gt;"",EP11*DZ11*0.01,0),IF(EP12&lt;&gt;"",EP12*DZ12*0.01,0),IF(EP13&lt;&gt;"",EP13*DZ13*0.01,0),IF(EP14&lt;&gt;"",EP14*DZ14*0.01,0),IF(EP15&lt;&gt;"",EP15*DZ15*0.01,0),IF(EP16&lt;&gt;"",EP16*DZ16*0.01,0),IF(EP17&lt;&gt;"",EP17*DZ17*0.01,0),IF(EP18&lt;&gt;"",EP18*DZ18*0.01,0),IF(EP19&lt;&gt;"",EP19*DZ19*0.01,0),IF(EP20&lt;&gt;"",EP20*DZ20*0.01,0),IF(EP21&lt;&gt;"",EP21*DZ21*0.01,0),IF(EP22&lt;&gt;"",EP22*DZ22*0.01,0),IF(EP23&lt;&gt;"",EP23*DZ23*0.01,0)))))</f>
        <v/>
      </c>
      <c r="ED77" s="237"/>
      <c r="EE77" s="237"/>
      <c r="EF77" s="237"/>
      <c r="EG77" s="237"/>
      <c r="EH77" s="237"/>
      <c r="EI77" s="237"/>
      <c r="EJ77" s="237"/>
      <c r="EK77" s="239"/>
      <c r="EL77" s="236"/>
      <c r="EM77" s="238" t="str">
        <f>IF(EC77="","",EC77*'Eval-Avec act. écol. envisagée'!$T$107)</f>
        <v/>
      </c>
      <c r="EN77" s="237"/>
      <c r="EO77" s="237"/>
      <c r="EP77" s="237"/>
      <c r="EQ77" s="237"/>
      <c r="ER77" s="237"/>
      <c r="ES77" s="237"/>
      <c r="ET77" s="237"/>
      <c r="EU77" s="239"/>
      <c r="EV77" s="240" t="str">
        <f>IF(LEN('Eval-Avec act. écol. envisagée'!$T$107)=0,"",IF('Eval-Avec act. écol. envisagée'!$T$107=0,"Site détruit (0 ha).",IF(AND(EC77&gt;=0,EC77&lt;=0.2),"Très faible conductivité hydraulique en profondeur.","")))</f>
        <v/>
      </c>
      <c r="EW77" s="241" t="str">
        <f>IF(AND(EC77&gt;0.2,EC77&lt;=0.4),"Faible conductivité hydraulique en profondeur.","")</f>
        <v/>
      </c>
      <c r="EX77" s="241" t="str">
        <f>IF(AND(EC77&gt;0.4,EC77&lt;=0.6),"Assez faible conductivité hydraulique en profondeur.","")</f>
        <v/>
      </c>
      <c r="EY77" s="241" t="str">
        <f>IF(AND(EC77&gt;0.6,EC77&lt;=0.8),"Forte conductivité hydraulique en profondeur.","")</f>
        <v/>
      </c>
      <c r="EZ77" s="241" t="str">
        <f>IF(AND(EC77&gt;0.8,EC77&lt;=1),"Très forte conductivité hydraulique en profondeur.","")</f>
        <v/>
      </c>
      <c r="FA77" s="218" t="str">
        <f>IF(LEN('Eval-Avec act. écol. envisagée'!$T$107)=0,"",IF('Eval-Avec act. écol. envisagée'!$T$107=0,"",IF(EC77="","Type de matériau en profondeur non renseigné dans tout le site.","")))</f>
        <v/>
      </c>
      <c r="FB77" s="243" t="str">
        <f>EC77</f>
        <v/>
      </c>
      <c r="FC77" s="244" t="str">
        <f>EM77</f>
        <v/>
      </c>
      <c r="FD77" s="245"/>
      <c r="FE77" s="1133"/>
      <c r="FF77" s="234" t="s">
        <v>201</v>
      </c>
      <c r="FG77" s="235" t="s">
        <v>149</v>
      </c>
      <c r="FH77" s="236"/>
      <c r="FI77" s="238" t="str">
        <f>IF(LEN('Eval-Après action écologique'!$T$107)=0,"",IF('Eval-Après action écologique'!$T$107=0,0,IF(OR(FF24&gt;0,FF34&lt;100),"",SUM(IF(FV9&lt;&gt;"",FV9*FF9*0.01,0),IF(FV10&lt;&gt;"",FV10*FF10*0.01,0),IF(FV11&lt;&gt;"",FV11*FF11*0.01,0),IF(FV12&lt;&gt;"",FV12*FF12*0.01,0),IF(FV13&lt;&gt;"",FV13*FF13*0.01,0),IF(FV14&lt;&gt;"",FV14*FF14*0.01,0),IF(FV15&lt;&gt;"",FV15*FF15*0.01,0),IF(FV16&lt;&gt;"",FV16*FF16*0.01,0),IF(FV17&lt;&gt;"",FV17*FF17*0.01,0),IF(FV18&lt;&gt;"",FV18*FF18*0.01,0),IF(FV19&lt;&gt;"",FV19*FF19*0.01,0),IF(FV20&lt;&gt;"",FV20*FF20*0.01,0),IF(FV21&lt;&gt;"",FV21*FF21*0.01,0),IF(FV22&lt;&gt;"",FV22*FF22*0.01,0),IF(FV23&lt;&gt;"",FV23*FF23*0.01,0)))))</f>
        <v/>
      </c>
      <c r="FJ77" s="237"/>
      <c r="FK77" s="237"/>
      <c r="FL77" s="237"/>
      <c r="FM77" s="237"/>
      <c r="FN77" s="237"/>
      <c r="FO77" s="237"/>
      <c r="FP77" s="237"/>
      <c r="FQ77" s="239"/>
      <c r="FR77" s="236"/>
      <c r="FS77" s="238" t="str">
        <f>IF(FI77="","",FI77*'Eval-Après action écologique'!$T$107)</f>
        <v/>
      </c>
      <c r="FT77" s="237"/>
      <c r="FU77" s="237"/>
      <c r="FV77" s="237"/>
      <c r="FW77" s="237"/>
      <c r="FX77" s="237"/>
      <c r="FY77" s="237"/>
      <c r="FZ77" s="237"/>
      <c r="GA77" s="239"/>
      <c r="GB77" s="240" t="str">
        <f>IF(LEN('Eval-Après action écologique'!$T$107)=0,"",IF('Eval-Après action écologique'!$T$107=0,"Site détruit (0 ha).",IF(AND(FI77&gt;=0,FI77&lt;=0.2),"Très faible conductivité hydraulique en profondeur.","")))</f>
        <v/>
      </c>
      <c r="GC77" s="241" t="str">
        <f>IF(AND(FI77&gt;0.2,FI77&lt;=0.4),"Faible conductivité hydraulique en profondeur.","")</f>
        <v/>
      </c>
      <c r="GD77" s="241" t="str">
        <f>IF(AND(FI77&gt;0.4,FI77&lt;=0.6),"Assez faible conductivité hydraulique en profondeur.","")</f>
        <v/>
      </c>
      <c r="GE77" s="241" t="str">
        <f>IF(AND(FI77&gt;0.6,FI77&lt;=0.8),"Forte conductivité hydraulique en profondeur.","")</f>
        <v/>
      </c>
      <c r="GF77" s="241" t="str">
        <f>IF(AND(FI77&gt;0.8,FI77&lt;=1),"Très forte conductivité hydraulique en profondeur.","")</f>
        <v/>
      </c>
      <c r="GG77" s="218" t="str">
        <f>IF(LEN('Eval-Après action écologique'!$T$107)=0,"",IF('Eval-Après action écologique'!$T$107=0,"",IF(FI77="","Type de matériau en profondeur non renseigné dans tout le site.","")))</f>
        <v/>
      </c>
      <c r="GH77" s="243" t="str">
        <f>FI77</f>
        <v/>
      </c>
      <c r="GI77" s="244" t="str">
        <f>FS77</f>
        <v/>
      </c>
    </row>
    <row r="78" spans="1:191" ht="31.5" customHeight="1" x14ac:dyDescent="0.2">
      <c r="A78" s="1133"/>
      <c r="B78" s="234" t="s">
        <v>202</v>
      </c>
      <c r="C78" s="235" t="s">
        <v>150</v>
      </c>
      <c r="D78" s="236"/>
      <c r="E78" s="237"/>
      <c r="F78" s="237"/>
      <c r="G78" s="238" t="str">
        <f>IF(LEN('Eval-Avant impact'!$T$107)=0,"",IF('Eval-Avant impact'!$T$107=0,0,IF(B27&lt;&gt;100,"",SUM(IF(COUNTIF(E9:H9,"X")&gt;0,IF(E9="X",1*B9/B27,IF(F9="X",0.55*B9/B27,IF(OR(G9="X",H9="X"),0.1*B9/B27))),0),IF(COUNTIF(E10:H10,"X")&gt;0,IF(E10="X",1*B10/B27,IF(F10="X",0.55*B10/B27,IF(OR(G10="X",H10="X"),0.1*B10/B27))),0),IF(COUNTIF(E11:H11,"X")&gt;0,IF(E11="X",1*B11/B27,IF(F11="X",0.55*B11/B27,IF(OR(G11="X",H11="X"),0.1*B11/B27))),0),IF(COUNTIF(E12:H12,"X")&gt;0,IF(E12="X",1*B12/B27,IF(F12="X",0.55*B12/B27,IF(OR(G12="X",H12="X"),0.1*B12/B27))),0),IF(COUNTIF(E13:H13,"X")&gt;0,IF(E13="X",1*B13/B27,IF(F13="X",0.55*B13/B27,IF(OR(G13="X",H13="X"),0.1*B13/B27))),0),IF(COUNTIF(E14:H14,"X")&gt;0,IF(E14="X",1*B14/B27,IF(F14="X",0.55*B14/B27,IF(OR(G14="X",H14="X"),0.1*B14/B27))),0),IF(COUNTIF(E15:H15,"X")&gt;0,IF(E15="X",1*B15/B27,IF(F15="X",0.55*B15/B27,IF(OR(G15="X",H15="X"),0.1*B15/B27))),0),IF(COUNTIF(E16:H16,"X")&gt;0,IF(E16="X",1*B16/B27,IF(F16="X",0.55*B16/B27,IF(OR(G16="X",H16="X"),0.1*B16/B27))),0),IF(COUNTIF(E17:H17,"X")&gt;0,IF(E17="X",1*B17/B27,IF(F17="X",0.55*B17/B27,IF(OR(G17="X",H17="X"),0.1*B17/B27))),0),IF(COUNTIF(E18:H18,"X")&gt;0,IF(E18="X",1*B18/B27,IF(F18="X",0.55*B18/B27,IF(OR(G18="X",H18="X"),0.1*B18/B27))),0),IF(COUNTIF(E19:H19,"X")&gt;0,IF(E19="X",1*B19/B27,IF(F19="X",0.55*B19/B27,IF(OR(G19="X",H19="X"),0.1*B19/B27))),0),IF(COUNTIF(E20:H20,"X")&gt;0,IF(E20="X",1*B20/B27,IF(F20="X",0.55*B20/B27,IF(OR(G20="X",H20="X"),0.1*B20/B27))),0),IF(COUNTIF(E21:H21,"X")&gt;0,IF(E21="X",1*B21/B27,IF(F21="X",0.55*B21/B27,IF(OR(G21="X",H21="X"),0.1*B21/B27))),0),IF(COUNTIF(E22:H22,"X")&gt;0,IF(E22="X",1*B22/B27,IF(F22="X",0.55*B22/B27,IF(OR(G22="X",H22="X"),0.1*B22/B27))),0),IF(COUNTIF(E23:H23,"X")&gt;0,IF(E23="X",1*B23/B27,IF(F23="X",0.55*B23/B27,IF(OR(G23="X",H23="X"),0.1*B23/B27))),0)))))</f>
        <v/>
      </c>
      <c r="H78" s="237"/>
      <c r="I78" s="237"/>
      <c r="J78" s="237"/>
      <c r="K78" s="238" t="str">
        <f>IF(LEN('Eval-Avant impact'!$T$107)=0,"",IF('Eval-Avant impact'!$T$107=0,0,IF(B27&lt;&gt;100,"",SUM(IF(COUNTIF(E9:H9,"X")&gt;0,IF(E9="X",1*B9/B27,IF(F9="X",0.55*B9/B27,IF(OR(G9="X",H9="X"),0.1*B9/B27))),0),IF(COUNTIF(E10:H10,"X")&gt;0,IF(E10="X",1*B10/B27,IF(F10="X",0.55*B10/B27,IF(OR(G10="X",H10="X"),0.1*B10/B27))),0),IF(COUNTIF(E11:H11,"X")&gt;0,IF(E11="X",1*B11/B27,IF(F11="X",0.55*B11/B27,IF(OR(G11="X",H11="X"),0.1*B11/B27))),0),IF(COUNTIF(E12:H12,"X")&gt;0,IF(E12="X",1*B12/B27,IF(F12="X",0.55*B12/B27,IF(OR(G12="X",H12="X"),0.1*B12/B27))),0),IF(COUNTIF(E13:H13,"X")&gt;0,IF(E13="X",1*B13/B27,IF(F13="X",0.55*B13/B27,IF(OR(G13="X",H13="X"),0.1*B13/B27))),0),IF(COUNTIF(E14:H14,"X")&gt;0,IF(E14="X",1*B14/B27,IF(F14="X",0.55*B14/B27,IF(OR(G14="X",H14="X"),0.1*B14/B27))),0),IF(COUNTIF(E15:H15,"X")&gt;0,IF(E15="X",1*B15/B27,IF(F15="X",0.55*B15/B27,IF(OR(G15="X",H15="X"),0.1*B15/B27))),0),IF(COUNTIF(E16:H16,"X")&gt;0,IF(E16="X",1*B16/B27,IF(F16="X",0.55*B16/B27,IF(OR(G16="X",H16="X"),0.1*B16/B27))),0),IF(COUNTIF(E17:H17,"X")&gt;0,IF(E17="X",1*B17/B27,IF(F17="X",0.55*B17/B27,IF(OR(G17="X",H17="X"),0.1*B17/B27))),0),IF(COUNTIF(E18:H18,"X")&gt;0,IF(E18="X",1*B18/B27,IF(F18="X",0.55*B18/B27,IF(OR(G18="X",H18="X"),0.1*B18/B27))),0),IF(COUNTIF(E19:H19,"X")&gt;0,IF(E19="X",1*B19/B27,IF(F19="X",0.55*B19/B27,IF(OR(G19="X",H19="X"),0.1*B19/B27))),0),IF(COUNTIF(E20:H20,"X")&gt;0,IF(E20="X",1*B20/B27,IF(F20="X",0.55*B20/B27,IF(OR(G20="X",H20="X"),0.1*B20/B27))),0),IF(COUNTIF(E21:H21,"X")&gt;0,IF(E21="X",1*B21/B27,IF(F21="X",0.55*B21/B27,IF(OR(G21="X",H21="X"),0.1*B21/B27))),0),IF(COUNTIF(E22:H22,"X")&gt;0,IF(E22="X",1*B22/B27,IF(F22="X",0.55*B22/B27,IF(OR(G22="X",H22="X"),0.1*B22/B27))),0),IF(COUNTIF(E23:H23,"X")&gt;0,IF(E23="X",1*B23/B27,IF(F23="X",0.55*B23/B27,IF(OR(G23="X",H23="X"),0.1*B23/B27))),0)))))</f>
        <v/>
      </c>
      <c r="L78" s="237"/>
      <c r="M78" s="239"/>
      <c r="N78" s="236"/>
      <c r="O78" s="237"/>
      <c r="P78" s="237"/>
      <c r="Q78" s="238" t="str">
        <f>IF(G78="","",G78*'Eval-Avant impact'!$T$107)</f>
        <v/>
      </c>
      <c r="R78" s="237"/>
      <c r="S78" s="237"/>
      <c r="T78" s="237"/>
      <c r="U78" s="238" t="str">
        <f>IF(G78="","",G78*'Eval-Avant impact'!$T$107)</f>
        <v/>
      </c>
      <c r="V78" s="237"/>
      <c r="W78" s="239"/>
      <c r="X78" s="240" t="str">
        <f>IF(LEN('Eval-Avant impact'!$T$107)=0,"",IF('Eval-Avant impact'!$T$107=0,"Site détruit (0 ha).",IF(AND(G78&gt;=0,G78&lt;=0.2),"Très faible hydromorphie.","")))</f>
        <v/>
      </c>
      <c r="Y78" s="241" t="str">
        <f>IF(AND(G78&gt;0.2,G78&lt;=0.4),"Faible hydromorphie.","")</f>
        <v/>
      </c>
      <c r="Z78" s="241" t="str">
        <f>IF(AND(G78&gt;0.4,G78&lt;=0.6),"Assez forte hydromorphie.","")</f>
        <v/>
      </c>
      <c r="AA78" s="241" t="str">
        <f>IF(AND(G78&gt;0.6,G78&lt;=0.8),"Forte hydromorphie.","")</f>
        <v/>
      </c>
      <c r="AB78" s="241" t="str">
        <f>IF(AND(G78&gt;0.8,G78&lt;=1),"Très forte hydromorphie.","")</f>
        <v/>
      </c>
      <c r="AC78" s="218" t="str">
        <f>IF(LEN('Eval-Avant impact'!$T$107)=0,"",IF('Eval-Avant impact'!$T$107=0,"",IF(G78="","Hydromorphie en profondeur non connue dans tout le site.","")))</f>
        <v/>
      </c>
      <c r="AD78" s="243" t="str">
        <f>G78</f>
        <v/>
      </c>
      <c r="AE78" s="244" t="str">
        <f>Q78</f>
        <v/>
      </c>
      <c r="AF78" s="245"/>
      <c r="AG78" s="1133"/>
      <c r="AH78" s="234" t="s">
        <v>202</v>
      </c>
      <c r="AI78" s="235" t="s">
        <v>150</v>
      </c>
      <c r="AJ78" s="236"/>
      <c r="AK78" s="237"/>
      <c r="AL78" s="237"/>
      <c r="AM78" s="238" t="str">
        <f>IF(LEN('Eval-Avec impact envisagé'!$T$107)=0,"",IF('Eval-Avec impact envisagé'!$T$107=0,0,IF(AH27&lt;&gt;100,"",SUM(IF(COUNTIF(AK9:AN9,"X")&gt;0,IF(AK9="X",1*AH9/AH27,IF(AL9="X",0.55*AH9/AH27,IF(OR(AM9="X",AN9="X"),0.1*AH9/AH27))),0),IF(COUNTIF(AK10:AN10,"X")&gt;0,IF(AK10="X",1*AH10/AH27,IF(AL10="X",0.55*AH10/AH27,IF(OR(AM10="X",AN10="X"),0.1*AH10/AH27))),0),IF(COUNTIF(AK11:AN11,"X")&gt;0,IF(AK11="X",1*AH11/AH27,IF(AL11="X",0.55*AH11/AH27,IF(OR(AM11="X",AN11="X"),0.1*AH11/AH27))),0),IF(COUNTIF(AK12:AN12,"X")&gt;0,IF(AK12="X",1*AH12/AH27,IF(AL12="X",0.55*AH12/AH27,IF(OR(AM12="X",AN12="X"),0.1*AH12/AH27))),0),IF(COUNTIF(AK13:AN13,"X")&gt;0,IF(AK13="X",1*AH13/AH27,IF(AL13="X",0.55*AH13/AH27,IF(OR(AM13="X",AN13="X"),0.1*AH13/AH27))),0),IF(COUNTIF(AK14:AN14,"X")&gt;0,IF(AK14="X",1*AH14/AH27,IF(AL14="X",0.55*AH14/AH27,IF(OR(AM14="X",AN14="X"),0.1*AH14/AH27))),0),IF(COUNTIF(AK15:AN15,"X")&gt;0,IF(AK15="X",1*AH15/AH27,IF(AL15="X",0.55*AH15/AH27,IF(OR(AM15="X",AN15="X"),0.1*AH15/AH27))),0),IF(COUNTIF(AK16:AN16,"X")&gt;0,IF(AK16="X",1*AH16/AH27,IF(AL16="X",0.55*AH16/AH27,IF(OR(AM16="X",AN16="X"),0.1*AH16/AH27))),0),IF(COUNTIF(AK17:AN17,"X")&gt;0,IF(AK17="X",1*AH17/AH27,IF(AL17="X",0.55*AH17/AH27,IF(OR(AM17="X",AN17="X"),0.1*AH17/AH27))),0),IF(COUNTIF(AK18:AN18,"X")&gt;0,IF(AK18="X",1*AH18/AH27,IF(AL18="X",0.55*AH18/AH27,IF(OR(AM18="X",AN18="X"),0.1*AH18/AH27))),0),IF(COUNTIF(AK19:AN19,"X")&gt;0,IF(AK19="X",1*AH19/AH27,IF(AL19="X",0.55*AH19/AH27,IF(OR(AM19="X",AN19="X"),0.1*AH19/AH27))),0),IF(COUNTIF(AK20:AN20,"X")&gt;0,IF(AK20="X",1*AH20/AH27,IF(AL20="X",0.55*AH20/AH27,IF(OR(AM20="X",AN20="X"),0.1*AH20/AH27))),0),IF(COUNTIF(AK21:AN21,"X")&gt;0,IF(AK21="X",1*AH21/AH27,IF(AL21="X",0.55*AH21/AH27,IF(OR(AM21="X",AN21="X"),0.1*AH21/AH27))),0),IF(COUNTIF(AK22:AN22,"X")&gt;0,IF(AK22="X",1*AH22/AH27,IF(AL22="X",0.55*AH22/AH27,IF(OR(AM22="X",AN22="X"),0.1*AH22/AH27))),0),IF(COUNTIF(AK23:AN23,"X")&gt;0,IF(AK23="X",1*AH23/AH27,IF(AL23="X",0.55*AH23/AH27,IF(OR(AM23="X",AN23="X"),0.1*AH23/AH27))),0)))))</f>
        <v/>
      </c>
      <c r="AN78" s="237"/>
      <c r="AO78" s="237"/>
      <c r="AP78" s="237"/>
      <c r="AQ78" s="238" t="str">
        <f>IF(LEN('Eval-Avec impact envisagé'!$T$107)=0,"",IF('Eval-Avec impact envisagé'!$T$107=0,0,IF(AH27&lt;&gt;100,"",SUM(IF(COUNTIF(AK9:AN9,"X")&gt;0,IF(AK9="X",1*AH9/AH27,IF(AL9="X",0.55*AH9/AH27,IF(OR(AM9="X",AN9="X"),0.1*AH9/AH27))),0),IF(COUNTIF(AK10:AN10,"X")&gt;0,IF(AK10="X",1*AH10/AH27,IF(AL10="X",0.55*AH10/AH27,IF(OR(AM10="X",AN10="X"),0.1*AH10/AH27))),0),IF(COUNTIF(AK11:AN11,"X")&gt;0,IF(AK11="X",1*AH11/AH27,IF(AL11="X",0.55*AH11/AH27,IF(OR(AM11="X",AN11="X"),0.1*AH11/AH27))),0),IF(COUNTIF(AK12:AN12,"X")&gt;0,IF(AK12="X",1*AH12/AH27,IF(AL12="X",0.55*AH12/AH27,IF(OR(AM12="X",AN12="X"),0.1*AH12/AH27))),0),IF(COUNTIF(AK13:AN13,"X")&gt;0,IF(AK13="X",1*AH13/AH27,IF(AL13="X",0.55*AH13/AH27,IF(OR(AM13="X",AN13="X"),0.1*AH13/AH27))),0),IF(COUNTIF(AK14:AN14,"X")&gt;0,IF(AK14="X",1*AH14/AH27,IF(AL14="X",0.55*AH14/AH27,IF(OR(AM14="X",AN14="X"),0.1*AH14/AH27))),0),IF(COUNTIF(AK15:AN15,"X")&gt;0,IF(AK15="X",1*AH15/AH27,IF(AL15="X",0.55*AH15/AH27,IF(OR(AM15="X",AN15="X"),0.1*AH15/AH27))),0),IF(COUNTIF(AK16:AN16,"X")&gt;0,IF(AK16="X",1*AH16/AH27,IF(AL16="X",0.55*AH16/AH27,IF(OR(AM16="X",AN16="X"),0.1*AH16/AH27))),0),IF(COUNTIF(AK17:AN17,"X")&gt;0,IF(AK17="X",1*AH17/AH27,IF(AL17="X",0.55*AH17/AH27,IF(OR(AM17="X",AN17="X"),0.1*AH17/AH27))),0),IF(COUNTIF(AK18:AN18,"X")&gt;0,IF(AK18="X",1*AH18/AH27,IF(AL18="X",0.55*AH18/AH27,IF(OR(AM18="X",AN18="X"),0.1*AH18/AH27))),0),IF(COUNTIF(AK19:AN19,"X")&gt;0,IF(AK19="X",1*AH19/AH27,IF(AL19="X",0.55*AH19/AH27,IF(OR(AM19="X",AN19="X"),0.1*AH19/AH27))),0),IF(COUNTIF(AK20:AN20,"X")&gt;0,IF(AK20="X",1*AH20/AH27,IF(AL20="X",0.55*AH20/AH27,IF(OR(AM20="X",AN20="X"),0.1*AH20/AH27))),0),IF(COUNTIF(AK21:AN21,"X")&gt;0,IF(AK21="X",1*AH21/AH27,IF(AL21="X",0.55*AH21/AH27,IF(OR(AM21="X",AN21="X"),0.1*AH21/AH27))),0),IF(COUNTIF(AK22:AN22,"X")&gt;0,IF(AK22="X",1*AH22/AH27,IF(AL22="X",0.55*AH22/AH27,IF(OR(AM22="X",AN22="X"),0.1*AH22/AH27))),0),IF(COUNTIF(AK23:AN23,"X")&gt;0,IF(AK23="X",1*AH23/AH27,IF(AL23="X",0.55*AH23/AH27,IF(OR(AM23="X",AN23="X"),0.1*AH23/AH27))),0)))))</f>
        <v/>
      </c>
      <c r="AR78" s="237"/>
      <c r="AS78" s="239"/>
      <c r="AT78" s="236"/>
      <c r="AU78" s="237"/>
      <c r="AV78" s="237"/>
      <c r="AW78" s="238" t="str">
        <f>IF(AM78="","",AM78*'Eval-Avec impact envisagé'!$T$107)</f>
        <v/>
      </c>
      <c r="AX78" s="237"/>
      <c r="AY78" s="237"/>
      <c r="AZ78" s="237"/>
      <c r="BA78" s="238" t="str">
        <f>IF(AM78="","",AM78*'Eval-Avec impact envisagé'!$T$107)</f>
        <v/>
      </c>
      <c r="BB78" s="237"/>
      <c r="BC78" s="239"/>
      <c r="BD78" s="240" t="str">
        <f>IF(LEN('Eval-Avec impact envisagé'!$T$107)=0,"",IF('Eval-Avec impact envisagé'!$T$107=0,"Site détruit (0 ha).",IF(AND(AM78&gt;=0,AM78&lt;=0.2),"Très faible hydromorphie.","")))</f>
        <v/>
      </c>
      <c r="BE78" s="241" t="str">
        <f>IF(AND(AM78&gt;0.2,AM78&lt;=0.4),"Faible hydromorphie.","")</f>
        <v/>
      </c>
      <c r="BF78" s="241" t="str">
        <f>IF(AND(AM78&gt;0.4,AM78&lt;=0.6),"Assez forte hydromorphie.","")</f>
        <v/>
      </c>
      <c r="BG78" s="241" t="str">
        <f>IF(AND(AM78&gt;0.6,AM78&lt;=0.8),"Forte hydromorphie.","")</f>
        <v/>
      </c>
      <c r="BH78" s="241" t="str">
        <f>IF(AND(AM78&gt;0.8,AM78&lt;=1),"Très forte hydromorphie.","")</f>
        <v/>
      </c>
      <c r="BI78" s="218" t="str">
        <f>IF(LEN('Eval-Avec impact envisagé'!$T$107)=0,"",IF('Eval-Avec impact envisagé'!$T$107=0,"",IF(AM78="","Hydromorphie en profondeur non connue dans tout le site.","")))</f>
        <v/>
      </c>
      <c r="BJ78" s="243" t="str">
        <f>AM78</f>
        <v/>
      </c>
      <c r="BK78" s="244" t="str">
        <f>AW78</f>
        <v/>
      </c>
      <c r="BL78" s="245"/>
      <c r="BM78" s="1133"/>
      <c r="BN78" s="234" t="s">
        <v>202</v>
      </c>
      <c r="BO78" s="235" t="s">
        <v>150</v>
      </c>
      <c r="BP78" s="236"/>
      <c r="BQ78" s="237"/>
      <c r="BR78" s="237"/>
      <c r="BS78" s="238" t="str">
        <f>IF(LEN('Eval-Après impact'!$T$107)=0,"",IF('Eval-Après impact'!$T$107=0,0,IF(BN27&lt;&gt;100,"",SUM(IF(COUNTIF(BQ9:BT9,"X")&gt;0,IF(BQ9="X",1*BN9/BN27,IF(BR9="X",0.55*BN9/BN27,IF(OR(BS9="X",BT9="X"),0.1*BN9/BN27))),0),IF(COUNTIF(BQ10:BT10,"X")&gt;0,IF(BQ10="X",1*BN10/BN27,IF(BR10="X",0.55*BN10/BN27,IF(OR(BS10="X",BT10="X"),0.1*BN10/BN27))),0),IF(COUNTIF(BQ11:BT11,"X")&gt;0,IF(BQ11="X",1*BN11/BN27,IF(BR11="X",0.55*BN11/BN27,IF(OR(BS11="X",BT11="X"),0.1*BN11/BN27))),0),IF(COUNTIF(BQ12:BT12,"X")&gt;0,IF(BQ12="X",1*BN12/BN27,IF(BR12="X",0.55*BN12/BN27,IF(OR(BS12="X",BT12="X"),0.1*BN12/BN27))),0),IF(COUNTIF(BQ13:BT13,"X")&gt;0,IF(BQ13="X",1*BN13/BN27,IF(BR13="X",0.55*BN13/BN27,IF(OR(BS13="X",BT13="X"),0.1*BN13/BN27))),0),IF(COUNTIF(BQ14:BT14,"X")&gt;0,IF(BQ14="X",1*BN14/BN27,IF(BR14="X",0.55*BN14/BN27,IF(OR(BS14="X",BT14="X"),0.1*BN14/BN27))),0),IF(COUNTIF(BQ15:BT15,"X")&gt;0,IF(BQ15="X",1*BN15/BN27,IF(BR15="X",0.55*BN15/BN27,IF(OR(BS15="X",BT15="X"),0.1*BN15/BN27))),0),IF(COUNTIF(BQ16:BT16,"X")&gt;0,IF(BQ16="X",1*BN16/BN27,IF(BR16="X",0.55*BN16/BN27,IF(OR(BS16="X",BT16="X"),0.1*BN16/BN27))),0),IF(COUNTIF(BQ17:BT17,"X")&gt;0,IF(BQ17="X",1*BN17/BN27,IF(BR17="X",0.55*BN17/BN27,IF(OR(BS17="X",BT17="X"),0.1*BN17/BN27))),0),IF(COUNTIF(BQ18:BT18,"X")&gt;0,IF(BQ18="X",1*BN18/BN27,IF(BR18="X",0.55*BN18/BN27,IF(OR(BS18="X",BT18="X"),0.1*BN18/BN27))),0),IF(COUNTIF(BQ19:BT19,"X")&gt;0,IF(BQ19="X",1*BN19/BN27,IF(BR19="X",0.55*BN19/BN27,IF(OR(BS19="X",BT19="X"),0.1*BN19/BN27))),0),IF(COUNTIF(BQ20:BT20,"X")&gt;0,IF(BQ20="X",1*BN20/BN27,IF(BR20="X",0.55*BN20/BN27,IF(OR(BS20="X",BT20="X"),0.1*BN20/BN27))),0),IF(COUNTIF(BQ21:BT21,"X")&gt;0,IF(BQ21="X",1*BN21/BN27,IF(BR21="X",0.55*BN21/BN27,IF(OR(BS21="X",BT21="X"),0.1*BN21/BN27))),0),IF(COUNTIF(BQ22:BT22,"X")&gt;0,IF(BQ22="X",1*BN22/BN27,IF(BR22="X",0.55*BN22/BN27,IF(OR(BS22="X",BT22="X"),0.1*BN22/BN27))),0),IF(COUNTIF(BQ23:BT23,"X")&gt;0,IF(BQ23="X",1*BN23/BN27,IF(BR23="X",0.55*BN23/BN27,IF(OR(BS23="X",BT23="X"),0.1*BN23/BN27))),0)))))</f>
        <v/>
      </c>
      <c r="BT78" s="237"/>
      <c r="BU78" s="237"/>
      <c r="BV78" s="237"/>
      <c r="BW78" s="238" t="str">
        <f>IF(LEN('Eval-Après impact'!$T$107)=0,"",IF('Eval-Après impact'!$T$107=0,0,IF(BN27&lt;&gt;100,"",SUM(IF(COUNTIF(BQ9:BT9,"X")&gt;0,IF(BQ9="X",1*BN9/BN27,IF(BR9="X",0.55*BN9/BN27,IF(OR(BS9="X",BT9="X"),0.1*BN9/BN27))),0),IF(COUNTIF(BQ10:BT10,"X")&gt;0,IF(BQ10="X",1*BN10/BN27,IF(BR10="X",0.55*BN10/BN27,IF(OR(BS10="X",BT10="X"),0.1*BN10/BN27))),0),IF(COUNTIF(BQ11:BT11,"X")&gt;0,IF(BQ11="X",1*BN11/BN27,IF(BR11="X",0.55*BN11/BN27,IF(OR(BS11="X",BT11="X"),0.1*BN11/BN27))),0),IF(COUNTIF(BQ12:BT12,"X")&gt;0,IF(BQ12="X",1*BN12/BN27,IF(BR12="X",0.55*BN12/BN27,IF(OR(BS12="X",BT12="X"),0.1*BN12/BN27))),0),IF(COUNTIF(BQ13:BT13,"X")&gt;0,IF(BQ13="X",1*BN13/BN27,IF(BR13="X",0.55*BN13/BN27,IF(OR(BS13="X",BT13="X"),0.1*BN13/BN27))),0),IF(COUNTIF(BQ14:BT14,"X")&gt;0,IF(BQ14="X",1*BN14/BN27,IF(BR14="X",0.55*BN14/BN27,IF(OR(BS14="X",BT14="X"),0.1*BN14/BN27))),0),IF(COUNTIF(BQ15:BT15,"X")&gt;0,IF(BQ15="X",1*BN15/BN27,IF(BR15="X",0.55*BN15/BN27,IF(OR(BS15="X",BT15="X"),0.1*BN15/BN27))),0),IF(COUNTIF(BQ16:BT16,"X")&gt;0,IF(BQ16="X",1*BN16/BN27,IF(BR16="X",0.55*BN16/BN27,IF(OR(BS16="X",BT16="X"),0.1*BN16/BN27))),0),IF(COUNTIF(BQ17:BT17,"X")&gt;0,IF(BQ17="X",1*BN17/BN27,IF(BR17="X",0.55*BN17/BN27,IF(OR(BS17="X",BT17="X"),0.1*BN17/BN27))),0),IF(COUNTIF(BQ18:BT18,"X")&gt;0,IF(BQ18="X",1*BN18/BN27,IF(BR18="X",0.55*BN18/BN27,IF(OR(BS18="X",BT18="X"),0.1*BN18/BN27))),0),IF(COUNTIF(BQ19:BT19,"X")&gt;0,IF(BQ19="X",1*BN19/BN27,IF(BR19="X",0.55*BN19/BN27,IF(OR(BS19="X",BT19="X"),0.1*BN19/BN27))),0),IF(COUNTIF(BQ20:BT20,"X")&gt;0,IF(BQ20="X",1*BN20/BN27,IF(BR20="X",0.55*BN20/BN27,IF(OR(BS20="X",BT20="X"),0.1*BN20/BN27))),0),IF(COUNTIF(BQ21:BT21,"X")&gt;0,IF(BQ21="X",1*BN21/BN27,IF(BR21="X",0.55*BN21/BN27,IF(OR(BS21="X",BT21="X"),0.1*BN21/BN27))),0),IF(COUNTIF(BQ22:BT22,"X")&gt;0,IF(BQ22="X",1*BN22/BN27,IF(BR22="X",0.55*BN22/BN27,IF(OR(BS22="X",BT22="X"),0.1*BN22/BN27))),0),IF(COUNTIF(BQ23:BT23,"X")&gt;0,IF(BQ23="X",1*BN23/BN27,IF(BR23="X",0.55*BN23/BN27,IF(OR(BS23="X",BT23="X"),0.1*BN23/BN27))),0)))))</f>
        <v/>
      </c>
      <c r="BX78" s="237"/>
      <c r="BY78" s="239"/>
      <c r="BZ78" s="236"/>
      <c r="CA78" s="237"/>
      <c r="CB78" s="237"/>
      <c r="CC78" s="238" t="str">
        <f>IF(BS78="","",BS78*'Eval-Après impact'!$T$107)</f>
        <v/>
      </c>
      <c r="CD78" s="237"/>
      <c r="CE78" s="237"/>
      <c r="CF78" s="237"/>
      <c r="CG78" s="238" t="str">
        <f>IF(BS78="","",BS78*'Eval-Après impact'!$T$107)</f>
        <v/>
      </c>
      <c r="CH78" s="237"/>
      <c r="CI78" s="239"/>
      <c r="CJ78" s="240" t="str">
        <f>IF(LEN('Eval-Après impact'!$T$107)=0,"",IF('Eval-Après impact'!$T$107=0,"Site détruit (0 ha).",IF(AND(BS78&gt;=0,BS78&lt;=0.2),"Très faible hydromorphie.","")))</f>
        <v/>
      </c>
      <c r="CK78" s="241" t="str">
        <f>IF(AND(BS78&gt;0.2,BS78&lt;=0.4),"Faible hydromorphie.","")</f>
        <v/>
      </c>
      <c r="CL78" s="241" t="str">
        <f>IF(AND(BS78&gt;0.4,BS78&lt;=0.6),"Assez forte hydromorphie.","")</f>
        <v/>
      </c>
      <c r="CM78" s="241" t="str">
        <f>IF(AND(BS78&gt;0.6,BS78&lt;=0.8),"Forte hydromorphie.","")</f>
        <v/>
      </c>
      <c r="CN78" s="241" t="str">
        <f>IF(AND(BS78&gt;0.8,BS78&lt;=1),"Très forte hydromorphie.","")</f>
        <v/>
      </c>
      <c r="CO78" s="218" t="str">
        <f>IF(LEN('Eval-Après impact'!$T$107)=0,"",IF('Eval-Après impact'!$T$107=0,"",IF(BS78="","Hydromorphie en profondeur non connue dans tout le site.","")))</f>
        <v/>
      </c>
      <c r="CP78" s="243" t="str">
        <f>BS78</f>
        <v/>
      </c>
      <c r="CQ78" s="244" t="str">
        <f>CC78</f>
        <v/>
      </c>
      <c r="CR78" s="245"/>
      <c r="CS78" s="1133"/>
      <c r="CT78" s="234" t="s">
        <v>202</v>
      </c>
      <c r="CU78" s="235" t="s">
        <v>150</v>
      </c>
      <c r="CV78" s="236"/>
      <c r="CW78" s="237"/>
      <c r="CX78" s="237"/>
      <c r="CY78" s="238" t="str">
        <f>IF(LEN('Eval-Avant action écologique'!$T$107)=0,"",IF('Eval-Avant action écologique'!$T$107=0,0,IF(CT27&lt;&gt;100,"",SUM(IF(COUNTIF(CW9:CZ9,"X")&gt;0,IF(CW9="X",1*CT9/CT27,IF(CX9="X",0.55*CT9/CT27,IF(OR(CY9="X",CZ9="X"),0.1*CT9/CT27))),0),IF(COUNTIF(CW10:CZ10,"X")&gt;0,IF(CW10="X",1*CT10/CT27,IF(CX10="X",0.55*CT10/CT27,IF(OR(CY10="X",CZ10="X"),0.1*CT10/CT27))),0),IF(COUNTIF(CW11:CZ11,"X")&gt;0,IF(CW11="X",1*CT11/CT27,IF(CX11="X",0.55*CT11/CT27,IF(OR(CY11="X",CZ11="X"),0.1*CT11/CT27))),0),IF(COUNTIF(CW12:CZ12,"X")&gt;0,IF(CW12="X",1*CT12/CT27,IF(CX12="X",0.55*CT12/CT27,IF(OR(CY12="X",CZ12="X"),0.1*CT12/CT27))),0),IF(COUNTIF(CW13:CZ13,"X")&gt;0,IF(CW13="X",1*CT13/CT27,IF(CX13="X",0.55*CT13/CT27,IF(OR(CY13="X",CZ13="X"),0.1*CT13/CT27))),0),IF(COUNTIF(CW14:CZ14,"X")&gt;0,IF(CW14="X",1*CT14/CT27,IF(CX14="X",0.55*CT14/CT27,IF(OR(CY14="X",CZ14="X"),0.1*CT14/CT27))),0),IF(COUNTIF(CW15:CZ15,"X")&gt;0,IF(CW15="X",1*CT15/CT27,IF(CX15="X",0.55*CT15/CT27,IF(OR(CY15="X",CZ15="X"),0.1*CT15/CT27))),0),IF(COUNTIF(CW16:CZ16,"X")&gt;0,IF(CW16="X",1*CT16/CT27,IF(CX16="X",0.55*CT16/CT27,IF(OR(CY16="X",CZ16="X"),0.1*CT16/CT27))),0),IF(COUNTIF(CW17:CZ17,"X")&gt;0,IF(CW17="X",1*CT17/CT27,IF(CX17="X",0.55*CT17/CT27,IF(OR(CY17="X",CZ17="X"),0.1*CT17/CT27))),0),IF(COUNTIF(CW18:CZ18,"X")&gt;0,IF(CW18="X",1*CT18/CT27,IF(CX18="X",0.55*CT18/CT27,IF(OR(CY18="X",CZ18="X"),0.1*CT18/CT27))),0),IF(COUNTIF(CW19:CZ19,"X")&gt;0,IF(CW19="X",1*CT19/CT27,IF(CX19="X",0.55*CT19/CT27,IF(OR(CY19="X",CZ19="X"),0.1*CT19/CT27))),0),IF(COUNTIF(CW20:CZ20,"X")&gt;0,IF(CW20="X",1*CT20/CT27,IF(CX20="X",0.55*CT20/CT27,IF(OR(CY20="X",CZ20="X"),0.1*CT20/CT27))),0),IF(COUNTIF(CW21:CZ21,"X")&gt;0,IF(CW21="X",1*CT21/CT27,IF(CX21="X",0.55*CT21/CT27,IF(OR(CY21="X",CZ21="X"),0.1*CT21/CT27))),0),IF(COUNTIF(CW22:CZ22,"X")&gt;0,IF(CW22="X",1*CT22/CT27,IF(CX22="X",0.55*CT22/CT27,IF(OR(CY22="X",CZ22="X"),0.1*CT22/CT27))),0),IF(COUNTIF(CW23:CZ23,"X")&gt;0,IF(CW23="X",1*CT23/CT27,IF(CX23="X",0.55*CT23/CT27,IF(OR(CY23="X",CZ23="X"),0.1*CT23/CT27))),0)))))</f>
        <v/>
      </c>
      <c r="CZ78" s="237"/>
      <c r="DA78" s="237"/>
      <c r="DB78" s="237"/>
      <c r="DC78" s="238" t="str">
        <f>IF(LEN('Eval-Avant action écologique'!$T$107)=0,"",IF('Eval-Avant action écologique'!$T$107=0,0,IF(CT27&lt;&gt;100,"",SUM(IF(COUNTIF(CW9:CZ9,"X")&gt;0,IF(CW9="X",1*CT9/CT27,IF(CX9="X",0.55*CT9/CT27,IF(OR(CY9="X",CZ9="X"),0.1*CT9/CT27))),0),IF(COUNTIF(CW10:CZ10,"X")&gt;0,IF(CW10="X",1*CT10/CT27,IF(CX10="X",0.55*CT10/CT27,IF(OR(CY10="X",CZ10="X"),0.1*CT10/CT27))),0),IF(COUNTIF(CW11:CZ11,"X")&gt;0,IF(CW11="X",1*CT11/CT27,IF(CX11="X",0.55*CT11/CT27,IF(OR(CY11="X",CZ11="X"),0.1*CT11/CT27))),0),IF(COUNTIF(CW12:CZ12,"X")&gt;0,IF(CW12="X",1*CT12/CT27,IF(CX12="X",0.55*CT12/CT27,IF(OR(CY12="X",CZ12="X"),0.1*CT12/CT27))),0),IF(COUNTIF(CW13:CZ13,"X")&gt;0,IF(CW13="X",1*CT13/CT27,IF(CX13="X",0.55*CT13/CT27,IF(OR(CY13="X",CZ13="X"),0.1*CT13/CT27))),0),IF(COUNTIF(CW14:CZ14,"X")&gt;0,IF(CW14="X",1*CT14/CT27,IF(CX14="X",0.55*CT14/CT27,IF(OR(CY14="X",CZ14="X"),0.1*CT14/CT27))),0),IF(COUNTIF(CW15:CZ15,"X")&gt;0,IF(CW15="X",1*CT15/CT27,IF(CX15="X",0.55*CT15/CT27,IF(OR(CY15="X",CZ15="X"),0.1*CT15/CT27))),0),IF(COUNTIF(CW16:CZ16,"X")&gt;0,IF(CW16="X",1*CT16/CT27,IF(CX16="X",0.55*CT16/CT27,IF(OR(CY16="X",CZ16="X"),0.1*CT16/CT27))),0),IF(COUNTIF(CW17:CZ17,"X")&gt;0,IF(CW17="X",1*CT17/CT27,IF(CX17="X",0.55*CT17/CT27,IF(OR(CY17="X",CZ17="X"),0.1*CT17/CT27))),0),IF(COUNTIF(CW18:CZ18,"X")&gt;0,IF(CW18="X",1*CT18/CT27,IF(CX18="X",0.55*CT18/CT27,IF(OR(CY18="X",CZ18="X"),0.1*CT18/CT27))),0),IF(COUNTIF(CW19:CZ19,"X")&gt;0,IF(CW19="X",1*CT19/CT27,IF(CX19="X",0.55*CT19/CT27,IF(OR(CY19="X",CZ19="X"),0.1*CT19/CT27))),0),IF(COUNTIF(CW20:CZ20,"X")&gt;0,IF(CW20="X",1*CT20/CT27,IF(CX20="X",0.55*CT20/CT27,IF(OR(CY20="X",CZ20="X"),0.1*CT20/CT27))),0),IF(COUNTIF(CW21:CZ21,"X")&gt;0,IF(CW21="X",1*CT21/CT27,IF(CX21="X",0.55*CT21/CT27,IF(OR(CY21="X",CZ21="X"),0.1*CT21/CT27))),0),IF(COUNTIF(CW22:CZ22,"X")&gt;0,IF(CW22="X",1*CT22/CT27,IF(CX22="X",0.55*CT22/CT27,IF(OR(CY22="X",CZ22="X"),0.1*CT22/CT27))),0),IF(COUNTIF(CW23:CZ23,"X")&gt;0,IF(CW23="X",1*CT23/CT27,IF(CX23="X",0.55*CT23/CT27,IF(OR(CY23="X",CZ23="X"),0.1*CT23/CT27))),0)))))</f>
        <v/>
      </c>
      <c r="DD78" s="237"/>
      <c r="DE78" s="239"/>
      <c r="DF78" s="236"/>
      <c r="DG78" s="237"/>
      <c r="DH78" s="237"/>
      <c r="DI78" s="238" t="str">
        <f>IF(CY78="","",CY78*'Eval-Avant action écologique'!$T$107)</f>
        <v/>
      </c>
      <c r="DJ78" s="237"/>
      <c r="DK78" s="237"/>
      <c r="DL78" s="237"/>
      <c r="DM78" s="238" t="str">
        <f>IF(CY78="","",CY78*'Eval-Avant action écologique'!$T$107)</f>
        <v/>
      </c>
      <c r="DN78" s="237"/>
      <c r="DO78" s="239"/>
      <c r="DP78" s="240" t="str">
        <f>IF(LEN('Eval-Avant action écologique'!$T$107)=0,"",IF('Eval-Avant action écologique'!$T$107=0,"Site détruit (0 ha).",IF(AND(CY78&gt;=0,CY78&lt;=0.2),"Très faible hydromorphie.","")))</f>
        <v/>
      </c>
      <c r="DQ78" s="241" t="str">
        <f>IF(AND(CY78&gt;0.2,CY78&lt;=0.4),"Faible hydromorphie.","")</f>
        <v/>
      </c>
      <c r="DR78" s="241" t="str">
        <f>IF(AND(CY78&gt;0.4,CY78&lt;=0.6),"Assez forte hydromorphie.","")</f>
        <v/>
      </c>
      <c r="DS78" s="241" t="str">
        <f>IF(AND(CY78&gt;0.6,CY78&lt;=0.8),"Forte hydromorphie.","")</f>
        <v/>
      </c>
      <c r="DT78" s="241" t="str">
        <f>IF(AND(CY78&gt;0.8,CY78&lt;=1),"Très forte hydromorphie.","")</f>
        <v/>
      </c>
      <c r="DU78" s="218" t="str">
        <f>IF(LEN('Eval-Avant action écologique'!$T$107)=0,"",IF('Eval-Avant action écologique'!$T$107=0,"",IF(CY78="","Hydromorphie en profondeur non connue dans tout le site.","")))</f>
        <v/>
      </c>
      <c r="DV78" s="243" t="str">
        <f>CY78</f>
        <v/>
      </c>
      <c r="DW78" s="244" t="str">
        <f>DI78</f>
        <v/>
      </c>
      <c r="DX78" s="245"/>
      <c r="DY78" s="1133"/>
      <c r="DZ78" s="234" t="s">
        <v>202</v>
      </c>
      <c r="EA78" s="235" t="s">
        <v>150</v>
      </c>
      <c r="EB78" s="236"/>
      <c r="EC78" s="237"/>
      <c r="ED78" s="237"/>
      <c r="EE78" s="238" t="str">
        <f>IF(LEN('Eval-Avec act. écol. envisagée'!$T$107)=0,"",IF('Eval-Avec act. écol. envisagée'!$T$107=0,0,IF(DZ27&lt;&gt;100,"",SUM(IF(COUNTIF(EC9:EF9,"X")&gt;0,IF(EC9="X",1*DZ9/DZ27,IF(ED9="X",0.55*DZ9/DZ27,IF(OR(EE9="X",EF9="X"),0.1*DZ9/DZ27))),0),IF(COUNTIF(EC10:EF10,"X")&gt;0,IF(EC10="X",1*DZ10/DZ27,IF(ED10="X",0.55*DZ10/DZ27,IF(OR(EE10="X",EF10="X"),0.1*DZ10/DZ27))),0),IF(COUNTIF(EC11:EF11,"X")&gt;0,IF(EC11="X",1*DZ11/DZ27,IF(ED11="X",0.55*DZ11/DZ27,IF(OR(EE11="X",EF11="X"),0.1*DZ11/DZ27))),0),IF(COUNTIF(EC12:EF12,"X")&gt;0,IF(EC12="X",1*DZ12/DZ27,IF(ED12="X",0.55*DZ12/DZ27,IF(OR(EE12="X",EF12="X"),0.1*DZ12/DZ27))),0),IF(COUNTIF(EC13:EF13,"X")&gt;0,IF(EC13="X",1*DZ13/DZ27,IF(ED13="X",0.55*DZ13/DZ27,IF(OR(EE13="X",EF13="X"),0.1*DZ13/DZ27))),0),IF(COUNTIF(EC14:EF14,"X")&gt;0,IF(EC14="X",1*DZ14/DZ27,IF(ED14="X",0.55*DZ14/DZ27,IF(OR(EE14="X",EF14="X"),0.1*DZ14/DZ27))),0),IF(COUNTIF(EC15:EF15,"X")&gt;0,IF(EC15="X",1*DZ15/DZ27,IF(ED15="X",0.55*DZ15/DZ27,IF(OR(EE15="X",EF15="X"),0.1*DZ15/DZ27))),0),IF(COUNTIF(EC16:EF16,"X")&gt;0,IF(EC16="X",1*DZ16/DZ27,IF(ED16="X",0.55*DZ16/DZ27,IF(OR(EE16="X",EF16="X"),0.1*DZ16/DZ27))),0),IF(COUNTIF(EC17:EF17,"X")&gt;0,IF(EC17="X",1*DZ17/DZ27,IF(ED17="X",0.55*DZ17/DZ27,IF(OR(EE17="X",EF17="X"),0.1*DZ17/DZ27))),0),IF(COUNTIF(EC18:EF18,"X")&gt;0,IF(EC18="X",1*DZ18/DZ27,IF(ED18="X",0.55*DZ18/DZ27,IF(OR(EE18="X",EF18="X"),0.1*DZ18/DZ27))),0),IF(COUNTIF(EC19:EF19,"X")&gt;0,IF(EC19="X",1*DZ19/DZ27,IF(ED19="X",0.55*DZ19/DZ27,IF(OR(EE19="X",EF19="X"),0.1*DZ19/DZ27))),0),IF(COUNTIF(EC20:EF20,"X")&gt;0,IF(EC20="X",1*DZ20/DZ27,IF(ED20="X",0.55*DZ20/DZ27,IF(OR(EE20="X",EF20="X"),0.1*DZ20/DZ27))),0),IF(COUNTIF(EC21:EF21,"X")&gt;0,IF(EC21="X",1*DZ21/DZ27,IF(ED21="X",0.55*DZ21/DZ27,IF(OR(EE21="X",EF21="X"),0.1*DZ21/DZ27))),0),IF(COUNTIF(EC22:EF22,"X")&gt;0,IF(EC22="X",1*DZ22/DZ27,IF(ED22="X",0.55*DZ22/DZ27,IF(OR(EE22="X",EF22="X"),0.1*DZ22/DZ27))),0),IF(COUNTIF(EC23:EF23,"X")&gt;0,IF(EC23="X",1*DZ23/DZ27,IF(ED23="X",0.55*DZ23/DZ27,IF(OR(EE23="X",EF23="X"),0.1*DZ23/DZ27))),0)))))</f>
        <v/>
      </c>
      <c r="EF78" s="237"/>
      <c r="EG78" s="237"/>
      <c r="EH78" s="237"/>
      <c r="EI78" s="238" t="str">
        <f>IF(LEN('Eval-Avec act. écol. envisagée'!$T$107)=0,"",IF('Eval-Avec act. écol. envisagée'!$T$107=0,0,IF(DZ27&lt;&gt;100,"",SUM(IF(COUNTIF(EC9:EF9,"X")&gt;0,IF(EC9="X",1*DZ9/DZ27,IF(ED9="X",0.55*DZ9/DZ27,IF(OR(EE9="X",EF9="X"),0.1*DZ9/DZ27))),0),IF(COUNTIF(EC10:EF10,"X")&gt;0,IF(EC10="X",1*DZ10/DZ27,IF(ED10="X",0.55*DZ10/DZ27,IF(OR(EE10="X",EF10="X"),0.1*DZ10/DZ27))),0),IF(COUNTIF(EC11:EF11,"X")&gt;0,IF(EC11="X",1*DZ11/DZ27,IF(ED11="X",0.55*DZ11/DZ27,IF(OR(EE11="X",EF11="X"),0.1*DZ11/DZ27))),0),IF(COUNTIF(EC12:EF12,"X")&gt;0,IF(EC12="X",1*DZ12/DZ27,IF(ED12="X",0.55*DZ12/DZ27,IF(OR(EE12="X",EF12="X"),0.1*DZ12/DZ27))),0),IF(COUNTIF(EC13:EF13,"X")&gt;0,IF(EC13="X",1*DZ13/DZ27,IF(ED13="X",0.55*DZ13/DZ27,IF(OR(EE13="X",EF13="X"),0.1*DZ13/DZ27))),0),IF(COUNTIF(EC14:EF14,"X")&gt;0,IF(EC14="X",1*DZ14/DZ27,IF(ED14="X",0.55*DZ14/DZ27,IF(OR(EE14="X",EF14="X"),0.1*DZ14/DZ27))),0),IF(COUNTIF(EC15:EF15,"X")&gt;0,IF(EC15="X",1*DZ15/DZ27,IF(ED15="X",0.55*DZ15/DZ27,IF(OR(EE15="X",EF15="X"),0.1*DZ15/DZ27))),0),IF(COUNTIF(EC16:EF16,"X")&gt;0,IF(EC16="X",1*DZ16/DZ27,IF(ED16="X",0.55*DZ16/DZ27,IF(OR(EE16="X",EF16="X"),0.1*DZ16/DZ27))),0),IF(COUNTIF(EC17:EF17,"X")&gt;0,IF(EC17="X",1*DZ17/DZ27,IF(ED17="X",0.55*DZ17/DZ27,IF(OR(EE17="X",EF17="X"),0.1*DZ17/DZ27))),0),IF(COUNTIF(EC18:EF18,"X")&gt;0,IF(EC18="X",1*DZ18/DZ27,IF(ED18="X",0.55*DZ18/DZ27,IF(OR(EE18="X",EF18="X"),0.1*DZ18/DZ27))),0),IF(COUNTIF(EC19:EF19,"X")&gt;0,IF(EC19="X",1*DZ19/DZ27,IF(ED19="X",0.55*DZ19/DZ27,IF(OR(EE19="X",EF19="X"),0.1*DZ19/DZ27))),0),IF(COUNTIF(EC20:EF20,"X")&gt;0,IF(EC20="X",1*DZ20/DZ27,IF(ED20="X",0.55*DZ20/DZ27,IF(OR(EE20="X",EF20="X"),0.1*DZ20/DZ27))),0),IF(COUNTIF(EC21:EF21,"X")&gt;0,IF(EC21="X",1*DZ21/DZ27,IF(ED21="X",0.55*DZ21/DZ27,IF(OR(EE21="X",EF21="X"),0.1*DZ21/DZ27))),0),IF(COUNTIF(EC22:EF22,"X")&gt;0,IF(EC22="X",1*DZ22/DZ27,IF(ED22="X",0.55*DZ22/DZ27,IF(OR(EE22="X",EF22="X"),0.1*DZ22/DZ27))),0),IF(COUNTIF(EC23:EF23,"X")&gt;0,IF(EC23="X",1*DZ23/DZ27,IF(ED23="X",0.55*DZ23/DZ27,IF(OR(EE23="X",EF23="X"),0.1*DZ23/DZ27))),0)))))</f>
        <v/>
      </c>
      <c r="EJ78" s="237"/>
      <c r="EK78" s="239"/>
      <c r="EL78" s="236"/>
      <c r="EM78" s="237"/>
      <c r="EN78" s="237"/>
      <c r="EO78" s="238" t="str">
        <f>IF(EE78="","",EE78*'Eval-Avec act. écol. envisagée'!$T$107)</f>
        <v/>
      </c>
      <c r="EP78" s="237"/>
      <c r="EQ78" s="237"/>
      <c r="ER78" s="237"/>
      <c r="ES78" s="238" t="str">
        <f>IF(EE78="","",EE78*'Eval-Avec act. écol. envisagée'!$T$107)</f>
        <v/>
      </c>
      <c r="ET78" s="237"/>
      <c r="EU78" s="239"/>
      <c r="EV78" s="240" t="str">
        <f>IF(LEN('Eval-Avec act. écol. envisagée'!$T$107)=0,"",IF('Eval-Avec act. écol. envisagée'!$T$107=0,"Site détruit (0 ha).",IF(AND(EE78&gt;=0,EE78&lt;=0.2),"Très faible hydromorphie.","")))</f>
        <v/>
      </c>
      <c r="EW78" s="241" t="str">
        <f>IF(AND(EE78&gt;0.2,EE78&lt;=0.4),"Faible hydromorphie.","")</f>
        <v/>
      </c>
      <c r="EX78" s="241" t="str">
        <f>IF(AND(EE78&gt;0.4,EE78&lt;=0.6),"Assez forte hydromorphie.","")</f>
        <v/>
      </c>
      <c r="EY78" s="241" t="str">
        <f>IF(AND(EE78&gt;0.6,EE78&lt;=0.8),"Forte hydromorphie.","")</f>
        <v/>
      </c>
      <c r="EZ78" s="241" t="str">
        <f>IF(AND(EE78&gt;0.8,EE78&lt;=1),"Très forte hydromorphie.","")</f>
        <v/>
      </c>
      <c r="FA78" s="218" t="str">
        <f>IF(LEN('Eval-Avec act. écol. envisagée'!$T$107)=0,"",IF('Eval-Avec act. écol. envisagée'!$T$107=0,"",IF(EE78="","Hydromorphie en profondeur non connue dans tout le site.","")))</f>
        <v/>
      </c>
      <c r="FB78" s="243" t="str">
        <f>EE78</f>
        <v/>
      </c>
      <c r="FC78" s="244" t="str">
        <f>EO78</f>
        <v/>
      </c>
      <c r="FD78" s="245"/>
      <c r="FE78" s="1133"/>
      <c r="FF78" s="234" t="s">
        <v>202</v>
      </c>
      <c r="FG78" s="235" t="s">
        <v>150</v>
      </c>
      <c r="FH78" s="236"/>
      <c r="FI78" s="237"/>
      <c r="FJ78" s="237"/>
      <c r="FK78" s="238" t="str">
        <f>IF(LEN('Eval-Après action écologique'!$T$107)=0,"",IF('Eval-Après action écologique'!$T$107=0,0,IF(FF27&lt;&gt;100,"",SUM(IF(COUNTIF(FI9:FL9,"X")&gt;0,IF(FI9="X",1*FF9/FF27,IF(FJ9="X",0.55*FF9/FF27,IF(OR(FK9="X",FL9="X"),0.1*FF9/FF27))),0),IF(COUNTIF(FI10:FL10,"X")&gt;0,IF(FI10="X",1*FF10/FF27,IF(FJ10="X",0.55*FF10/FF27,IF(OR(FK10="X",FL10="X"),0.1*FF10/FF27))),0),IF(COUNTIF(FI11:FL11,"X")&gt;0,IF(FI11="X",1*FF11/FF27,IF(FJ11="X",0.55*FF11/FF27,IF(OR(FK11="X",FL11="X"),0.1*FF11/FF27))),0),IF(COUNTIF(FI12:FL12,"X")&gt;0,IF(FI12="X",1*FF12/FF27,IF(FJ12="X",0.55*FF12/FF27,IF(OR(FK12="X",FL12="X"),0.1*FF12/FF27))),0),IF(COUNTIF(FI13:FL13,"X")&gt;0,IF(FI13="X",1*FF13/FF27,IF(FJ13="X",0.55*FF13/FF27,IF(OR(FK13="X",FL13="X"),0.1*FF13/FF27))),0),IF(COUNTIF(FI14:FL14,"X")&gt;0,IF(FI14="X",1*FF14/FF27,IF(FJ14="X",0.55*FF14/FF27,IF(OR(FK14="X",FL14="X"),0.1*FF14/FF27))),0),IF(COUNTIF(FI15:FL15,"X")&gt;0,IF(FI15="X",1*FF15/FF27,IF(FJ15="X",0.55*FF15/FF27,IF(OR(FK15="X",FL15="X"),0.1*FF15/FF27))),0),IF(COUNTIF(FI16:FL16,"X")&gt;0,IF(FI16="X",1*FF16/FF27,IF(FJ16="X",0.55*FF16/FF27,IF(OR(FK16="X",FL16="X"),0.1*FF16/FF27))),0),IF(COUNTIF(FI17:FL17,"X")&gt;0,IF(FI17="X",1*FF17/FF27,IF(FJ17="X",0.55*FF17/FF27,IF(OR(FK17="X",FL17="X"),0.1*FF17/FF27))),0),IF(COUNTIF(FI18:FL18,"X")&gt;0,IF(FI18="X",1*FF18/FF27,IF(FJ18="X",0.55*FF18/FF27,IF(OR(FK18="X",FL18="X"),0.1*FF18/FF27))),0),IF(COUNTIF(FI19:FL19,"X")&gt;0,IF(FI19="X",1*FF19/FF27,IF(FJ19="X",0.55*FF19/FF27,IF(OR(FK19="X",FL19="X"),0.1*FF19/FF27))),0),IF(COUNTIF(FI20:FL20,"X")&gt;0,IF(FI20="X",1*FF20/FF27,IF(FJ20="X",0.55*FF20/FF27,IF(OR(FK20="X",FL20="X"),0.1*FF20/FF27))),0),IF(COUNTIF(FI21:FL21,"X")&gt;0,IF(FI21="X",1*FF21/FF27,IF(FJ21="X",0.55*FF21/FF27,IF(OR(FK21="X",FL21="X"),0.1*FF21/FF27))),0),IF(COUNTIF(FI22:FL22,"X")&gt;0,IF(FI22="X",1*FF22/FF27,IF(FJ22="X",0.55*FF22/FF27,IF(OR(FK22="X",FL22="X"),0.1*FF22/FF27))),0),IF(COUNTIF(FI23:FL23,"X")&gt;0,IF(FI23="X",1*FF23/FF27,IF(FJ23="X",0.55*FF23/FF27,IF(OR(FK23="X",FL23="X"),0.1*FF23/FF27))),0)))))</f>
        <v/>
      </c>
      <c r="FL78" s="237"/>
      <c r="FM78" s="237"/>
      <c r="FN78" s="237"/>
      <c r="FO78" s="238" t="str">
        <f>IF(LEN('Eval-Après action écologique'!$T$107)=0,"",IF('Eval-Après action écologique'!$T$107=0,0,IF(FF27&lt;&gt;100,"",SUM(IF(COUNTIF(FI9:FL9,"X")&gt;0,IF(FI9="X",1*FF9/FF27,IF(FJ9="X",0.55*FF9/FF27,IF(OR(FK9="X",FL9="X"),0.1*FF9/FF27))),0),IF(COUNTIF(FI10:FL10,"X")&gt;0,IF(FI10="X",1*FF10/FF27,IF(FJ10="X",0.55*FF10/FF27,IF(OR(FK10="X",FL10="X"),0.1*FF10/FF27))),0),IF(COUNTIF(FI11:FL11,"X")&gt;0,IF(FI11="X",1*FF11/FF27,IF(FJ11="X",0.55*FF11/FF27,IF(OR(FK11="X",FL11="X"),0.1*FF11/FF27))),0),IF(COUNTIF(FI12:FL12,"X")&gt;0,IF(FI12="X",1*FF12/FF27,IF(FJ12="X",0.55*FF12/FF27,IF(OR(FK12="X",FL12="X"),0.1*FF12/FF27))),0),IF(COUNTIF(FI13:FL13,"X")&gt;0,IF(FI13="X",1*FF13/FF27,IF(FJ13="X",0.55*FF13/FF27,IF(OR(FK13="X",FL13="X"),0.1*FF13/FF27))),0),IF(COUNTIF(FI14:FL14,"X")&gt;0,IF(FI14="X",1*FF14/FF27,IF(FJ14="X",0.55*FF14/FF27,IF(OR(FK14="X",FL14="X"),0.1*FF14/FF27))),0),IF(COUNTIF(FI15:FL15,"X")&gt;0,IF(FI15="X",1*FF15/FF27,IF(FJ15="X",0.55*FF15/FF27,IF(OR(FK15="X",FL15="X"),0.1*FF15/FF27))),0),IF(COUNTIF(FI16:FL16,"X")&gt;0,IF(FI16="X",1*FF16/FF27,IF(FJ16="X",0.55*FF16/FF27,IF(OR(FK16="X",FL16="X"),0.1*FF16/FF27))),0),IF(COUNTIF(FI17:FL17,"X")&gt;0,IF(FI17="X",1*FF17/FF27,IF(FJ17="X",0.55*FF17/FF27,IF(OR(FK17="X",FL17="X"),0.1*FF17/FF27))),0),IF(COUNTIF(FI18:FL18,"X")&gt;0,IF(FI18="X",1*FF18/FF27,IF(FJ18="X",0.55*FF18/FF27,IF(OR(FK18="X",FL18="X"),0.1*FF18/FF27))),0),IF(COUNTIF(FI19:FL19,"X")&gt;0,IF(FI19="X",1*FF19/FF27,IF(FJ19="X",0.55*FF19/FF27,IF(OR(FK19="X",FL19="X"),0.1*FF19/FF27))),0),IF(COUNTIF(FI20:FL20,"X")&gt;0,IF(FI20="X",1*FF20/FF27,IF(FJ20="X",0.55*FF20/FF27,IF(OR(FK20="X",FL20="X"),0.1*FF20/FF27))),0),IF(COUNTIF(FI21:FL21,"X")&gt;0,IF(FI21="X",1*FF21/FF27,IF(FJ21="X",0.55*FF21/FF27,IF(OR(FK21="X",FL21="X"),0.1*FF21/FF27))),0),IF(COUNTIF(FI22:FL22,"X")&gt;0,IF(FI22="X",1*FF22/FF27,IF(FJ22="X",0.55*FF22/FF27,IF(OR(FK22="X",FL22="X"),0.1*FF22/FF27))),0),IF(COUNTIF(FI23:FL23,"X")&gt;0,IF(FI23="X",1*FF23/FF27,IF(FJ23="X",0.55*FF23/FF27,IF(OR(FK23="X",FL23="X"),0.1*FF23/FF27))),0)))))</f>
        <v/>
      </c>
      <c r="FP78" s="237"/>
      <c r="FQ78" s="239"/>
      <c r="FR78" s="236"/>
      <c r="FS78" s="237"/>
      <c r="FT78" s="237"/>
      <c r="FU78" s="238" t="str">
        <f>IF(FK78="","",FK78*'Eval-Après action écologique'!$T$107)</f>
        <v/>
      </c>
      <c r="FV78" s="237"/>
      <c r="FW78" s="237"/>
      <c r="FX78" s="237"/>
      <c r="FY78" s="238" t="str">
        <f>IF(FK78="","",FK78*'Eval-Après action écologique'!$T$107)</f>
        <v/>
      </c>
      <c r="FZ78" s="237"/>
      <c r="GA78" s="239"/>
      <c r="GB78" s="240" t="str">
        <f>IF(LEN('Eval-Après action écologique'!$T$107)=0,"",IF('Eval-Après action écologique'!$T$107=0,"Site détruit (0 ha).",IF(AND(FK78&gt;=0,FK78&lt;=0.2),"Très faible hydromorphie.","")))</f>
        <v/>
      </c>
      <c r="GC78" s="241" t="str">
        <f>IF(AND(FK78&gt;0.2,FK78&lt;=0.4),"Faible hydromorphie.","")</f>
        <v/>
      </c>
      <c r="GD78" s="241" t="str">
        <f>IF(AND(FK78&gt;0.4,FK78&lt;=0.6),"Assez forte hydromorphie.","")</f>
        <v/>
      </c>
      <c r="GE78" s="241" t="str">
        <f>IF(AND(FK78&gt;0.6,FK78&lt;=0.8),"Forte hydromorphie.","")</f>
        <v/>
      </c>
      <c r="GF78" s="241" t="str">
        <f>IF(AND(FK78&gt;0.8,FK78&lt;=1),"Très forte hydromorphie.","")</f>
        <v/>
      </c>
      <c r="GG78" s="218" t="str">
        <f>IF(LEN('Eval-Après action écologique'!$T$107)=0,"",IF('Eval-Après action écologique'!$T$107=0,"",IF(FK78="","Hydromorphie en profondeur non connue dans tout le site.","")))</f>
        <v/>
      </c>
      <c r="GH78" s="243" t="str">
        <f>FK78</f>
        <v/>
      </c>
      <c r="GI78" s="244" t="str">
        <f>FU78</f>
        <v/>
      </c>
    </row>
    <row r="79" spans="1:191" ht="31.5" customHeight="1" x14ac:dyDescent="0.2">
      <c r="A79" s="1133"/>
      <c r="B79" s="1135" t="s">
        <v>187</v>
      </c>
      <c r="C79" s="235" t="s">
        <v>151</v>
      </c>
      <c r="D79" s="236"/>
      <c r="E79" s="237"/>
      <c r="F79" s="237"/>
      <c r="G79" s="237"/>
      <c r="H79" s="237"/>
      <c r="I79" s="237"/>
      <c r="J79" s="237"/>
      <c r="K79" s="237"/>
      <c r="L79" s="238" t="str">
        <f>IF(LEN('Eval-Avant impact'!$T$107)=0,"",IF('Eval-Avant impact'!$T$107=0,0,IF(SUM(IF(COUNTIF('Eval-Avant impact'!$C$465:$C$479,"A*")&gt;0,1,0),IF(COUNTIF('Eval-Avant impact'!$C$465:$C$479,"B*")&gt;0,1,0),IF(COUNTIF('Eval-Avant impact'!$C$465:$C$479,"C*")&gt;0,1,0),IF(COUNTIF('Eval-Avant impact'!$C$465:$C$479,"D*")&gt;0,1,0),IF(COUNTIF('Eval-Avant impact'!$C$465:$C$479,"E*")&gt;0,1,0),IF(COUNTIF('Eval-Avant impact'!$C$465:$C$479,"F*")&gt;0,1,0),IF(COUNTIF('Eval-Avant impact'!$C$465:$C$479,"G*")&gt;0,1,0),IF(COUNTIF('Eval-Avant impact'!$C$465:$C$479,"H*")&gt;0,1,0),IF(COUNTIF('Eval-Avant impact'!$C$465:$C$479,"I*")&gt;0,1,0),IF(COUNTIF('Eval-Avant impact'!$C$465:$C$479,"J*")&gt;0,1,0))&gt;=5,1, SUM(IF(COUNTIF('Eval-Avant impact'!$C$465:$C$479,"A*")&gt;0,1,0),IF(COUNTIF('Eval-Avant impact'!$C$465:$C$479,"B*")&gt;0,1,0),IF(COUNTIF('Eval-Avant impact'!$C$465:$C$479,"C*")&gt;0,1,0),IF(COUNTIF('Eval-Avant impact'!$C$465:$C$479,"D*")&gt;0,1,0),IF(COUNTIF('Eval-Avant impact'!$C$465:$C$479,"E*")&gt;0,1,0),IF(COUNTIF('Eval-Avant impact'!$C$465:$C$479,"F*")&gt;0,1,0),IF(COUNTIF('Eval-Avant impact'!$C$465:$C$479,"G*")&gt;0,1,0),IF(COUNTIF('Eval-Avant impact'!$C$465:$C$479,"H*")&gt;0,1,0),IF(COUNTIF('Eval-Avant impact'!$C$465:$C$479,"I*")&gt;0,1,0),IF(COUNTIF('Eval-Avant impact'!$C$465:$C$479,"J*")&gt;0,1,0))/5)))</f>
        <v/>
      </c>
      <c r="M79" s="239"/>
      <c r="N79" s="236"/>
      <c r="O79" s="237"/>
      <c r="P79" s="237"/>
      <c r="Q79" s="237"/>
      <c r="R79" s="237"/>
      <c r="S79" s="237"/>
      <c r="T79" s="237"/>
      <c r="U79" s="237"/>
      <c r="V79" s="238" t="str">
        <f>IF(L79="","",L79*'Eval-Avant impact'!$T$107)</f>
        <v/>
      </c>
      <c r="W79" s="239"/>
      <c r="X79" s="240" t="str">
        <f>IF(LEN('Eval-Avant impact'!$T$107)=0,"",IF('Eval-Avant impact'!$T$107=0,"Site détruit (0 ha).",IF(AND(L79=1/5),"1 grand habitat.","")))</f>
        <v/>
      </c>
      <c r="Y79" s="241" t="str">
        <f>IF(AND(L79=2/5),"2 grands habitats.","")</f>
        <v/>
      </c>
      <c r="Z79" s="241" t="str">
        <f>IF(AND(L79=3/5),"3 grands habitats.","")</f>
        <v/>
      </c>
      <c r="AA79" s="241" t="str">
        <f>IF(AND(L79=4/5),"4 grands habitats.","")</f>
        <v/>
      </c>
      <c r="AB79" s="241" t="str">
        <f>IF(AND(L79=1),CONCATENATE(SUM(IF(COUNTIF('Eval-Avant impact'!$C$465:$C$479,"A*")&gt;0,1,0),IF(COUNTIF('Eval-Avant impact'!$C$465:$C$479,"B*")&gt;0,1,0),IF(COUNTIF('Eval-Avant impact'!$C$465:$C$479,"C*")&gt;0,1,0),IF(COUNTIF('Eval-Avant impact'!$C$465:$C$479,"D*")&gt;0,1,0),IF(COUNTIF('Eval-Avant impact'!$C$465:$C$479,"E*")&gt;0,1,0),IF(COUNTIF('Eval-Avant impact'!$C$465:$C$479,"F*")&gt;0,1,0),IF(COUNTIF('Eval-Avant impact'!$C$465:$C$479,"G*")&gt;0,1,0),IF(COUNTIF('Eval-Avant impact'!$C$465:$C$479,"H*")&gt;0,1,0),IF(COUNTIF('Eval-Avant impact'!$C$465:$C$479,"I*")&gt;0,1,0),IF(COUNTIF('Eval-Avant impact'!$C$465:$C$479,"J*")&gt;0,1,0))," grands habitats."),"")</f>
        <v/>
      </c>
      <c r="AC79" s="246"/>
      <c r="AD79" s="243" t="str">
        <f>L79</f>
        <v/>
      </c>
      <c r="AE79" s="244" t="str">
        <f>V79</f>
        <v/>
      </c>
      <c r="AF79" s="245"/>
      <c r="AG79" s="1133"/>
      <c r="AH79" s="1135" t="s">
        <v>187</v>
      </c>
      <c r="AI79" s="235" t="s">
        <v>151</v>
      </c>
      <c r="AJ79" s="236"/>
      <c r="AK79" s="237"/>
      <c r="AL79" s="237"/>
      <c r="AM79" s="237"/>
      <c r="AN79" s="237"/>
      <c r="AO79" s="237"/>
      <c r="AP79" s="237"/>
      <c r="AQ79" s="237"/>
      <c r="AR79" s="238" t="str">
        <f>IF(LEN('Eval-Avec impact envisagé'!$T$107)=0,"",IF('Eval-Avec impact envisagé'!$T$107=0,0,IF(SUM(IF(COUNTIF('Eval-Avec impact envisagé'!$C$465:$C$479,"A*")&gt;0,1,0),IF(COUNTIF('Eval-Avec impact envisagé'!$C$465:$C$479,"B*")&gt;0,1,0),IF(COUNTIF('Eval-Avec impact envisagé'!$C$465:$C$479,"C*")&gt;0,1,0),IF(COUNTIF('Eval-Avec impact envisagé'!$C$465:$C$479,"D*")&gt;0,1,0),IF(COUNTIF('Eval-Avec impact envisagé'!$C$465:$C$479,"E*")&gt;0,1,0),IF(COUNTIF('Eval-Avec impact envisagé'!$C$465:$C$479,"F*")&gt;0,1,0),IF(COUNTIF('Eval-Avec impact envisagé'!$C$465:$C$479,"G*")&gt;0,1,0),IF(COUNTIF('Eval-Avec impact envisagé'!$C$465:$C$479,"H*")&gt;0,1,0),IF(COUNTIF('Eval-Avec impact envisagé'!$C$465:$C$479,"I*")&gt;0,1,0),IF(COUNTIF('Eval-Avec impact envisagé'!$C$465:$C$479,"J*")&gt;0,1,0))&gt;=5,1, SUM(IF(COUNTIF('Eval-Avec impact envisagé'!$C$465:$C$479,"A*")&gt;0,1,0),IF(COUNTIF('Eval-Avec impact envisagé'!$C$465:$C$479,"B*")&gt;0,1,0),IF(COUNTIF('Eval-Avec impact envisagé'!$C$465:$C$479,"C*")&gt;0,1,0),IF(COUNTIF('Eval-Avec impact envisagé'!$C$465:$C$479,"D*")&gt;0,1,0),IF(COUNTIF('Eval-Avec impact envisagé'!$C$465:$C$479,"E*")&gt;0,1,0),IF(COUNTIF('Eval-Avec impact envisagé'!$C$465:$C$479,"F*")&gt;0,1,0),IF(COUNTIF('Eval-Avec impact envisagé'!$C$465:$C$479,"G*")&gt;0,1,0),IF(COUNTIF('Eval-Avec impact envisagé'!$C$465:$C$479,"H*")&gt;0,1,0),IF(COUNTIF('Eval-Avec impact envisagé'!$C$465:$C$479,"I*")&gt;0,1,0),IF(COUNTIF('Eval-Avec impact envisagé'!$C$465:$C$479,"J*")&gt;0,1,0))/5)))</f>
        <v/>
      </c>
      <c r="AS79" s="239"/>
      <c r="AT79" s="236"/>
      <c r="AU79" s="237"/>
      <c r="AV79" s="237"/>
      <c r="AW79" s="237"/>
      <c r="AX79" s="237"/>
      <c r="AY79" s="237"/>
      <c r="AZ79" s="237"/>
      <c r="BA79" s="237"/>
      <c r="BB79" s="238" t="str">
        <f>IF(AR79="","",AR79*'Eval-Avec impact envisagé'!$T$107)</f>
        <v/>
      </c>
      <c r="BC79" s="239"/>
      <c r="BD79" s="240" t="str">
        <f>IF(LEN('Eval-Avec impact envisagé'!$T$107)=0,"",IF('Eval-Avec impact envisagé'!$T$107=0,"Site détruit (0 ha).",IF(AND(AR79=1/5),"1 grand habitat.","")))</f>
        <v/>
      </c>
      <c r="BE79" s="241" t="str">
        <f>IF(AND(AR79=2/5),"2 grands habitats.","")</f>
        <v/>
      </c>
      <c r="BF79" s="241" t="str">
        <f>IF(AND(AR79=3/5),"3 grands habitats.","")</f>
        <v/>
      </c>
      <c r="BG79" s="241" t="str">
        <f>IF(AND(AR79=4/5),"4 grands habitats.","")</f>
        <v/>
      </c>
      <c r="BH79" s="241" t="str">
        <f>IF(AND(AR79=1),CONCATENATE(SUM(IF(COUNTIF('Eval-Avec impact envisagé'!$C$465:$C$479,"A*")&gt;0,1,0),IF(COUNTIF('Eval-Avec impact envisagé'!$C$465:$C$479,"B*")&gt;0,1,0),IF(COUNTIF('Eval-Avec impact envisagé'!$C$465:$C$479,"C*")&gt;0,1,0),IF(COUNTIF('Eval-Avec impact envisagé'!$C$465:$C$479,"D*")&gt;0,1,0),IF(COUNTIF('Eval-Avec impact envisagé'!$C$465:$C$479,"E*")&gt;0,1,0),IF(COUNTIF('Eval-Avec impact envisagé'!$C$465:$C$479,"F*")&gt;0,1,0),IF(COUNTIF('Eval-Avec impact envisagé'!$C$465:$C$479,"G*")&gt;0,1,0),IF(COUNTIF('Eval-Avec impact envisagé'!$C$465:$C$479,"H*")&gt;0,1,0),IF(COUNTIF('Eval-Avec impact envisagé'!$C$465:$C$479,"I*")&gt;0,1,0),IF(COUNTIF('Eval-Avec impact envisagé'!$C$465:$C$479,"J*")&gt;0,1,0))," grands habitats."),"")</f>
        <v/>
      </c>
      <c r="BI79" s="246"/>
      <c r="BJ79" s="243" t="str">
        <f>AR79</f>
        <v/>
      </c>
      <c r="BK79" s="244" t="str">
        <f>BB79</f>
        <v/>
      </c>
      <c r="BL79" s="245"/>
      <c r="BM79" s="1133"/>
      <c r="BN79" s="1135" t="s">
        <v>187</v>
      </c>
      <c r="BO79" s="235" t="s">
        <v>151</v>
      </c>
      <c r="BP79" s="236"/>
      <c r="BQ79" s="237"/>
      <c r="BR79" s="237"/>
      <c r="BS79" s="237"/>
      <c r="BT79" s="237"/>
      <c r="BU79" s="237"/>
      <c r="BV79" s="237"/>
      <c r="BW79" s="237"/>
      <c r="BX79" s="238" t="str">
        <f>IF(LEN('Eval-Après impact'!$T$107)=0,"",IF('Eval-Après impact'!$T$107=0,0,IF(SUM(IF(COUNTIF('Eval-Après impact'!$C$465:$C$479,"A*")&gt;0,1,0),IF(COUNTIF('Eval-Après impact'!$C$465:$C$479,"B*")&gt;0,1,0),IF(COUNTIF('Eval-Après impact'!$C$465:$C$479,"C*")&gt;0,1,0),IF(COUNTIF('Eval-Après impact'!$C$465:$C$479,"D*")&gt;0,1,0),IF(COUNTIF('Eval-Après impact'!$C$465:$C$479,"E*")&gt;0,1,0),IF(COUNTIF('Eval-Après impact'!$C$465:$C$479,"F*")&gt;0,1,0),IF(COUNTIF('Eval-Après impact'!$C$465:$C$479,"G*")&gt;0,1,0),IF(COUNTIF('Eval-Après impact'!$C$465:$C$479,"H*")&gt;0,1,0),IF(COUNTIF('Eval-Après impact'!$C$465:$C$479,"I*")&gt;0,1,0),IF(COUNTIF('Eval-Après impact'!$C$465:$C$479,"J*")&gt;0,1,0))&gt;=5,1, SUM(IF(COUNTIF('Eval-Après impact'!$C$465:$C$479,"A*")&gt;0,1,0),IF(COUNTIF('Eval-Après impact'!$C$465:$C$479,"B*")&gt;0,1,0),IF(COUNTIF('Eval-Après impact'!$C$465:$C$479,"C*")&gt;0,1,0),IF(COUNTIF('Eval-Après impact'!$C$465:$C$479,"D*")&gt;0,1,0),IF(COUNTIF('Eval-Après impact'!$C$465:$C$479,"E*")&gt;0,1,0),IF(COUNTIF('Eval-Après impact'!$C$465:$C$479,"F*")&gt;0,1,0),IF(COUNTIF('Eval-Après impact'!$C$465:$C$479,"G*")&gt;0,1,0),IF(COUNTIF('Eval-Après impact'!$C$465:$C$479,"H*")&gt;0,1,0),IF(COUNTIF('Eval-Après impact'!$C$465:$C$479,"I*")&gt;0,1,0),IF(COUNTIF('Eval-Après impact'!$C$465:$C$479,"J*")&gt;0,1,0))/5)))</f>
        <v/>
      </c>
      <c r="BY79" s="239"/>
      <c r="BZ79" s="236"/>
      <c r="CA79" s="237"/>
      <c r="CB79" s="237"/>
      <c r="CC79" s="237"/>
      <c r="CD79" s="237"/>
      <c r="CE79" s="237"/>
      <c r="CF79" s="237"/>
      <c r="CG79" s="237"/>
      <c r="CH79" s="238" t="str">
        <f>IF(BX79="","",BX79*'Eval-Après impact'!$T$107)</f>
        <v/>
      </c>
      <c r="CI79" s="239"/>
      <c r="CJ79" s="240" t="str">
        <f>IF(LEN('Eval-Après impact'!$T$107)=0,"",IF('Eval-Après impact'!$T$107=0,"Site détruit (0 ha).",IF(AND(BX79=1/5),"1 grand habitat.","")))</f>
        <v/>
      </c>
      <c r="CK79" s="241" t="str">
        <f>IF(AND(BX79=2/5),"2 grands habitats.","")</f>
        <v/>
      </c>
      <c r="CL79" s="241" t="str">
        <f>IF(AND(BX79=3/5),"3 grands habitats.","")</f>
        <v/>
      </c>
      <c r="CM79" s="241" t="str">
        <f>IF(AND(BX79=4/5),"4 grands habitats.","")</f>
        <v/>
      </c>
      <c r="CN79" s="241" t="str">
        <f>IF(AND(BX79=1),CONCATENATE(SUM(IF(COUNTIF('Eval-Après impact'!$C$465:$C$479,"A*")&gt;0,1,0),IF(COUNTIF('Eval-Après impact'!$C$465:$C$479,"B*")&gt;0,1,0),IF(COUNTIF('Eval-Après impact'!$C$465:$C$479,"C*")&gt;0,1,0),IF(COUNTIF('Eval-Après impact'!$C$465:$C$479,"D*")&gt;0,1,0),IF(COUNTIF('Eval-Après impact'!$C$465:$C$479,"E*")&gt;0,1,0),IF(COUNTIF('Eval-Après impact'!$C$465:$C$479,"F*")&gt;0,1,0),IF(COUNTIF('Eval-Après impact'!$C$465:$C$479,"G*")&gt;0,1,0),IF(COUNTIF('Eval-Après impact'!$C$465:$C$479,"H*")&gt;0,1,0),IF(COUNTIF('Eval-Après impact'!$C$465:$C$479,"I*")&gt;0,1,0),IF(COUNTIF('Eval-Après impact'!$C$465:$C$479,"J*")&gt;0,1,0))," grands habitats."),"")</f>
        <v/>
      </c>
      <c r="CO79" s="246"/>
      <c r="CP79" s="243" t="str">
        <f>BX79</f>
        <v/>
      </c>
      <c r="CQ79" s="244" t="str">
        <f>CH79</f>
        <v/>
      </c>
      <c r="CR79" s="245"/>
      <c r="CS79" s="1133"/>
      <c r="CT79" s="1135" t="s">
        <v>187</v>
      </c>
      <c r="CU79" s="235" t="s">
        <v>151</v>
      </c>
      <c r="CV79" s="236"/>
      <c r="CW79" s="237"/>
      <c r="CX79" s="237"/>
      <c r="CY79" s="237"/>
      <c r="CZ79" s="237"/>
      <c r="DA79" s="237"/>
      <c r="DB79" s="237"/>
      <c r="DC79" s="237"/>
      <c r="DD79" s="238" t="str">
        <f>IF(LEN('Eval-Avant action écologique'!$T$107)=0,"",IF('Eval-Avant action écologique'!$T$107=0,0,IF(SUM(IF(COUNTIF('Eval-Avant action écologique'!$C$465:$C$479,"A*")&gt;0,1,0),IF(COUNTIF('Eval-Avant action écologique'!$C$465:$C$479,"B*")&gt;0,1,0),IF(COUNTIF('Eval-Avant action écologique'!$C$465:$C$479,"C*")&gt;0,1,0),IF(COUNTIF('Eval-Avant action écologique'!$C$465:$C$479,"D*")&gt;0,1,0),IF(COUNTIF('Eval-Avant action écologique'!$C$465:$C$479,"E*")&gt;0,1,0),IF(COUNTIF('Eval-Avant action écologique'!$C$465:$C$479,"F*")&gt;0,1,0),IF(COUNTIF('Eval-Avant action écologique'!$C$465:$C$479,"G*")&gt;0,1,0),IF(COUNTIF('Eval-Avant action écologique'!$C$465:$C$479,"H*")&gt;0,1,0),IF(COUNTIF('Eval-Avant action écologique'!$C$465:$C$479,"I*")&gt;0,1,0),IF(COUNTIF('Eval-Avant action écologique'!$C$465:$C$479,"J*")&gt;0,1,0))&gt;=5,1, SUM(IF(COUNTIF('Eval-Avant action écologique'!$C$465:$C$479,"A*")&gt;0,1,0),IF(COUNTIF('Eval-Avant action écologique'!$C$465:$C$479,"B*")&gt;0,1,0),IF(COUNTIF('Eval-Avant action écologique'!$C$465:$C$479,"C*")&gt;0,1,0),IF(COUNTIF('Eval-Avant action écologique'!$C$465:$C$479,"D*")&gt;0,1,0),IF(COUNTIF('Eval-Avant action écologique'!$C$465:$C$479,"E*")&gt;0,1,0),IF(COUNTIF('Eval-Avant action écologique'!$C$465:$C$479,"F*")&gt;0,1,0),IF(COUNTIF('Eval-Avant action écologique'!$C$465:$C$479,"G*")&gt;0,1,0),IF(COUNTIF('Eval-Avant action écologique'!$C$465:$C$479,"H*")&gt;0,1,0),IF(COUNTIF('Eval-Avant action écologique'!$C$465:$C$479,"I*")&gt;0,1,0),IF(COUNTIF('Eval-Avant action écologique'!$C$465:$C$479,"J*")&gt;0,1,0))/5)))</f>
        <v/>
      </c>
      <c r="DE79" s="239"/>
      <c r="DF79" s="236"/>
      <c r="DG79" s="237"/>
      <c r="DH79" s="237"/>
      <c r="DI79" s="237"/>
      <c r="DJ79" s="237"/>
      <c r="DK79" s="237"/>
      <c r="DL79" s="237"/>
      <c r="DM79" s="237"/>
      <c r="DN79" s="238" t="str">
        <f>IF(DD79="","",DD79*'Eval-Avant action écologique'!$T$107)</f>
        <v/>
      </c>
      <c r="DO79" s="239"/>
      <c r="DP79" s="240" t="str">
        <f>IF(LEN('Eval-Avant action écologique'!$T$107)=0,"",IF('Eval-Avant action écologique'!$T$107=0,"Site détruit (0 ha).",IF(AND(DD79=1/5),"1 grand habitat.","")))</f>
        <v/>
      </c>
      <c r="DQ79" s="241" t="str">
        <f>IF(AND(DD79=2/5),"2 grands habitats.","")</f>
        <v/>
      </c>
      <c r="DR79" s="241" t="str">
        <f>IF(AND(DD79=3/5),"3 grands habitats.","")</f>
        <v/>
      </c>
      <c r="DS79" s="241" t="str">
        <f>IF(AND(DD79=4/5),"4 grands habitats.","")</f>
        <v/>
      </c>
      <c r="DT79" s="241" t="str">
        <f>IF(AND(DD79=1),CONCATENATE(SUM(IF(COUNTIF('Eval-Avant action écologique'!$C$465:$C$479,"A*")&gt;0,1,0),IF(COUNTIF('Eval-Avant action écologique'!$C$465:$C$479,"B*")&gt;0,1,0),IF(COUNTIF('Eval-Avant action écologique'!$C$465:$C$479,"C*")&gt;0,1,0),IF(COUNTIF('Eval-Avant action écologique'!$C$465:$C$479,"D*")&gt;0,1,0),IF(COUNTIF('Eval-Avant action écologique'!$C$465:$C$479,"E*")&gt;0,1,0),IF(COUNTIF('Eval-Avant action écologique'!$C$465:$C$479,"F*")&gt;0,1,0),IF(COUNTIF('Eval-Avant action écologique'!$C$465:$C$479,"G*")&gt;0,1,0),IF(COUNTIF('Eval-Avant action écologique'!$C$465:$C$479,"H*")&gt;0,1,0),IF(COUNTIF('Eval-Avant action écologique'!$C$465:$C$479,"I*")&gt;0,1,0),IF(COUNTIF('Eval-Avant action écologique'!$C$465:$C$479,"J*")&gt;0,1,0))," grands habitats."),"")</f>
        <v/>
      </c>
      <c r="DU79" s="246"/>
      <c r="DV79" s="243" t="str">
        <f>DD79</f>
        <v/>
      </c>
      <c r="DW79" s="244" t="str">
        <f>DN79</f>
        <v/>
      </c>
      <c r="DX79" s="245"/>
      <c r="DY79" s="1133"/>
      <c r="DZ79" s="1135" t="s">
        <v>187</v>
      </c>
      <c r="EA79" s="235" t="s">
        <v>151</v>
      </c>
      <c r="EB79" s="236"/>
      <c r="EC79" s="237"/>
      <c r="ED79" s="237"/>
      <c r="EE79" s="237"/>
      <c r="EF79" s="237"/>
      <c r="EG79" s="237"/>
      <c r="EH79" s="237"/>
      <c r="EI79" s="237"/>
      <c r="EJ79" s="238" t="str">
        <f>IF(LEN('Eval-Avec act. écol. envisagée'!$T$107)=0,"",IF('Eval-Avec act. écol. envisagée'!$T$107=0,0,IF(SUM(IF(COUNTIF('Eval-Avec act. écol. envisagée'!$C$465:$C$479,"A*")&gt;0,1,0),IF(COUNTIF('Eval-Avec act. écol. envisagée'!$C$465:$C$479,"B*")&gt;0,1,0),IF(COUNTIF('Eval-Avec act. écol. envisagée'!$C$465:$C$479,"C*")&gt;0,1,0),IF(COUNTIF('Eval-Avec act. écol. envisagée'!$C$465:$C$479,"D*")&gt;0,1,0),IF(COUNTIF('Eval-Avec act. écol. envisagée'!$C$465:$C$479,"E*")&gt;0,1,0),IF(COUNTIF('Eval-Avec act. écol. envisagée'!$C$465:$C$479,"F*")&gt;0,1,0),IF(COUNTIF('Eval-Avec act. écol. envisagée'!$C$465:$C$479,"G*")&gt;0,1,0),IF(COUNTIF('Eval-Avec act. écol. envisagée'!$C$465:$C$479,"H*")&gt;0,1,0),IF(COUNTIF('Eval-Avec act. écol. envisagée'!$C$465:$C$479,"I*")&gt;0,1,0),IF(COUNTIF('Eval-Avec act. écol. envisagée'!$C$465:$C$479,"J*")&gt;0,1,0))&gt;=5,1, SUM(IF(COUNTIF('Eval-Avec act. écol. envisagée'!$C$465:$C$479,"A*")&gt;0,1,0),IF(COUNTIF('Eval-Avec act. écol. envisagée'!$C$465:$C$479,"B*")&gt;0,1,0),IF(COUNTIF('Eval-Avec act. écol. envisagée'!$C$465:$C$479,"C*")&gt;0,1,0),IF(COUNTIF('Eval-Avec act. écol. envisagée'!$C$465:$C$479,"D*")&gt;0,1,0),IF(COUNTIF('Eval-Avec act. écol. envisagée'!$C$465:$C$479,"E*")&gt;0,1,0),IF(COUNTIF('Eval-Avec act. écol. envisagée'!$C$465:$C$479,"F*")&gt;0,1,0),IF(COUNTIF('Eval-Avec act. écol. envisagée'!$C$465:$C$479,"G*")&gt;0,1,0),IF(COUNTIF('Eval-Avec act. écol. envisagée'!$C$465:$C$479,"H*")&gt;0,1,0),IF(COUNTIF('Eval-Avec act. écol. envisagée'!$C$465:$C$479,"I*")&gt;0,1,0),IF(COUNTIF('Eval-Avec act. écol. envisagée'!$C$465:$C$479,"J*")&gt;0,1,0))/5)))</f>
        <v/>
      </c>
      <c r="EK79" s="239"/>
      <c r="EL79" s="236"/>
      <c r="EM79" s="237"/>
      <c r="EN79" s="237"/>
      <c r="EO79" s="237"/>
      <c r="EP79" s="237"/>
      <c r="EQ79" s="237"/>
      <c r="ER79" s="237"/>
      <c r="ES79" s="237"/>
      <c r="ET79" s="238" t="str">
        <f>IF(EJ79="","",EJ79*'Eval-Avec act. écol. envisagée'!$T$107)</f>
        <v/>
      </c>
      <c r="EU79" s="239"/>
      <c r="EV79" s="240" t="str">
        <f>IF(LEN('Eval-Avec act. écol. envisagée'!$T$107)=0,"",IF('Eval-Avec act. écol. envisagée'!$T$107=0,"Site détruit (0 ha).",IF(AND(EJ79=1/5),"1 grand habitat.","")))</f>
        <v/>
      </c>
      <c r="EW79" s="241" t="str">
        <f>IF(AND(EJ79=2/5),"2 grands habitats.","")</f>
        <v/>
      </c>
      <c r="EX79" s="241" t="str">
        <f>IF(AND(EJ79=3/5),"3 grands habitats.","")</f>
        <v/>
      </c>
      <c r="EY79" s="241" t="str">
        <f>IF(AND(EJ79=4/5),"4 grands habitats.","")</f>
        <v/>
      </c>
      <c r="EZ79" s="241" t="str">
        <f>IF(AND(EJ79=1),CONCATENATE(SUM(IF(COUNTIF('Eval-Avec act. écol. envisagée'!$C$465:$C$479,"A*")&gt;0,1,0),IF(COUNTIF('Eval-Avec act. écol. envisagée'!$C$465:$C$479,"B*")&gt;0,1,0),IF(COUNTIF('Eval-Avec act. écol. envisagée'!$C$465:$C$479,"C*")&gt;0,1,0),IF(COUNTIF('Eval-Avec act. écol. envisagée'!$C$465:$C$479,"D*")&gt;0,1,0),IF(COUNTIF('Eval-Avec act. écol. envisagée'!$C$465:$C$479,"E*")&gt;0,1,0),IF(COUNTIF('Eval-Avec act. écol. envisagée'!$C$465:$C$479,"F*")&gt;0,1,0),IF(COUNTIF('Eval-Avec act. écol. envisagée'!$C$465:$C$479,"G*")&gt;0,1,0),IF(COUNTIF('Eval-Avec act. écol. envisagée'!$C$465:$C$479,"H*")&gt;0,1,0),IF(COUNTIF('Eval-Avec act. écol. envisagée'!$C$465:$C$479,"I*")&gt;0,1,0),IF(COUNTIF('Eval-Avec act. écol. envisagée'!$C$465:$C$479,"J*")&gt;0,1,0))," grands habitats."),"")</f>
        <v/>
      </c>
      <c r="FA79" s="246"/>
      <c r="FB79" s="243" t="str">
        <f>EJ79</f>
        <v/>
      </c>
      <c r="FC79" s="244" t="str">
        <f>ET79</f>
        <v/>
      </c>
      <c r="FD79" s="245"/>
      <c r="FE79" s="1133"/>
      <c r="FF79" s="1135" t="s">
        <v>187</v>
      </c>
      <c r="FG79" s="235" t="s">
        <v>151</v>
      </c>
      <c r="FH79" s="236"/>
      <c r="FI79" s="237"/>
      <c r="FJ79" s="237"/>
      <c r="FK79" s="237"/>
      <c r="FL79" s="237"/>
      <c r="FM79" s="237"/>
      <c r="FN79" s="237"/>
      <c r="FO79" s="237"/>
      <c r="FP79" s="238" t="str">
        <f>IF(LEN('Eval-Après action écologique'!$T$107)=0,"",IF('Eval-Après action écologique'!$T$107=0,0,IF(SUM(IF(COUNTIF('Eval-Après action écologique'!$C$465:$C$479,"A*")&gt;0,1,0),IF(COUNTIF('Eval-Après action écologique'!$C$465:$C$479,"B*")&gt;0,1,0),IF(COUNTIF('Eval-Après action écologique'!$C$465:$C$479,"C*")&gt;0,1,0),IF(COUNTIF('Eval-Après action écologique'!$C$465:$C$479,"D*")&gt;0,1,0),IF(COUNTIF('Eval-Après action écologique'!$C$465:$C$479,"E*")&gt;0,1,0),IF(COUNTIF('Eval-Après action écologique'!$C$465:$C$479,"F*")&gt;0,1,0),IF(COUNTIF('Eval-Après action écologique'!$C$465:$C$479,"G*")&gt;0,1,0),IF(COUNTIF('Eval-Après action écologique'!$C$465:$C$479,"H*")&gt;0,1,0),IF(COUNTIF('Eval-Après action écologique'!$C$465:$C$479,"I*")&gt;0,1,0),IF(COUNTIF('Eval-Après action écologique'!$C$465:$C$479,"J*")&gt;0,1,0))&gt;=5,1, SUM(IF(COUNTIF('Eval-Après action écologique'!$C$465:$C$479,"A*")&gt;0,1,0),IF(COUNTIF('Eval-Après action écologique'!$C$465:$C$479,"B*")&gt;0,1,0),IF(COUNTIF('Eval-Après action écologique'!$C$465:$C$479,"C*")&gt;0,1,0),IF(COUNTIF('Eval-Après action écologique'!$C$465:$C$479,"D*")&gt;0,1,0),IF(COUNTIF('Eval-Après action écologique'!$C$465:$C$479,"E*")&gt;0,1,0),IF(COUNTIF('Eval-Après action écologique'!$C$465:$C$479,"F*")&gt;0,1,0),IF(COUNTIF('Eval-Après action écologique'!$C$465:$C$479,"G*")&gt;0,1,0),IF(COUNTIF('Eval-Après action écologique'!$C$465:$C$479,"H*")&gt;0,1,0),IF(COUNTIF('Eval-Après action écologique'!$C$465:$C$479,"I*")&gt;0,1,0),IF(COUNTIF('Eval-Après action écologique'!$C$465:$C$479,"J*")&gt;0,1,0))/5)))</f>
        <v/>
      </c>
      <c r="FQ79" s="239"/>
      <c r="FR79" s="236"/>
      <c r="FS79" s="237"/>
      <c r="FT79" s="237"/>
      <c r="FU79" s="237"/>
      <c r="FV79" s="237"/>
      <c r="FW79" s="237"/>
      <c r="FX79" s="237"/>
      <c r="FY79" s="237"/>
      <c r="FZ79" s="238" t="str">
        <f>IF(FP79="","",FP79*'Eval-Après action écologique'!$T$107)</f>
        <v/>
      </c>
      <c r="GA79" s="239"/>
      <c r="GB79" s="240" t="str">
        <f>IF(LEN('Eval-Après action écologique'!$T$107)=0,"",IF('Eval-Après action écologique'!$T$107=0,"Site détruit (0 ha).",IF(AND(FP79=1/5),"1 grand habitat.","")))</f>
        <v/>
      </c>
      <c r="GC79" s="241" t="str">
        <f>IF(AND(FP79=2/5),"2 grands habitats.","")</f>
        <v/>
      </c>
      <c r="GD79" s="241" t="str">
        <f>IF(AND(FP79=3/5),"3 grands habitats.","")</f>
        <v/>
      </c>
      <c r="GE79" s="241" t="str">
        <f>IF(AND(FP79=4/5),"4 grands habitats.","")</f>
        <v/>
      </c>
      <c r="GF79" s="241" t="str">
        <f>IF(AND(FP79=1),CONCATENATE(SUM(IF(COUNTIF('Eval-Après action écologique'!$C$465:$C$479,"A*")&gt;0,1,0),IF(COUNTIF('Eval-Après action écologique'!$C$465:$C$479,"B*")&gt;0,1,0),IF(COUNTIF('Eval-Après action écologique'!$C$465:$C$479,"C*")&gt;0,1,0),IF(COUNTIF('Eval-Après action écologique'!$C$465:$C$479,"D*")&gt;0,1,0),IF(COUNTIF('Eval-Après action écologique'!$C$465:$C$479,"E*")&gt;0,1,0),IF(COUNTIF('Eval-Après action écologique'!$C$465:$C$479,"F*")&gt;0,1,0),IF(COUNTIF('Eval-Après action écologique'!$C$465:$C$479,"G*")&gt;0,1,0),IF(COUNTIF('Eval-Après action écologique'!$C$465:$C$479,"H*")&gt;0,1,0),IF(COUNTIF('Eval-Après action écologique'!$C$465:$C$479,"I*")&gt;0,1,0),IF(COUNTIF('Eval-Après action écologique'!$C$465:$C$479,"J*")&gt;0,1,0))," grands habitats."),"")</f>
        <v/>
      </c>
      <c r="GG79" s="246"/>
      <c r="GH79" s="243" t="str">
        <f>FP79</f>
        <v/>
      </c>
      <c r="GI79" s="244" t="str">
        <f>FZ79</f>
        <v/>
      </c>
    </row>
    <row r="80" spans="1:191" ht="31.5" customHeight="1" x14ac:dyDescent="0.2">
      <c r="A80" s="1133"/>
      <c r="B80" s="1136"/>
      <c r="C80" s="235" t="s">
        <v>218</v>
      </c>
      <c r="D80" s="236"/>
      <c r="E80" s="237"/>
      <c r="F80" s="237"/>
      <c r="G80" s="237"/>
      <c r="H80" s="237"/>
      <c r="I80" s="237"/>
      <c r="J80" s="237"/>
      <c r="K80" s="237"/>
      <c r="L80" s="238" t="str">
        <f>IF(LEN('Eval-Avant impact'!$T$107)=0,"",IF('Eval-Avant impact'!$T$107=0,0,IF(SUM(IF(COUNTIF('Eval-Avant impact'!$C$465:$C$479,"A*")&gt;0,1,0),IF(COUNTIF('Eval-Avant impact'!$C$465:$C$479,"B*")&gt;0,1,0),IF(COUNTIF('Eval-Avant impact'!$C$465:$C$479,"C*")&gt;0,1,0),IF(COUNTIF('Eval-Avant impact'!$C$465:$C$479,"D*")&gt;0,1,0),IF(COUNTIF('Eval-Avant impact'!$C$465:$C$479,"E*")&gt;0,1,0),IF(COUNTIF('Eval-Avant impact'!$C$465:$C$479,"F*")&gt;0,1,0),IF(COUNTIF('Eval-Avant impact'!$C$465:$C$479,"G*")&gt;0,1,0),IF(COUNTIF('Eval-Avant impact'!$C$465:$C$479,"H*")&gt;0,1,0),IF(COUNTIF('Eval-Avant impact'!$C$465:$C$479,"I*")&gt;0,1,0),IF(COUNTIF('Eval-Avant impact'!$C$465:$C$479,"J*")&gt;0,1,0))=1,0,(IF(COUNTIF('Eval-Avant impact'!$C$465:$C$479,"A*")&gt;0,(-1)*SUMIF('Eval-Avant impact'!$C$465:$C$479,"A*",'Eval-Avant impact'!$T$465:$T$479)/100*LOG(SUMIF('Eval-Avant impact'!$C$465:$C$479,"A*",'Eval-Avant impact'!$T$465:$T$479)/100),0)+IF(COUNTIF('Eval-Avant impact'!$C$465:$C$479,"B*")&gt;0,(-1)*SUMIF('Eval-Avant impact'!$C$465:$C$479,"B*",'Eval-Avant impact'!$T$465:$T$479)/100*LOG(SUMIF('Eval-Avant impact'!$C$465:$C$479,"B*",'Eval-Avant impact'!$T$465:$T$479)/100),0)+IF(COUNTIF('Eval-Avant impact'!$C$465:$C$479,"C*")&gt;0,(-1)*SUMIF('Eval-Avant impact'!$C$465:$C$479,"C*",'Eval-Avant impact'!$T$465:$T$479)/100*LOG(SUMIF('Eval-Avant impact'!$C$465:$C$479,"C*",'Eval-Avant impact'!$T$465:$T$479)/100),0)+IF(COUNTIF('Eval-Avant impact'!$C$465:$C$479,"D*")&gt;0,(-1)*SUMIF('Eval-Avant impact'!$C$465:$C$479,"D*",'Eval-Avant impact'!$T$465:$T$479)/100*LOG(SUMIF('Eval-Avant impact'!$C$465:$C$479,"D*",'Eval-Avant impact'!$T$465:$T$479)/100),0)+IF(COUNTIF('Eval-Avant impact'!$C$465:$C$479,"E*")&gt;0,(-1)*SUMIF('Eval-Avant impact'!$C$465:$C$479,"E*",'Eval-Avant impact'!$T$465:$T$479)/100*LOG(SUMIF('Eval-Avant impact'!$C$465:$C$479,"E*",'Eval-Avant impact'!$T$465:$T$479)/100),0)+IF(COUNTIF('Eval-Avant impact'!$C$465:$C$479,"F*")&gt;0,(-1)*SUMIF('Eval-Avant impact'!$C$465:$C$479,"F*",'Eval-Avant impact'!$T$465:$T$479)/100*LOG(SUMIF('Eval-Avant impact'!$C$465:$C$479,"F*",'Eval-Avant impact'!$T$465:$T$479)/100),0)+IF(COUNTIF('Eval-Avant impact'!$C$465:$C$479,"G*")&gt;0,(-1)*SUMIF('Eval-Avant impact'!$C$465:$C$479,"G*",'Eval-Avant impact'!$T$465:$T$479)/100*LOG(SUMIF('Eval-Avant impact'!$C$465:$C$479,"G*",'Eval-Avant impact'!$T$465:$T$479)/100),0)+IF(COUNTIF('Eval-Avant impact'!$C$465:$C$479,"H*")&gt;0,(-1)*SUMIF('Eval-Avant impact'!$C$465:$C$479,"H*",'Eval-Avant impact'!$T$465:$T$479)/100*LOG(SUMIF('Eval-Avant impact'!$C$465:$C$479,"H*",'Eval-Avant impact'!$T$465:$T$479)/100),0)+IF(COUNTIF('Eval-Avant impact'!$C$465:$C$479,"I*")&gt;0,(-1)*SUMIF('Eval-Avant impact'!$C$465:$C$479,"I*",'Eval-Avant impact'!$T$465:$T$479)/100*LOG(SUMIF('Eval-Avant impact'!$C$465:$C$479,"I*",'Eval-Avant impact'!$T$465:$T$479)/100),0)+IF(COUNTIF('Eval-Avant impact'!$C$465:$C$479,"J*")&gt;0,(-1)*SUMIF('Eval-Avant impact'!$C$465:$C$479,"J*",'Eval-Avant impact'!$T$465:$T$479)/100*LOG(SUMIF('Eval-Avant impact'!$C$465:$C$479,"J*",'Eval-Avant impact'!$T$465:$T$479)/100),0))/LOG(SUM(IF(COUNTIF('Eval-Avant impact'!$C$465:$C$479,"A*")&gt;0,1,0),IF(COUNTIF('Eval-Avant impact'!$C$465:$C$479,"B*")&gt;0,1,0),IF(COUNTIF('Eval-Avant impact'!$C$465:$C$479,"C*")&gt;0,1,0),IF(COUNTIF('Eval-Avant impact'!$C$465:$C$479,"D*")&gt;0,1,0),IF(COUNTIF('Eval-Avant impact'!$C$465:$C$479,"E*")&gt;0,1,0),IF(COUNTIF('Eval-Avant impact'!$C$465:$C$479,"F*")&gt;0,1,0),IF(COUNTIF('Eval-Avant impact'!$C$465:$C$479,"G*")&gt;0,1,0),IF(COUNTIF('Eval-Avant impact'!$C$465:$C$479,"H*")&gt;0,1,0),IF(COUNTIF('Eval-Avant impact'!$C$465:$C$479,"I*")&gt;0,1,0),IF(COUNTIF('Eval-Avant impact'!$C$465:$C$479,"J*")&gt;0,1,0))))))</f>
        <v/>
      </c>
      <c r="M80" s="239"/>
      <c r="N80" s="236"/>
      <c r="O80" s="237"/>
      <c r="P80" s="237"/>
      <c r="Q80" s="237"/>
      <c r="R80" s="237"/>
      <c r="S80" s="237"/>
      <c r="T80" s="237"/>
      <c r="U80" s="237"/>
      <c r="V80" s="238" t="str">
        <f>IF(L80="","",L80*'Eval-Avant impact'!$T$107)</f>
        <v/>
      </c>
      <c r="W80" s="239"/>
      <c r="X80" s="240" t="str">
        <f>IF(LEN('Eval-Avant impact'!$T$107)=0,"",IF('Eval-Avant impact'!$T$107=0,"Site détruit (0 ha).",IF(AND(L80&gt;=0,L80&lt;=0.2),CONCATENATE("Equitabilité de répartition des grands habitats très réduite (E=",ROUND(L80,2),")."),"")))</f>
        <v/>
      </c>
      <c r="Y80" s="241" t="str">
        <f>IF(AND(L80&gt;0.2,L80&lt;=0.4),CONCATENATE("Equitabilité de répartition des grands habitats réduite (E=",ROUND(L80,2),")."),"")</f>
        <v/>
      </c>
      <c r="Z80" s="241" t="str">
        <f>IF(AND(L80&gt;0.4,L80&lt;=0.6),CONCATENATE("Equitabilité de répartition des habitats assez réduite (E=",ROUND(L80,2),")."),"")</f>
        <v/>
      </c>
      <c r="AA80" s="241" t="str">
        <f>IF(AND(L80&gt;0.6,L80&lt;=0.8),CONCATENATE("Equitabilité de répartition des grands habitats élevée (E=",ROUND(L80,2),")."),"")</f>
        <v/>
      </c>
      <c r="AB80" s="241" t="str">
        <f>IF(AND(L80&gt;0.8,L80&lt;=1),CONCATENATE("Equitabilité de répartition des grands habitats très élevée (E=",ROUND(L80,2),")."),"")</f>
        <v/>
      </c>
      <c r="AC80" s="246"/>
      <c r="AD80" s="243" t="str">
        <f>L80</f>
        <v/>
      </c>
      <c r="AE80" s="244" t="str">
        <f>V80</f>
        <v/>
      </c>
      <c r="AF80" s="245"/>
      <c r="AG80" s="1133"/>
      <c r="AH80" s="1136"/>
      <c r="AI80" s="235" t="s">
        <v>218</v>
      </c>
      <c r="AJ80" s="236"/>
      <c r="AK80" s="237"/>
      <c r="AL80" s="237"/>
      <c r="AM80" s="237"/>
      <c r="AN80" s="237"/>
      <c r="AO80" s="237"/>
      <c r="AP80" s="237"/>
      <c r="AQ80" s="237"/>
      <c r="AR80" s="238" t="str">
        <f>IF(LEN('Eval-Avec impact envisagé'!$T$107)=0,"",IF('Eval-Avec impact envisagé'!$T$107=0,0,IF(SUM(IF(COUNTIF('Eval-Avec impact envisagé'!$C$465:$C$479,"A*")&gt;0,1,0),IF(COUNTIF('Eval-Avec impact envisagé'!$C$465:$C$479,"B*")&gt;0,1,0),IF(COUNTIF('Eval-Avec impact envisagé'!$C$465:$C$479,"C*")&gt;0,1,0),IF(COUNTIF('Eval-Avec impact envisagé'!$C$465:$C$479,"D*")&gt;0,1,0),IF(COUNTIF('Eval-Avec impact envisagé'!$C$465:$C$479,"E*")&gt;0,1,0),IF(COUNTIF('Eval-Avec impact envisagé'!$C$465:$C$479,"F*")&gt;0,1,0),IF(COUNTIF('Eval-Avec impact envisagé'!$C$465:$C$479,"G*")&gt;0,1,0),IF(COUNTIF('Eval-Avec impact envisagé'!$C$465:$C$479,"H*")&gt;0,1,0),IF(COUNTIF('Eval-Avec impact envisagé'!$C$465:$C$479,"I*")&gt;0,1,0),IF(COUNTIF('Eval-Avec impact envisagé'!$C$465:$C$479,"J*")&gt;0,1,0))=1,0,(IF(COUNTIF('Eval-Avec impact envisagé'!$C$465:$C$479,"A*")&gt;0,(-1)*SUMIF('Eval-Avec impact envisagé'!$C$465:$C$479,"A*",'Eval-Avec impact envisagé'!$T$465:$T$479)/100*LOG(SUMIF('Eval-Avec impact envisagé'!$C$465:$C$479,"A*",'Eval-Avec impact envisagé'!$T$465:$T$479)/100),0)+IF(COUNTIF('Eval-Avec impact envisagé'!$C$465:$C$479,"B*")&gt;0,(-1)*SUMIF('Eval-Avec impact envisagé'!$C$465:$C$479,"B*",'Eval-Avec impact envisagé'!$T$465:$T$479)/100*LOG(SUMIF('Eval-Avec impact envisagé'!$C$465:$C$479,"B*",'Eval-Avec impact envisagé'!$T$465:$T$479)/100),0)+IF(COUNTIF('Eval-Avec impact envisagé'!$C$465:$C$479,"C*")&gt;0,(-1)*SUMIF('Eval-Avec impact envisagé'!$C$465:$C$479,"C*",'Eval-Avec impact envisagé'!$T$465:$T$479)/100*LOG(SUMIF('Eval-Avec impact envisagé'!$C$465:$C$479,"C*",'Eval-Avec impact envisagé'!$T$465:$T$479)/100),0)+IF(COUNTIF('Eval-Avec impact envisagé'!$C$465:$C$479,"D*")&gt;0,(-1)*SUMIF('Eval-Avec impact envisagé'!$C$465:$C$479,"D*",'Eval-Avec impact envisagé'!$T$465:$T$479)/100*LOG(SUMIF('Eval-Avec impact envisagé'!$C$465:$C$479,"D*",'Eval-Avec impact envisagé'!$T$465:$T$479)/100),0)+IF(COUNTIF('Eval-Avec impact envisagé'!$C$465:$C$479,"E*")&gt;0,(-1)*SUMIF('Eval-Avec impact envisagé'!$C$465:$C$479,"E*",'Eval-Avec impact envisagé'!$T$465:$T$479)/100*LOG(SUMIF('Eval-Avec impact envisagé'!$C$465:$C$479,"E*",'Eval-Avec impact envisagé'!$T$465:$T$479)/100),0)+IF(COUNTIF('Eval-Avec impact envisagé'!$C$465:$C$479,"F*")&gt;0,(-1)*SUMIF('Eval-Avec impact envisagé'!$C$465:$C$479,"F*",'Eval-Avec impact envisagé'!$T$465:$T$479)/100*LOG(SUMIF('Eval-Avec impact envisagé'!$C$465:$C$479,"F*",'Eval-Avec impact envisagé'!$T$465:$T$479)/100),0)+IF(COUNTIF('Eval-Avec impact envisagé'!$C$465:$C$479,"G*")&gt;0,(-1)*SUMIF('Eval-Avec impact envisagé'!$C$465:$C$479,"G*",'Eval-Avec impact envisagé'!$T$465:$T$479)/100*LOG(SUMIF('Eval-Avec impact envisagé'!$C$465:$C$479,"G*",'Eval-Avec impact envisagé'!$T$465:$T$479)/100),0)+IF(COUNTIF('Eval-Avec impact envisagé'!$C$465:$C$479,"H*")&gt;0,(-1)*SUMIF('Eval-Avec impact envisagé'!$C$465:$C$479,"H*",'Eval-Avec impact envisagé'!$T$465:$T$479)/100*LOG(SUMIF('Eval-Avec impact envisagé'!$C$465:$C$479,"H*",'Eval-Avec impact envisagé'!$T$465:$T$479)/100),0)+IF(COUNTIF('Eval-Avec impact envisagé'!$C$465:$C$479,"I*")&gt;0,(-1)*SUMIF('Eval-Avec impact envisagé'!$C$465:$C$479,"I*",'Eval-Avec impact envisagé'!$T$465:$T$479)/100*LOG(SUMIF('Eval-Avec impact envisagé'!$C$465:$C$479,"I*",'Eval-Avec impact envisagé'!$T$465:$T$479)/100),0)+IF(COUNTIF('Eval-Avec impact envisagé'!$C$465:$C$479,"J*")&gt;0,(-1)*SUMIF('Eval-Avec impact envisagé'!$C$465:$C$479,"J*",'Eval-Avec impact envisagé'!$T$465:$T$479)/100*LOG(SUMIF('Eval-Avec impact envisagé'!$C$465:$C$479,"J*",'Eval-Avec impact envisagé'!$T$465:$T$479)/100),0))/LOG(SUM(IF(COUNTIF('Eval-Avec impact envisagé'!$C$465:$C$479,"A*")&gt;0,1,0),IF(COUNTIF('Eval-Avec impact envisagé'!$C$465:$C$479,"B*")&gt;0,1,0),IF(COUNTIF('Eval-Avec impact envisagé'!$C$465:$C$479,"C*")&gt;0,1,0),IF(COUNTIF('Eval-Avec impact envisagé'!$C$465:$C$479,"D*")&gt;0,1,0),IF(COUNTIF('Eval-Avec impact envisagé'!$C$465:$C$479,"E*")&gt;0,1,0),IF(COUNTIF('Eval-Avec impact envisagé'!$C$465:$C$479,"F*")&gt;0,1,0),IF(COUNTIF('Eval-Avec impact envisagé'!$C$465:$C$479,"G*")&gt;0,1,0),IF(COUNTIF('Eval-Avec impact envisagé'!$C$465:$C$479,"H*")&gt;0,1,0),IF(COUNTIF('Eval-Avec impact envisagé'!$C$465:$C$479,"I*")&gt;0,1,0),IF(COUNTIF('Eval-Avec impact envisagé'!$C$465:$C$479,"J*")&gt;0,1,0))))))</f>
        <v/>
      </c>
      <c r="AS80" s="239"/>
      <c r="AT80" s="236"/>
      <c r="AU80" s="237"/>
      <c r="AV80" s="237"/>
      <c r="AW80" s="237"/>
      <c r="AX80" s="237"/>
      <c r="AY80" s="237"/>
      <c r="AZ80" s="237"/>
      <c r="BA80" s="237"/>
      <c r="BB80" s="238" t="str">
        <f>IF(AR80="","",AR80*'Eval-Avec impact envisagé'!$T$107)</f>
        <v/>
      </c>
      <c r="BC80" s="239"/>
      <c r="BD80" s="240" t="str">
        <f>IF(LEN('Eval-Avec impact envisagé'!$T$107)=0,"",IF('Eval-Avec impact envisagé'!$T$107=0,"Site détruit (0 ha).",IF(AND(AR80&gt;=0,AR80&lt;=0.2),CONCATENATE("Equitabilité de répartition des grands habitats très réduite (E=",ROUND(AR80,2),")."),"")))</f>
        <v/>
      </c>
      <c r="BE80" s="241" t="str">
        <f>IF(AND(AR80&gt;0.2,AR80&lt;=0.4),CONCATENATE("Equitabilité de répartition des grands habitats réduite (E=",ROUND(AR80,2),")."),"")</f>
        <v/>
      </c>
      <c r="BF80" s="241" t="str">
        <f>IF(AND(AR80&gt;0.4,AR80&lt;=0.6),CONCATENATE("Equitabilité de répartition des habitats assez réduite (E=",ROUND(AR80,2),")."),"")</f>
        <v/>
      </c>
      <c r="BG80" s="241" t="str">
        <f>IF(AND(AR80&gt;0.6,AR80&lt;=0.8),CONCATENATE("Equitabilité de répartition des grands habitats élevée (E=",ROUND(AR80,2),")."),"")</f>
        <v/>
      </c>
      <c r="BH80" s="241" t="str">
        <f>IF(AND(AR80&gt;0.8,AR80&lt;=1),CONCATENATE("Equitabilité de répartition des grands habitats très élevée (E=",ROUND(AR80,2),")."),"")</f>
        <v/>
      </c>
      <c r="BI80" s="246"/>
      <c r="BJ80" s="243" t="str">
        <f>AR80</f>
        <v/>
      </c>
      <c r="BK80" s="244" t="str">
        <f>BB80</f>
        <v/>
      </c>
      <c r="BL80" s="245"/>
      <c r="BM80" s="1133"/>
      <c r="BN80" s="1136"/>
      <c r="BO80" s="235" t="s">
        <v>218</v>
      </c>
      <c r="BP80" s="236"/>
      <c r="BQ80" s="237"/>
      <c r="BR80" s="237"/>
      <c r="BS80" s="237"/>
      <c r="BT80" s="237"/>
      <c r="BU80" s="237"/>
      <c r="BV80" s="237"/>
      <c r="BW80" s="237"/>
      <c r="BX80" s="238" t="str">
        <f>IF(LEN('Eval-Après impact'!$T$107)=0,"",IF('Eval-Après impact'!$T$107=0,0,IF(SUM(IF(COUNTIF('Eval-Après impact'!$C$465:$C$479,"A*")&gt;0,1,0),IF(COUNTIF('Eval-Après impact'!$C$465:$C$479,"B*")&gt;0,1,0),IF(COUNTIF('Eval-Après impact'!$C$465:$C$479,"C*")&gt;0,1,0),IF(COUNTIF('Eval-Après impact'!$C$465:$C$479,"D*")&gt;0,1,0),IF(COUNTIF('Eval-Après impact'!$C$465:$C$479,"E*")&gt;0,1,0),IF(COUNTIF('Eval-Après impact'!$C$465:$C$479,"F*")&gt;0,1,0),IF(COUNTIF('Eval-Après impact'!$C$465:$C$479,"G*")&gt;0,1,0),IF(COUNTIF('Eval-Après impact'!$C$465:$C$479,"H*")&gt;0,1,0),IF(COUNTIF('Eval-Après impact'!$C$465:$C$479,"I*")&gt;0,1,0),IF(COUNTIF('Eval-Après impact'!$C$465:$C$479,"J*")&gt;0,1,0))=1,0,(IF(COUNTIF('Eval-Après impact'!$C$465:$C$479,"A*")&gt;0,(-1)*SUMIF('Eval-Après impact'!$C$465:$C$479,"A*",'Eval-Après impact'!$T$465:$T$479)/100*LOG(SUMIF('Eval-Après impact'!$C$465:$C$479,"A*",'Eval-Après impact'!$T$465:$T$479)/100),0)+IF(COUNTIF('Eval-Après impact'!$C$465:$C$479,"B*")&gt;0,(-1)*SUMIF('Eval-Après impact'!$C$465:$C$479,"B*",'Eval-Après impact'!$T$465:$T$479)/100*LOG(SUMIF('Eval-Après impact'!$C$465:$C$479,"B*",'Eval-Après impact'!$T$465:$T$479)/100),0)+IF(COUNTIF('Eval-Après impact'!$C$465:$C$479,"C*")&gt;0,(-1)*SUMIF('Eval-Après impact'!$C$465:$C$479,"C*",'Eval-Après impact'!$T$465:$T$479)/100*LOG(SUMIF('Eval-Après impact'!$C$465:$C$479,"C*",'Eval-Après impact'!$T$465:$T$479)/100),0)+IF(COUNTIF('Eval-Après impact'!$C$465:$C$479,"D*")&gt;0,(-1)*SUMIF('Eval-Après impact'!$C$465:$C$479,"D*",'Eval-Après impact'!$T$465:$T$479)/100*LOG(SUMIF('Eval-Après impact'!$C$465:$C$479,"D*",'Eval-Après impact'!$T$465:$T$479)/100),0)+IF(COUNTIF('Eval-Après impact'!$C$465:$C$479,"E*")&gt;0,(-1)*SUMIF('Eval-Après impact'!$C$465:$C$479,"E*",'Eval-Après impact'!$T$465:$T$479)/100*LOG(SUMIF('Eval-Après impact'!$C$465:$C$479,"E*",'Eval-Après impact'!$T$465:$T$479)/100),0)+IF(COUNTIF('Eval-Après impact'!$C$465:$C$479,"F*")&gt;0,(-1)*SUMIF('Eval-Après impact'!$C$465:$C$479,"F*",'Eval-Après impact'!$T$465:$T$479)/100*LOG(SUMIF('Eval-Après impact'!$C$465:$C$479,"F*",'Eval-Après impact'!$T$465:$T$479)/100),0)+IF(COUNTIF('Eval-Après impact'!$C$465:$C$479,"G*")&gt;0,(-1)*SUMIF('Eval-Après impact'!$C$465:$C$479,"G*",'Eval-Après impact'!$T$465:$T$479)/100*LOG(SUMIF('Eval-Après impact'!$C$465:$C$479,"G*",'Eval-Après impact'!$T$465:$T$479)/100),0)+IF(COUNTIF('Eval-Après impact'!$C$465:$C$479,"H*")&gt;0,(-1)*SUMIF('Eval-Après impact'!$C$465:$C$479,"H*",'Eval-Après impact'!$T$465:$T$479)/100*LOG(SUMIF('Eval-Après impact'!$C$465:$C$479,"H*",'Eval-Après impact'!$T$465:$T$479)/100),0)+IF(COUNTIF('Eval-Après impact'!$C$465:$C$479,"I*")&gt;0,(-1)*SUMIF('Eval-Après impact'!$C$465:$C$479,"I*",'Eval-Après impact'!$T$465:$T$479)/100*LOG(SUMIF('Eval-Après impact'!$C$465:$C$479,"I*",'Eval-Après impact'!$T$465:$T$479)/100),0)+IF(COUNTIF('Eval-Après impact'!$C$465:$C$479,"J*")&gt;0,(-1)*SUMIF('Eval-Après impact'!$C$465:$C$479,"J*",'Eval-Après impact'!$T$465:$T$479)/100*LOG(SUMIF('Eval-Après impact'!$C$465:$C$479,"J*",'Eval-Après impact'!$T$465:$T$479)/100),0))/LOG(SUM(IF(COUNTIF('Eval-Après impact'!$C$465:$C$479,"A*")&gt;0,1,0),IF(COUNTIF('Eval-Après impact'!$C$465:$C$479,"B*")&gt;0,1,0),IF(COUNTIF('Eval-Après impact'!$C$465:$C$479,"C*")&gt;0,1,0),IF(COUNTIF('Eval-Après impact'!$C$465:$C$479,"D*")&gt;0,1,0),IF(COUNTIF('Eval-Après impact'!$C$465:$C$479,"E*")&gt;0,1,0),IF(COUNTIF('Eval-Après impact'!$C$465:$C$479,"F*")&gt;0,1,0),IF(COUNTIF('Eval-Après impact'!$C$465:$C$479,"G*")&gt;0,1,0),IF(COUNTIF('Eval-Après impact'!$C$465:$C$479,"H*")&gt;0,1,0),IF(COUNTIF('Eval-Après impact'!$C$465:$C$479,"I*")&gt;0,1,0),IF(COUNTIF('Eval-Après impact'!$C$465:$C$479,"J*")&gt;0,1,0))))))</f>
        <v/>
      </c>
      <c r="BY80" s="239"/>
      <c r="BZ80" s="236"/>
      <c r="CA80" s="237"/>
      <c r="CB80" s="237"/>
      <c r="CC80" s="237"/>
      <c r="CD80" s="237"/>
      <c r="CE80" s="237"/>
      <c r="CF80" s="237"/>
      <c r="CG80" s="237"/>
      <c r="CH80" s="238" t="str">
        <f>IF(BX80="","",BX80*'Eval-Après impact'!$T$107)</f>
        <v/>
      </c>
      <c r="CI80" s="239"/>
      <c r="CJ80" s="240" t="str">
        <f>IF(LEN('Eval-Après impact'!$T$107)=0,"",IF('Eval-Après impact'!$T$107=0,"Site détruit (0 ha).",IF(AND(BX80&gt;=0,BX80&lt;=0.2),CONCATENATE("Equitabilité de répartition des grands habitats très réduite (E=",ROUND(BX80,2),")."),"")))</f>
        <v/>
      </c>
      <c r="CK80" s="241" t="str">
        <f>IF(AND(BX80&gt;0.2,BX80&lt;=0.4),CONCATENATE("Equitabilité de répartition des grands habitats réduite (E=",ROUND(BX80,2),")."),"")</f>
        <v/>
      </c>
      <c r="CL80" s="241" t="str">
        <f>IF(AND(BX80&gt;0.4,BX80&lt;=0.6),CONCATENATE("Equitabilité de répartition des habitats assez réduite (E=",ROUND(BX80,2),")."),"")</f>
        <v/>
      </c>
      <c r="CM80" s="241" t="str">
        <f>IF(AND(BX80&gt;0.6,BX80&lt;=0.8),CONCATENATE("Equitabilité de répartition des grands habitats élevée (E=",ROUND(BX80,2),")."),"")</f>
        <v/>
      </c>
      <c r="CN80" s="241" t="str">
        <f>IF(AND(BX80&gt;0.8,BX80&lt;=1),CONCATENATE("Equitabilité de répartition des grands habitats très élevée (E=",ROUND(BX80,2),")."),"")</f>
        <v/>
      </c>
      <c r="CO80" s="246"/>
      <c r="CP80" s="243" t="str">
        <f>BX80</f>
        <v/>
      </c>
      <c r="CQ80" s="244" t="str">
        <f>CH80</f>
        <v/>
      </c>
      <c r="CR80" s="245"/>
      <c r="CS80" s="1133"/>
      <c r="CT80" s="1136"/>
      <c r="CU80" s="235" t="s">
        <v>218</v>
      </c>
      <c r="CV80" s="236"/>
      <c r="CW80" s="237"/>
      <c r="CX80" s="237"/>
      <c r="CY80" s="237"/>
      <c r="CZ80" s="237"/>
      <c r="DA80" s="237"/>
      <c r="DB80" s="237"/>
      <c r="DC80" s="237"/>
      <c r="DD80" s="238" t="str">
        <f>IF(LEN('Eval-Avant action écologique'!$T$107)=0,"",IF('Eval-Avant action écologique'!$T$107=0,0,IF(SUM(IF(COUNTIF('Eval-Avant action écologique'!$C$465:$C$479,"A*")&gt;0,1,0),IF(COUNTIF('Eval-Avant action écologique'!$C$465:$C$479,"B*")&gt;0,1,0),IF(COUNTIF('Eval-Avant action écologique'!$C$465:$C$479,"C*")&gt;0,1,0),IF(COUNTIF('Eval-Avant action écologique'!$C$465:$C$479,"D*")&gt;0,1,0),IF(COUNTIF('Eval-Avant action écologique'!$C$465:$C$479,"E*")&gt;0,1,0),IF(COUNTIF('Eval-Avant action écologique'!$C$465:$C$479,"F*")&gt;0,1,0),IF(COUNTIF('Eval-Avant action écologique'!$C$465:$C$479,"G*")&gt;0,1,0),IF(COUNTIF('Eval-Avant action écologique'!$C$465:$C$479,"H*")&gt;0,1,0),IF(COUNTIF('Eval-Avant action écologique'!$C$465:$C$479,"I*")&gt;0,1,0),IF(COUNTIF('Eval-Avant action écologique'!$C$465:$C$479,"J*")&gt;0,1,0))=1,0,(IF(COUNTIF('Eval-Avant action écologique'!$C$465:$C$479,"A*")&gt;0,(-1)*SUMIF('Eval-Avant action écologique'!$C$465:$C$479,"A*",'Eval-Avant action écologique'!$T$465:$T$479)/100*LOG(SUMIF('Eval-Avant action écologique'!$C$465:$C$479,"A*",'Eval-Avant action écologique'!$T$465:$T$479)/100),0)+IF(COUNTIF('Eval-Avant action écologique'!$C$465:$C$479,"B*")&gt;0,(-1)*SUMIF('Eval-Avant action écologique'!$C$465:$C$479,"B*",'Eval-Avant action écologique'!$T$465:$T$479)/100*LOG(SUMIF('Eval-Avant action écologique'!$C$465:$C$479,"B*",'Eval-Avant action écologique'!$T$465:$T$479)/100),0)+IF(COUNTIF('Eval-Avant action écologique'!$C$465:$C$479,"C*")&gt;0,(-1)*SUMIF('Eval-Avant action écologique'!$C$465:$C$479,"C*",'Eval-Avant action écologique'!$T$465:$T$479)/100*LOG(SUMIF('Eval-Avant action écologique'!$C$465:$C$479,"C*",'Eval-Avant action écologique'!$T$465:$T$479)/100),0)+IF(COUNTIF('Eval-Avant action écologique'!$C$465:$C$479,"D*")&gt;0,(-1)*SUMIF('Eval-Avant action écologique'!$C$465:$C$479,"D*",'Eval-Avant action écologique'!$T$465:$T$479)/100*LOG(SUMIF('Eval-Avant action écologique'!$C$465:$C$479,"D*",'Eval-Avant action écologique'!$T$465:$T$479)/100),0)+IF(COUNTIF('Eval-Avant action écologique'!$C$465:$C$479,"E*")&gt;0,(-1)*SUMIF('Eval-Avant action écologique'!$C$465:$C$479,"E*",'Eval-Avant action écologique'!$T$465:$T$479)/100*LOG(SUMIF('Eval-Avant action écologique'!$C$465:$C$479,"E*",'Eval-Avant action écologique'!$T$465:$T$479)/100),0)+IF(COUNTIF('Eval-Avant action écologique'!$C$465:$C$479,"F*")&gt;0,(-1)*SUMIF('Eval-Avant action écologique'!$C$465:$C$479,"F*",'Eval-Avant action écologique'!$T$465:$T$479)/100*LOG(SUMIF('Eval-Avant action écologique'!$C$465:$C$479,"F*",'Eval-Avant action écologique'!$T$465:$T$479)/100),0)+IF(COUNTIF('Eval-Avant action écologique'!$C$465:$C$479,"G*")&gt;0,(-1)*SUMIF('Eval-Avant action écologique'!$C$465:$C$479,"G*",'Eval-Avant action écologique'!$T$465:$T$479)/100*LOG(SUMIF('Eval-Avant action écologique'!$C$465:$C$479,"G*",'Eval-Avant action écologique'!$T$465:$T$479)/100),0)+IF(COUNTIF('Eval-Avant action écologique'!$C$465:$C$479,"H*")&gt;0,(-1)*SUMIF('Eval-Avant action écologique'!$C$465:$C$479,"H*",'Eval-Avant action écologique'!$T$465:$T$479)/100*LOG(SUMIF('Eval-Avant action écologique'!$C$465:$C$479,"H*",'Eval-Avant action écologique'!$T$465:$T$479)/100),0)+IF(COUNTIF('Eval-Avant action écologique'!$C$465:$C$479,"I*")&gt;0,(-1)*SUMIF('Eval-Avant action écologique'!$C$465:$C$479,"I*",'Eval-Avant action écologique'!$T$465:$T$479)/100*LOG(SUMIF('Eval-Avant action écologique'!$C$465:$C$479,"I*",'Eval-Avant action écologique'!$T$465:$T$479)/100),0)+IF(COUNTIF('Eval-Avant action écologique'!$C$465:$C$479,"J*")&gt;0,(-1)*SUMIF('Eval-Avant action écologique'!$C$465:$C$479,"J*",'Eval-Avant action écologique'!$T$465:$T$479)/100*LOG(SUMIF('Eval-Avant action écologique'!$C$465:$C$479,"J*",'Eval-Avant action écologique'!$T$465:$T$479)/100),0))/LOG(SUM(IF(COUNTIF('Eval-Avant action écologique'!$C$465:$C$479,"A*")&gt;0,1,0),IF(COUNTIF('Eval-Avant action écologique'!$C$465:$C$479,"B*")&gt;0,1,0),IF(COUNTIF('Eval-Avant action écologique'!$C$465:$C$479,"C*")&gt;0,1,0),IF(COUNTIF('Eval-Avant action écologique'!$C$465:$C$479,"D*")&gt;0,1,0),IF(COUNTIF('Eval-Avant action écologique'!$C$465:$C$479,"E*")&gt;0,1,0),IF(COUNTIF('Eval-Avant action écologique'!$C$465:$C$479,"F*")&gt;0,1,0),IF(COUNTIF('Eval-Avant action écologique'!$C$465:$C$479,"G*")&gt;0,1,0),IF(COUNTIF('Eval-Avant action écologique'!$C$465:$C$479,"H*")&gt;0,1,0),IF(COUNTIF('Eval-Avant action écologique'!$C$465:$C$479,"I*")&gt;0,1,0),IF(COUNTIF('Eval-Avant action écologique'!$C$465:$C$479,"J*")&gt;0,1,0))))))</f>
        <v/>
      </c>
      <c r="DE80" s="239"/>
      <c r="DF80" s="236"/>
      <c r="DG80" s="237"/>
      <c r="DH80" s="237"/>
      <c r="DI80" s="237"/>
      <c r="DJ80" s="237"/>
      <c r="DK80" s="237"/>
      <c r="DL80" s="237"/>
      <c r="DM80" s="237"/>
      <c r="DN80" s="238" t="str">
        <f>IF(DD80="","",DD80*'Eval-Avant action écologique'!$T$107)</f>
        <v/>
      </c>
      <c r="DO80" s="239"/>
      <c r="DP80" s="240" t="str">
        <f>IF(LEN('Eval-Avant action écologique'!$T$107)=0,"",IF('Eval-Avant action écologique'!$T$107=0,"Site détruit (0 ha).",IF(AND(DD80&gt;=0,DD80&lt;=0.2),CONCATENATE("Equitabilité de répartition des grands habitats très réduite (E=",ROUND(DD80,2),")."),"")))</f>
        <v/>
      </c>
      <c r="DQ80" s="241" t="str">
        <f>IF(AND(DD80&gt;0.2,DD80&lt;=0.4),CONCATENATE("Equitabilité de répartition des grands habitats réduite (E=",ROUND(DD80,2),")."),"")</f>
        <v/>
      </c>
      <c r="DR80" s="241" t="str">
        <f>IF(AND(DD80&gt;0.4,DD80&lt;=0.6),CONCATENATE("Equitabilité de répartition des habitats assez réduite (E=",ROUND(DD80,2),")."),"")</f>
        <v/>
      </c>
      <c r="DS80" s="241" t="str">
        <f>IF(AND(DD80&gt;0.6,DD80&lt;=0.8),CONCATENATE("Equitabilité de répartition des grands habitats élevée (E=",ROUND(DD80,2),")."),"")</f>
        <v/>
      </c>
      <c r="DT80" s="241" t="str">
        <f>IF(AND(DD80&gt;0.8,DD80&lt;=1),CONCATENATE("Equitabilité de répartition des grands habitats très élevée (E=",ROUND(DD80,2),")."),"")</f>
        <v/>
      </c>
      <c r="DU80" s="246"/>
      <c r="DV80" s="243" t="str">
        <f>DD80</f>
        <v/>
      </c>
      <c r="DW80" s="244" t="str">
        <f>DN80</f>
        <v/>
      </c>
      <c r="DX80" s="245"/>
      <c r="DY80" s="1133"/>
      <c r="DZ80" s="1136"/>
      <c r="EA80" s="235" t="s">
        <v>218</v>
      </c>
      <c r="EB80" s="236"/>
      <c r="EC80" s="237"/>
      <c r="ED80" s="237"/>
      <c r="EE80" s="237"/>
      <c r="EF80" s="237"/>
      <c r="EG80" s="237"/>
      <c r="EH80" s="237"/>
      <c r="EI80" s="237"/>
      <c r="EJ80" s="238" t="str">
        <f>IF(LEN('Eval-Avec act. écol. envisagée'!$T$107)=0,"",IF('Eval-Avec act. écol. envisagée'!$T$107=0,0,IF(SUM(IF(COUNTIF('Eval-Avec act. écol. envisagée'!$C$465:$C$479,"A*")&gt;0,1,0),IF(COUNTIF('Eval-Avec act. écol. envisagée'!$C$465:$C$479,"B*")&gt;0,1,0),IF(COUNTIF('Eval-Avec act. écol. envisagée'!$C$465:$C$479,"C*")&gt;0,1,0),IF(COUNTIF('Eval-Avec act. écol. envisagée'!$C$465:$C$479,"D*")&gt;0,1,0),IF(COUNTIF('Eval-Avec act. écol. envisagée'!$C$465:$C$479,"E*")&gt;0,1,0),IF(COUNTIF('Eval-Avec act. écol. envisagée'!$C$465:$C$479,"F*")&gt;0,1,0),IF(COUNTIF('Eval-Avec act. écol. envisagée'!$C$465:$C$479,"G*")&gt;0,1,0),IF(COUNTIF('Eval-Avec act. écol. envisagée'!$C$465:$C$479,"H*")&gt;0,1,0),IF(COUNTIF('Eval-Avec act. écol. envisagée'!$C$465:$C$479,"I*")&gt;0,1,0),IF(COUNTIF('Eval-Avec act. écol. envisagée'!$C$465:$C$479,"J*")&gt;0,1,0))=1,0,(IF(COUNTIF('Eval-Avec act. écol. envisagée'!$C$465:$C$479,"A*")&gt;0,(-1)*SUMIF('Eval-Avec act. écol. envisagée'!$C$465:$C$479,"A*",'Eval-Avec act. écol. envisagée'!$T$465:$T$479)/100*LOG(SUMIF('Eval-Avec act. écol. envisagée'!$C$465:$C$479,"A*",'Eval-Avec act. écol. envisagée'!$T$465:$T$479)/100),0)+IF(COUNTIF('Eval-Avec act. écol. envisagée'!$C$465:$C$479,"B*")&gt;0,(-1)*SUMIF('Eval-Avec act. écol. envisagée'!$C$465:$C$479,"B*",'Eval-Avec act. écol. envisagée'!$T$465:$T$479)/100*LOG(SUMIF('Eval-Avec act. écol. envisagée'!$C$465:$C$479,"B*",'Eval-Avec act. écol. envisagée'!$T$465:$T$479)/100),0)+IF(COUNTIF('Eval-Avec act. écol. envisagée'!$C$465:$C$479,"C*")&gt;0,(-1)*SUMIF('Eval-Avec act. écol. envisagée'!$C$465:$C$479,"C*",'Eval-Avec act. écol. envisagée'!$T$465:$T$479)/100*LOG(SUMIF('Eval-Avec act. écol. envisagée'!$C$465:$C$479,"C*",'Eval-Avec act. écol. envisagée'!$T$465:$T$479)/100),0)+IF(COUNTIF('Eval-Avec act. écol. envisagée'!$C$465:$C$479,"D*")&gt;0,(-1)*SUMIF('Eval-Avec act. écol. envisagée'!$C$465:$C$479,"D*",'Eval-Avec act. écol. envisagée'!$T$465:$T$479)/100*LOG(SUMIF('Eval-Avec act. écol. envisagée'!$C$465:$C$479,"D*",'Eval-Avec act. écol. envisagée'!$T$465:$T$479)/100),0)+IF(COUNTIF('Eval-Avec act. écol. envisagée'!$C$465:$C$479,"E*")&gt;0,(-1)*SUMIF('Eval-Avec act. écol. envisagée'!$C$465:$C$479,"E*",'Eval-Avec act. écol. envisagée'!$T$465:$T$479)/100*LOG(SUMIF('Eval-Avec act. écol. envisagée'!$C$465:$C$479,"E*",'Eval-Avec act. écol. envisagée'!$T$465:$T$479)/100),0)+IF(COUNTIF('Eval-Avec act. écol. envisagée'!$C$465:$C$479,"F*")&gt;0,(-1)*SUMIF('Eval-Avec act. écol. envisagée'!$C$465:$C$479,"F*",'Eval-Avec act. écol. envisagée'!$T$465:$T$479)/100*LOG(SUMIF('Eval-Avec act. écol. envisagée'!$C$465:$C$479,"F*",'Eval-Avec act. écol. envisagée'!$T$465:$T$479)/100),0)+IF(COUNTIF('Eval-Avec act. écol. envisagée'!$C$465:$C$479,"G*")&gt;0,(-1)*SUMIF('Eval-Avec act. écol. envisagée'!$C$465:$C$479,"G*",'Eval-Avec act. écol. envisagée'!$T$465:$T$479)/100*LOG(SUMIF('Eval-Avec act. écol. envisagée'!$C$465:$C$479,"G*",'Eval-Avec act. écol. envisagée'!$T$465:$T$479)/100),0)+IF(COUNTIF('Eval-Avec act. écol. envisagée'!$C$465:$C$479,"H*")&gt;0,(-1)*SUMIF('Eval-Avec act. écol. envisagée'!$C$465:$C$479,"H*",'Eval-Avec act. écol. envisagée'!$T$465:$T$479)/100*LOG(SUMIF('Eval-Avec act. écol. envisagée'!$C$465:$C$479,"H*",'Eval-Avec act. écol. envisagée'!$T$465:$T$479)/100),0)+IF(COUNTIF('Eval-Avec act. écol. envisagée'!$C$465:$C$479,"I*")&gt;0,(-1)*SUMIF('Eval-Avec act. écol. envisagée'!$C$465:$C$479,"I*",'Eval-Avec act. écol. envisagée'!$T$465:$T$479)/100*LOG(SUMIF('Eval-Avec act. écol. envisagée'!$C$465:$C$479,"I*",'Eval-Avec act. écol. envisagée'!$T$465:$T$479)/100),0)+IF(COUNTIF('Eval-Avec act. écol. envisagée'!$C$465:$C$479,"J*")&gt;0,(-1)*SUMIF('Eval-Avec act. écol. envisagée'!$C$465:$C$479,"J*",'Eval-Avec act. écol. envisagée'!$T$465:$T$479)/100*LOG(SUMIF('Eval-Avec act. écol. envisagée'!$C$465:$C$479,"J*",'Eval-Avec act. écol. envisagée'!$T$465:$T$479)/100),0))/LOG(SUM(IF(COUNTIF('Eval-Avec act. écol. envisagée'!$C$465:$C$479,"A*")&gt;0,1,0),IF(COUNTIF('Eval-Avec act. écol. envisagée'!$C$465:$C$479,"B*")&gt;0,1,0),IF(COUNTIF('Eval-Avec act. écol. envisagée'!$C$465:$C$479,"C*")&gt;0,1,0),IF(COUNTIF('Eval-Avec act. écol. envisagée'!$C$465:$C$479,"D*")&gt;0,1,0),IF(COUNTIF('Eval-Avec act. écol. envisagée'!$C$465:$C$479,"E*")&gt;0,1,0),IF(COUNTIF('Eval-Avec act. écol. envisagée'!$C$465:$C$479,"F*")&gt;0,1,0),IF(COUNTIF('Eval-Avec act. écol. envisagée'!$C$465:$C$479,"G*")&gt;0,1,0),IF(COUNTIF('Eval-Avec act. écol. envisagée'!$C$465:$C$479,"H*")&gt;0,1,0),IF(COUNTIF('Eval-Avec act. écol. envisagée'!$C$465:$C$479,"I*")&gt;0,1,0),IF(COUNTIF('Eval-Avec act. écol. envisagée'!$C$465:$C$479,"J*")&gt;0,1,0))))))</f>
        <v/>
      </c>
      <c r="EK80" s="239"/>
      <c r="EL80" s="236"/>
      <c r="EM80" s="237"/>
      <c r="EN80" s="237"/>
      <c r="EO80" s="237"/>
      <c r="EP80" s="237"/>
      <c r="EQ80" s="237"/>
      <c r="ER80" s="237"/>
      <c r="ES80" s="237"/>
      <c r="ET80" s="238" t="str">
        <f>IF(EJ80="","",EJ80*'Eval-Avec act. écol. envisagée'!$T$107)</f>
        <v/>
      </c>
      <c r="EU80" s="239"/>
      <c r="EV80" s="240" t="str">
        <f>IF(LEN('Eval-Avec act. écol. envisagée'!$T$107)=0,"",IF('Eval-Avec act. écol. envisagée'!$T$107=0,"Site détruit (0 ha).",IF(AND(EJ80&gt;=0,EJ80&lt;=0.2),CONCATENATE("Equitabilité de répartition des grands habitats très réduite (E=",ROUND(EJ80,2),")."),"")))</f>
        <v/>
      </c>
      <c r="EW80" s="241" t="str">
        <f>IF(AND(EJ80&gt;0.2,EJ80&lt;=0.4),CONCATENATE("Equitabilité de répartition des grands habitats réduite (E=",ROUND(EJ80,2),")."),"")</f>
        <v/>
      </c>
      <c r="EX80" s="241" t="str">
        <f>IF(AND(EJ80&gt;0.4,EJ80&lt;=0.6),CONCATENATE("Equitabilité de répartition des habitats assez réduite (E=",ROUND(EJ80,2),")."),"")</f>
        <v/>
      </c>
      <c r="EY80" s="241" t="str">
        <f>IF(AND(EJ80&gt;0.6,EJ80&lt;=0.8),CONCATENATE("Equitabilité de répartition des grands habitats élevée (E=",ROUND(EJ80,2),")."),"")</f>
        <v/>
      </c>
      <c r="EZ80" s="241" t="str">
        <f>IF(AND(EJ80&gt;0.8,EJ80&lt;=1),CONCATENATE("Equitabilité de répartition des grands habitats très élevée (E=",ROUND(EJ80,2),")."),"")</f>
        <v/>
      </c>
      <c r="FA80" s="246"/>
      <c r="FB80" s="243" t="str">
        <f>EJ80</f>
        <v/>
      </c>
      <c r="FC80" s="244" t="str">
        <f>ET80</f>
        <v/>
      </c>
      <c r="FD80" s="245"/>
      <c r="FE80" s="1133"/>
      <c r="FF80" s="1136"/>
      <c r="FG80" s="235" t="s">
        <v>218</v>
      </c>
      <c r="FH80" s="236"/>
      <c r="FI80" s="237"/>
      <c r="FJ80" s="237"/>
      <c r="FK80" s="237"/>
      <c r="FL80" s="237"/>
      <c r="FM80" s="237"/>
      <c r="FN80" s="237"/>
      <c r="FO80" s="237"/>
      <c r="FP80" s="238" t="str">
        <f>IF(LEN('Eval-Après action écologique'!$T$107)=0,"",IF('Eval-Après action écologique'!$T$107=0,0,IF(SUM(IF(COUNTIF('Eval-Après action écologique'!$C$465:$C$479,"A*")&gt;0,1,0),IF(COUNTIF('Eval-Après action écologique'!$C$465:$C$479,"B*")&gt;0,1,0),IF(COUNTIF('Eval-Après action écologique'!$C$465:$C$479,"C*")&gt;0,1,0),IF(COUNTIF('Eval-Après action écologique'!$C$465:$C$479,"D*")&gt;0,1,0),IF(COUNTIF('Eval-Après action écologique'!$C$465:$C$479,"E*")&gt;0,1,0),IF(COUNTIF('Eval-Après action écologique'!$C$465:$C$479,"F*")&gt;0,1,0),IF(COUNTIF('Eval-Après action écologique'!$C$465:$C$479,"G*")&gt;0,1,0),IF(COUNTIF('Eval-Après action écologique'!$C$465:$C$479,"H*")&gt;0,1,0),IF(COUNTIF('Eval-Après action écologique'!$C$465:$C$479,"I*")&gt;0,1,0),IF(COUNTIF('Eval-Après action écologique'!$C$465:$C$479,"J*")&gt;0,1,0))=1,0,(IF(COUNTIF('Eval-Après action écologique'!$C$465:$C$479,"A*")&gt;0,(-1)*SUMIF('Eval-Après action écologique'!$C$465:$C$479,"A*",'Eval-Après action écologique'!$T$465:$T$479)/100*LOG(SUMIF('Eval-Après action écologique'!$C$465:$C$479,"A*",'Eval-Après action écologique'!$T$465:$T$479)/100),0)+IF(COUNTIF('Eval-Après action écologique'!$C$465:$C$479,"B*")&gt;0,(-1)*SUMIF('Eval-Après action écologique'!$C$465:$C$479,"B*",'Eval-Après action écologique'!$T$465:$T$479)/100*LOG(SUMIF('Eval-Après action écologique'!$C$465:$C$479,"B*",'Eval-Après action écologique'!$T$465:$T$479)/100),0)+IF(COUNTIF('Eval-Après action écologique'!$C$465:$C$479,"C*")&gt;0,(-1)*SUMIF('Eval-Après action écologique'!$C$465:$C$479,"C*",'Eval-Après action écologique'!$T$465:$T$479)/100*LOG(SUMIF('Eval-Après action écologique'!$C$465:$C$479,"C*",'Eval-Après action écologique'!$T$465:$T$479)/100),0)+IF(COUNTIF('Eval-Après action écologique'!$C$465:$C$479,"D*")&gt;0,(-1)*SUMIF('Eval-Après action écologique'!$C$465:$C$479,"D*",'Eval-Après action écologique'!$T$465:$T$479)/100*LOG(SUMIF('Eval-Après action écologique'!$C$465:$C$479,"D*",'Eval-Après action écologique'!$T$465:$T$479)/100),0)+IF(COUNTIF('Eval-Après action écologique'!$C$465:$C$479,"E*")&gt;0,(-1)*SUMIF('Eval-Après action écologique'!$C$465:$C$479,"E*",'Eval-Après action écologique'!$T$465:$T$479)/100*LOG(SUMIF('Eval-Après action écologique'!$C$465:$C$479,"E*",'Eval-Après action écologique'!$T$465:$T$479)/100),0)+IF(COUNTIF('Eval-Après action écologique'!$C$465:$C$479,"F*")&gt;0,(-1)*SUMIF('Eval-Après action écologique'!$C$465:$C$479,"F*",'Eval-Après action écologique'!$T$465:$T$479)/100*LOG(SUMIF('Eval-Après action écologique'!$C$465:$C$479,"F*",'Eval-Après action écologique'!$T$465:$T$479)/100),0)+IF(COUNTIF('Eval-Après action écologique'!$C$465:$C$479,"G*")&gt;0,(-1)*SUMIF('Eval-Après action écologique'!$C$465:$C$479,"G*",'Eval-Après action écologique'!$T$465:$T$479)/100*LOG(SUMIF('Eval-Après action écologique'!$C$465:$C$479,"G*",'Eval-Après action écologique'!$T$465:$T$479)/100),0)+IF(COUNTIF('Eval-Après action écologique'!$C$465:$C$479,"H*")&gt;0,(-1)*SUMIF('Eval-Après action écologique'!$C$465:$C$479,"H*",'Eval-Après action écologique'!$T$465:$T$479)/100*LOG(SUMIF('Eval-Après action écologique'!$C$465:$C$479,"H*",'Eval-Après action écologique'!$T$465:$T$479)/100),0)+IF(COUNTIF('Eval-Après action écologique'!$C$465:$C$479,"I*")&gt;0,(-1)*SUMIF('Eval-Après action écologique'!$C$465:$C$479,"I*",'Eval-Après action écologique'!$T$465:$T$479)/100*LOG(SUMIF('Eval-Après action écologique'!$C$465:$C$479,"I*",'Eval-Après action écologique'!$T$465:$T$479)/100),0)+IF(COUNTIF('Eval-Après action écologique'!$C$465:$C$479,"J*")&gt;0,(-1)*SUMIF('Eval-Après action écologique'!$C$465:$C$479,"J*",'Eval-Après action écologique'!$T$465:$T$479)/100*LOG(SUMIF('Eval-Après action écologique'!$C$465:$C$479,"J*",'Eval-Après action écologique'!$T$465:$T$479)/100),0))/LOG(SUM(IF(COUNTIF('Eval-Après action écologique'!$C$465:$C$479,"A*")&gt;0,1,0),IF(COUNTIF('Eval-Après action écologique'!$C$465:$C$479,"B*")&gt;0,1,0),IF(COUNTIF('Eval-Après action écologique'!$C$465:$C$479,"C*")&gt;0,1,0),IF(COUNTIF('Eval-Après action écologique'!$C$465:$C$479,"D*")&gt;0,1,0),IF(COUNTIF('Eval-Après action écologique'!$C$465:$C$479,"E*")&gt;0,1,0),IF(COUNTIF('Eval-Après action écologique'!$C$465:$C$479,"F*")&gt;0,1,0),IF(COUNTIF('Eval-Après action écologique'!$C$465:$C$479,"G*")&gt;0,1,0),IF(COUNTIF('Eval-Après action écologique'!$C$465:$C$479,"H*")&gt;0,1,0),IF(COUNTIF('Eval-Après action écologique'!$C$465:$C$479,"I*")&gt;0,1,0),IF(COUNTIF('Eval-Après action écologique'!$C$465:$C$479,"J*")&gt;0,1,0))))))</f>
        <v/>
      </c>
      <c r="FQ80" s="239"/>
      <c r="FR80" s="236"/>
      <c r="FS80" s="237"/>
      <c r="FT80" s="237"/>
      <c r="FU80" s="237"/>
      <c r="FV80" s="237"/>
      <c r="FW80" s="237"/>
      <c r="FX80" s="237"/>
      <c r="FY80" s="237"/>
      <c r="FZ80" s="238" t="str">
        <f>IF(FP80="","",FP80*'Eval-Après action écologique'!$T$107)</f>
        <v/>
      </c>
      <c r="GA80" s="239"/>
      <c r="GB80" s="240" t="str">
        <f>IF(LEN('Eval-Après action écologique'!$T$107)=0,"",IF('Eval-Après action écologique'!$T$107=0,"Site détruit (0 ha).",IF(AND(FP80&gt;=0,FP80&lt;=0.2),CONCATENATE("Equitabilité de répartition des grands habitats très réduite (E=",ROUND(FP80,2),")."),"")))</f>
        <v/>
      </c>
      <c r="GC80" s="241" t="str">
        <f>IF(AND(FP80&gt;0.2,FP80&lt;=0.4),CONCATENATE("Equitabilité de répartition des grands habitats réduite (E=",ROUND(FP80,2),")."),"")</f>
        <v/>
      </c>
      <c r="GD80" s="241" t="str">
        <f>IF(AND(FP80&gt;0.4,FP80&lt;=0.6),CONCATENATE("Equitabilité de répartition des habitats assez réduite (E=",ROUND(FP80,2),")."),"")</f>
        <v/>
      </c>
      <c r="GE80" s="241" t="str">
        <f>IF(AND(FP80&gt;0.6,FP80&lt;=0.8),CONCATENATE("Equitabilité de répartition des grands habitats élevée (E=",ROUND(FP80,2),")."),"")</f>
        <v/>
      </c>
      <c r="GF80" s="241" t="str">
        <f>IF(AND(FP80&gt;0.8,FP80&lt;=1),CONCATENATE("Equitabilité de répartition des grands habitats très élevée (E=",ROUND(FP80,2),")."),"")</f>
        <v/>
      </c>
      <c r="GG80" s="246"/>
      <c r="GH80" s="243" t="str">
        <f>FP80</f>
        <v/>
      </c>
      <c r="GI80" s="244" t="str">
        <f>FZ80</f>
        <v/>
      </c>
    </row>
    <row r="81" spans="1:191" ht="31.5" customHeight="1" x14ac:dyDescent="0.2">
      <c r="A81" s="1133"/>
      <c r="B81" s="1136"/>
      <c r="C81" s="235" t="s">
        <v>152</v>
      </c>
      <c r="D81" s="236"/>
      <c r="E81" s="237"/>
      <c r="F81" s="237"/>
      <c r="G81" s="237"/>
      <c r="H81" s="237"/>
      <c r="I81" s="237"/>
      <c r="J81" s="237"/>
      <c r="K81" s="237"/>
      <c r="L81" s="237"/>
      <c r="M81" s="250" t="str">
        <f>IF(LEN('Eval-Avant impact'!$T$107)=0,"",IF('Eval-Avant impact'!$T$107=0,0,1-('Eval-Avant impact'!$T$822/'Eval-Avant impact'!$T$816)))</f>
        <v/>
      </c>
      <c r="N81" s="236"/>
      <c r="O81" s="237"/>
      <c r="P81" s="237"/>
      <c r="Q81" s="237"/>
      <c r="R81" s="237"/>
      <c r="S81" s="237"/>
      <c r="T81" s="237"/>
      <c r="U81" s="237"/>
      <c r="V81" s="237"/>
      <c r="W81" s="250" t="str">
        <f>IF(M81="","",M81*'Eval-Avant impact'!$T$107)</f>
        <v/>
      </c>
      <c r="X81" s="240" t="str">
        <f>IF(LEN('Eval-Avant impact'!$T$107)=0,"",IF('Eval-Avant impact'!$T$107=0,"Site détruit (0 ha).",(IF(AND(M81&gt;=0,M81&lt;=0.2),CONCATENATE("Très fort isolement des habitats (dist. moy.",ROUND('Eval-Avant impact'!$T$822/'Eval-Avant impact'!$T$816,1)," km).",),""))))</f>
        <v/>
      </c>
      <c r="Y81" s="241" t="str">
        <f>(IF(AND(M81&gt;0.2,M81&lt;=0.4),CONCATENATE("Fort isolement des habitats (dist. moy.",ROUND('Eval-Avant impact'!$T$822/'Eval-Avant impact'!$T$816,1)," km).",),""))</f>
        <v/>
      </c>
      <c r="Z81" s="241" t="str">
        <f>(IF(AND(M81&gt;0.4,M81&lt;=0.6),CONCATENATE("Assez fort isolement des habitats (dist. moy.",ROUND('Eval-Avant impact'!$T$822/'Eval-Avant impact'!$T$816,1)," km).",),""))</f>
        <v/>
      </c>
      <c r="AA81" s="241" t="str">
        <f>(IF(AND(M81&gt;0.6,M81&lt;=0.8),CONCATENATE("Faible isolement des habitats (dist. moy.",ROUND('Eval-Avant impact'!$T$822/'Eval-Avant impact'!$T$816,1)," km).",),""))</f>
        <v/>
      </c>
      <c r="AB81" s="241" t="str">
        <f>(IF(AND(M81&gt;0.8,M81&lt;=1),CONCATENATE("Très faible isolement des habitats (dist. moy.",ROUND('Eval-Avant impact'!$T$822/'Eval-Avant impact'!$T$816,1)," km).",),""))</f>
        <v/>
      </c>
      <c r="AC81" s="246"/>
      <c r="AD81" s="243" t="str">
        <f>M81</f>
        <v/>
      </c>
      <c r="AE81" s="244" t="str">
        <f>W81</f>
        <v/>
      </c>
      <c r="AF81" s="245"/>
      <c r="AG81" s="1133"/>
      <c r="AH81" s="1136"/>
      <c r="AI81" s="235" t="s">
        <v>152</v>
      </c>
      <c r="AJ81" s="236"/>
      <c r="AK81" s="237"/>
      <c r="AL81" s="237"/>
      <c r="AM81" s="237"/>
      <c r="AN81" s="237"/>
      <c r="AO81" s="237"/>
      <c r="AP81" s="237"/>
      <c r="AQ81" s="237"/>
      <c r="AR81" s="237"/>
      <c r="AS81" s="250" t="str">
        <f>IF(LEN('Eval-Avec impact envisagé'!$T$107)=0,"",IF('Eval-Avec impact envisagé'!$T$107=0,0,1-('Eval-Avec impact envisagé'!$T$822/'Eval-Avec impact envisagé'!$T$816)))</f>
        <v/>
      </c>
      <c r="AT81" s="236"/>
      <c r="AU81" s="237"/>
      <c r="AV81" s="237"/>
      <c r="AW81" s="237"/>
      <c r="AX81" s="237"/>
      <c r="AY81" s="237"/>
      <c r="AZ81" s="237"/>
      <c r="BA81" s="237"/>
      <c r="BB81" s="237"/>
      <c r="BC81" s="250" t="str">
        <f>IF(AS81="","",AS81*'Eval-Avec impact envisagé'!$T$107)</f>
        <v/>
      </c>
      <c r="BD81" s="240" t="str">
        <f>IF(LEN('Eval-Avec impact envisagé'!$T$107)=0,"",IF('Eval-Avec impact envisagé'!$T$107=0,"Site détruit (0 ha).",(IF(AND(AS81&gt;=0,AS81&lt;=0.2),CONCATENATE("Très fort isolement des habitats (dist. moy.",ROUND('Eval-Avec impact envisagé'!$T$822/'Eval-Avec impact envisagé'!$T$816,1)," km).",),""))))</f>
        <v/>
      </c>
      <c r="BE81" s="241" t="str">
        <f>(IF(AND(AS81&gt;0.2,AS81&lt;=0.4),CONCATENATE("Fort isolement des habitats (dist. moy.",ROUND('Eval-Avec impact envisagé'!$T$822/'Eval-Avec impact envisagé'!$T$816,1)," km).",),""))</f>
        <v/>
      </c>
      <c r="BF81" s="241" t="str">
        <f>(IF(AND(AS81&gt;0.4,AS81&lt;=0.6),CONCATENATE("Assez fort isolement des habitats (dist. moy.",ROUND('Eval-Avec impact envisagé'!$T$822/'Eval-Avec impact envisagé'!$T$816,1)," km).",),""))</f>
        <v/>
      </c>
      <c r="BG81" s="241" t="str">
        <f>(IF(AND(AS81&gt;0.6,AS81&lt;=0.8),CONCATENATE("Faible isolement des habitats (dist. moy.",ROUND('Eval-Avec impact envisagé'!$T$822/'Eval-Avec impact envisagé'!$T$816,1)," km).",),""))</f>
        <v/>
      </c>
      <c r="BH81" s="241" t="str">
        <f>(IF(AND(AS81&gt;0.8,AS81&lt;=1),CONCATENATE("Très faible isolement des habitats (dist. moy.",ROUND('Eval-Avec impact envisagé'!$T$822/'Eval-Avec impact envisagé'!$T$816,1)," km).",),""))</f>
        <v/>
      </c>
      <c r="BI81" s="246"/>
      <c r="BJ81" s="243" t="str">
        <f>AS81</f>
        <v/>
      </c>
      <c r="BK81" s="244" t="str">
        <f>BC81</f>
        <v/>
      </c>
      <c r="BL81" s="245"/>
      <c r="BM81" s="1133"/>
      <c r="BN81" s="1136"/>
      <c r="BO81" s="235" t="s">
        <v>152</v>
      </c>
      <c r="BP81" s="236"/>
      <c r="BQ81" s="237"/>
      <c r="BR81" s="237"/>
      <c r="BS81" s="237"/>
      <c r="BT81" s="237"/>
      <c r="BU81" s="237"/>
      <c r="BV81" s="237"/>
      <c r="BW81" s="237"/>
      <c r="BX81" s="237"/>
      <c r="BY81" s="250" t="str">
        <f>IF(LEN('Eval-Après impact'!$T$107)=0,"",IF('Eval-Après impact'!$T$107=0,0,1-('Eval-Après impact'!$T$822/'Eval-Après impact'!$T$816)))</f>
        <v/>
      </c>
      <c r="BZ81" s="236"/>
      <c r="CA81" s="237"/>
      <c r="CB81" s="237"/>
      <c r="CC81" s="237"/>
      <c r="CD81" s="237"/>
      <c r="CE81" s="237"/>
      <c r="CF81" s="237"/>
      <c r="CG81" s="237"/>
      <c r="CH81" s="237"/>
      <c r="CI81" s="250" t="str">
        <f>IF(BY81="","",BY81*'Eval-Après impact'!$T$107)</f>
        <v/>
      </c>
      <c r="CJ81" s="240" t="str">
        <f>IF(LEN('Eval-Après impact'!$T$107)=0,"",IF('Eval-Après impact'!$T$107=0,"Site détruit (0 ha).",(IF(AND(BY81&gt;=0,BY81&lt;=0.2),CONCATENATE("Très fort isolement des habitats (dist. moy.",ROUND('Eval-Après impact'!$T$822/'Eval-Après impact'!$T$816,1)," km).",),""))))</f>
        <v/>
      </c>
      <c r="CK81" s="241" t="str">
        <f>(IF(AND(BY81&gt;0.2,BY81&lt;=0.4),CONCATENATE("Fort isolement des habitats (dist. moy.",ROUND('Eval-Après impact'!$T$822/'Eval-Après impact'!$T$816,1)," km).",),""))</f>
        <v/>
      </c>
      <c r="CL81" s="241" t="str">
        <f>(IF(AND(BY81&gt;0.4,BY81&lt;=0.6),CONCATENATE("Assez fort isolement des habitats (dist. moy.",ROUND('Eval-Après impact'!$T$822/'Eval-Après impact'!$T$816,1)," km).",),""))</f>
        <v/>
      </c>
      <c r="CM81" s="241" t="str">
        <f>(IF(AND(BY81&gt;0.6,BY81&lt;=0.8),CONCATENATE("Faible isolement des habitats (dist. moy.",ROUND('Eval-Après impact'!$T$822/'Eval-Après impact'!$T$816,1)," km).",),""))</f>
        <v/>
      </c>
      <c r="CN81" s="241" t="str">
        <f>(IF(AND(BY81&gt;0.8,BY81&lt;=1),CONCATENATE("Très faible isolement des habitats (dist. moy.",ROUND('Eval-Après impact'!$T$822/'Eval-Après impact'!$T$816,1)," km).",),""))</f>
        <v/>
      </c>
      <c r="CO81" s="246"/>
      <c r="CP81" s="243" t="str">
        <f>BY81</f>
        <v/>
      </c>
      <c r="CQ81" s="244" t="str">
        <f>CI81</f>
        <v/>
      </c>
      <c r="CR81" s="245"/>
      <c r="CS81" s="1133"/>
      <c r="CT81" s="1136"/>
      <c r="CU81" s="235" t="s">
        <v>152</v>
      </c>
      <c r="CV81" s="236"/>
      <c r="CW81" s="237"/>
      <c r="CX81" s="237"/>
      <c r="CY81" s="237"/>
      <c r="CZ81" s="237"/>
      <c r="DA81" s="237"/>
      <c r="DB81" s="237"/>
      <c r="DC81" s="237"/>
      <c r="DD81" s="237"/>
      <c r="DE81" s="250" t="str">
        <f>IF(LEN('Eval-Avant action écologique'!$T$107)=0,"",IF('Eval-Avant action écologique'!$T$107=0,0,1-('Eval-Avant action écologique'!$T$822/'Eval-Avant action écologique'!$T$816)))</f>
        <v/>
      </c>
      <c r="DF81" s="236"/>
      <c r="DG81" s="237"/>
      <c r="DH81" s="237"/>
      <c r="DI81" s="237"/>
      <c r="DJ81" s="237"/>
      <c r="DK81" s="237"/>
      <c r="DL81" s="237"/>
      <c r="DM81" s="237"/>
      <c r="DN81" s="237"/>
      <c r="DO81" s="250" t="str">
        <f>IF(DE81="","",DE81*'Eval-Avant action écologique'!$T$107)</f>
        <v/>
      </c>
      <c r="DP81" s="240" t="str">
        <f>IF(LEN('Eval-Avant action écologique'!$T$107)=0,"",IF('Eval-Avant action écologique'!$T$107=0,"Site détruit (0 ha).",(IF(AND(DE81&gt;=0,DE81&lt;=0.2),CONCATENATE("Très fort isolement des habitats (dist. moy.",ROUND('Eval-Avant action écologique'!$T$822/'Eval-Avant action écologique'!$T$816,1)," km).",),""))))</f>
        <v/>
      </c>
      <c r="DQ81" s="241" t="str">
        <f>(IF(AND(DE81&gt;0.2,DE81&lt;=0.4),CONCATENATE("Fort isolement des habitats (dist. moy.",ROUND('Eval-Avant action écologique'!$T$822/'Eval-Avant action écologique'!$T$816,1)," km).",),""))</f>
        <v/>
      </c>
      <c r="DR81" s="241" t="str">
        <f>(IF(AND(DE81&gt;0.4,DE81&lt;=0.6),CONCATENATE("Assez fort isolement des habitats (dist. moy.",ROUND('Eval-Avant action écologique'!$T$822/'Eval-Avant action écologique'!$T$816,1)," km).",),""))</f>
        <v/>
      </c>
      <c r="DS81" s="241" t="str">
        <f>(IF(AND(DE81&gt;0.6,DE81&lt;=0.8),CONCATENATE("Faible isolement des habitats (dist. moy.",ROUND('Eval-Avant action écologique'!$T$822/'Eval-Avant action écologique'!$T$816,1)," km).",),""))</f>
        <v/>
      </c>
      <c r="DT81" s="241" t="str">
        <f>(IF(AND(DE81&gt;0.8,DE81&lt;=1),CONCATENATE("Très faible isolement des habitats (dist. moy.",ROUND('Eval-Avant action écologique'!$T$822/'Eval-Avant action écologique'!$T$816,1)," km).",),""))</f>
        <v/>
      </c>
      <c r="DU81" s="246"/>
      <c r="DV81" s="243" t="str">
        <f>DE81</f>
        <v/>
      </c>
      <c r="DW81" s="244" t="str">
        <f>DO81</f>
        <v/>
      </c>
      <c r="DX81" s="245"/>
      <c r="DY81" s="1133"/>
      <c r="DZ81" s="1136"/>
      <c r="EA81" s="235" t="s">
        <v>152</v>
      </c>
      <c r="EB81" s="236"/>
      <c r="EC81" s="237"/>
      <c r="ED81" s="237"/>
      <c r="EE81" s="237"/>
      <c r="EF81" s="237"/>
      <c r="EG81" s="237"/>
      <c r="EH81" s="237"/>
      <c r="EI81" s="237"/>
      <c r="EJ81" s="237"/>
      <c r="EK81" s="250" t="str">
        <f>IF(LEN('Eval-Avec act. écol. envisagée'!$T$107)=0,"",IF('Eval-Avec act. écol. envisagée'!$T$107=0,0,1-('Eval-Avec act. écol. envisagée'!$T$822/'Eval-Avec act. écol. envisagée'!$T$816)))</f>
        <v/>
      </c>
      <c r="EL81" s="236"/>
      <c r="EM81" s="237"/>
      <c r="EN81" s="237"/>
      <c r="EO81" s="237"/>
      <c r="EP81" s="237"/>
      <c r="EQ81" s="237"/>
      <c r="ER81" s="237"/>
      <c r="ES81" s="237"/>
      <c r="ET81" s="237"/>
      <c r="EU81" s="250" t="str">
        <f>IF(EK81="","",EK81*'Eval-Avec act. écol. envisagée'!$T$107)</f>
        <v/>
      </c>
      <c r="EV81" s="240" t="str">
        <f>IF(LEN('Eval-Avec act. écol. envisagée'!$T$107)=0,"",IF('Eval-Avec act. écol. envisagée'!$T$107=0,"Site détruit (0 ha).",(IF(AND(EK81&gt;=0,EK81&lt;=0.2),CONCATENATE("Très fort isolement des habitats (dist. moy.",ROUND('Eval-Avec act. écol. envisagée'!$T$822/'Eval-Avec act. écol. envisagée'!$T$816,1)," km).",),""))))</f>
        <v/>
      </c>
      <c r="EW81" s="241" t="str">
        <f>(IF(AND(EK81&gt;0.2,EK81&lt;=0.4),CONCATENATE("Fort isolement des habitats (dist. moy.",ROUND('Eval-Avec act. écol. envisagée'!$T$822/'Eval-Avec act. écol. envisagée'!$T$816,1)," km).",),""))</f>
        <v/>
      </c>
      <c r="EX81" s="241" t="str">
        <f>(IF(AND(EK81&gt;0.4,EK81&lt;=0.6),CONCATENATE("Assez fort isolement des habitats (dist. moy.",ROUND('Eval-Avec act. écol. envisagée'!$T$822/'Eval-Avec act. écol. envisagée'!$T$816,1)," km).",),""))</f>
        <v/>
      </c>
      <c r="EY81" s="241" t="str">
        <f>(IF(AND(EK81&gt;0.6,EK81&lt;=0.8),CONCATENATE("Faible isolement des habitats (dist. moy.",ROUND('Eval-Avec act. écol. envisagée'!$T$822/'Eval-Avec act. écol. envisagée'!$T$816,1)," km).",),""))</f>
        <v/>
      </c>
      <c r="EZ81" s="241" t="str">
        <f>(IF(AND(EK81&gt;0.8,EK81&lt;=1),CONCATENATE("Très faible isolement des habitats (dist. moy.",ROUND('Eval-Avec act. écol. envisagée'!$T$822/'Eval-Avec act. écol. envisagée'!$T$816,1)," km).",),""))</f>
        <v/>
      </c>
      <c r="FA81" s="246"/>
      <c r="FB81" s="243" t="str">
        <f>EK81</f>
        <v/>
      </c>
      <c r="FC81" s="244" t="str">
        <f>EU81</f>
        <v/>
      </c>
      <c r="FD81" s="245"/>
      <c r="FE81" s="1133"/>
      <c r="FF81" s="1136"/>
      <c r="FG81" s="235" t="s">
        <v>152</v>
      </c>
      <c r="FH81" s="236"/>
      <c r="FI81" s="237"/>
      <c r="FJ81" s="237"/>
      <c r="FK81" s="237"/>
      <c r="FL81" s="237"/>
      <c r="FM81" s="237"/>
      <c r="FN81" s="237"/>
      <c r="FO81" s="237"/>
      <c r="FP81" s="237"/>
      <c r="FQ81" s="250" t="str">
        <f>IF(LEN('Eval-Après action écologique'!$T$107)=0,"",IF('Eval-Après action écologique'!$T$107=0,0,1-('Eval-Après action écologique'!$T$822/'Eval-Après action écologique'!$T$816)))</f>
        <v/>
      </c>
      <c r="FR81" s="236"/>
      <c r="FS81" s="237"/>
      <c r="FT81" s="237"/>
      <c r="FU81" s="237"/>
      <c r="FV81" s="237"/>
      <c r="FW81" s="237"/>
      <c r="FX81" s="237"/>
      <c r="FY81" s="237"/>
      <c r="FZ81" s="237"/>
      <c r="GA81" s="250" t="str">
        <f>IF(FQ81="","",FQ81*'Eval-Après action écologique'!$T$107)</f>
        <v/>
      </c>
      <c r="GB81" s="240" t="str">
        <f>IF(LEN('Eval-Après action écologique'!$T$107)=0,"",IF('Eval-Après action écologique'!$T$107=0,"Site détruit (0 ha).",(IF(AND(FQ81&gt;=0,FQ81&lt;=0.2),CONCATENATE("Très fort isolement des habitats (dist. moy.",ROUND('Eval-Après action écologique'!$T$822/'Eval-Après action écologique'!$T$816,1)," km).",),""))))</f>
        <v/>
      </c>
      <c r="GC81" s="241" t="str">
        <f>(IF(AND(FQ81&gt;0.2,FQ81&lt;=0.4),CONCATENATE("Fort isolement des habitats (dist. moy.",ROUND('Eval-Après action écologique'!$T$822/'Eval-Après action écologique'!$T$816,1)," km).",),""))</f>
        <v/>
      </c>
      <c r="GD81" s="241" t="str">
        <f>(IF(AND(FQ81&gt;0.4,FQ81&lt;=0.6),CONCATENATE("Assez fort isolement des habitats (dist. moy.",ROUND('Eval-Après action écologique'!$T$822/'Eval-Après action écologique'!$T$816,1)," km).",),""))</f>
        <v/>
      </c>
      <c r="GE81" s="241" t="str">
        <f>(IF(AND(FQ81&gt;0.6,FQ81&lt;=0.8),CONCATENATE("Faible isolement des habitats (dist. moy.",ROUND('Eval-Après action écologique'!$T$822/'Eval-Après action écologique'!$T$816,1)," km).",),""))</f>
        <v/>
      </c>
      <c r="GF81" s="241" t="str">
        <f>(IF(AND(FQ81&gt;0.8,FQ81&lt;=1),CONCATENATE("Très faible isolement des habitats (dist. moy.",ROUND('Eval-Après action écologique'!$T$822/'Eval-Après action écologique'!$T$816,1)," km).",),""))</f>
        <v/>
      </c>
      <c r="GG81" s="246"/>
      <c r="GH81" s="243" t="str">
        <f>FQ81</f>
        <v/>
      </c>
      <c r="GI81" s="244" t="str">
        <f>GA81</f>
        <v/>
      </c>
    </row>
    <row r="82" spans="1:191" ht="31.5" customHeight="1" x14ac:dyDescent="0.2">
      <c r="A82" s="1133"/>
      <c r="B82" s="1137"/>
      <c r="C82" s="235" t="s">
        <v>153</v>
      </c>
      <c r="D82" s="236"/>
      <c r="E82" s="237"/>
      <c r="F82" s="237"/>
      <c r="G82" s="237"/>
      <c r="H82" s="237"/>
      <c r="I82" s="237"/>
      <c r="J82" s="237"/>
      <c r="K82" s="237"/>
      <c r="L82" s="237"/>
      <c r="M82" s="238" t="str">
        <f>IF(LEN('Eval-Avant impact'!$T$107)=0,"",IF('Eval-Avant impact'!$T$107=0,0,(MIN(SUMIF('Eval-Avant impact'!$C$465:$E$479,"A*",'Eval-Avant impact'!$T$465:$W$479),('Eval-Avant impact'!$T$356*'Eval-Avant impact'!$T$361-'Eval-Avant impact'!$T$107*SUMIF('Eval-Avant impact'!$C$465:$E$479,"A*",'Eval-Avant impact'!$T$465:$W$479))/('Eval-Avant impact'!$T$356-'Eval-Avant impact'!$T$107))+MIN(SUMIF('Eval-Avant impact'!$C$465:$E$479,"B*",'Eval-Avant impact'!$T$465:$W$479),('Eval-Avant impact'!$T$356*'Eval-Avant impact'!$T$362-'Eval-Avant impact'!$T$107*SUMIF('Eval-Avant impact'!$C$465:$E$479,"B*",'Eval-Avant impact'!$T$465:$W$479))/('Eval-Avant impact'!$T$356-'Eval-Avant impact'!$T$107))+MIN(SUMIF('Eval-Avant impact'!$C$465:$E$479,"C*",'Eval-Avant impact'!$T$465:$W$479),('Eval-Avant impact'!$T$356*'Eval-Avant impact'!$T$363-'Eval-Avant impact'!$T$107*SUMIF('Eval-Avant impact'!$C$465:$E$479,"C*",'Eval-Avant impact'!$T$465:$W$479))/('Eval-Avant impact'!$T$356-'Eval-Avant impact'!$T$107))+MIN(SUMIF('Eval-Avant impact'!$C$465:$E$479,"D*",'Eval-Avant impact'!$T$465:$W$479),('Eval-Avant impact'!$T$356*'Eval-Avant impact'!$T$364-'Eval-Avant impact'!$T$107*SUMIF('Eval-Avant impact'!$C$465:$E$479,"D*",'Eval-Avant impact'!$T$465:$W$479))/('Eval-Avant impact'!$T$356-'Eval-Avant impact'!$T$107))+MIN(SUMIF('Eval-Avant impact'!$C$465:$E$479,"E*",'Eval-Avant impact'!$T$465:$W$479),('Eval-Avant impact'!$T$356*'Eval-Avant impact'!$T$365-'Eval-Avant impact'!$T$107*SUMIF('Eval-Avant impact'!$C$465:$E$479,"E*",'Eval-Avant impact'!$T$465:$W$479))/('Eval-Avant impact'!$T$356-'Eval-Avant impact'!$T$107))+MIN(SUMIF('Eval-Avant impact'!$C$465:$E$479,"F*",'Eval-Avant impact'!$T$465:$W$479),('Eval-Avant impact'!$T$356*'Eval-Avant impact'!$T$366-'Eval-Avant impact'!$T$107*SUMIF('Eval-Avant impact'!$C$465:$E$479,"F*",'Eval-Avant impact'!$T$465:$W$479))/('Eval-Avant impact'!$T$356-'Eval-Avant impact'!$T$107))+MIN(SUMIF('Eval-Avant impact'!$C$465:$E$479,"G*",'Eval-Avant impact'!$T$465:$W$479),('Eval-Avant impact'!$T$356*'Eval-Avant impact'!$T$367-'Eval-Avant impact'!$T$107*SUMIF('Eval-Avant impact'!$C$465:$E$479,"G*",'Eval-Avant impact'!$T$465:$W$479))/('Eval-Avant impact'!$T$356-'Eval-Avant impact'!$T$107))+MIN(SUMIF('Eval-Avant impact'!$C$465:$E$479,"H*",'Eval-Avant impact'!$T$465:$W$479),('Eval-Avant impact'!$T$356*'Eval-Avant impact'!$T$368-'Eval-Avant impact'!$T$107*SUMIF('Eval-Avant impact'!$C$465:$E$479,"H*",'Eval-Avant impact'!$T$465:$W$479))/('Eval-Avant impact'!$T$356-'Eval-Avant impact'!$T$107))+MIN(SUMIF('Eval-Avant impact'!$C$465:$E$479,"I*",'Eval-Avant impact'!$T$465:$W$479),('Eval-Avant impact'!$T$356*'Eval-Avant impact'!$T$369-'Eval-Avant impact'!$T$107*SUMIF('Eval-Avant impact'!$C$465:$E$479,"I*",'Eval-Avant impact'!$T$465:$W$479))/('Eval-Avant impact'!$T$356-'Eval-Avant impact'!$T$107))+MIN(SUMIF('Eval-Avant impact'!$C$465:$E$479,"J*",'Eval-Avant impact'!$T$465:$W$479),('Eval-Avant impact'!$T$356*'Eval-Avant impact'!$T$370-'Eval-Avant impact'!$T$107*SUMIF('Eval-Avant impact'!$C$465:$E$479,"J*",'Eval-Avant impact'!$T$465:$W$479))/('Eval-Avant impact'!$T$356-'Eval-Avant impact'!$T$107)))/100))</f>
        <v/>
      </c>
      <c r="N82" s="236"/>
      <c r="O82" s="237"/>
      <c r="P82" s="237"/>
      <c r="Q82" s="237"/>
      <c r="R82" s="237"/>
      <c r="S82" s="237"/>
      <c r="T82" s="237"/>
      <c r="U82" s="237"/>
      <c r="V82" s="237"/>
      <c r="W82" s="250" t="str">
        <f>IF(M82="","",M82*'Eval-Avant impact'!$T$107)</f>
        <v/>
      </c>
      <c r="X82" s="240" t="str">
        <f>IF(LEN('Eval-Avant impact'!$T$107)=0,"",IF('Eval-Avant impact'!$T$107=0,"Site détruit (0 ha).",(IF(AND(M82&gt;=0,M82&lt;=0.2),CONCATENATE("Habitats extrêment différents du paysage (coef. sim.=",ROUND(M82,2),")."),""))))</f>
        <v/>
      </c>
      <c r="Y82" s="241" t="str">
        <f>(IF(AND(M82&gt;0.2,M82&lt;=0.4),CONCATENATE("Habitats très différents du paysage (coef. sim.=",ROUND(M82,2),")."),""))</f>
        <v/>
      </c>
      <c r="Z82" s="241" t="str">
        <f>(IF(AND(M82&gt;0.4,M82&lt;=0.6),CONCATENATE("Habitats assez différents du paysage (coef. sim.=",ROUND(M82,2),")."),""))</f>
        <v/>
      </c>
      <c r="AA82" s="241" t="str">
        <f>(IF(AND(M82&gt;0.6,M82&lt;=0.8),CONCATENATE("Habitats assez similaires au paysage (coef. sim.=",ROUND(M82,2),")."),""))</f>
        <v/>
      </c>
      <c r="AB82" s="241" t="str">
        <f>(IF(AND(M82&gt;0.8,M82&lt;=1),CONCATENATE("Habitats très similaires au paysage (coef. sim.=",ROUND(M82,2),")."),""))</f>
        <v/>
      </c>
      <c r="AC82" s="246"/>
      <c r="AD82" s="243" t="str">
        <f>M82</f>
        <v/>
      </c>
      <c r="AE82" s="244" t="str">
        <f>W82</f>
        <v/>
      </c>
      <c r="AF82" s="245"/>
      <c r="AG82" s="1133"/>
      <c r="AH82" s="1137"/>
      <c r="AI82" s="235" t="s">
        <v>153</v>
      </c>
      <c r="AJ82" s="236"/>
      <c r="AK82" s="237"/>
      <c r="AL82" s="237"/>
      <c r="AM82" s="237"/>
      <c r="AN82" s="237"/>
      <c r="AO82" s="237"/>
      <c r="AP82" s="237"/>
      <c r="AQ82" s="237"/>
      <c r="AR82" s="237"/>
      <c r="AS82" s="238" t="str">
        <f>IF(LEN('Eval-Avec impact envisagé'!$T$107)=0,"",IF('Eval-Avec impact envisagé'!$T$107=0,0,(MIN(SUMIF('Eval-Avec impact envisagé'!$C$465:$E$479,"A*",'Eval-Avec impact envisagé'!$T$465:$W$479),('Eval-Avec impact envisagé'!$T$356*'Eval-Avec impact envisagé'!$T$361-'Eval-Avec impact envisagé'!$T$107*SUMIF('Eval-Avec impact envisagé'!$C$465:$E$479,"A*",'Eval-Avec impact envisagé'!$T$465:$W$479))/('Eval-Avec impact envisagé'!$T$356-'Eval-Avec impact envisagé'!$T$107))+MIN(SUMIF('Eval-Avec impact envisagé'!$C$465:$E$479,"B*",'Eval-Avec impact envisagé'!$T$465:$W$479),('Eval-Avec impact envisagé'!$T$356*'Eval-Avec impact envisagé'!$T$362-'Eval-Avec impact envisagé'!$T$107*SUMIF('Eval-Avec impact envisagé'!$C$465:$E$479,"B*",'Eval-Avec impact envisagé'!$T$465:$W$479))/('Eval-Avec impact envisagé'!$T$356-'Eval-Avec impact envisagé'!$T$107))+MIN(SUMIF('Eval-Avec impact envisagé'!$C$465:$E$479,"C*",'Eval-Avec impact envisagé'!$T$465:$W$479),('Eval-Avec impact envisagé'!$T$356*'Eval-Avec impact envisagé'!$T$363-'Eval-Avec impact envisagé'!$T$107*SUMIF('Eval-Avec impact envisagé'!$C$465:$E$479,"C*",'Eval-Avec impact envisagé'!$T$465:$W$479))/('Eval-Avec impact envisagé'!$T$356-'Eval-Avec impact envisagé'!$T$107))+MIN(SUMIF('Eval-Avec impact envisagé'!$C$465:$E$479,"D*",'Eval-Avec impact envisagé'!$T$465:$W$479),('Eval-Avec impact envisagé'!$T$356*'Eval-Avec impact envisagé'!$T$364-'Eval-Avec impact envisagé'!$T$107*SUMIF('Eval-Avec impact envisagé'!$C$465:$E$479,"D*",'Eval-Avec impact envisagé'!$T$465:$W$479))/('Eval-Avec impact envisagé'!$T$356-'Eval-Avec impact envisagé'!$T$107))+MIN(SUMIF('Eval-Avec impact envisagé'!$C$465:$E$479,"E*",'Eval-Avec impact envisagé'!$T$465:$W$479),('Eval-Avec impact envisagé'!$T$356*'Eval-Avec impact envisagé'!$T$365-'Eval-Avec impact envisagé'!$T$107*SUMIF('Eval-Avec impact envisagé'!$C$465:$E$479,"E*",'Eval-Avec impact envisagé'!$T$465:$W$479))/('Eval-Avec impact envisagé'!$T$356-'Eval-Avec impact envisagé'!$T$107))+MIN(SUMIF('Eval-Avec impact envisagé'!$C$465:$E$479,"F*",'Eval-Avec impact envisagé'!$T$465:$W$479),('Eval-Avec impact envisagé'!$T$356*'Eval-Avec impact envisagé'!$T$366-'Eval-Avec impact envisagé'!$T$107*SUMIF('Eval-Avec impact envisagé'!$C$465:$E$479,"F*",'Eval-Avec impact envisagé'!$T$465:$W$479))/('Eval-Avec impact envisagé'!$T$356-'Eval-Avec impact envisagé'!$T$107))+MIN(SUMIF('Eval-Avec impact envisagé'!$C$465:$E$479,"G*",'Eval-Avec impact envisagé'!$T$465:$W$479),('Eval-Avec impact envisagé'!$T$356*'Eval-Avec impact envisagé'!$T$367-'Eval-Avec impact envisagé'!$T$107*SUMIF('Eval-Avec impact envisagé'!$C$465:$E$479,"G*",'Eval-Avec impact envisagé'!$T$465:$W$479))/('Eval-Avec impact envisagé'!$T$356-'Eval-Avec impact envisagé'!$T$107))+MIN(SUMIF('Eval-Avec impact envisagé'!$C$465:$E$479,"H*",'Eval-Avec impact envisagé'!$T$465:$W$479),('Eval-Avec impact envisagé'!$T$356*'Eval-Avec impact envisagé'!$T$368-'Eval-Avec impact envisagé'!$T$107*SUMIF('Eval-Avec impact envisagé'!$C$465:$E$479,"H*",'Eval-Avec impact envisagé'!$T$465:$W$479))/('Eval-Avec impact envisagé'!$T$356-'Eval-Avec impact envisagé'!$T$107))+MIN(SUMIF('Eval-Avec impact envisagé'!$C$465:$E$479,"I*",'Eval-Avec impact envisagé'!$T$465:$W$479),('Eval-Avec impact envisagé'!$T$356*'Eval-Avec impact envisagé'!$T$369-'Eval-Avec impact envisagé'!$T$107*SUMIF('Eval-Avec impact envisagé'!$C$465:$E$479,"I*",'Eval-Avec impact envisagé'!$T$465:$W$479))/('Eval-Avec impact envisagé'!$T$356-'Eval-Avec impact envisagé'!$T$107))+MIN(SUMIF('Eval-Avec impact envisagé'!$C$465:$E$479,"J*",'Eval-Avec impact envisagé'!$T$465:$W$479),('Eval-Avec impact envisagé'!$T$356*'Eval-Avec impact envisagé'!$T$370-'Eval-Avec impact envisagé'!$T$107*SUMIF('Eval-Avec impact envisagé'!$C$465:$E$479,"J*",'Eval-Avec impact envisagé'!$T$465:$W$479))/('Eval-Avec impact envisagé'!$T$356-'Eval-Avec impact envisagé'!$T$107)))/100))</f>
        <v/>
      </c>
      <c r="AT82" s="236"/>
      <c r="AU82" s="237"/>
      <c r="AV82" s="237"/>
      <c r="AW82" s="237"/>
      <c r="AX82" s="237"/>
      <c r="AY82" s="237"/>
      <c r="AZ82" s="237"/>
      <c r="BA82" s="237"/>
      <c r="BB82" s="237"/>
      <c r="BC82" s="250" t="str">
        <f>IF(AS82="","",AS82*'Eval-Avec impact envisagé'!$T$107)</f>
        <v/>
      </c>
      <c r="BD82" s="240" t="str">
        <f>IF(LEN('Eval-Avec impact envisagé'!$T$107)=0,"",IF('Eval-Avec impact envisagé'!$T$107=0,"Site détruit (0 ha).",(IF(AND(AS82&gt;=0,AS82&lt;=0.2),CONCATENATE("Habitats extrêment différents du paysage (coef. sim.=",ROUND(AS82,2),")."),""))))</f>
        <v/>
      </c>
      <c r="BE82" s="241" t="str">
        <f>(IF(AND(AS82&gt;0.2,AS82&lt;=0.4),CONCATENATE("Habitats très différents du paysage (coef. sim.=",ROUND(AS82,2),")."),""))</f>
        <v/>
      </c>
      <c r="BF82" s="241" t="str">
        <f>(IF(AND(AS82&gt;0.4,AS82&lt;=0.6),CONCATENATE("Habitats assez différents du paysage (coef. sim.=",ROUND(AS82,2),")."),""))</f>
        <v/>
      </c>
      <c r="BG82" s="241" t="str">
        <f>(IF(AND(AS82&gt;0.6,AS82&lt;=0.8),CONCATENATE("Habitats assez similaires au paysage (coef. sim.=",ROUND(AS82,2),")."),""))</f>
        <v/>
      </c>
      <c r="BH82" s="241" t="str">
        <f>(IF(AND(AS82&gt;0.8,AS82&lt;=1),CONCATENATE("Habitats très similaires au paysage (coef. sim.=",ROUND(AS82,2),")."),""))</f>
        <v/>
      </c>
      <c r="BI82" s="246"/>
      <c r="BJ82" s="243" t="str">
        <f>AS82</f>
        <v/>
      </c>
      <c r="BK82" s="244" t="str">
        <f>BC82</f>
        <v/>
      </c>
      <c r="BL82" s="245"/>
      <c r="BM82" s="1133"/>
      <c r="BN82" s="1137"/>
      <c r="BO82" s="235" t="s">
        <v>153</v>
      </c>
      <c r="BP82" s="236"/>
      <c r="BQ82" s="237"/>
      <c r="BR82" s="237"/>
      <c r="BS82" s="237"/>
      <c r="BT82" s="237"/>
      <c r="BU82" s="237"/>
      <c r="BV82" s="237"/>
      <c r="BW82" s="237"/>
      <c r="BX82" s="237"/>
      <c r="BY82" s="238" t="str">
        <f>IF(LEN('Eval-Après impact'!$T$107)=0,"",IF('Eval-Après impact'!$T$107=0,0,(MIN(SUMIF('Eval-Après impact'!$C$465:$E$479,"A*",'Eval-Après impact'!$T$465:$W$479),('Eval-Après impact'!$T$356*'Eval-Après impact'!$T$361-'Eval-Après impact'!$T$107*SUMIF('Eval-Après impact'!$C$465:$E$479,"A*",'Eval-Après impact'!$T$465:$W$479))/('Eval-Après impact'!$T$356-'Eval-Après impact'!$T$107))+MIN(SUMIF('Eval-Après impact'!$C$465:$E$479,"B*",'Eval-Après impact'!$T$465:$W$479),('Eval-Après impact'!$T$356*'Eval-Après impact'!$T$362-'Eval-Après impact'!$T$107*SUMIF('Eval-Après impact'!$C$465:$E$479,"B*",'Eval-Après impact'!$T$465:$W$479))/('Eval-Après impact'!$T$356-'Eval-Après impact'!$T$107))+MIN(SUMIF('Eval-Après impact'!$C$465:$E$479,"C*",'Eval-Après impact'!$T$465:$W$479),('Eval-Après impact'!$T$356*'Eval-Après impact'!$T$363-'Eval-Après impact'!$T$107*SUMIF('Eval-Après impact'!$C$465:$E$479,"C*",'Eval-Après impact'!$T$465:$W$479))/('Eval-Après impact'!$T$356-'Eval-Après impact'!$T$107))+MIN(SUMIF('Eval-Après impact'!$C$465:$E$479,"D*",'Eval-Après impact'!$T$465:$W$479),('Eval-Après impact'!$T$356*'Eval-Après impact'!$T$364-'Eval-Après impact'!$T$107*SUMIF('Eval-Après impact'!$C$465:$E$479,"D*",'Eval-Après impact'!$T$465:$W$479))/('Eval-Après impact'!$T$356-'Eval-Après impact'!$T$107))+MIN(SUMIF('Eval-Après impact'!$C$465:$E$479,"E*",'Eval-Après impact'!$T$465:$W$479),('Eval-Après impact'!$T$356*'Eval-Après impact'!$T$365-'Eval-Après impact'!$T$107*SUMIF('Eval-Après impact'!$C$465:$E$479,"E*",'Eval-Après impact'!$T$465:$W$479))/('Eval-Après impact'!$T$356-'Eval-Après impact'!$T$107))+MIN(SUMIF('Eval-Après impact'!$C$465:$E$479,"F*",'Eval-Après impact'!$T$465:$W$479),('Eval-Après impact'!$T$356*'Eval-Après impact'!$T$366-'Eval-Après impact'!$T$107*SUMIF('Eval-Après impact'!$C$465:$E$479,"F*",'Eval-Après impact'!$T$465:$W$479))/('Eval-Après impact'!$T$356-'Eval-Après impact'!$T$107))+MIN(SUMIF('Eval-Après impact'!$C$465:$E$479,"G*",'Eval-Après impact'!$T$465:$W$479),('Eval-Après impact'!$T$356*'Eval-Après impact'!$T$367-'Eval-Après impact'!$T$107*SUMIF('Eval-Après impact'!$C$465:$E$479,"G*",'Eval-Après impact'!$T$465:$W$479))/('Eval-Après impact'!$T$356-'Eval-Après impact'!$T$107))+MIN(SUMIF('Eval-Après impact'!$C$465:$E$479,"H*",'Eval-Après impact'!$T$465:$W$479),('Eval-Après impact'!$T$356*'Eval-Après impact'!$T$368-'Eval-Après impact'!$T$107*SUMIF('Eval-Après impact'!$C$465:$E$479,"H*",'Eval-Après impact'!$T$465:$W$479))/('Eval-Après impact'!$T$356-'Eval-Après impact'!$T$107))+MIN(SUMIF('Eval-Après impact'!$C$465:$E$479,"I*",'Eval-Après impact'!$T$465:$W$479),('Eval-Après impact'!$T$356*'Eval-Après impact'!$T$369-'Eval-Après impact'!$T$107*SUMIF('Eval-Après impact'!$C$465:$E$479,"I*",'Eval-Après impact'!$T$465:$W$479))/('Eval-Après impact'!$T$356-'Eval-Après impact'!$T$107))+MIN(SUMIF('Eval-Après impact'!$C$465:$E$479,"J*",'Eval-Après impact'!$T$465:$W$479),('Eval-Après impact'!$T$356*'Eval-Après impact'!$T$370-'Eval-Après impact'!$T$107*SUMIF('Eval-Après impact'!$C$465:$E$479,"J*",'Eval-Après impact'!$T$465:$W$479))/('Eval-Après impact'!$T$356-'Eval-Après impact'!$T$107)))/100))</f>
        <v/>
      </c>
      <c r="BZ82" s="236"/>
      <c r="CA82" s="237"/>
      <c r="CB82" s="237"/>
      <c r="CC82" s="237"/>
      <c r="CD82" s="237"/>
      <c r="CE82" s="237"/>
      <c r="CF82" s="237"/>
      <c r="CG82" s="237"/>
      <c r="CH82" s="237"/>
      <c r="CI82" s="250" t="str">
        <f>IF(BY82="","",BY82*'Eval-Après impact'!$T$107)</f>
        <v/>
      </c>
      <c r="CJ82" s="240" t="str">
        <f>IF(LEN('Eval-Après impact'!$T$107)=0,"",IF('Eval-Après impact'!$T$107=0,"Site détruit (0 ha).",(IF(AND(BY82&gt;=0,BY82&lt;=0.2),CONCATENATE("Habitats extrêment différents du paysage (coef. sim.=",ROUND(BY82,2),")."),""))))</f>
        <v/>
      </c>
      <c r="CK82" s="241" t="str">
        <f>(IF(AND(BY82&gt;0.2,BY82&lt;=0.4),CONCATENATE("Habitats très différents du paysage (coef. sim.=",ROUND(BY82,2),")."),""))</f>
        <v/>
      </c>
      <c r="CL82" s="241" t="str">
        <f>(IF(AND(BY82&gt;0.4,BY82&lt;=0.6),CONCATENATE("Habitats assez différents du paysage (coef. sim.=",ROUND(BY82,2),")."),""))</f>
        <v/>
      </c>
      <c r="CM82" s="241" t="str">
        <f>(IF(AND(BY82&gt;0.6,BY82&lt;=0.8),CONCATENATE("Habitats assez similaires au paysage (coef. sim.=",ROUND(BY82,2),")."),""))</f>
        <v/>
      </c>
      <c r="CN82" s="241" t="str">
        <f>(IF(AND(BY82&gt;0.8,BY82&lt;=1),CONCATENATE("Habitats très similaires au paysage (coef. sim.=",ROUND(BY82,2),")."),""))</f>
        <v/>
      </c>
      <c r="CO82" s="246"/>
      <c r="CP82" s="243" t="str">
        <f>BY82</f>
        <v/>
      </c>
      <c r="CQ82" s="244" t="str">
        <f>CI82</f>
        <v/>
      </c>
      <c r="CR82" s="245"/>
      <c r="CS82" s="1133"/>
      <c r="CT82" s="1137"/>
      <c r="CU82" s="235" t="s">
        <v>153</v>
      </c>
      <c r="CV82" s="236"/>
      <c r="CW82" s="237"/>
      <c r="CX82" s="237"/>
      <c r="CY82" s="237"/>
      <c r="CZ82" s="237"/>
      <c r="DA82" s="237"/>
      <c r="DB82" s="237"/>
      <c r="DC82" s="237"/>
      <c r="DD82" s="237"/>
      <c r="DE82" s="238" t="str">
        <f>IF(LEN('Eval-Avant action écologique'!$T$107)=0,"",IF('Eval-Avant action écologique'!$T$107=0,0,(MIN(SUMIF('Eval-Avant action écologique'!$C$465:$E$479,"A*",'Eval-Avant action écologique'!$T$465:$W$479),('Eval-Avant action écologique'!$T$356*'Eval-Avant action écologique'!$T$361-'Eval-Avant action écologique'!$T$107*SUMIF('Eval-Avant action écologique'!$C$465:$E$479,"A*",'Eval-Avant action écologique'!$T$465:$W$479))/('Eval-Avant action écologique'!$T$356-'Eval-Avant action écologique'!$T$107))+MIN(SUMIF('Eval-Avant action écologique'!$C$465:$E$479,"B*",'Eval-Avant action écologique'!$T$465:$W$479),('Eval-Avant action écologique'!$T$356*'Eval-Avant action écologique'!$T$362-'Eval-Avant action écologique'!$T$107*SUMIF('Eval-Avant action écologique'!$C$465:$E$479,"B*",'Eval-Avant action écologique'!$T$465:$W$479))/('Eval-Avant action écologique'!$T$356-'Eval-Avant action écologique'!$T$107))+MIN(SUMIF('Eval-Avant action écologique'!$C$465:$E$479,"C*",'Eval-Avant action écologique'!$T$465:$W$479),('Eval-Avant action écologique'!$T$356*'Eval-Avant action écologique'!$T$363-'Eval-Avant action écologique'!$T$107*SUMIF('Eval-Avant action écologique'!$C$465:$E$479,"C*",'Eval-Avant action écologique'!$T$465:$W$479))/('Eval-Avant action écologique'!$T$356-'Eval-Avant action écologique'!$T$107))+MIN(SUMIF('Eval-Avant action écologique'!$C$465:$E$479,"D*",'Eval-Avant action écologique'!$T$465:$W$479),('Eval-Avant action écologique'!$T$356*'Eval-Avant action écologique'!$T$364-'Eval-Avant action écologique'!$T$107*SUMIF('Eval-Avant action écologique'!$C$465:$E$479,"D*",'Eval-Avant action écologique'!$T$465:$W$479))/('Eval-Avant action écologique'!$T$356-'Eval-Avant action écologique'!$T$107))+MIN(SUMIF('Eval-Avant action écologique'!$C$465:$E$479,"E*",'Eval-Avant action écologique'!$T$465:$W$479),('Eval-Avant action écologique'!$T$356*'Eval-Avant action écologique'!$T$365-'Eval-Avant action écologique'!$T$107*SUMIF('Eval-Avant action écologique'!$C$465:$E$479,"E*",'Eval-Avant action écologique'!$T$465:$W$479))/('Eval-Avant action écologique'!$T$356-'Eval-Avant action écologique'!$T$107))+MIN(SUMIF('Eval-Avant action écologique'!$C$465:$E$479,"F*",'Eval-Avant action écologique'!$T$465:$W$479),('Eval-Avant action écologique'!$T$356*'Eval-Avant action écologique'!$T$366-'Eval-Avant action écologique'!$T$107*SUMIF('Eval-Avant action écologique'!$C$465:$E$479,"F*",'Eval-Avant action écologique'!$T$465:$W$479))/('Eval-Avant action écologique'!$T$356-'Eval-Avant action écologique'!$T$107))+MIN(SUMIF('Eval-Avant action écologique'!$C$465:$E$479,"G*",'Eval-Avant action écologique'!$T$465:$W$479),('Eval-Avant action écologique'!$T$356*'Eval-Avant action écologique'!$T$367-'Eval-Avant action écologique'!$T$107*SUMIF('Eval-Avant action écologique'!$C$465:$E$479,"G*",'Eval-Avant action écologique'!$T$465:$W$479))/('Eval-Avant action écologique'!$T$356-'Eval-Avant action écologique'!$T$107))+MIN(SUMIF('Eval-Avant action écologique'!$C$465:$E$479,"H*",'Eval-Avant action écologique'!$T$465:$W$479),('Eval-Avant action écologique'!$T$356*'Eval-Avant action écologique'!$T$368-'Eval-Avant action écologique'!$T$107*SUMIF('Eval-Avant action écologique'!$C$465:$E$479,"H*",'Eval-Avant action écologique'!$T$465:$W$479))/('Eval-Avant action écologique'!$T$356-'Eval-Avant action écologique'!$T$107))+MIN(SUMIF('Eval-Avant action écologique'!$C$465:$E$479,"I*",'Eval-Avant action écologique'!$T$465:$W$479),('Eval-Avant action écologique'!$T$356*'Eval-Avant action écologique'!$T$369-'Eval-Avant action écologique'!$T$107*SUMIF('Eval-Avant action écologique'!$C$465:$E$479,"I*",'Eval-Avant action écologique'!$T$465:$W$479))/('Eval-Avant action écologique'!$T$356-'Eval-Avant action écologique'!$T$107))+MIN(SUMIF('Eval-Avant action écologique'!$C$465:$E$479,"J*",'Eval-Avant action écologique'!$T$465:$W$479),('Eval-Avant action écologique'!$T$356*'Eval-Avant action écologique'!$T$370-'Eval-Avant action écologique'!$T$107*SUMIF('Eval-Avant action écologique'!$C$465:$E$479,"J*",'Eval-Avant action écologique'!$T$465:$W$479))/('Eval-Avant action écologique'!$T$356-'Eval-Avant action écologique'!$T$107)))/100))</f>
        <v/>
      </c>
      <c r="DF82" s="236"/>
      <c r="DG82" s="237"/>
      <c r="DH82" s="237"/>
      <c r="DI82" s="237"/>
      <c r="DJ82" s="237"/>
      <c r="DK82" s="237"/>
      <c r="DL82" s="237"/>
      <c r="DM82" s="237"/>
      <c r="DN82" s="237"/>
      <c r="DO82" s="250" t="str">
        <f>IF(DE82="","",DE82*'Eval-Avant action écologique'!$T$107)</f>
        <v/>
      </c>
      <c r="DP82" s="240" t="str">
        <f>IF(LEN('Eval-Avant action écologique'!$T$107)=0,"",IF('Eval-Avant action écologique'!$T$107=0,"Site détruit (0 ha).",(IF(AND(DE82&gt;=0,DE82&lt;=0.2),CONCATENATE("Habitats extrêment différents du paysage (coef. sim.=",ROUND(DE82,2),")."),""))))</f>
        <v/>
      </c>
      <c r="DQ82" s="241" t="str">
        <f>(IF(AND(DE82&gt;0.2,DE82&lt;=0.4),CONCATENATE("Habitats très différents du paysage (coef. sim.=",ROUND(DE82,2),")."),""))</f>
        <v/>
      </c>
      <c r="DR82" s="241" t="str">
        <f>(IF(AND(DE82&gt;0.4,DE82&lt;=0.6),CONCATENATE("Habitats assez différents du paysage (coef. sim.=",ROUND(DE82,2),")."),""))</f>
        <v/>
      </c>
      <c r="DS82" s="241" t="str">
        <f>(IF(AND(DE82&gt;0.6,DE82&lt;=0.8),CONCATENATE("Habitats assez similaires au paysage (coef. sim.=",ROUND(DE82,2),")."),""))</f>
        <v/>
      </c>
      <c r="DT82" s="241" t="str">
        <f>(IF(AND(DE82&gt;0.8,DE82&lt;=1),CONCATENATE("Habitats très similaires au paysage (coef. sim.=",ROUND(DE82,2),")."),""))</f>
        <v/>
      </c>
      <c r="DU82" s="246"/>
      <c r="DV82" s="243" t="str">
        <f>DE82</f>
        <v/>
      </c>
      <c r="DW82" s="244" t="str">
        <f>DO82</f>
        <v/>
      </c>
      <c r="DX82" s="245"/>
      <c r="DY82" s="1133"/>
      <c r="DZ82" s="1137"/>
      <c r="EA82" s="235" t="s">
        <v>153</v>
      </c>
      <c r="EB82" s="236"/>
      <c r="EC82" s="237"/>
      <c r="ED82" s="237"/>
      <c r="EE82" s="237"/>
      <c r="EF82" s="237"/>
      <c r="EG82" s="237"/>
      <c r="EH82" s="237"/>
      <c r="EI82" s="237"/>
      <c r="EJ82" s="237"/>
      <c r="EK82" s="238" t="str">
        <f>IF(LEN('Eval-Avec act. écol. envisagée'!$T$107)=0,"",IF('Eval-Avec act. écol. envisagée'!$T$107=0,0,(MIN(SUMIF('Eval-Avec act. écol. envisagée'!$C$465:$E$479,"A*",'Eval-Avec act. écol. envisagée'!$T$465:$W$479),('Eval-Avec act. écol. envisagée'!$T$356*'Eval-Avec act. écol. envisagée'!$T$361-'Eval-Avec act. écol. envisagée'!$T$107*SUMIF('Eval-Avec act. écol. envisagée'!$C$465:$E$479,"A*",'Eval-Avec act. écol. envisagée'!$T$465:$W$479))/('Eval-Avec act. écol. envisagée'!$T$356-'Eval-Avec act. écol. envisagée'!$T$107))+MIN(SUMIF('Eval-Avec act. écol. envisagée'!$C$465:$E$479,"B*",'Eval-Avec act. écol. envisagée'!$T$465:$W$479),('Eval-Avec act. écol. envisagée'!$T$356*'Eval-Avec act. écol. envisagée'!$T$362-'Eval-Avec act. écol. envisagée'!$T$107*SUMIF('Eval-Avec act. écol. envisagée'!$C$465:$E$479,"B*",'Eval-Avec act. écol. envisagée'!$T$465:$W$479))/('Eval-Avec act. écol. envisagée'!$T$356-'Eval-Avec act. écol. envisagée'!$T$107))+MIN(SUMIF('Eval-Avec act. écol. envisagée'!$C$465:$E$479,"C*",'Eval-Avec act. écol. envisagée'!$T$465:$W$479),('Eval-Avec act. écol. envisagée'!$T$356*'Eval-Avec act. écol. envisagée'!$T$363-'Eval-Avec act. écol. envisagée'!$T$107*SUMIF('Eval-Avec act. écol. envisagée'!$C$465:$E$479,"C*",'Eval-Avec act. écol. envisagée'!$T$465:$W$479))/('Eval-Avec act. écol. envisagée'!$T$356-'Eval-Avec act. écol. envisagée'!$T$107))+MIN(SUMIF('Eval-Avec act. écol. envisagée'!$C$465:$E$479,"D*",'Eval-Avec act. écol. envisagée'!$T$465:$W$479),('Eval-Avec act. écol. envisagée'!$T$356*'Eval-Avec act. écol. envisagée'!$T$364-'Eval-Avec act. écol. envisagée'!$T$107*SUMIF('Eval-Avec act. écol. envisagée'!$C$465:$E$479,"D*",'Eval-Avec act. écol. envisagée'!$T$465:$W$479))/('Eval-Avec act. écol. envisagée'!$T$356-'Eval-Avec act. écol. envisagée'!$T$107))+MIN(SUMIF('Eval-Avec act. écol. envisagée'!$C$465:$E$479,"E*",'Eval-Avec act. écol. envisagée'!$T$465:$W$479),('Eval-Avec act. écol. envisagée'!$T$356*'Eval-Avec act. écol. envisagée'!$T$365-'Eval-Avec act. écol. envisagée'!$T$107*SUMIF('Eval-Avec act. écol. envisagée'!$C$465:$E$479,"E*",'Eval-Avec act. écol. envisagée'!$T$465:$W$479))/('Eval-Avec act. écol. envisagée'!$T$356-'Eval-Avec act. écol. envisagée'!$T$107))+MIN(SUMIF('Eval-Avec act. écol. envisagée'!$C$465:$E$479,"F*",'Eval-Avec act. écol. envisagée'!$T$465:$W$479),('Eval-Avec act. écol. envisagée'!$T$356*'Eval-Avec act. écol. envisagée'!$T$366-'Eval-Avec act. écol. envisagée'!$T$107*SUMIF('Eval-Avec act. écol. envisagée'!$C$465:$E$479,"F*",'Eval-Avec act. écol. envisagée'!$T$465:$W$479))/('Eval-Avec act. écol. envisagée'!$T$356-'Eval-Avec act. écol. envisagée'!$T$107))+MIN(SUMIF('Eval-Avec act. écol. envisagée'!$C$465:$E$479,"G*",'Eval-Avec act. écol. envisagée'!$T$465:$W$479),('Eval-Avec act. écol. envisagée'!$T$356*'Eval-Avec act. écol. envisagée'!$T$367-'Eval-Avec act. écol. envisagée'!$T$107*SUMIF('Eval-Avec act. écol. envisagée'!$C$465:$E$479,"G*",'Eval-Avec act. écol. envisagée'!$T$465:$W$479))/('Eval-Avec act. écol. envisagée'!$T$356-'Eval-Avec act. écol. envisagée'!$T$107))+MIN(SUMIF('Eval-Avec act. écol. envisagée'!$C$465:$E$479,"H*",'Eval-Avec act. écol. envisagée'!$T$465:$W$479),('Eval-Avec act. écol. envisagée'!$T$356*'Eval-Avec act. écol. envisagée'!$T$368-'Eval-Avec act. écol. envisagée'!$T$107*SUMIF('Eval-Avec act. écol. envisagée'!$C$465:$E$479,"H*",'Eval-Avec act. écol. envisagée'!$T$465:$W$479))/('Eval-Avec act. écol. envisagée'!$T$356-'Eval-Avec act. écol. envisagée'!$T$107))+MIN(SUMIF('Eval-Avec act. écol. envisagée'!$C$465:$E$479,"I*",'Eval-Avec act. écol. envisagée'!$T$465:$W$479),('Eval-Avec act. écol. envisagée'!$T$356*'Eval-Avec act. écol. envisagée'!$T$369-'Eval-Avec act. écol. envisagée'!$T$107*SUMIF('Eval-Avec act. écol. envisagée'!$C$465:$E$479,"I*",'Eval-Avec act. écol. envisagée'!$T$465:$W$479))/('Eval-Avec act. écol. envisagée'!$T$356-'Eval-Avec act. écol. envisagée'!$T$107))+MIN(SUMIF('Eval-Avec act. écol. envisagée'!$C$465:$E$479,"J*",'Eval-Avec act. écol. envisagée'!$T$465:$W$479),('Eval-Avec act. écol. envisagée'!$T$356*'Eval-Avec act. écol. envisagée'!$T$370-'Eval-Avec act. écol. envisagée'!$T$107*SUMIF('Eval-Avec act. écol. envisagée'!$C$465:$E$479,"J*",'Eval-Avec act. écol. envisagée'!$T$465:$W$479))/('Eval-Avec act. écol. envisagée'!$T$356-'Eval-Avec act. écol. envisagée'!$T$107)))/100))</f>
        <v/>
      </c>
      <c r="EL82" s="236"/>
      <c r="EM82" s="237"/>
      <c r="EN82" s="237"/>
      <c r="EO82" s="237"/>
      <c r="EP82" s="237"/>
      <c r="EQ82" s="237"/>
      <c r="ER82" s="237"/>
      <c r="ES82" s="237"/>
      <c r="ET82" s="237"/>
      <c r="EU82" s="250" t="str">
        <f>IF(EK82="","",EK82*'Eval-Avec act. écol. envisagée'!$T$107)</f>
        <v/>
      </c>
      <c r="EV82" s="240" t="str">
        <f>IF(LEN('Eval-Avec act. écol. envisagée'!$T$107)=0,"",IF('Eval-Avec act. écol. envisagée'!$T$107=0,"Site détruit (0 ha).",(IF(AND(EK82&gt;=0,EK82&lt;=0.2),CONCATENATE("Habitats extrêment différents du paysage (coef. sim.=",ROUND(EK82,2),")."),""))))</f>
        <v/>
      </c>
      <c r="EW82" s="241" t="str">
        <f>(IF(AND(EK82&gt;0.2,EK82&lt;=0.4),CONCATENATE("Habitats très différents du paysage (coef. sim.=",ROUND(EK82,2),")."),""))</f>
        <v/>
      </c>
      <c r="EX82" s="241" t="str">
        <f>(IF(AND(EK82&gt;0.4,EK82&lt;=0.6),CONCATENATE("Habitats assez différents du paysage (coef. sim.=",ROUND(EK82,2),")."),""))</f>
        <v/>
      </c>
      <c r="EY82" s="241" t="str">
        <f>(IF(AND(EK82&gt;0.6,EK82&lt;=0.8),CONCATENATE("Habitats assez similaires au paysage (coef. sim.=",ROUND(EK82,2),")."),""))</f>
        <v/>
      </c>
      <c r="EZ82" s="241" t="str">
        <f>(IF(AND(EK82&gt;0.8,EK82&lt;=1),CONCATENATE("Habitats très similaires au paysage (coef. sim.=",ROUND(EK82,2),")."),""))</f>
        <v/>
      </c>
      <c r="FA82" s="246"/>
      <c r="FB82" s="243" t="str">
        <f>EK82</f>
        <v/>
      </c>
      <c r="FC82" s="244" t="str">
        <f>EU82</f>
        <v/>
      </c>
      <c r="FD82" s="245"/>
      <c r="FE82" s="1133"/>
      <c r="FF82" s="1137"/>
      <c r="FG82" s="235" t="s">
        <v>153</v>
      </c>
      <c r="FH82" s="236"/>
      <c r="FI82" s="237"/>
      <c r="FJ82" s="237"/>
      <c r="FK82" s="237"/>
      <c r="FL82" s="237"/>
      <c r="FM82" s="237"/>
      <c r="FN82" s="237"/>
      <c r="FO82" s="237"/>
      <c r="FP82" s="237"/>
      <c r="FQ82" s="238" t="str">
        <f>IF(LEN('Eval-Après action écologique'!$T$107)=0,"",IF('Eval-Après action écologique'!$T$107=0,0,(MIN(SUMIF('Eval-Après action écologique'!$C$465:$E$479,"A*",'Eval-Après action écologique'!$T$465:$W$479),('Eval-Après action écologique'!$T$356*'Eval-Après action écologique'!$T$361-'Eval-Après action écologique'!$T$107*SUMIF('Eval-Après action écologique'!$C$465:$E$479,"A*",'Eval-Après action écologique'!$T$465:$W$479))/('Eval-Après action écologique'!$T$356-'Eval-Après action écologique'!$T$107))+MIN(SUMIF('Eval-Après action écologique'!$C$465:$E$479,"B*",'Eval-Après action écologique'!$T$465:$W$479),('Eval-Après action écologique'!$T$356*'Eval-Après action écologique'!$T$362-'Eval-Après action écologique'!$T$107*SUMIF('Eval-Après action écologique'!$C$465:$E$479,"B*",'Eval-Après action écologique'!$T$465:$W$479))/('Eval-Après action écologique'!$T$356-'Eval-Après action écologique'!$T$107))+MIN(SUMIF('Eval-Après action écologique'!$C$465:$E$479,"C*",'Eval-Après action écologique'!$T$465:$W$479),('Eval-Après action écologique'!$T$356*'Eval-Après action écologique'!$T$363-'Eval-Après action écologique'!$T$107*SUMIF('Eval-Après action écologique'!$C$465:$E$479,"C*",'Eval-Après action écologique'!$T$465:$W$479))/('Eval-Après action écologique'!$T$356-'Eval-Après action écologique'!$T$107))+MIN(SUMIF('Eval-Après action écologique'!$C$465:$E$479,"D*",'Eval-Après action écologique'!$T$465:$W$479),('Eval-Après action écologique'!$T$356*'Eval-Après action écologique'!$T$364-'Eval-Après action écologique'!$T$107*SUMIF('Eval-Après action écologique'!$C$465:$E$479,"D*",'Eval-Après action écologique'!$T$465:$W$479))/('Eval-Après action écologique'!$T$356-'Eval-Après action écologique'!$T$107))+MIN(SUMIF('Eval-Après action écologique'!$C$465:$E$479,"E*",'Eval-Après action écologique'!$T$465:$W$479),('Eval-Après action écologique'!$T$356*'Eval-Après action écologique'!$T$365-'Eval-Après action écologique'!$T$107*SUMIF('Eval-Après action écologique'!$C$465:$E$479,"E*",'Eval-Après action écologique'!$T$465:$W$479))/('Eval-Après action écologique'!$T$356-'Eval-Après action écologique'!$T$107))+MIN(SUMIF('Eval-Après action écologique'!$C$465:$E$479,"F*",'Eval-Après action écologique'!$T$465:$W$479),('Eval-Après action écologique'!$T$356*'Eval-Après action écologique'!$T$366-'Eval-Après action écologique'!$T$107*SUMIF('Eval-Après action écologique'!$C$465:$E$479,"F*",'Eval-Après action écologique'!$T$465:$W$479))/('Eval-Après action écologique'!$T$356-'Eval-Après action écologique'!$T$107))+MIN(SUMIF('Eval-Après action écologique'!$C$465:$E$479,"G*",'Eval-Après action écologique'!$T$465:$W$479),('Eval-Après action écologique'!$T$356*'Eval-Après action écologique'!$T$367-'Eval-Après action écologique'!$T$107*SUMIF('Eval-Après action écologique'!$C$465:$E$479,"G*",'Eval-Après action écologique'!$T$465:$W$479))/('Eval-Après action écologique'!$T$356-'Eval-Après action écologique'!$T$107))+MIN(SUMIF('Eval-Après action écologique'!$C$465:$E$479,"H*",'Eval-Après action écologique'!$T$465:$W$479),('Eval-Après action écologique'!$T$356*'Eval-Après action écologique'!$T$368-'Eval-Après action écologique'!$T$107*SUMIF('Eval-Après action écologique'!$C$465:$E$479,"H*",'Eval-Après action écologique'!$T$465:$W$479))/('Eval-Après action écologique'!$T$356-'Eval-Après action écologique'!$T$107))+MIN(SUMIF('Eval-Après action écologique'!$C$465:$E$479,"I*",'Eval-Après action écologique'!$T$465:$W$479),('Eval-Après action écologique'!$T$356*'Eval-Après action écologique'!$T$369-'Eval-Après action écologique'!$T$107*SUMIF('Eval-Après action écologique'!$C$465:$E$479,"I*",'Eval-Après action écologique'!$T$465:$W$479))/('Eval-Après action écologique'!$T$356-'Eval-Après action écologique'!$T$107))+MIN(SUMIF('Eval-Après action écologique'!$C$465:$E$479,"J*",'Eval-Après action écologique'!$T$465:$W$479),('Eval-Après action écologique'!$T$356*'Eval-Après action écologique'!$T$370-'Eval-Après action écologique'!$T$107*SUMIF('Eval-Après action écologique'!$C$465:$E$479,"J*",'Eval-Après action écologique'!$T$465:$W$479))/('Eval-Après action écologique'!$T$356-'Eval-Après action écologique'!$T$107)))/100))</f>
        <v/>
      </c>
      <c r="FR82" s="236"/>
      <c r="FS82" s="237"/>
      <c r="FT82" s="237"/>
      <c r="FU82" s="237"/>
      <c r="FV82" s="237"/>
      <c r="FW82" s="237"/>
      <c r="FX82" s="237"/>
      <c r="FY82" s="237"/>
      <c r="FZ82" s="237"/>
      <c r="GA82" s="250" t="str">
        <f>IF(FQ82="","",FQ82*'Eval-Après action écologique'!$T$107)</f>
        <v/>
      </c>
      <c r="GB82" s="240" t="str">
        <f>IF(LEN('Eval-Après action écologique'!$T$107)=0,"",IF('Eval-Après action écologique'!$T$107=0,"Site détruit (0 ha).",(IF(AND(FQ82&gt;=0,FQ82&lt;=0.2),CONCATENATE("Habitats extrêment différents du paysage (coef. sim.=",ROUND(FQ82,2),")."),""))))</f>
        <v/>
      </c>
      <c r="GC82" s="241" t="str">
        <f>(IF(AND(FQ82&gt;0.2,FQ82&lt;=0.4),CONCATENATE("Habitats très différents du paysage (coef. sim.=",ROUND(FQ82,2),")."),""))</f>
        <v/>
      </c>
      <c r="GD82" s="241" t="str">
        <f>(IF(AND(FQ82&gt;0.4,FQ82&lt;=0.6),CONCATENATE("Habitats assez différents du paysage (coef. sim.=",ROUND(FQ82,2),")."),""))</f>
        <v/>
      </c>
      <c r="GE82" s="241" t="str">
        <f>(IF(AND(FQ82&gt;0.6,FQ82&lt;=0.8),CONCATENATE("Habitats assez similaires au paysage (coef. sim.=",ROUND(FQ82,2),")."),""))</f>
        <v/>
      </c>
      <c r="GF82" s="241" t="str">
        <f>(IF(AND(FQ82&gt;0.8,FQ82&lt;=1),CONCATENATE("Habitats très similaires au paysage (coef. sim.=",ROUND(FQ82,2),")."),""))</f>
        <v/>
      </c>
      <c r="GG82" s="246"/>
      <c r="GH82" s="243" t="str">
        <f>FQ82</f>
        <v/>
      </c>
      <c r="GI82" s="244" t="str">
        <f>GA82</f>
        <v/>
      </c>
    </row>
    <row r="83" spans="1:191" ht="31.5" customHeight="1" x14ac:dyDescent="0.2">
      <c r="A83" s="1133"/>
      <c r="B83" s="1135" t="s">
        <v>203</v>
      </c>
      <c r="C83" s="235" t="s">
        <v>154</v>
      </c>
      <c r="D83" s="236"/>
      <c r="E83" s="237"/>
      <c r="F83" s="237"/>
      <c r="G83" s="237"/>
      <c r="H83" s="237"/>
      <c r="I83" s="237"/>
      <c r="J83" s="237"/>
      <c r="K83" s="237"/>
      <c r="L83" s="238" t="str">
        <f>IF(LEN('Eval-Avant impact'!$T$107)=0,"",IF('Eval-Avant impact'!$T$107=0,0,IF(COUNTIF('Eval-Avant impact'!$T$465:$T$479,"&gt;0")&gt;=6,1,COUNTIF('Eval-Avant impact'!$T$465:$T$479,"&gt;0")/6)))</f>
        <v/>
      </c>
      <c r="M83" s="239"/>
      <c r="N83" s="236"/>
      <c r="O83" s="237"/>
      <c r="P83" s="237"/>
      <c r="Q83" s="237"/>
      <c r="R83" s="237"/>
      <c r="S83" s="237"/>
      <c r="T83" s="237"/>
      <c r="U83" s="237"/>
      <c r="V83" s="238" t="str">
        <f>IF(L83="","",L83*'Eval-Avant impact'!$T$107)</f>
        <v/>
      </c>
      <c r="W83" s="239"/>
      <c r="X83" s="240" t="str">
        <f>IF(LEN('Eval-Avant impact'!$T$107)=0,"",IF('Eval-Avant impact'!$T$107=0,"Site détruit (0 ha).",IF(L83=1/6,"1 habitat.","")))</f>
        <v/>
      </c>
      <c r="Y83" s="241" t="str">
        <f>IF(L83=2/6,"2 habitats.","")</f>
        <v/>
      </c>
      <c r="Z83" s="241" t="str">
        <f>IF(L83=3/6,"3 habitats.","")</f>
        <v/>
      </c>
      <c r="AA83" s="241" t="str">
        <f>IF(L83=4/6,"4 habitats.","")</f>
        <v/>
      </c>
      <c r="AB83" s="241" t="str">
        <f>IF(AND(L83&lt;&gt;"",L83&gt;=5/6),CONCATENATE(COUNTIF('Eval-Avant impact'!$T$465:$W$479,"&gt;0")," habitats."),"")</f>
        <v/>
      </c>
      <c r="AC83" s="246"/>
      <c r="AD83" s="243" t="str">
        <f>L83</f>
        <v/>
      </c>
      <c r="AE83" s="244" t="str">
        <f>V83</f>
        <v/>
      </c>
      <c r="AF83" s="245"/>
      <c r="AG83" s="1133"/>
      <c r="AH83" s="1135" t="s">
        <v>203</v>
      </c>
      <c r="AI83" s="235" t="s">
        <v>154</v>
      </c>
      <c r="AJ83" s="236"/>
      <c r="AK83" s="237"/>
      <c r="AL83" s="237"/>
      <c r="AM83" s="237"/>
      <c r="AN83" s="237"/>
      <c r="AO83" s="237"/>
      <c r="AP83" s="237"/>
      <c r="AQ83" s="237"/>
      <c r="AR83" s="238" t="str">
        <f>IF(LEN('Eval-Avec impact envisagé'!$T$107)=0,"",IF('Eval-Avec impact envisagé'!$T$107=0,0,IF(COUNTIF('Eval-Avec impact envisagé'!$T$465:$T$479,"&gt;0")&gt;=6,1,COUNTIF('Eval-Avec impact envisagé'!$T$465:$T$479,"&gt;0")/6)))</f>
        <v/>
      </c>
      <c r="AS83" s="239"/>
      <c r="AT83" s="236"/>
      <c r="AU83" s="237"/>
      <c r="AV83" s="237"/>
      <c r="AW83" s="237"/>
      <c r="AX83" s="237"/>
      <c r="AY83" s="237"/>
      <c r="AZ83" s="237"/>
      <c r="BA83" s="237"/>
      <c r="BB83" s="238" t="str">
        <f>IF(AR83="","",AR83*'Eval-Avec impact envisagé'!$T$107)</f>
        <v/>
      </c>
      <c r="BC83" s="239"/>
      <c r="BD83" s="240" t="str">
        <f>IF(LEN('Eval-Avec impact envisagé'!$T$107)=0,"",IF('Eval-Avec impact envisagé'!$T$107=0,"Site détruit (0 ha).",IF(AR83=1/6,"1 habitat.","")))</f>
        <v/>
      </c>
      <c r="BE83" s="241" t="str">
        <f>IF(AR83=2/6,"2 habitats.","")</f>
        <v/>
      </c>
      <c r="BF83" s="241" t="str">
        <f>IF(AR83=3/6,"3 habitats.","")</f>
        <v/>
      </c>
      <c r="BG83" s="241" t="str">
        <f>IF(AR83=4/6,"4 habitats.","")</f>
        <v/>
      </c>
      <c r="BH83" s="241" t="str">
        <f>IF(AND(AR83&lt;&gt;"",AR83&gt;=5/6),CONCATENATE(COUNTIF('Eval-Avec impact envisagé'!$T$465:$W$479,"&gt;0")," habitats."),"")</f>
        <v/>
      </c>
      <c r="BI83" s="246"/>
      <c r="BJ83" s="243" t="str">
        <f>AR83</f>
        <v/>
      </c>
      <c r="BK83" s="244" t="str">
        <f>BB83</f>
        <v/>
      </c>
      <c r="BL83" s="245"/>
      <c r="BM83" s="1133"/>
      <c r="BN83" s="1135" t="s">
        <v>203</v>
      </c>
      <c r="BO83" s="235" t="s">
        <v>154</v>
      </c>
      <c r="BP83" s="236"/>
      <c r="BQ83" s="237"/>
      <c r="BR83" s="237"/>
      <c r="BS83" s="237"/>
      <c r="BT83" s="237"/>
      <c r="BU83" s="237"/>
      <c r="BV83" s="237"/>
      <c r="BW83" s="237"/>
      <c r="BX83" s="238" t="str">
        <f>IF(LEN('Eval-Après impact'!$T$107)=0,"",IF('Eval-Après impact'!$T$107=0,0,IF(COUNTIF('Eval-Après impact'!$T$465:$T$479,"&gt;0")&gt;=6,1,COUNTIF('Eval-Après impact'!$T$465:$T$479,"&gt;0")/6)))</f>
        <v/>
      </c>
      <c r="BY83" s="239"/>
      <c r="BZ83" s="236"/>
      <c r="CA83" s="237"/>
      <c r="CB83" s="237"/>
      <c r="CC83" s="237"/>
      <c r="CD83" s="237"/>
      <c r="CE83" s="237"/>
      <c r="CF83" s="237"/>
      <c r="CG83" s="237"/>
      <c r="CH83" s="238" t="str">
        <f>IF(BX83="","",BX83*'Eval-Après impact'!$T$107)</f>
        <v/>
      </c>
      <c r="CI83" s="239"/>
      <c r="CJ83" s="240" t="str">
        <f>IF(LEN('Eval-Après impact'!$T$107)=0,"",IF('Eval-Après impact'!$T$107=0,"Site détruit (0 ha).",IF(BX83=1/6,"1 habitat.","")))</f>
        <v/>
      </c>
      <c r="CK83" s="241" t="str">
        <f>IF(BX83=2/6,"2 habitats.","")</f>
        <v/>
      </c>
      <c r="CL83" s="241" t="str">
        <f>IF(BX83=3/6,"3 habitats.","")</f>
        <v/>
      </c>
      <c r="CM83" s="241" t="str">
        <f>IF(BX83=4/6,"4 habitats.","")</f>
        <v/>
      </c>
      <c r="CN83" s="241" t="str">
        <f>IF(AND(BX83&lt;&gt;"",BX83&gt;=5/6),CONCATENATE(COUNTIF('Eval-Après impact'!$T$465:$W$479,"&gt;0")," habitats."),"")</f>
        <v/>
      </c>
      <c r="CO83" s="246"/>
      <c r="CP83" s="243" t="str">
        <f>BX83</f>
        <v/>
      </c>
      <c r="CQ83" s="244" t="str">
        <f>CH83</f>
        <v/>
      </c>
      <c r="CR83" s="245"/>
      <c r="CS83" s="1133"/>
      <c r="CT83" s="1135" t="s">
        <v>203</v>
      </c>
      <c r="CU83" s="235" t="s">
        <v>154</v>
      </c>
      <c r="CV83" s="236"/>
      <c r="CW83" s="237"/>
      <c r="CX83" s="237"/>
      <c r="CY83" s="237"/>
      <c r="CZ83" s="237"/>
      <c r="DA83" s="237"/>
      <c r="DB83" s="237"/>
      <c r="DC83" s="237"/>
      <c r="DD83" s="238" t="str">
        <f>IF(LEN('Eval-Avant action écologique'!$T$107)=0,"",IF('Eval-Avant action écologique'!$T$107=0,0,IF(COUNTIF('Eval-Avant action écologique'!$T$465:$T$479,"&gt;0")&gt;=6,1,COUNTIF('Eval-Avant action écologique'!$T$465:$T$479,"&gt;0")/6)))</f>
        <v/>
      </c>
      <c r="DE83" s="239"/>
      <c r="DF83" s="236"/>
      <c r="DG83" s="237"/>
      <c r="DH83" s="237"/>
      <c r="DI83" s="237"/>
      <c r="DJ83" s="237"/>
      <c r="DK83" s="237"/>
      <c r="DL83" s="237"/>
      <c r="DM83" s="237"/>
      <c r="DN83" s="238" t="str">
        <f>IF(DD83="","",DD83*'Eval-Avant action écologique'!$T$107)</f>
        <v/>
      </c>
      <c r="DO83" s="239"/>
      <c r="DP83" s="240" t="str">
        <f>IF(LEN('Eval-Avant action écologique'!$T$107)=0,"",IF('Eval-Avant action écologique'!$T$107=0,"Site détruit (0 ha).",IF(DD83=1/6,"1 habitat.","")))</f>
        <v/>
      </c>
      <c r="DQ83" s="241" t="str">
        <f>IF(DD83=2/6,"2 habitats.","")</f>
        <v/>
      </c>
      <c r="DR83" s="241" t="str">
        <f>IF(DD83=3/6,"3 habitats.","")</f>
        <v/>
      </c>
      <c r="DS83" s="241" t="str">
        <f>IF(DD83=4/6,"4 habitats.","")</f>
        <v/>
      </c>
      <c r="DT83" s="241" t="str">
        <f>IF(AND(DD83&lt;&gt;"",DD83&gt;=5/6),CONCATENATE(COUNTIF('Eval-Avant action écologique'!$T$465:$W$479,"&gt;0")," habitats."),"")</f>
        <v/>
      </c>
      <c r="DU83" s="246"/>
      <c r="DV83" s="243" t="str">
        <f>DD83</f>
        <v/>
      </c>
      <c r="DW83" s="244" t="str">
        <f>DN83</f>
        <v/>
      </c>
      <c r="DX83" s="245"/>
      <c r="DY83" s="1133"/>
      <c r="DZ83" s="1135" t="s">
        <v>203</v>
      </c>
      <c r="EA83" s="235" t="s">
        <v>154</v>
      </c>
      <c r="EB83" s="236"/>
      <c r="EC83" s="237"/>
      <c r="ED83" s="237"/>
      <c r="EE83" s="237"/>
      <c r="EF83" s="237"/>
      <c r="EG83" s="237"/>
      <c r="EH83" s="237"/>
      <c r="EI83" s="237"/>
      <c r="EJ83" s="238" t="str">
        <f>IF(LEN('Eval-Avec act. écol. envisagée'!$T$107)=0,"",IF('Eval-Avec act. écol. envisagée'!$T$107=0,0,IF(COUNTIF('Eval-Avec act. écol. envisagée'!$T$465:$T$479,"&gt;0")&gt;=6,1,COUNTIF('Eval-Avec act. écol. envisagée'!$T$465:$T$479,"&gt;0")/6)))</f>
        <v/>
      </c>
      <c r="EK83" s="239"/>
      <c r="EL83" s="236"/>
      <c r="EM83" s="237"/>
      <c r="EN83" s="237"/>
      <c r="EO83" s="237"/>
      <c r="EP83" s="237"/>
      <c r="EQ83" s="237"/>
      <c r="ER83" s="237"/>
      <c r="ES83" s="237"/>
      <c r="ET83" s="238" t="str">
        <f>IF(EJ83="","",EJ83*'Eval-Avec act. écol. envisagée'!$T$107)</f>
        <v/>
      </c>
      <c r="EU83" s="239"/>
      <c r="EV83" s="240" t="str">
        <f>IF(LEN('Eval-Avec act. écol. envisagée'!$T$107)=0,"",IF('Eval-Avec act. écol. envisagée'!$T$107=0,"Site détruit (0 ha).",IF(EJ83=1/6,"1 habitat.","")))</f>
        <v/>
      </c>
      <c r="EW83" s="241" t="str">
        <f>IF(EJ83=2/6,"2 habitats.","")</f>
        <v/>
      </c>
      <c r="EX83" s="241" t="str">
        <f>IF(EJ83=3/6,"3 habitats.","")</f>
        <v/>
      </c>
      <c r="EY83" s="241" t="str">
        <f>IF(EJ83=4/6,"4 habitats.","")</f>
        <v/>
      </c>
      <c r="EZ83" s="241" t="str">
        <f>IF(AND(EJ83&lt;&gt;"",EJ83&gt;=5/6),CONCATENATE(COUNTIF('Eval-Avec act. écol. envisagée'!$T$465:$W$479,"&gt;0")," habitats."),"")</f>
        <v/>
      </c>
      <c r="FA83" s="246"/>
      <c r="FB83" s="243" t="str">
        <f>EJ83</f>
        <v/>
      </c>
      <c r="FC83" s="244" t="str">
        <f>ET83</f>
        <v/>
      </c>
      <c r="FD83" s="245"/>
      <c r="FE83" s="1133"/>
      <c r="FF83" s="1135" t="s">
        <v>203</v>
      </c>
      <c r="FG83" s="235" t="s">
        <v>154</v>
      </c>
      <c r="FH83" s="236"/>
      <c r="FI83" s="237"/>
      <c r="FJ83" s="237"/>
      <c r="FK83" s="237"/>
      <c r="FL83" s="237"/>
      <c r="FM83" s="237"/>
      <c r="FN83" s="237"/>
      <c r="FO83" s="237"/>
      <c r="FP83" s="238" t="str">
        <f>IF(LEN('Eval-Après action écologique'!$T$107)=0,"",IF('Eval-Après action écologique'!$T$107=0,0,IF(COUNTIF('Eval-Après action écologique'!$T$465:$T$479,"&gt;0")&gt;=6,1,COUNTIF('Eval-Après action écologique'!$T$465:$T$479,"&gt;0")/6)))</f>
        <v/>
      </c>
      <c r="FQ83" s="239"/>
      <c r="FR83" s="236"/>
      <c r="FS83" s="237"/>
      <c r="FT83" s="237"/>
      <c r="FU83" s="237"/>
      <c r="FV83" s="237"/>
      <c r="FW83" s="237"/>
      <c r="FX83" s="237"/>
      <c r="FY83" s="237"/>
      <c r="FZ83" s="238" t="str">
        <f>IF(FP83="","",FP83*'Eval-Après action écologique'!$T$107)</f>
        <v/>
      </c>
      <c r="GA83" s="239"/>
      <c r="GB83" s="240" t="str">
        <f>IF(LEN('Eval-Après action écologique'!$T$107)=0,"",IF('Eval-Après action écologique'!$T$107=0,"Site détruit (0 ha).",IF(FP83=1/6,"1 habitat.","")))</f>
        <v/>
      </c>
      <c r="GC83" s="241" t="str">
        <f>IF(FP83=2/6,"2 habitats.","")</f>
        <v/>
      </c>
      <c r="GD83" s="241" t="str">
        <f>IF(FP83=3/6,"3 habitats.","")</f>
        <v/>
      </c>
      <c r="GE83" s="241" t="str">
        <f>IF(FP83=4/6,"4 habitats.","")</f>
        <v/>
      </c>
      <c r="GF83" s="241" t="str">
        <f>IF(AND(FP83&lt;&gt;"",FP83&gt;=5/6),CONCATENATE(COUNTIF('Eval-Après action écologique'!$T$465:$W$479,"&gt;0")," habitats."),"")</f>
        <v/>
      </c>
      <c r="GG83" s="246"/>
      <c r="GH83" s="243" t="str">
        <f>FP83</f>
        <v/>
      </c>
      <c r="GI83" s="244" t="str">
        <f>FZ83</f>
        <v/>
      </c>
    </row>
    <row r="84" spans="1:191" ht="31.5" customHeight="1" x14ac:dyDescent="0.2">
      <c r="A84" s="1133"/>
      <c r="B84" s="1136"/>
      <c r="C84" s="235" t="s">
        <v>219</v>
      </c>
      <c r="D84" s="236"/>
      <c r="E84" s="237"/>
      <c r="F84" s="237"/>
      <c r="G84" s="237"/>
      <c r="H84" s="237"/>
      <c r="I84" s="237"/>
      <c r="J84" s="237"/>
      <c r="K84" s="237"/>
      <c r="L84" s="238" t="str">
        <f>IF(LEN('Eval-Avant impact'!$T$107)=0,"",IF('Eval-Avant impact'!$T$107=0,0,IF(COUNTIF('Eval-Avant impact'!$T$465:$T$479,"&gt;0")=1,0,(IF('Eval-Avant impact'!$T$465&gt;0,(-1)*('Eval-Avant impact'!$T$465/100)*LOG('Eval-Avant impact'!$T$465/100),0)+IF('Eval-Avant impact'!$T$466&gt;0,(-1)*('Eval-Avant impact'!$T$466/100)*LOG('Eval-Avant impact'!$T$466/100),0)+IF('Eval-Avant impact'!$T$467&gt;0,(-1)*('Eval-Avant impact'!$T$467/100)*LOG('Eval-Avant impact'!$T$467/100),0)+IF('Eval-Avant impact'!$T$468&gt;0,(-1)*('Eval-Avant impact'!$T$468/100)*LOG('Eval-Avant impact'!$T$468/100),0)+IF('Eval-Avant impact'!$T$469&gt;0,(-1)*('Eval-Avant impact'!$T$469/100)*LOG('Eval-Avant impact'!$T$469/100),0)+IF('Eval-Avant impact'!$T$470&gt;0,(-1)*('Eval-Avant impact'!$T$470/100)*LOG('Eval-Avant impact'!$T$470/100),0)+IF('Eval-Avant impact'!$T$471&gt;0,(-1)*('Eval-Avant impact'!$T$471/100)*LOG('Eval-Avant impact'!$T$471/100),0)+IF('Eval-Avant impact'!$T$472&gt;0,(-1)*('Eval-Avant impact'!$T$472/100)*LOG('Eval-Avant impact'!$T$472/100),0)+IF('Eval-Avant impact'!T473&gt;0,(-1)*('Eval-Avant impact'!$T$473/100)*LOG('Eval-Avant impact'!$T$473/100),0)+IF('Eval-Avant impact'!$T$474&gt;0,(-1)*('Eval-Avant impact'!$T$474/100)*LOG('Eval-Avant impact'!$T$474/100),0)+IF('Eval-Avant impact'!$T$475&gt;0,(-1)*('Eval-Avant impact'!$T$475/100)*LOG('Eval-Avant impact'!$T$475/100),0)+IF('Eval-Avant impact'!$T$476&gt;0,(-1)*('Eval-Avant impact'!$T$476/100)*LOG('Eval-Avant impact'!$T$476/100),0)+IF('Eval-Avant impact'!$T$477&gt;0,(-1)*('Eval-Avant impact'!$T$477/100)*LOG('Eval-Avant impact'!$T$477/100),0)+IF('Eval-Avant impact'!$T$478&gt;0,(-1)*('Eval-Avant impact'!$T$478/100)*LOG('Eval-Avant impact'!$T$478/100),0)+IF('Eval-Avant impact'!$T$479&gt;0,(-1)*('Eval-Avant impact'!$T$479/100)*LOG('Eval-Avant impact'!$T$479/100),0))/LOG(COUNTIF('Eval-Avant impact'!$T$465:$T$479,"&gt;0")))))</f>
        <v/>
      </c>
      <c r="M84" s="239"/>
      <c r="N84" s="236"/>
      <c r="O84" s="237"/>
      <c r="P84" s="237"/>
      <c r="Q84" s="237"/>
      <c r="R84" s="237"/>
      <c r="S84" s="237"/>
      <c r="T84" s="237"/>
      <c r="U84" s="237"/>
      <c r="V84" s="238" t="str">
        <f>IF(L84="","",L84*'Eval-Avant impact'!$T$107)</f>
        <v/>
      </c>
      <c r="W84" s="239"/>
      <c r="X84" s="240" t="str">
        <f>IF(LEN('Eval-Avant impact'!$T$107)=0,"",IF('Eval-Avant impact'!$T$107=0,"Site détruit (0 ha).",IF(AND(L84&gt;=0,L84&lt;=0.2),CONCATENATE("Equitabilité de répartition des habitats très réduite (E=",ROUND(L84,2),")."),"")))</f>
        <v/>
      </c>
      <c r="Y84" s="241" t="str">
        <f>IF(AND(L84&gt;0.2,L84&lt;=0.4),CONCATENATE("Equitabilité de répartition des habitats réduite (E=",ROUND(L84,2),")."),"")</f>
        <v/>
      </c>
      <c r="Z84" s="241" t="str">
        <f>IF(AND(L84&gt;0.4,L84&lt;=0.6),CONCATENATE("Equitabilité de répartition des habitats assez réduite (E=",ROUND(L84,2),")."),"")</f>
        <v/>
      </c>
      <c r="AA84" s="241" t="str">
        <f>IF(AND(L84&gt;0.6,L84&lt;=0.8),CONCATENATE("Equitabilité de répartition des habitats élevée (E=",ROUND(L84,2),")."),"")</f>
        <v/>
      </c>
      <c r="AB84" s="241" t="str">
        <f>IF(AND(L84&gt;0.8,L84&lt;=1),CONCATENATE("Equitabilité de répartition des habitats très élevée (E=",ROUND(L84,2),")."),"")</f>
        <v/>
      </c>
      <c r="AC84" s="246"/>
      <c r="AD84" s="243" t="str">
        <f>L84</f>
        <v/>
      </c>
      <c r="AE84" s="244" t="str">
        <f>V84</f>
        <v/>
      </c>
      <c r="AF84" s="245"/>
      <c r="AG84" s="1133"/>
      <c r="AH84" s="1136"/>
      <c r="AI84" s="235" t="s">
        <v>219</v>
      </c>
      <c r="AJ84" s="236"/>
      <c r="AK84" s="237"/>
      <c r="AL84" s="237"/>
      <c r="AM84" s="237"/>
      <c r="AN84" s="237"/>
      <c r="AO84" s="237"/>
      <c r="AP84" s="237"/>
      <c r="AQ84" s="237"/>
      <c r="AR84" s="238" t="str">
        <f>IF(LEN('Eval-Avec impact envisagé'!$T$107)=0,"",IF('Eval-Avec impact envisagé'!$T$107=0,0,IF(COUNTIF('Eval-Avec impact envisagé'!$T$465:$T$479,"&gt;0")=1,0,(IF('Eval-Avec impact envisagé'!$T$465&gt;0,(-1)*('Eval-Avec impact envisagé'!$T$465/100)*LOG('Eval-Avec impact envisagé'!$T$465/100),0)+IF('Eval-Avec impact envisagé'!$T$466&gt;0,(-1)*('Eval-Avec impact envisagé'!$T$466/100)*LOG('Eval-Avec impact envisagé'!$T$466/100),0)+IF('Eval-Avec impact envisagé'!$T$467&gt;0,(-1)*('Eval-Avec impact envisagé'!$T$467/100)*LOG('Eval-Avec impact envisagé'!$T$467/100),0)+IF('Eval-Avec impact envisagé'!$T$468&gt;0,(-1)*('Eval-Avec impact envisagé'!$T$468/100)*LOG('Eval-Avec impact envisagé'!$T$468/100),0)+IF('Eval-Avec impact envisagé'!$T$469&gt;0,(-1)*('Eval-Avec impact envisagé'!$T$469/100)*LOG('Eval-Avec impact envisagé'!$T$469/100),0)+IF('Eval-Avec impact envisagé'!$T$470&gt;0,(-1)*('Eval-Avec impact envisagé'!$T$470/100)*LOG('Eval-Avec impact envisagé'!$T$470/100),0)+IF('Eval-Avec impact envisagé'!$T$471&gt;0,(-1)*('Eval-Avec impact envisagé'!$T$471/100)*LOG('Eval-Avec impact envisagé'!$T$471/100),0)+IF('Eval-Avec impact envisagé'!$T$472&gt;0,(-1)*('Eval-Avec impact envisagé'!$T$472/100)*LOG('Eval-Avec impact envisagé'!$T$472/100),0)+IF('Eval-Avec impact envisagé'!T473&gt;0,(-1)*('Eval-Avec impact envisagé'!$T$473/100)*LOG('Eval-Avec impact envisagé'!$T$473/100),0)+IF('Eval-Avec impact envisagé'!$T$474&gt;0,(-1)*('Eval-Avec impact envisagé'!$T$474/100)*LOG('Eval-Avec impact envisagé'!$T$474/100),0)+IF('Eval-Avec impact envisagé'!$T$475&gt;0,(-1)*('Eval-Avec impact envisagé'!$T$475/100)*LOG('Eval-Avec impact envisagé'!$T$475/100),0)+IF('Eval-Avec impact envisagé'!$T$476&gt;0,(-1)*('Eval-Avec impact envisagé'!$T$476/100)*LOG('Eval-Avec impact envisagé'!$T$476/100),0)+IF('Eval-Avec impact envisagé'!$T$477&gt;0,(-1)*('Eval-Avec impact envisagé'!$T$477/100)*LOG('Eval-Avec impact envisagé'!$T$477/100),0)+IF('Eval-Avec impact envisagé'!$T$478&gt;0,(-1)*('Eval-Avec impact envisagé'!$T$478/100)*LOG('Eval-Avec impact envisagé'!$T$478/100),0)+IF('Eval-Avec impact envisagé'!$T$479&gt;0,(-1)*('Eval-Avec impact envisagé'!$T$479/100)*LOG('Eval-Avec impact envisagé'!$T$479/100),0))/LOG(COUNTIF('Eval-Avec impact envisagé'!$T$465:$T$479,"&gt;0")))))</f>
        <v/>
      </c>
      <c r="AS84" s="239"/>
      <c r="AT84" s="236"/>
      <c r="AU84" s="237"/>
      <c r="AV84" s="237"/>
      <c r="AW84" s="237"/>
      <c r="AX84" s="237"/>
      <c r="AY84" s="237"/>
      <c r="AZ84" s="237"/>
      <c r="BA84" s="237"/>
      <c r="BB84" s="238" t="str">
        <f>IF(AR84="","",AR84*'Eval-Avec impact envisagé'!$T$107)</f>
        <v/>
      </c>
      <c r="BC84" s="239"/>
      <c r="BD84" s="240" t="str">
        <f>IF(LEN('Eval-Avec impact envisagé'!$T$107)=0,"",IF('Eval-Avec impact envisagé'!$T$107=0,"Site détruit (0 ha).",IF(AND(AR84&gt;=0,AR84&lt;=0.2),CONCATENATE("Equitabilité de répartition des habitats très réduite (E=",ROUND(AR84,2),")."),"")))</f>
        <v/>
      </c>
      <c r="BE84" s="241" t="str">
        <f>IF(AND(AR84&gt;0.2,AR84&lt;=0.4),CONCATENATE("Equitabilité de répartition des habitats réduite (E=",ROUND(AR84,2),")."),"")</f>
        <v/>
      </c>
      <c r="BF84" s="241" t="str">
        <f>IF(AND(AR84&gt;0.4,AR84&lt;=0.6),CONCATENATE("Equitabilité de répartition des habitats assez réduite (E=",ROUND(AR84,2),")."),"")</f>
        <v/>
      </c>
      <c r="BG84" s="241" t="str">
        <f>IF(AND(AR84&gt;0.6,AR84&lt;=0.8),CONCATENATE("Equitabilité de répartition des habitats élevée (E=",ROUND(AR84,2),")."),"")</f>
        <v/>
      </c>
      <c r="BH84" s="241" t="str">
        <f>IF(AND(AR84&gt;0.8,AR84&lt;=1),CONCATENATE("Equitabilité de répartition des habitats très élevée (E=",ROUND(AR84,2),")."),"")</f>
        <v/>
      </c>
      <c r="BI84" s="246"/>
      <c r="BJ84" s="243" t="str">
        <f>AR84</f>
        <v/>
      </c>
      <c r="BK84" s="244" t="str">
        <f>BB84</f>
        <v/>
      </c>
      <c r="BL84" s="245"/>
      <c r="BM84" s="1133"/>
      <c r="BN84" s="1136"/>
      <c r="BO84" s="235" t="s">
        <v>219</v>
      </c>
      <c r="BP84" s="236"/>
      <c r="BQ84" s="237"/>
      <c r="BR84" s="237"/>
      <c r="BS84" s="237"/>
      <c r="BT84" s="237"/>
      <c r="BU84" s="237"/>
      <c r="BV84" s="237"/>
      <c r="BW84" s="237"/>
      <c r="BX84" s="238" t="str">
        <f>IF(LEN('Eval-Après impact'!$T$107)=0,"",IF('Eval-Après impact'!$T$107=0,0,IF(COUNTIF('Eval-Après impact'!$T$465:$T$479,"&gt;0")=1,0,(IF('Eval-Après impact'!$T$465&gt;0,(-1)*('Eval-Après impact'!$T$465/100)*LOG('Eval-Après impact'!$T$465/100),0)+IF('Eval-Après impact'!$T$466&gt;0,(-1)*('Eval-Après impact'!$T$466/100)*LOG('Eval-Après impact'!$T$466/100),0)+IF('Eval-Après impact'!$T$467&gt;0,(-1)*('Eval-Après impact'!$T$467/100)*LOG('Eval-Après impact'!$T$467/100),0)+IF('Eval-Après impact'!$T$468&gt;0,(-1)*('Eval-Après impact'!$T$468/100)*LOG('Eval-Après impact'!$T$468/100),0)+IF('Eval-Après impact'!$T$469&gt;0,(-1)*('Eval-Après impact'!$T$469/100)*LOG('Eval-Après impact'!$T$469/100),0)+IF('Eval-Après impact'!$T$470&gt;0,(-1)*('Eval-Après impact'!$T$470/100)*LOG('Eval-Après impact'!$T$470/100),0)+IF('Eval-Après impact'!$T$471&gt;0,(-1)*('Eval-Après impact'!$T$471/100)*LOG('Eval-Après impact'!$T$471/100),0)+IF('Eval-Après impact'!$T$472&gt;0,(-1)*('Eval-Après impact'!$T$472/100)*LOG('Eval-Après impact'!$T$472/100),0)+IF('Eval-Après impact'!T473&gt;0,(-1)*('Eval-Après impact'!$T$473/100)*LOG('Eval-Après impact'!$T$473/100),0)+IF('Eval-Après impact'!$T$474&gt;0,(-1)*('Eval-Après impact'!$T$474/100)*LOG('Eval-Après impact'!$T$474/100),0)+IF('Eval-Après impact'!$T$475&gt;0,(-1)*('Eval-Après impact'!$T$475/100)*LOG('Eval-Après impact'!$T$475/100),0)+IF('Eval-Après impact'!$T$476&gt;0,(-1)*('Eval-Après impact'!$T$476/100)*LOG('Eval-Après impact'!$T$476/100),0)+IF('Eval-Après impact'!$T$477&gt;0,(-1)*('Eval-Après impact'!$T$477/100)*LOG('Eval-Après impact'!$T$477/100),0)+IF('Eval-Après impact'!$T$478&gt;0,(-1)*('Eval-Après impact'!$T$478/100)*LOG('Eval-Après impact'!$T$478/100),0)+IF('Eval-Après impact'!$T$479&gt;0,(-1)*('Eval-Après impact'!$T$479/100)*LOG('Eval-Après impact'!$T$479/100),0))/LOG(COUNTIF('Eval-Après impact'!$T$465:$T$479,"&gt;0")))))</f>
        <v/>
      </c>
      <c r="BY84" s="239"/>
      <c r="BZ84" s="236"/>
      <c r="CA84" s="237"/>
      <c r="CB84" s="237"/>
      <c r="CC84" s="237"/>
      <c r="CD84" s="237"/>
      <c r="CE84" s="237"/>
      <c r="CF84" s="237"/>
      <c r="CG84" s="237"/>
      <c r="CH84" s="238" t="str">
        <f>IF(BX84="","",BX84*'Eval-Après impact'!$T$107)</f>
        <v/>
      </c>
      <c r="CI84" s="239"/>
      <c r="CJ84" s="240" t="str">
        <f>IF(LEN('Eval-Après impact'!$T$107)=0,"",IF('Eval-Après impact'!$T$107=0,"Site détruit (0 ha).",IF(AND(BX84&gt;=0,BX84&lt;=0.2),CONCATENATE("Equitabilité de répartition des habitats très réduite (E=",ROUND(BX84,2),")."),"")))</f>
        <v/>
      </c>
      <c r="CK84" s="241" t="str">
        <f>IF(AND(BX84&gt;0.2,BX84&lt;=0.4),CONCATENATE("Equitabilité de répartition des habitats réduite (E=",ROUND(BX84,2),")."),"")</f>
        <v/>
      </c>
      <c r="CL84" s="241" t="str">
        <f>IF(AND(BX84&gt;0.4,BX84&lt;=0.6),CONCATENATE("Equitabilité de répartition des habitats assez réduite (E=",ROUND(BX84,2),")."),"")</f>
        <v/>
      </c>
      <c r="CM84" s="241" t="str">
        <f>IF(AND(BX84&gt;0.6,BX84&lt;=0.8),CONCATENATE("Equitabilité de répartition des habitats élevée (E=",ROUND(BX84,2),")."),"")</f>
        <v/>
      </c>
      <c r="CN84" s="241" t="str">
        <f>IF(AND(BX84&gt;0.8,BX84&lt;=1),CONCATENATE("Equitabilité de répartition des habitats très élevée (E=",ROUND(BX84,2),")."),"")</f>
        <v/>
      </c>
      <c r="CO84" s="246"/>
      <c r="CP84" s="243" t="str">
        <f>BX84</f>
        <v/>
      </c>
      <c r="CQ84" s="244" t="str">
        <f>CH84</f>
        <v/>
      </c>
      <c r="CR84" s="245"/>
      <c r="CS84" s="1133"/>
      <c r="CT84" s="1136"/>
      <c r="CU84" s="235" t="s">
        <v>219</v>
      </c>
      <c r="CV84" s="236"/>
      <c r="CW84" s="237"/>
      <c r="CX84" s="237"/>
      <c r="CY84" s="237"/>
      <c r="CZ84" s="237"/>
      <c r="DA84" s="237"/>
      <c r="DB84" s="237"/>
      <c r="DC84" s="237"/>
      <c r="DD84" s="238" t="str">
        <f>IF(LEN('Eval-Avant action écologique'!$T$107)=0,"",IF('Eval-Avant action écologique'!$T$107=0,0,IF(COUNTIF('Eval-Avant action écologique'!$T$465:$T$479,"&gt;0")=1,0,(IF('Eval-Avant action écologique'!$T$465&gt;0,(-1)*('Eval-Avant action écologique'!$T$465/100)*LOG('Eval-Avant action écologique'!$T$465/100),0)+IF('Eval-Avant action écologique'!$T$466&gt;0,(-1)*('Eval-Avant action écologique'!$T$466/100)*LOG('Eval-Avant action écologique'!$T$466/100),0)+IF('Eval-Avant action écologique'!$T$467&gt;0,(-1)*('Eval-Avant action écologique'!$T$467/100)*LOG('Eval-Avant action écologique'!$T$467/100),0)+IF('Eval-Avant action écologique'!$T$468&gt;0,(-1)*('Eval-Avant action écologique'!$T$468/100)*LOG('Eval-Avant action écologique'!$T$468/100),0)+IF('Eval-Avant action écologique'!$T$469&gt;0,(-1)*('Eval-Avant action écologique'!$T$469/100)*LOG('Eval-Avant action écologique'!$T$469/100),0)+IF('Eval-Avant action écologique'!$T$470&gt;0,(-1)*('Eval-Avant action écologique'!$T$470/100)*LOG('Eval-Avant action écologique'!$T$470/100),0)+IF('Eval-Avant action écologique'!$T$471&gt;0,(-1)*('Eval-Avant action écologique'!$T$471/100)*LOG('Eval-Avant action écologique'!$T$471/100),0)+IF('Eval-Avant action écologique'!$T$472&gt;0,(-1)*('Eval-Avant action écologique'!$T$472/100)*LOG('Eval-Avant action écologique'!$T$472/100),0)+IF('Eval-Avant action écologique'!T473&gt;0,(-1)*('Eval-Avant action écologique'!$T$473/100)*LOG('Eval-Avant action écologique'!$T$473/100),0)+IF('Eval-Avant action écologique'!$T$474&gt;0,(-1)*('Eval-Avant action écologique'!$T$474/100)*LOG('Eval-Avant action écologique'!$T$474/100),0)+IF('Eval-Avant action écologique'!$T$475&gt;0,(-1)*('Eval-Avant action écologique'!$T$475/100)*LOG('Eval-Avant action écologique'!$T$475/100),0)+IF('Eval-Avant action écologique'!$T$476&gt;0,(-1)*('Eval-Avant action écologique'!$T$476/100)*LOG('Eval-Avant action écologique'!$T$476/100),0)+IF('Eval-Avant action écologique'!$T$477&gt;0,(-1)*('Eval-Avant action écologique'!$T$477/100)*LOG('Eval-Avant action écologique'!$T$477/100),0)+IF('Eval-Avant action écologique'!$T$478&gt;0,(-1)*('Eval-Avant action écologique'!$T$478/100)*LOG('Eval-Avant action écologique'!$T$478/100),0)+IF('Eval-Avant action écologique'!$T$479&gt;0,(-1)*('Eval-Avant action écologique'!$T$479/100)*LOG('Eval-Avant action écologique'!$T$479/100),0))/LOG(COUNTIF('Eval-Avant action écologique'!$T$465:$T$479,"&gt;0")))))</f>
        <v/>
      </c>
      <c r="DE84" s="239"/>
      <c r="DF84" s="236"/>
      <c r="DG84" s="237"/>
      <c r="DH84" s="237"/>
      <c r="DI84" s="237"/>
      <c r="DJ84" s="237"/>
      <c r="DK84" s="237"/>
      <c r="DL84" s="237"/>
      <c r="DM84" s="237"/>
      <c r="DN84" s="238" t="str">
        <f>IF(DD84="","",DD84*'Eval-Avant action écologique'!$T$107)</f>
        <v/>
      </c>
      <c r="DO84" s="239"/>
      <c r="DP84" s="240" t="str">
        <f>IF(LEN('Eval-Avant action écologique'!$T$107)=0,"",IF('Eval-Avant action écologique'!$T$107=0,"Site détruit (0 ha).",IF(AND(DD84&gt;=0,DD84&lt;=0.2),CONCATENATE("Equitabilité de répartition des habitats très réduite (E=",ROUND(DD84,2),")."),"")))</f>
        <v/>
      </c>
      <c r="DQ84" s="241" t="str">
        <f>IF(AND(DD84&gt;0.2,DD84&lt;=0.4),CONCATENATE("Equitabilité de répartition des habitats réduite (E=",ROUND(DD84,2),")."),"")</f>
        <v/>
      </c>
      <c r="DR84" s="241" t="str">
        <f>IF(AND(DD84&gt;0.4,DD84&lt;=0.6),CONCATENATE("Equitabilité de répartition des habitats assez réduite (E=",ROUND(DD84,2),")."),"")</f>
        <v/>
      </c>
      <c r="DS84" s="241" t="str">
        <f>IF(AND(DD84&gt;0.6,DD84&lt;=0.8),CONCATENATE("Equitabilité de répartition des habitats élevée (E=",ROUND(DD84,2),")."),"")</f>
        <v/>
      </c>
      <c r="DT84" s="241" t="str">
        <f>IF(AND(DD84&gt;0.8,DD84&lt;=1),CONCATENATE("Equitabilité de répartition des habitats très élevée (E=",ROUND(DD84,2),")."),"")</f>
        <v/>
      </c>
      <c r="DU84" s="246"/>
      <c r="DV84" s="243" t="str">
        <f>DD84</f>
        <v/>
      </c>
      <c r="DW84" s="244" t="str">
        <f>DN84</f>
        <v/>
      </c>
      <c r="DX84" s="245"/>
      <c r="DY84" s="1133"/>
      <c r="DZ84" s="1136"/>
      <c r="EA84" s="235" t="s">
        <v>219</v>
      </c>
      <c r="EB84" s="236"/>
      <c r="EC84" s="237"/>
      <c r="ED84" s="237"/>
      <c r="EE84" s="237"/>
      <c r="EF84" s="237"/>
      <c r="EG84" s="237"/>
      <c r="EH84" s="237"/>
      <c r="EI84" s="237"/>
      <c r="EJ84" s="238" t="str">
        <f>IF(LEN('Eval-Avec act. écol. envisagée'!$T$107)=0,"",IF('Eval-Avec act. écol. envisagée'!$T$107=0,0,IF(COUNTIF('Eval-Avec act. écol. envisagée'!$T$465:$T$479,"&gt;0")=1,0,(IF('Eval-Avec act. écol. envisagée'!$T$465&gt;0,(-1)*('Eval-Avec act. écol. envisagée'!$T$465/100)*LOG('Eval-Avec act. écol. envisagée'!$T$465/100),0)+IF('Eval-Avec act. écol. envisagée'!$T$466&gt;0,(-1)*('Eval-Avec act. écol. envisagée'!$T$466/100)*LOG('Eval-Avec act. écol. envisagée'!$T$466/100),0)+IF('Eval-Avec act. écol. envisagée'!$T$467&gt;0,(-1)*('Eval-Avec act. écol. envisagée'!$T$467/100)*LOG('Eval-Avec act. écol. envisagée'!$T$467/100),0)+IF('Eval-Avec act. écol. envisagée'!$T$468&gt;0,(-1)*('Eval-Avec act. écol. envisagée'!$T$468/100)*LOG('Eval-Avec act. écol. envisagée'!$T$468/100),0)+IF('Eval-Avec act. écol. envisagée'!$T$469&gt;0,(-1)*('Eval-Avec act. écol. envisagée'!$T$469/100)*LOG('Eval-Avec act. écol. envisagée'!$T$469/100),0)+IF('Eval-Avec act. écol. envisagée'!$T$470&gt;0,(-1)*('Eval-Avec act. écol. envisagée'!$T$470/100)*LOG('Eval-Avec act. écol. envisagée'!$T$470/100),0)+IF('Eval-Avec act. écol. envisagée'!$T$471&gt;0,(-1)*('Eval-Avec act. écol. envisagée'!$T$471/100)*LOG('Eval-Avec act. écol. envisagée'!$T$471/100),0)+IF('Eval-Avec act. écol. envisagée'!$T$472&gt;0,(-1)*('Eval-Avec act. écol. envisagée'!$T$472/100)*LOG('Eval-Avec act. écol. envisagée'!$T$472/100),0)+IF('Eval-Avec act. écol. envisagée'!T473&gt;0,(-1)*('Eval-Avec act. écol. envisagée'!$T$473/100)*LOG('Eval-Avec act. écol. envisagée'!$T$473/100),0)+IF('Eval-Avec act. écol. envisagée'!$T$474&gt;0,(-1)*('Eval-Avec act. écol. envisagée'!$T$474/100)*LOG('Eval-Avec act. écol. envisagée'!$T$474/100),0)+IF('Eval-Avec act. écol. envisagée'!$T$475&gt;0,(-1)*('Eval-Avec act. écol. envisagée'!$T$475/100)*LOG('Eval-Avec act. écol. envisagée'!$T$475/100),0)+IF('Eval-Avec act. écol. envisagée'!$T$476&gt;0,(-1)*('Eval-Avec act. écol. envisagée'!$T$476/100)*LOG('Eval-Avec act. écol. envisagée'!$T$476/100),0)+IF('Eval-Avec act. écol. envisagée'!$T$477&gt;0,(-1)*('Eval-Avec act. écol. envisagée'!$T$477/100)*LOG('Eval-Avec act. écol. envisagée'!$T$477/100),0)+IF('Eval-Avec act. écol. envisagée'!$T$478&gt;0,(-1)*('Eval-Avec act. écol. envisagée'!$T$478/100)*LOG('Eval-Avec act. écol. envisagée'!$T$478/100),0)+IF('Eval-Avec act. écol. envisagée'!$T$479&gt;0,(-1)*('Eval-Avec act. écol. envisagée'!$T$479/100)*LOG('Eval-Avec act. écol. envisagée'!$T$479/100),0))/LOG(COUNTIF('Eval-Avec act. écol. envisagée'!$T$465:$T$479,"&gt;0")))))</f>
        <v/>
      </c>
      <c r="EK84" s="239"/>
      <c r="EL84" s="236"/>
      <c r="EM84" s="237"/>
      <c r="EN84" s="237"/>
      <c r="EO84" s="237"/>
      <c r="EP84" s="237"/>
      <c r="EQ84" s="237"/>
      <c r="ER84" s="237"/>
      <c r="ES84" s="237"/>
      <c r="ET84" s="238" t="str">
        <f>IF(EJ84="","",EJ84*'Eval-Avec act. écol. envisagée'!$T$107)</f>
        <v/>
      </c>
      <c r="EU84" s="239"/>
      <c r="EV84" s="240" t="str">
        <f>IF(LEN('Eval-Avec act. écol. envisagée'!$T$107)=0,"",IF('Eval-Avec act. écol. envisagée'!$T$107=0,"Site détruit (0 ha).",IF(AND(EJ84&gt;=0,EJ84&lt;=0.2),CONCATENATE("Equitabilité de répartition des habitats très réduite (E=",ROUND(EJ84,2),")."),"")))</f>
        <v/>
      </c>
      <c r="EW84" s="241" t="str">
        <f>IF(AND(EJ84&gt;0.2,EJ84&lt;=0.4),CONCATENATE("Equitabilité de répartition des habitats réduite (E=",ROUND(EJ84,2),")."),"")</f>
        <v/>
      </c>
      <c r="EX84" s="241" t="str">
        <f>IF(AND(EJ84&gt;0.4,EJ84&lt;=0.6),CONCATENATE("Equitabilité de répartition des habitats assez réduite (E=",ROUND(EJ84,2),")."),"")</f>
        <v/>
      </c>
      <c r="EY84" s="241" t="str">
        <f>IF(AND(EJ84&gt;0.6,EJ84&lt;=0.8),CONCATENATE("Equitabilité de répartition des habitats élevée (E=",ROUND(EJ84,2),")."),"")</f>
        <v/>
      </c>
      <c r="EZ84" s="241" t="str">
        <f>IF(AND(EJ84&gt;0.8,EJ84&lt;=1),CONCATENATE("Equitabilité de répartition des habitats très élevée (E=",ROUND(EJ84,2),")."),"")</f>
        <v/>
      </c>
      <c r="FA84" s="246"/>
      <c r="FB84" s="243" t="str">
        <f>EJ84</f>
        <v/>
      </c>
      <c r="FC84" s="244" t="str">
        <f>ET84</f>
        <v/>
      </c>
      <c r="FD84" s="245"/>
      <c r="FE84" s="1133"/>
      <c r="FF84" s="1136"/>
      <c r="FG84" s="235" t="s">
        <v>219</v>
      </c>
      <c r="FH84" s="236"/>
      <c r="FI84" s="237"/>
      <c r="FJ84" s="237"/>
      <c r="FK84" s="237"/>
      <c r="FL84" s="237"/>
      <c r="FM84" s="237"/>
      <c r="FN84" s="237"/>
      <c r="FO84" s="237"/>
      <c r="FP84" s="238" t="str">
        <f>IF(LEN('Eval-Après action écologique'!$T$107)=0,"",IF('Eval-Après action écologique'!$T$107=0,0,IF(COUNTIF('Eval-Après action écologique'!$T$465:$T$479,"&gt;0")=1,0,(IF('Eval-Après action écologique'!$T$465&gt;0,(-1)*('Eval-Après action écologique'!$T$465/100)*LOG('Eval-Après action écologique'!$T$465/100),0)+IF('Eval-Après action écologique'!$T$466&gt;0,(-1)*('Eval-Après action écologique'!$T$466/100)*LOG('Eval-Après action écologique'!$T$466/100),0)+IF('Eval-Après action écologique'!$T$467&gt;0,(-1)*('Eval-Après action écologique'!$T$467/100)*LOG('Eval-Après action écologique'!$T$467/100),0)+IF('Eval-Après action écologique'!$T$468&gt;0,(-1)*('Eval-Après action écologique'!$T$468/100)*LOG('Eval-Après action écologique'!$T$468/100),0)+IF('Eval-Après action écologique'!$T$469&gt;0,(-1)*('Eval-Après action écologique'!$T$469/100)*LOG('Eval-Après action écologique'!$T$469/100),0)+IF('Eval-Après action écologique'!$T$470&gt;0,(-1)*('Eval-Après action écologique'!$T$470/100)*LOG('Eval-Après action écologique'!$T$470/100),0)+IF('Eval-Après action écologique'!$T$471&gt;0,(-1)*('Eval-Après action écologique'!$T$471/100)*LOG('Eval-Après action écologique'!$T$471/100),0)+IF('Eval-Après action écologique'!$T$472&gt;0,(-1)*('Eval-Après action écologique'!$T$472/100)*LOG('Eval-Après action écologique'!$T$472/100),0)+IF('Eval-Après action écologique'!T473&gt;0,(-1)*('Eval-Après action écologique'!$T$473/100)*LOG('Eval-Après action écologique'!$T$473/100),0)+IF('Eval-Après action écologique'!$T$474&gt;0,(-1)*('Eval-Après action écologique'!$T$474/100)*LOG('Eval-Après action écologique'!$T$474/100),0)+IF('Eval-Après action écologique'!$T$475&gt;0,(-1)*('Eval-Après action écologique'!$T$475/100)*LOG('Eval-Après action écologique'!$T$475/100),0)+IF('Eval-Après action écologique'!$T$476&gt;0,(-1)*('Eval-Après action écologique'!$T$476/100)*LOG('Eval-Après action écologique'!$T$476/100),0)+IF('Eval-Après action écologique'!$T$477&gt;0,(-1)*('Eval-Après action écologique'!$T$477/100)*LOG('Eval-Après action écologique'!$T$477/100),0)+IF('Eval-Après action écologique'!$T$478&gt;0,(-1)*('Eval-Après action écologique'!$T$478/100)*LOG('Eval-Après action écologique'!$T$478/100),0)+IF('Eval-Après action écologique'!$T$479&gt;0,(-1)*('Eval-Après action écologique'!$T$479/100)*LOG('Eval-Après action écologique'!$T$479/100),0))/LOG(COUNTIF('Eval-Après action écologique'!$T$465:$T$479,"&gt;0")))))</f>
        <v/>
      </c>
      <c r="FQ84" s="239"/>
      <c r="FR84" s="236"/>
      <c r="FS84" s="237"/>
      <c r="FT84" s="237"/>
      <c r="FU84" s="237"/>
      <c r="FV84" s="237"/>
      <c r="FW84" s="237"/>
      <c r="FX84" s="237"/>
      <c r="FY84" s="237"/>
      <c r="FZ84" s="238" t="str">
        <f>IF(FP84="","",FP84*'Eval-Après action écologique'!$T$107)</f>
        <v/>
      </c>
      <c r="GA84" s="239"/>
      <c r="GB84" s="240" t="str">
        <f>IF(LEN('Eval-Après action écologique'!$T$107)=0,"",IF('Eval-Après action écologique'!$T$107=0,"Site détruit (0 ha).",IF(AND(FP84&gt;=0,FP84&lt;=0.2),CONCATENATE("Equitabilité de répartition des habitats très réduite (E=",ROUND(FP84,2),")."),"")))</f>
        <v/>
      </c>
      <c r="GC84" s="241" t="str">
        <f>IF(AND(FP84&gt;0.2,FP84&lt;=0.4),CONCATENATE("Equitabilité de répartition des habitats réduite (E=",ROUND(FP84,2),")."),"")</f>
        <v/>
      </c>
      <c r="GD84" s="241" t="str">
        <f>IF(AND(FP84&gt;0.4,FP84&lt;=0.6),CONCATENATE("Equitabilité de répartition des habitats assez réduite (E=",ROUND(FP84,2),")."),"")</f>
        <v/>
      </c>
      <c r="GE84" s="241" t="str">
        <f>IF(AND(FP84&gt;0.6,FP84&lt;=0.8),CONCATENATE("Equitabilité de répartition des habitats élevée (E=",ROUND(FP84,2),")."),"")</f>
        <v/>
      </c>
      <c r="GF84" s="241" t="str">
        <f>IF(AND(FP84&gt;0.8,FP84&lt;=1),CONCATENATE("Equitabilité de répartition des habitats très élevée (E=",ROUND(FP84,2),")."),"")</f>
        <v/>
      </c>
      <c r="GG84" s="246"/>
      <c r="GH84" s="243" t="str">
        <f>FP84</f>
        <v/>
      </c>
      <c r="GI84" s="244" t="str">
        <f>FZ84</f>
        <v/>
      </c>
    </row>
    <row r="85" spans="1:191" ht="31.5" customHeight="1" x14ac:dyDescent="0.2">
      <c r="A85" s="1133"/>
      <c r="B85" s="1136"/>
      <c r="C85" s="235" t="s">
        <v>155</v>
      </c>
      <c r="D85" s="236"/>
      <c r="E85" s="237"/>
      <c r="F85" s="237"/>
      <c r="G85" s="237"/>
      <c r="H85" s="237"/>
      <c r="I85" s="237"/>
      <c r="J85" s="237"/>
      <c r="K85" s="237"/>
      <c r="L85" s="238" t="str">
        <f>IF(LEN('Eval-Avant impact'!$T$107)=0,"",IF('Eval-Avant impact'!$T$107=0,0,IF(('Eval-Avant impact'!$T$812/'Eval-Avant impact'!$T$107)&gt;=0.882,0,1-('Eval-Avant impact'!$T$812*1.133/'Eval-Avant impact'!$T$107))))</f>
        <v/>
      </c>
      <c r="M85" s="239"/>
      <c r="N85" s="236"/>
      <c r="O85" s="237"/>
      <c r="P85" s="237"/>
      <c r="Q85" s="237"/>
      <c r="R85" s="237"/>
      <c r="S85" s="237"/>
      <c r="T85" s="237"/>
      <c r="U85" s="237"/>
      <c r="V85" s="238" t="str">
        <f>IF(L85="","",L85*'Eval-Avant impact'!$T$107)</f>
        <v/>
      </c>
      <c r="W85" s="239"/>
      <c r="X85" s="240" t="str">
        <f>IF(LEN('Eval-Avant impact'!$T$107)=0,"",IF('Eval-Avant impact'!$T$107=0,"Site détruit (0 ha).",(IF(AND(L85&gt;=0,L85&lt;=0.2),CONCATENATE("Très forte densité de lisières (",ROUND(1000*'Eval-Avant impact'!$T$812/'Eval-Avant impact'!$T$107,1)," m/ha).",),""))))</f>
        <v/>
      </c>
      <c r="Y85" s="241" t="str">
        <f>(IF(AND(L85&gt;0.2,L85&lt;=0.4),CONCATENATE("Forte densité de lisières (",ROUND(1000*'Eval-Avant impact'!$T$812/'Eval-Avant impact'!$T$107,1)," m/ha).",),""))</f>
        <v/>
      </c>
      <c r="Z85" s="241" t="str">
        <f>(IF(AND(L85&gt;0.4,L85&lt;=0.6),CONCATENATE("Assez forte densité de lisières (",ROUND(1000*'Eval-Avant impact'!$T$812/'Eval-Avant impact'!$T$107,1)," m/ha).",),""))</f>
        <v/>
      </c>
      <c r="AA85" s="241" t="str">
        <f>(IF(AND(L85&gt;0.6,L85&lt;=0.8),CONCATENATE("Faible densité de lisières (",ROUND(1000*'Eval-Avant impact'!$T$812/'Eval-Avant impact'!$T$107,1)," m/ha).",),""))</f>
        <v/>
      </c>
      <c r="AB85" s="241" t="str">
        <f>CONCATENATE((IF(L85=1,"Absence de lisières dans le site","")),(IF(AND(L85&lt;1,L85&gt;0.8),CONCATENATE("Densité de lisières très faible (",ROUND(1000*'Eval-Avant impact'!$T$812/'Eval-Avant impact'!$T$107,1)," m/ha).",),"")))</f>
        <v/>
      </c>
      <c r="AC85" s="246"/>
      <c r="AD85" s="243" t="str">
        <f>L85</f>
        <v/>
      </c>
      <c r="AE85" s="244" t="str">
        <f>V85</f>
        <v/>
      </c>
      <c r="AF85" s="245"/>
      <c r="AG85" s="1133"/>
      <c r="AH85" s="1136"/>
      <c r="AI85" s="235" t="s">
        <v>155</v>
      </c>
      <c r="AJ85" s="236"/>
      <c r="AK85" s="237"/>
      <c r="AL85" s="237"/>
      <c r="AM85" s="237"/>
      <c r="AN85" s="237"/>
      <c r="AO85" s="237"/>
      <c r="AP85" s="237"/>
      <c r="AQ85" s="237"/>
      <c r="AR85" s="238" t="str">
        <f>IF(LEN('Eval-Avec impact envisagé'!$T$107)=0,"",IF('Eval-Avec impact envisagé'!$T$107=0,0,IF(('Eval-Avec impact envisagé'!$T$812/'Eval-Avec impact envisagé'!$T$107)&gt;=0.882,0,1-('Eval-Avec impact envisagé'!$T$812*1.133/'Eval-Avec impact envisagé'!$T$107))))</f>
        <v/>
      </c>
      <c r="AS85" s="239"/>
      <c r="AT85" s="236"/>
      <c r="AU85" s="237"/>
      <c r="AV85" s="237"/>
      <c r="AW85" s="237"/>
      <c r="AX85" s="237"/>
      <c r="AY85" s="237"/>
      <c r="AZ85" s="237"/>
      <c r="BA85" s="237"/>
      <c r="BB85" s="238" t="str">
        <f>IF(AR85="","",AR85*'Eval-Avec impact envisagé'!$T$107)</f>
        <v/>
      </c>
      <c r="BC85" s="239"/>
      <c r="BD85" s="240" t="str">
        <f>IF(LEN('Eval-Avec impact envisagé'!$T$107)=0,"",IF('Eval-Avec impact envisagé'!$T$107=0,"Site détruit (0 ha).",(IF(AND(AR85&gt;=0,AR85&lt;=0.2),CONCATENATE("Très forte densité de lisières (",ROUND(1000*'Eval-Avec impact envisagé'!$T$812/'Eval-Avec impact envisagé'!$T$107,1)," m/ha).",),""))))</f>
        <v/>
      </c>
      <c r="BE85" s="241" t="str">
        <f>(IF(AND(AR85&gt;0.2,AR85&lt;=0.4),CONCATENATE("Forte densité de lisières (",ROUND(1000*'Eval-Avec impact envisagé'!$T$812/'Eval-Avec impact envisagé'!$T$107,1)," m/ha).",),""))</f>
        <v/>
      </c>
      <c r="BF85" s="241" t="str">
        <f>(IF(AND(AR85&gt;0.4,AR85&lt;=0.6),CONCATENATE("Assez forte densité de lisières (",ROUND(1000*'Eval-Avec impact envisagé'!$T$812/'Eval-Avec impact envisagé'!$T$107,1)," m/ha).",),""))</f>
        <v/>
      </c>
      <c r="BG85" s="241" t="str">
        <f>(IF(AND(AR85&gt;0.6,AR85&lt;=0.8),CONCATENATE("Faible densité de lisières (",ROUND(1000*'Eval-Avec impact envisagé'!$T$812/'Eval-Avec impact envisagé'!$T$107,1)," m/ha).",),""))</f>
        <v/>
      </c>
      <c r="BH85" s="241" t="str">
        <f>CONCATENATE((IF(AR85=1,"Absence de lisières dans le site","")),(IF(AND(AR85&lt;1,AR85&gt;0.8),CONCATENATE("Densité de lisières très faible (",ROUND(1000*'Eval-Avec impact envisagé'!$T$812/'Eval-Avec impact envisagé'!$T$107,1)," m/ha).",),"")))</f>
        <v/>
      </c>
      <c r="BI85" s="246"/>
      <c r="BJ85" s="243" t="str">
        <f>AR85</f>
        <v/>
      </c>
      <c r="BK85" s="244" t="str">
        <f>BB85</f>
        <v/>
      </c>
      <c r="BL85" s="245"/>
      <c r="BM85" s="1133"/>
      <c r="BN85" s="1136"/>
      <c r="BO85" s="235" t="s">
        <v>155</v>
      </c>
      <c r="BP85" s="236"/>
      <c r="BQ85" s="237"/>
      <c r="BR85" s="237"/>
      <c r="BS85" s="237"/>
      <c r="BT85" s="237"/>
      <c r="BU85" s="237"/>
      <c r="BV85" s="237"/>
      <c r="BW85" s="237"/>
      <c r="BX85" s="238" t="str">
        <f>IF(LEN('Eval-Après impact'!$T$107)=0,"",IF('Eval-Après impact'!$T$107=0,0,IF(('Eval-Après impact'!$T$812/'Eval-Après impact'!$T$107)&gt;=0.882,0,1-('Eval-Après impact'!$T$812*1.133/'Eval-Après impact'!$T$107))))</f>
        <v/>
      </c>
      <c r="BY85" s="239"/>
      <c r="BZ85" s="236"/>
      <c r="CA85" s="237"/>
      <c r="CB85" s="237"/>
      <c r="CC85" s="237"/>
      <c r="CD85" s="237"/>
      <c r="CE85" s="237"/>
      <c r="CF85" s="237"/>
      <c r="CG85" s="237"/>
      <c r="CH85" s="238" t="str">
        <f>IF(BX85="","",BX85*'Eval-Après impact'!$T$107)</f>
        <v/>
      </c>
      <c r="CI85" s="239"/>
      <c r="CJ85" s="240" t="str">
        <f>IF(LEN('Eval-Après impact'!$T$107)=0,"",IF('Eval-Après impact'!$T$107=0,"Site détruit (0 ha).",(IF(AND(BX85&gt;=0,BX85&lt;=0.2),CONCATENATE("Très forte densité de lisières (",ROUND(1000*'Eval-Après impact'!$T$812/'Eval-Après impact'!$T$107,1)," m/ha).",),""))))</f>
        <v/>
      </c>
      <c r="CK85" s="241" t="str">
        <f>(IF(AND(BX85&gt;0.2,BX85&lt;=0.4),CONCATENATE("Forte densité de lisières (",ROUND(1000*'Eval-Après impact'!$T$812/'Eval-Après impact'!$T$107,1)," m/ha).",),""))</f>
        <v/>
      </c>
      <c r="CL85" s="241" t="str">
        <f>(IF(AND(BX85&gt;0.4,BX85&lt;=0.6),CONCATENATE("Assez forte densité de lisières (",ROUND(1000*'Eval-Après impact'!$T$812/'Eval-Après impact'!$T$107,1)," m/ha).",),""))</f>
        <v/>
      </c>
      <c r="CM85" s="241" t="str">
        <f>(IF(AND(BX85&gt;0.6,BX85&lt;=0.8),CONCATENATE("Faible densité de lisières (",ROUND(1000*'Eval-Après impact'!$T$812/'Eval-Après impact'!$T$107,1)," m/ha).",),""))</f>
        <v/>
      </c>
      <c r="CN85" s="241" t="str">
        <f>CONCATENATE((IF(BX85=1,"Absence de lisières dans le site","")),(IF(AND(BX85&lt;1,BX85&gt;0.8),CONCATENATE("Densité de lisières très faible (",ROUND(1000*'Eval-Après impact'!$T$812/'Eval-Après impact'!$T$107,1)," m/ha).",),"")))</f>
        <v/>
      </c>
      <c r="CO85" s="246"/>
      <c r="CP85" s="243" t="str">
        <f>BX85</f>
        <v/>
      </c>
      <c r="CQ85" s="244" t="str">
        <f>CH85</f>
        <v/>
      </c>
      <c r="CR85" s="245"/>
      <c r="CS85" s="1133"/>
      <c r="CT85" s="1136"/>
      <c r="CU85" s="235" t="s">
        <v>155</v>
      </c>
      <c r="CV85" s="236"/>
      <c r="CW85" s="237"/>
      <c r="CX85" s="237"/>
      <c r="CY85" s="237"/>
      <c r="CZ85" s="237"/>
      <c r="DA85" s="237"/>
      <c r="DB85" s="237"/>
      <c r="DC85" s="237"/>
      <c r="DD85" s="238" t="str">
        <f>IF(LEN('Eval-Avant action écologique'!$T$107)=0,"",IF('Eval-Avant action écologique'!$T$107=0,0,IF(('Eval-Avant action écologique'!$T$812/'Eval-Avant action écologique'!$T$107)&gt;=0.882,0,1-('Eval-Avant action écologique'!$T$812*1.133/'Eval-Avant action écologique'!$T$107))))</f>
        <v/>
      </c>
      <c r="DE85" s="239"/>
      <c r="DF85" s="236"/>
      <c r="DG85" s="237"/>
      <c r="DH85" s="237"/>
      <c r="DI85" s="237"/>
      <c r="DJ85" s="237"/>
      <c r="DK85" s="237"/>
      <c r="DL85" s="237"/>
      <c r="DM85" s="237"/>
      <c r="DN85" s="238" t="str">
        <f>IF(DD85="","",DD85*'Eval-Avant action écologique'!$T$107)</f>
        <v/>
      </c>
      <c r="DO85" s="239"/>
      <c r="DP85" s="240" t="str">
        <f>IF(LEN('Eval-Avant action écologique'!$T$107)=0,"",IF('Eval-Avant action écologique'!$T$107=0,"Site détruit (0 ha).",(IF(AND(DD85&gt;=0,DD85&lt;=0.2),CONCATENATE("Très forte densité de lisières (",ROUND(1000*'Eval-Avant action écologique'!$T$812/'Eval-Avant action écologique'!$T$107,1)," m/ha).",),""))))</f>
        <v/>
      </c>
      <c r="DQ85" s="241" t="str">
        <f>(IF(AND(DD85&gt;0.2,DD85&lt;=0.4),CONCATENATE("Forte densité de lisières (",ROUND(1000*'Eval-Avant action écologique'!$T$812/'Eval-Avant action écologique'!$T$107,1)," m/ha).",),""))</f>
        <v/>
      </c>
      <c r="DR85" s="241" t="str">
        <f>(IF(AND(DD85&gt;0.4,DD85&lt;=0.6),CONCATENATE("Assez forte densité de lisières (",ROUND(1000*'Eval-Avant action écologique'!$T$812/'Eval-Avant action écologique'!$T$107,1)," m/ha).",),""))</f>
        <v/>
      </c>
      <c r="DS85" s="241" t="str">
        <f>(IF(AND(DD85&gt;0.6,DD85&lt;=0.8),CONCATENATE("Faible densité de lisières (",ROUND(1000*'Eval-Avant action écologique'!$T$812/'Eval-Avant action écologique'!$T$107,1)," m/ha).",),""))</f>
        <v/>
      </c>
      <c r="DT85" s="241" t="str">
        <f>CONCATENATE((IF(DD85=1,"Absence de lisières dans le site","")),(IF(AND(DD85&lt;1,DD85&gt;0.8),CONCATENATE("Densité de lisières très faible (",ROUND(1000*'Eval-Avant action écologique'!$T$812/'Eval-Avant action écologique'!$T$107,1)," m/ha).",),"")))</f>
        <v/>
      </c>
      <c r="DU85" s="246"/>
      <c r="DV85" s="243" t="str">
        <f>DD85</f>
        <v/>
      </c>
      <c r="DW85" s="244" t="str">
        <f>DN85</f>
        <v/>
      </c>
      <c r="DX85" s="245"/>
      <c r="DY85" s="1133"/>
      <c r="DZ85" s="1136"/>
      <c r="EA85" s="235" t="s">
        <v>155</v>
      </c>
      <c r="EB85" s="236"/>
      <c r="EC85" s="237"/>
      <c r="ED85" s="237"/>
      <c r="EE85" s="237"/>
      <c r="EF85" s="237"/>
      <c r="EG85" s="237"/>
      <c r="EH85" s="237"/>
      <c r="EI85" s="237"/>
      <c r="EJ85" s="238" t="str">
        <f>IF(LEN('Eval-Avec act. écol. envisagée'!$T$107)=0,"",IF('Eval-Avec act. écol. envisagée'!$T$107=0,0,IF(('Eval-Avec act. écol. envisagée'!$T$812/'Eval-Avec act. écol. envisagée'!$T$107)&gt;=0.882,0,1-('Eval-Avec act. écol. envisagée'!$T$812*1.133/'Eval-Avec act. écol. envisagée'!$T$107))))</f>
        <v/>
      </c>
      <c r="EK85" s="239"/>
      <c r="EL85" s="236"/>
      <c r="EM85" s="237"/>
      <c r="EN85" s="237"/>
      <c r="EO85" s="237"/>
      <c r="EP85" s="237"/>
      <c r="EQ85" s="237"/>
      <c r="ER85" s="237"/>
      <c r="ES85" s="237"/>
      <c r="ET85" s="238" t="str">
        <f>IF(EJ85="","",EJ85*'Eval-Avec act. écol. envisagée'!$T$107)</f>
        <v/>
      </c>
      <c r="EU85" s="239"/>
      <c r="EV85" s="240" t="str">
        <f>IF(LEN('Eval-Avec act. écol. envisagée'!$T$107)=0,"",IF('Eval-Avec act. écol. envisagée'!$T$107=0,"Site détruit (0 ha).",(IF(AND(EJ85&gt;=0,EJ85&lt;=0.2),CONCATENATE("Très forte densité de lisières (",ROUND(1000*'Eval-Avec act. écol. envisagée'!$T$812/'Eval-Avec act. écol. envisagée'!$T$107,1)," m/ha).",),""))))</f>
        <v/>
      </c>
      <c r="EW85" s="241" t="str">
        <f>(IF(AND(EJ85&gt;0.2,EJ85&lt;=0.4),CONCATENATE("Forte densité de lisières (",ROUND(1000*'Eval-Avec act. écol. envisagée'!$T$812/'Eval-Avec act. écol. envisagée'!$T$107,1)," m/ha).",),""))</f>
        <v/>
      </c>
      <c r="EX85" s="241" t="str">
        <f>(IF(AND(EJ85&gt;0.4,EJ85&lt;=0.6),CONCATENATE("Assez forte densité de lisières (",ROUND(1000*'Eval-Avec act. écol. envisagée'!$T$812/'Eval-Avec act. écol. envisagée'!$T$107,1)," m/ha).",),""))</f>
        <v/>
      </c>
      <c r="EY85" s="241" t="str">
        <f>(IF(AND(EJ85&gt;0.6,EJ85&lt;=0.8),CONCATENATE("Faible densité de lisières (",ROUND(1000*'Eval-Avec act. écol. envisagée'!$T$812/'Eval-Avec act. écol. envisagée'!$T$107,1)," m/ha).",),""))</f>
        <v/>
      </c>
      <c r="EZ85" s="241" t="str">
        <f>CONCATENATE((IF(EJ85=1,"Absence de lisières dans le site","")),(IF(AND(EJ85&lt;1,EJ85&gt;0.8),CONCATENATE("Densité de lisières très faible (",ROUND(1000*'Eval-Avec act. écol. envisagée'!$T$812/'Eval-Avec act. écol. envisagée'!$T$107,1)," m/ha).",),"")))</f>
        <v/>
      </c>
      <c r="FA85" s="246"/>
      <c r="FB85" s="243" t="str">
        <f>EJ85</f>
        <v/>
      </c>
      <c r="FC85" s="244" t="str">
        <f>ET85</f>
        <v/>
      </c>
      <c r="FD85" s="245"/>
      <c r="FE85" s="1133"/>
      <c r="FF85" s="1136"/>
      <c r="FG85" s="235" t="s">
        <v>155</v>
      </c>
      <c r="FH85" s="236"/>
      <c r="FI85" s="237"/>
      <c r="FJ85" s="237"/>
      <c r="FK85" s="237"/>
      <c r="FL85" s="237"/>
      <c r="FM85" s="237"/>
      <c r="FN85" s="237"/>
      <c r="FO85" s="237"/>
      <c r="FP85" s="238" t="str">
        <f>IF(LEN('Eval-Après action écologique'!$T$107)=0,"",IF('Eval-Après action écologique'!$T$107=0,0,IF(('Eval-Après action écologique'!$T$812/'Eval-Après action écologique'!$T$107)&gt;=0.882,0,1-('Eval-Après action écologique'!$T$812*1.133/'Eval-Après action écologique'!$T$107))))</f>
        <v/>
      </c>
      <c r="FQ85" s="239"/>
      <c r="FR85" s="236"/>
      <c r="FS85" s="237"/>
      <c r="FT85" s="237"/>
      <c r="FU85" s="237"/>
      <c r="FV85" s="237"/>
      <c r="FW85" s="237"/>
      <c r="FX85" s="237"/>
      <c r="FY85" s="237"/>
      <c r="FZ85" s="238" t="str">
        <f>IF(FP85="","",FP85*'Eval-Après action écologique'!$T$107)</f>
        <v/>
      </c>
      <c r="GA85" s="239"/>
      <c r="GB85" s="240" t="str">
        <f>IF(LEN('Eval-Après action écologique'!$T$107)=0,"",IF('Eval-Après action écologique'!$T$107=0,"Site détruit (0 ha).",(IF(AND(FP85&gt;=0,FP85&lt;=0.2),CONCATENATE("Très forte densité de lisières (",ROUND(1000*'Eval-Après action écologique'!$T$812/'Eval-Après action écologique'!$T$107,1)," m/ha).",),""))))</f>
        <v/>
      </c>
      <c r="GC85" s="241" t="str">
        <f>(IF(AND(FP85&gt;0.2,FP85&lt;=0.4),CONCATENATE("Forte densité de lisières (",ROUND(1000*'Eval-Après action écologique'!$T$812/'Eval-Après action écologique'!$T$107,1)," m/ha).",),""))</f>
        <v/>
      </c>
      <c r="GD85" s="241" t="str">
        <f>(IF(AND(FP85&gt;0.4,FP85&lt;=0.6),CONCATENATE("Assez forte densité de lisières (",ROUND(1000*'Eval-Après action écologique'!$T$812/'Eval-Après action écologique'!$T$107,1)," m/ha).",),""))</f>
        <v/>
      </c>
      <c r="GE85" s="241" t="str">
        <f>(IF(AND(FP85&gt;0.6,FP85&lt;=0.8),CONCATENATE("Faible densité de lisières (",ROUND(1000*'Eval-Après action écologique'!$T$812/'Eval-Après action écologique'!$T$107,1)," m/ha).",),""))</f>
        <v/>
      </c>
      <c r="GF85" s="241" t="str">
        <f>CONCATENATE((IF(FP85=1,"Absence de lisières dans le site","")),(IF(AND(FP85&lt;1,FP85&gt;0.8),CONCATENATE("Densité de lisières très faible (",ROUND(1000*'Eval-Après action écologique'!$T$812/'Eval-Après action écologique'!$T$107,1)," m/ha).",),"")))</f>
        <v/>
      </c>
      <c r="GG85" s="246"/>
      <c r="GH85" s="243" t="str">
        <f>FP85</f>
        <v/>
      </c>
      <c r="GI85" s="244" t="str">
        <f>FZ85</f>
        <v/>
      </c>
    </row>
    <row r="86" spans="1:191" ht="31.5" customHeight="1" x14ac:dyDescent="0.2">
      <c r="A86" s="1133"/>
      <c r="B86" s="1137"/>
      <c r="C86" s="235" t="s">
        <v>427</v>
      </c>
      <c r="D86" s="236"/>
      <c r="E86" s="237"/>
      <c r="F86" s="237"/>
      <c r="G86" s="237"/>
      <c r="H86" s="237"/>
      <c r="I86" s="237"/>
      <c r="J86" s="237"/>
      <c r="K86" s="237"/>
      <c r="L86" s="238" t="str">
        <f>IF(LEN('Eval-Avant impact'!$T$107)=0,"",IF('Eval-Avant impact'!$T$107=0,0,0.9-('Eval-Avant impact'!$T$637*0.01*0.675+'Eval-Avant impact'!$T$639*0.01*0.45+'Eval-Avant impact'!$T$640*0.01*0.225+'Eval-Avant impact'!$T$648*0.01*0.675+'Eval-Avant impact'!$T$652*0.01*0.45+'Eval-Avant impact'!$T$651*0.01*0.45+'Eval-Avant impact'!$T$649*0.01*0.45+'Eval-Avant impact'!$T$654*0.01*0.225+SUMIF('Eval-Avant impact'!$C$465:$E$479,"*J3.1*",'Eval-Avant impact'!$T$465:$W$479)*0.01*0.9+SUMIF('Eval-Avant impact'!$C$465:$E$479,"*J3.2*",'Eval-Avant impact'!$T$465:$W$479)*0.01*0.9+SUMIF('Eval-Avant impact'!$C$465:$E$479,"*J6.1*",'Eval-Avant impact'!$T$465:$W$479)*0.01*0.9+SUMIF('Eval-Avant impact'!$C$465:$E$479,"*J6.2*",'Eval-Avant impact'!$T$465:$W$479)*0.01*0.9+SUMIF('Eval-Avant impact'!$C$465:$E$479,"*J6.3*",'Eval-Avant impact'!$T$465:$W$479)*0.01*0.9+SUMIF('Eval-Avant impact'!$C$465:$E$479,"*J6.4*",'Eval-Avant impact'!$T$465:$W$479)*0.01*0.9+SUMIF('Eval-Avant impact'!$C$465:$E$479,"*J6.5*",'Eval-Avant impact'!$T$465:$W$479)*0.01*0.9+SUMIF('Eval-Avant impact'!$C$465:$E$479,"*E2.6*",'Eval-Avant impact'!$T$465:$W$479)*0.01*0.675+SUMIF('Eval-Avant impact'!$C$465:$E$479,"*H5.5*",'Eval-Avant impact'!$T$465:$W$479)*0.01*0.675+SUMIF('Eval-Avant impact'!$C$465:$E$479,"*H5.6*",'Eval-Avant impact'!$T$465:$W$479)*0.01*0.675+SUMIF('Eval-Avant impact'!$C$465:$E$479,"*I1.1*",'Eval-Avant impact'!$T$465:$W$479)*0.01*0.675+SUMIF('Eval-Avant impact'!$C$465:$E$479,"*I1.2*",'Eval-Avant impact'!$T$465:$W$479)*0.01*0.675+SUMIF('Eval-Avant impact'!$C$465:$E$479,"*I1.4*",'Eval-Avant impact'!$T$465:$W$479)*0.01*0.675+SUMIF('Eval-Avant impact'!$C$465:$E$479,"*I2.1*",'Eval-Avant impact'!$T$465:$W$479)*0.01*0.675+SUMIF('Eval-Avant impact'!$C$465:$E$479,"*I2.2*",'Eval-Avant impact'!$T$465:$W$479)*0.01*0.675)))</f>
        <v/>
      </c>
      <c r="M86" s="239"/>
      <c r="N86" s="236"/>
      <c r="O86" s="237"/>
      <c r="P86" s="237"/>
      <c r="Q86" s="237"/>
      <c r="R86" s="237"/>
      <c r="S86" s="237"/>
      <c r="T86" s="237"/>
      <c r="U86" s="237"/>
      <c r="V86" s="238" t="str">
        <f>IF(L86="","",L86*'Eval-Avant impact'!$T$107)</f>
        <v/>
      </c>
      <c r="W86" s="239"/>
      <c r="X86" s="240" t="str">
        <f>IF(LEN('Eval-Avant impact'!$T$107)=0,"",IF('Eval-Avant impact'!$T$107=0,"Site détruit (0 ha).",IF(AND(L86&gt;=0,L86&lt;=0.2),"Très fortes perturbations anthropiques.","")))</f>
        <v/>
      </c>
      <c r="Y86" s="241" t="str">
        <f>IF(AND(L86&gt;0.2,L86&lt;=0.4),"Fortes perturbations anthropiques.","")</f>
        <v/>
      </c>
      <c r="Z86" s="241" t="str">
        <f>IF(AND(L86&gt;0.4,L86&lt;=0.6),"Assez fortes perturbations anthropiques.","")</f>
        <v/>
      </c>
      <c r="AA86" s="241" t="str">
        <f>IF(AND(L86&gt;0.6,L86&lt;=0.8),"Perturbations anthropiques assez réduites.","")</f>
        <v/>
      </c>
      <c r="AB86" s="241" t="str">
        <f>IF(AND(L86&gt;0.8,L86&lt;=1),"Perturbations anthropiques modérées à quasi-absentes.","")</f>
        <v/>
      </c>
      <c r="AC86" s="246"/>
      <c r="AD86" s="243" t="str">
        <f>L86</f>
        <v/>
      </c>
      <c r="AE86" s="244" t="str">
        <f>V86</f>
        <v/>
      </c>
      <c r="AF86" s="245"/>
      <c r="AG86" s="1133"/>
      <c r="AH86" s="1137"/>
      <c r="AI86" s="235" t="s">
        <v>427</v>
      </c>
      <c r="AJ86" s="236"/>
      <c r="AK86" s="237"/>
      <c r="AL86" s="237"/>
      <c r="AM86" s="237"/>
      <c r="AN86" s="237"/>
      <c r="AO86" s="237"/>
      <c r="AP86" s="237"/>
      <c r="AQ86" s="237"/>
      <c r="AR86" s="238" t="str">
        <f>IF(LEN('Eval-Avec impact envisagé'!$T$107)=0,"",IF('Eval-Avec impact envisagé'!$T$107=0,0,0.9-('Eval-Avec impact envisagé'!$T$637*0.01*0.675+'Eval-Avec impact envisagé'!$T$639*0.01*0.45+'Eval-Avec impact envisagé'!$T$640*0.01*0.225+'Eval-Avec impact envisagé'!$T$648*0.01*0.675+'Eval-Avec impact envisagé'!$T$652*0.01*0.45+'Eval-Avec impact envisagé'!$T$651*0.01*0.45+'Eval-Avec impact envisagé'!$T$649*0.01*0.45+'Eval-Avec impact envisagé'!$T$654*0.01*0.225+SUMIF('Eval-Avec impact envisagé'!$C$465:$E$479,"*J3.1*",'Eval-Avec impact envisagé'!$T$465:$W$479)*0.01*0.9+SUMIF('Eval-Avec impact envisagé'!$C$465:$E$479,"*J3.2*",'Eval-Avec impact envisagé'!$T$465:$W$479)*0.01*0.9+SUMIF('Eval-Avec impact envisagé'!$C$465:$E$479,"*J6.1*",'Eval-Avec impact envisagé'!$T$465:$W$479)*0.01*0.9+SUMIF('Eval-Avec impact envisagé'!$C$465:$E$479,"*J6.2*",'Eval-Avec impact envisagé'!$T$465:$W$479)*0.01*0.9+SUMIF('Eval-Avec impact envisagé'!$C$465:$E$479,"*J6.3*",'Eval-Avec impact envisagé'!$T$465:$W$479)*0.01*0.9+SUMIF('Eval-Avec impact envisagé'!$C$465:$E$479,"*J6.4*",'Eval-Avec impact envisagé'!$T$465:$W$479)*0.01*0.9+SUMIF('Eval-Avec impact envisagé'!$C$465:$E$479,"*J6.5*",'Eval-Avec impact envisagé'!$T$465:$W$479)*0.01*0.9+SUMIF('Eval-Avec impact envisagé'!$C$465:$E$479,"*E2.6*",'Eval-Avec impact envisagé'!$T$465:$W$479)*0.01*0.675+SUMIF('Eval-Avec impact envisagé'!$C$465:$E$479,"*H5.5*",'Eval-Avec impact envisagé'!$T$465:$W$479)*0.01*0.675+SUMIF('Eval-Avec impact envisagé'!$C$465:$E$479,"*H5.6*",'Eval-Avec impact envisagé'!$T$465:$W$479)*0.01*0.675+SUMIF('Eval-Avec impact envisagé'!$C$465:$E$479,"*I1.1*",'Eval-Avec impact envisagé'!$T$465:$W$479)*0.01*0.675+SUMIF('Eval-Avec impact envisagé'!$C$465:$E$479,"*I1.2*",'Eval-Avec impact envisagé'!$T$465:$W$479)*0.01*0.675+SUMIF('Eval-Avec impact envisagé'!$C$465:$E$479,"*I1.4*",'Eval-Avec impact envisagé'!$T$465:$W$479)*0.01*0.675+SUMIF('Eval-Avec impact envisagé'!$C$465:$E$479,"*I2.1*",'Eval-Avec impact envisagé'!$T$465:$W$479)*0.01*0.675+SUMIF('Eval-Avec impact envisagé'!$C$465:$E$479,"*I2.2*",'Eval-Avec impact envisagé'!$T$465:$W$479)*0.01*0.675)))</f>
        <v/>
      </c>
      <c r="AS86" s="239"/>
      <c r="AT86" s="236"/>
      <c r="AU86" s="237"/>
      <c r="AV86" s="237"/>
      <c r="AW86" s="237"/>
      <c r="AX86" s="237"/>
      <c r="AY86" s="237"/>
      <c r="AZ86" s="237"/>
      <c r="BA86" s="237"/>
      <c r="BB86" s="238" t="str">
        <f>IF(AR86="","",AR86*'Eval-Avec impact envisagé'!$T$107)</f>
        <v/>
      </c>
      <c r="BC86" s="239"/>
      <c r="BD86" s="240" t="str">
        <f>IF(LEN('Eval-Avec impact envisagé'!$T$107)=0,"",IF('Eval-Avec impact envisagé'!$T$107=0,"Site détruit (0 ha).",IF(AND(AR86&gt;=0,AR86&lt;=0.2),"Très fortes perturbations anthropiques.","")))</f>
        <v/>
      </c>
      <c r="BE86" s="241" t="str">
        <f>IF(AND(AR86&gt;0.2,AR86&lt;=0.4),"Fortes perturbations anthropiques.","")</f>
        <v/>
      </c>
      <c r="BF86" s="241" t="str">
        <f>IF(AND(AR86&gt;0.4,AR86&lt;=0.6),"Assez fortes perturbations anthropiques.","")</f>
        <v/>
      </c>
      <c r="BG86" s="241" t="str">
        <f>IF(AND(AR86&gt;0.6,AR86&lt;=0.8),"Perturbations anthropiques assez réduites.","")</f>
        <v/>
      </c>
      <c r="BH86" s="241" t="str">
        <f>IF(AND(AR86&gt;0.8,AR86&lt;=1),"Perturbations anthropiques modérées à quasi-absentes.","")</f>
        <v/>
      </c>
      <c r="BI86" s="246"/>
      <c r="BJ86" s="243" t="str">
        <f>AR86</f>
        <v/>
      </c>
      <c r="BK86" s="244" t="str">
        <f>BB86</f>
        <v/>
      </c>
      <c r="BL86" s="245"/>
      <c r="BM86" s="1133"/>
      <c r="BN86" s="1137"/>
      <c r="BO86" s="235" t="s">
        <v>427</v>
      </c>
      <c r="BP86" s="236"/>
      <c r="BQ86" s="237"/>
      <c r="BR86" s="237"/>
      <c r="BS86" s="237"/>
      <c r="BT86" s="237"/>
      <c r="BU86" s="237"/>
      <c r="BV86" s="237"/>
      <c r="BW86" s="237"/>
      <c r="BX86" s="238" t="str">
        <f>IF(LEN('Eval-Après impact'!$T$107)=0,"",IF('Eval-Après impact'!$T$107=0,0,0.9-('Eval-Après impact'!$T$637*0.01*0.675+'Eval-Après impact'!$T$639*0.01*0.45+'Eval-Après impact'!$T$640*0.01*0.225+'Eval-Après impact'!$T$648*0.01*0.675+'Eval-Après impact'!$T$652*0.01*0.45+'Eval-Après impact'!$T$651*0.01*0.45+'Eval-Après impact'!$T$649*0.01*0.45+'Eval-Après impact'!$T$654*0.01*0.225+SUMIF('Eval-Après impact'!$C$465:$E$479,"*J3.1*",'Eval-Après impact'!$T$465:$W$479)*0.01*0.9+SUMIF('Eval-Après impact'!$C$465:$E$479,"*J3.2*",'Eval-Après impact'!$T$465:$W$479)*0.01*0.9+SUMIF('Eval-Après impact'!$C$465:$E$479,"*J6.1*",'Eval-Après impact'!$T$465:$W$479)*0.01*0.9+SUMIF('Eval-Après impact'!$C$465:$E$479,"*J6.2*",'Eval-Après impact'!$T$465:$W$479)*0.01*0.9+SUMIF('Eval-Après impact'!$C$465:$E$479,"*J6.3*",'Eval-Après impact'!$T$465:$W$479)*0.01*0.9+SUMIF('Eval-Après impact'!$C$465:$E$479,"*J6.4*",'Eval-Après impact'!$T$465:$W$479)*0.01*0.9+SUMIF('Eval-Après impact'!$C$465:$E$479,"*J6.5*",'Eval-Après impact'!$T$465:$W$479)*0.01*0.9+SUMIF('Eval-Après impact'!$C$465:$E$479,"*E2.6*",'Eval-Après impact'!$T$465:$W$479)*0.01*0.675+SUMIF('Eval-Après impact'!$C$465:$E$479,"*H5.5*",'Eval-Après impact'!$T$465:$W$479)*0.01*0.675+SUMIF('Eval-Après impact'!$C$465:$E$479,"*H5.6*",'Eval-Après impact'!$T$465:$W$479)*0.01*0.675+SUMIF('Eval-Après impact'!$C$465:$E$479,"*I1.1*",'Eval-Après impact'!$T$465:$W$479)*0.01*0.675+SUMIF('Eval-Après impact'!$C$465:$E$479,"*I1.2*",'Eval-Après impact'!$T$465:$W$479)*0.01*0.675+SUMIF('Eval-Après impact'!$C$465:$E$479,"*I1.4*",'Eval-Après impact'!$T$465:$W$479)*0.01*0.675+SUMIF('Eval-Après impact'!$C$465:$E$479,"*I2.1*",'Eval-Après impact'!$T$465:$W$479)*0.01*0.675+SUMIF('Eval-Après impact'!$C$465:$E$479,"*I2.2*",'Eval-Après impact'!$T$465:$W$479)*0.01*0.675)))</f>
        <v/>
      </c>
      <c r="BY86" s="239"/>
      <c r="BZ86" s="236"/>
      <c r="CA86" s="237"/>
      <c r="CB86" s="237"/>
      <c r="CC86" s="237"/>
      <c r="CD86" s="237"/>
      <c r="CE86" s="237"/>
      <c r="CF86" s="237"/>
      <c r="CG86" s="237"/>
      <c r="CH86" s="238" t="str">
        <f>IF(BX86="","",BX86*'Eval-Après impact'!$T$107)</f>
        <v/>
      </c>
      <c r="CI86" s="239"/>
      <c r="CJ86" s="240" t="str">
        <f>IF(LEN('Eval-Après impact'!$T$107)=0,"",IF('Eval-Après impact'!$T$107=0,"Site détruit (0 ha).",IF(AND(BX86&gt;=0,BX86&lt;=0.2),"Très fortes perturbations anthropiques.","")))</f>
        <v/>
      </c>
      <c r="CK86" s="241" t="str">
        <f>IF(AND(BX86&gt;0.2,BX86&lt;=0.4),"Fortes perturbations anthropiques.","")</f>
        <v/>
      </c>
      <c r="CL86" s="241" t="str">
        <f>IF(AND(BX86&gt;0.4,BX86&lt;=0.6),"Assez fortes perturbations anthropiques.","")</f>
        <v/>
      </c>
      <c r="CM86" s="241" t="str">
        <f>IF(AND(BX86&gt;0.6,BX86&lt;=0.8),"Perturbations anthropiques assez réduites.","")</f>
        <v/>
      </c>
      <c r="CN86" s="241" t="str">
        <f>IF(AND(BX86&gt;0.8,BX86&lt;=1),"Perturbations anthropiques modérées à quasi-absentes.","")</f>
        <v/>
      </c>
      <c r="CO86" s="246"/>
      <c r="CP86" s="243" t="str">
        <f>BX86</f>
        <v/>
      </c>
      <c r="CQ86" s="244" t="str">
        <f>CH86</f>
        <v/>
      </c>
      <c r="CR86" s="245"/>
      <c r="CS86" s="1133"/>
      <c r="CT86" s="1137"/>
      <c r="CU86" s="235" t="s">
        <v>427</v>
      </c>
      <c r="CV86" s="236"/>
      <c r="CW86" s="237"/>
      <c r="CX86" s="237"/>
      <c r="CY86" s="237"/>
      <c r="CZ86" s="237"/>
      <c r="DA86" s="237"/>
      <c r="DB86" s="237"/>
      <c r="DC86" s="237"/>
      <c r="DD86" s="238" t="str">
        <f>IF(LEN('Eval-Avant action écologique'!$T$107)=0,"",IF('Eval-Avant action écologique'!$T$107=0,0,0.9-('Eval-Avant action écologique'!$T$637*0.01*0.675+'Eval-Avant action écologique'!$T$639*0.01*0.45+'Eval-Avant action écologique'!$T$640*0.01*0.225+'Eval-Avant action écologique'!$T$648*0.01*0.675+'Eval-Avant action écologique'!$T$652*0.01*0.45+'Eval-Avant action écologique'!$T$651*0.01*0.45+'Eval-Avant action écologique'!$T$649*0.01*0.45+'Eval-Avant action écologique'!$T$654*0.01*0.225+SUMIF('Eval-Avant action écologique'!$C$465:$E$479,"*J3.1*",'Eval-Avant action écologique'!$T$465:$W$479)*0.01*0.9+SUMIF('Eval-Avant action écologique'!$C$465:$E$479,"*J3.2*",'Eval-Avant action écologique'!$T$465:$W$479)*0.01*0.9+SUMIF('Eval-Avant action écologique'!$C$465:$E$479,"*J6.1*",'Eval-Avant action écologique'!$T$465:$W$479)*0.01*0.9+SUMIF('Eval-Avant action écologique'!$C$465:$E$479,"*J6.2*",'Eval-Avant action écologique'!$T$465:$W$479)*0.01*0.9+SUMIF('Eval-Avant action écologique'!$C$465:$E$479,"*J6.3*",'Eval-Avant action écologique'!$T$465:$W$479)*0.01*0.9+SUMIF('Eval-Avant action écologique'!$C$465:$E$479,"*J6.4*",'Eval-Avant action écologique'!$T$465:$W$479)*0.01*0.9+SUMIF('Eval-Avant action écologique'!$C$465:$E$479,"*J6.5*",'Eval-Avant action écologique'!$T$465:$W$479)*0.01*0.9+SUMIF('Eval-Avant action écologique'!$C$465:$E$479,"*E2.6*",'Eval-Avant action écologique'!$T$465:$W$479)*0.01*0.675+SUMIF('Eval-Avant action écologique'!$C$465:$E$479,"*H5.5*",'Eval-Avant action écologique'!$T$465:$W$479)*0.01*0.675+SUMIF('Eval-Avant action écologique'!$C$465:$E$479,"*H5.6*",'Eval-Avant action écologique'!$T$465:$W$479)*0.01*0.675+SUMIF('Eval-Avant action écologique'!$C$465:$E$479,"*I1.1*",'Eval-Avant action écologique'!$T$465:$W$479)*0.01*0.675+SUMIF('Eval-Avant action écologique'!$C$465:$E$479,"*I1.2*",'Eval-Avant action écologique'!$T$465:$W$479)*0.01*0.675+SUMIF('Eval-Avant action écologique'!$C$465:$E$479,"*I1.4*",'Eval-Avant action écologique'!$T$465:$W$479)*0.01*0.675+SUMIF('Eval-Avant action écologique'!$C$465:$E$479,"*I2.1*",'Eval-Avant action écologique'!$T$465:$W$479)*0.01*0.675+SUMIF('Eval-Avant action écologique'!$C$465:$E$479,"*I2.2*",'Eval-Avant action écologique'!$T$465:$W$479)*0.01*0.675)))</f>
        <v/>
      </c>
      <c r="DE86" s="239"/>
      <c r="DF86" s="236"/>
      <c r="DG86" s="237"/>
      <c r="DH86" s="237"/>
      <c r="DI86" s="237"/>
      <c r="DJ86" s="237"/>
      <c r="DK86" s="237"/>
      <c r="DL86" s="237"/>
      <c r="DM86" s="237"/>
      <c r="DN86" s="238" t="str">
        <f>IF(DD86="","",DD86*'Eval-Avant action écologique'!$T$107)</f>
        <v/>
      </c>
      <c r="DO86" s="239"/>
      <c r="DP86" s="240" t="str">
        <f>IF(LEN('Eval-Avant action écologique'!$T$107)=0,"",IF('Eval-Avant action écologique'!$T$107=0,"Site détruit (0 ha).",IF(AND(DD86&gt;=0,DD86&lt;=0.2),"Très fortes perturbations anthropiques.","")))</f>
        <v/>
      </c>
      <c r="DQ86" s="241" t="str">
        <f>IF(AND(DD86&gt;0.2,DD86&lt;=0.4),"Fortes perturbations anthropiques.","")</f>
        <v/>
      </c>
      <c r="DR86" s="241" t="str">
        <f>IF(AND(DD86&gt;0.4,DD86&lt;=0.6),"Assez fortes perturbations anthropiques.","")</f>
        <v/>
      </c>
      <c r="DS86" s="241" t="str">
        <f>IF(AND(DD86&gt;0.6,DD86&lt;=0.8),"Perturbations anthropiques assez réduites.","")</f>
        <v/>
      </c>
      <c r="DT86" s="241" t="str">
        <f>IF(AND(DD86&gt;0.8,DD86&lt;=1),"Perturbations anthropiques modérées à quasi-absentes.","")</f>
        <v/>
      </c>
      <c r="DU86" s="246"/>
      <c r="DV86" s="243" t="str">
        <f>DD86</f>
        <v/>
      </c>
      <c r="DW86" s="244" t="str">
        <f>DN86</f>
        <v/>
      </c>
      <c r="DX86" s="245"/>
      <c r="DY86" s="1133"/>
      <c r="DZ86" s="1137"/>
      <c r="EA86" s="235" t="s">
        <v>427</v>
      </c>
      <c r="EB86" s="236"/>
      <c r="EC86" s="237"/>
      <c r="ED86" s="237"/>
      <c r="EE86" s="237"/>
      <c r="EF86" s="237"/>
      <c r="EG86" s="237"/>
      <c r="EH86" s="237"/>
      <c r="EI86" s="237"/>
      <c r="EJ86" s="238" t="str">
        <f>IF(LEN('Eval-Avec act. écol. envisagée'!$T$107)=0,"",IF('Eval-Avec act. écol. envisagée'!$T$107=0,0,0.9-('Eval-Avec act. écol. envisagée'!$T$637*0.01*0.675+'Eval-Avec act. écol. envisagée'!$T$639*0.01*0.45+'Eval-Avec act. écol. envisagée'!$T$640*0.01*0.225+'Eval-Avec act. écol. envisagée'!$T$648*0.01*0.675+'Eval-Avec act. écol. envisagée'!$T$652*0.01*0.45+'Eval-Avec act. écol. envisagée'!$T$651*0.01*0.45+'Eval-Avec act. écol. envisagée'!$T$649*0.01*0.45+'Eval-Avec act. écol. envisagée'!$T$654*0.01*0.225+SUMIF('Eval-Avec act. écol. envisagée'!$C$465:$E$479,"*J3.1*",'Eval-Avec act. écol. envisagée'!$T$465:$W$479)*0.01*0.9+SUMIF('Eval-Avec act. écol. envisagée'!$C$465:$E$479,"*J3.2*",'Eval-Avec act. écol. envisagée'!$T$465:$W$479)*0.01*0.9+SUMIF('Eval-Avec act. écol. envisagée'!$C$465:$E$479,"*J6.1*",'Eval-Avec act. écol. envisagée'!$T$465:$W$479)*0.01*0.9+SUMIF('Eval-Avec act. écol. envisagée'!$C$465:$E$479,"*J6.2*",'Eval-Avec act. écol. envisagée'!$T$465:$W$479)*0.01*0.9+SUMIF('Eval-Avec act. écol. envisagée'!$C$465:$E$479,"*J6.3*",'Eval-Avec act. écol. envisagée'!$T$465:$W$479)*0.01*0.9+SUMIF('Eval-Avec act. écol. envisagée'!$C$465:$E$479,"*J6.4*",'Eval-Avec act. écol. envisagée'!$T$465:$W$479)*0.01*0.9+SUMIF('Eval-Avec act. écol. envisagée'!$C$465:$E$479,"*J6.5*",'Eval-Avec act. écol. envisagée'!$T$465:$W$479)*0.01*0.9+SUMIF('Eval-Avec act. écol. envisagée'!$C$465:$E$479,"*E2.6*",'Eval-Avec act. écol. envisagée'!$T$465:$W$479)*0.01*0.675+SUMIF('Eval-Avec act. écol. envisagée'!$C$465:$E$479,"*H5.5*",'Eval-Avec act. écol. envisagée'!$T$465:$W$479)*0.01*0.675+SUMIF('Eval-Avec act. écol. envisagée'!$C$465:$E$479,"*H5.6*",'Eval-Avec act. écol. envisagée'!$T$465:$W$479)*0.01*0.675+SUMIF('Eval-Avec act. écol. envisagée'!$C$465:$E$479,"*I1.1*",'Eval-Avec act. écol. envisagée'!$T$465:$W$479)*0.01*0.675+SUMIF('Eval-Avec act. écol. envisagée'!$C$465:$E$479,"*I1.2*",'Eval-Avec act. écol. envisagée'!$T$465:$W$479)*0.01*0.675+SUMIF('Eval-Avec act. écol. envisagée'!$C$465:$E$479,"*I1.4*",'Eval-Avec act. écol. envisagée'!$T$465:$W$479)*0.01*0.675+SUMIF('Eval-Avec act. écol. envisagée'!$C$465:$E$479,"*I2.1*",'Eval-Avec act. écol. envisagée'!$T$465:$W$479)*0.01*0.675+SUMIF('Eval-Avec act. écol. envisagée'!$C$465:$E$479,"*I2.2*",'Eval-Avec act. écol. envisagée'!$T$465:$W$479)*0.01*0.675)))</f>
        <v/>
      </c>
      <c r="EK86" s="239"/>
      <c r="EL86" s="236"/>
      <c r="EM86" s="237"/>
      <c r="EN86" s="237"/>
      <c r="EO86" s="237"/>
      <c r="EP86" s="237"/>
      <c r="EQ86" s="237"/>
      <c r="ER86" s="237"/>
      <c r="ES86" s="237"/>
      <c r="ET86" s="238" t="str">
        <f>IF(EJ86="","",EJ86*'Eval-Avec act. écol. envisagée'!$T$107)</f>
        <v/>
      </c>
      <c r="EU86" s="239"/>
      <c r="EV86" s="240" t="str">
        <f>IF(LEN('Eval-Avec act. écol. envisagée'!$T$107)=0,"",IF('Eval-Avec act. écol. envisagée'!$T$107=0,"Site détruit (0 ha).",IF(AND(EJ86&gt;=0,EJ86&lt;=0.2),"Très fortes perturbations anthropiques.","")))</f>
        <v/>
      </c>
      <c r="EW86" s="241" t="str">
        <f>IF(AND(EJ86&gt;0.2,EJ86&lt;=0.4),"Fortes perturbations anthropiques.","")</f>
        <v/>
      </c>
      <c r="EX86" s="241" t="str">
        <f>IF(AND(EJ86&gt;0.4,EJ86&lt;=0.6),"Assez fortes perturbations anthropiques.","")</f>
        <v/>
      </c>
      <c r="EY86" s="241" t="str">
        <f>IF(AND(EJ86&gt;0.6,EJ86&lt;=0.8),"Perturbations anthropiques assez réduites.","")</f>
        <v/>
      </c>
      <c r="EZ86" s="241" t="str">
        <f>IF(AND(EJ86&gt;0.8,EJ86&lt;=1),"Perturbations anthropiques modérées à quasi-absentes.","")</f>
        <v/>
      </c>
      <c r="FA86" s="246"/>
      <c r="FB86" s="243" t="str">
        <f>EJ86</f>
        <v/>
      </c>
      <c r="FC86" s="244" t="str">
        <f>ET86</f>
        <v/>
      </c>
      <c r="FD86" s="245"/>
      <c r="FE86" s="1133"/>
      <c r="FF86" s="1137"/>
      <c r="FG86" s="235" t="s">
        <v>427</v>
      </c>
      <c r="FH86" s="236"/>
      <c r="FI86" s="237"/>
      <c r="FJ86" s="237"/>
      <c r="FK86" s="237"/>
      <c r="FL86" s="237"/>
      <c r="FM86" s="237"/>
      <c r="FN86" s="237"/>
      <c r="FO86" s="237"/>
      <c r="FP86" s="238" t="str">
        <f>IF(LEN('Eval-Après action écologique'!$T$107)=0,"",IF('Eval-Après action écologique'!$T$107=0,0,0.9-('Eval-Après action écologique'!$T$637*0.01*0.675+'Eval-Après action écologique'!$T$639*0.01*0.45+'Eval-Après action écologique'!$T$640*0.01*0.225+'Eval-Après action écologique'!$T$648*0.01*0.675+'Eval-Après action écologique'!$T$652*0.01*0.45+'Eval-Après action écologique'!$T$651*0.01*0.45+'Eval-Après action écologique'!$T$649*0.01*0.45+'Eval-Après action écologique'!$T$654*0.01*0.225+SUMIF('Eval-Après action écologique'!$C$465:$E$479,"*J3.1*",'Eval-Après action écologique'!$T$465:$W$479)*0.01*0.9+SUMIF('Eval-Après action écologique'!$C$465:$E$479,"*J3.2*",'Eval-Après action écologique'!$T$465:$W$479)*0.01*0.9+SUMIF('Eval-Après action écologique'!$C$465:$E$479,"*J6.1*",'Eval-Après action écologique'!$T$465:$W$479)*0.01*0.9+SUMIF('Eval-Après action écologique'!$C$465:$E$479,"*J6.2*",'Eval-Après action écologique'!$T$465:$W$479)*0.01*0.9+SUMIF('Eval-Après action écologique'!$C$465:$E$479,"*J6.3*",'Eval-Après action écologique'!$T$465:$W$479)*0.01*0.9+SUMIF('Eval-Après action écologique'!$C$465:$E$479,"*J6.4*",'Eval-Après action écologique'!$T$465:$W$479)*0.01*0.9+SUMIF('Eval-Après action écologique'!$C$465:$E$479,"*J6.5*",'Eval-Après action écologique'!$T$465:$W$479)*0.01*0.9+SUMIF('Eval-Après action écologique'!$C$465:$E$479,"*E2.6*",'Eval-Après action écologique'!$T$465:$W$479)*0.01*0.675+SUMIF('Eval-Après action écologique'!$C$465:$E$479,"*H5.5*",'Eval-Après action écologique'!$T$465:$W$479)*0.01*0.675+SUMIF('Eval-Après action écologique'!$C$465:$E$479,"*H5.6*",'Eval-Après action écologique'!$T$465:$W$479)*0.01*0.675+SUMIF('Eval-Après action écologique'!$C$465:$E$479,"*I1.1*",'Eval-Après action écologique'!$T$465:$W$479)*0.01*0.675+SUMIF('Eval-Après action écologique'!$C$465:$E$479,"*I1.2*",'Eval-Après action écologique'!$T$465:$W$479)*0.01*0.675+SUMIF('Eval-Après action écologique'!$C$465:$E$479,"*I1.4*",'Eval-Après action écologique'!$T$465:$W$479)*0.01*0.675+SUMIF('Eval-Après action écologique'!$C$465:$E$479,"*I2.1*",'Eval-Après action écologique'!$T$465:$W$479)*0.01*0.675+SUMIF('Eval-Après action écologique'!$C$465:$E$479,"*I2.2*",'Eval-Après action écologique'!$T$465:$W$479)*0.01*0.675)))</f>
        <v/>
      </c>
      <c r="FQ86" s="239"/>
      <c r="FR86" s="236"/>
      <c r="FS86" s="237"/>
      <c r="FT86" s="237"/>
      <c r="FU86" s="237"/>
      <c r="FV86" s="237"/>
      <c r="FW86" s="237"/>
      <c r="FX86" s="237"/>
      <c r="FY86" s="237"/>
      <c r="FZ86" s="238" t="str">
        <f>IF(FP86="","",FP86*'Eval-Après action écologique'!$T$107)</f>
        <v/>
      </c>
      <c r="GA86" s="239"/>
      <c r="GB86" s="240" t="str">
        <f>IF(LEN('Eval-Après action écologique'!$T$107)=0,"",IF('Eval-Après action écologique'!$T$107=0,"Site détruit (0 ha).",IF(AND(FP86&gt;=0,FP86&lt;=0.2),"Très fortes perturbations anthropiques.","")))</f>
        <v/>
      </c>
      <c r="GC86" s="241" t="str">
        <f>IF(AND(FP86&gt;0.2,FP86&lt;=0.4),"Fortes perturbations anthropiques.","")</f>
        <v/>
      </c>
      <c r="GD86" s="241" t="str">
        <f>IF(AND(FP86&gt;0.4,FP86&lt;=0.6),"Assez fortes perturbations anthropiques.","")</f>
        <v/>
      </c>
      <c r="GE86" s="241" t="str">
        <f>IF(AND(FP86&gt;0.6,FP86&lt;=0.8),"Perturbations anthropiques assez réduites.","")</f>
        <v/>
      </c>
      <c r="GF86" s="241" t="str">
        <f>IF(AND(FP86&gt;0.8,FP86&lt;=1),"Perturbations anthropiques modérées à quasi-absentes.","")</f>
        <v/>
      </c>
      <c r="GG86" s="246"/>
      <c r="GH86" s="243" t="str">
        <f>FP86</f>
        <v/>
      </c>
      <c r="GI86" s="244" t="str">
        <f>FZ86</f>
        <v/>
      </c>
    </row>
    <row r="87" spans="1:191" ht="31.5" customHeight="1" thickBot="1" x14ac:dyDescent="0.25">
      <c r="A87" s="1134"/>
      <c r="B87" s="254" t="s">
        <v>204</v>
      </c>
      <c r="C87" s="255" t="s">
        <v>426</v>
      </c>
      <c r="D87" s="256"/>
      <c r="E87" s="257"/>
      <c r="F87" s="257"/>
      <c r="G87" s="257"/>
      <c r="H87" s="257"/>
      <c r="I87" s="257"/>
      <c r="J87" s="257"/>
      <c r="K87" s="257"/>
      <c r="L87" s="258" t="str">
        <f>IF(LEN('Eval-Avant impact'!$T$107)=0,"",IF('Eval-Avant impact'!$T$107=0,0,IF('Eval-Avant impact'!$J$594="X",IF('Eval-Avant impact'!$T$600&gt;=30,0,1-'Eval-Avant impact'!$T$600*0.033),"")))</f>
        <v/>
      </c>
      <c r="M87" s="259"/>
      <c r="N87" s="256"/>
      <c r="O87" s="257"/>
      <c r="P87" s="257"/>
      <c r="Q87" s="257"/>
      <c r="R87" s="257"/>
      <c r="S87" s="257"/>
      <c r="T87" s="257"/>
      <c r="U87" s="257"/>
      <c r="V87" s="258" t="str">
        <f>IF(L87="","",L87*'Eval-Avant impact'!$T$107)</f>
        <v/>
      </c>
      <c r="W87" s="259"/>
      <c r="X87" s="260" t="str">
        <f>IF(LEN('Eval-Avant impact'!$T$107)=0,"",IF('Eval-Avant impact'!$T$107=0,"Site détruit (0 ha).",(IF(AND(L87&gt;=0,L87&lt;=0.2),CONCATENATE("Emprise d'esp. inv. vég. très élevée (",ROUND('Eval-Avant impact'!$T$600,0)," %).",),""))))</f>
        <v/>
      </c>
      <c r="Y87" s="261" t="str">
        <f>(IF(AND(L87&gt;0.2,L87&lt;=0.4),CONCATENATE("Emprise d'esp. inv. vég. élevée (",ROUND('Eval-Avant impact'!$T$600,0)," %).",),""))</f>
        <v/>
      </c>
      <c r="Z87" s="261" t="str">
        <f>(IF(AND(L87&gt;0.4,L87&lt;=0.6),CONCATENATE("Emprise d'esp. inv. vég. assez élevée (",ROUND('Eval-Avant impact'!$T$600,0)," %).",),""))</f>
        <v/>
      </c>
      <c r="AA87" s="261" t="str">
        <f>(IF(AND(L87&gt;0.6,L87&lt;=0.8),CONCATENATE("Emprise d'esp. inv. vég. réduite (",ROUND('Eval-Avant impact'!$T$600,0)," %).",),""))</f>
        <v/>
      </c>
      <c r="AB87" s="261" t="str">
        <f>CONCATENATE((IF(L87=1,"Absence d'esp. vég. inv.","")),(IF(AND(L87&lt;1,L87&gt;0.8),CONCATENATE("Emprise d'esp. inv. vég. très réduite (",ROUND('Eval-Avant impact'!$T$600,0)," %).",),"")))</f>
        <v/>
      </c>
      <c r="AC87" s="226" t="str">
        <f>IF(LEN('Eval-Avant impact'!$T$107)=0,"",IF('Eval-Avant impact'!$T$107=0,"",IF('Eval-Avant impact'!$T$594="x","Non renseigné. Méconnaissances de l'emprise des esp. vég. inv.","")))</f>
        <v/>
      </c>
      <c r="AD87" s="262" t="str">
        <f>L87</f>
        <v/>
      </c>
      <c r="AE87" s="263" t="str">
        <f>V87</f>
        <v/>
      </c>
      <c r="AF87" s="245"/>
      <c r="AG87" s="1134"/>
      <c r="AH87" s="254" t="s">
        <v>204</v>
      </c>
      <c r="AI87" s="255" t="s">
        <v>426</v>
      </c>
      <c r="AJ87" s="256"/>
      <c r="AK87" s="257"/>
      <c r="AL87" s="257"/>
      <c r="AM87" s="257"/>
      <c r="AN87" s="257"/>
      <c r="AO87" s="257"/>
      <c r="AP87" s="257"/>
      <c r="AQ87" s="257"/>
      <c r="AR87" s="258" t="str">
        <f>IF(LEN('Eval-Avec impact envisagé'!$T$107)=0,"",IF('Eval-Avec impact envisagé'!$T$107=0,0,IF('Eval-Avec impact envisagé'!$J$594="X",IF('Eval-Avec impact envisagé'!$T$600&gt;=30,0,1-'Eval-Avec impact envisagé'!$T$600*0.033),"")))</f>
        <v/>
      </c>
      <c r="AS87" s="259"/>
      <c r="AT87" s="256"/>
      <c r="AU87" s="257"/>
      <c r="AV87" s="257"/>
      <c r="AW87" s="257"/>
      <c r="AX87" s="257"/>
      <c r="AY87" s="257"/>
      <c r="AZ87" s="257"/>
      <c r="BA87" s="257"/>
      <c r="BB87" s="258" t="str">
        <f>IF(AR87="","",AR87*'Eval-Avec impact envisagé'!$T$107)</f>
        <v/>
      </c>
      <c r="BC87" s="259"/>
      <c r="BD87" s="260" t="str">
        <f>IF(LEN('Eval-Avec impact envisagé'!$T$107)=0,"",IF('Eval-Avec impact envisagé'!$T$107=0,"Site détruit (0 ha).",(IF(AND(AR87&gt;=0,AR87&lt;=0.2),CONCATENATE("Emprise d'esp. inv. vég. très élevée (",ROUND('Eval-Avec impact envisagé'!$T$600,0)," %).",),""))))</f>
        <v/>
      </c>
      <c r="BE87" s="261" t="str">
        <f>(IF(AND(AR87&gt;0.2,AR87&lt;=0.4),CONCATENATE("Emprise d'esp. inv. vég. élevée (",ROUND('Eval-Avec impact envisagé'!$T$600,0)," %).",),""))</f>
        <v/>
      </c>
      <c r="BF87" s="261" t="str">
        <f>(IF(AND(AR87&gt;0.4,AR87&lt;=0.6),CONCATENATE("Emprise d'esp. inv. vég. assez élevée (",ROUND('Eval-Avec impact envisagé'!$T$600,0)," %).",),""))</f>
        <v/>
      </c>
      <c r="BG87" s="261" t="str">
        <f>(IF(AND(AR87&gt;0.6,AR87&lt;=0.8),CONCATENATE("Emprise d'esp. inv. vég. réduite (",ROUND('Eval-Avec impact envisagé'!$T$600,0)," %).",),""))</f>
        <v/>
      </c>
      <c r="BH87" s="261" t="str">
        <f>CONCATENATE((IF(AR87=1,"Absence d'esp. vég. inv.","")),(IF(AND(AR87&lt;1,AR87&gt;0.8),CONCATENATE("Emprise d'esp. inv. vég. très réduite (",ROUND('Eval-Avec impact envisagé'!$T$600,0)," %).",),"")))</f>
        <v/>
      </c>
      <c r="BI87" s="226" t="str">
        <f>IF(LEN('Eval-Avec impact envisagé'!$T$107)=0,"",IF('Eval-Avec impact envisagé'!$T$107=0,"",IF('Eval-Avec impact envisagé'!$T$594="x","Non renseigné. Méconnaissances de l'emprise des esp. vég. inv.","")))</f>
        <v/>
      </c>
      <c r="BJ87" s="262" t="str">
        <f>AR87</f>
        <v/>
      </c>
      <c r="BK87" s="263" t="str">
        <f>BB87</f>
        <v/>
      </c>
      <c r="BL87" s="245"/>
      <c r="BM87" s="1134"/>
      <c r="BN87" s="254" t="s">
        <v>204</v>
      </c>
      <c r="BO87" s="255" t="s">
        <v>426</v>
      </c>
      <c r="BP87" s="256"/>
      <c r="BQ87" s="257"/>
      <c r="BR87" s="257"/>
      <c r="BS87" s="257"/>
      <c r="BT87" s="257"/>
      <c r="BU87" s="257"/>
      <c r="BV87" s="257"/>
      <c r="BW87" s="257"/>
      <c r="BX87" s="258" t="str">
        <f>IF(LEN('Eval-Après impact'!$T$107)=0,"",IF('Eval-Après impact'!$T$107=0,0,IF('Eval-Après impact'!$J$594="X",IF('Eval-Après impact'!$T$600&gt;=30,0,1-'Eval-Après impact'!$T$600*0.033),"")))</f>
        <v/>
      </c>
      <c r="BY87" s="259"/>
      <c r="BZ87" s="256"/>
      <c r="CA87" s="257"/>
      <c r="CB87" s="257"/>
      <c r="CC87" s="257"/>
      <c r="CD87" s="257"/>
      <c r="CE87" s="257"/>
      <c r="CF87" s="257"/>
      <c r="CG87" s="257"/>
      <c r="CH87" s="258" t="str">
        <f>IF(BX87="","",BX87*'Eval-Après impact'!$T$107)</f>
        <v/>
      </c>
      <c r="CI87" s="259"/>
      <c r="CJ87" s="260" t="str">
        <f>IF(LEN('Eval-Après impact'!$T$107)=0,"",IF('Eval-Après impact'!$T$107=0,"Site détruit (0 ha).",(IF(AND(BX87&gt;=0,BX87&lt;=0.2),CONCATENATE("Emprise d'esp. inv. vég. très élevée (",ROUND('Eval-Après impact'!$T$600,0)," %).",),""))))</f>
        <v/>
      </c>
      <c r="CK87" s="261" t="str">
        <f>(IF(AND(BX87&gt;0.2,BX87&lt;=0.4),CONCATENATE("Emprise d'esp. inv. vég. élevée (",ROUND('Eval-Après impact'!$T$600,0)," %).",),""))</f>
        <v/>
      </c>
      <c r="CL87" s="261" t="str">
        <f>(IF(AND(BX87&gt;0.4,BX87&lt;=0.6),CONCATENATE("Emprise d'esp. inv. vég. assez élevée (",ROUND('Eval-Après impact'!$T$600,0)," %).",),""))</f>
        <v/>
      </c>
      <c r="CM87" s="261" t="str">
        <f>(IF(AND(BX87&gt;0.6,BX87&lt;=0.8),CONCATENATE("Emprise d'esp. inv. vég. réduite (",ROUND('Eval-Après impact'!$T$600,0)," %).",),""))</f>
        <v/>
      </c>
      <c r="CN87" s="261" t="str">
        <f>CONCATENATE((IF(BX87=1,"Absence d'esp. vég. inv.","")),(IF(AND(BX87&lt;1,BX87&gt;0.8),CONCATENATE("Emprise d'esp. inv. vég. très réduite (",ROUND('Eval-Après impact'!$T$600,0)," %).",),"")))</f>
        <v/>
      </c>
      <c r="CO87" s="226" t="str">
        <f>IF(LEN('Eval-Après impact'!$T$107)=0,"",IF('Eval-Après impact'!$T$107=0,"",IF('Eval-Après impact'!$T$594="x","Non renseigné. Méconnaissances de l'emprise des esp. vég. inv.","")))</f>
        <v/>
      </c>
      <c r="CP87" s="262" t="str">
        <f>BX87</f>
        <v/>
      </c>
      <c r="CQ87" s="263" t="str">
        <f>CH87</f>
        <v/>
      </c>
      <c r="CR87" s="245"/>
      <c r="CS87" s="1134"/>
      <c r="CT87" s="254" t="s">
        <v>204</v>
      </c>
      <c r="CU87" s="255" t="s">
        <v>426</v>
      </c>
      <c r="CV87" s="256"/>
      <c r="CW87" s="257"/>
      <c r="CX87" s="257"/>
      <c r="CY87" s="257"/>
      <c r="CZ87" s="257"/>
      <c r="DA87" s="257"/>
      <c r="DB87" s="257"/>
      <c r="DC87" s="257"/>
      <c r="DD87" s="258" t="str">
        <f>IF(LEN('Eval-Avant action écologique'!$T$107)=0,"",IF('Eval-Avant action écologique'!$T$107=0,0,IF('Eval-Avant action écologique'!$J$594="X",IF('Eval-Avant action écologique'!$T$600&gt;=30,0,1-'Eval-Avant action écologique'!$T$600*0.033),"")))</f>
        <v/>
      </c>
      <c r="DE87" s="259"/>
      <c r="DF87" s="256"/>
      <c r="DG87" s="257"/>
      <c r="DH87" s="257"/>
      <c r="DI87" s="257"/>
      <c r="DJ87" s="257"/>
      <c r="DK87" s="257"/>
      <c r="DL87" s="257"/>
      <c r="DM87" s="257"/>
      <c r="DN87" s="258" t="str">
        <f>IF(DD87="","",DD87*'Eval-Avant action écologique'!$T$107)</f>
        <v/>
      </c>
      <c r="DO87" s="259"/>
      <c r="DP87" s="260" t="str">
        <f>IF(LEN('Eval-Avant action écologique'!$T$107)=0,"",IF('Eval-Avant action écologique'!$T$107=0,"Site détruit (0 ha).",(IF(AND(DD87&gt;=0,DD87&lt;=0.2),CONCATENATE("Emprise d'esp. inv. vég. très élevée (",ROUND('Eval-Avant action écologique'!$T$600,0)," %).",),""))))</f>
        <v/>
      </c>
      <c r="DQ87" s="261" t="str">
        <f>(IF(AND(DD87&gt;0.2,DD87&lt;=0.4),CONCATENATE("Emprise d'esp. inv. vég. élevée (",ROUND('Eval-Avant action écologique'!$T$600,0)," %).",),""))</f>
        <v/>
      </c>
      <c r="DR87" s="261" t="str">
        <f>(IF(AND(DD87&gt;0.4,DD87&lt;=0.6),CONCATENATE("Emprise d'esp. inv. vég. assez élevée (",ROUND('Eval-Avant action écologique'!$T$600,0)," %).",),""))</f>
        <v/>
      </c>
      <c r="DS87" s="261" t="str">
        <f>(IF(AND(DD87&gt;0.6,DD87&lt;=0.8),CONCATENATE("Emprise d'esp. inv. vég. réduite (",ROUND('Eval-Avant action écologique'!$T$600,0)," %).",),""))</f>
        <v/>
      </c>
      <c r="DT87" s="261" t="str">
        <f>CONCATENATE((IF(DD87=1,"Absence d'esp. vég. inv.","")),(IF(AND(DD87&lt;1,DD87&gt;0.8),CONCATENATE("Emprise d'esp. inv. vég. très réduite (",ROUND('Eval-Avant action écologique'!$T$600,0)," %).",),"")))</f>
        <v/>
      </c>
      <c r="DU87" s="226" t="str">
        <f>IF(LEN('Eval-Avant action écologique'!$T$107)=0,"",IF('Eval-Avant action écologique'!$T$107=0,"",IF('Eval-Avant action écologique'!$T$594="x","Non renseigné. Méconnaissances de l'emprise des esp. vég. inv.","")))</f>
        <v/>
      </c>
      <c r="DV87" s="262" t="str">
        <f>DD87</f>
        <v/>
      </c>
      <c r="DW87" s="263" t="str">
        <f>DN87</f>
        <v/>
      </c>
      <c r="DX87" s="245"/>
      <c r="DY87" s="1134"/>
      <c r="DZ87" s="254" t="s">
        <v>204</v>
      </c>
      <c r="EA87" s="255" t="s">
        <v>426</v>
      </c>
      <c r="EB87" s="256"/>
      <c r="EC87" s="257"/>
      <c r="ED87" s="257"/>
      <c r="EE87" s="257"/>
      <c r="EF87" s="257"/>
      <c r="EG87" s="257"/>
      <c r="EH87" s="257"/>
      <c r="EI87" s="257"/>
      <c r="EJ87" s="258" t="str">
        <f>IF(LEN('Eval-Avec act. écol. envisagée'!$T$107)=0,"",IF('Eval-Avec act. écol. envisagée'!$T$107=0,0,IF('Eval-Avec act. écol. envisagée'!$J$594="X",IF('Eval-Avec act. écol. envisagée'!$T$600&gt;=30,0,1-'Eval-Avec act. écol. envisagée'!$T$600*0.033),"")))</f>
        <v/>
      </c>
      <c r="EK87" s="259"/>
      <c r="EL87" s="256"/>
      <c r="EM87" s="257"/>
      <c r="EN87" s="257"/>
      <c r="EO87" s="257"/>
      <c r="EP87" s="257"/>
      <c r="EQ87" s="257"/>
      <c r="ER87" s="257"/>
      <c r="ES87" s="257"/>
      <c r="ET87" s="258" t="str">
        <f>IF(EJ87="","",EJ87*'Eval-Avec act. écol. envisagée'!$T$107)</f>
        <v/>
      </c>
      <c r="EU87" s="259"/>
      <c r="EV87" s="260" t="str">
        <f>IF(LEN('Eval-Avec act. écol. envisagée'!$T$107)=0,"",IF('Eval-Avec act. écol. envisagée'!$T$107=0,"Site détruit (0 ha).",(IF(AND(EJ87&gt;=0,EJ87&lt;=0.2),CONCATENATE("Emprise d'esp. inv. vég. très élevée (",ROUND('Eval-Avec act. écol. envisagée'!$T$600,0)," %).",),""))))</f>
        <v/>
      </c>
      <c r="EW87" s="261" t="str">
        <f>(IF(AND(EJ87&gt;0.2,EJ87&lt;=0.4),CONCATENATE("Emprise d'esp. inv. vég. élevée (",ROUND('Eval-Avec act. écol. envisagée'!$T$600,0)," %).",),""))</f>
        <v/>
      </c>
      <c r="EX87" s="261" t="str">
        <f>(IF(AND(EJ87&gt;0.4,EJ87&lt;=0.6),CONCATENATE("Emprise d'esp. inv. vég. assez élevée (",ROUND('Eval-Avec act. écol. envisagée'!$T$600,0)," %).",),""))</f>
        <v/>
      </c>
      <c r="EY87" s="261" t="str">
        <f>(IF(AND(EJ87&gt;0.6,EJ87&lt;=0.8),CONCATENATE("Emprise d'esp. inv. vég. réduite (",ROUND('Eval-Avec act. écol. envisagée'!$T$600,0)," %).",),""))</f>
        <v/>
      </c>
      <c r="EZ87" s="261" t="str">
        <f>CONCATENATE((IF(EJ87=1,"Absence d'esp. vég. inv.","")),(IF(AND(EJ87&lt;1,EJ87&gt;0.8),CONCATENATE("Emprise d'esp. inv. vég. très réduite (",ROUND('Eval-Avec act. écol. envisagée'!$T$600,0)," %).",),"")))</f>
        <v/>
      </c>
      <c r="FA87" s="226" t="str">
        <f>IF(LEN('Eval-Avec act. écol. envisagée'!$T$107)=0,"",IF('Eval-Avec act. écol. envisagée'!$T$107=0,"",IF('Eval-Avec act. écol. envisagée'!$T$594="x","Non renseigné. Méconnaissances de l'emprise des esp. vég. inv.","")))</f>
        <v/>
      </c>
      <c r="FB87" s="262" t="str">
        <f>EJ87</f>
        <v/>
      </c>
      <c r="FC87" s="263" t="str">
        <f>ET87</f>
        <v/>
      </c>
      <c r="FD87" s="245"/>
      <c r="FE87" s="1134"/>
      <c r="FF87" s="254" t="s">
        <v>204</v>
      </c>
      <c r="FG87" s="255" t="s">
        <v>426</v>
      </c>
      <c r="FH87" s="256"/>
      <c r="FI87" s="257"/>
      <c r="FJ87" s="257"/>
      <c r="FK87" s="257"/>
      <c r="FL87" s="257"/>
      <c r="FM87" s="257"/>
      <c r="FN87" s="257"/>
      <c r="FO87" s="257"/>
      <c r="FP87" s="258" t="str">
        <f>IF(LEN('Eval-Après action écologique'!$T$107)=0,"",IF('Eval-Après action écologique'!$T$107=0,0,IF('Eval-Après action écologique'!$J$594="X",IF('Eval-Après action écologique'!$T$600&gt;=30,0,1-'Eval-Après action écologique'!$T$600*0.033),"")))</f>
        <v/>
      </c>
      <c r="FQ87" s="259"/>
      <c r="FR87" s="256"/>
      <c r="FS87" s="257"/>
      <c r="FT87" s="257"/>
      <c r="FU87" s="257"/>
      <c r="FV87" s="257"/>
      <c r="FW87" s="257"/>
      <c r="FX87" s="257"/>
      <c r="FY87" s="257"/>
      <c r="FZ87" s="258" t="str">
        <f>IF(FP87="","",FP87*'Eval-Après action écologique'!$T$107)</f>
        <v/>
      </c>
      <c r="GA87" s="259"/>
      <c r="GB87" s="260" t="str">
        <f>IF(LEN('Eval-Après action écologique'!$T$107)=0,"",IF('Eval-Après action écologique'!$T$107=0,"Site détruit (0 ha).",(IF(AND(FP87&gt;=0,FP87&lt;=0.2),CONCATENATE("Emprise d'esp. inv. vég. très élevée (",ROUND('Eval-Après action écologique'!$T$600,0)," %).",),""))))</f>
        <v/>
      </c>
      <c r="GC87" s="261" t="str">
        <f>(IF(AND(FP87&gt;0.2,FP87&lt;=0.4),CONCATENATE("Emprise d'esp. inv. vég. élevée (",ROUND('Eval-Après action écologique'!$T$600,0)," %).",),""))</f>
        <v/>
      </c>
      <c r="GD87" s="261" t="str">
        <f>(IF(AND(FP87&gt;0.4,FP87&lt;=0.6),CONCATENATE("Emprise d'esp. inv. vég. assez élevée (",ROUND('Eval-Après action écologique'!$T$600,0)," %).",),""))</f>
        <v/>
      </c>
      <c r="GE87" s="261" t="str">
        <f>(IF(AND(FP87&gt;0.6,FP87&lt;=0.8),CONCATENATE("Emprise d'esp. inv. vég. réduite (",ROUND('Eval-Après action écologique'!$T$600,0)," %).",),""))</f>
        <v/>
      </c>
      <c r="GF87" s="261" t="str">
        <f>CONCATENATE((IF(FP87=1,"Absence d'esp. vég. inv.","")),(IF(AND(FP87&lt;1,FP87&gt;0.8),CONCATENATE("Emprise d'esp. inv. vég. très réduite (",ROUND('Eval-Après action écologique'!$T$600,0)," %).",),"")))</f>
        <v/>
      </c>
      <c r="GG87" s="226" t="str">
        <f>IF(LEN('Eval-Après action écologique'!$T$107)=0,"",IF('Eval-Après action écologique'!$T$107=0,"",IF('Eval-Après action écologique'!$T$594="x","Non renseigné. Méconnaissances de l'emprise des esp. vég. inv.","")))</f>
        <v/>
      </c>
      <c r="GH87" s="262" t="str">
        <f>FP87</f>
        <v/>
      </c>
      <c r="GI87" s="263" t="str">
        <f>FZ87</f>
        <v/>
      </c>
    </row>
    <row r="88" spans="1:191" s="197" customFormat="1" x14ac:dyDescent="0.2">
      <c r="Z88" s="264"/>
    </row>
    <row r="89" spans="1:191" s="197" customFormat="1" x14ac:dyDescent="0.2">
      <c r="Z89" s="264"/>
    </row>
    <row r="90" spans="1:191" s="197" customFormat="1" x14ac:dyDescent="0.2">
      <c r="Z90" s="264"/>
    </row>
    <row r="91" spans="1:191" s="197" customFormat="1" x14ac:dyDescent="0.2">
      <c r="Z91" s="264"/>
    </row>
    <row r="92" spans="1:191" s="197" customFormat="1" x14ac:dyDescent="0.2">
      <c r="Z92" s="264"/>
    </row>
    <row r="93" spans="1:191" s="197" customFormat="1" x14ac:dyDescent="0.2">
      <c r="Z93" s="264"/>
    </row>
    <row r="94" spans="1:191" s="197" customFormat="1" x14ac:dyDescent="0.2">
      <c r="Z94" s="264"/>
    </row>
    <row r="95" spans="1:191" s="197" customFormat="1" x14ac:dyDescent="0.2">
      <c r="Z95" s="264"/>
    </row>
    <row r="96" spans="1:191" s="197" customFormat="1" x14ac:dyDescent="0.2">
      <c r="Z96" s="264"/>
      <c r="AU96" s="221"/>
      <c r="AV96" s="221"/>
    </row>
    <row r="97" spans="1:48" s="197" customFormat="1" ht="15" customHeight="1" x14ac:dyDescent="0.2">
      <c r="AU97" s="265"/>
      <c r="AV97" s="265"/>
    </row>
    <row r="98" spans="1:48" s="197" customFormat="1" ht="30" customHeight="1" x14ac:dyDescent="0.2">
      <c r="AU98" s="265"/>
      <c r="AV98" s="265"/>
    </row>
    <row r="99" spans="1:48" s="197" customFormat="1" ht="45" customHeight="1" x14ac:dyDescent="0.2">
      <c r="AU99" s="265"/>
      <c r="AV99" s="265"/>
    </row>
    <row r="100" spans="1:48" s="197" customFormat="1" ht="30.75" customHeight="1" thickBot="1" x14ac:dyDescent="0.25">
      <c r="AU100" s="266"/>
      <c r="AV100" s="266"/>
    </row>
    <row r="101" spans="1:48" s="197" customFormat="1" ht="34.5" thickBot="1" x14ac:dyDescent="0.7">
      <c r="A101" s="1197" t="s">
        <v>560</v>
      </c>
      <c r="B101" s="1198"/>
      <c r="C101" s="1198"/>
      <c r="D101" s="1198"/>
      <c r="E101" s="1198"/>
      <c r="F101" s="1198"/>
      <c r="G101" s="1198"/>
      <c r="H101" s="1198"/>
      <c r="I101" s="1198"/>
      <c r="J101" s="1198"/>
      <c r="K101" s="1198"/>
      <c r="L101" s="1198"/>
      <c r="M101" s="1198"/>
      <c r="N101" s="1198"/>
      <c r="O101" s="1198"/>
      <c r="P101" s="1198"/>
      <c r="Q101" s="1198"/>
      <c r="R101" s="1198"/>
      <c r="S101" s="1198"/>
      <c r="T101" s="1198"/>
      <c r="U101" s="1198"/>
      <c r="V101" s="1199"/>
      <c r="AU101" s="221"/>
      <c r="AV101" s="221"/>
    </row>
    <row r="102" spans="1:48" s="197" customFormat="1" ht="15.75" thickBot="1" x14ac:dyDescent="0.25">
      <c r="AU102" s="221"/>
      <c r="AV102" s="221"/>
    </row>
    <row r="103" spans="1:48" s="197" customFormat="1" ht="15" customHeight="1" x14ac:dyDescent="0.2">
      <c r="A103" s="1200" t="s">
        <v>565</v>
      </c>
      <c r="B103" s="267"/>
      <c r="C103" s="268"/>
      <c r="D103" s="269"/>
      <c r="E103" s="270"/>
      <c r="F103" s="270"/>
      <c r="G103" s="1211" t="s">
        <v>428</v>
      </c>
      <c r="H103" s="1211"/>
      <c r="I103" s="1211"/>
      <c r="J103" s="1211"/>
      <c r="K103" s="1211"/>
      <c r="L103" s="1211"/>
      <c r="M103" s="1211"/>
      <c r="N103" s="1211"/>
      <c r="O103" s="1211" t="s">
        <v>429</v>
      </c>
      <c r="P103" s="1211"/>
      <c r="Q103" s="1211"/>
      <c r="R103" s="1211"/>
      <c r="S103" s="1212"/>
      <c r="T103" s="1217" t="s">
        <v>430</v>
      </c>
      <c r="U103" s="1218"/>
      <c r="V103" s="1218"/>
      <c r="W103" s="1219"/>
      <c r="X103" s="1205" t="s">
        <v>569</v>
      </c>
      <c r="Y103" s="1205" t="s">
        <v>570</v>
      </c>
      <c r="Z103" s="1205" t="s">
        <v>571</v>
      </c>
      <c r="AA103" s="1205" t="s">
        <v>572</v>
      </c>
      <c r="AB103" s="1205" t="s">
        <v>575</v>
      </c>
      <c r="AC103" s="1205" t="s">
        <v>576</v>
      </c>
      <c r="AD103" s="1205" t="s">
        <v>579</v>
      </c>
      <c r="AE103" s="1205" t="s">
        <v>580</v>
      </c>
      <c r="AF103" s="1205" t="s">
        <v>581</v>
      </c>
      <c r="AG103" s="1205" t="s">
        <v>582</v>
      </c>
      <c r="AH103" s="1205" t="s">
        <v>583</v>
      </c>
      <c r="AI103" s="1207" t="s">
        <v>584</v>
      </c>
      <c r="AU103" s="221"/>
    </row>
    <row r="104" spans="1:48" s="197" customFormat="1" ht="15" customHeight="1" x14ac:dyDescent="0.2">
      <c r="A104" s="1201"/>
      <c r="B104" s="271"/>
      <c r="C104" s="272"/>
      <c r="D104" s="273"/>
      <c r="E104" s="271"/>
      <c r="F104" s="271"/>
      <c r="G104" s="1209" t="s">
        <v>456</v>
      </c>
      <c r="H104" s="1210"/>
      <c r="I104" s="1210" t="s">
        <v>457</v>
      </c>
      <c r="J104" s="1210"/>
      <c r="K104" s="1210"/>
      <c r="L104" s="1210"/>
      <c r="M104" s="1210"/>
      <c r="N104" s="1210"/>
      <c r="O104" s="1213"/>
      <c r="P104" s="1213"/>
      <c r="Q104" s="1213"/>
      <c r="R104" s="1213"/>
      <c r="S104" s="1214"/>
      <c r="T104" s="1220"/>
      <c r="U104" s="1221"/>
      <c r="V104" s="1221"/>
      <c r="W104" s="1222"/>
      <c r="X104" s="1206"/>
      <c r="Y104" s="1206"/>
      <c r="Z104" s="1206"/>
      <c r="AA104" s="1206"/>
      <c r="AB104" s="1206"/>
      <c r="AC104" s="1206"/>
      <c r="AD104" s="1206"/>
      <c r="AE104" s="1206"/>
      <c r="AF104" s="1206"/>
      <c r="AG104" s="1206"/>
      <c r="AH104" s="1206"/>
      <c r="AI104" s="1208"/>
      <c r="AU104" s="221"/>
    </row>
    <row r="105" spans="1:48" s="197" customFormat="1" ht="45.75" customHeight="1" x14ac:dyDescent="0.2">
      <c r="A105" s="1201"/>
      <c r="B105" s="271"/>
      <c r="C105" s="272"/>
      <c r="D105" s="273"/>
      <c r="E105" s="271"/>
      <c r="F105" s="271"/>
      <c r="G105" s="274" t="s">
        <v>563</v>
      </c>
      <c r="H105" s="275" t="s">
        <v>361</v>
      </c>
      <c r="I105" s="1215" t="s">
        <v>432</v>
      </c>
      <c r="J105" s="1216"/>
      <c r="K105" s="1209"/>
      <c r="L105" s="1210" t="s">
        <v>433</v>
      </c>
      <c r="M105" s="1210"/>
      <c r="N105" s="1210"/>
      <c r="O105" s="1213"/>
      <c r="P105" s="1213"/>
      <c r="Q105" s="1213"/>
      <c r="R105" s="1213"/>
      <c r="S105" s="1214"/>
      <c r="T105" s="1223"/>
      <c r="U105" s="1224"/>
      <c r="V105" s="1224"/>
      <c r="W105" s="1225"/>
      <c r="X105" s="1206"/>
      <c r="Y105" s="1206"/>
      <c r="Z105" s="1206"/>
      <c r="AA105" s="1206"/>
      <c r="AB105" s="1206"/>
      <c r="AC105" s="1206"/>
      <c r="AD105" s="1206"/>
      <c r="AE105" s="1206"/>
      <c r="AF105" s="1206"/>
      <c r="AG105" s="1206"/>
      <c r="AH105" s="1206"/>
      <c r="AI105" s="1208"/>
      <c r="AU105" s="221"/>
    </row>
    <row r="106" spans="1:48" s="197" customFormat="1" ht="120" x14ac:dyDescent="0.2">
      <c r="A106" s="1202"/>
      <c r="B106" s="276" t="s">
        <v>122</v>
      </c>
      <c r="C106" s="1203" t="s">
        <v>564</v>
      </c>
      <c r="D106" s="1204"/>
      <c r="E106" s="277" t="s">
        <v>472</v>
      </c>
      <c r="F106" s="277" t="s">
        <v>473</v>
      </c>
      <c r="G106" s="278" t="s">
        <v>356</v>
      </c>
      <c r="H106" s="279" t="s">
        <v>356</v>
      </c>
      <c r="I106" s="279" t="s">
        <v>431</v>
      </c>
      <c r="J106" s="280" t="s">
        <v>479</v>
      </c>
      <c r="K106" s="280" t="s">
        <v>357</v>
      </c>
      <c r="L106" s="279" t="s">
        <v>431</v>
      </c>
      <c r="M106" s="281" t="s">
        <v>479</v>
      </c>
      <c r="N106" s="280" t="s">
        <v>357</v>
      </c>
      <c r="O106" s="280" t="s">
        <v>455</v>
      </c>
      <c r="P106" s="279" t="s">
        <v>356</v>
      </c>
      <c r="Q106" s="279" t="s">
        <v>509</v>
      </c>
      <c r="R106" s="280" t="s">
        <v>479</v>
      </c>
      <c r="S106" s="281" t="s">
        <v>357</v>
      </c>
      <c r="T106" s="279" t="s">
        <v>356</v>
      </c>
      <c r="U106" s="279" t="s">
        <v>431</v>
      </c>
      <c r="V106" s="280" t="s">
        <v>479</v>
      </c>
      <c r="W106" s="280" t="s">
        <v>357</v>
      </c>
      <c r="X106" s="1206"/>
      <c r="Y106" s="1206"/>
      <c r="Z106" s="1206"/>
      <c r="AA106" s="1206"/>
      <c r="AB106" s="1206"/>
      <c r="AC106" s="1206"/>
      <c r="AD106" s="1206"/>
      <c r="AE106" s="1206"/>
      <c r="AF106" s="1206"/>
      <c r="AG106" s="1206"/>
      <c r="AH106" s="1206"/>
      <c r="AI106" s="1208"/>
      <c r="AU106" s="221"/>
    </row>
    <row r="107" spans="1:48" s="197" customFormat="1" ht="15" customHeight="1" x14ac:dyDescent="0.2">
      <c r="A107" s="282" t="s">
        <v>123</v>
      </c>
      <c r="B107" s="283" t="s">
        <v>48</v>
      </c>
      <c r="C107" s="284" t="s">
        <v>474</v>
      </c>
      <c r="D107" s="285" t="s">
        <v>470</v>
      </c>
      <c r="E107" s="286" t="str">
        <f>F44</f>
        <v/>
      </c>
      <c r="F107" s="287" t="str">
        <f>P44</f>
        <v/>
      </c>
      <c r="G107" s="288"/>
      <c r="H107" s="289"/>
      <c r="I107" s="289"/>
      <c r="J107" s="289"/>
      <c r="K107" s="289"/>
      <c r="L107" s="289"/>
      <c r="M107" s="289"/>
      <c r="N107" s="289"/>
      <c r="O107" s="290"/>
      <c r="P107" s="289"/>
      <c r="Q107" s="289"/>
      <c r="R107" s="289"/>
      <c r="S107" s="289"/>
      <c r="T107" s="289"/>
      <c r="U107" s="289"/>
      <c r="V107" s="289"/>
      <c r="W107" s="291"/>
      <c r="X107" s="288"/>
      <c r="Y107" s="289"/>
      <c r="Z107" s="289"/>
      <c r="AA107" s="291"/>
      <c r="AB107" s="288"/>
      <c r="AC107" s="291"/>
      <c r="AD107" s="221"/>
      <c r="AE107" s="221"/>
      <c r="AF107" s="221"/>
      <c r="AG107" s="221"/>
      <c r="AH107" s="221"/>
      <c r="AI107" s="292"/>
    </row>
    <row r="108" spans="1:48" s="197" customFormat="1" ht="15" customHeight="1" x14ac:dyDescent="0.2">
      <c r="A108" s="293"/>
      <c r="B108" s="283"/>
      <c r="C108" s="294"/>
      <c r="D108" s="285" t="s">
        <v>562</v>
      </c>
      <c r="E108" s="286" t="str">
        <f>AL44</f>
        <v/>
      </c>
      <c r="F108" s="287" t="str">
        <f>AV44</f>
        <v/>
      </c>
      <c r="G108" s="295"/>
      <c r="H108" s="221"/>
      <c r="I108" s="221"/>
      <c r="J108" s="221"/>
      <c r="K108" s="221"/>
      <c r="L108" s="221"/>
      <c r="M108" s="221"/>
      <c r="N108" s="221"/>
      <c r="O108" s="296"/>
      <c r="P108" s="221"/>
      <c r="Q108" s="221"/>
      <c r="R108" s="221"/>
      <c r="S108" s="221"/>
      <c r="T108" s="221"/>
      <c r="U108" s="221"/>
      <c r="V108" s="221"/>
      <c r="W108" s="297"/>
      <c r="X108" s="298"/>
      <c r="Y108" s="221"/>
      <c r="Z108" s="221"/>
      <c r="AA108" s="297"/>
      <c r="AB108" s="298"/>
      <c r="AC108" s="297"/>
      <c r="AD108" s="221"/>
      <c r="AE108" s="221"/>
      <c r="AF108" s="221"/>
      <c r="AG108" s="221"/>
      <c r="AH108" s="221"/>
      <c r="AI108" s="292"/>
    </row>
    <row r="109" spans="1:48" s="197" customFormat="1" ht="15" customHeight="1" x14ac:dyDescent="0.2">
      <c r="A109" s="293"/>
      <c r="B109" s="283"/>
      <c r="C109" s="299"/>
      <c r="D109" s="285" t="s">
        <v>471</v>
      </c>
      <c r="E109" s="286" t="str">
        <f>BR44</f>
        <v/>
      </c>
      <c r="F109" s="287" t="str">
        <f>CB44</f>
        <v/>
      </c>
      <c r="G109" s="298"/>
      <c r="H109" s="221"/>
      <c r="I109" s="221"/>
      <c r="J109" s="221"/>
      <c r="K109" s="221"/>
      <c r="L109" s="221"/>
      <c r="M109" s="221"/>
      <c r="N109" s="221"/>
      <c r="O109" s="300"/>
      <c r="P109" s="221"/>
      <c r="Q109" s="221"/>
      <c r="R109" s="221"/>
      <c r="S109" s="221"/>
      <c r="T109" s="221"/>
      <c r="U109" s="221"/>
      <c r="V109" s="221"/>
      <c r="W109" s="297"/>
      <c r="X109" s="298"/>
      <c r="Y109" s="221"/>
      <c r="Z109" s="221"/>
      <c r="AA109" s="297"/>
      <c r="AB109" s="298"/>
      <c r="AC109" s="297"/>
      <c r="AD109" s="221"/>
      <c r="AE109" s="221"/>
      <c r="AF109" s="221"/>
      <c r="AG109" s="221"/>
      <c r="AH109" s="221"/>
      <c r="AI109" s="292"/>
    </row>
    <row r="110" spans="1:48" s="197" customFormat="1" ht="15" customHeight="1" x14ac:dyDescent="0.2">
      <c r="A110" s="293"/>
      <c r="B110" s="283"/>
      <c r="C110" s="284" t="s">
        <v>475</v>
      </c>
      <c r="D110" s="285" t="s">
        <v>476</v>
      </c>
      <c r="E110" s="286" t="str">
        <f>CX44</f>
        <v/>
      </c>
      <c r="F110" s="287" t="str">
        <f>DH44</f>
        <v/>
      </c>
      <c r="G110" s="298"/>
      <c r="H110" s="221"/>
      <c r="I110" s="221"/>
      <c r="J110" s="221"/>
      <c r="K110" s="221"/>
      <c r="L110" s="221"/>
      <c r="M110" s="221"/>
      <c r="N110" s="221"/>
      <c r="O110" s="300"/>
      <c r="P110" s="221"/>
      <c r="Q110" s="221"/>
      <c r="R110" s="221"/>
      <c r="S110" s="221"/>
      <c r="T110" s="221"/>
      <c r="U110" s="221"/>
      <c r="V110" s="221"/>
      <c r="W110" s="297"/>
      <c r="X110" s="298"/>
      <c r="Y110" s="221"/>
      <c r="Z110" s="221"/>
      <c r="AA110" s="297"/>
      <c r="AB110" s="298"/>
      <c r="AC110" s="297"/>
      <c r="AD110" s="221"/>
      <c r="AE110" s="221"/>
      <c r="AF110" s="221"/>
      <c r="AG110" s="221"/>
      <c r="AH110" s="221"/>
      <c r="AI110" s="292"/>
    </row>
    <row r="111" spans="1:48" s="197" customFormat="1" ht="60" x14ac:dyDescent="0.2">
      <c r="A111" s="293"/>
      <c r="B111" s="283"/>
      <c r="C111" s="294"/>
      <c r="D111" s="285" t="s">
        <v>477</v>
      </c>
      <c r="E111" s="286" t="str">
        <f>ED44</f>
        <v/>
      </c>
      <c r="F111" s="287" t="str">
        <f>EN44</f>
        <v/>
      </c>
      <c r="G111" s="298"/>
      <c r="H111" s="221"/>
      <c r="I111" s="296"/>
      <c r="J111" s="296"/>
      <c r="K111" s="296"/>
      <c r="L111" s="296"/>
      <c r="M111" s="296"/>
      <c r="N111" s="221"/>
      <c r="O111" s="296"/>
      <c r="P111" s="221"/>
      <c r="Q111" s="296"/>
      <c r="R111" s="296"/>
      <c r="S111" s="296"/>
      <c r="T111" s="221"/>
      <c r="U111" s="221"/>
      <c r="V111" s="221"/>
      <c r="W111" s="297"/>
      <c r="X111" s="298"/>
      <c r="Y111" s="221"/>
      <c r="Z111" s="221"/>
      <c r="AA111" s="297"/>
      <c r="AB111" s="298"/>
      <c r="AC111" s="297"/>
      <c r="AD111" s="221"/>
      <c r="AE111" s="221"/>
      <c r="AF111" s="221"/>
      <c r="AG111" s="221"/>
      <c r="AH111" s="221"/>
      <c r="AI111" s="292"/>
    </row>
    <row r="112" spans="1:48" s="197" customFormat="1" ht="15" customHeight="1" x14ac:dyDescent="0.2">
      <c r="A112" s="293"/>
      <c r="B112" s="301"/>
      <c r="C112" s="299"/>
      <c r="D112" s="285" t="s">
        <v>478</v>
      </c>
      <c r="E112" s="286" t="str">
        <f>FJ44</f>
        <v/>
      </c>
      <c r="F112" s="287" t="str">
        <f>FT44</f>
        <v/>
      </c>
      <c r="G112" s="298"/>
      <c r="H112" s="221"/>
      <c r="I112" s="302"/>
      <c r="J112" s="296"/>
      <c r="K112" s="296"/>
      <c r="L112" s="296"/>
      <c r="M112" s="296"/>
      <c r="N112" s="296"/>
      <c r="O112" s="296"/>
      <c r="P112" s="221"/>
      <c r="Q112" s="296"/>
      <c r="R112" s="296"/>
      <c r="S112" s="296"/>
      <c r="T112" s="221"/>
      <c r="U112" s="221"/>
      <c r="V112" s="221"/>
      <c r="W112" s="297"/>
      <c r="X112" s="298"/>
      <c r="Y112" s="221"/>
      <c r="Z112" s="221"/>
      <c r="AA112" s="297"/>
      <c r="AB112" s="298"/>
      <c r="AC112" s="297"/>
      <c r="AD112" s="221"/>
      <c r="AE112" s="221"/>
      <c r="AF112" s="221"/>
      <c r="AG112" s="221"/>
      <c r="AH112" s="221"/>
      <c r="AI112" s="292"/>
    </row>
    <row r="113" spans="1:35" s="197" customFormat="1" ht="15" customHeight="1" x14ac:dyDescent="0.2">
      <c r="A113" s="293"/>
      <c r="B113" s="266" t="s">
        <v>47</v>
      </c>
      <c r="C113" s="284" t="s">
        <v>474</v>
      </c>
      <c r="D113" s="285" t="s">
        <v>470</v>
      </c>
      <c r="E113" s="286" t="str">
        <f>F43</f>
        <v/>
      </c>
      <c r="F113" s="287" t="str">
        <f>P43</f>
        <v/>
      </c>
      <c r="G113" s="298"/>
      <c r="H113" s="221"/>
      <c r="I113" s="221"/>
      <c r="J113" s="221"/>
      <c r="K113" s="221"/>
      <c r="L113" s="221"/>
      <c r="M113" s="221"/>
      <c r="N113" s="221"/>
      <c r="O113" s="300"/>
      <c r="P113" s="221"/>
      <c r="Q113" s="221"/>
      <c r="R113" s="221"/>
      <c r="S113" s="221"/>
      <c r="T113" s="221"/>
      <c r="U113" s="221"/>
      <c r="V113" s="221"/>
      <c r="W113" s="297"/>
      <c r="X113" s="298"/>
      <c r="Y113" s="221"/>
      <c r="Z113" s="221"/>
      <c r="AA113" s="297"/>
      <c r="AB113" s="298"/>
      <c r="AC113" s="297"/>
      <c r="AD113" s="221"/>
      <c r="AE113" s="221"/>
      <c r="AF113" s="221"/>
      <c r="AG113" s="221"/>
      <c r="AH113" s="221"/>
      <c r="AI113" s="292"/>
    </row>
    <row r="114" spans="1:35" s="197" customFormat="1" ht="15" customHeight="1" x14ac:dyDescent="0.2">
      <c r="A114" s="293"/>
      <c r="B114" s="266"/>
      <c r="C114" s="294"/>
      <c r="D114" s="285" t="s">
        <v>562</v>
      </c>
      <c r="E114" s="286" t="str">
        <f>AL43</f>
        <v/>
      </c>
      <c r="F114" s="287" t="str">
        <f>AV43</f>
        <v/>
      </c>
      <c r="G114" s="295"/>
      <c r="H114" s="221"/>
      <c r="I114" s="221"/>
      <c r="J114" s="221"/>
      <c r="K114" s="221"/>
      <c r="L114" s="221"/>
      <c r="M114" s="221"/>
      <c r="N114" s="221"/>
      <c r="O114" s="296"/>
      <c r="P114" s="221"/>
      <c r="Q114" s="221"/>
      <c r="R114" s="221"/>
      <c r="S114" s="221"/>
      <c r="T114" s="221"/>
      <c r="U114" s="221"/>
      <c r="V114" s="221"/>
      <c r="W114" s="297"/>
      <c r="X114" s="298"/>
      <c r="Y114" s="221"/>
      <c r="Z114" s="221"/>
      <c r="AA114" s="297"/>
      <c r="AB114" s="298"/>
      <c r="AC114" s="297"/>
      <c r="AD114" s="221"/>
      <c r="AE114" s="221"/>
      <c r="AF114" s="221"/>
      <c r="AG114" s="221"/>
      <c r="AH114" s="221"/>
      <c r="AI114" s="292"/>
    </row>
    <row r="115" spans="1:35" s="197" customFormat="1" ht="15" customHeight="1" x14ac:dyDescent="0.2">
      <c r="A115" s="293"/>
      <c r="B115" s="266"/>
      <c r="C115" s="299"/>
      <c r="D115" s="285" t="s">
        <v>471</v>
      </c>
      <c r="E115" s="286" t="str">
        <f>BR43</f>
        <v/>
      </c>
      <c r="F115" s="287" t="str">
        <f>CB43</f>
        <v/>
      </c>
      <c r="G115" s="298"/>
      <c r="H115" s="221"/>
      <c r="I115" s="221"/>
      <c r="J115" s="221"/>
      <c r="K115" s="221"/>
      <c r="L115" s="221"/>
      <c r="M115" s="221"/>
      <c r="N115" s="221"/>
      <c r="O115" s="300"/>
      <c r="P115" s="221"/>
      <c r="Q115" s="221"/>
      <c r="R115" s="221"/>
      <c r="S115" s="221"/>
      <c r="T115" s="221"/>
      <c r="U115" s="221"/>
      <c r="V115" s="221"/>
      <c r="W115" s="297"/>
      <c r="X115" s="298"/>
      <c r="Y115" s="221"/>
      <c r="Z115" s="221"/>
      <c r="AA115" s="297"/>
      <c r="AB115" s="298"/>
      <c r="AC115" s="297"/>
      <c r="AD115" s="221"/>
      <c r="AE115" s="221"/>
      <c r="AF115" s="221"/>
      <c r="AG115" s="221"/>
      <c r="AH115" s="221"/>
      <c r="AI115" s="292"/>
    </row>
    <row r="116" spans="1:35" s="197" customFormat="1" ht="15.75" customHeight="1" x14ac:dyDescent="0.2">
      <c r="A116" s="293"/>
      <c r="B116" s="266"/>
      <c r="C116" s="284" t="s">
        <v>475</v>
      </c>
      <c r="D116" s="285" t="s">
        <v>476</v>
      </c>
      <c r="E116" s="286" t="str">
        <f>CX43</f>
        <v/>
      </c>
      <c r="F116" s="287" t="str">
        <f>DH43</f>
        <v/>
      </c>
      <c r="G116" s="298"/>
      <c r="H116" s="221"/>
      <c r="I116" s="221"/>
      <c r="J116" s="221"/>
      <c r="K116" s="221"/>
      <c r="L116" s="221"/>
      <c r="M116" s="221"/>
      <c r="N116" s="221"/>
      <c r="O116" s="300"/>
      <c r="P116" s="221"/>
      <c r="Q116" s="221"/>
      <c r="R116" s="221"/>
      <c r="S116" s="221"/>
      <c r="T116" s="221"/>
      <c r="U116" s="221"/>
      <c r="V116" s="221"/>
      <c r="W116" s="297"/>
      <c r="X116" s="298"/>
      <c r="Y116" s="221"/>
      <c r="Z116" s="221"/>
      <c r="AA116" s="297"/>
      <c r="AB116" s="298"/>
      <c r="AC116" s="297"/>
      <c r="AD116" s="221"/>
      <c r="AE116" s="221"/>
      <c r="AF116" s="221"/>
      <c r="AG116" s="221"/>
      <c r="AH116" s="221"/>
      <c r="AI116" s="292"/>
    </row>
    <row r="117" spans="1:35" s="197" customFormat="1" ht="15" customHeight="1" x14ac:dyDescent="0.2">
      <c r="A117" s="293"/>
      <c r="B117" s="266"/>
      <c r="C117" s="294"/>
      <c r="D117" s="285" t="s">
        <v>477</v>
      </c>
      <c r="E117" s="286" t="str">
        <f>ED43</f>
        <v/>
      </c>
      <c r="F117" s="287" t="str">
        <f>EN43</f>
        <v/>
      </c>
      <c r="G117" s="298"/>
      <c r="H117" s="221"/>
      <c r="I117" s="296"/>
      <c r="J117" s="296"/>
      <c r="K117" s="296"/>
      <c r="L117" s="296"/>
      <c r="M117" s="296"/>
      <c r="N117" s="221"/>
      <c r="O117" s="296"/>
      <c r="P117" s="221"/>
      <c r="Q117" s="296"/>
      <c r="R117" s="296"/>
      <c r="S117" s="296"/>
      <c r="T117" s="221"/>
      <c r="U117" s="221"/>
      <c r="V117" s="221"/>
      <c r="W117" s="297"/>
      <c r="X117" s="298"/>
      <c r="Y117" s="221"/>
      <c r="Z117" s="221"/>
      <c r="AA117" s="297"/>
      <c r="AB117" s="298"/>
      <c r="AC117" s="297"/>
      <c r="AD117" s="221"/>
      <c r="AE117" s="221"/>
      <c r="AF117" s="221"/>
      <c r="AG117" s="221"/>
      <c r="AH117" s="221"/>
      <c r="AI117" s="292"/>
    </row>
    <row r="118" spans="1:35" s="197" customFormat="1" ht="45" x14ac:dyDescent="0.2">
      <c r="A118" s="293"/>
      <c r="B118" s="266"/>
      <c r="C118" s="299"/>
      <c r="D118" s="285" t="s">
        <v>478</v>
      </c>
      <c r="E118" s="286" t="str">
        <f>FJ43</f>
        <v/>
      </c>
      <c r="F118" s="287" t="str">
        <f>FT43</f>
        <v/>
      </c>
      <c r="G118" s="298"/>
      <c r="H118" s="221"/>
      <c r="I118" s="302"/>
      <c r="J118" s="296"/>
      <c r="K118" s="296"/>
      <c r="L118" s="296"/>
      <c r="M118" s="296"/>
      <c r="N118" s="296"/>
      <c r="O118" s="296"/>
      <c r="P118" s="221"/>
      <c r="Q118" s="296"/>
      <c r="R118" s="296"/>
      <c r="S118" s="296"/>
      <c r="T118" s="221"/>
      <c r="U118" s="221"/>
      <c r="V118" s="221"/>
      <c r="W118" s="297"/>
      <c r="X118" s="298"/>
      <c r="Y118" s="221"/>
      <c r="Z118" s="221"/>
      <c r="AA118" s="297"/>
      <c r="AB118" s="298"/>
      <c r="AC118" s="297"/>
      <c r="AD118" s="221"/>
      <c r="AE118" s="221"/>
      <c r="AF118" s="221"/>
      <c r="AG118" s="221"/>
      <c r="AH118" s="221"/>
      <c r="AI118" s="292"/>
    </row>
    <row r="119" spans="1:35" s="197" customFormat="1" ht="15" customHeight="1" x14ac:dyDescent="0.2">
      <c r="A119" s="293"/>
      <c r="B119" s="303" t="s">
        <v>45</v>
      </c>
      <c r="C119" s="284" t="s">
        <v>474</v>
      </c>
      <c r="D119" s="285" t="s">
        <v>470</v>
      </c>
      <c r="E119" s="286" t="str">
        <f>F41</f>
        <v/>
      </c>
      <c r="F119" s="287" t="str">
        <f>P41</f>
        <v/>
      </c>
      <c r="G119" s="298"/>
      <c r="H119" s="221"/>
      <c r="I119" s="221"/>
      <c r="J119" s="221"/>
      <c r="K119" s="221"/>
      <c r="L119" s="221"/>
      <c r="M119" s="221"/>
      <c r="N119" s="221"/>
      <c r="O119" s="300"/>
      <c r="P119" s="221"/>
      <c r="Q119" s="221"/>
      <c r="R119" s="221"/>
      <c r="S119" s="221"/>
      <c r="T119" s="221"/>
      <c r="U119" s="221"/>
      <c r="V119" s="221"/>
      <c r="W119" s="297"/>
      <c r="X119" s="298"/>
      <c r="Y119" s="221"/>
      <c r="Z119" s="221"/>
      <c r="AA119" s="297"/>
      <c r="AB119" s="298"/>
      <c r="AC119" s="297"/>
      <c r="AD119" s="221"/>
      <c r="AE119" s="221"/>
      <c r="AF119" s="221"/>
      <c r="AG119" s="221"/>
      <c r="AH119" s="221"/>
      <c r="AI119" s="292"/>
    </row>
    <row r="120" spans="1:35" s="197" customFormat="1" ht="15" customHeight="1" x14ac:dyDescent="0.2">
      <c r="A120" s="293"/>
      <c r="B120" s="283"/>
      <c r="C120" s="294"/>
      <c r="D120" s="285" t="s">
        <v>562</v>
      </c>
      <c r="E120" s="286" t="str">
        <f>AL41</f>
        <v/>
      </c>
      <c r="F120" s="287" t="str">
        <f>AV41</f>
        <v/>
      </c>
      <c r="G120" s="295"/>
      <c r="H120" s="221"/>
      <c r="I120" s="221"/>
      <c r="J120" s="221"/>
      <c r="K120" s="221"/>
      <c r="L120" s="221"/>
      <c r="M120" s="221"/>
      <c r="N120" s="221"/>
      <c r="O120" s="296"/>
      <c r="P120" s="221"/>
      <c r="Q120" s="221"/>
      <c r="R120" s="221"/>
      <c r="S120" s="221"/>
      <c r="T120" s="221"/>
      <c r="U120" s="221"/>
      <c r="V120" s="221"/>
      <c r="W120" s="297"/>
      <c r="X120" s="298"/>
      <c r="Y120" s="221"/>
      <c r="Z120" s="221"/>
      <c r="AA120" s="297"/>
      <c r="AB120" s="298"/>
      <c r="AC120" s="297"/>
      <c r="AD120" s="221"/>
      <c r="AE120" s="221"/>
      <c r="AF120" s="221"/>
      <c r="AG120" s="221"/>
      <c r="AH120" s="221"/>
      <c r="AI120" s="292"/>
    </row>
    <row r="121" spans="1:35" s="197" customFormat="1" ht="30" x14ac:dyDescent="0.2">
      <c r="A121" s="293"/>
      <c r="B121" s="283"/>
      <c r="C121" s="299"/>
      <c r="D121" s="285" t="s">
        <v>471</v>
      </c>
      <c r="E121" s="286" t="str">
        <f>BR41</f>
        <v/>
      </c>
      <c r="F121" s="287" t="str">
        <f>CB41</f>
        <v/>
      </c>
      <c r="G121" s="298"/>
      <c r="H121" s="221"/>
      <c r="I121" s="221"/>
      <c r="J121" s="221"/>
      <c r="K121" s="221"/>
      <c r="L121" s="221"/>
      <c r="M121" s="221"/>
      <c r="N121" s="221"/>
      <c r="O121" s="300"/>
      <c r="P121" s="221"/>
      <c r="Q121" s="221"/>
      <c r="R121" s="221"/>
      <c r="S121" s="221"/>
      <c r="T121" s="221"/>
      <c r="U121" s="221"/>
      <c r="V121" s="221"/>
      <c r="W121" s="297"/>
      <c r="X121" s="298"/>
      <c r="Y121" s="221"/>
      <c r="Z121" s="221"/>
      <c r="AA121" s="297"/>
      <c r="AB121" s="298"/>
      <c r="AC121" s="297"/>
      <c r="AD121" s="221"/>
      <c r="AE121" s="221"/>
      <c r="AF121" s="221"/>
      <c r="AG121" s="221"/>
      <c r="AH121" s="221"/>
      <c r="AI121" s="292"/>
    </row>
    <row r="122" spans="1:35" s="197" customFormat="1" ht="15" customHeight="1" x14ac:dyDescent="0.2">
      <c r="A122" s="293"/>
      <c r="B122" s="283"/>
      <c r="C122" s="284" t="s">
        <v>475</v>
      </c>
      <c r="D122" s="285" t="s">
        <v>476</v>
      </c>
      <c r="E122" s="286" t="str">
        <f>CX41</f>
        <v/>
      </c>
      <c r="F122" s="287" t="str">
        <f>DH41</f>
        <v/>
      </c>
      <c r="G122" s="298"/>
      <c r="H122" s="221"/>
      <c r="I122" s="221"/>
      <c r="J122" s="221"/>
      <c r="K122" s="221"/>
      <c r="L122" s="221"/>
      <c r="M122" s="221"/>
      <c r="N122" s="221"/>
      <c r="O122" s="300"/>
      <c r="P122" s="221"/>
      <c r="Q122" s="221"/>
      <c r="R122" s="221"/>
      <c r="S122" s="221"/>
      <c r="T122" s="221"/>
      <c r="U122" s="221"/>
      <c r="V122" s="221"/>
      <c r="W122" s="297"/>
      <c r="X122" s="298"/>
      <c r="Y122" s="221"/>
      <c r="Z122" s="221"/>
      <c r="AA122" s="297"/>
      <c r="AB122" s="298"/>
      <c r="AC122" s="297"/>
      <c r="AD122" s="221"/>
      <c r="AE122" s="221"/>
      <c r="AF122" s="221"/>
      <c r="AG122" s="221"/>
      <c r="AH122" s="221"/>
      <c r="AI122" s="292"/>
    </row>
    <row r="123" spans="1:35" s="197" customFormat="1" ht="60" x14ac:dyDescent="0.2">
      <c r="A123" s="293"/>
      <c r="B123" s="283"/>
      <c r="C123" s="294"/>
      <c r="D123" s="285" t="s">
        <v>477</v>
      </c>
      <c r="E123" s="286" t="str">
        <f>ED41</f>
        <v/>
      </c>
      <c r="F123" s="287" t="str">
        <f>EN41</f>
        <v/>
      </c>
      <c r="G123" s="298"/>
      <c r="H123" s="221"/>
      <c r="I123" s="296"/>
      <c r="J123" s="296"/>
      <c r="K123" s="296"/>
      <c r="L123" s="296"/>
      <c r="M123" s="296"/>
      <c r="N123" s="221"/>
      <c r="O123" s="296"/>
      <c r="P123" s="221"/>
      <c r="Q123" s="296"/>
      <c r="R123" s="296"/>
      <c r="S123" s="296"/>
      <c r="T123" s="221"/>
      <c r="U123" s="221"/>
      <c r="V123" s="221"/>
      <c r="W123" s="297"/>
      <c r="X123" s="298"/>
      <c r="Y123" s="221"/>
      <c r="Z123" s="221"/>
      <c r="AA123" s="297"/>
      <c r="AB123" s="298"/>
      <c r="AC123" s="297"/>
      <c r="AD123" s="221"/>
      <c r="AE123" s="221"/>
      <c r="AF123" s="221"/>
      <c r="AG123" s="221"/>
      <c r="AH123" s="221"/>
      <c r="AI123" s="292"/>
    </row>
    <row r="124" spans="1:35" s="197" customFormat="1" ht="15" customHeight="1" x14ac:dyDescent="0.2">
      <c r="A124" s="293"/>
      <c r="B124" s="301"/>
      <c r="C124" s="299"/>
      <c r="D124" s="285" t="s">
        <v>478</v>
      </c>
      <c r="E124" s="286" t="str">
        <f>FJ41</f>
        <v/>
      </c>
      <c r="F124" s="287" t="str">
        <f>FT41</f>
        <v/>
      </c>
      <c r="G124" s="298"/>
      <c r="H124" s="221"/>
      <c r="I124" s="302"/>
      <c r="J124" s="296"/>
      <c r="K124" s="296"/>
      <c r="L124" s="296"/>
      <c r="M124" s="296"/>
      <c r="N124" s="296"/>
      <c r="O124" s="296"/>
      <c r="P124" s="221"/>
      <c r="Q124" s="296"/>
      <c r="R124" s="296"/>
      <c r="S124" s="296"/>
      <c r="T124" s="221"/>
      <c r="U124" s="221"/>
      <c r="V124" s="221"/>
      <c r="W124" s="297"/>
      <c r="X124" s="298"/>
      <c r="Y124" s="221"/>
      <c r="Z124" s="221"/>
      <c r="AA124" s="297"/>
      <c r="AB124" s="298"/>
      <c r="AC124" s="297"/>
      <c r="AD124" s="221"/>
      <c r="AE124" s="221"/>
      <c r="AF124" s="221"/>
      <c r="AG124" s="221"/>
      <c r="AH124" s="221"/>
      <c r="AI124" s="292"/>
    </row>
    <row r="125" spans="1:35" s="197" customFormat="1" ht="15" customHeight="1" x14ac:dyDescent="0.2">
      <c r="A125" s="293"/>
      <c r="B125" s="266" t="s">
        <v>46</v>
      </c>
      <c r="C125" s="284" t="s">
        <v>474</v>
      </c>
      <c r="D125" s="285" t="s">
        <v>470</v>
      </c>
      <c r="E125" s="286" t="str">
        <f>G42</f>
        <v/>
      </c>
      <c r="F125" s="287" t="str">
        <f>Q42</f>
        <v/>
      </c>
      <c r="G125" s="298"/>
      <c r="H125" s="221"/>
      <c r="I125" s="221"/>
      <c r="J125" s="221"/>
      <c r="K125" s="221"/>
      <c r="L125" s="221"/>
      <c r="M125" s="221"/>
      <c r="N125" s="221"/>
      <c r="O125" s="300"/>
      <c r="P125" s="221"/>
      <c r="Q125" s="221"/>
      <c r="R125" s="221"/>
      <c r="S125" s="221"/>
      <c r="T125" s="221"/>
      <c r="U125" s="221"/>
      <c r="V125" s="221"/>
      <c r="W125" s="297"/>
      <c r="X125" s="298"/>
      <c r="Y125" s="221"/>
      <c r="Z125" s="221"/>
      <c r="AA125" s="297"/>
      <c r="AB125" s="298"/>
      <c r="AC125" s="297"/>
      <c r="AD125" s="221"/>
      <c r="AE125" s="221"/>
      <c r="AF125" s="221"/>
      <c r="AG125" s="221"/>
      <c r="AH125" s="221"/>
      <c r="AI125" s="292"/>
    </row>
    <row r="126" spans="1:35" s="197" customFormat="1" ht="60" x14ac:dyDescent="0.2">
      <c r="A126" s="293"/>
      <c r="B126" s="266"/>
      <c r="C126" s="294"/>
      <c r="D126" s="285" t="s">
        <v>562</v>
      </c>
      <c r="E126" s="286" t="str">
        <f>AM42</f>
        <v/>
      </c>
      <c r="F126" s="287" t="str">
        <f>AW42</f>
        <v/>
      </c>
      <c r="G126" s="295"/>
      <c r="H126" s="221"/>
      <c r="I126" s="221"/>
      <c r="J126" s="221"/>
      <c r="K126" s="221"/>
      <c r="L126" s="221"/>
      <c r="M126" s="221"/>
      <c r="N126" s="221"/>
      <c r="O126" s="296"/>
      <c r="P126" s="221"/>
      <c r="Q126" s="221"/>
      <c r="R126" s="221"/>
      <c r="S126" s="221"/>
      <c r="T126" s="221"/>
      <c r="U126" s="221"/>
      <c r="V126" s="221"/>
      <c r="W126" s="297"/>
      <c r="X126" s="298"/>
      <c r="Y126" s="221"/>
      <c r="Z126" s="221"/>
      <c r="AA126" s="297"/>
      <c r="AB126" s="298"/>
      <c r="AC126" s="297"/>
      <c r="AD126" s="221"/>
      <c r="AE126" s="221"/>
      <c r="AF126" s="221"/>
      <c r="AG126" s="221"/>
      <c r="AH126" s="221"/>
      <c r="AI126" s="292"/>
    </row>
    <row r="127" spans="1:35" s="197" customFormat="1" ht="15" customHeight="1" x14ac:dyDescent="0.2">
      <c r="A127" s="293"/>
      <c r="B127" s="266"/>
      <c r="C127" s="299"/>
      <c r="D127" s="285" t="s">
        <v>471</v>
      </c>
      <c r="E127" s="286" t="str">
        <f>BS42</f>
        <v/>
      </c>
      <c r="F127" s="287" t="str">
        <f>CC42</f>
        <v/>
      </c>
      <c r="G127" s="298"/>
      <c r="H127" s="221"/>
      <c r="I127" s="221"/>
      <c r="J127" s="221"/>
      <c r="K127" s="221"/>
      <c r="L127" s="221"/>
      <c r="M127" s="221"/>
      <c r="N127" s="221"/>
      <c r="O127" s="300"/>
      <c r="P127" s="221"/>
      <c r="Q127" s="221"/>
      <c r="R127" s="221"/>
      <c r="S127" s="221"/>
      <c r="T127" s="221"/>
      <c r="U127" s="221"/>
      <c r="V127" s="221"/>
      <c r="W127" s="297"/>
      <c r="X127" s="298"/>
      <c r="Y127" s="221"/>
      <c r="Z127" s="221"/>
      <c r="AA127" s="297"/>
      <c r="AB127" s="298"/>
      <c r="AC127" s="297"/>
      <c r="AD127" s="221"/>
      <c r="AE127" s="221"/>
      <c r="AF127" s="221"/>
      <c r="AG127" s="221"/>
      <c r="AH127" s="221"/>
      <c r="AI127" s="292"/>
    </row>
    <row r="128" spans="1:35" s="197" customFormat="1" ht="15" customHeight="1" x14ac:dyDescent="0.2">
      <c r="A128" s="293"/>
      <c r="B128" s="266"/>
      <c r="C128" s="284" t="s">
        <v>475</v>
      </c>
      <c r="D128" s="285" t="s">
        <v>476</v>
      </c>
      <c r="E128" s="286" t="str">
        <f>CY42</f>
        <v/>
      </c>
      <c r="F128" s="287" t="str">
        <f>DI42</f>
        <v/>
      </c>
      <c r="G128" s="298"/>
      <c r="H128" s="221"/>
      <c r="I128" s="221"/>
      <c r="J128" s="221"/>
      <c r="K128" s="221"/>
      <c r="L128" s="221"/>
      <c r="M128" s="221"/>
      <c r="N128" s="221"/>
      <c r="O128" s="300"/>
      <c r="P128" s="221"/>
      <c r="Q128" s="221"/>
      <c r="R128" s="221"/>
      <c r="S128" s="221"/>
      <c r="T128" s="221"/>
      <c r="U128" s="221"/>
      <c r="V128" s="221"/>
      <c r="W128" s="297"/>
      <c r="X128" s="298"/>
      <c r="Y128" s="221"/>
      <c r="Z128" s="221"/>
      <c r="AA128" s="297"/>
      <c r="AB128" s="298"/>
      <c r="AC128" s="297"/>
      <c r="AD128" s="221"/>
      <c r="AE128" s="221"/>
      <c r="AF128" s="221"/>
      <c r="AG128" s="221"/>
      <c r="AH128" s="221"/>
      <c r="AI128" s="292"/>
    </row>
    <row r="129" spans="1:35" s="197" customFormat="1" ht="15" customHeight="1" x14ac:dyDescent="0.2">
      <c r="A129" s="293"/>
      <c r="B129" s="266"/>
      <c r="C129" s="294"/>
      <c r="D129" s="285" t="s">
        <v>477</v>
      </c>
      <c r="E129" s="286" t="str">
        <f>EE42</f>
        <v/>
      </c>
      <c r="F129" s="287" t="str">
        <f>EO42</f>
        <v/>
      </c>
      <c r="G129" s="298"/>
      <c r="H129" s="221"/>
      <c r="I129" s="296"/>
      <c r="J129" s="296"/>
      <c r="K129" s="296"/>
      <c r="L129" s="296"/>
      <c r="M129" s="296"/>
      <c r="N129" s="221"/>
      <c r="O129" s="296"/>
      <c r="P129" s="221"/>
      <c r="Q129" s="296"/>
      <c r="R129" s="296"/>
      <c r="S129" s="296"/>
      <c r="T129" s="221"/>
      <c r="U129" s="221"/>
      <c r="V129" s="221"/>
      <c r="W129" s="297"/>
      <c r="X129" s="298"/>
      <c r="Y129" s="221"/>
      <c r="Z129" s="221"/>
      <c r="AA129" s="297"/>
      <c r="AB129" s="298"/>
      <c r="AC129" s="297"/>
      <c r="AD129" s="221"/>
      <c r="AE129" s="221"/>
      <c r="AF129" s="221"/>
      <c r="AG129" s="221"/>
      <c r="AH129" s="221"/>
      <c r="AI129" s="292"/>
    </row>
    <row r="130" spans="1:35" s="197" customFormat="1" ht="15" customHeight="1" x14ac:dyDescent="0.2">
      <c r="A130" s="304"/>
      <c r="B130" s="266"/>
      <c r="C130" s="299"/>
      <c r="D130" s="285" t="s">
        <v>478</v>
      </c>
      <c r="E130" s="286" t="str">
        <f>FK42</f>
        <v/>
      </c>
      <c r="F130" s="287" t="str">
        <f>FU42</f>
        <v/>
      </c>
      <c r="G130" s="298"/>
      <c r="H130" s="221"/>
      <c r="I130" s="302"/>
      <c r="J130" s="296"/>
      <c r="K130" s="296"/>
      <c r="L130" s="296"/>
      <c r="M130" s="296"/>
      <c r="N130" s="296"/>
      <c r="O130" s="296"/>
      <c r="P130" s="221"/>
      <c r="Q130" s="296"/>
      <c r="R130" s="296"/>
      <c r="S130" s="296"/>
      <c r="T130" s="221"/>
      <c r="U130" s="221"/>
      <c r="V130" s="221"/>
      <c r="W130" s="297"/>
      <c r="X130" s="298"/>
      <c r="Y130" s="221"/>
      <c r="Z130" s="221"/>
      <c r="AA130" s="297"/>
      <c r="AB130" s="298"/>
      <c r="AC130" s="297"/>
      <c r="AD130" s="221"/>
      <c r="AE130" s="221"/>
      <c r="AF130" s="221"/>
      <c r="AG130" s="221"/>
      <c r="AH130" s="221"/>
      <c r="AI130" s="292"/>
    </row>
    <row r="131" spans="1:35" s="197" customFormat="1" ht="15.75" customHeight="1" x14ac:dyDescent="0.2">
      <c r="A131" s="282" t="s">
        <v>124</v>
      </c>
      <c r="B131" s="303" t="s">
        <v>125</v>
      </c>
      <c r="C131" s="284" t="s">
        <v>474</v>
      </c>
      <c r="D131" s="285" t="s">
        <v>470</v>
      </c>
      <c r="E131" s="286" t="str">
        <f>F45</f>
        <v/>
      </c>
      <c r="F131" s="287" t="str">
        <f>P45</f>
        <v/>
      </c>
      <c r="G131" s="298"/>
      <c r="H131" s="221"/>
      <c r="I131" s="221"/>
      <c r="J131" s="221"/>
      <c r="K131" s="221"/>
      <c r="L131" s="221"/>
      <c r="M131" s="221"/>
      <c r="N131" s="221"/>
      <c r="O131" s="300"/>
      <c r="P131" s="221"/>
      <c r="Q131" s="221"/>
      <c r="R131" s="221"/>
      <c r="S131" s="221"/>
      <c r="T131" s="221"/>
      <c r="U131" s="221"/>
      <c r="V131" s="221"/>
      <c r="W131" s="297"/>
      <c r="X131" s="298"/>
      <c r="Y131" s="221"/>
      <c r="Z131" s="221"/>
      <c r="AA131" s="297"/>
      <c r="AB131" s="298"/>
      <c r="AC131" s="297"/>
      <c r="AD131" s="221"/>
      <c r="AE131" s="221"/>
      <c r="AF131" s="221"/>
      <c r="AG131" s="221"/>
      <c r="AH131" s="221"/>
      <c r="AI131" s="292"/>
    </row>
    <row r="132" spans="1:35" s="197" customFormat="1" ht="15" customHeight="1" x14ac:dyDescent="0.2">
      <c r="A132" s="293"/>
      <c r="B132" s="283"/>
      <c r="C132" s="294"/>
      <c r="D132" s="285" t="s">
        <v>562</v>
      </c>
      <c r="E132" s="286" t="str">
        <f>AL45</f>
        <v/>
      </c>
      <c r="F132" s="287" t="str">
        <f>AV45</f>
        <v/>
      </c>
      <c r="G132" s="295"/>
      <c r="H132" s="221"/>
      <c r="I132" s="221"/>
      <c r="J132" s="221"/>
      <c r="K132" s="221"/>
      <c r="L132" s="221"/>
      <c r="M132" s="221"/>
      <c r="N132" s="221"/>
      <c r="O132" s="296"/>
      <c r="P132" s="221"/>
      <c r="Q132" s="221"/>
      <c r="R132" s="221"/>
      <c r="S132" s="221"/>
      <c r="T132" s="221"/>
      <c r="U132" s="221"/>
      <c r="V132" s="221"/>
      <c r="W132" s="297"/>
      <c r="X132" s="298"/>
      <c r="Y132" s="221"/>
      <c r="Z132" s="221"/>
      <c r="AA132" s="297"/>
      <c r="AB132" s="298"/>
      <c r="AC132" s="297"/>
      <c r="AD132" s="221"/>
      <c r="AE132" s="221"/>
      <c r="AF132" s="221"/>
      <c r="AG132" s="221"/>
      <c r="AH132" s="221"/>
      <c r="AI132" s="292"/>
    </row>
    <row r="133" spans="1:35" s="197" customFormat="1" ht="30" x14ac:dyDescent="0.2">
      <c r="A133" s="293"/>
      <c r="B133" s="283"/>
      <c r="C133" s="299"/>
      <c r="D133" s="285" t="s">
        <v>471</v>
      </c>
      <c r="E133" s="286" t="str">
        <f>BR45</f>
        <v/>
      </c>
      <c r="F133" s="287" t="str">
        <f>CB45</f>
        <v/>
      </c>
      <c r="G133" s="298"/>
      <c r="H133" s="221"/>
      <c r="I133" s="221"/>
      <c r="J133" s="221"/>
      <c r="K133" s="221"/>
      <c r="L133" s="221"/>
      <c r="M133" s="221"/>
      <c r="N133" s="221"/>
      <c r="O133" s="300"/>
      <c r="P133" s="221"/>
      <c r="Q133" s="221"/>
      <c r="R133" s="221"/>
      <c r="S133" s="221"/>
      <c r="T133" s="221"/>
      <c r="U133" s="221"/>
      <c r="V133" s="221"/>
      <c r="W133" s="297"/>
      <c r="X133" s="298"/>
      <c r="Y133" s="221"/>
      <c r="Z133" s="221"/>
      <c r="AA133" s="297"/>
      <c r="AB133" s="298"/>
      <c r="AC133" s="297"/>
      <c r="AD133" s="221"/>
      <c r="AE133" s="221"/>
      <c r="AF133" s="221"/>
      <c r="AG133" s="221"/>
      <c r="AH133" s="221"/>
      <c r="AI133" s="292"/>
    </row>
    <row r="134" spans="1:35" s="197" customFormat="1" ht="15" customHeight="1" x14ac:dyDescent="0.2">
      <c r="A134" s="293"/>
      <c r="B134" s="283"/>
      <c r="C134" s="284" t="s">
        <v>475</v>
      </c>
      <c r="D134" s="285" t="s">
        <v>476</v>
      </c>
      <c r="E134" s="286" t="str">
        <f>CX45</f>
        <v/>
      </c>
      <c r="F134" s="287" t="str">
        <f>DH45</f>
        <v/>
      </c>
      <c r="G134" s="298"/>
      <c r="H134" s="221"/>
      <c r="I134" s="221"/>
      <c r="J134" s="221"/>
      <c r="K134" s="221"/>
      <c r="L134" s="221"/>
      <c r="M134" s="221"/>
      <c r="N134" s="221"/>
      <c r="O134" s="300"/>
      <c r="P134" s="221"/>
      <c r="Q134" s="221"/>
      <c r="R134" s="221"/>
      <c r="S134" s="221"/>
      <c r="T134" s="221"/>
      <c r="U134" s="221"/>
      <c r="V134" s="221"/>
      <c r="W134" s="297"/>
      <c r="X134" s="298"/>
      <c r="Y134" s="221"/>
      <c r="Z134" s="221"/>
      <c r="AA134" s="297"/>
      <c r="AB134" s="298"/>
      <c r="AC134" s="297"/>
      <c r="AD134" s="221"/>
      <c r="AE134" s="221"/>
      <c r="AF134" s="221"/>
      <c r="AG134" s="221"/>
      <c r="AH134" s="221"/>
      <c r="AI134" s="292"/>
    </row>
    <row r="135" spans="1:35" s="197" customFormat="1" ht="15" customHeight="1" x14ac:dyDescent="0.2">
      <c r="A135" s="293"/>
      <c r="B135" s="283"/>
      <c r="C135" s="294"/>
      <c r="D135" s="285" t="s">
        <v>477</v>
      </c>
      <c r="E135" s="286" t="str">
        <f>ED45</f>
        <v/>
      </c>
      <c r="F135" s="287" t="str">
        <f>EN45</f>
        <v/>
      </c>
      <c r="G135" s="298"/>
      <c r="H135" s="221"/>
      <c r="I135" s="296"/>
      <c r="J135" s="296"/>
      <c r="K135" s="296"/>
      <c r="L135" s="296"/>
      <c r="M135" s="296"/>
      <c r="N135" s="221"/>
      <c r="O135" s="296"/>
      <c r="P135" s="221"/>
      <c r="Q135" s="296"/>
      <c r="R135" s="296"/>
      <c r="S135" s="296"/>
      <c r="T135" s="221"/>
      <c r="U135" s="221"/>
      <c r="V135" s="221"/>
      <c r="W135" s="297"/>
      <c r="X135" s="298"/>
      <c r="Y135" s="221"/>
      <c r="Z135" s="221"/>
      <c r="AA135" s="297"/>
      <c r="AB135" s="298"/>
      <c r="AC135" s="297"/>
      <c r="AD135" s="221"/>
      <c r="AE135" s="221"/>
      <c r="AF135" s="221"/>
      <c r="AG135" s="221"/>
      <c r="AH135" s="221"/>
      <c r="AI135" s="292"/>
    </row>
    <row r="136" spans="1:35" s="197" customFormat="1" ht="45" x14ac:dyDescent="0.2">
      <c r="A136" s="304"/>
      <c r="B136" s="301"/>
      <c r="C136" s="299"/>
      <c r="D136" s="285" t="s">
        <v>478</v>
      </c>
      <c r="E136" s="286" t="str">
        <f>FJ45</f>
        <v/>
      </c>
      <c r="F136" s="287" t="str">
        <f>FT45</f>
        <v/>
      </c>
      <c r="G136" s="298"/>
      <c r="H136" s="221"/>
      <c r="I136" s="302"/>
      <c r="J136" s="296"/>
      <c r="K136" s="296"/>
      <c r="L136" s="296"/>
      <c r="M136" s="296"/>
      <c r="N136" s="296"/>
      <c r="O136" s="296"/>
      <c r="P136" s="221"/>
      <c r="Q136" s="296"/>
      <c r="R136" s="296"/>
      <c r="S136" s="296"/>
      <c r="T136" s="221"/>
      <c r="U136" s="221"/>
      <c r="V136" s="221"/>
      <c r="W136" s="297"/>
      <c r="X136" s="298"/>
      <c r="Y136" s="221"/>
      <c r="Z136" s="221"/>
      <c r="AA136" s="297"/>
      <c r="AB136" s="298"/>
      <c r="AC136" s="297"/>
      <c r="AD136" s="221"/>
      <c r="AE136" s="221"/>
      <c r="AF136" s="221"/>
      <c r="AG136" s="221"/>
      <c r="AH136" s="221"/>
      <c r="AI136" s="292"/>
    </row>
    <row r="137" spans="1:35" s="197" customFormat="1" ht="15" customHeight="1" x14ac:dyDescent="0.2">
      <c r="A137" s="282" t="s">
        <v>126</v>
      </c>
      <c r="B137" s="266" t="s">
        <v>129</v>
      </c>
      <c r="C137" s="284" t="s">
        <v>474</v>
      </c>
      <c r="D137" s="285" t="s">
        <v>470</v>
      </c>
      <c r="E137" s="286" t="str">
        <f>F48</f>
        <v/>
      </c>
      <c r="F137" s="305"/>
      <c r="G137" s="298"/>
      <c r="H137" s="221"/>
      <c r="I137" s="221"/>
      <c r="J137" s="221"/>
      <c r="K137" s="221"/>
      <c r="L137" s="221"/>
      <c r="M137" s="221"/>
      <c r="N137" s="221"/>
      <c r="O137" s="300"/>
      <c r="P137" s="221"/>
      <c r="Q137" s="221"/>
      <c r="R137" s="221"/>
      <c r="S137" s="221"/>
      <c r="T137" s="221"/>
      <c r="U137" s="221"/>
      <c r="V137" s="221"/>
      <c r="W137" s="297"/>
      <c r="X137" s="298"/>
      <c r="Y137" s="221"/>
      <c r="Z137" s="221"/>
      <c r="AA137" s="297"/>
      <c r="AB137" s="298"/>
      <c r="AC137" s="297"/>
      <c r="AD137" s="221"/>
      <c r="AE137" s="221"/>
      <c r="AF137" s="221"/>
      <c r="AG137" s="221"/>
      <c r="AH137" s="221"/>
      <c r="AI137" s="292"/>
    </row>
    <row r="138" spans="1:35" s="197" customFormat="1" ht="60" x14ac:dyDescent="0.2">
      <c r="A138" s="293"/>
      <c r="B138" s="266"/>
      <c r="C138" s="294"/>
      <c r="D138" s="285" t="s">
        <v>562</v>
      </c>
      <c r="E138" s="286" t="str">
        <f>AL48</f>
        <v/>
      </c>
      <c r="F138" s="305"/>
      <c r="G138" s="295"/>
      <c r="H138" s="221"/>
      <c r="I138" s="221"/>
      <c r="J138" s="221"/>
      <c r="K138" s="221"/>
      <c r="L138" s="221"/>
      <c r="M138" s="221"/>
      <c r="N138" s="221"/>
      <c r="O138" s="296"/>
      <c r="P138" s="221"/>
      <c r="Q138" s="221"/>
      <c r="R138" s="221"/>
      <c r="S138" s="221"/>
      <c r="T138" s="221"/>
      <c r="U138" s="221"/>
      <c r="V138" s="221"/>
      <c r="W138" s="297"/>
      <c r="X138" s="298"/>
      <c r="Y138" s="221"/>
      <c r="Z138" s="221"/>
      <c r="AA138" s="297"/>
      <c r="AB138" s="298"/>
      <c r="AC138" s="297"/>
      <c r="AD138" s="221"/>
      <c r="AE138" s="221"/>
      <c r="AF138" s="221"/>
      <c r="AG138" s="221"/>
      <c r="AH138" s="221"/>
      <c r="AI138" s="292"/>
    </row>
    <row r="139" spans="1:35" s="197" customFormat="1" ht="15" customHeight="1" x14ac:dyDescent="0.2">
      <c r="A139" s="293"/>
      <c r="B139" s="266"/>
      <c r="C139" s="299"/>
      <c r="D139" s="285" t="s">
        <v>471</v>
      </c>
      <c r="E139" s="286" t="str">
        <f>BR48</f>
        <v/>
      </c>
      <c r="F139" s="305"/>
      <c r="G139" s="298"/>
      <c r="H139" s="221"/>
      <c r="I139" s="221"/>
      <c r="J139" s="221"/>
      <c r="K139" s="221"/>
      <c r="L139" s="221"/>
      <c r="M139" s="221"/>
      <c r="N139" s="221"/>
      <c r="O139" s="300"/>
      <c r="P139" s="221"/>
      <c r="Q139" s="221"/>
      <c r="R139" s="221"/>
      <c r="S139" s="221"/>
      <c r="T139" s="221"/>
      <c r="U139" s="221"/>
      <c r="V139" s="221"/>
      <c r="W139" s="297"/>
      <c r="X139" s="298"/>
      <c r="Y139" s="221"/>
      <c r="Z139" s="221"/>
      <c r="AA139" s="297"/>
      <c r="AB139" s="298"/>
      <c r="AC139" s="297"/>
      <c r="AD139" s="221"/>
      <c r="AE139" s="221"/>
      <c r="AF139" s="221"/>
      <c r="AG139" s="221"/>
      <c r="AH139" s="221"/>
      <c r="AI139" s="292"/>
    </row>
    <row r="140" spans="1:35" s="197" customFormat="1" ht="15" customHeight="1" x14ac:dyDescent="0.2">
      <c r="A140" s="293"/>
      <c r="B140" s="266"/>
      <c r="C140" s="284" t="s">
        <v>475</v>
      </c>
      <c r="D140" s="285" t="s">
        <v>476</v>
      </c>
      <c r="E140" s="286" t="str">
        <f>CX48</f>
        <v/>
      </c>
      <c r="F140" s="305"/>
      <c r="G140" s="298"/>
      <c r="H140" s="221"/>
      <c r="I140" s="221"/>
      <c r="J140" s="221"/>
      <c r="K140" s="221"/>
      <c r="L140" s="221"/>
      <c r="M140" s="221"/>
      <c r="N140" s="221"/>
      <c r="O140" s="300"/>
      <c r="P140" s="221"/>
      <c r="Q140" s="221"/>
      <c r="R140" s="221"/>
      <c r="S140" s="221"/>
      <c r="T140" s="221"/>
      <c r="U140" s="221"/>
      <c r="V140" s="221"/>
      <c r="W140" s="297"/>
      <c r="X140" s="298"/>
      <c r="Y140" s="221"/>
      <c r="Z140" s="221"/>
      <c r="AA140" s="297"/>
      <c r="AB140" s="298"/>
      <c r="AC140" s="297"/>
      <c r="AD140" s="221"/>
      <c r="AE140" s="221"/>
      <c r="AF140" s="221"/>
      <c r="AG140" s="221"/>
      <c r="AH140" s="221"/>
      <c r="AI140" s="292"/>
    </row>
    <row r="141" spans="1:35" s="197" customFormat="1" ht="60" x14ac:dyDescent="0.2">
      <c r="A141" s="293"/>
      <c r="B141" s="266"/>
      <c r="C141" s="294"/>
      <c r="D141" s="285" t="s">
        <v>477</v>
      </c>
      <c r="E141" s="286" t="str">
        <f>ED48</f>
        <v/>
      </c>
      <c r="F141" s="305"/>
      <c r="G141" s="298"/>
      <c r="H141" s="221"/>
      <c r="I141" s="296"/>
      <c r="J141" s="296"/>
      <c r="K141" s="296"/>
      <c r="L141" s="296"/>
      <c r="M141" s="296"/>
      <c r="N141" s="221"/>
      <c r="O141" s="296"/>
      <c r="P141" s="221"/>
      <c r="Q141" s="296"/>
      <c r="R141" s="296"/>
      <c r="S141" s="296"/>
      <c r="T141" s="221"/>
      <c r="U141" s="221"/>
      <c r="V141" s="221"/>
      <c r="W141" s="297"/>
      <c r="X141" s="298"/>
      <c r="Y141" s="221"/>
      <c r="Z141" s="221"/>
      <c r="AA141" s="297"/>
      <c r="AB141" s="298"/>
      <c r="AC141" s="297"/>
      <c r="AD141" s="221"/>
      <c r="AE141" s="221"/>
      <c r="AF141" s="221"/>
      <c r="AG141" s="221"/>
      <c r="AH141" s="221"/>
      <c r="AI141" s="292"/>
    </row>
    <row r="142" spans="1:35" s="197" customFormat="1" ht="15" customHeight="1" x14ac:dyDescent="0.2">
      <c r="A142" s="293"/>
      <c r="B142" s="266"/>
      <c r="C142" s="299"/>
      <c r="D142" s="285" t="s">
        <v>478</v>
      </c>
      <c r="E142" s="286" t="str">
        <f>FJ48</f>
        <v/>
      </c>
      <c r="F142" s="305"/>
      <c r="G142" s="298"/>
      <c r="H142" s="221"/>
      <c r="I142" s="302"/>
      <c r="J142" s="296"/>
      <c r="K142" s="296"/>
      <c r="L142" s="296"/>
      <c r="M142" s="296"/>
      <c r="N142" s="296"/>
      <c r="O142" s="296"/>
      <c r="P142" s="221"/>
      <c r="Q142" s="296"/>
      <c r="R142" s="296"/>
      <c r="S142" s="296"/>
      <c r="T142" s="221"/>
      <c r="U142" s="221"/>
      <c r="V142" s="221"/>
      <c r="W142" s="297"/>
      <c r="X142" s="298"/>
      <c r="Y142" s="221"/>
      <c r="Z142" s="221"/>
      <c r="AA142" s="297"/>
      <c r="AB142" s="298"/>
      <c r="AC142" s="297"/>
      <c r="AD142" s="221"/>
      <c r="AE142" s="221"/>
      <c r="AF142" s="221"/>
      <c r="AG142" s="221"/>
      <c r="AH142" s="221"/>
      <c r="AI142" s="292"/>
    </row>
    <row r="143" spans="1:35" s="197" customFormat="1" ht="15" customHeight="1" x14ac:dyDescent="0.2">
      <c r="A143" s="293"/>
      <c r="B143" s="303" t="s">
        <v>362</v>
      </c>
      <c r="C143" s="284" t="s">
        <v>474</v>
      </c>
      <c r="D143" s="285" t="s">
        <v>470</v>
      </c>
      <c r="E143" s="286" t="str">
        <f>F47</f>
        <v/>
      </c>
      <c r="F143" s="305"/>
      <c r="G143" s="298"/>
      <c r="H143" s="221"/>
      <c r="I143" s="221"/>
      <c r="J143" s="221"/>
      <c r="K143" s="221"/>
      <c r="L143" s="221"/>
      <c r="M143" s="221"/>
      <c r="N143" s="221"/>
      <c r="O143" s="300"/>
      <c r="P143" s="221"/>
      <c r="Q143" s="221"/>
      <c r="R143" s="221"/>
      <c r="S143" s="221"/>
      <c r="T143" s="221"/>
      <c r="U143" s="221"/>
      <c r="V143" s="221"/>
      <c r="W143" s="297"/>
      <c r="X143" s="298"/>
      <c r="Y143" s="221"/>
      <c r="Z143" s="221"/>
      <c r="AA143" s="297"/>
      <c r="AB143" s="298"/>
      <c r="AC143" s="297"/>
      <c r="AD143" s="221"/>
      <c r="AE143" s="221"/>
      <c r="AF143" s="221"/>
      <c r="AG143" s="221"/>
      <c r="AH143" s="221"/>
      <c r="AI143" s="292"/>
    </row>
    <row r="144" spans="1:35" s="197" customFormat="1" ht="15" customHeight="1" x14ac:dyDescent="0.2">
      <c r="A144" s="293"/>
      <c r="B144" s="283"/>
      <c r="C144" s="294"/>
      <c r="D144" s="285" t="s">
        <v>562</v>
      </c>
      <c r="E144" s="286" t="str">
        <f>AL47</f>
        <v/>
      </c>
      <c r="F144" s="305"/>
      <c r="G144" s="295"/>
      <c r="H144" s="221"/>
      <c r="I144" s="221"/>
      <c r="J144" s="221"/>
      <c r="K144" s="221"/>
      <c r="L144" s="221"/>
      <c r="M144" s="221"/>
      <c r="N144" s="221"/>
      <c r="O144" s="296"/>
      <c r="P144" s="221"/>
      <c r="Q144" s="221"/>
      <c r="R144" s="221"/>
      <c r="S144" s="221"/>
      <c r="T144" s="221"/>
      <c r="U144" s="221"/>
      <c r="V144" s="221"/>
      <c r="W144" s="297"/>
      <c r="X144" s="298"/>
      <c r="Y144" s="221"/>
      <c r="Z144" s="221"/>
      <c r="AA144" s="297"/>
      <c r="AB144" s="298"/>
      <c r="AC144" s="297"/>
      <c r="AD144" s="221"/>
      <c r="AE144" s="221"/>
      <c r="AF144" s="221"/>
      <c r="AG144" s="221"/>
      <c r="AH144" s="221"/>
      <c r="AI144" s="292"/>
    </row>
    <row r="145" spans="1:35" s="197" customFormat="1" ht="15" customHeight="1" x14ac:dyDescent="0.2">
      <c r="A145" s="293"/>
      <c r="B145" s="283"/>
      <c r="C145" s="299"/>
      <c r="D145" s="285" t="s">
        <v>471</v>
      </c>
      <c r="E145" s="286" t="str">
        <f>BR47</f>
        <v/>
      </c>
      <c r="F145" s="305"/>
      <c r="G145" s="298"/>
      <c r="H145" s="221"/>
      <c r="I145" s="221"/>
      <c r="J145" s="221"/>
      <c r="K145" s="221"/>
      <c r="L145" s="221"/>
      <c r="M145" s="221"/>
      <c r="N145" s="221"/>
      <c r="O145" s="300"/>
      <c r="P145" s="221"/>
      <c r="Q145" s="221"/>
      <c r="R145" s="221"/>
      <c r="S145" s="221"/>
      <c r="T145" s="221"/>
      <c r="U145" s="221"/>
      <c r="V145" s="221"/>
      <c r="W145" s="297"/>
      <c r="X145" s="298"/>
      <c r="Y145" s="221"/>
      <c r="Z145" s="221"/>
      <c r="AA145" s="297"/>
      <c r="AB145" s="298"/>
      <c r="AC145" s="297"/>
      <c r="AD145" s="221"/>
      <c r="AE145" s="221"/>
      <c r="AF145" s="221"/>
      <c r="AG145" s="221"/>
      <c r="AH145" s="221"/>
      <c r="AI145" s="292"/>
    </row>
    <row r="146" spans="1:35" s="197" customFormat="1" ht="15.75" customHeight="1" x14ac:dyDescent="0.2">
      <c r="A146" s="293"/>
      <c r="B146" s="283"/>
      <c r="C146" s="284" t="s">
        <v>475</v>
      </c>
      <c r="D146" s="285" t="s">
        <v>476</v>
      </c>
      <c r="E146" s="286" t="str">
        <f>CX47</f>
        <v/>
      </c>
      <c r="F146" s="305"/>
      <c r="G146" s="298"/>
      <c r="H146" s="221"/>
      <c r="I146" s="221"/>
      <c r="J146" s="221"/>
      <c r="K146" s="221"/>
      <c r="L146" s="221"/>
      <c r="M146" s="221"/>
      <c r="N146" s="221"/>
      <c r="O146" s="300"/>
      <c r="P146" s="221"/>
      <c r="Q146" s="221"/>
      <c r="R146" s="221"/>
      <c r="S146" s="221"/>
      <c r="T146" s="221"/>
      <c r="U146" s="221"/>
      <c r="V146" s="221"/>
      <c r="W146" s="297"/>
      <c r="X146" s="298"/>
      <c r="Y146" s="221"/>
      <c r="Z146" s="221"/>
      <c r="AA146" s="297"/>
      <c r="AB146" s="298"/>
      <c r="AC146" s="297"/>
      <c r="AD146" s="221"/>
      <c r="AE146" s="221"/>
      <c r="AF146" s="221"/>
      <c r="AG146" s="221"/>
      <c r="AH146" s="221"/>
      <c r="AI146" s="292"/>
    </row>
    <row r="147" spans="1:35" s="197" customFormat="1" ht="15" customHeight="1" x14ac:dyDescent="0.2">
      <c r="A147" s="293"/>
      <c r="B147" s="283"/>
      <c r="C147" s="294"/>
      <c r="D147" s="285" t="s">
        <v>477</v>
      </c>
      <c r="E147" s="286" t="str">
        <f>ED47</f>
        <v/>
      </c>
      <c r="F147" s="305"/>
      <c r="G147" s="298"/>
      <c r="H147" s="221"/>
      <c r="I147" s="296"/>
      <c r="J147" s="296"/>
      <c r="K147" s="296"/>
      <c r="L147" s="296"/>
      <c r="M147" s="296"/>
      <c r="N147" s="221"/>
      <c r="O147" s="296"/>
      <c r="P147" s="221"/>
      <c r="Q147" s="296"/>
      <c r="R147" s="296"/>
      <c r="S147" s="296"/>
      <c r="T147" s="221"/>
      <c r="U147" s="221"/>
      <c r="V147" s="221"/>
      <c r="W147" s="297"/>
      <c r="X147" s="298"/>
      <c r="Y147" s="221"/>
      <c r="Z147" s="221"/>
      <c r="AA147" s="297"/>
      <c r="AB147" s="298"/>
      <c r="AC147" s="297"/>
      <c r="AD147" s="221"/>
      <c r="AE147" s="221"/>
      <c r="AF147" s="221"/>
      <c r="AG147" s="221"/>
      <c r="AH147" s="221"/>
      <c r="AI147" s="292"/>
    </row>
    <row r="148" spans="1:35" s="197" customFormat="1" ht="45" x14ac:dyDescent="0.2">
      <c r="A148" s="293"/>
      <c r="B148" s="301"/>
      <c r="C148" s="299"/>
      <c r="D148" s="285" t="s">
        <v>478</v>
      </c>
      <c r="E148" s="286" t="str">
        <f>FJ47</f>
        <v/>
      </c>
      <c r="F148" s="305"/>
      <c r="G148" s="298"/>
      <c r="H148" s="221"/>
      <c r="I148" s="302"/>
      <c r="J148" s="296"/>
      <c r="K148" s="296"/>
      <c r="L148" s="296"/>
      <c r="M148" s="296"/>
      <c r="N148" s="296"/>
      <c r="O148" s="296"/>
      <c r="P148" s="221"/>
      <c r="Q148" s="296"/>
      <c r="R148" s="296"/>
      <c r="S148" s="296"/>
      <c r="T148" s="221"/>
      <c r="U148" s="221"/>
      <c r="V148" s="221"/>
      <c r="W148" s="297"/>
      <c r="X148" s="298"/>
      <c r="Y148" s="221"/>
      <c r="Z148" s="221"/>
      <c r="AA148" s="297"/>
      <c r="AB148" s="298"/>
      <c r="AC148" s="297"/>
      <c r="AD148" s="221"/>
      <c r="AE148" s="221"/>
      <c r="AF148" s="221"/>
      <c r="AG148" s="221"/>
      <c r="AH148" s="221"/>
      <c r="AI148" s="292"/>
    </row>
    <row r="149" spans="1:35" s="197" customFormat="1" ht="15" customHeight="1" x14ac:dyDescent="0.2">
      <c r="A149" s="293"/>
      <c r="B149" s="266" t="s">
        <v>127</v>
      </c>
      <c r="C149" s="284" t="s">
        <v>474</v>
      </c>
      <c r="D149" s="285" t="s">
        <v>470</v>
      </c>
      <c r="E149" s="286" t="str">
        <f>F46</f>
        <v/>
      </c>
      <c r="F149" s="305"/>
      <c r="G149" s="298"/>
      <c r="H149" s="221"/>
      <c r="I149" s="221"/>
      <c r="J149" s="221"/>
      <c r="K149" s="221"/>
      <c r="L149" s="221"/>
      <c r="M149" s="221"/>
      <c r="N149" s="221"/>
      <c r="O149" s="300"/>
      <c r="P149" s="221"/>
      <c r="Q149" s="221"/>
      <c r="R149" s="221"/>
      <c r="S149" s="221"/>
      <c r="T149" s="221"/>
      <c r="U149" s="221"/>
      <c r="V149" s="221"/>
      <c r="W149" s="297"/>
      <c r="X149" s="298"/>
      <c r="Y149" s="221"/>
      <c r="Z149" s="221"/>
      <c r="AA149" s="297"/>
      <c r="AB149" s="298"/>
      <c r="AC149" s="297"/>
      <c r="AD149" s="221"/>
      <c r="AE149" s="221"/>
      <c r="AF149" s="221"/>
      <c r="AG149" s="221"/>
      <c r="AH149" s="221"/>
      <c r="AI149" s="292"/>
    </row>
    <row r="150" spans="1:35" s="197" customFormat="1" ht="15" customHeight="1" x14ac:dyDescent="0.2">
      <c r="A150" s="293"/>
      <c r="B150" s="266"/>
      <c r="C150" s="294"/>
      <c r="D150" s="285" t="s">
        <v>562</v>
      </c>
      <c r="E150" s="286" t="str">
        <f>AL46</f>
        <v/>
      </c>
      <c r="F150" s="305"/>
      <c r="G150" s="295"/>
      <c r="H150" s="221"/>
      <c r="I150" s="221"/>
      <c r="J150" s="221"/>
      <c r="K150" s="221"/>
      <c r="L150" s="221"/>
      <c r="M150" s="221"/>
      <c r="N150" s="221"/>
      <c r="O150" s="296"/>
      <c r="P150" s="221"/>
      <c r="Q150" s="221"/>
      <c r="R150" s="221"/>
      <c r="S150" s="221"/>
      <c r="T150" s="221"/>
      <c r="U150" s="221"/>
      <c r="V150" s="221"/>
      <c r="W150" s="297"/>
      <c r="X150" s="298"/>
      <c r="Y150" s="221"/>
      <c r="Z150" s="221"/>
      <c r="AA150" s="297"/>
      <c r="AB150" s="298"/>
      <c r="AC150" s="297"/>
      <c r="AD150" s="221"/>
      <c r="AE150" s="221"/>
      <c r="AF150" s="221"/>
      <c r="AG150" s="221"/>
      <c r="AH150" s="221"/>
      <c r="AI150" s="292"/>
    </row>
    <row r="151" spans="1:35" s="197" customFormat="1" ht="30" x14ac:dyDescent="0.2">
      <c r="A151" s="293"/>
      <c r="B151" s="266"/>
      <c r="C151" s="299"/>
      <c r="D151" s="285" t="s">
        <v>471</v>
      </c>
      <c r="E151" s="286" t="str">
        <f>BR46</f>
        <v/>
      </c>
      <c r="F151" s="305"/>
      <c r="G151" s="298"/>
      <c r="H151" s="221"/>
      <c r="I151" s="221"/>
      <c r="J151" s="221"/>
      <c r="K151" s="221"/>
      <c r="L151" s="221"/>
      <c r="M151" s="221"/>
      <c r="N151" s="221"/>
      <c r="O151" s="300"/>
      <c r="P151" s="221"/>
      <c r="Q151" s="221"/>
      <c r="R151" s="221"/>
      <c r="S151" s="221"/>
      <c r="T151" s="221"/>
      <c r="U151" s="221"/>
      <c r="V151" s="221"/>
      <c r="W151" s="297"/>
      <c r="X151" s="298"/>
      <c r="Y151" s="221"/>
      <c r="Z151" s="221"/>
      <c r="AA151" s="297"/>
      <c r="AB151" s="298"/>
      <c r="AC151" s="297"/>
      <c r="AD151" s="221"/>
      <c r="AE151" s="221"/>
      <c r="AF151" s="221"/>
      <c r="AG151" s="221"/>
      <c r="AH151" s="221"/>
      <c r="AI151" s="292"/>
    </row>
    <row r="152" spans="1:35" s="197" customFormat="1" ht="15" customHeight="1" x14ac:dyDescent="0.2">
      <c r="A152" s="293"/>
      <c r="B152" s="266"/>
      <c r="C152" s="284" t="s">
        <v>475</v>
      </c>
      <c r="D152" s="285" t="s">
        <v>476</v>
      </c>
      <c r="E152" s="286" t="str">
        <f>CX46</f>
        <v/>
      </c>
      <c r="F152" s="305"/>
      <c r="G152" s="298"/>
      <c r="H152" s="221"/>
      <c r="I152" s="221"/>
      <c r="J152" s="221"/>
      <c r="K152" s="221"/>
      <c r="L152" s="221"/>
      <c r="M152" s="221"/>
      <c r="N152" s="221"/>
      <c r="O152" s="300"/>
      <c r="P152" s="221"/>
      <c r="Q152" s="221"/>
      <c r="R152" s="221"/>
      <c r="S152" s="221"/>
      <c r="T152" s="221"/>
      <c r="U152" s="221"/>
      <c r="V152" s="221"/>
      <c r="W152" s="297"/>
      <c r="X152" s="298"/>
      <c r="Y152" s="221"/>
      <c r="Z152" s="221"/>
      <c r="AA152" s="297"/>
      <c r="AB152" s="298"/>
      <c r="AC152" s="297"/>
      <c r="AD152" s="221"/>
      <c r="AE152" s="221"/>
      <c r="AF152" s="221"/>
      <c r="AG152" s="221"/>
      <c r="AH152" s="221"/>
      <c r="AI152" s="292"/>
    </row>
    <row r="153" spans="1:35" s="197" customFormat="1" ht="60" x14ac:dyDescent="0.2">
      <c r="A153" s="293"/>
      <c r="B153" s="266"/>
      <c r="C153" s="294"/>
      <c r="D153" s="285" t="s">
        <v>477</v>
      </c>
      <c r="E153" s="286" t="str">
        <f>ED46</f>
        <v/>
      </c>
      <c r="F153" s="305"/>
      <c r="G153" s="298"/>
      <c r="H153" s="221"/>
      <c r="I153" s="296"/>
      <c r="J153" s="296"/>
      <c r="K153" s="296"/>
      <c r="L153" s="296"/>
      <c r="M153" s="296"/>
      <c r="N153" s="221"/>
      <c r="O153" s="296"/>
      <c r="P153" s="221"/>
      <c r="Q153" s="296"/>
      <c r="R153" s="296"/>
      <c r="S153" s="296"/>
      <c r="T153" s="221"/>
      <c r="U153" s="221"/>
      <c r="V153" s="221"/>
      <c r="W153" s="297"/>
      <c r="X153" s="298"/>
      <c r="Y153" s="221"/>
      <c r="Z153" s="221"/>
      <c r="AA153" s="297"/>
      <c r="AB153" s="298"/>
      <c r="AC153" s="297"/>
      <c r="AD153" s="221"/>
      <c r="AE153" s="221"/>
      <c r="AF153" s="221"/>
      <c r="AG153" s="221"/>
      <c r="AH153" s="221"/>
      <c r="AI153" s="292"/>
    </row>
    <row r="154" spans="1:35" s="197" customFormat="1" ht="15" customHeight="1" x14ac:dyDescent="0.2">
      <c r="A154" s="304"/>
      <c r="B154" s="266"/>
      <c r="C154" s="299"/>
      <c r="D154" s="285" t="s">
        <v>478</v>
      </c>
      <c r="E154" s="286" t="str">
        <f>FJ46</f>
        <v/>
      </c>
      <c r="F154" s="305"/>
      <c r="G154" s="298"/>
      <c r="H154" s="221"/>
      <c r="I154" s="302"/>
      <c r="J154" s="296"/>
      <c r="K154" s="296"/>
      <c r="L154" s="296"/>
      <c r="M154" s="296"/>
      <c r="N154" s="296"/>
      <c r="O154" s="296"/>
      <c r="P154" s="221"/>
      <c r="Q154" s="296"/>
      <c r="R154" s="296"/>
      <c r="S154" s="296"/>
      <c r="T154" s="221"/>
      <c r="U154" s="221"/>
      <c r="V154" s="221"/>
      <c r="W154" s="297"/>
      <c r="X154" s="298"/>
      <c r="Y154" s="221"/>
      <c r="Z154" s="221"/>
      <c r="AA154" s="297"/>
      <c r="AB154" s="298"/>
      <c r="AC154" s="297"/>
      <c r="AD154" s="221"/>
      <c r="AE154" s="221"/>
      <c r="AF154" s="221"/>
      <c r="AG154" s="221"/>
      <c r="AH154" s="221"/>
      <c r="AI154" s="292"/>
    </row>
    <row r="155" spans="1:35" s="197" customFormat="1" ht="15" customHeight="1" x14ac:dyDescent="0.2">
      <c r="A155" s="282" t="s">
        <v>130</v>
      </c>
      <c r="B155" s="303" t="s">
        <v>133</v>
      </c>
      <c r="C155" s="284" t="s">
        <v>474</v>
      </c>
      <c r="D155" s="285" t="s">
        <v>470</v>
      </c>
      <c r="E155" s="286" t="str">
        <f>M52</f>
        <v/>
      </c>
      <c r="F155" s="287" t="str">
        <f>W52</f>
        <v/>
      </c>
      <c r="G155" s="298"/>
      <c r="H155" s="221"/>
      <c r="I155" s="221"/>
      <c r="J155" s="221"/>
      <c r="K155" s="221"/>
      <c r="L155" s="221"/>
      <c r="M155" s="221"/>
      <c r="N155" s="221"/>
      <c r="O155" s="300"/>
      <c r="P155" s="221"/>
      <c r="Q155" s="221"/>
      <c r="R155" s="221"/>
      <c r="S155" s="221"/>
      <c r="T155" s="221"/>
      <c r="U155" s="221"/>
      <c r="V155" s="221"/>
      <c r="W155" s="297"/>
      <c r="X155" s="298"/>
      <c r="Y155" s="221"/>
      <c r="Z155" s="221"/>
      <c r="AA155" s="297"/>
      <c r="AB155" s="298"/>
      <c r="AC155" s="297"/>
      <c r="AD155" s="221"/>
      <c r="AE155" s="221"/>
      <c r="AF155" s="221"/>
      <c r="AG155" s="221"/>
      <c r="AH155" s="221"/>
      <c r="AI155" s="292"/>
    </row>
    <row r="156" spans="1:35" s="197" customFormat="1" ht="60" x14ac:dyDescent="0.2">
      <c r="A156" s="293"/>
      <c r="B156" s="283"/>
      <c r="C156" s="294"/>
      <c r="D156" s="285" t="s">
        <v>562</v>
      </c>
      <c r="E156" s="286" t="str">
        <f>AS52</f>
        <v/>
      </c>
      <c r="F156" s="287" t="str">
        <f>BC52</f>
        <v/>
      </c>
      <c r="G156" s="295"/>
      <c r="H156" s="221"/>
      <c r="I156" s="221"/>
      <c r="J156" s="221"/>
      <c r="K156" s="221"/>
      <c r="L156" s="221"/>
      <c r="M156" s="221"/>
      <c r="N156" s="221"/>
      <c r="O156" s="296"/>
      <c r="P156" s="221"/>
      <c r="Q156" s="221"/>
      <c r="R156" s="221"/>
      <c r="S156" s="221"/>
      <c r="T156" s="221"/>
      <c r="U156" s="221"/>
      <c r="V156" s="221"/>
      <c r="W156" s="297"/>
      <c r="X156" s="298"/>
      <c r="Y156" s="221"/>
      <c r="Z156" s="221"/>
      <c r="AA156" s="297"/>
      <c r="AB156" s="298"/>
      <c r="AC156" s="297"/>
      <c r="AD156" s="221"/>
      <c r="AE156" s="221"/>
      <c r="AF156" s="221"/>
      <c r="AG156" s="221"/>
      <c r="AH156" s="221"/>
      <c r="AI156" s="292"/>
    </row>
    <row r="157" spans="1:35" s="197" customFormat="1" ht="15" customHeight="1" x14ac:dyDescent="0.2">
      <c r="A157" s="293"/>
      <c r="B157" s="283"/>
      <c r="C157" s="299"/>
      <c r="D157" s="285" t="s">
        <v>471</v>
      </c>
      <c r="E157" s="286" t="str">
        <f>BY52</f>
        <v/>
      </c>
      <c r="F157" s="287" t="str">
        <f>CI52</f>
        <v/>
      </c>
      <c r="G157" s="298"/>
      <c r="H157" s="221"/>
      <c r="I157" s="221"/>
      <c r="J157" s="221"/>
      <c r="K157" s="221"/>
      <c r="L157" s="221"/>
      <c r="M157" s="221"/>
      <c r="N157" s="221"/>
      <c r="O157" s="300"/>
      <c r="P157" s="221"/>
      <c r="Q157" s="221"/>
      <c r="R157" s="221"/>
      <c r="S157" s="221"/>
      <c r="T157" s="221"/>
      <c r="U157" s="221"/>
      <c r="V157" s="221"/>
      <c r="W157" s="297"/>
      <c r="X157" s="298"/>
      <c r="Y157" s="221"/>
      <c r="Z157" s="221"/>
      <c r="AA157" s="297"/>
      <c r="AB157" s="298"/>
      <c r="AC157" s="297"/>
      <c r="AD157" s="221"/>
      <c r="AE157" s="221"/>
      <c r="AF157" s="221"/>
      <c r="AG157" s="221"/>
      <c r="AH157" s="221"/>
      <c r="AI157" s="292"/>
    </row>
    <row r="158" spans="1:35" s="197" customFormat="1" ht="15" customHeight="1" x14ac:dyDescent="0.2">
      <c r="A158" s="293"/>
      <c r="B158" s="283"/>
      <c r="C158" s="284" t="s">
        <v>475</v>
      </c>
      <c r="D158" s="285" t="s">
        <v>476</v>
      </c>
      <c r="E158" s="286" t="str">
        <f>DE52</f>
        <v/>
      </c>
      <c r="F158" s="287" t="str">
        <f>DO52</f>
        <v/>
      </c>
      <c r="G158" s="298"/>
      <c r="H158" s="221"/>
      <c r="I158" s="221"/>
      <c r="J158" s="221"/>
      <c r="K158" s="221"/>
      <c r="L158" s="221"/>
      <c r="M158" s="221"/>
      <c r="N158" s="221"/>
      <c r="O158" s="300"/>
      <c r="P158" s="221"/>
      <c r="Q158" s="221"/>
      <c r="R158" s="221"/>
      <c r="S158" s="221"/>
      <c r="T158" s="221"/>
      <c r="U158" s="221"/>
      <c r="V158" s="221"/>
      <c r="W158" s="297"/>
      <c r="X158" s="298"/>
      <c r="Y158" s="221"/>
      <c r="Z158" s="221"/>
      <c r="AA158" s="297"/>
      <c r="AB158" s="298"/>
      <c r="AC158" s="297"/>
      <c r="AD158" s="221"/>
      <c r="AE158" s="221"/>
      <c r="AF158" s="221"/>
      <c r="AG158" s="221"/>
      <c r="AH158" s="221"/>
      <c r="AI158" s="292"/>
    </row>
    <row r="159" spans="1:35" s="197" customFormat="1" ht="15" customHeight="1" x14ac:dyDescent="0.2">
      <c r="A159" s="293"/>
      <c r="B159" s="283"/>
      <c r="C159" s="294"/>
      <c r="D159" s="285" t="s">
        <v>477</v>
      </c>
      <c r="E159" s="286" t="str">
        <f>EK52</f>
        <v/>
      </c>
      <c r="F159" s="287" t="str">
        <f>EU52</f>
        <v/>
      </c>
      <c r="G159" s="298"/>
      <c r="H159" s="221"/>
      <c r="I159" s="296"/>
      <c r="J159" s="296"/>
      <c r="K159" s="296"/>
      <c r="L159" s="296"/>
      <c r="M159" s="296"/>
      <c r="N159" s="221"/>
      <c r="O159" s="296"/>
      <c r="P159" s="221"/>
      <c r="Q159" s="296"/>
      <c r="R159" s="296"/>
      <c r="S159" s="296"/>
      <c r="T159" s="221"/>
      <c r="U159" s="221"/>
      <c r="V159" s="221"/>
      <c r="W159" s="297"/>
      <c r="X159" s="298"/>
      <c r="Y159" s="221"/>
      <c r="Z159" s="221"/>
      <c r="AA159" s="297"/>
      <c r="AB159" s="298"/>
      <c r="AC159" s="297"/>
      <c r="AD159" s="221"/>
      <c r="AE159" s="221"/>
      <c r="AF159" s="221"/>
      <c r="AG159" s="221"/>
      <c r="AH159" s="221"/>
      <c r="AI159" s="292"/>
    </row>
    <row r="160" spans="1:35" s="197" customFormat="1" ht="15" customHeight="1" x14ac:dyDescent="0.2">
      <c r="A160" s="293"/>
      <c r="B160" s="301"/>
      <c r="C160" s="299"/>
      <c r="D160" s="285" t="s">
        <v>478</v>
      </c>
      <c r="E160" s="286" t="str">
        <f>FQ52</f>
        <v/>
      </c>
      <c r="F160" s="287" t="str">
        <f>GA52</f>
        <v/>
      </c>
      <c r="G160" s="298"/>
      <c r="H160" s="221"/>
      <c r="I160" s="302"/>
      <c r="J160" s="296"/>
      <c r="K160" s="296"/>
      <c r="L160" s="296"/>
      <c r="M160" s="296"/>
      <c r="N160" s="296"/>
      <c r="O160" s="296"/>
      <c r="P160" s="221"/>
      <c r="Q160" s="296"/>
      <c r="R160" s="296"/>
      <c r="S160" s="296"/>
      <c r="T160" s="221"/>
      <c r="U160" s="221"/>
      <c r="V160" s="221"/>
      <c r="W160" s="297"/>
      <c r="X160" s="298"/>
      <c r="Y160" s="221"/>
      <c r="Z160" s="221"/>
      <c r="AA160" s="297"/>
      <c r="AB160" s="298"/>
      <c r="AC160" s="297"/>
      <c r="AD160" s="221"/>
      <c r="AE160" s="221"/>
      <c r="AF160" s="221"/>
      <c r="AG160" s="221"/>
      <c r="AH160" s="221"/>
      <c r="AI160" s="292"/>
    </row>
    <row r="161" spans="1:35" s="197" customFormat="1" ht="15.75" customHeight="1" x14ac:dyDescent="0.2">
      <c r="A161" s="293"/>
      <c r="B161" s="266" t="s">
        <v>134</v>
      </c>
      <c r="C161" s="284" t="s">
        <v>474</v>
      </c>
      <c r="D161" s="285" t="s">
        <v>470</v>
      </c>
      <c r="E161" s="286" t="str">
        <f>M53</f>
        <v/>
      </c>
      <c r="F161" s="287" t="str">
        <f>W53</f>
        <v/>
      </c>
      <c r="G161" s="298"/>
      <c r="H161" s="221"/>
      <c r="I161" s="221"/>
      <c r="J161" s="221"/>
      <c r="K161" s="221"/>
      <c r="L161" s="221"/>
      <c r="M161" s="221"/>
      <c r="N161" s="221"/>
      <c r="O161" s="300"/>
      <c r="P161" s="221"/>
      <c r="Q161" s="221"/>
      <c r="R161" s="221"/>
      <c r="S161" s="221"/>
      <c r="T161" s="221"/>
      <c r="U161" s="221"/>
      <c r="V161" s="221"/>
      <c r="W161" s="297"/>
      <c r="X161" s="298"/>
      <c r="Y161" s="221"/>
      <c r="Z161" s="221"/>
      <c r="AA161" s="297"/>
      <c r="AB161" s="298"/>
      <c r="AC161" s="297"/>
      <c r="AD161" s="221"/>
      <c r="AE161" s="221"/>
      <c r="AF161" s="221"/>
      <c r="AG161" s="221"/>
      <c r="AH161" s="221"/>
      <c r="AI161" s="292"/>
    </row>
    <row r="162" spans="1:35" s="197" customFormat="1" ht="15" customHeight="1" x14ac:dyDescent="0.2">
      <c r="A162" s="293"/>
      <c r="B162" s="266"/>
      <c r="C162" s="294"/>
      <c r="D162" s="285" t="s">
        <v>562</v>
      </c>
      <c r="E162" s="286" t="str">
        <f>AS53</f>
        <v/>
      </c>
      <c r="F162" s="287" t="str">
        <f>BC53</f>
        <v/>
      </c>
      <c r="G162" s="295"/>
      <c r="H162" s="221"/>
      <c r="I162" s="221"/>
      <c r="J162" s="221"/>
      <c r="K162" s="221"/>
      <c r="L162" s="221"/>
      <c r="M162" s="221"/>
      <c r="N162" s="221"/>
      <c r="O162" s="296"/>
      <c r="P162" s="221"/>
      <c r="Q162" s="221"/>
      <c r="R162" s="221"/>
      <c r="S162" s="221"/>
      <c r="T162" s="221"/>
      <c r="U162" s="221"/>
      <c r="V162" s="221"/>
      <c r="W162" s="297"/>
      <c r="X162" s="298"/>
      <c r="Y162" s="221"/>
      <c r="Z162" s="221"/>
      <c r="AA162" s="297"/>
      <c r="AB162" s="298"/>
      <c r="AC162" s="297"/>
      <c r="AD162" s="221"/>
      <c r="AE162" s="221"/>
      <c r="AF162" s="221"/>
      <c r="AG162" s="221"/>
      <c r="AH162" s="221"/>
      <c r="AI162" s="292"/>
    </row>
    <row r="163" spans="1:35" s="197" customFormat="1" ht="30" x14ac:dyDescent="0.2">
      <c r="A163" s="293"/>
      <c r="B163" s="266"/>
      <c r="C163" s="299"/>
      <c r="D163" s="285" t="s">
        <v>471</v>
      </c>
      <c r="E163" s="286" t="str">
        <f>BY53</f>
        <v/>
      </c>
      <c r="F163" s="287" t="str">
        <f>CI53</f>
        <v/>
      </c>
      <c r="G163" s="298"/>
      <c r="H163" s="221"/>
      <c r="I163" s="221"/>
      <c r="J163" s="221"/>
      <c r="K163" s="221"/>
      <c r="L163" s="221"/>
      <c r="M163" s="221"/>
      <c r="N163" s="221"/>
      <c r="O163" s="300"/>
      <c r="P163" s="221"/>
      <c r="Q163" s="221"/>
      <c r="R163" s="221"/>
      <c r="S163" s="221"/>
      <c r="T163" s="221"/>
      <c r="U163" s="221"/>
      <c r="V163" s="221"/>
      <c r="W163" s="297"/>
      <c r="X163" s="298"/>
      <c r="Y163" s="221"/>
      <c r="Z163" s="221"/>
      <c r="AA163" s="297"/>
      <c r="AB163" s="298"/>
      <c r="AC163" s="297"/>
      <c r="AD163" s="221"/>
      <c r="AE163" s="221"/>
      <c r="AF163" s="221"/>
      <c r="AG163" s="221"/>
      <c r="AH163" s="221"/>
      <c r="AI163" s="292"/>
    </row>
    <row r="164" spans="1:35" s="197" customFormat="1" ht="15" customHeight="1" x14ac:dyDescent="0.2">
      <c r="A164" s="293"/>
      <c r="B164" s="266"/>
      <c r="C164" s="284" t="s">
        <v>475</v>
      </c>
      <c r="D164" s="285" t="s">
        <v>476</v>
      </c>
      <c r="E164" s="286" t="str">
        <f>DE53</f>
        <v/>
      </c>
      <c r="F164" s="287" t="str">
        <f>DO53</f>
        <v/>
      </c>
      <c r="G164" s="298"/>
      <c r="H164" s="221"/>
      <c r="I164" s="221"/>
      <c r="J164" s="221"/>
      <c r="K164" s="221"/>
      <c r="L164" s="221"/>
      <c r="M164" s="221"/>
      <c r="N164" s="221"/>
      <c r="O164" s="300"/>
      <c r="P164" s="221"/>
      <c r="Q164" s="221"/>
      <c r="R164" s="221"/>
      <c r="S164" s="221"/>
      <c r="T164" s="221"/>
      <c r="U164" s="221"/>
      <c r="V164" s="221"/>
      <c r="W164" s="297"/>
      <c r="X164" s="298"/>
      <c r="Y164" s="221"/>
      <c r="Z164" s="221"/>
      <c r="AA164" s="297"/>
      <c r="AB164" s="298"/>
      <c r="AC164" s="297"/>
      <c r="AD164" s="221"/>
      <c r="AE164" s="221"/>
      <c r="AF164" s="221"/>
      <c r="AG164" s="221"/>
      <c r="AH164" s="221"/>
      <c r="AI164" s="292"/>
    </row>
    <row r="165" spans="1:35" s="197" customFormat="1" ht="15" customHeight="1" x14ac:dyDescent="0.2">
      <c r="A165" s="293"/>
      <c r="B165" s="266"/>
      <c r="C165" s="294"/>
      <c r="D165" s="285" t="s">
        <v>477</v>
      </c>
      <c r="E165" s="286" t="str">
        <f>EK53</f>
        <v/>
      </c>
      <c r="F165" s="287" t="str">
        <f>EU53</f>
        <v/>
      </c>
      <c r="G165" s="298"/>
      <c r="H165" s="221"/>
      <c r="I165" s="296"/>
      <c r="J165" s="296"/>
      <c r="K165" s="296"/>
      <c r="L165" s="296"/>
      <c r="M165" s="296"/>
      <c r="N165" s="221"/>
      <c r="O165" s="296"/>
      <c r="P165" s="221"/>
      <c r="Q165" s="296"/>
      <c r="R165" s="296"/>
      <c r="S165" s="296"/>
      <c r="T165" s="221"/>
      <c r="U165" s="221"/>
      <c r="V165" s="221"/>
      <c r="W165" s="297"/>
      <c r="X165" s="298"/>
      <c r="Y165" s="221"/>
      <c r="Z165" s="221"/>
      <c r="AA165" s="297"/>
      <c r="AB165" s="298"/>
      <c r="AC165" s="297"/>
      <c r="AD165" s="221"/>
      <c r="AE165" s="221"/>
      <c r="AF165" s="221"/>
      <c r="AG165" s="221"/>
      <c r="AH165" s="221"/>
      <c r="AI165" s="292"/>
    </row>
    <row r="166" spans="1:35" s="197" customFormat="1" ht="45" x14ac:dyDescent="0.2">
      <c r="A166" s="293"/>
      <c r="B166" s="266"/>
      <c r="C166" s="299"/>
      <c r="D166" s="285" t="s">
        <v>478</v>
      </c>
      <c r="E166" s="286" t="str">
        <f>FQ53</f>
        <v/>
      </c>
      <c r="F166" s="287" t="str">
        <f>GA53</f>
        <v/>
      </c>
      <c r="G166" s="298"/>
      <c r="H166" s="221"/>
      <c r="I166" s="302"/>
      <c r="J166" s="296"/>
      <c r="K166" s="296"/>
      <c r="L166" s="296"/>
      <c r="M166" s="296"/>
      <c r="N166" s="296"/>
      <c r="O166" s="296"/>
      <c r="P166" s="221"/>
      <c r="Q166" s="296"/>
      <c r="R166" s="296"/>
      <c r="S166" s="296"/>
      <c r="T166" s="221"/>
      <c r="U166" s="221"/>
      <c r="V166" s="221"/>
      <c r="W166" s="297"/>
      <c r="X166" s="298"/>
      <c r="Y166" s="221"/>
      <c r="Z166" s="221"/>
      <c r="AA166" s="297"/>
      <c r="AB166" s="298"/>
      <c r="AC166" s="297"/>
      <c r="AD166" s="221"/>
      <c r="AE166" s="221"/>
      <c r="AF166" s="221"/>
      <c r="AG166" s="221"/>
      <c r="AH166" s="221"/>
      <c r="AI166" s="292"/>
    </row>
    <row r="167" spans="1:35" s="197" customFormat="1" ht="15" customHeight="1" x14ac:dyDescent="0.2">
      <c r="A167" s="293"/>
      <c r="B167" s="303" t="s">
        <v>132</v>
      </c>
      <c r="C167" s="284" t="s">
        <v>474</v>
      </c>
      <c r="D167" s="285" t="s">
        <v>470</v>
      </c>
      <c r="E167" s="286" t="str">
        <f>M51</f>
        <v/>
      </c>
      <c r="F167" s="287" t="str">
        <f>W51</f>
        <v/>
      </c>
      <c r="G167" s="298"/>
      <c r="H167" s="221"/>
      <c r="I167" s="221"/>
      <c r="J167" s="221"/>
      <c r="K167" s="221"/>
      <c r="L167" s="221"/>
      <c r="M167" s="221"/>
      <c r="N167" s="221"/>
      <c r="O167" s="300"/>
      <c r="P167" s="221"/>
      <c r="Q167" s="221"/>
      <c r="R167" s="221"/>
      <c r="S167" s="221"/>
      <c r="T167" s="221"/>
      <c r="U167" s="221"/>
      <c r="V167" s="221"/>
      <c r="W167" s="297"/>
      <c r="X167" s="298"/>
      <c r="Y167" s="221"/>
      <c r="Z167" s="221"/>
      <c r="AA167" s="297"/>
      <c r="AB167" s="298"/>
      <c r="AC167" s="297"/>
      <c r="AD167" s="221"/>
      <c r="AE167" s="221"/>
      <c r="AF167" s="221"/>
      <c r="AG167" s="221"/>
      <c r="AH167" s="221"/>
      <c r="AI167" s="292"/>
    </row>
    <row r="168" spans="1:35" s="197" customFormat="1" ht="60" x14ac:dyDescent="0.2">
      <c r="A168" s="293"/>
      <c r="B168" s="283"/>
      <c r="C168" s="294"/>
      <c r="D168" s="285" t="s">
        <v>562</v>
      </c>
      <c r="E168" s="286" t="str">
        <f>AS51</f>
        <v/>
      </c>
      <c r="F168" s="287" t="str">
        <f>BC51</f>
        <v/>
      </c>
      <c r="G168" s="295"/>
      <c r="H168" s="221"/>
      <c r="I168" s="221"/>
      <c r="J168" s="221"/>
      <c r="K168" s="221"/>
      <c r="L168" s="221"/>
      <c r="M168" s="221"/>
      <c r="N168" s="221"/>
      <c r="O168" s="296"/>
      <c r="P168" s="221"/>
      <c r="Q168" s="221"/>
      <c r="R168" s="221"/>
      <c r="S168" s="221"/>
      <c r="T168" s="221"/>
      <c r="U168" s="221"/>
      <c r="V168" s="221"/>
      <c r="W168" s="297"/>
      <c r="X168" s="298"/>
      <c r="Y168" s="221"/>
      <c r="Z168" s="221"/>
      <c r="AA168" s="297"/>
      <c r="AB168" s="298"/>
      <c r="AC168" s="297"/>
      <c r="AD168" s="221"/>
      <c r="AE168" s="221"/>
      <c r="AF168" s="221"/>
      <c r="AG168" s="221"/>
      <c r="AH168" s="221"/>
      <c r="AI168" s="292"/>
    </row>
    <row r="169" spans="1:35" s="197" customFormat="1" ht="15" customHeight="1" x14ac:dyDescent="0.2">
      <c r="A169" s="293"/>
      <c r="B169" s="283"/>
      <c r="C169" s="299"/>
      <c r="D169" s="285" t="s">
        <v>471</v>
      </c>
      <c r="E169" s="286" t="str">
        <f>BY51</f>
        <v/>
      </c>
      <c r="F169" s="287" t="str">
        <f>CI51</f>
        <v/>
      </c>
      <c r="G169" s="298"/>
      <c r="H169" s="221"/>
      <c r="I169" s="221"/>
      <c r="J169" s="221"/>
      <c r="K169" s="221"/>
      <c r="L169" s="221"/>
      <c r="M169" s="221"/>
      <c r="N169" s="221"/>
      <c r="O169" s="300"/>
      <c r="P169" s="221"/>
      <c r="Q169" s="221"/>
      <c r="R169" s="221"/>
      <c r="S169" s="221"/>
      <c r="T169" s="221"/>
      <c r="U169" s="221"/>
      <c r="V169" s="221"/>
      <c r="W169" s="297"/>
      <c r="X169" s="298"/>
      <c r="Y169" s="221"/>
      <c r="Z169" s="221"/>
      <c r="AA169" s="297"/>
      <c r="AB169" s="298"/>
      <c r="AC169" s="297"/>
      <c r="AD169" s="221"/>
      <c r="AE169" s="221"/>
      <c r="AF169" s="221"/>
      <c r="AG169" s="221"/>
      <c r="AH169" s="221"/>
      <c r="AI169" s="292"/>
    </row>
    <row r="170" spans="1:35" s="197" customFormat="1" ht="15" customHeight="1" x14ac:dyDescent="0.2">
      <c r="A170" s="293"/>
      <c r="B170" s="283"/>
      <c r="C170" s="284" t="s">
        <v>475</v>
      </c>
      <c r="D170" s="285" t="s">
        <v>476</v>
      </c>
      <c r="E170" s="286" t="str">
        <f>DE51</f>
        <v/>
      </c>
      <c r="F170" s="287" t="str">
        <f>DO51</f>
        <v/>
      </c>
      <c r="G170" s="298"/>
      <c r="H170" s="221"/>
      <c r="I170" s="221"/>
      <c r="J170" s="221"/>
      <c r="K170" s="221"/>
      <c r="L170" s="221"/>
      <c r="M170" s="221"/>
      <c r="N170" s="221"/>
      <c r="O170" s="300"/>
      <c r="P170" s="221"/>
      <c r="Q170" s="221"/>
      <c r="R170" s="221"/>
      <c r="S170" s="221"/>
      <c r="T170" s="221"/>
      <c r="U170" s="221"/>
      <c r="V170" s="221"/>
      <c r="W170" s="297"/>
      <c r="X170" s="298"/>
      <c r="Y170" s="221"/>
      <c r="Z170" s="221"/>
      <c r="AA170" s="297"/>
      <c r="AB170" s="298"/>
      <c r="AC170" s="297"/>
      <c r="AD170" s="221"/>
      <c r="AE170" s="221"/>
      <c r="AF170" s="221"/>
      <c r="AG170" s="221"/>
      <c r="AH170" s="221"/>
      <c r="AI170" s="292"/>
    </row>
    <row r="171" spans="1:35" s="197" customFormat="1" ht="60" x14ac:dyDescent="0.2">
      <c r="A171" s="293"/>
      <c r="B171" s="283"/>
      <c r="C171" s="294"/>
      <c r="D171" s="285" t="s">
        <v>477</v>
      </c>
      <c r="E171" s="286" t="str">
        <f>EK51</f>
        <v/>
      </c>
      <c r="F171" s="287" t="str">
        <f>EU51</f>
        <v/>
      </c>
      <c r="G171" s="298"/>
      <c r="H171" s="221"/>
      <c r="I171" s="296"/>
      <c r="J171" s="296"/>
      <c r="K171" s="296"/>
      <c r="L171" s="296"/>
      <c r="M171" s="296"/>
      <c r="N171" s="221"/>
      <c r="O171" s="296"/>
      <c r="P171" s="221"/>
      <c r="Q171" s="296"/>
      <c r="R171" s="296"/>
      <c r="S171" s="296"/>
      <c r="T171" s="221"/>
      <c r="U171" s="221"/>
      <c r="V171" s="221"/>
      <c r="W171" s="297"/>
      <c r="X171" s="298"/>
      <c r="Y171" s="221"/>
      <c r="Z171" s="221"/>
      <c r="AA171" s="297"/>
      <c r="AB171" s="298"/>
      <c r="AC171" s="297"/>
      <c r="AD171" s="221"/>
      <c r="AE171" s="221"/>
      <c r="AF171" s="221"/>
      <c r="AG171" s="221"/>
      <c r="AH171" s="221"/>
      <c r="AI171" s="292"/>
    </row>
    <row r="172" spans="1:35" s="197" customFormat="1" ht="15" customHeight="1" x14ac:dyDescent="0.2">
      <c r="A172" s="293"/>
      <c r="B172" s="301"/>
      <c r="C172" s="299"/>
      <c r="D172" s="285" t="s">
        <v>478</v>
      </c>
      <c r="E172" s="286" t="str">
        <f>FQ51</f>
        <v/>
      </c>
      <c r="F172" s="287" t="str">
        <f>GA51</f>
        <v/>
      </c>
      <c r="G172" s="298"/>
      <c r="H172" s="221"/>
      <c r="I172" s="302"/>
      <c r="J172" s="296"/>
      <c r="K172" s="296"/>
      <c r="L172" s="296"/>
      <c r="M172" s="296"/>
      <c r="N172" s="296"/>
      <c r="O172" s="296"/>
      <c r="P172" s="221"/>
      <c r="Q172" s="296"/>
      <c r="R172" s="296"/>
      <c r="S172" s="296"/>
      <c r="T172" s="221"/>
      <c r="U172" s="221"/>
      <c r="V172" s="221"/>
      <c r="W172" s="297"/>
      <c r="X172" s="298"/>
      <c r="Y172" s="221"/>
      <c r="Z172" s="221"/>
      <c r="AA172" s="297"/>
      <c r="AB172" s="298"/>
      <c r="AC172" s="297"/>
      <c r="AD172" s="221"/>
      <c r="AE172" s="221"/>
      <c r="AF172" s="221"/>
      <c r="AG172" s="221"/>
      <c r="AH172" s="221"/>
      <c r="AI172" s="292"/>
    </row>
    <row r="173" spans="1:35" s="197" customFormat="1" ht="15" customHeight="1" x14ac:dyDescent="0.2">
      <c r="A173" s="293"/>
      <c r="B173" s="266" t="s">
        <v>217</v>
      </c>
      <c r="C173" s="284" t="s">
        <v>474</v>
      </c>
      <c r="D173" s="285" t="s">
        <v>470</v>
      </c>
      <c r="E173" s="286" t="str">
        <f>L50</f>
        <v/>
      </c>
      <c r="F173" s="287" t="str">
        <f>V50</f>
        <v/>
      </c>
      <c r="G173" s="298"/>
      <c r="H173" s="221"/>
      <c r="I173" s="221"/>
      <c r="J173" s="221"/>
      <c r="K173" s="221"/>
      <c r="L173" s="221"/>
      <c r="M173" s="221"/>
      <c r="N173" s="221"/>
      <c r="O173" s="300"/>
      <c r="P173" s="221"/>
      <c r="Q173" s="221"/>
      <c r="R173" s="221"/>
      <c r="S173" s="221"/>
      <c r="T173" s="221"/>
      <c r="U173" s="221"/>
      <c r="V173" s="221"/>
      <c r="W173" s="297"/>
      <c r="X173" s="298"/>
      <c r="Y173" s="221"/>
      <c r="Z173" s="221"/>
      <c r="AA173" s="297"/>
      <c r="AB173" s="298"/>
      <c r="AC173" s="297"/>
      <c r="AD173" s="221"/>
      <c r="AE173" s="221"/>
      <c r="AF173" s="221"/>
      <c r="AG173" s="221"/>
      <c r="AH173" s="221"/>
      <c r="AI173" s="292"/>
    </row>
    <row r="174" spans="1:35" s="197" customFormat="1" ht="15" customHeight="1" x14ac:dyDescent="0.2">
      <c r="A174" s="293"/>
      <c r="B174" s="266"/>
      <c r="C174" s="294"/>
      <c r="D174" s="285" t="s">
        <v>562</v>
      </c>
      <c r="E174" s="286" t="str">
        <f>AR50</f>
        <v/>
      </c>
      <c r="F174" s="287" t="str">
        <f>BB50</f>
        <v/>
      </c>
      <c r="G174" s="295"/>
      <c r="H174" s="221"/>
      <c r="I174" s="221"/>
      <c r="J174" s="221"/>
      <c r="K174" s="221"/>
      <c r="L174" s="221"/>
      <c r="M174" s="221"/>
      <c r="N174" s="221"/>
      <c r="O174" s="296"/>
      <c r="P174" s="221"/>
      <c r="Q174" s="221"/>
      <c r="R174" s="221"/>
      <c r="S174" s="221"/>
      <c r="T174" s="221"/>
      <c r="U174" s="221"/>
      <c r="V174" s="221"/>
      <c r="W174" s="297"/>
      <c r="X174" s="298"/>
      <c r="Y174" s="221"/>
      <c r="Z174" s="221"/>
      <c r="AA174" s="297"/>
      <c r="AB174" s="298"/>
      <c r="AC174" s="297"/>
      <c r="AD174" s="221"/>
      <c r="AE174" s="221"/>
      <c r="AF174" s="221"/>
      <c r="AG174" s="221"/>
      <c r="AH174" s="221"/>
      <c r="AI174" s="292"/>
    </row>
    <row r="175" spans="1:35" s="197" customFormat="1" ht="15" customHeight="1" x14ac:dyDescent="0.2">
      <c r="A175" s="293"/>
      <c r="B175" s="266"/>
      <c r="C175" s="299"/>
      <c r="D175" s="285" t="s">
        <v>471</v>
      </c>
      <c r="E175" s="286" t="str">
        <f>BX50</f>
        <v/>
      </c>
      <c r="F175" s="287" t="str">
        <f>CH50</f>
        <v/>
      </c>
      <c r="G175" s="298"/>
      <c r="H175" s="221"/>
      <c r="I175" s="221"/>
      <c r="J175" s="221"/>
      <c r="K175" s="221"/>
      <c r="L175" s="221"/>
      <c r="M175" s="221"/>
      <c r="N175" s="221"/>
      <c r="O175" s="300"/>
      <c r="P175" s="221"/>
      <c r="Q175" s="221"/>
      <c r="R175" s="221"/>
      <c r="S175" s="221"/>
      <c r="T175" s="221"/>
      <c r="U175" s="221"/>
      <c r="V175" s="221"/>
      <c r="W175" s="297"/>
      <c r="X175" s="298"/>
      <c r="Y175" s="221"/>
      <c r="Z175" s="221"/>
      <c r="AA175" s="297"/>
      <c r="AB175" s="298"/>
      <c r="AC175" s="297"/>
      <c r="AD175" s="221"/>
      <c r="AE175" s="221"/>
      <c r="AF175" s="221"/>
      <c r="AG175" s="221"/>
      <c r="AH175" s="221"/>
      <c r="AI175" s="292"/>
    </row>
    <row r="176" spans="1:35" s="197" customFormat="1" ht="15.75" customHeight="1" x14ac:dyDescent="0.2">
      <c r="A176" s="293"/>
      <c r="B176" s="266"/>
      <c r="C176" s="284" t="s">
        <v>475</v>
      </c>
      <c r="D176" s="285" t="s">
        <v>476</v>
      </c>
      <c r="E176" s="286" t="str">
        <f>DD50</f>
        <v/>
      </c>
      <c r="F176" s="287" t="str">
        <f>DN50</f>
        <v/>
      </c>
      <c r="G176" s="298"/>
      <c r="H176" s="221"/>
      <c r="I176" s="221"/>
      <c r="J176" s="221"/>
      <c r="K176" s="221"/>
      <c r="L176" s="221"/>
      <c r="M176" s="221"/>
      <c r="N176" s="221"/>
      <c r="O176" s="300"/>
      <c r="P176" s="221"/>
      <c r="Q176" s="221"/>
      <c r="R176" s="221"/>
      <c r="S176" s="221"/>
      <c r="T176" s="221"/>
      <c r="U176" s="221"/>
      <c r="V176" s="221"/>
      <c r="W176" s="297"/>
      <c r="X176" s="298"/>
      <c r="Y176" s="221"/>
      <c r="Z176" s="221"/>
      <c r="AA176" s="297"/>
      <c r="AB176" s="298"/>
      <c r="AC176" s="297"/>
      <c r="AD176" s="221"/>
      <c r="AE176" s="221"/>
      <c r="AF176" s="221"/>
      <c r="AG176" s="221"/>
      <c r="AH176" s="221"/>
      <c r="AI176" s="292"/>
    </row>
    <row r="177" spans="1:35" s="197" customFormat="1" ht="15" customHeight="1" x14ac:dyDescent="0.2">
      <c r="A177" s="293"/>
      <c r="B177" s="266"/>
      <c r="C177" s="294"/>
      <c r="D177" s="285" t="s">
        <v>477</v>
      </c>
      <c r="E177" s="286" t="str">
        <f>EJ50</f>
        <v/>
      </c>
      <c r="F177" s="287" t="str">
        <f>ET50</f>
        <v/>
      </c>
      <c r="G177" s="298"/>
      <c r="H177" s="221"/>
      <c r="I177" s="296"/>
      <c r="J177" s="296"/>
      <c r="K177" s="296"/>
      <c r="L177" s="296"/>
      <c r="M177" s="296"/>
      <c r="N177" s="221"/>
      <c r="O177" s="296"/>
      <c r="P177" s="221"/>
      <c r="Q177" s="296"/>
      <c r="R177" s="296"/>
      <c r="S177" s="296"/>
      <c r="T177" s="221"/>
      <c r="U177" s="221"/>
      <c r="V177" s="221"/>
      <c r="W177" s="297"/>
      <c r="X177" s="298"/>
      <c r="Y177" s="221"/>
      <c r="Z177" s="221"/>
      <c r="AA177" s="297"/>
      <c r="AB177" s="298"/>
      <c r="AC177" s="297"/>
      <c r="AD177" s="221"/>
      <c r="AE177" s="221"/>
      <c r="AF177" s="221"/>
      <c r="AG177" s="221"/>
      <c r="AH177" s="221"/>
      <c r="AI177" s="292"/>
    </row>
    <row r="178" spans="1:35" s="197" customFormat="1" ht="45" x14ac:dyDescent="0.2">
      <c r="A178" s="293"/>
      <c r="B178" s="266"/>
      <c r="C178" s="299"/>
      <c r="D178" s="285" t="s">
        <v>478</v>
      </c>
      <c r="E178" s="286" t="str">
        <f>FP50</f>
        <v/>
      </c>
      <c r="F178" s="287" t="str">
        <f>FZ50</f>
        <v/>
      </c>
      <c r="G178" s="298"/>
      <c r="H178" s="221"/>
      <c r="I178" s="302"/>
      <c r="J178" s="296"/>
      <c r="K178" s="296"/>
      <c r="L178" s="296"/>
      <c r="M178" s="296"/>
      <c r="N178" s="296"/>
      <c r="O178" s="296"/>
      <c r="P178" s="221"/>
      <c r="Q178" s="296"/>
      <c r="R178" s="296"/>
      <c r="S178" s="296"/>
      <c r="T178" s="221"/>
      <c r="U178" s="221"/>
      <c r="V178" s="221"/>
      <c r="W178" s="297"/>
      <c r="X178" s="298"/>
      <c r="Y178" s="221"/>
      <c r="Z178" s="221"/>
      <c r="AA178" s="297"/>
      <c r="AB178" s="298"/>
      <c r="AC178" s="297"/>
      <c r="AD178" s="221"/>
      <c r="AE178" s="221"/>
      <c r="AF178" s="221"/>
      <c r="AG178" s="221"/>
      <c r="AH178" s="221"/>
      <c r="AI178" s="292"/>
    </row>
    <row r="179" spans="1:35" s="197" customFormat="1" ht="15" customHeight="1" x14ac:dyDescent="0.2">
      <c r="A179" s="293"/>
      <c r="B179" s="303" t="s">
        <v>135</v>
      </c>
      <c r="C179" s="284" t="s">
        <v>474</v>
      </c>
      <c r="D179" s="285" t="s">
        <v>470</v>
      </c>
      <c r="E179" s="286" t="str">
        <f>M54</f>
        <v/>
      </c>
      <c r="F179" s="287" t="str">
        <f>W54</f>
        <v/>
      </c>
      <c r="G179" s="298"/>
      <c r="H179" s="221"/>
      <c r="I179" s="221"/>
      <c r="J179" s="221"/>
      <c r="K179" s="221"/>
      <c r="L179" s="221"/>
      <c r="M179" s="221"/>
      <c r="N179" s="221"/>
      <c r="O179" s="300"/>
      <c r="P179" s="221"/>
      <c r="Q179" s="221"/>
      <c r="R179" s="221"/>
      <c r="S179" s="221"/>
      <c r="T179" s="221"/>
      <c r="U179" s="221"/>
      <c r="V179" s="221"/>
      <c r="W179" s="297"/>
      <c r="X179" s="298"/>
      <c r="Y179" s="221"/>
      <c r="Z179" s="221"/>
      <c r="AA179" s="297"/>
      <c r="AB179" s="298"/>
      <c r="AC179" s="297"/>
      <c r="AD179" s="221"/>
      <c r="AE179" s="221"/>
      <c r="AF179" s="221"/>
      <c r="AG179" s="221"/>
      <c r="AH179" s="221"/>
      <c r="AI179" s="292"/>
    </row>
    <row r="180" spans="1:35" s="197" customFormat="1" ht="15" customHeight="1" x14ac:dyDescent="0.2">
      <c r="A180" s="293"/>
      <c r="B180" s="283"/>
      <c r="C180" s="294"/>
      <c r="D180" s="285" t="s">
        <v>562</v>
      </c>
      <c r="E180" s="286" t="str">
        <f>AS54</f>
        <v/>
      </c>
      <c r="F180" s="287" t="str">
        <f>BC54</f>
        <v/>
      </c>
      <c r="G180" s="295"/>
      <c r="H180" s="221"/>
      <c r="I180" s="221"/>
      <c r="J180" s="221"/>
      <c r="K180" s="221"/>
      <c r="L180" s="221"/>
      <c r="M180" s="221"/>
      <c r="N180" s="221"/>
      <c r="O180" s="296"/>
      <c r="P180" s="221"/>
      <c r="Q180" s="221"/>
      <c r="R180" s="221"/>
      <c r="S180" s="221"/>
      <c r="T180" s="221"/>
      <c r="U180" s="221"/>
      <c r="V180" s="221"/>
      <c r="W180" s="297"/>
      <c r="X180" s="298"/>
      <c r="Y180" s="221"/>
      <c r="Z180" s="221"/>
      <c r="AA180" s="297"/>
      <c r="AB180" s="298"/>
      <c r="AC180" s="297"/>
      <c r="AD180" s="221"/>
      <c r="AE180" s="221"/>
      <c r="AF180" s="221"/>
      <c r="AG180" s="221"/>
      <c r="AH180" s="221"/>
      <c r="AI180" s="292"/>
    </row>
    <row r="181" spans="1:35" s="197" customFormat="1" ht="30" x14ac:dyDescent="0.2">
      <c r="A181" s="293"/>
      <c r="B181" s="283"/>
      <c r="C181" s="299"/>
      <c r="D181" s="285" t="s">
        <v>471</v>
      </c>
      <c r="E181" s="286" t="str">
        <f>BY54</f>
        <v/>
      </c>
      <c r="F181" s="287" t="str">
        <f>CI54</f>
        <v/>
      </c>
      <c r="G181" s="298"/>
      <c r="H181" s="221"/>
      <c r="I181" s="221"/>
      <c r="J181" s="221"/>
      <c r="K181" s="221"/>
      <c r="L181" s="221"/>
      <c r="M181" s="221"/>
      <c r="N181" s="221"/>
      <c r="O181" s="300"/>
      <c r="P181" s="221"/>
      <c r="Q181" s="221"/>
      <c r="R181" s="221"/>
      <c r="S181" s="221"/>
      <c r="T181" s="221"/>
      <c r="U181" s="221"/>
      <c r="V181" s="221"/>
      <c r="W181" s="297"/>
      <c r="X181" s="298"/>
      <c r="Y181" s="221"/>
      <c r="Z181" s="221"/>
      <c r="AA181" s="297"/>
      <c r="AB181" s="298"/>
      <c r="AC181" s="297"/>
      <c r="AD181" s="221"/>
      <c r="AE181" s="221"/>
      <c r="AF181" s="221"/>
      <c r="AG181" s="221"/>
      <c r="AH181" s="221"/>
      <c r="AI181" s="292"/>
    </row>
    <row r="182" spans="1:35" s="197" customFormat="1" ht="15" customHeight="1" x14ac:dyDescent="0.2">
      <c r="A182" s="293"/>
      <c r="B182" s="283"/>
      <c r="C182" s="284" t="s">
        <v>475</v>
      </c>
      <c r="D182" s="285" t="s">
        <v>476</v>
      </c>
      <c r="E182" s="286" t="str">
        <f>DE54</f>
        <v/>
      </c>
      <c r="F182" s="287" t="str">
        <f>DO54</f>
        <v/>
      </c>
      <c r="G182" s="298"/>
      <c r="H182" s="221"/>
      <c r="I182" s="221"/>
      <c r="J182" s="221"/>
      <c r="K182" s="221"/>
      <c r="L182" s="221"/>
      <c r="M182" s="221"/>
      <c r="N182" s="221"/>
      <c r="O182" s="300"/>
      <c r="P182" s="221"/>
      <c r="Q182" s="221"/>
      <c r="R182" s="221"/>
      <c r="S182" s="221"/>
      <c r="T182" s="221"/>
      <c r="U182" s="221"/>
      <c r="V182" s="221"/>
      <c r="W182" s="297"/>
      <c r="X182" s="298"/>
      <c r="Y182" s="221"/>
      <c r="Z182" s="221"/>
      <c r="AA182" s="297"/>
      <c r="AB182" s="298"/>
      <c r="AC182" s="297"/>
      <c r="AD182" s="221"/>
      <c r="AE182" s="221"/>
      <c r="AF182" s="221"/>
      <c r="AG182" s="221"/>
      <c r="AH182" s="221"/>
      <c r="AI182" s="292"/>
    </row>
    <row r="183" spans="1:35" s="197" customFormat="1" ht="60" x14ac:dyDescent="0.2">
      <c r="A183" s="293"/>
      <c r="B183" s="283"/>
      <c r="C183" s="294"/>
      <c r="D183" s="285" t="s">
        <v>477</v>
      </c>
      <c r="E183" s="286" t="str">
        <f>EK54</f>
        <v/>
      </c>
      <c r="F183" s="287" t="str">
        <f>EU54</f>
        <v/>
      </c>
      <c r="G183" s="298"/>
      <c r="H183" s="221"/>
      <c r="I183" s="296"/>
      <c r="J183" s="296"/>
      <c r="K183" s="296"/>
      <c r="L183" s="296"/>
      <c r="M183" s="296"/>
      <c r="N183" s="221"/>
      <c r="O183" s="296"/>
      <c r="P183" s="221"/>
      <c r="Q183" s="296"/>
      <c r="R183" s="296"/>
      <c r="S183" s="296"/>
      <c r="T183" s="221"/>
      <c r="U183" s="221"/>
      <c r="V183" s="221"/>
      <c r="W183" s="297"/>
      <c r="X183" s="298"/>
      <c r="Y183" s="221"/>
      <c r="Z183" s="221"/>
      <c r="AA183" s="297"/>
      <c r="AB183" s="298"/>
      <c r="AC183" s="297"/>
      <c r="AD183" s="221"/>
      <c r="AE183" s="221"/>
      <c r="AF183" s="221"/>
      <c r="AG183" s="221"/>
      <c r="AH183" s="221"/>
      <c r="AI183" s="292"/>
    </row>
    <row r="184" spans="1:35" s="197" customFormat="1" ht="15" customHeight="1" x14ac:dyDescent="0.2">
      <c r="A184" s="293"/>
      <c r="B184" s="301"/>
      <c r="C184" s="299"/>
      <c r="D184" s="285" t="s">
        <v>478</v>
      </c>
      <c r="E184" s="286" t="str">
        <f>FQ54</f>
        <v/>
      </c>
      <c r="F184" s="287" t="str">
        <f>GA54</f>
        <v/>
      </c>
      <c r="G184" s="298"/>
      <c r="H184" s="221"/>
      <c r="I184" s="302"/>
      <c r="J184" s="296"/>
      <c r="K184" s="296"/>
      <c r="L184" s="296"/>
      <c r="M184" s="296"/>
      <c r="N184" s="296"/>
      <c r="O184" s="296"/>
      <c r="P184" s="221"/>
      <c r="Q184" s="296"/>
      <c r="R184" s="296"/>
      <c r="S184" s="296"/>
      <c r="T184" s="221"/>
      <c r="U184" s="221"/>
      <c r="V184" s="221"/>
      <c r="W184" s="297"/>
      <c r="X184" s="298"/>
      <c r="Y184" s="221"/>
      <c r="Z184" s="221"/>
      <c r="AA184" s="297"/>
      <c r="AB184" s="298"/>
      <c r="AC184" s="297"/>
      <c r="AD184" s="221"/>
      <c r="AE184" s="221"/>
      <c r="AF184" s="221"/>
      <c r="AG184" s="221"/>
      <c r="AH184" s="221"/>
      <c r="AI184" s="292"/>
    </row>
    <row r="185" spans="1:35" s="197" customFormat="1" ht="15" customHeight="1" x14ac:dyDescent="0.2">
      <c r="A185" s="293"/>
      <c r="B185" s="266" t="s">
        <v>136</v>
      </c>
      <c r="C185" s="284" t="s">
        <v>474</v>
      </c>
      <c r="D185" s="285" t="s">
        <v>470</v>
      </c>
      <c r="E185" s="286" t="str">
        <f>M55</f>
        <v/>
      </c>
      <c r="F185" s="287" t="str">
        <f>W55</f>
        <v/>
      </c>
      <c r="G185" s="298"/>
      <c r="H185" s="221"/>
      <c r="I185" s="221"/>
      <c r="J185" s="221"/>
      <c r="K185" s="221"/>
      <c r="L185" s="221"/>
      <c r="M185" s="221"/>
      <c r="N185" s="221"/>
      <c r="O185" s="300"/>
      <c r="P185" s="221"/>
      <c r="Q185" s="221"/>
      <c r="R185" s="221"/>
      <c r="S185" s="221"/>
      <c r="T185" s="221"/>
      <c r="U185" s="221"/>
      <c r="V185" s="221"/>
      <c r="W185" s="297"/>
      <c r="X185" s="298"/>
      <c r="Y185" s="221"/>
      <c r="Z185" s="221"/>
      <c r="AA185" s="297"/>
      <c r="AB185" s="298"/>
      <c r="AC185" s="297"/>
      <c r="AD185" s="221"/>
      <c r="AE185" s="221"/>
      <c r="AF185" s="221"/>
      <c r="AG185" s="221"/>
      <c r="AH185" s="221"/>
      <c r="AI185" s="292"/>
    </row>
    <row r="186" spans="1:35" s="197" customFormat="1" ht="60" x14ac:dyDescent="0.2">
      <c r="A186" s="293"/>
      <c r="B186" s="266"/>
      <c r="C186" s="294"/>
      <c r="D186" s="285" t="s">
        <v>562</v>
      </c>
      <c r="E186" s="286" t="str">
        <f>AS55</f>
        <v/>
      </c>
      <c r="F186" s="287" t="str">
        <f>BC55</f>
        <v/>
      </c>
      <c r="G186" s="295"/>
      <c r="H186" s="221"/>
      <c r="I186" s="221"/>
      <c r="J186" s="221"/>
      <c r="K186" s="221"/>
      <c r="L186" s="221"/>
      <c r="M186" s="221"/>
      <c r="N186" s="221"/>
      <c r="O186" s="296"/>
      <c r="P186" s="221"/>
      <c r="Q186" s="221"/>
      <c r="R186" s="221"/>
      <c r="S186" s="221"/>
      <c r="T186" s="221"/>
      <c r="U186" s="221"/>
      <c r="V186" s="221"/>
      <c r="W186" s="297"/>
      <c r="X186" s="298"/>
      <c r="Y186" s="221"/>
      <c r="Z186" s="221"/>
      <c r="AA186" s="297"/>
      <c r="AB186" s="298"/>
      <c r="AC186" s="297"/>
      <c r="AD186" s="221"/>
      <c r="AE186" s="221"/>
      <c r="AF186" s="221"/>
      <c r="AG186" s="221"/>
      <c r="AH186" s="221"/>
      <c r="AI186" s="292"/>
    </row>
    <row r="187" spans="1:35" s="197" customFormat="1" ht="15" customHeight="1" x14ac:dyDescent="0.2">
      <c r="A187" s="293"/>
      <c r="B187" s="266"/>
      <c r="C187" s="299"/>
      <c r="D187" s="285" t="s">
        <v>471</v>
      </c>
      <c r="E187" s="286" t="str">
        <f>BY55</f>
        <v/>
      </c>
      <c r="F187" s="287" t="str">
        <f>CI55</f>
        <v/>
      </c>
      <c r="G187" s="298"/>
      <c r="H187" s="221"/>
      <c r="I187" s="221"/>
      <c r="J187" s="221"/>
      <c r="K187" s="221"/>
      <c r="L187" s="221"/>
      <c r="M187" s="221"/>
      <c r="N187" s="221"/>
      <c r="O187" s="300"/>
      <c r="P187" s="221"/>
      <c r="Q187" s="221"/>
      <c r="R187" s="221"/>
      <c r="S187" s="221"/>
      <c r="T187" s="221"/>
      <c r="U187" s="221"/>
      <c r="V187" s="221"/>
      <c r="W187" s="297"/>
      <c r="X187" s="298"/>
      <c r="Y187" s="221"/>
      <c r="Z187" s="221"/>
      <c r="AA187" s="297"/>
      <c r="AB187" s="298"/>
      <c r="AC187" s="297"/>
      <c r="AD187" s="221"/>
      <c r="AE187" s="221"/>
      <c r="AF187" s="221"/>
      <c r="AG187" s="221"/>
      <c r="AH187" s="221"/>
      <c r="AI187" s="292"/>
    </row>
    <row r="188" spans="1:35" s="197" customFormat="1" ht="15" customHeight="1" x14ac:dyDescent="0.2">
      <c r="A188" s="293"/>
      <c r="B188" s="266"/>
      <c r="C188" s="284" t="s">
        <v>475</v>
      </c>
      <c r="D188" s="285" t="s">
        <v>476</v>
      </c>
      <c r="E188" s="286" t="str">
        <f>DE55</f>
        <v/>
      </c>
      <c r="F188" s="287" t="str">
        <f>DO55</f>
        <v/>
      </c>
      <c r="G188" s="298"/>
      <c r="H188" s="221"/>
      <c r="I188" s="221"/>
      <c r="J188" s="221"/>
      <c r="K188" s="221"/>
      <c r="L188" s="221"/>
      <c r="M188" s="221"/>
      <c r="N188" s="221"/>
      <c r="O188" s="300"/>
      <c r="P188" s="221"/>
      <c r="Q188" s="221"/>
      <c r="R188" s="221"/>
      <c r="S188" s="221"/>
      <c r="T188" s="221"/>
      <c r="U188" s="221"/>
      <c r="V188" s="221"/>
      <c r="W188" s="297"/>
      <c r="X188" s="298"/>
      <c r="Y188" s="221"/>
      <c r="Z188" s="221"/>
      <c r="AA188" s="297"/>
      <c r="AB188" s="298"/>
      <c r="AC188" s="297"/>
      <c r="AD188" s="221"/>
      <c r="AE188" s="221"/>
      <c r="AF188" s="221"/>
      <c r="AG188" s="221"/>
      <c r="AH188" s="221"/>
      <c r="AI188" s="292"/>
    </row>
    <row r="189" spans="1:35" s="197" customFormat="1" ht="15" customHeight="1" x14ac:dyDescent="0.2">
      <c r="A189" s="293"/>
      <c r="B189" s="266"/>
      <c r="C189" s="294"/>
      <c r="D189" s="285" t="s">
        <v>477</v>
      </c>
      <c r="E189" s="286" t="str">
        <f>EK55</f>
        <v/>
      </c>
      <c r="F189" s="287" t="str">
        <f>EU55</f>
        <v/>
      </c>
      <c r="G189" s="298"/>
      <c r="H189" s="221"/>
      <c r="I189" s="296"/>
      <c r="J189" s="296"/>
      <c r="K189" s="296"/>
      <c r="L189" s="296"/>
      <c r="M189" s="296"/>
      <c r="N189" s="221"/>
      <c r="O189" s="296"/>
      <c r="P189" s="221"/>
      <c r="Q189" s="296"/>
      <c r="R189" s="296"/>
      <c r="S189" s="296"/>
      <c r="T189" s="221"/>
      <c r="U189" s="221"/>
      <c r="V189" s="221"/>
      <c r="W189" s="297"/>
      <c r="X189" s="298"/>
      <c r="Y189" s="221"/>
      <c r="Z189" s="221"/>
      <c r="AA189" s="297"/>
      <c r="AB189" s="298"/>
      <c r="AC189" s="297"/>
      <c r="AD189" s="221"/>
      <c r="AE189" s="221"/>
      <c r="AF189" s="221"/>
      <c r="AG189" s="221"/>
      <c r="AH189" s="221"/>
      <c r="AI189" s="292"/>
    </row>
    <row r="190" spans="1:35" s="197" customFormat="1" ht="15" customHeight="1" x14ac:dyDescent="0.2">
      <c r="A190" s="293"/>
      <c r="B190" s="266"/>
      <c r="C190" s="299"/>
      <c r="D190" s="285" t="s">
        <v>478</v>
      </c>
      <c r="E190" s="286" t="str">
        <f>FQ55</f>
        <v/>
      </c>
      <c r="F190" s="287" t="str">
        <f>GA55</f>
        <v/>
      </c>
      <c r="G190" s="298"/>
      <c r="H190" s="221"/>
      <c r="I190" s="302"/>
      <c r="J190" s="296"/>
      <c r="K190" s="296"/>
      <c r="L190" s="296"/>
      <c r="M190" s="296"/>
      <c r="N190" s="296"/>
      <c r="O190" s="296"/>
      <c r="P190" s="221"/>
      <c r="Q190" s="296"/>
      <c r="R190" s="296"/>
      <c r="S190" s="296"/>
      <c r="T190" s="221"/>
      <c r="U190" s="221"/>
      <c r="V190" s="221"/>
      <c r="W190" s="297"/>
      <c r="X190" s="298"/>
      <c r="Y190" s="221"/>
      <c r="Z190" s="221"/>
      <c r="AA190" s="297"/>
      <c r="AB190" s="298"/>
      <c r="AC190" s="297"/>
      <c r="AD190" s="221"/>
      <c r="AE190" s="221"/>
      <c r="AF190" s="221"/>
      <c r="AG190" s="221"/>
      <c r="AH190" s="221"/>
      <c r="AI190" s="292"/>
    </row>
    <row r="191" spans="1:35" s="197" customFormat="1" ht="15.75" customHeight="1" x14ac:dyDescent="0.2">
      <c r="A191" s="293"/>
      <c r="B191" s="303" t="s">
        <v>131</v>
      </c>
      <c r="C191" s="284" t="s">
        <v>474</v>
      </c>
      <c r="D191" s="285" t="s">
        <v>470</v>
      </c>
      <c r="E191" s="286" t="str">
        <f>L49</f>
        <v/>
      </c>
      <c r="F191" s="287" t="str">
        <f>V49</f>
        <v/>
      </c>
      <c r="G191" s="298"/>
      <c r="H191" s="221"/>
      <c r="I191" s="221"/>
      <c r="J191" s="221"/>
      <c r="K191" s="221"/>
      <c r="L191" s="221"/>
      <c r="M191" s="221"/>
      <c r="N191" s="221"/>
      <c r="O191" s="300"/>
      <c r="P191" s="221"/>
      <c r="Q191" s="221"/>
      <c r="R191" s="221"/>
      <c r="S191" s="221"/>
      <c r="T191" s="221"/>
      <c r="U191" s="221"/>
      <c r="V191" s="221"/>
      <c r="W191" s="297"/>
      <c r="X191" s="298"/>
      <c r="Y191" s="221"/>
      <c r="Z191" s="221"/>
      <c r="AA191" s="297"/>
      <c r="AB191" s="298"/>
      <c r="AC191" s="297"/>
      <c r="AD191" s="221"/>
      <c r="AE191" s="221"/>
      <c r="AF191" s="221"/>
      <c r="AG191" s="221"/>
      <c r="AH191" s="221"/>
      <c r="AI191" s="292"/>
    </row>
    <row r="192" spans="1:35" s="197" customFormat="1" ht="15" customHeight="1" x14ac:dyDescent="0.2">
      <c r="A192" s="293"/>
      <c r="B192" s="283"/>
      <c r="C192" s="294"/>
      <c r="D192" s="285" t="s">
        <v>562</v>
      </c>
      <c r="E192" s="286" t="str">
        <f>AR49</f>
        <v/>
      </c>
      <c r="F192" s="287" t="str">
        <f>BB49</f>
        <v/>
      </c>
      <c r="G192" s="295"/>
      <c r="H192" s="221"/>
      <c r="I192" s="221"/>
      <c r="J192" s="221"/>
      <c r="K192" s="221"/>
      <c r="L192" s="221"/>
      <c r="M192" s="221"/>
      <c r="N192" s="221"/>
      <c r="O192" s="296"/>
      <c r="P192" s="221"/>
      <c r="Q192" s="221"/>
      <c r="R192" s="221"/>
      <c r="S192" s="221"/>
      <c r="T192" s="221"/>
      <c r="U192" s="221"/>
      <c r="V192" s="221"/>
      <c r="W192" s="297"/>
      <c r="X192" s="298"/>
      <c r="Y192" s="221"/>
      <c r="Z192" s="221"/>
      <c r="AA192" s="297"/>
      <c r="AB192" s="298"/>
      <c r="AC192" s="297"/>
      <c r="AD192" s="221"/>
      <c r="AE192" s="221"/>
      <c r="AF192" s="221"/>
      <c r="AG192" s="221"/>
      <c r="AH192" s="221"/>
      <c r="AI192" s="292"/>
    </row>
    <row r="193" spans="1:35" s="197" customFormat="1" ht="30" x14ac:dyDescent="0.2">
      <c r="A193" s="293"/>
      <c r="B193" s="283"/>
      <c r="C193" s="299"/>
      <c r="D193" s="285" t="s">
        <v>471</v>
      </c>
      <c r="E193" s="286" t="str">
        <f>BX49</f>
        <v/>
      </c>
      <c r="F193" s="287" t="str">
        <f>CH49</f>
        <v/>
      </c>
      <c r="G193" s="298"/>
      <c r="H193" s="221"/>
      <c r="I193" s="221"/>
      <c r="J193" s="221"/>
      <c r="K193" s="221"/>
      <c r="L193" s="221"/>
      <c r="M193" s="221"/>
      <c r="N193" s="221"/>
      <c r="O193" s="300"/>
      <c r="P193" s="221"/>
      <c r="Q193" s="221"/>
      <c r="R193" s="221"/>
      <c r="S193" s="221"/>
      <c r="T193" s="221"/>
      <c r="U193" s="221"/>
      <c r="V193" s="221"/>
      <c r="W193" s="297"/>
      <c r="X193" s="298"/>
      <c r="Y193" s="221"/>
      <c r="Z193" s="221"/>
      <c r="AA193" s="297"/>
      <c r="AB193" s="298"/>
      <c r="AC193" s="297"/>
      <c r="AD193" s="221"/>
      <c r="AE193" s="221"/>
      <c r="AF193" s="221"/>
      <c r="AG193" s="221"/>
      <c r="AH193" s="221"/>
      <c r="AI193" s="292"/>
    </row>
    <row r="194" spans="1:35" s="197" customFormat="1" ht="15" customHeight="1" x14ac:dyDescent="0.2">
      <c r="A194" s="293"/>
      <c r="B194" s="283"/>
      <c r="C194" s="284" t="s">
        <v>475</v>
      </c>
      <c r="D194" s="285" t="s">
        <v>476</v>
      </c>
      <c r="E194" s="286" t="str">
        <f>DD49</f>
        <v/>
      </c>
      <c r="F194" s="287" t="str">
        <f>DN49</f>
        <v/>
      </c>
      <c r="G194" s="298"/>
      <c r="H194" s="221"/>
      <c r="I194" s="221"/>
      <c r="J194" s="221"/>
      <c r="K194" s="221"/>
      <c r="L194" s="221"/>
      <c r="M194" s="221"/>
      <c r="N194" s="221"/>
      <c r="O194" s="300"/>
      <c r="P194" s="221"/>
      <c r="Q194" s="221"/>
      <c r="R194" s="221"/>
      <c r="S194" s="221"/>
      <c r="T194" s="221"/>
      <c r="U194" s="221"/>
      <c r="V194" s="221"/>
      <c r="W194" s="297"/>
      <c r="X194" s="298"/>
      <c r="Y194" s="221"/>
      <c r="Z194" s="221"/>
      <c r="AA194" s="297"/>
      <c r="AB194" s="298"/>
      <c r="AC194" s="297"/>
      <c r="AD194" s="221"/>
      <c r="AE194" s="221"/>
      <c r="AF194" s="221"/>
      <c r="AG194" s="221"/>
      <c r="AH194" s="221"/>
      <c r="AI194" s="292"/>
    </row>
    <row r="195" spans="1:35" s="197" customFormat="1" ht="15" customHeight="1" x14ac:dyDescent="0.2">
      <c r="A195" s="293"/>
      <c r="B195" s="283"/>
      <c r="C195" s="294"/>
      <c r="D195" s="285" t="s">
        <v>477</v>
      </c>
      <c r="E195" s="286" t="str">
        <f>EJ49</f>
        <v/>
      </c>
      <c r="F195" s="287" t="str">
        <f>ET49</f>
        <v/>
      </c>
      <c r="G195" s="298"/>
      <c r="H195" s="221"/>
      <c r="I195" s="296"/>
      <c r="J195" s="296"/>
      <c r="K195" s="296"/>
      <c r="L195" s="296"/>
      <c r="M195" s="296"/>
      <c r="N195" s="221"/>
      <c r="O195" s="296"/>
      <c r="P195" s="221"/>
      <c r="Q195" s="296"/>
      <c r="R195" s="296"/>
      <c r="S195" s="296"/>
      <c r="T195" s="221"/>
      <c r="U195" s="221"/>
      <c r="V195" s="221"/>
      <c r="W195" s="297"/>
      <c r="X195" s="298"/>
      <c r="Y195" s="221"/>
      <c r="Z195" s="221"/>
      <c r="AA195" s="297"/>
      <c r="AB195" s="298"/>
      <c r="AC195" s="297"/>
      <c r="AD195" s="221"/>
      <c r="AE195" s="221"/>
      <c r="AF195" s="221"/>
      <c r="AG195" s="221"/>
      <c r="AH195" s="221"/>
      <c r="AI195" s="292"/>
    </row>
    <row r="196" spans="1:35" s="197" customFormat="1" ht="45" x14ac:dyDescent="0.2">
      <c r="A196" s="304"/>
      <c r="B196" s="301"/>
      <c r="C196" s="299"/>
      <c r="D196" s="285" t="s">
        <v>478</v>
      </c>
      <c r="E196" s="286" t="str">
        <f>FP49</f>
        <v/>
      </c>
      <c r="F196" s="287" t="str">
        <f>FZ49</f>
        <v/>
      </c>
      <c r="G196" s="306"/>
      <c r="H196" s="307"/>
      <c r="I196" s="308"/>
      <c r="J196" s="309"/>
      <c r="K196" s="309"/>
      <c r="L196" s="309"/>
      <c r="M196" s="309"/>
      <c r="N196" s="309"/>
      <c r="O196" s="309"/>
      <c r="P196" s="307"/>
      <c r="Q196" s="309"/>
      <c r="R196" s="309"/>
      <c r="S196" s="309"/>
      <c r="T196" s="307"/>
      <c r="U196" s="307"/>
      <c r="V196" s="307"/>
      <c r="W196" s="310"/>
      <c r="X196" s="306"/>
      <c r="Y196" s="307"/>
      <c r="Z196" s="307"/>
      <c r="AA196" s="310"/>
      <c r="AB196" s="306"/>
      <c r="AC196" s="310"/>
      <c r="AD196" s="221"/>
      <c r="AE196" s="221"/>
      <c r="AF196" s="221"/>
      <c r="AG196" s="221"/>
      <c r="AH196" s="221"/>
      <c r="AI196" s="292"/>
    </row>
    <row r="197" spans="1:35" s="197" customFormat="1" ht="15" customHeight="1" x14ac:dyDescent="0.2">
      <c r="A197" s="282" t="s">
        <v>43</v>
      </c>
      <c r="B197" s="266" t="s">
        <v>419</v>
      </c>
      <c r="C197" s="284" t="s">
        <v>474</v>
      </c>
      <c r="D197" s="285" t="s">
        <v>470</v>
      </c>
      <c r="E197" s="286" t="str">
        <f>J67</f>
        <v/>
      </c>
      <c r="F197" s="286" t="str">
        <f>T67</f>
        <v/>
      </c>
      <c r="G197" s="221"/>
      <c r="H197" s="221"/>
      <c r="I197" s="221"/>
      <c r="J197" s="221"/>
      <c r="K197" s="221"/>
      <c r="L197" s="221"/>
      <c r="M197" s="289"/>
      <c r="N197" s="297"/>
      <c r="O197" s="311" t="str">
        <f t="shared" ref="O197:O257" si="30">F197</f>
        <v/>
      </c>
      <c r="P197" s="221"/>
      <c r="Q197" s="221"/>
      <c r="R197" s="221"/>
      <c r="S197" s="221"/>
      <c r="T197" s="298"/>
      <c r="U197" s="221"/>
      <c r="V197" s="221"/>
      <c r="W197" s="297"/>
      <c r="X197" s="288"/>
      <c r="Y197" s="289"/>
      <c r="Z197" s="289"/>
      <c r="AA197" s="291"/>
      <c r="AB197" s="288"/>
      <c r="AC197" s="291"/>
      <c r="AD197" s="221"/>
      <c r="AE197" s="221"/>
      <c r="AF197" s="221"/>
      <c r="AG197" s="221"/>
      <c r="AH197" s="221"/>
      <c r="AI197" s="292"/>
    </row>
    <row r="198" spans="1:35" s="197" customFormat="1" ht="60" x14ac:dyDescent="0.2">
      <c r="A198" s="293"/>
      <c r="B198" s="266"/>
      <c r="C198" s="294"/>
      <c r="D198" s="285" t="s">
        <v>562</v>
      </c>
      <c r="E198" s="286" t="str">
        <f>AP67</f>
        <v/>
      </c>
      <c r="F198" s="286" t="str">
        <f>AZ67</f>
        <v/>
      </c>
      <c r="G198" s="312" t="str">
        <f t="shared" ref="G198" si="31">IFERROR(IF(F197-F198&gt;0,F197-F198,0),"")</f>
        <v/>
      </c>
      <c r="H198" s="221"/>
      <c r="I198" s="221"/>
      <c r="J198" s="221"/>
      <c r="K198" s="221"/>
      <c r="L198" s="221"/>
      <c r="M198" s="221"/>
      <c r="N198" s="297"/>
      <c r="O198" s="312" t="str">
        <f>IF(F198&gt;F197,F198,IFERROR(IF(O197-P198&gt;0,O197-P198,0),""))</f>
        <v/>
      </c>
      <c r="P198" s="313" t="str">
        <f t="shared" ref="P198" si="32">IFERROR(IF(F197-F198&gt;0,F197-F198,0),"")</f>
        <v/>
      </c>
      <c r="Q198" s="221"/>
      <c r="R198" s="221"/>
      <c r="S198" s="221"/>
      <c r="T198" s="313" t="str">
        <f t="shared" ref="T198" si="33">IF(G198="","",IFERROR(IF(G198&gt;0,"PERTE FONCTIONNELLE",""),""))</f>
        <v/>
      </c>
      <c r="U198" s="221"/>
      <c r="V198" s="221"/>
      <c r="W198" s="297"/>
      <c r="X198" s="314">
        <f>IF(AND(E198&lt;&gt;"",E197&lt;&gt;""),1,0)</f>
        <v>0</v>
      </c>
      <c r="Y198" s="221"/>
      <c r="Z198" s="221"/>
      <c r="AA198" s="297"/>
      <c r="AB198" s="298"/>
      <c r="AC198" s="297"/>
      <c r="AD198" s="314">
        <f>IF(T198="PERTE FONCTIONNELLE",1,0)</f>
        <v>0</v>
      </c>
      <c r="AE198" s="221"/>
      <c r="AF198" s="221"/>
      <c r="AG198" s="221"/>
      <c r="AH198" s="221"/>
      <c r="AI198" s="292"/>
    </row>
    <row r="199" spans="1:35" s="197" customFormat="1" ht="15" customHeight="1" x14ac:dyDescent="0.2">
      <c r="A199" s="293"/>
      <c r="B199" s="266"/>
      <c r="C199" s="299"/>
      <c r="D199" s="285" t="s">
        <v>471</v>
      </c>
      <c r="E199" s="286" t="str">
        <f>BV67</f>
        <v/>
      </c>
      <c r="F199" s="286" t="str">
        <f>CF67</f>
        <v/>
      </c>
      <c r="G199" s="298"/>
      <c r="H199" s="313" t="str">
        <f t="shared" ref="H199" si="34">IFERROR(IF(F197-F199&gt;0,F197-F199,0),"")</f>
        <v/>
      </c>
      <c r="I199" s="221"/>
      <c r="J199" s="221"/>
      <c r="K199" s="221"/>
      <c r="L199" s="221"/>
      <c r="M199" s="221"/>
      <c r="N199" s="297"/>
      <c r="O199" s="311" t="str">
        <f>IF(F199&gt;F197,F199,IFERROR(IF(O197-P199&gt;0,O197-P199,0),""))</f>
        <v/>
      </c>
      <c r="P199" s="313" t="str">
        <f t="shared" ref="P199" si="35">IFERROR(IF(F197-F199&gt;0,F197-F199,0),"")</f>
        <v/>
      </c>
      <c r="Q199" s="221"/>
      <c r="R199" s="221"/>
      <c r="S199" s="221"/>
      <c r="T199" s="313" t="str">
        <f t="shared" ref="T199" si="36">IF(H199="","",IFERROR(IF(H199&gt;0,"PERTE FONCTIONNELLE",""),""))</f>
        <v/>
      </c>
      <c r="U199" s="221"/>
      <c r="V199" s="221"/>
      <c r="W199" s="297"/>
      <c r="X199" s="298"/>
      <c r="Y199" s="314">
        <f>IF(AND(E199&lt;&gt;"",E197&lt;&gt;""),1,0)</f>
        <v>0</v>
      </c>
      <c r="Z199" s="221"/>
      <c r="AA199" s="297"/>
      <c r="AB199" s="298"/>
      <c r="AC199" s="297"/>
      <c r="AD199" s="221"/>
      <c r="AE199" s="314">
        <f>IF(T199="PERTE FONCTIONNELLE",1,0)</f>
        <v>0</v>
      </c>
      <c r="AF199" s="221"/>
      <c r="AG199" s="221"/>
      <c r="AH199" s="221"/>
      <c r="AI199" s="292"/>
    </row>
    <row r="200" spans="1:35" s="197" customFormat="1" ht="15" customHeight="1" x14ac:dyDescent="0.2">
      <c r="A200" s="293"/>
      <c r="B200" s="266"/>
      <c r="C200" s="284" t="s">
        <v>475</v>
      </c>
      <c r="D200" s="285" t="s">
        <v>476</v>
      </c>
      <c r="E200" s="286" t="str">
        <f>DB67</f>
        <v/>
      </c>
      <c r="F200" s="286" t="str">
        <f>DL67</f>
        <v/>
      </c>
      <c r="G200" s="298"/>
      <c r="H200" s="221"/>
      <c r="I200" s="221"/>
      <c r="J200" s="221"/>
      <c r="K200" s="221"/>
      <c r="L200" s="221"/>
      <c r="M200" s="221"/>
      <c r="N200" s="297"/>
      <c r="O200" s="311" t="str">
        <f t="shared" ref="O200:O260" si="37">F200</f>
        <v/>
      </c>
      <c r="P200" s="221"/>
      <c r="Q200" s="221"/>
      <c r="R200" s="221"/>
      <c r="S200" s="221"/>
      <c r="T200" s="298"/>
      <c r="U200" s="221"/>
      <c r="V200" s="221"/>
      <c r="W200" s="297"/>
      <c r="X200" s="298"/>
      <c r="Y200" s="221"/>
      <c r="Z200" s="221"/>
      <c r="AA200" s="297"/>
      <c r="AB200" s="298"/>
      <c r="AC200" s="297"/>
      <c r="AD200" s="221"/>
      <c r="AE200" s="221"/>
      <c r="AF200" s="221"/>
      <c r="AG200" s="221"/>
      <c r="AH200" s="221"/>
      <c r="AI200" s="292"/>
    </row>
    <row r="201" spans="1:35" s="197" customFormat="1" ht="60" x14ac:dyDescent="0.2">
      <c r="A201" s="293"/>
      <c r="B201" s="266"/>
      <c r="C201" s="294"/>
      <c r="D201" s="285" t="s">
        <v>477</v>
      </c>
      <c r="E201" s="286" t="str">
        <f>EH67</f>
        <v/>
      </c>
      <c r="F201" s="286" t="str">
        <f>ER67</f>
        <v/>
      </c>
      <c r="G201" s="298"/>
      <c r="H201" s="221"/>
      <c r="I201" s="312" t="str">
        <f t="shared" ref="I201" si="38">IFERROR(IF(F201-F200&gt;0,F201-F200,0),"")</f>
        <v/>
      </c>
      <c r="J201" s="312" t="str">
        <f>IFERROR(IF(AND(G198&gt;0,G198*'SYNTHESE EVAL. EQ. FCT.'!$AC$140&lt;=I201),I201,0),"")</f>
        <v/>
      </c>
      <c r="K201" s="312" t="str">
        <f t="shared" ref="K201" si="39">IFERROR(IF(F201-F200&lt;0,F200-F201,0),"")</f>
        <v/>
      </c>
      <c r="L201" s="296"/>
      <c r="M201" s="296"/>
      <c r="N201" s="297"/>
      <c r="O201" s="312" t="str">
        <f t="shared" ref="O201:O261" si="40">IF(F201="","",IFERROR(IF(F201&gt;F200,F200,F201),""))</f>
        <v/>
      </c>
      <c r="P201" s="221"/>
      <c r="Q201" s="312">
        <f t="shared" ref="Q201" si="41">IFERROR(IF(AND(F201&gt;F200,I201&gt;J201),I201,0),"")</f>
        <v>0</v>
      </c>
      <c r="R201" s="312" t="str">
        <f t="shared" ref="R201" si="42">IFERROR(IF(AND(F201&gt;F200,I201&gt;J201),0,I201),"")</f>
        <v/>
      </c>
      <c r="S201" s="315" t="str">
        <f t="shared" ref="S201" si="43">IFERROR(K201,"")</f>
        <v/>
      </c>
      <c r="T201" s="298"/>
      <c r="U201" s="313" t="str">
        <f t="shared" ref="U201" si="44">IF(I201="","",IFERROR(IF(I201&gt;0,CONCATENATE(" (",ROUND(I201/G198,1)," fois la perte)"),""),""))</f>
        <v/>
      </c>
      <c r="V201" s="313" t="str">
        <f t="shared" ref="V201" si="45">IF(J201="","",IFERROR(IF(J201&gt;0,"OUI",""),""))</f>
        <v/>
      </c>
      <c r="W201" s="313" t="str">
        <f t="shared" ref="W201" si="46">IF(K201="","",IFERROR(IF(K201&gt;0,"DECLIN FONCTIONNEL",""),""))</f>
        <v/>
      </c>
      <c r="X201" s="298"/>
      <c r="Y201" s="221"/>
      <c r="Z201" s="314">
        <f>IF(AND(E201&lt;&gt;"",E200&lt;&gt;""),1,0)</f>
        <v>0</v>
      </c>
      <c r="AA201" s="297"/>
      <c r="AB201" s="314">
        <f>IF(IFERROR(X198+Z201,0)=0,0,IF(SUM(Z201,X198)=2,1,0))</f>
        <v>0</v>
      </c>
      <c r="AC201" s="297"/>
      <c r="AD201" s="221"/>
      <c r="AE201" s="221"/>
      <c r="AF201" s="313">
        <f t="shared" ref="AF201" si="47">IF(U201&lt;&gt;"",1,IF(OR(AND(Q201&gt;0,Q201&lt;&gt;""),AND(R201&gt;0,R201&lt;&gt;"")),1,0))</f>
        <v>0</v>
      </c>
      <c r="AG201" s="221"/>
      <c r="AH201" s="314">
        <f>IF(V201="OUI",1,0)</f>
        <v>0</v>
      </c>
      <c r="AI201" s="292"/>
    </row>
    <row r="202" spans="1:35" s="197" customFormat="1" ht="15" customHeight="1" thickBot="1" x14ac:dyDescent="0.25">
      <c r="A202" s="293"/>
      <c r="B202" s="266"/>
      <c r="C202" s="299"/>
      <c r="D202" s="285" t="s">
        <v>478</v>
      </c>
      <c r="E202" s="286" t="str">
        <f>FN67</f>
        <v/>
      </c>
      <c r="F202" s="286" t="str">
        <f>FX67</f>
        <v/>
      </c>
      <c r="G202" s="306"/>
      <c r="H202" s="307"/>
      <c r="I202" s="308"/>
      <c r="J202" s="309"/>
      <c r="K202" s="309"/>
      <c r="L202" s="312" t="str">
        <f t="shared" ref="L202" si="48">IFERROR(IF(F202-F200&gt;0,F202-F200,0),"")</f>
        <v/>
      </c>
      <c r="M202" s="315" t="str">
        <f>IFERROR(IF(AND(H199&gt;0,H199*'SYNTHESE EVAL. EQ. FCT.'!$AC$140&lt;=L202),L202,0),"")</f>
        <v/>
      </c>
      <c r="N202" s="312" t="str">
        <f t="shared" ref="N202" si="49">IFERROR(IF(F202-F200&lt;0,F200-F202,0),"")</f>
        <v/>
      </c>
      <c r="O202" s="312" t="str">
        <f t="shared" ref="O202:O262" si="50">IF(F202="","",IFERROR(IF(N202&gt;0,F200-N202,0)+IF(AND(L202=0,N202=0),F200,0)+IF(L202&gt;0,F200,0),""))</f>
        <v/>
      </c>
      <c r="P202" s="307"/>
      <c r="Q202" s="312">
        <f t="shared" ref="Q202" si="51">IFERROR(IF(L202&gt;M202,L202,0),"")</f>
        <v>0</v>
      </c>
      <c r="R202" s="312" t="str">
        <f t="shared" ref="R202" si="52">IFERROR(IF(L202&gt;M202,0,M202),"")</f>
        <v/>
      </c>
      <c r="S202" s="315" t="str">
        <f t="shared" ref="S202" si="53">IFERROR(N202,"")</f>
        <v/>
      </c>
      <c r="T202" s="306"/>
      <c r="U202" s="328" t="str">
        <f t="shared" ref="U202" si="54">IF(L202="","",IFERROR(IF(L202&gt;0,CONCATENATE(" (",ROUND(L202/H199,1)," fois la perte)"),""),""))</f>
        <v/>
      </c>
      <c r="V202" s="313" t="str">
        <f t="shared" ref="V202" si="55">IF(M202="","",IFERROR(IF(M202&gt;0,"OUI",""),""))</f>
        <v/>
      </c>
      <c r="W202" s="313" t="str">
        <f t="shared" ref="W202" si="56">IF(N202="","",IFERROR(IF(N202&gt;0,"DECLIN FONCTIONNEL",""),""))</f>
        <v/>
      </c>
      <c r="X202" s="306"/>
      <c r="Y202" s="307"/>
      <c r="Z202" s="307"/>
      <c r="AA202" s="314">
        <f>IF(AND(E202&lt;&gt;"",E200&lt;&gt;""),1,0)</f>
        <v>0</v>
      </c>
      <c r="AB202" s="306"/>
      <c r="AC202" s="314">
        <f>IF(IFERROR(Y199+AA202,0)=0,0,IF(SUM(AA202,Y199)=2,1,0))</f>
        <v>0</v>
      </c>
      <c r="AD202" s="221"/>
      <c r="AE202" s="221"/>
      <c r="AF202" s="323"/>
      <c r="AG202" s="328">
        <f t="shared" ref="AG202" si="57">IF(U202&lt;&gt;"",1,IF(OR(AND(Q202&gt;0,Q202&lt;&gt;""),AND(R202&gt;0,R202&lt;&gt;"")),1,0))</f>
        <v>0</v>
      </c>
      <c r="AH202" s="221"/>
      <c r="AI202" s="316">
        <f>IF(V202="OUI",1,0)</f>
        <v>0</v>
      </c>
    </row>
    <row r="203" spans="1:35" s="197" customFormat="1" ht="15" customHeight="1" x14ac:dyDescent="0.2">
      <c r="A203" s="293"/>
      <c r="B203" s="303" t="s">
        <v>420</v>
      </c>
      <c r="C203" s="284" t="s">
        <v>474</v>
      </c>
      <c r="D203" s="285" t="s">
        <v>470</v>
      </c>
      <c r="E203" s="286" t="str">
        <f>I68</f>
        <v/>
      </c>
      <c r="F203" s="286" t="str">
        <f>S68</f>
        <v/>
      </c>
      <c r="G203" s="289"/>
      <c r="H203" s="289"/>
      <c r="I203" s="289"/>
      <c r="J203" s="289"/>
      <c r="K203" s="289"/>
      <c r="L203" s="289"/>
      <c r="M203" s="289"/>
      <c r="N203" s="291"/>
      <c r="O203" s="311" t="str">
        <f t="shared" si="30"/>
        <v/>
      </c>
      <c r="P203" s="289"/>
      <c r="Q203" s="289"/>
      <c r="R203" s="289"/>
      <c r="S203" s="289"/>
      <c r="T203" s="288"/>
      <c r="U203" s="221"/>
      <c r="V203" s="289"/>
      <c r="W203" s="291"/>
      <c r="X203" s="288"/>
      <c r="Y203" s="289"/>
      <c r="Z203" s="289"/>
      <c r="AA203" s="291"/>
      <c r="AB203" s="288"/>
      <c r="AC203" s="291"/>
      <c r="AD203" s="221"/>
      <c r="AE203" s="221"/>
      <c r="AF203" s="221"/>
      <c r="AG203" s="221"/>
      <c r="AH203" s="221"/>
      <c r="AI203" s="292"/>
    </row>
    <row r="204" spans="1:35" s="197" customFormat="1" ht="15" customHeight="1" x14ac:dyDescent="0.2">
      <c r="A204" s="293"/>
      <c r="B204" s="283"/>
      <c r="C204" s="294"/>
      <c r="D204" s="285" t="s">
        <v>562</v>
      </c>
      <c r="E204" s="286" t="str">
        <f>AO68</f>
        <v/>
      </c>
      <c r="F204" s="286" t="str">
        <f>AY68</f>
        <v/>
      </c>
      <c r="G204" s="312" t="str">
        <f t="shared" ref="G204" si="58">IFERROR(IF(F203-F204&gt;0,F203-F204,0),"")</f>
        <v/>
      </c>
      <c r="H204" s="221"/>
      <c r="I204" s="221"/>
      <c r="J204" s="221"/>
      <c r="K204" s="221"/>
      <c r="L204" s="221"/>
      <c r="M204" s="221"/>
      <c r="N204" s="297"/>
      <c r="O204" s="312" t="str">
        <f t="shared" ref="O204" si="59">IF(F204&gt;F203,F204,IFERROR(IF(O203-P204&gt;0,O203-P204,0),""))</f>
        <v/>
      </c>
      <c r="P204" s="313" t="str">
        <f t="shared" ref="P204" si="60">IFERROR(IF(F203-F204&gt;0,F203-F204,0),"")</f>
        <v/>
      </c>
      <c r="Q204" s="221"/>
      <c r="R204" s="221"/>
      <c r="S204" s="221"/>
      <c r="T204" s="313" t="str">
        <f t="shared" ref="T204" si="61">IF(G204="","",IFERROR(IF(G204&gt;0,"PERTE FONCTIONNELLE",""),""))</f>
        <v/>
      </c>
      <c r="U204" s="221"/>
      <c r="V204" s="221"/>
      <c r="W204" s="297"/>
      <c r="X204" s="314">
        <f t="shared" ref="X204" si="62">IF(AND(E204&lt;&gt;"",E203&lt;&gt;""),1,0)</f>
        <v>0</v>
      </c>
      <c r="Y204" s="221"/>
      <c r="Z204" s="221"/>
      <c r="AA204" s="297"/>
      <c r="AB204" s="298"/>
      <c r="AC204" s="297"/>
      <c r="AD204" s="314">
        <f>IF(T204="PERTE FONCTIONNELLE",1,0)</f>
        <v>0</v>
      </c>
      <c r="AE204" s="221"/>
      <c r="AF204" s="221"/>
      <c r="AG204" s="221"/>
      <c r="AH204" s="221"/>
      <c r="AI204" s="292"/>
    </row>
    <row r="205" spans="1:35" s="197" customFormat="1" ht="15" customHeight="1" x14ac:dyDescent="0.2">
      <c r="A205" s="293"/>
      <c r="B205" s="283"/>
      <c r="C205" s="299"/>
      <c r="D205" s="285" t="s">
        <v>471</v>
      </c>
      <c r="E205" s="286" t="str">
        <f>BU68</f>
        <v/>
      </c>
      <c r="F205" s="286" t="str">
        <f>CE68</f>
        <v/>
      </c>
      <c r="G205" s="298"/>
      <c r="H205" s="313" t="str">
        <f t="shared" ref="H205" si="63">IFERROR(IF(F203-F205&gt;0,F203-F205,0),"")</f>
        <v/>
      </c>
      <c r="I205" s="221"/>
      <c r="J205" s="221"/>
      <c r="K205" s="221"/>
      <c r="L205" s="221"/>
      <c r="M205" s="221"/>
      <c r="N205" s="297"/>
      <c r="O205" s="311" t="str">
        <f t="shared" ref="O205" si="64">IF(F205&gt;F203,F205,IFERROR(IF(O203-P205&gt;0,O203-P205,0),""))</f>
        <v/>
      </c>
      <c r="P205" s="313" t="str">
        <f t="shared" ref="P205" si="65">IFERROR(IF(F203-F205&gt;0,F203-F205,0),"")</f>
        <v/>
      </c>
      <c r="Q205" s="221"/>
      <c r="R205" s="221"/>
      <c r="S205" s="221"/>
      <c r="T205" s="313" t="str">
        <f t="shared" ref="T205" si="66">IF(H205="","",IFERROR(IF(H205&gt;0,"PERTE FONCTIONNELLE",""),""))</f>
        <v/>
      </c>
      <c r="U205" s="221"/>
      <c r="V205" s="221"/>
      <c r="W205" s="297"/>
      <c r="X205" s="298"/>
      <c r="Y205" s="314">
        <f t="shared" ref="Y205" si="67">IF(AND(E205&lt;&gt;"",E203&lt;&gt;""),1,0)</f>
        <v>0</v>
      </c>
      <c r="Z205" s="221"/>
      <c r="AA205" s="297"/>
      <c r="AB205" s="298"/>
      <c r="AC205" s="297"/>
      <c r="AD205" s="221"/>
      <c r="AE205" s="314">
        <f>IF(T205="PERTE FONCTIONNELLE",1,0)</f>
        <v>0</v>
      </c>
      <c r="AF205" s="221"/>
      <c r="AG205" s="221"/>
      <c r="AH205" s="221"/>
      <c r="AI205" s="292"/>
    </row>
    <row r="206" spans="1:35" s="197" customFormat="1" ht="15.75" customHeight="1" x14ac:dyDescent="0.2">
      <c r="A206" s="293"/>
      <c r="B206" s="283"/>
      <c r="C206" s="284" t="s">
        <v>475</v>
      </c>
      <c r="D206" s="285" t="s">
        <v>476</v>
      </c>
      <c r="E206" s="286" t="str">
        <f>DA68</f>
        <v/>
      </c>
      <c r="F206" s="286" t="str">
        <f>DK68</f>
        <v/>
      </c>
      <c r="G206" s="298"/>
      <c r="H206" s="221"/>
      <c r="I206" s="221"/>
      <c r="J206" s="221"/>
      <c r="K206" s="221"/>
      <c r="L206" s="221"/>
      <c r="M206" s="221"/>
      <c r="N206" s="297"/>
      <c r="O206" s="311" t="str">
        <f t="shared" si="37"/>
        <v/>
      </c>
      <c r="P206" s="221"/>
      <c r="Q206" s="221"/>
      <c r="R206" s="221"/>
      <c r="S206" s="221"/>
      <c r="T206" s="298"/>
      <c r="U206" s="221"/>
      <c r="V206" s="221"/>
      <c r="W206" s="297"/>
      <c r="X206" s="298"/>
      <c r="Y206" s="221"/>
      <c r="Z206" s="221"/>
      <c r="AA206" s="297"/>
      <c r="AB206" s="298"/>
      <c r="AC206" s="297"/>
      <c r="AD206" s="221"/>
      <c r="AE206" s="221"/>
      <c r="AF206" s="221"/>
      <c r="AG206" s="221"/>
      <c r="AH206" s="221"/>
      <c r="AI206" s="292"/>
    </row>
    <row r="207" spans="1:35" s="197" customFormat="1" ht="15" customHeight="1" x14ac:dyDescent="0.2">
      <c r="A207" s="293"/>
      <c r="B207" s="283"/>
      <c r="C207" s="294"/>
      <c r="D207" s="285" t="s">
        <v>477</v>
      </c>
      <c r="E207" s="286" t="str">
        <f>EG68</f>
        <v/>
      </c>
      <c r="F207" s="286" t="str">
        <f>EQ68</f>
        <v/>
      </c>
      <c r="G207" s="298"/>
      <c r="H207" s="221"/>
      <c r="I207" s="312" t="str">
        <f t="shared" ref="I207" si="68">IFERROR(IF(F207-F206&gt;0,F207-F206,0),"")</f>
        <v/>
      </c>
      <c r="J207" s="312" t="str">
        <f>IFERROR(IF(AND(G204&gt;0,G204*'SYNTHESE EVAL. EQ. FCT.'!$AC$140&lt;=I207),I207,0),"")</f>
        <v/>
      </c>
      <c r="K207" s="312" t="str">
        <f t="shared" ref="K207" si="69">IFERROR(IF(F207-F206&lt;0,F206-F207,0),"")</f>
        <v/>
      </c>
      <c r="L207" s="296"/>
      <c r="M207" s="296"/>
      <c r="N207" s="297"/>
      <c r="O207" s="312" t="str">
        <f t="shared" si="40"/>
        <v/>
      </c>
      <c r="P207" s="221"/>
      <c r="Q207" s="312">
        <f t="shared" ref="Q207" si="70">IFERROR(IF(AND(F207&gt;F206,I207&gt;J207),I207,0),"")</f>
        <v>0</v>
      </c>
      <c r="R207" s="312" t="str">
        <f t="shared" ref="R207" si="71">IFERROR(IF(AND(F207&gt;F206,I207&gt;J207),0,I207),"")</f>
        <v/>
      </c>
      <c r="S207" s="315" t="str">
        <f t="shared" ref="S207" si="72">IFERROR(K207,"")</f>
        <v/>
      </c>
      <c r="T207" s="298"/>
      <c r="U207" s="313" t="str">
        <f t="shared" ref="U207" si="73">IF(I207="","",IFERROR(IF(I207&gt;0,CONCATENATE(" (",ROUND(I207/G204,1)," fois la perte)"),""),""))</f>
        <v/>
      </c>
      <c r="V207" s="313" t="str">
        <f t="shared" ref="V207" si="74">IF(J207="","",IFERROR(IF(J207&gt;0,"OUI",""),""))</f>
        <v/>
      </c>
      <c r="W207" s="313" t="str">
        <f t="shared" ref="W207" si="75">IF(K207="","",IFERROR(IF(K207&gt;0,"DECLIN FONCTIONNEL",""),""))</f>
        <v/>
      </c>
      <c r="X207" s="298"/>
      <c r="Y207" s="221"/>
      <c r="Z207" s="314">
        <f t="shared" ref="Z207" si="76">IF(AND(E207&lt;&gt;"",E206&lt;&gt;""),1,0)</f>
        <v>0</v>
      </c>
      <c r="AA207" s="297"/>
      <c r="AB207" s="314">
        <f>IF(IFERROR(X204+Z207,0)=0,0,IF(SUM(Z207,X204)=2,1,0))</f>
        <v>0</v>
      </c>
      <c r="AC207" s="297"/>
      <c r="AD207" s="221"/>
      <c r="AE207" s="221"/>
      <c r="AF207" s="313">
        <f t="shared" ref="AF207" si="77">IF(U207&lt;&gt;"",1,IF(OR(AND(Q207&gt;0,Q207&lt;&gt;""),AND(R207&gt;0,R207&lt;&gt;"")),1,0))</f>
        <v>0</v>
      </c>
      <c r="AG207" s="221"/>
      <c r="AH207" s="314">
        <f t="shared" ref="AH207" si="78">IF(V207="OUI",1,0)</f>
        <v>0</v>
      </c>
      <c r="AI207" s="292"/>
    </row>
    <row r="208" spans="1:35" s="197" customFormat="1" ht="45.75" thickBot="1" x14ac:dyDescent="0.25">
      <c r="A208" s="293"/>
      <c r="B208" s="301"/>
      <c r="C208" s="299"/>
      <c r="D208" s="285" t="s">
        <v>478</v>
      </c>
      <c r="E208" s="286" t="str">
        <f>FM68</f>
        <v/>
      </c>
      <c r="F208" s="286" t="str">
        <f>FW68</f>
        <v/>
      </c>
      <c r="G208" s="306"/>
      <c r="H208" s="307"/>
      <c r="I208" s="308"/>
      <c r="J208" s="309"/>
      <c r="K208" s="309"/>
      <c r="L208" s="312" t="str">
        <f t="shared" ref="L208" si="79">IFERROR(IF(F208-F206&gt;0,F208-F206,0),"")</f>
        <v/>
      </c>
      <c r="M208" s="315" t="str">
        <f>IFERROR(IF(AND(H205&gt;0,H205*'SYNTHESE EVAL. EQ. FCT.'!$AC$140&lt;=L208),L208,0),"")</f>
        <v/>
      </c>
      <c r="N208" s="312" t="str">
        <f t="shared" ref="N208" si="80">IFERROR(IF(F208-F206&lt;0,F206-F208,0),"")</f>
        <v/>
      </c>
      <c r="O208" s="312" t="str">
        <f t="shared" si="50"/>
        <v/>
      </c>
      <c r="P208" s="307"/>
      <c r="Q208" s="312">
        <f t="shared" ref="Q208" si="81">IFERROR(IF(L208&gt;M208,L208,0),"")</f>
        <v>0</v>
      </c>
      <c r="R208" s="312" t="str">
        <f t="shared" ref="R208" si="82">IFERROR(IF(L208&gt;M208,0,M208),"")</f>
        <v/>
      </c>
      <c r="S208" s="315" t="str">
        <f t="shared" ref="S208" si="83">IFERROR(N208,"")</f>
        <v/>
      </c>
      <c r="T208" s="306"/>
      <c r="U208" s="328" t="str">
        <f t="shared" ref="U208" si="84">IF(L208="","",IFERROR(IF(L208&gt;0,CONCATENATE(" (",ROUND(L208/H205,1)," fois la perte)"),""),""))</f>
        <v/>
      </c>
      <c r="V208" s="313" t="str">
        <f t="shared" ref="V208" si="85">IF(M208="","",IFERROR(IF(M208&gt;0,"OUI",""),""))</f>
        <v/>
      </c>
      <c r="W208" s="313" t="str">
        <f t="shared" ref="W208" si="86">IF(N208="","",IFERROR(IF(N208&gt;0,"DECLIN FONCTIONNEL",""),""))</f>
        <v/>
      </c>
      <c r="X208" s="306"/>
      <c r="Y208" s="307"/>
      <c r="Z208" s="307"/>
      <c r="AA208" s="314">
        <f t="shared" ref="AA208" si="87">IF(AND(E208&lt;&gt;"",E206&lt;&gt;""),1,0)</f>
        <v>0</v>
      </c>
      <c r="AB208" s="306"/>
      <c r="AC208" s="314">
        <f>IF(IFERROR(Y205+AA208,0)=0,0,IF(SUM(AA208,Y205)=2,1,0))</f>
        <v>0</v>
      </c>
      <c r="AD208" s="221"/>
      <c r="AE208" s="221"/>
      <c r="AF208" s="323"/>
      <c r="AG208" s="328">
        <f t="shared" ref="AG208" si="88">IF(U208&lt;&gt;"",1,IF(OR(AND(Q208&gt;0,Q208&lt;&gt;""),AND(R208&gt;0,R208&lt;&gt;"")),1,0))</f>
        <v>0</v>
      </c>
      <c r="AH208" s="221"/>
      <c r="AI208" s="316">
        <f t="shared" ref="AI208" si="89">IF(V208="OUI",1,0)</f>
        <v>0</v>
      </c>
    </row>
    <row r="209" spans="1:35" s="197" customFormat="1" ht="15" customHeight="1" x14ac:dyDescent="0.2">
      <c r="A209" s="293"/>
      <c r="B209" s="266" t="s">
        <v>149</v>
      </c>
      <c r="C209" s="284" t="s">
        <v>474</v>
      </c>
      <c r="D209" s="285" t="s">
        <v>470</v>
      </c>
      <c r="E209" s="286" t="str">
        <f>E77</f>
        <v/>
      </c>
      <c r="F209" s="286" t="str">
        <f>O77</f>
        <v/>
      </c>
      <c r="G209" s="289"/>
      <c r="H209" s="289"/>
      <c r="I209" s="289"/>
      <c r="J209" s="289"/>
      <c r="K209" s="289"/>
      <c r="L209" s="289"/>
      <c r="M209" s="289"/>
      <c r="N209" s="291"/>
      <c r="O209" s="311" t="str">
        <f t="shared" si="30"/>
        <v/>
      </c>
      <c r="P209" s="289"/>
      <c r="Q209" s="289"/>
      <c r="R209" s="289"/>
      <c r="S209" s="289"/>
      <c r="T209" s="288"/>
      <c r="U209" s="221"/>
      <c r="V209" s="289"/>
      <c r="W209" s="291"/>
      <c r="X209" s="288"/>
      <c r="Y209" s="289"/>
      <c r="Z209" s="289"/>
      <c r="AA209" s="291"/>
      <c r="AB209" s="288"/>
      <c r="AC209" s="291"/>
      <c r="AD209" s="221"/>
      <c r="AE209" s="221"/>
      <c r="AF209" s="221"/>
      <c r="AG209" s="221"/>
      <c r="AH209" s="221"/>
      <c r="AI209" s="292"/>
    </row>
    <row r="210" spans="1:35" s="197" customFormat="1" ht="15" customHeight="1" x14ac:dyDescent="0.2">
      <c r="A210" s="293"/>
      <c r="B210" s="266"/>
      <c r="C210" s="294"/>
      <c r="D210" s="285" t="s">
        <v>562</v>
      </c>
      <c r="E210" s="286" t="str">
        <f>AK77</f>
        <v/>
      </c>
      <c r="F210" s="286" t="str">
        <f>AU77</f>
        <v/>
      </c>
      <c r="G210" s="312" t="str">
        <f t="shared" ref="G210" si="90">IFERROR(IF(F209-F210&gt;0,F209-F210,0),"")</f>
        <v/>
      </c>
      <c r="H210" s="221"/>
      <c r="I210" s="221"/>
      <c r="J210" s="221"/>
      <c r="K210" s="221"/>
      <c r="L210" s="221"/>
      <c r="M210" s="221"/>
      <c r="N210" s="297"/>
      <c r="O210" s="312" t="str">
        <f t="shared" ref="O210" si="91">IF(F210&gt;F209,F210,IFERROR(IF(O209-P210&gt;0,O209-P210,0),""))</f>
        <v/>
      </c>
      <c r="P210" s="313" t="str">
        <f t="shared" ref="P210" si="92">IFERROR(IF(F209-F210&gt;0,F209-F210,0),"")</f>
        <v/>
      </c>
      <c r="Q210" s="221"/>
      <c r="R210" s="221"/>
      <c r="S210" s="221"/>
      <c r="T210" s="313" t="str">
        <f t="shared" ref="T210" si="93">IF(G210="","",IFERROR(IF(G210&gt;0,"PERTE FONCTIONNELLE",""),""))</f>
        <v/>
      </c>
      <c r="U210" s="221"/>
      <c r="V210" s="221"/>
      <c r="W210" s="297"/>
      <c r="X210" s="314">
        <f t="shared" ref="X210" si="94">IF(AND(E210&lt;&gt;"",E209&lt;&gt;""),1,0)</f>
        <v>0</v>
      </c>
      <c r="Y210" s="221"/>
      <c r="Z210" s="221"/>
      <c r="AA210" s="297"/>
      <c r="AB210" s="298"/>
      <c r="AC210" s="297"/>
      <c r="AD210" s="314">
        <f>IF(T210="PERTE FONCTIONNELLE",1,0)</f>
        <v>0</v>
      </c>
      <c r="AE210" s="221"/>
      <c r="AF210" s="221"/>
      <c r="AG210" s="221"/>
      <c r="AH210" s="221"/>
      <c r="AI210" s="292"/>
    </row>
    <row r="211" spans="1:35" s="197" customFormat="1" ht="30" x14ac:dyDescent="0.2">
      <c r="A211" s="293"/>
      <c r="B211" s="266"/>
      <c r="C211" s="299"/>
      <c r="D211" s="285" t="s">
        <v>471</v>
      </c>
      <c r="E211" s="286" t="str">
        <f>BQ77</f>
        <v/>
      </c>
      <c r="F211" s="286" t="str">
        <f>CA77</f>
        <v/>
      </c>
      <c r="G211" s="298"/>
      <c r="H211" s="313" t="str">
        <f t="shared" ref="H211" si="95">IFERROR(IF(F209-F211&gt;0,F209-F211,0),"")</f>
        <v/>
      </c>
      <c r="I211" s="221"/>
      <c r="J211" s="221"/>
      <c r="K211" s="221"/>
      <c r="L211" s="221"/>
      <c r="M211" s="221"/>
      <c r="N211" s="297"/>
      <c r="O211" s="311" t="str">
        <f t="shared" ref="O211" si="96">IF(F211&gt;F209,F211,IFERROR(IF(O209-P211&gt;0,O209-P211,0),""))</f>
        <v/>
      </c>
      <c r="P211" s="313" t="str">
        <f t="shared" ref="P211" si="97">IFERROR(IF(F209-F211&gt;0,F209-F211,0),"")</f>
        <v/>
      </c>
      <c r="Q211" s="221"/>
      <c r="R211" s="221"/>
      <c r="S211" s="221"/>
      <c r="T211" s="313" t="str">
        <f t="shared" ref="T211" si="98">IF(H211="","",IFERROR(IF(H211&gt;0,"PERTE FONCTIONNELLE",""),""))</f>
        <v/>
      </c>
      <c r="U211" s="221"/>
      <c r="V211" s="221"/>
      <c r="W211" s="297"/>
      <c r="X211" s="298"/>
      <c r="Y211" s="314">
        <f t="shared" ref="Y211" si="99">IF(AND(E211&lt;&gt;"",E209&lt;&gt;""),1,0)</f>
        <v>0</v>
      </c>
      <c r="Z211" s="221"/>
      <c r="AA211" s="297"/>
      <c r="AB211" s="298"/>
      <c r="AC211" s="297"/>
      <c r="AD211" s="221"/>
      <c r="AE211" s="314">
        <f>IF(T211="PERTE FONCTIONNELLE",1,0)</f>
        <v>0</v>
      </c>
      <c r="AF211" s="221"/>
      <c r="AG211" s="221"/>
      <c r="AH211" s="221"/>
      <c r="AI211" s="292"/>
    </row>
    <row r="212" spans="1:35" s="197" customFormat="1" ht="15" customHeight="1" x14ac:dyDescent="0.2">
      <c r="A212" s="293"/>
      <c r="B212" s="266"/>
      <c r="C212" s="284" t="s">
        <v>475</v>
      </c>
      <c r="D212" s="285" t="s">
        <v>476</v>
      </c>
      <c r="E212" s="286" t="str">
        <f>CW77</f>
        <v/>
      </c>
      <c r="F212" s="286" t="str">
        <f>DG77</f>
        <v/>
      </c>
      <c r="G212" s="298"/>
      <c r="H212" s="221"/>
      <c r="I212" s="221"/>
      <c r="J212" s="221"/>
      <c r="K212" s="221"/>
      <c r="L212" s="221"/>
      <c r="M212" s="221"/>
      <c r="N212" s="297"/>
      <c r="O212" s="311" t="str">
        <f t="shared" si="37"/>
        <v/>
      </c>
      <c r="P212" s="221"/>
      <c r="Q212" s="221"/>
      <c r="R212" s="221"/>
      <c r="S212" s="221"/>
      <c r="T212" s="298"/>
      <c r="U212" s="221"/>
      <c r="V212" s="221"/>
      <c r="W212" s="297"/>
      <c r="X212" s="298"/>
      <c r="Y212" s="221"/>
      <c r="Z212" s="221"/>
      <c r="AA212" s="297"/>
      <c r="AB212" s="298"/>
      <c r="AC212" s="297"/>
      <c r="AD212" s="221"/>
      <c r="AE212" s="221"/>
      <c r="AF212" s="221"/>
      <c r="AG212" s="221"/>
      <c r="AH212" s="221"/>
      <c r="AI212" s="292"/>
    </row>
    <row r="213" spans="1:35" s="197" customFormat="1" ht="60" x14ac:dyDescent="0.2">
      <c r="A213" s="293"/>
      <c r="B213" s="266"/>
      <c r="C213" s="294"/>
      <c r="D213" s="285" t="s">
        <v>477</v>
      </c>
      <c r="E213" s="286" t="str">
        <f>EC77</f>
        <v/>
      </c>
      <c r="F213" s="286" t="str">
        <f>EM77</f>
        <v/>
      </c>
      <c r="G213" s="298"/>
      <c r="H213" s="221"/>
      <c r="I213" s="312" t="str">
        <f t="shared" ref="I213" si="100">IFERROR(IF(F213-F212&gt;0,F213-F212,0),"")</f>
        <v/>
      </c>
      <c r="J213" s="312" t="str">
        <f>IFERROR(IF(AND(G210&gt;0,G210*'SYNTHESE EVAL. EQ. FCT.'!$AC$140&lt;=I213),I213,0),"")</f>
        <v/>
      </c>
      <c r="K213" s="312" t="str">
        <f t="shared" ref="K213" si="101">IFERROR(IF(F213-F212&lt;0,F212-F213,0),"")</f>
        <v/>
      </c>
      <c r="L213" s="296"/>
      <c r="M213" s="296"/>
      <c r="N213" s="297"/>
      <c r="O213" s="312" t="str">
        <f t="shared" si="40"/>
        <v/>
      </c>
      <c r="P213" s="221"/>
      <c r="Q213" s="312">
        <f t="shared" ref="Q213" si="102">IFERROR(IF(AND(F213&gt;F212,I213&gt;J213),I213,0),"")</f>
        <v>0</v>
      </c>
      <c r="R213" s="312" t="str">
        <f t="shared" ref="R213" si="103">IFERROR(IF(AND(F213&gt;F212,I213&gt;J213),0,I213),"")</f>
        <v/>
      </c>
      <c r="S213" s="315" t="str">
        <f t="shared" ref="S213" si="104">IFERROR(K213,"")</f>
        <v/>
      </c>
      <c r="T213" s="298"/>
      <c r="U213" s="313" t="str">
        <f t="shared" ref="U213" si="105">IF(I213="","",IFERROR(IF(I213&gt;0,CONCATENATE(" (",ROUND(I213/G210,1)," fois la perte)"),""),""))</f>
        <v/>
      </c>
      <c r="V213" s="313" t="str">
        <f t="shared" ref="V213" si="106">IF(J213="","",IFERROR(IF(J213&gt;0,"OUI",""),""))</f>
        <v/>
      </c>
      <c r="W213" s="313" t="str">
        <f t="shared" ref="W213" si="107">IF(K213="","",IFERROR(IF(K213&gt;0,"DECLIN FONCTIONNEL",""),""))</f>
        <v/>
      </c>
      <c r="X213" s="298"/>
      <c r="Y213" s="221"/>
      <c r="Z213" s="314">
        <f t="shared" ref="Z213" si="108">IF(AND(E213&lt;&gt;"",E212&lt;&gt;""),1,0)</f>
        <v>0</v>
      </c>
      <c r="AA213" s="297"/>
      <c r="AB213" s="314">
        <f>IF(IFERROR(X210+Z213,0)=0,0,IF(SUM(Z213,X210)=2,1,0))</f>
        <v>0</v>
      </c>
      <c r="AC213" s="297"/>
      <c r="AD213" s="221"/>
      <c r="AE213" s="221"/>
      <c r="AF213" s="313">
        <f t="shared" ref="AF213" si="109">IF(U213&lt;&gt;"",1,IF(OR(AND(Q213&gt;0,Q213&lt;&gt;""),AND(R213&gt;0,R213&lt;&gt;"")),1,0))</f>
        <v>0</v>
      </c>
      <c r="AG213" s="221"/>
      <c r="AH213" s="314">
        <f t="shared" ref="AH213" si="110">IF(V213="OUI",1,0)</f>
        <v>0</v>
      </c>
      <c r="AI213" s="292"/>
    </row>
    <row r="214" spans="1:35" s="197" customFormat="1" ht="15" customHeight="1" thickBot="1" x14ac:dyDescent="0.25">
      <c r="A214" s="293"/>
      <c r="B214" s="266"/>
      <c r="C214" s="299"/>
      <c r="D214" s="285" t="s">
        <v>478</v>
      </c>
      <c r="E214" s="286" t="str">
        <f>FI77</f>
        <v/>
      </c>
      <c r="F214" s="286" t="str">
        <f>FS77</f>
        <v/>
      </c>
      <c r="G214" s="306"/>
      <c r="H214" s="307"/>
      <c r="I214" s="308"/>
      <c r="J214" s="309"/>
      <c r="K214" s="309"/>
      <c r="L214" s="312" t="str">
        <f t="shared" ref="L214" si="111">IFERROR(IF(F214-F212&gt;0,F214-F212,0),"")</f>
        <v/>
      </c>
      <c r="M214" s="315" t="str">
        <f>IFERROR(IF(AND(H211&gt;0,H211*'SYNTHESE EVAL. EQ. FCT.'!$AC$140&lt;=L214),L214,0),"")</f>
        <v/>
      </c>
      <c r="N214" s="312" t="str">
        <f t="shared" ref="N214" si="112">IFERROR(IF(F214-F212&lt;0,F212-F214,0),"")</f>
        <v/>
      </c>
      <c r="O214" s="312" t="str">
        <f t="shared" si="50"/>
        <v/>
      </c>
      <c r="P214" s="307"/>
      <c r="Q214" s="312">
        <f t="shared" ref="Q214" si="113">IFERROR(IF(L214&gt;M214,L214,0),"")</f>
        <v>0</v>
      </c>
      <c r="R214" s="312" t="str">
        <f t="shared" ref="R214" si="114">IFERROR(IF(L214&gt;M214,0,M214),"")</f>
        <v/>
      </c>
      <c r="S214" s="315" t="str">
        <f t="shared" ref="S214" si="115">IFERROR(N214,"")</f>
        <v/>
      </c>
      <c r="T214" s="306"/>
      <c r="U214" s="328" t="str">
        <f t="shared" ref="U214" si="116">IF(L214="","",IFERROR(IF(L214&gt;0,CONCATENATE(" (",ROUND(L214/H211,1)," fois la perte)"),""),""))</f>
        <v/>
      </c>
      <c r="V214" s="313" t="str">
        <f t="shared" ref="V214" si="117">IF(M214="","",IFERROR(IF(M214&gt;0,"OUI",""),""))</f>
        <v/>
      </c>
      <c r="W214" s="313" t="str">
        <f t="shared" ref="W214" si="118">IF(N214="","",IFERROR(IF(N214&gt;0,"DECLIN FONCTIONNEL",""),""))</f>
        <v/>
      </c>
      <c r="X214" s="306"/>
      <c r="Y214" s="307"/>
      <c r="Z214" s="307"/>
      <c r="AA214" s="314">
        <f t="shared" ref="AA214" si="119">IF(AND(E214&lt;&gt;"",E212&lt;&gt;""),1,0)</f>
        <v>0</v>
      </c>
      <c r="AB214" s="306"/>
      <c r="AC214" s="314">
        <f>IF(IFERROR(Y211+AA214,0)=0,0,IF(SUM(AA214,Y211)=2,1,0))</f>
        <v>0</v>
      </c>
      <c r="AD214" s="221"/>
      <c r="AE214" s="221"/>
      <c r="AF214" s="323"/>
      <c r="AG214" s="328">
        <f t="shared" ref="AG214" si="120">IF(U214&lt;&gt;"",1,IF(OR(AND(Q214&gt;0,Q214&lt;&gt;""),AND(R214&gt;0,R214&lt;&gt;"")),1,0))</f>
        <v>0</v>
      </c>
      <c r="AH214" s="221"/>
      <c r="AI214" s="316">
        <f t="shared" ref="AI214" si="121">IF(V214="OUI",1,0)</f>
        <v>0</v>
      </c>
    </row>
    <row r="215" spans="1:35" s="197" customFormat="1" ht="15" customHeight="1" x14ac:dyDescent="0.2">
      <c r="A215" s="293"/>
      <c r="B215" s="303" t="s">
        <v>148</v>
      </c>
      <c r="C215" s="284" t="s">
        <v>474</v>
      </c>
      <c r="D215" s="285" t="s">
        <v>470</v>
      </c>
      <c r="E215" s="286" t="str">
        <f>E76</f>
        <v/>
      </c>
      <c r="F215" s="286" t="str">
        <f>O76</f>
        <v/>
      </c>
      <c r="G215" s="289"/>
      <c r="H215" s="289"/>
      <c r="I215" s="289"/>
      <c r="J215" s="289"/>
      <c r="K215" s="289"/>
      <c r="L215" s="289"/>
      <c r="M215" s="289"/>
      <c r="N215" s="291"/>
      <c r="O215" s="311" t="str">
        <f t="shared" si="30"/>
        <v/>
      </c>
      <c r="P215" s="289"/>
      <c r="Q215" s="289"/>
      <c r="R215" s="289"/>
      <c r="S215" s="289"/>
      <c r="T215" s="288"/>
      <c r="U215" s="221"/>
      <c r="V215" s="289"/>
      <c r="W215" s="291"/>
      <c r="X215" s="288"/>
      <c r="Y215" s="289"/>
      <c r="Z215" s="289"/>
      <c r="AA215" s="291"/>
      <c r="AB215" s="288"/>
      <c r="AC215" s="291"/>
      <c r="AD215" s="221"/>
      <c r="AE215" s="221"/>
      <c r="AF215" s="221"/>
      <c r="AG215" s="221"/>
      <c r="AH215" s="221"/>
      <c r="AI215" s="292"/>
    </row>
    <row r="216" spans="1:35" s="197" customFormat="1" ht="60" x14ac:dyDescent="0.2">
      <c r="A216" s="293"/>
      <c r="B216" s="283"/>
      <c r="C216" s="294"/>
      <c r="D216" s="285" t="s">
        <v>562</v>
      </c>
      <c r="E216" s="286" t="str">
        <f>AK76</f>
        <v/>
      </c>
      <c r="F216" s="286" t="str">
        <f>AU76</f>
        <v/>
      </c>
      <c r="G216" s="312" t="str">
        <f t="shared" ref="G216" si="122">IFERROR(IF(F215-F216&gt;0,F215-F216,0),"")</f>
        <v/>
      </c>
      <c r="H216" s="221"/>
      <c r="I216" s="221"/>
      <c r="J216" s="221"/>
      <c r="K216" s="221"/>
      <c r="L216" s="221"/>
      <c r="M216" s="221"/>
      <c r="N216" s="297"/>
      <c r="O216" s="312" t="str">
        <f t="shared" ref="O216" si="123">IF(F216&gt;F215,F216,IFERROR(IF(O215-P216&gt;0,O215-P216,0),""))</f>
        <v/>
      </c>
      <c r="P216" s="313" t="str">
        <f t="shared" ref="P216" si="124">IFERROR(IF(F215-F216&gt;0,F215-F216,0),"")</f>
        <v/>
      </c>
      <c r="Q216" s="221"/>
      <c r="R216" s="221"/>
      <c r="S216" s="221"/>
      <c r="T216" s="313" t="str">
        <f t="shared" ref="T216" si="125">IF(G216="","",IFERROR(IF(G216&gt;0,"PERTE FONCTIONNELLE",""),""))</f>
        <v/>
      </c>
      <c r="U216" s="221"/>
      <c r="V216" s="221"/>
      <c r="W216" s="297"/>
      <c r="X216" s="314">
        <f t="shared" ref="X216" si="126">IF(AND(E216&lt;&gt;"",E215&lt;&gt;""),1,0)</f>
        <v>0</v>
      </c>
      <c r="Y216" s="221"/>
      <c r="Z216" s="221"/>
      <c r="AA216" s="297"/>
      <c r="AB216" s="298"/>
      <c r="AC216" s="297"/>
      <c r="AD216" s="314">
        <f>IF(T216="PERTE FONCTIONNELLE",1,0)</f>
        <v>0</v>
      </c>
      <c r="AE216" s="221"/>
      <c r="AF216" s="221"/>
      <c r="AG216" s="221"/>
      <c r="AH216" s="221"/>
      <c r="AI216" s="292"/>
    </row>
    <row r="217" spans="1:35" s="197" customFormat="1" ht="15" customHeight="1" x14ac:dyDescent="0.2">
      <c r="A217" s="293"/>
      <c r="B217" s="283"/>
      <c r="C217" s="299"/>
      <c r="D217" s="285" t="s">
        <v>471</v>
      </c>
      <c r="E217" s="286" t="str">
        <f>BQ76</f>
        <v/>
      </c>
      <c r="F217" s="286" t="str">
        <f>CA76</f>
        <v/>
      </c>
      <c r="G217" s="298"/>
      <c r="H217" s="313" t="str">
        <f t="shared" ref="H217" si="127">IFERROR(IF(F215-F217&gt;0,F215-F217,0),"")</f>
        <v/>
      </c>
      <c r="I217" s="221"/>
      <c r="J217" s="221"/>
      <c r="K217" s="221"/>
      <c r="L217" s="221"/>
      <c r="M217" s="221"/>
      <c r="N217" s="297"/>
      <c r="O217" s="311" t="str">
        <f t="shared" ref="O217" si="128">IF(F217&gt;F215,F217,IFERROR(IF(O215-P217&gt;0,O215-P217,0),""))</f>
        <v/>
      </c>
      <c r="P217" s="313" t="str">
        <f t="shared" ref="P217" si="129">IFERROR(IF(F215-F217&gt;0,F215-F217,0),"")</f>
        <v/>
      </c>
      <c r="Q217" s="221"/>
      <c r="R217" s="221"/>
      <c r="S217" s="221"/>
      <c r="T217" s="313" t="str">
        <f t="shared" ref="T217" si="130">IF(H217="","",IFERROR(IF(H217&gt;0,"PERTE FONCTIONNELLE",""),""))</f>
        <v/>
      </c>
      <c r="U217" s="221"/>
      <c r="V217" s="221"/>
      <c r="W217" s="297"/>
      <c r="X217" s="298"/>
      <c r="Y217" s="314">
        <f t="shared" ref="Y217" si="131">IF(AND(E217&lt;&gt;"",E215&lt;&gt;""),1,0)</f>
        <v>0</v>
      </c>
      <c r="Z217" s="221"/>
      <c r="AA217" s="297"/>
      <c r="AB217" s="298"/>
      <c r="AC217" s="297"/>
      <c r="AD217" s="221"/>
      <c r="AE217" s="314">
        <f>IF(T217="PERTE FONCTIONNELLE",1,0)</f>
        <v>0</v>
      </c>
      <c r="AF217" s="221"/>
      <c r="AG217" s="221"/>
      <c r="AH217" s="221"/>
      <c r="AI217" s="292"/>
    </row>
    <row r="218" spans="1:35" s="197" customFormat="1" ht="15" customHeight="1" x14ac:dyDescent="0.2">
      <c r="A218" s="293"/>
      <c r="B218" s="283"/>
      <c r="C218" s="284" t="s">
        <v>475</v>
      </c>
      <c r="D218" s="285" t="s">
        <v>476</v>
      </c>
      <c r="E218" s="286" t="str">
        <f>CW76</f>
        <v/>
      </c>
      <c r="F218" s="286" t="str">
        <f>DG76</f>
        <v/>
      </c>
      <c r="G218" s="298"/>
      <c r="H218" s="221"/>
      <c r="I218" s="221"/>
      <c r="J218" s="221"/>
      <c r="K218" s="221"/>
      <c r="L218" s="221"/>
      <c r="M218" s="221"/>
      <c r="N218" s="297"/>
      <c r="O218" s="311" t="str">
        <f t="shared" si="37"/>
        <v/>
      </c>
      <c r="P218" s="221"/>
      <c r="Q218" s="221"/>
      <c r="R218" s="221"/>
      <c r="S218" s="221"/>
      <c r="T218" s="298"/>
      <c r="U218" s="221"/>
      <c r="V218" s="221"/>
      <c r="W218" s="297"/>
      <c r="X218" s="298"/>
      <c r="Y218" s="221"/>
      <c r="Z218" s="221"/>
      <c r="AA218" s="297"/>
      <c r="AB218" s="298"/>
      <c r="AC218" s="297"/>
      <c r="AD218" s="221"/>
      <c r="AE218" s="221"/>
      <c r="AF218" s="221"/>
      <c r="AG218" s="221"/>
      <c r="AH218" s="221"/>
      <c r="AI218" s="292"/>
    </row>
    <row r="219" spans="1:35" s="197" customFormat="1" ht="15" customHeight="1" x14ac:dyDescent="0.2">
      <c r="A219" s="293"/>
      <c r="B219" s="283"/>
      <c r="C219" s="294"/>
      <c r="D219" s="285" t="s">
        <v>477</v>
      </c>
      <c r="E219" s="286" t="str">
        <f>EC76</f>
        <v/>
      </c>
      <c r="F219" s="286" t="str">
        <f>EM76</f>
        <v/>
      </c>
      <c r="G219" s="298"/>
      <c r="H219" s="221"/>
      <c r="I219" s="312" t="str">
        <f t="shared" ref="I219" si="132">IFERROR(IF(F219-F218&gt;0,F219-F218,0),"")</f>
        <v/>
      </c>
      <c r="J219" s="312" t="str">
        <f>IFERROR(IF(AND(G216&gt;0,G216*'SYNTHESE EVAL. EQ. FCT.'!$AC$140&lt;=I219),I219,0),"")</f>
        <v/>
      </c>
      <c r="K219" s="312" t="str">
        <f t="shared" ref="K219" si="133">IFERROR(IF(F219-F218&lt;0,F218-F219,0),"")</f>
        <v/>
      </c>
      <c r="L219" s="296"/>
      <c r="M219" s="296"/>
      <c r="N219" s="297"/>
      <c r="O219" s="312" t="str">
        <f t="shared" si="40"/>
        <v/>
      </c>
      <c r="P219" s="221"/>
      <c r="Q219" s="312">
        <f t="shared" ref="Q219" si="134">IFERROR(IF(AND(F219&gt;F218,I219&gt;J219),I219,0),"")</f>
        <v>0</v>
      </c>
      <c r="R219" s="312" t="str">
        <f t="shared" ref="R219" si="135">IFERROR(IF(AND(F219&gt;F218,I219&gt;J219),0,I219),"")</f>
        <v/>
      </c>
      <c r="S219" s="315" t="str">
        <f t="shared" ref="S219" si="136">IFERROR(K219,"")</f>
        <v/>
      </c>
      <c r="T219" s="298"/>
      <c r="U219" s="313" t="str">
        <f t="shared" ref="U219" si="137">IF(I219="","",IFERROR(IF(I219&gt;0,CONCATENATE(" (",ROUND(I219/G216,1)," fois la perte)"),""),""))</f>
        <v/>
      </c>
      <c r="V219" s="313" t="str">
        <f t="shared" ref="V219" si="138">IF(J219="","",IFERROR(IF(J219&gt;0,"OUI",""),""))</f>
        <v/>
      </c>
      <c r="W219" s="313" t="str">
        <f t="shared" ref="W219" si="139">IF(K219="","",IFERROR(IF(K219&gt;0,"DECLIN FONCTIONNEL",""),""))</f>
        <v/>
      </c>
      <c r="X219" s="298"/>
      <c r="Y219" s="221"/>
      <c r="Z219" s="314">
        <f t="shared" ref="Z219" si="140">IF(AND(E219&lt;&gt;"",E218&lt;&gt;""),1,0)</f>
        <v>0</v>
      </c>
      <c r="AA219" s="297"/>
      <c r="AB219" s="314">
        <f t="shared" ref="AB219" si="141">IF(IFERROR(X216+Z219,0)=0,0,IF(SUM(Z219,X216)=2,1,0))</f>
        <v>0</v>
      </c>
      <c r="AC219" s="297"/>
      <c r="AD219" s="221"/>
      <c r="AE219" s="221"/>
      <c r="AF219" s="313">
        <f t="shared" ref="AF219" si="142">IF(U219&lt;&gt;"",1,IF(OR(AND(Q219&gt;0,Q219&lt;&gt;""),AND(R219&gt;0,R219&lt;&gt;"")),1,0))</f>
        <v>0</v>
      </c>
      <c r="AG219" s="221"/>
      <c r="AH219" s="314">
        <f t="shared" ref="AH219" si="143">IF(V219="OUI",1,0)</f>
        <v>0</v>
      </c>
      <c r="AI219" s="292"/>
    </row>
    <row r="220" spans="1:35" s="197" customFormat="1" ht="15" customHeight="1" thickBot="1" x14ac:dyDescent="0.25">
      <c r="A220" s="293"/>
      <c r="B220" s="301"/>
      <c r="C220" s="299"/>
      <c r="D220" s="285" t="s">
        <v>478</v>
      </c>
      <c r="E220" s="286" t="str">
        <f>FI76</f>
        <v/>
      </c>
      <c r="F220" s="286" t="str">
        <f>FS76</f>
        <v/>
      </c>
      <c r="G220" s="306"/>
      <c r="H220" s="307"/>
      <c r="I220" s="308"/>
      <c r="J220" s="309"/>
      <c r="K220" s="309"/>
      <c r="L220" s="312" t="str">
        <f t="shared" ref="L220" si="144">IFERROR(IF(F220-F218&gt;0,F220-F218,0),"")</f>
        <v/>
      </c>
      <c r="M220" s="315" t="str">
        <f>IFERROR(IF(AND(H217&gt;0,H217*'SYNTHESE EVAL. EQ. FCT.'!$AC$140&lt;=L220),L220,0),"")</f>
        <v/>
      </c>
      <c r="N220" s="312" t="str">
        <f t="shared" ref="N220" si="145">IFERROR(IF(F220-F218&lt;0,F218-F220,0),"")</f>
        <v/>
      </c>
      <c r="O220" s="312" t="str">
        <f t="shared" si="50"/>
        <v/>
      </c>
      <c r="P220" s="307"/>
      <c r="Q220" s="312">
        <f t="shared" ref="Q220" si="146">IFERROR(IF(L220&gt;M220,L220,0),"")</f>
        <v>0</v>
      </c>
      <c r="R220" s="312" t="str">
        <f t="shared" ref="R220" si="147">IFERROR(IF(L220&gt;M220,0,M220),"")</f>
        <v/>
      </c>
      <c r="S220" s="315" t="str">
        <f t="shared" ref="S220" si="148">IFERROR(N220,"")</f>
        <v/>
      </c>
      <c r="T220" s="306"/>
      <c r="U220" s="328" t="str">
        <f t="shared" ref="U220" si="149">IF(L220="","",IFERROR(IF(L220&gt;0,CONCATENATE(" (",ROUND(L220/H217,1)," fois la perte)"),""),""))</f>
        <v/>
      </c>
      <c r="V220" s="313" t="str">
        <f t="shared" ref="V220" si="150">IF(M220="","",IFERROR(IF(M220&gt;0,"OUI",""),""))</f>
        <v/>
      </c>
      <c r="W220" s="313" t="str">
        <f t="shared" ref="W220" si="151">IF(N220="","",IFERROR(IF(N220&gt;0,"DECLIN FONCTIONNEL",""),""))</f>
        <v/>
      </c>
      <c r="X220" s="306"/>
      <c r="Y220" s="307"/>
      <c r="Z220" s="307"/>
      <c r="AA220" s="314">
        <f t="shared" ref="AA220" si="152">IF(AND(E220&lt;&gt;"",E218&lt;&gt;""),1,0)</f>
        <v>0</v>
      </c>
      <c r="AB220" s="306"/>
      <c r="AC220" s="314">
        <f t="shared" ref="AC220" si="153">IF(IFERROR(Y217+AA220,0)=0,0,IF(SUM(AA220,Y217)=2,1,0))</f>
        <v>0</v>
      </c>
      <c r="AD220" s="221"/>
      <c r="AE220" s="221"/>
      <c r="AF220" s="323"/>
      <c r="AG220" s="328">
        <f t="shared" ref="AG220" si="154">IF(U220&lt;&gt;"",1,IF(OR(AND(Q220&gt;0,Q220&lt;&gt;""),AND(R220&gt;0,R220&lt;&gt;"")),1,0))</f>
        <v>0</v>
      </c>
      <c r="AH220" s="221"/>
      <c r="AI220" s="316">
        <f t="shared" ref="AI220" si="155">IF(V220="OUI",1,0)</f>
        <v>0</v>
      </c>
    </row>
    <row r="221" spans="1:35" s="197" customFormat="1" ht="15.75" customHeight="1" x14ac:dyDescent="0.2">
      <c r="A221" s="293"/>
      <c r="B221" s="266" t="s">
        <v>415</v>
      </c>
      <c r="C221" s="284" t="s">
        <v>474</v>
      </c>
      <c r="D221" s="285" t="s">
        <v>470</v>
      </c>
      <c r="E221" s="286" t="str">
        <f>H57</f>
        <v/>
      </c>
      <c r="F221" s="286" t="str">
        <f>R57</f>
        <v/>
      </c>
      <c r="G221" s="289"/>
      <c r="H221" s="289"/>
      <c r="I221" s="289"/>
      <c r="J221" s="289"/>
      <c r="K221" s="289"/>
      <c r="L221" s="289"/>
      <c r="M221" s="289"/>
      <c r="N221" s="291"/>
      <c r="O221" s="311" t="str">
        <f t="shared" si="30"/>
        <v/>
      </c>
      <c r="P221" s="289"/>
      <c r="Q221" s="289"/>
      <c r="R221" s="289"/>
      <c r="S221" s="289"/>
      <c r="T221" s="288"/>
      <c r="U221" s="221"/>
      <c r="V221" s="289"/>
      <c r="W221" s="291"/>
      <c r="X221" s="288"/>
      <c r="Y221" s="289"/>
      <c r="Z221" s="289"/>
      <c r="AA221" s="291"/>
      <c r="AB221" s="288"/>
      <c r="AC221" s="291"/>
      <c r="AD221" s="221"/>
      <c r="AE221" s="221"/>
      <c r="AF221" s="221"/>
      <c r="AG221" s="221"/>
      <c r="AH221" s="221"/>
      <c r="AI221" s="292"/>
    </row>
    <row r="222" spans="1:35" s="197" customFormat="1" ht="15" customHeight="1" x14ac:dyDescent="0.2">
      <c r="A222" s="293"/>
      <c r="B222" s="266"/>
      <c r="C222" s="294"/>
      <c r="D222" s="285" t="s">
        <v>562</v>
      </c>
      <c r="E222" s="286" t="str">
        <f>AN57</f>
        <v/>
      </c>
      <c r="F222" s="286" t="str">
        <f>AX57</f>
        <v/>
      </c>
      <c r="G222" s="312" t="str">
        <f t="shared" ref="G222" si="156">IFERROR(IF(F221-F222&gt;0,F221-F222,0),"")</f>
        <v/>
      </c>
      <c r="H222" s="221"/>
      <c r="I222" s="221"/>
      <c r="J222" s="221"/>
      <c r="K222" s="221"/>
      <c r="L222" s="221"/>
      <c r="M222" s="221"/>
      <c r="N222" s="297"/>
      <c r="O222" s="312" t="str">
        <f t="shared" ref="O222" si="157">IF(F222&gt;F221,F222,IFERROR(IF(O221-P222&gt;0,O221-P222,0),""))</f>
        <v/>
      </c>
      <c r="P222" s="313" t="str">
        <f t="shared" ref="P222" si="158">IFERROR(IF(F221-F222&gt;0,F221-F222,0),"")</f>
        <v/>
      </c>
      <c r="Q222" s="221"/>
      <c r="R222" s="221"/>
      <c r="S222" s="221"/>
      <c r="T222" s="313" t="str">
        <f t="shared" ref="T222" si="159">IF(G222="","",IFERROR(IF(G222&gt;0,"PERTE FONCTIONNELLE",""),""))</f>
        <v/>
      </c>
      <c r="U222" s="221"/>
      <c r="V222" s="221"/>
      <c r="W222" s="297"/>
      <c r="X222" s="314">
        <f t="shared" ref="X222" si="160">IF(AND(E222&lt;&gt;"",E221&lt;&gt;""),1,0)</f>
        <v>0</v>
      </c>
      <c r="Y222" s="221"/>
      <c r="Z222" s="221"/>
      <c r="AA222" s="297"/>
      <c r="AB222" s="298"/>
      <c r="AC222" s="297"/>
      <c r="AD222" s="314">
        <f>IF(T222="PERTE FONCTIONNELLE",1,0)</f>
        <v>0</v>
      </c>
      <c r="AE222" s="221"/>
      <c r="AF222" s="221"/>
      <c r="AG222" s="221"/>
      <c r="AH222" s="221"/>
      <c r="AI222" s="292"/>
    </row>
    <row r="223" spans="1:35" s="197" customFormat="1" ht="30" x14ac:dyDescent="0.2">
      <c r="A223" s="293"/>
      <c r="B223" s="266"/>
      <c r="C223" s="299"/>
      <c r="D223" s="285" t="s">
        <v>471</v>
      </c>
      <c r="E223" s="286" t="str">
        <f>BT57</f>
        <v/>
      </c>
      <c r="F223" s="286" t="str">
        <f>CD57</f>
        <v/>
      </c>
      <c r="G223" s="298"/>
      <c r="H223" s="313" t="str">
        <f t="shared" ref="H223" si="161">IFERROR(IF(F221-F223&gt;0,F221-F223,0),"")</f>
        <v/>
      </c>
      <c r="I223" s="221"/>
      <c r="J223" s="221"/>
      <c r="K223" s="221"/>
      <c r="L223" s="221"/>
      <c r="M223" s="221"/>
      <c r="N223" s="297"/>
      <c r="O223" s="311" t="str">
        <f t="shared" ref="O223" si="162">IF(F223&gt;F221,F223,IFERROR(IF(O221-P223&gt;0,O221-P223,0),""))</f>
        <v/>
      </c>
      <c r="P223" s="313" t="str">
        <f t="shared" ref="P223" si="163">IFERROR(IF(F221-F223&gt;0,F221-F223,0),"")</f>
        <v/>
      </c>
      <c r="Q223" s="221"/>
      <c r="R223" s="221"/>
      <c r="S223" s="221"/>
      <c r="T223" s="313" t="str">
        <f t="shared" ref="T223" si="164">IF(H223="","",IFERROR(IF(H223&gt;0,"PERTE FONCTIONNELLE",""),""))</f>
        <v/>
      </c>
      <c r="U223" s="221"/>
      <c r="V223" s="221"/>
      <c r="W223" s="297"/>
      <c r="X223" s="298"/>
      <c r="Y223" s="314">
        <f t="shared" ref="Y223" si="165">IF(AND(E223&lt;&gt;"",E221&lt;&gt;""),1,0)</f>
        <v>0</v>
      </c>
      <c r="Z223" s="221"/>
      <c r="AA223" s="297"/>
      <c r="AB223" s="298"/>
      <c r="AC223" s="297"/>
      <c r="AD223" s="221"/>
      <c r="AE223" s="314">
        <f>IF(T223="PERTE FONCTIONNELLE",1,0)</f>
        <v>0</v>
      </c>
      <c r="AF223" s="221"/>
      <c r="AG223" s="221"/>
      <c r="AH223" s="221"/>
      <c r="AI223" s="292"/>
    </row>
    <row r="224" spans="1:35" s="197" customFormat="1" ht="15" customHeight="1" x14ac:dyDescent="0.2">
      <c r="A224" s="293"/>
      <c r="B224" s="266"/>
      <c r="C224" s="284" t="s">
        <v>475</v>
      </c>
      <c r="D224" s="285" t="s">
        <v>476</v>
      </c>
      <c r="E224" s="286" t="str">
        <f>CZ57</f>
        <v/>
      </c>
      <c r="F224" s="286" t="str">
        <f>DJ57</f>
        <v/>
      </c>
      <c r="G224" s="298"/>
      <c r="H224" s="221"/>
      <c r="I224" s="221"/>
      <c r="J224" s="221"/>
      <c r="K224" s="221"/>
      <c r="L224" s="221"/>
      <c r="M224" s="221"/>
      <c r="N224" s="297"/>
      <c r="O224" s="311" t="str">
        <f t="shared" si="37"/>
        <v/>
      </c>
      <c r="P224" s="221"/>
      <c r="Q224" s="221"/>
      <c r="R224" s="221"/>
      <c r="S224" s="221"/>
      <c r="T224" s="298"/>
      <c r="U224" s="221"/>
      <c r="V224" s="221"/>
      <c r="W224" s="297"/>
      <c r="X224" s="298"/>
      <c r="Y224" s="221"/>
      <c r="Z224" s="221"/>
      <c r="AA224" s="297"/>
      <c r="AB224" s="298"/>
      <c r="AC224" s="297"/>
      <c r="AD224" s="221"/>
      <c r="AE224" s="221"/>
      <c r="AF224" s="221"/>
      <c r="AG224" s="221"/>
      <c r="AH224" s="221"/>
      <c r="AI224" s="292"/>
    </row>
    <row r="225" spans="1:35" s="197" customFormat="1" ht="15" customHeight="1" x14ac:dyDescent="0.2">
      <c r="A225" s="293"/>
      <c r="B225" s="266"/>
      <c r="C225" s="294"/>
      <c r="D225" s="285" t="s">
        <v>477</v>
      </c>
      <c r="E225" s="286" t="str">
        <f>EF57</f>
        <v/>
      </c>
      <c r="F225" s="286" t="str">
        <f>EP57</f>
        <v/>
      </c>
      <c r="G225" s="298"/>
      <c r="H225" s="221"/>
      <c r="I225" s="312" t="str">
        <f t="shared" ref="I225" si="166">IFERROR(IF(F225-F224&gt;0,F225-F224,0),"")</f>
        <v/>
      </c>
      <c r="J225" s="312" t="str">
        <f>IFERROR(IF(AND(G222&gt;0,G222*'SYNTHESE EVAL. EQ. FCT.'!$AC$140&lt;=I225),I225,0),"")</f>
        <v/>
      </c>
      <c r="K225" s="312" t="str">
        <f t="shared" ref="K225" si="167">IFERROR(IF(F225-F224&lt;0,F224-F225,0),"")</f>
        <v/>
      </c>
      <c r="L225" s="296"/>
      <c r="M225" s="296"/>
      <c r="N225" s="297"/>
      <c r="O225" s="312" t="str">
        <f t="shared" si="40"/>
        <v/>
      </c>
      <c r="P225" s="221"/>
      <c r="Q225" s="312">
        <f t="shared" ref="Q225" si="168">IFERROR(IF(AND(F225&gt;F224,I225&gt;J225),I225,0),"")</f>
        <v>0</v>
      </c>
      <c r="R225" s="312" t="str">
        <f t="shared" ref="R225" si="169">IFERROR(IF(AND(F225&gt;F224,I225&gt;J225),0,I225),"")</f>
        <v/>
      </c>
      <c r="S225" s="315" t="str">
        <f t="shared" ref="S225" si="170">IFERROR(K225,"")</f>
        <v/>
      </c>
      <c r="T225" s="298"/>
      <c r="U225" s="313" t="str">
        <f t="shared" ref="U225" si="171">IF(I225="","",IFERROR(IF(I225&gt;0,CONCATENATE(" (",ROUND(I225/G222,1)," fois la perte)"),""),""))</f>
        <v/>
      </c>
      <c r="V225" s="313" t="str">
        <f t="shared" ref="V225" si="172">IF(J225="","",IFERROR(IF(J225&gt;0,"OUI",""),""))</f>
        <v/>
      </c>
      <c r="W225" s="313" t="str">
        <f t="shared" ref="W225" si="173">IF(K225="","",IFERROR(IF(K225&gt;0,"DECLIN FONCTIONNEL",""),""))</f>
        <v/>
      </c>
      <c r="X225" s="298"/>
      <c r="Y225" s="221"/>
      <c r="Z225" s="314">
        <f t="shared" ref="Z225" si="174">IF(AND(E225&lt;&gt;"",E224&lt;&gt;""),1,0)</f>
        <v>0</v>
      </c>
      <c r="AA225" s="297"/>
      <c r="AB225" s="314">
        <f t="shared" ref="AB225" si="175">IF(IFERROR(X222+Z225,0)=0,0,IF(SUM(Z225,X222)=2,1,0))</f>
        <v>0</v>
      </c>
      <c r="AC225" s="297"/>
      <c r="AD225" s="221"/>
      <c r="AE225" s="221"/>
      <c r="AF225" s="313">
        <f t="shared" ref="AF225" si="176">IF(U225&lt;&gt;"",1,IF(OR(AND(Q225&gt;0,Q225&lt;&gt;""),AND(R225&gt;0,R225&lt;&gt;"")),1,0))</f>
        <v>0</v>
      </c>
      <c r="AG225" s="221"/>
      <c r="AH225" s="314">
        <f t="shared" ref="AH225" si="177">IF(V225="OUI",1,0)</f>
        <v>0</v>
      </c>
      <c r="AI225" s="292"/>
    </row>
    <row r="226" spans="1:35" s="197" customFormat="1" ht="45.75" thickBot="1" x14ac:dyDescent="0.25">
      <c r="A226" s="293"/>
      <c r="B226" s="266"/>
      <c r="C226" s="299"/>
      <c r="D226" s="285" t="s">
        <v>478</v>
      </c>
      <c r="E226" s="286" t="str">
        <f>FL57</f>
        <v/>
      </c>
      <c r="F226" s="286" t="str">
        <f>FV57</f>
        <v/>
      </c>
      <c r="G226" s="306"/>
      <c r="H226" s="307"/>
      <c r="I226" s="308"/>
      <c r="J226" s="309"/>
      <c r="K226" s="309"/>
      <c r="L226" s="312" t="str">
        <f t="shared" ref="L226" si="178">IFERROR(IF(F226-F224&gt;0,F226-F224,0),"")</f>
        <v/>
      </c>
      <c r="M226" s="315" t="str">
        <f>IFERROR(IF(AND(H223&gt;0,H223*'SYNTHESE EVAL. EQ. FCT.'!$AC$140&lt;=L226),L226,0),"")</f>
        <v/>
      </c>
      <c r="N226" s="312" t="str">
        <f t="shared" ref="N226" si="179">IFERROR(IF(F226-F224&lt;0,F224-F226,0),"")</f>
        <v/>
      </c>
      <c r="O226" s="312" t="str">
        <f t="shared" si="50"/>
        <v/>
      </c>
      <c r="P226" s="307"/>
      <c r="Q226" s="312">
        <f t="shared" ref="Q226" si="180">IFERROR(IF(L226&gt;M226,L226,0),"")</f>
        <v>0</v>
      </c>
      <c r="R226" s="312" t="str">
        <f t="shared" ref="R226" si="181">IFERROR(IF(L226&gt;M226,0,M226),"")</f>
        <v/>
      </c>
      <c r="S226" s="315" t="str">
        <f t="shared" ref="S226" si="182">IFERROR(N226,"")</f>
        <v/>
      </c>
      <c r="T226" s="306"/>
      <c r="U226" s="328" t="str">
        <f t="shared" ref="U226" si="183">IF(L226="","",IFERROR(IF(L226&gt;0,CONCATENATE(" (",ROUND(L226/H223,1)," fois la perte)"),""),""))</f>
        <v/>
      </c>
      <c r="V226" s="313" t="str">
        <f t="shared" ref="V226" si="184">IF(M226="","",IFERROR(IF(M226&gt;0,"OUI",""),""))</f>
        <v/>
      </c>
      <c r="W226" s="313" t="str">
        <f t="shared" ref="W226" si="185">IF(N226="","",IFERROR(IF(N226&gt;0,"DECLIN FONCTIONNEL",""),""))</f>
        <v/>
      </c>
      <c r="X226" s="306"/>
      <c r="Y226" s="307"/>
      <c r="Z226" s="307"/>
      <c r="AA226" s="314">
        <f t="shared" ref="AA226" si="186">IF(AND(E226&lt;&gt;"",E224&lt;&gt;""),1,0)</f>
        <v>0</v>
      </c>
      <c r="AB226" s="306"/>
      <c r="AC226" s="314">
        <f t="shared" ref="AC226" si="187">IF(IFERROR(Y223+AA226,0)=0,0,IF(SUM(AA226,Y223)=2,1,0))</f>
        <v>0</v>
      </c>
      <c r="AD226" s="221"/>
      <c r="AE226" s="221"/>
      <c r="AF226" s="323"/>
      <c r="AG226" s="328">
        <f t="shared" ref="AG226" si="188">IF(U226&lt;&gt;"",1,IF(OR(AND(Q226&gt;0,Q226&lt;&gt;""),AND(R226&gt;0,R226&lt;&gt;"")),1,0))</f>
        <v>0</v>
      </c>
      <c r="AH226" s="221"/>
      <c r="AI226" s="316">
        <f t="shared" ref="AI226" si="189">IF(V226="OUI",1,0)</f>
        <v>0</v>
      </c>
    </row>
    <row r="227" spans="1:35" s="197" customFormat="1" ht="15" customHeight="1" x14ac:dyDescent="0.2">
      <c r="A227" s="293"/>
      <c r="B227" s="303" t="s">
        <v>416</v>
      </c>
      <c r="C227" s="284" t="s">
        <v>474</v>
      </c>
      <c r="D227" s="285" t="s">
        <v>470</v>
      </c>
      <c r="E227" s="286" t="str">
        <f>K58</f>
        <v/>
      </c>
      <c r="F227" s="286" t="str">
        <f>U58</f>
        <v/>
      </c>
      <c r="G227" s="289"/>
      <c r="H227" s="289"/>
      <c r="I227" s="289"/>
      <c r="J227" s="289"/>
      <c r="K227" s="289"/>
      <c r="L227" s="289"/>
      <c r="M227" s="289"/>
      <c r="N227" s="291"/>
      <c r="O227" s="311" t="str">
        <f t="shared" si="30"/>
        <v/>
      </c>
      <c r="P227" s="289"/>
      <c r="Q227" s="289"/>
      <c r="R227" s="289"/>
      <c r="S227" s="289"/>
      <c r="T227" s="288"/>
      <c r="U227" s="221"/>
      <c r="V227" s="289"/>
      <c r="W227" s="291"/>
      <c r="X227" s="288"/>
      <c r="Y227" s="289"/>
      <c r="Z227" s="289"/>
      <c r="AA227" s="291"/>
      <c r="AB227" s="288"/>
      <c r="AC227" s="291"/>
      <c r="AD227" s="221"/>
      <c r="AE227" s="221"/>
      <c r="AF227" s="221"/>
      <c r="AG227" s="221"/>
      <c r="AH227" s="221"/>
      <c r="AI227" s="292"/>
    </row>
    <row r="228" spans="1:35" s="197" customFormat="1" ht="60" x14ac:dyDescent="0.2">
      <c r="A228" s="293"/>
      <c r="B228" s="283"/>
      <c r="C228" s="294"/>
      <c r="D228" s="285" t="s">
        <v>562</v>
      </c>
      <c r="E228" s="286" t="str">
        <f>AQ58</f>
        <v/>
      </c>
      <c r="F228" s="286" t="str">
        <f>BA58</f>
        <v/>
      </c>
      <c r="G228" s="312" t="str">
        <f t="shared" ref="G228" si="190">IFERROR(IF(F227-F228&gt;0,F227-F228,0),"")</f>
        <v/>
      </c>
      <c r="H228" s="221"/>
      <c r="I228" s="221"/>
      <c r="J228" s="221"/>
      <c r="K228" s="221"/>
      <c r="L228" s="221"/>
      <c r="M228" s="221"/>
      <c r="N228" s="297"/>
      <c r="O228" s="312" t="str">
        <f t="shared" ref="O228" si="191">IF(F228&gt;F227,F228,IFERROR(IF(O227-P228&gt;0,O227-P228,0),""))</f>
        <v/>
      </c>
      <c r="P228" s="313" t="str">
        <f t="shared" ref="P228" si="192">IFERROR(IF(F227-F228&gt;0,F227-F228,0),"")</f>
        <v/>
      </c>
      <c r="Q228" s="221"/>
      <c r="R228" s="221"/>
      <c r="S228" s="221"/>
      <c r="T228" s="313" t="str">
        <f t="shared" ref="T228" si="193">IF(G228="","",IFERROR(IF(G228&gt;0,"PERTE FONCTIONNELLE",""),""))</f>
        <v/>
      </c>
      <c r="U228" s="221"/>
      <c r="V228" s="221"/>
      <c r="W228" s="297"/>
      <c r="X228" s="314">
        <f t="shared" ref="X228" si="194">IF(AND(E228&lt;&gt;"",E227&lt;&gt;""),1,0)</f>
        <v>0</v>
      </c>
      <c r="Y228" s="221"/>
      <c r="Z228" s="221"/>
      <c r="AA228" s="297"/>
      <c r="AB228" s="298"/>
      <c r="AC228" s="297"/>
      <c r="AD228" s="314">
        <f>IF(T228="PERTE FONCTIONNELLE",1,0)</f>
        <v>0</v>
      </c>
      <c r="AE228" s="221"/>
      <c r="AF228" s="221"/>
      <c r="AG228" s="221"/>
      <c r="AH228" s="221"/>
      <c r="AI228" s="292"/>
    </row>
    <row r="229" spans="1:35" s="197" customFormat="1" ht="15" customHeight="1" x14ac:dyDescent="0.2">
      <c r="A229" s="293"/>
      <c r="B229" s="283"/>
      <c r="C229" s="299"/>
      <c r="D229" s="285" t="s">
        <v>471</v>
      </c>
      <c r="E229" s="286" t="str">
        <f>BW58</f>
        <v/>
      </c>
      <c r="F229" s="286" t="str">
        <f>CG58</f>
        <v/>
      </c>
      <c r="G229" s="298"/>
      <c r="H229" s="313" t="str">
        <f t="shared" ref="H229" si="195">IFERROR(IF(F227-F229&gt;0,F227-F229,0),"")</f>
        <v/>
      </c>
      <c r="I229" s="221"/>
      <c r="J229" s="221"/>
      <c r="K229" s="221"/>
      <c r="L229" s="221"/>
      <c r="M229" s="221"/>
      <c r="N229" s="297"/>
      <c r="O229" s="311" t="str">
        <f t="shared" ref="O229" si="196">IF(F229&gt;F227,F229,IFERROR(IF(O227-P229&gt;0,O227-P229,0),""))</f>
        <v/>
      </c>
      <c r="P229" s="313" t="str">
        <f t="shared" ref="P229" si="197">IFERROR(IF(F227-F229&gt;0,F227-F229,0),"")</f>
        <v/>
      </c>
      <c r="Q229" s="221"/>
      <c r="R229" s="221"/>
      <c r="S229" s="221"/>
      <c r="T229" s="313" t="str">
        <f t="shared" ref="T229" si="198">IF(H229="","",IFERROR(IF(H229&gt;0,"PERTE FONCTIONNELLE",""),""))</f>
        <v/>
      </c>
      <c r="U229" s="221"/>
      <c r="V229" s="221"/>
      <c r="W229" s="297"/>
      <c r="X229" s="298"/>
      <c r="Y229" s="314">
        <f t="shared" ref="Y229" si="199">IF(AND(E229&lt;&gt;"",E227&lt;&gt;""),1,0)</f>
        <v>0</v>
      </c>
      <c r="Z229" s="221"/>
      <c r="AA229" s="297"/>
      <c r="AB229" s="298"/>
      <c r="AC229" s="297"/>
      <c r="AD229" s="221"/>
      <c r="AE229" s="314">
        <f>IF(T229="PERTE FONCTIONNELLE",1,0)</f>
        <v>0</v>
      </c>
      <c r="AF229" s="221"/>
      <c r="AG229" s="221"/>
      <c r="AH229" s="221"/>
      <c r="AI229" s="292"/>
    </row>
    <row r="230" spans="1:35" s="197" customFormat="1" ht="15" customHeight="1" x14ac:dyDescent="0.2">
      <c r="A230" s="293"/>
      <c r="B230" s="283"/>
      <c r="C230" s="284" t="s">
        <v>475</v>
      </c>
      <c r="D230" s="285" t="s">
        <v>476</v>
      </c>
      <c r="E230" s="286" t="str">
        <f>DC58</f>
        <v/>
      </c>
      <c r="F230" s="286" t="str">
        <f>DM58</f>
        <v/>
      </c>
      <c r="G230" s="298"/>
      <c r="H230" s="221"/>
      <c r="I230" s="221"/>
      <c r="J230" s="221"/>
      <c r="K230" s="221"/>
      <c r="L230" s="221"/>
      <c r="M230" s="221"/>
      <c r="N230" s="297"/>
      <c r="O230" s="311" t="str">
        <f t="shared" si="37"/>
        <v/>
      </c>
      <c r="P230" s="221"/>
      <c r="Q230" s="221"/>
      <c r="R230" s="221"/>
      <c r="S230" s="221"/>
      <c r="T230" s="298"/>
      <c r="U230" s="221"/>
      <c r="V230" s="221"/>
      <c r="W230" s="297"/>
      <c r="X230" s="298"/>
      <c r="Y230" s="221"/>
      <c r="Z230" s="221"/>
      <c r="AA230" s="297"/>
      <c r="AB230" s="298"/>
      <c r="AC230" s="297"/>
      <c r="AD230" s="221"/>
      <c r="AE230" s="221"/>
      <c r="AF230" s="221"/>
      <c r="AG230" s="221"/>
      <c r="AH230" s="221"/>
      <c r="AI230" s="292"/>
    </row>
    <row r="231" spans="1:35" s="197" customFormat="1" ht="60" x14ac:dyDescent="0.2">
      <c r="A231" s="293"/>
      <c r="B231" s="283"/>
      <c r="C231" s="294"/>
      <c r="D231" s="285" t="s">
        <v>477</v>
      </c>
      <c r="E231" s="286" t="str">
        <f>EI58</f>
        <v/>
      </c>
      <c r="F231" s="286" t="str">
        <f>ES58</f>
        <v/>
      </c>
      <c r="G231" s="298"/>
      <c r="H231" s="221"/>
      <c r="I231" s="312" t="str">
        <f t="shared" ref="I231" si="200">IFERROR(IF(F231-F230&gt;0,F231-F230,0),"")</f>
        <v/>
      </c>
      <c r="J231" s="312" t="str">
        <f>IFERROR(IF(AND(G228&gt;0,G228*'SYNTHESE EVAL. EQ. FCT.'!$AC$140&lt;=I231),I231,0),"")</f>
        <v/>
      </c>
      <c r="K231" s="312" t="str">
        <f t="shared" ref="K231" si="201">IFERROR(IF(F231-F230&lt;0,F230-F231,0),"")</f>
        <v/>
      </c>
      <c r="L231" s="296"/>
      <c r="M231" s="296"/>
      <c r="N231" s="297"/>
      <c r="O231" s="312" t="str">
        <f t="shared" si="40"/>
        <v/>
      </c>
      <c r="P231" s="221"/>
      <c r="Q231" s="312">
        <f t="shared" ref="Q231" si="202">IFERROR(IF(AND(F231&gt;F230,I231&gt;J231),I231,0),"")</f>
        <v>0</v>
      </c>
      <c r="R231" s="312" t="str">
        <f t="shared" ref="R231" si="203">IFERROR(IF(AND(F231&gt;F230,I231&gt;J231),0,I231),"")</f>
        <v/>
      </c>
      <c r="S231" s="315" t="str">
        <f t="shared" ref="S231" si="204">IFERROR(K231,"")</f>
        <v/>
      </c>
      <c r="T231" s="298"/>
      <c r="U231" s="313" t="str">
        <f t="shared" ref="U231" si="205">IF(I231="","",IFERROR(IF(I231&gt;0,CONCATENATE(" (",ROUND(I231/G228,1)," fois la perte)"),""),""))</f>
        <v/>
      </c>
      <c r="V231" s="313" t="str">
        <f t="shared" ref="V231" si="206">IF(J231="","",IFERROR(IF(J231&gt;0,"OUI",""),""))</f>
        <v/>
      </c>
      <c r="W231" s="313" t="str">
        <f t="shared" ref="W231" si="207">IF(K231="","",IFERROR(IF(K231&gt;0,"DECLIN FONCTIONNEL",""),""))</f>
        <v/>
      </c>
      <c r="X231" s="298"/>
      <c r="Y231" s="221"/>
      <c r="Z231" s="314">
        <f t="shared" ref="Z231" si="208">IF(AND(E231&lt;&gt;"",E230&lt;&gt;""),1,0)</f>
        <v>0</v>
      </c>
      <c r="AA231" s="297"/>
      <c r="AB231" s="314">
        <f t="shared" ref="AB231" si="209">IF(IFERROR(X228+Z231,0)=0,0,IF(SUM(Z231,X228)=2,1,0))</f>
        <v>0</v>
      </c>
      <c r="AC231" s="297"/>
      <c r="AD231" s="221"/>
      <c r="AE231" s="221"/>
      <c r="AF231" s="313">
        <f t="shared" ref="AF231" si="210">IF(U231&lt;&gt;"",1,IF(OR(AND(Q231&gt;0,Q231&lt;&gt;""),AND(R231&gt;0,R231&lt;&gt;"")),1,0))</f>
        <v>0</v>
      </c>
      <c r="AG231" s="221"/>
      <c r="AH231" s="314">
        <f t="shared" ref="AH231" si="211">IF(V231="OUI",1,0)</f>
        <v>0</v>
      </c>
      <c r="AI231" s="292"/>
    </row>
    <row r="232" spans="1:35" s="197" customFormat="1" ht="15" customHeight="1" thickBot="1" x14ac:dyDescent="0.25">
      <c r="A232" s="293"/>
      <c r="B232" s="301"/>
      <c r="C232" s="299"/>
      <c r="D232" s="285" t="s">
        <v>478</v>
      </c>
      <c r="E232" s="286" t="str">
        <f>FO58</f>
        <v/>
      </c>
      <c r="F232" s="286" t="str">
        <f>FY58</f>
        <v/>
      </c>
      <c r="G232" s="306"/>
      <c r="H232" s="307"/>
      <c r="I232" s="308"/>
      <c r="J232" s="309"/>
      <c r="K232" s="309"/>
      <c r="L232" s="312" t="str">
        <f t="shared" ref="L232" si="212">IFERROR(IF(F232-F230&gt;0,F232-F230,0),"")</f>
        <v/>
      </c>
      <c r="M232" s="315" t="str">
        <f>IFERROR(IF(AND(H229&gt;0,H229*'SYNTHESE EVAL. EQ. FCT.'!$AC$140&lt;=L232),L232,0),"")</f>
        <v/>
      </c>
      <c r="N232" s="312" t="str">
        <f t="shared" ref="N232" si="213">IFERROR(IF(F232-F230&lt;0,F230-F232,0),"")</f>
        <v/>
      </c>
      <c r="O232" s="312" t="str">
        <f t="shared" si="50"/>
        <v/>
      </c>
      <c r="P232" s="307"/>
      <c r="Q232" s="312">
        <f t="shared" ref="Q232" si="214">IFERROR(IF(L232&gt;M232,L232,0),"")</f>
        <v>0</v>
      </c>
      <c r="R232" s="312" t="str">
        <f t="shared" ref="R232" si="215">IFERROR(IF(L232&gt;M232,0,M232),"")</f>
        <v/>
      </c>
      <c r="S232" s="315" t="str">
        <f t="shared" ref="S232" si="216">IFERROR(N232,"")</f>
        <v/>
      </c>
      <c r="T232" s="306"/>
      <c r="U232" s="328" t="str">
        <f t="shared" ref="U232" si="217">IF(L232="","",IFERROR(IF(L232&gt;0,CONCATENATE(" (",ROUND(L232/H229,1)," fois la perte)"),""),""))</f>
        <v/>
      </c>
      <c r="V232" s="313" t="str">
        <f t="shared" ref="V232" si="218">IF(M232="","",IFERROR(IF(M232&gt;0,"OUI",""),""))</f>
        <v/>
      </c>
      <c r="W232" s="313" t="str">
        <f t="shared" ref="W232" si="219">IF(N232="","",IFERROR(IF(N232&gt;0,"DECLIN FONCTIONNEL",""),""))</f>
        <v/>
      </c>
      <c r="X232" s="306"/>
      <c r="Y232" s="307"/>
      <c r="Z232" s="307"/>
      <c r="AA232" s="314">
        <f t="shared" ref="AA232" si="220">IF(AND(E232&lt;&gt;"",E230&lt;&gt;""),1,0)</f>
        <v>0</v>
      </c>
      <c r="AB232" s="306"/>
      <c r="AC232" s="314">
        <f t="shared" ref="AC232" si="221">IF(IFERROR(Y229+AA232,0)=0,0,IF(SUM(AA232,Y229)=2,1,0))</f>
        <v>0</v>
      </c>
      <c r="AD232" s="221"/>
      <c r="AE232" s="221"/>
      <c r="AF232" s="323"/>
      <c r="AG232" s="328">
        <f t="shared" ref="AG232" si="222">IF(U232&lt;&gt;"",1,IF(OR(AND(Q232&gt;0,Q232&lt;&gt;""),AND(R232&gt;0,R232&lt;&gt;"")),1,0))</f>
        <v>0</v>
      </c>
      <c r="AH232" s="221"/>
      <c r="AI232" s="316">
        <f t="shared" ref="AI232" si="223">IF(V232="OUI",1,0)</f>
        <v>0</v>
      </c>
    </row>
    <row r="233" spans="1:35" s="197" customFormat="1" ht="15" customHeight="1" x14ac:dyDescent="0.2">
      <c r="A233" s="293"/>
      <c r="B233" s="266" t="s">
        <v>218</v>
      </c>
      <c r="C233" s="284" t="s">
        <v>474</v>
      </c>
      <c r="D233" s="285" t="s">
        <v>470</v>
      </c>
      <c r="E233" s="286" t="str">
        <f>L80</f>
        <v/>
      </c>
      <c r="F233" s="286" t="str">
        <f>V80</f>
        <v/>
      </c>
      <c r="G233" s="289"/>
      <c r="H233" s="289"/>
      <c r="I233" s="289"/>
      <c r="J233" s="289"/>
      <c r="K233" s="289"/>
      <c r="L233" s="289"/>
      <c r="M233" s="289"/>
      <c r="N233" s="291"/>
      <c r="O233" s="311" t="str">
        <f t="shared" si="30"/>
        <v/>
      </c>
      <c r="P233" s="289"/>
      <c r="Q233" s="289"/>
      <c r="R233" s="289"/>
      <c r="S233" s="289"/>
      <c r="T233" s="288"/>
      <c r="U233" s="221"/>
      <c r="V233" s="289"/>
      <c r="W233" s="291"/>
      <c r="X233" s="288"/>
      <c r="Y233" s="289"/>
      <c r="Z233" s="289"/>
      <c r="AA233" s="291"/>
      <c r="AB233" s="288"/>
      <c r="AC233" s="291"/>
      <c r="AD233" s="221"/>
      <c r="AE233" s="221"/>
      <c r="AF233" s="221"/>
      <c r="AG233" s="221"/>
      <c r="AH233" s="221"/>
      <c r="AI233" s="292"/>
    </row>
    <row r="234" spans="1:35" s="197" customFormat="1" ht="15" customHeight="1" x14ac:dyDescent="0.2">
      <c r="A234" s="293"/>
      <c r="B234" s="266"/>
      <c r="C234" s="294"/>
      <c r="D234" s="285" t="s">
        <v>562</v>
      </c>
      <c r="E234" s="286" t="str">
        <f>AR80</f>
        <v/>
      </c>
      <c r="F234" s="286" t="str">
        <f>BB80</f>
        <v/>
      </c>
      <c r="G234" s="312" t="str">
        <f t="shared" ref="G234" si="224">IFERROR(IF(F233-F234&gt;0,F233-F234,0),"")</f>
        <v/>
      </c>
      <c r="H234" s="221"/>
      <c r="I234" s="221"/>
      <c r="J234" s="221"/>
      <c r="K234" s="221"/>
      <c r="L234" s="221"/>
      <c r="M234" s="221"/>
      <c r="N234" s="297"/>
      <c r="O234" s="312" t="str">
        <f t="shared" ref="O234" si="225">IF(F234&gt;F233,F234,IFERROR(IF(O233-P234&gt;0,O233-P234,0),""))</f>
        <v/>
      </c>
      <c r="P234" s="313" t="str">
        <f t="shared" ref="P234" si="226">IFERROR(IF(F233-F234&gt;0,F233-F234,0),"")</f>
        <v/>
      </c>
      <c r="Q234" s="221"/>
      <c r="R234" s="221"/>
      <c r="S234" s="221"/>
      <c r="T234" s="313" t="str">
        <f t="shared" ref="T234" si="227">IF(G234="","",IFERROR(IF(G234&gt;0,"PERTE FONCTIONNELLE",""),""))</f>
        <v/>
      </c>
      <c r="U234" s="221"/>
      <c r="V234" s="221"/>
      <c r="W234" s="297"/>
      <c r="X234" s="314">
        <f t="shared" ref="X234" si="228">IF(AND(E234&lt;&gt;"",E233&lt;&gt;""),1,0)</f>
        <v>0</v>
      </c>
      <c r="Y234" s="221"/>
      <c r="Z234" s="221"/>
      <c r="AA234" s="297"/>
      <c r="AB234" s="298"/>
      <c r="AC234" s="297"/>
      <c r="AD234" s="314">
        <f>IF(T234="PERTE FONCTIONNELLE",1,0)</f>
        <v>0</v>
      </c>
      <c r="AE234" s="221"/>
      <c r="AF234" s="221"/>
      <c r="AG234" s="221"/>
      <c r="AH234" s="221"/>
      <c r="AI234" s="292"/>
    </row>
    <row r="235" spans="1:35" s="197" customFormat="1" ht="15" customHeight="1" x14ac:dyDescent="0.2">
      <c r="A235" s="293"/>
      <c r="B235" s="266"/>
      <c r="C235" s="299"/>
      <c r="D235" s="285" t="s">
        <v>471</v>
      </c>
      <c r="E235" s="286" t="str">
        <f>BX80</f>
        <v/>
      </c>
      <c r="F235" s="286" t="str">
        <f>CH80</f>
        <v/>
      </c>
      <c r="G235" s="298"/>
      <c r="H235" s="313" t="str">
        <f t="shared" ref="H235" si="229">IFERROR(IF(F233-F235&gt;0,F233-F235,0),"")</f>
        <v/>
      </c>
      <c r="I235" s="221"/>
      <c r="J235" s="221"/>
      <c r="K235" s="221"/>
      <c r="L235" s="221"/>
      <c r="M235" s="221"/>
      <c r="N235" s="297"/>
      <c r="O235" s="311" t="str">
        <f t="shared" ref="O235" si="230">IF(F235&gt;F233,F235,IFERROR(IF(O233-P235&gt;0,O233-P235,0),""))</f>
        <v/>
      </c>
      <c r="P235" s="313" t="str">
        <f t="shared" ref="P235" si="231">IFERROR(IF(F233-F235&gt;0,F233-F235,0),"")</f>
        <v/>
      </c>
      <c r="Q235" s="221"/>
      <c r="R235" s="221"/>
      <c r="S235" s="221"/>
      <c r="T235" s="313" t="str">
        <f t="shared" ref="T235" si="232">IF(H235="","",IFERROR(IF(H235&gt;0,"PERTE FONCTIONNELLE",""),""))</f>
        <v/>
      </c>
      <c r="U235" s="221"/>
      <c r="V235" s="221"/>
      <c r="W235" s="297"/>
      <c r="X235" s="298"/>
      <c r="Y235" s="314">
        <f t="shared" ref="Y235" si="233">IF(AND(E235&lt;&gt;"",E233&lt;&gt;""),1,0)</f>
        <v>0</v>
      </c>
      <c r="Z235" s="221"/>
      <c r="AA235" s="297"/>
      <c r="AB235" s="298"/>
      <c r="AC235" s="297"/>
      <c r="AD235" s="221"/>
      <c r="AE235" s="314">
        <f>IF(T235="PERTE FONCTIONNELLE",1,0)</f>
        <v>0</v>
      </c>
      <c r="AF235" s="221"/>
      <c r="AG235" s="221"/>
      <c r="AH235" s="221"/>
      <c r="AI235" s="292"/>
    </row>
    <row r="236" spans="1:35" s="197" customFormat="1" ht="15.75" customHeight="1" x14ac:dyDescent="0.2">
      <c r="A236" s="293"/>
      <c r="B236" s="266"/>
      <c r="C236" s="284" t="s">
        <v>475</v>
      </c>
      <c r="D236" s="285" t="s">
        <v>476</v>
      </c>
      <c r="E236" s="286" t="str">
        <f>DD80</f>
        <v/>
      </c>
      <c r="F236" s="286" t="str">
        <f>DN80</f>
        <v/>
      </c>
      <c r="G236" s="298"/>
      <c r="H236" s="221"/>
      <c r="I236" s="221"/>
      <c r="J236" s="221"/>
      <c r="K236" s="221"/>
      <c r="L236" s="221"/>
      <c r="M236" s="221"/>
      <c r="N236" s="297"/>
      <c r="O236" s="311" t="str">
        <f t="shared" si="37"/>
        <v/>
      </c>
      <c r="P236" s="221"/>
      <c r="Q236" s="221"/>
      <c r="R236" s="221"/>
      <c r="S236" s="221"/>
      <c r="T236" s="298"/>
      <c r="U236" s="221"/>
      <c r="V236" s="221"/>
      <c r="W236" s="297"/>
      <c r="X236" s="298"/>
      <c r="Y236" s="221"/>
      <c r="Z236" s="221"/>
      <c r="AA236" s="297"/>
      <c r="AB236" s="298"/>
      <c r="AC236" s="297"/>
      <c r="AD236" s="221"/>
      <c r="AE236" s="221"/>
      <c r="AF236" s="221"/>
      <c r="AG236" s="221"/>
      <c r="AH236" s="221"/>
      <c r="AI236" s="292"/>
    </row>
    <row r="237" spans="1:35" s="197" customFormat="1" ht="15" customHeight="1" x14ac:dyDescent="0.2">
      <c r="A237" s="293"/>
      <c r="B237" s="266"/>
      <c r="C237" s="294"/>
      <c r="D237" s="285" t="s">
        <v>477</v>
      </c>
      <c r="E237" s="286" t="str">
        <f>EJ80</f>
        <v/>
      </c>
      <c r="F237" s="286" t="str">
        <f>ET80</f>
        <v/>
      </c>
      <c r="G237" s="298"/>
      <c r="H237" s="221"/>
      <c r="I237" s="312" t="str">
        <f t="shared" ref="I237" si="234">IFERROR(IF(F237-F236&gt;0,F237-F236,0),"")</f>
        <v/>
      </c>
      <c r="J237" s="312" t="str">
        <f>IFERROR(IF(AND(G234&gt;0,G234*'SYNTHESE EVAL. EQ. FCT.'!$AC$140&lt;=I237),I237,0),"")</f>
        <v/>
      </c>
      <c r="K237" s="312" t="str">
        <f t="shared" ref="K237" si="235">IFERROR(IF(F237-F236&lt;0,F236-F237,0),"")</f>
        <v/>
      </c>
      <c r="L237" s="296"/>
      <c r="M237" s="296"/>
      <c r="N237" s="297"/>
      <c r="O237" s="312" t="str">
        <f t="shared" si="40"/>
        <v/>
      </c>
      <c r="P237" s="221"/>
      <c r="Q237" s="312">
        <f t="shared" ref="Q237" si="236">IFERROR(IF(AND(F237&gt;F236,I237&gt;J237),I237,0),"")</f>
        <v>0</v>
      </c>
      <c r="R237" s="312" t="str">
        <f t="shared" ref="R237" si="237">IFERROR(IF(AND(F237&gt;F236,I237&gt;J237),0,I237),"")</f>
        <v/>
      </c>
      <c r="S237" s="315" t="str">
        <f t="shared" ref="S237" si="238">IFERROR(K237,"")</f>
        <v/>
      </c>
      <c r="T237" s="298"/>
      <c r="U237" s="313" t="str">
        <f t="shared" ref="U237" si="239">IF(I237="","",IFERROR(IF(I237&gt;0,CONCATENATE(" (",ROUND(I237/G234,1)," fois la perte)"),""),""))</f>
        <v/>
      </c>
      <c r="V237" s="313" t="str">
        <f t="shared" ref="V237" si="240">IF(J237="","",IFERROR(IF(J237&gt;0,"OUI",""),""))</f>
        <v/>
      </c>
      <c r="W237" s="313" t="str">
        <f t="shared" ref="W237" si="241">IF(K237="","",IFERROR(IF(K237&gt;0,"DECLIN FONCTIONNEL",""),""))</f>
        <v/>
      </c>
      <c r="X237" s="298"/>
      <c r="Y237" s="221"/>
      <c r="Z237" s="314">
        <f t="shared" ref="Z237" si="242">IF(AND(E237&lt;&gt;"",E236&lt;&gt;""),1,0)</f>
        <v>0</v>
      </c>
      <c r="AA237" s="297"/>
      <c r="AB237" s="314">
        <f t="shared" ref="AB237" si="243">IF(IFERROR(X234+Z237,0)=0,0,IF(SUM(Z237,X234)=2,1,0))</f>
        <v>0</v>
      </c>
      <c r="AC237" s="297"/>
      <c r="AD237" s="221"/>
      <c r="AE237" s="221"/>
      <c r="AF237" s="313">
        <f t="shared" ref="AF237" si="244">IF(U237&lt;&gt;"",1,IF(OR(AND(Q237&gt;0,Q237&lt;&gt;""),AND(R237&gt;0,R237&lt;&gt;"")),1,0))</f>
        <v>0</v>
      </c>
      <c r="AG237" s="221"/>
      <c r="AH237" s="314">
        <f t="shared" ref="AH237" si="245">IF(V237="OUI",1,0)</f>
        <v>0</v>
      </c>
      <c r="AI237" s="292"/>
    </row>
    <row r="238" spans="1:35" s="197" customFormat="1" ht="45.75" thickBot="1" x14ac:dyDescent="0.25">
      <c r="A238" s="293"/>
      <c r="B238" s="266"/>
      <c r="C238" s="299"/>
      <c r="D238" s="285" t="s">
        <v>478</v>
      </c>
      <c r="E238" s="286" t="str">
        <f>FP80</f>
        <v/>
      </c>
      <c r="F238" s="286" t="str">
        <f>FZ80</f>
        <v/>
      </c>
      <c r="G238" s="306"/>
      <c r="H238" s="307"/>
      <c r="I238" s="308"/>
      <c r="J238" s="309"/>
      <c r="K238" s="309"/>
      <c r="L238" s="312" t="str">
        <f t="shared" ref="L238" si="246">IFERROR(IF(F238-F236&gt;0,F238-F236,0),"")</f>
        <v/>
      </c>
      <c r="M238" s="315" t="str">
        <f>IFERROR(IF(AND(H235&gt;0,H235*'SYNTHESE EVAL. EQ. FCT.'!$AC$140&lt;=L238),L238,0),"")</f>
        <v/>
      </c>
      <c r="N238" s="312" t="str">
        <f t="shared" ref="N238" si="247">IFERROR(IF(F238-F236&lt;0,F236-F238,0),"")</f>
        <v/>
      </c>
      <c r="O238" s="312" t="str">
        <f t="shared" si="50"/>
        <v/>
      </c>
      <c r="P238" s="307"/>
      <c r="Q238" s="312">
        <f t="shared" ref="Q238" si="248">IFERROR(IF(L238&gt;M238,L238,0),"")</f>
        <v>0</v>
      </c>
      <c r="R238" s="312" t="str">
        <f t="shared" ref="R238" si="249">IFERROR(IF(L238&gt;M238,0,M238),"")</f>
        <v/>
      </c>
      <c r="S238" s="315" t="str">
        <f t="shared" ref="S238" si="250">IFERROR(N238,"")</f>
        <v/>
      </c>
      <c r="T238" s="306"/>
      <c r="U238" s="328" t="str">
        <f t="shared" ref="U238" si="251">IF(L238="","",IFERROR(IF(L238&gt;0,CONCATENATE(" (",ROUND(L238/H235,1)," fois la perte)"),""),""))</f>
        <v/>
      </c>
      <c r="V238" s="313" t="str">
        <f t="shared" ref="V238" si="252">IF(M238="","",IFERROR(IF(M238&gt;0,"OUI",""),""))</f>
        <v/>
      </c>
      <c r="W238" s="313" t="str">
        <f t="shared" ref="W238" si="253">IF(N238="","",IFERROR(IF(N238&gt;0,"DECLIN FONCTIONNEL",""),""))</f>
        <v/>
      </c>
      <c r="X238" s="306"/>
      <c r="Y238" s="307"/>
      <c r="Z238" s="307"/>
      <c r="AA238" s="314">
        <f t="shared" ref="AA238" si="254">IF(AND(E238&lt;&gt;"",E236&lt;&gt;""),1,0)</f>
        <v>0</v>
      </c>
      <c r="AB238" s="306"/>
      <c r="AC238" s="314">
        <f t="shared" ref="AC238" si="255">IF(IFERROR(Y235+AA238,0)=0,0,IF(SUM(AA238,Y235)=2,1,0))</f>
        <v>0</v>
      </c>
      <c r="AD238" s="221"/>
      <c r="AE238" s="221"/>
      <c r="AF238" s="323"/>
      <c r="AG238" s="328">
        <f t="shared" ref="AG238" si="256">IF(U238&lt;&gt;"",1,IF(OR(AND(Q238&gt;0,Q238&lt;&gt;""),AND(R238&gt;0,R238&lt;&gt;"")),1,0))</f>
        <v>0</v>
      </c>
      <c r="AH238" s="221"/>
      <c r="AI238" s="316">
        <f t="shared" ref="AI238" si="257">IF(V238="OUI",1,0)</f>
        <v>0</v>
      </c>
    </row>
    <row r="239" spans="1:35" s="197" customFormat="1" ht="15" customHeight="1" x14ac:dyDescent="0.2">
      <c r="A239" s="293"/>
      <c r="B239" s="303" t="s">
        <v>219</v>
      </c>
      <c r="C239" s="284" t="s">
        <v>474</v>
      </c>
      <c r="D239" s="285" t="s">
        <v>470</v>
      </c>
      <c r="E239" s="286" t="str">
        <f>L84</f>
        <v/>
      </c>
      <c r="F239" s="286" t="str">
        <f>V84</f>
        <v/>
      </c>
      <c r="G239" s="289"/>
      <c r="H239" s="289"/>
      <c r="I239" s="289"/>
      <c r="J239" s="289"/>
      <c r="K239" s="289"/>
      <c r="L239" s="289"/>
      <c r="M239" s="289"/>
      <c r="N239" s="291"/>
      <c r="O239" s="311" t="str">
        <f t="shared" si="30"/>
        <v/>
      </c>
      <c r="P239" s="289"/>
      <c r="Q239" s="289"/>
      <c r="R239" s="289"/>
      <c r="S239" s="289"/>
      <c r="T239" s="288"/>
      <c r="U239" s="221"/>
      <c r="V239" s="289"/>
      <c r="W239" s="291"/>
      <c r="X239" s="288"/>
      <c r="Y239" s="289"/>
      <c r="Z239" s="289"/>
      <c r="AA239" s="291"/>
      <c r="AB239" s="288"/>
      <c r="AC239" s="291"/>
      <c r="AD239" s="221"/>
      <c r="AE239" s="221"/>
      <c r="AF239" s="221"/>
      <c r="AG239" s="221"/>
      <c r="AH239" s="221"/>
      <c r="AI239" s="292"/>
    </row>
    <row r="240" spans="1:35" s="197" customFormat="1" ht="15" customHeight="1" x14ac:dyDescent="0.2">
      <c r="A240" s="293"/>
      <c r="B240" s="283"/>
      <c r="C240" s="294"/>
      <c r="D240" s="285" t="s">
        <v>562</v>
      </c>
      <c r="E240" s="286" t="str">
        <f>AR84</f>
        <v/>
      </c>
      <c r="F240" s="286" t="str">
        <f>BB84</f>
        <v/>
      </c>
      <c r="G240" s="312" t="str">
        <f t="shared" ref="G240" si="258">IFERROR(IF(F239-F240&gt;0,F239-F240,0),"")</f>
        <v/>
      </c>
      <c r="H240" s="221"/>
      <c r="I240" s="221"/>
      <c r="J240" s="221"/>
      <c r="K240" s="221"/>
      <c r="L240" s="221"/>
      <c r="M240" s="221"/>
      <c r="N240" s="297"/>
      <c r="O240" s="312" t="str">
        <f t="shared" ref="O240" si="259">IF(F240&gt;F239,F240,IFERROR(IF(O239-P240&gt;0,O239-P240,0),""))</f>
        <v/>
      </c>
      <c r="P240" s="313" t="str">
        <f t="shared" ref="P240" si="260">IFERROR(IF(F239-F240&gt;0,F239-F240,0),"")</f>
        <v/>
      </c>
      <c r="Q240" s="221"/>
      <c r="R240" s="221"/>
      <c r="S240" s="221"/>
      <c r="T240" s="313" t="str">
        <f t="shared" ref="T240" si="261">IF(G240="","",IFERROR(IF(G240&gt;0,"PERTE FONCTIONNELLE",""),""))</f>
        <v/>
      </c>
      <c r="U240" s="221"/>
      <c r="V240" s="221"/>
      <c r="W240" s="297"/>
      <c r="X240" s="314">
        <f t="shared" ref="X240" si="262">IF(AND(E240&lt;&gt;"",E239&lt;&gt;""),1,0)</f>
        <v>0</v>
      </c>
      <c r="Y240" s="221"/>
      <c r="Z240" s="221"/>
      <c r="AA240" s="297"/>
      <c r="AB240" s="298"/>
      <c r="AC240" s="297"/>
      <c r="AD240" s="314">
        <f>IF(T240="PERTE FONCTIONNELLE",1,0)</f>
        <v>0</v>
      </c>
      <c r="AE240" s="221"/>
      <c r="AF240" s="221"/>
      <c r="AG240" s="221"/>
      <c r="AH240" s="221"/>
      <c r="AI240" s="292"/>
    </row>
    <row r="241" spans="1:35" s="197" customFormat="1" ht="30" x14ac:dyDescent="0.2">
      <c r="A241" s="293"/>
      <c r="B241" s="283"/>
      <c r="C241" s="299"/>
      <c r="D241" s="285" t="s">
        <v>471</v>
      </c>
      <c r="E241" s="286" t="str">
        <f>BX84</f>
        <v/>
      </c>
      <c r="F241" s="286" t="str">
        <f>CH84</f>
        <v/>
      </c>
      <c r="G241" s="298"/>
      <c r="H241" s="313" t="str">
        <f t="shared" ref="H241" si="263">IFERROR(IF(F239-F241&gt;0,F239-F241,0),"")</f>
        <v/>
      </c>
      <c r="I241" s="221"/>
      <c r="J241" s="221"/>
      <c r="K241" s="221"/>
      <c r="L241" s="221"/>
      <c r="M241" s="221"/>
      <c r="N241" s="297"/>
      <c r="O241" s="311" t="str">
        <f t="shared" ref="O241" si="264">IF(F241&gt;F239,F241,IFERROR(IF(O239-P241&gt;0,O239-P241,0),""))</f>
        <v/>
      </c>
      <c r="P241" s="313" t="str">
        <f t="shared" ref="P241" si="265">IFERROR(IF(F239-F241&gt;0,F239-F241,0),"")</f>
        <v/>
      </c>
      <c r="Q241" s="221"/>
      <c r="R241" s="221"/>
      <c r="S241" s="221"/>
      <c r="T241" s="313" t="str">
        <f t="shared" ref="T241" si="266">IF(H241="","",IFERROR(IF(H241&gt;0,"PERTE FONCTIONNELLE",""),""))</f>
        <v/>
      </c>
      <c r="U241" s="221"/>
      <c r="V241" s="221"/>
      <c r="W241" s="297"/>
      <c r="X241" s="298"/>
      <c r="Y241" s="314">
        <f t="shared" ref="Y241" si="267">IF(AND(E241&lt;&gt;"",E239&lt;&gt;""),1,0)</f>
        <v>0</v>
      </c>
      <c r="Z241" s="221"/>
      <c r="AA241" s="297"/>
      <c r="AB241" s="298"/>
      <c r="AC241" s="297"/>
      <c r="AD241" s="221"/>
      <c r="AE241" s="314">
        <f>IF(T241="PERTE FONCTIONNELLE",1,0)</f>
        <v>0</v>
      </c>
      <c r="AF241" s="221"/>
      <c r="AG241" s="221"/>
      <c r="AH241" s="221"/>
      <c r="AI241" s="292"/>
    </row>
    <row r="242" spans="1:35" s="197" customFormat="1" ht="15" customHeight="1" x14ac:dyDescent="0.2">
      <c r="A242" s="293"/>
      <c r="B242" s="283"/>
      <c r="C242" s="284" t="s">
        <v>475</v>
      </c>
      <c r="D242" s="285" t="s">
        <v>476</v>
      </c>
      <c r="E242" s="286" t="str">
        <f>DD84</f>
        <v/>
      </c>
      <c r="F242" s="286" t="str">
        <f>DN84</f>
        <v/>
      </c>
      <c r="G242" s="298"/>
      <c r="H242" s="221"/>
      <c r="I242" s="221"/>
      <c r="J242" s="221"/>
      <c r="K242" s="221"/>
      <c r="L242" s="221"/>
      <c r="M242" s="221"/>
      <c r="N242" s="297"/>
      <c r="O242" s="311" t="str">
        <f t="shared" si="37"/>
        <v/>
      </c>
      <c r="P242" s="221"/>
      <c r="Q242" s="221"/>
      <c r="R242" s="221"/>
      <c r="S242" s="221"/>
      <c r="T242" s="298"/>
      <c r="U242" s="221"/>
      <c r="V242" s="221"/>
      <c r="W242" s="297"/>
      <c r="X242" s="298"/>
      <c r="Y242" s="221"/>
      <c r="Z242" s="221"/>
      <c r="AA242" s="297"/>
      <c r="AB242" s="298"/>
      <c r="AC242" s="297"/>
      <c r="AD242" s="221"/>
      <c r="AE242" s="221"/>
      <c r="AF242" s="221"/>
      <c r="AG242" s="221"/>
      <c r="AH242" s="221"/>
      <c r="AI242" s="292"/>
    </row>
    <row r="243" spans="1:35" s="197" customFormat="1" ht="60" x14ac:dyDescent="0.2">
      <c r="A243" s="293"/>
      <c r="B243" s="283"/>
      <c r="C243" s="294"/>
      <c r="D243" s="285" t="s">
        <v>477</v>
      </c>
      <c r="E243" s="286" t="str">
        <f>EJ84</f>
        <v/>
      </c>
      <c r="F243" s="286" t="str">
        <f>ET84</f>
        <v/>
      </c>
      <c r="G243" s="298"/>
      <c r="H243" s="221"/>
      <c r="I243" s="312" t="str">
        <f t="shared" ref="I243" si="268">IFERROR(IF(F243-F242&gt;0,F243-F242,0),"")</f>
        <v/>
      </c>
      <c r="J243" s="312" t="str">
        <f>IFERROR(IF(AND(G240&gt;0,G240*'SYNTHESE EVAL. EQ. FCT.'!$AC$140&lt;=I243),I243,0),"")</f>
        <v/>
      </c>
      <c r="K243" s="312" t="str">
        <f t="shared" ref="K243" si="269">IFERROR(IF(F243-F242&lt;0,F242-F243,0),"")</f>
        <v/>
      </c>
      <c r="L243" s="296"/>
      <c r="M243" s="296"/>
      <c r="N243" s="297"/>
      <c r="O243" s="312" t="str">
        <f t="shared" si="40"/>
        <v/>
      </c>
      <c r="P243" s="221"/>
      <c r="Q243" s="312">
        <f t="shared" ref="Q243" si="270">IFERROR(IF(AND(F243&gt;F242,I243&gt;J243),I243,0),"")</f>
        <v>0</v>
      </c>
      <c r="R243" s="312" t="str">
        <f t="shared" ref="R243" si="271">IFERROR(IF(AND(F243&gt;F242,I243&gt;J243),0,I243),"")</f>
        <v/>
      </c>
      <c r="S243" s="315" t="str">
        <f t="shared" ref="S243" si="272">IFERROR(K243,"")</f>
        <v/>
      </c>
      <c r="T243" s="298"/>
      <c r="U243" s="313" t="str">
        <f t="shared" ref="U243" si="273">IF(I243="","",IFERROR(IF(I243&gt;0,CONCATENATE(" (",ROUND(I243/G240,1)," fois la perte)"),""),""))</f>
        <v/>
      </c>
      <c r="V243" s="313" t="str">
        <f t="shared" ref="V243" si="274">IF(J243="","",IFERROR(IF(J243&gt;0,"OUI",""),""))</f>
        <v/>
      </c>
      <c r="W243" s="313" t="str">
        <f t="shared" ref="W243" si="275">IF(K243="","",IFERROR(IF(K243&gt;0,"DECLIN FONCTIONNEL",""),""))</f>
        <v/>
      </c>
      <c r="X243" s="298"/>
      <c r="Y243" s="221"/>
      <c r="Z243" s="314">
        <f t="shared" ref="Z243" si="276">IF(AND(E243&lt;&gt;"",E242&lt;&gt;""),1,0)</f>
        <v>0</v>
      </c>
      <c r="AA243" s="297"/>
      <c r="AB243" s="314">
        <f t="shared" ref="AB243" si="277">IF(IFERROR(X240+Z243,0)=0,0,IF(SUM(Z243,X240)=2,1,0))</f>
        <v>0</v>
      </c>
      <c r="AC243" s="297"/>
      <c r="AD243" s="221"/>
      <c r="AE243" s="221"/>
      <c r="AF243" s="313">
        <f t="shared" ref="AF243" si="278">IF(U243&lt;&gt;"",1,IF(OR(AND(Q243&gt;0,Q243&lt;&gt;""),AND(R243&gt;0,R243&lt;&gt;"")),1,0))</f>
        <v>0</v>
      </c>
      <c r="AG243" s="221"/>
      <c r="AH243" s="314">
        <f t="shared" ref="AH243" si="279">IF(V243="OUI",1,0)</f>
        <v>0</v>
      </c>
      <c r="AI243" s="292"/>
    </row>
    <row r="244" spans="1:35" s="197" customFormat="1" ht="15" customHeight="1" thickBot="1" x14ac:dyDescent="0.25">
      <c r="A244" s="293"/>
      <c r="B244" s="301"/>
      <c r="C244" s="299"/>
      <c r="D244" s="285" t="s">
        <v>478</v>
      </c>
      <c r="E244" s="286" t="str">
        <f>FP84</f>
        <v/>
      </c>
      <c r="F244" s="286" t="str">
        <f>FZ84</f>
        <v/>
      </c>
      <c r="G244" s="306"/>
      <c r="H244" s="307"/>
      <c r="I244" s="308"/>
      <c r="J244" s="309"/>
      <c r="K244" s="309"/>
      <c r="L244" s="312" t="str">
        <f t="shared" ref="L244" si="280">IFERROR(IF(F244-F242&gt;0,F244-F242,0),"")</f>
        <v/>
      </c>
      <c r="M244" s="315" t="str">
        <f>IFERROR(IF(AND(H241&gt;0,H241*'SYNTHESE EVAL. EQ. FCT.'!$AC$140&lt;=L244),L244,0),"")</f>
        <v/>
      </c>
      <c r="N244" s="312" t="str">
        <f t="shared" ref="N244" si="281">IFERROR(IF(F244-F242&lt;0,F242-F244,0),"")</f>
        <v/>
      </c>
      <c r="O244" s="312" t="str">
        <f t="shared" si="50"/>
        <v/>
      </c>
      <c r="P244" s="307"/>
      <c r="Q244" s="312">
        <f t="shared" ref="Q244" si="282">IFERROR(IF(L244&gt;M244,L244,0),"")</f>
        <v>0</v>
      </c>
      <c r="R244" s="312" t="str">
        <f t="shared" ref="R244" si="283">IFERROR(IF(L244&gt;M244,0,M244),"")</f>
        <v/>
      </c>
      <c r="S244" s="315" t="str">
        <f t="shared" ref="S244" si="284">IFERROR(N244,"")</f>
        <v/>
      </c>
      <c r="T244" s="306"/>
      <c r="U244" s="328" t="str">
        <f t="shared" ref="U244" si="285">IF(L244="","",IFERROR(IF(L244&gt;0,CONCATENATE(" (",ROUND(L244/H241,1)," fois la perte)"),""),""))</f>
        <v/>
      </c>
      <c r="V244" s="313" t="str">
        <f t="shared" ref="V244" si="286">IF(M244="","",IFERROR(IF(M244&gt;0,"OUI",""),""))</f>
        <v/>
      </c>
      <c r="W244" s="313" t="str">
        <f t="shared" ref="W244" si="287">IF(N244="","",IFERROR(IF(N244&gt;0,"DECLIN FONCTIONNEL",""),""))</f>
        <v/>
      </c>
      <c r="X244" s="306"/>
      <c r="Y244" s="307"/>
      <c r="Z244" s="307"/>
      <c r="AA244" s="314">
        <f t="shared" ref="AA244" si="288">IF(AND(E244&lt;&gt;"",E242&lt;&gt;""),1,0)</f>
        <v>0</v>
      </c>
      <c r="AB244" s="306"/>
      <c r="AC244" s="314">
        <f t="shared" ref="AC244" si="289">IF(IFERROR(Y241+AA244,0)=0,0,IF(SUM(AA244,Y241)=2,1,0))</f>
        <v>0</v>
      </c>
      <c r="AD244" s="221"/>
      <c r="AE244" s="221"/>
      <c r="AF244" s="323"/>
      <c r="AG244" s="328">
        <f t="shared" ref="AG244" si="290">IF(U244&lt;&gt;"",1,IF(OR(AND(Q244&gt;0,Q244&lt;&gt;""),AND(R244&gt;0,R244&lt;&gt;"")),1,0))</f>
        <v>0</v>
      </c>
      <c r="AH244" s="221"/>
      <c r="AI244" s="316">
        <f t="shared" ref="AI244" si="291">IF(V244="OUI",1,0)</f>
        <v>0</v>
      </c>
    </row>
    <row r="245" spans="1:35" s="197" customFormat="1" ht="15" customHeight="1" x14ac:dyDescent="0.2">
      <c r="A245" s="293"/>
      <c r="B245" s="266" t="s">
        <v>150</v>
      </c>
      <c r="C245" s="284" t="s">
        <v>474</v>
      </c>
      <c r="D245" s="285" t="s">
        <v>470</v>
      </c>
      <c r="E245" s="286" t="str">
        <f>G78</f>
        <v/>
      </c>
      <c r="F245" s="286" t="str">
        <f>Q78</f>
        <v/>
      </c>
      <c r="G245" s="289"/>
      <c r="H245" s="289"/>
      <c r="I245" s="289"/>
      <c r="J245" s="289"/>
      <c r="K245" s="289"/>
      <c r="L245" s="289"/>
      <c r="M245" s="289"/>
      <c r="N245" s="291"/>
      <c r="O245" s="311" t="str">
        <f t="shared" si="30"/>
        <v/>
      </c>
      <c r="P245" s="289"/>
      <c r="Q245" s="289"/>
      <c r="R245" s="289"/>
      <c r="S245" s="289"/>
      <c r="T245" s="288"/>
      <c r="U245" s="221"/>
      <c r="V245" s="289"/>
      <c r="W245" s="291"/>
      <c r="X245" s="288"/>
      <c r="Y245" s="289"/>
      <c r="Z245" s="289"/>
      <c r="AA245" s="291"/>
      <c r="AB245" s="288"/>
      <c r="AC245" s="291"/>
      <c r="AD245" s="221"/>
      <c r="AE245" s="221"/>
      <c r="AF245" s="221"/>
      <c r="AG245" s="221"/>
      <c r="AH245" s="221"/>
      <c r="AI245" s="292"/>
    </row>
    <row r="246" spans="1:35" s="197" customFormat="1" ht="60" x14ac:dyDescent="0.2">
      <c r="A246" s="293"/>
      <c r="B246" s="266"/>
      <c r="C246" s="294"/>
      <c r="D246" s="285" t="s">
        <v>562</v>
      </c>
      <c r="E246" s="286" t="str">
        <f>AM78</f>
        <v/>
      </c>
      <c r="F246" s="286" t="str">
        <f>AW78</f>
        <v/>
      </c>
      <c r="G246" s="312" t="str">
        <f t="shared" ref="G246" si="292">IFERROR(IF(F245-F246&gt;0,F245-F246,0),"")</f>
        <v/>
      </c>
      <c r="H246" s="221"/>
      <c r="I246" s="221"/>
      <c r="J246" s="221"/>
      <c r="K246" s="221"/>
      <c r="L246" s="221"/>
      <c r="M246" s="221"/>
      <c r="N246" s="297"/>
      <c r="O246" s="312" t="str">
        <f t="shared" ref="O246" si="293">IF(F246&gt;F245,F246,IFERROR(IF(O245-P246&gt;0,O245-P246,0),""))</f>
        <v/>
      </c>
      <c r="P246" s="313" t="str">
        <f t="shared" ref="P246" si="294">IFERROR(IF(F245-F246&gt;0,F245-F246,0),"")</f>
        <v/>
      </c>
      <c r="Q246" s="221"/>
      <c r="R246" s="221"/>
      <c r="S246" s="221"/>
      <c r="T246" s="313" t="str">
        <f t="shared" ref="T246" si="295">IF(G246="","",IFERROR(IF(G246&gt;0,"PERTE FONCTIONNELLE",""),""))</f>
        <v/>
      </c>
      <c r="U246" s="221"/>
      <c r="V246" s="221"/>
      <c r="W246" s="297"/>
      <c r="X246" s="314">
        <f t="shared" ref="X246" si="296">IF(AND(E246&lt;&gt;"",E245&lt;&gt;""),1,0)</f>
        <v>0</v>
      </c>
      <c r="Y246" s="221"/>
      <c r="Z246" s="221"/>
      <c r="AA246" s="297"/>
      <c r="AB246" s="298"/>
      <c r="AC246" s="297"/>
      <c r="AD246" s="314">
        <f>IF(T246="PERTE FONCTIONNELLE",1,0)</f>
        <v>0</v>
      </c>
      <c r="AE246" s="221"/>
      <c r="AF246" s="221"/>
      <c r="AG246" s="221"/>
      <c r="AH246" s="221"/>
      <c r="AI246" s="292"/>
    </row>
    <row r="247" spans="1:35" s="197" customFormat="1" ht="15" customHeight="1" x14ac:dyDescent="0.2">
      <c r="A247" s="293"/>
      <c r="B247" s="266"/>
      <c r="C247" s="299"/>
      <c r="D247" s="285" t="s">
        <v>471</v>
      </c>
      <c r="E247" s="286" t="str">
        <f>BS78</f>
        <v/>
      </c>
      <c r="F247" s="286" t="str">
        <f>CC78</f>
        <v/>
      </c>
      <c r="G247" s="298"/>
      <c r="H247" s="313" t="str">
        <f t="shared" ref="H247" si="297">IFERROR(IF(F245-F247&gt;0,F245-F247,0),"")</f>
        <v/>
      </c>
      <c r="I247" s="221"/>
      <c r="J247" s="221"/>
      <c r="K247" s="221"/>
      <c r="L247" s="221"/>
      <c r="M247" s="221"/>
      <c r="N247" s="297"/>
      <c r="O247" s="311" t="str">
        <f t="shared" ref="O247" si="298">IF(F247&gt;F245,F247,IFERROR(IF(O245-P247&gt;0,O245-P247,0),""))</f>
        <v/>
      </c>
      <c r="P247" s="313" t="str">
        <f t="shared" ref="P247" si="299">IFERROR(IF(F245-F247&gt;0,F245-F247,0),"")</f>
        <v/>
      </c>
      <c r="Q247" s="221"/>
      <c r="R247" s="221"/>
      <c r="S247" s="221"/>
      <c r="T247" s="313" t="str">
        <f t="shared" ref="T247" si="300">IF(H247="","",IFERROR(IF(H247&gt;0,"PERTE FONCTIONNELLE",""),""))</f>
        <v/>
      </c>
      <c r="U247" s="221"/>
      <c r="V247" s="221"/>
      <c r="W247" s="297"/>
      <c r="X247" s="298"/>
      <c r="Y247" s="314">
        <f t="shared" ref="Y247" si="301">IF(AND(E247&lt;&gt;"",E245&lt;&gt;""),1,0)</f>
        <v>0</v>
      </c>
      <c r="Z247" s="221"/>
      <c r="AA247" s="297"/>
      <c r="AB247" s="298"/>
      <c r="AC247" s="297"/>
      <c r="AD247" s="221"/>
      <c r="AE247" s="314">
        <f>IF(T247="PERTE FONCTIONNELLE",1,0)</f>
        <v>0</v>
      </c>
      <c r="AF247" s="221"/>
      <c r="AG247" s="221"/>
      <c r="AH247" s="221"/>
      <c r="AI247" s="292"/>
    </row>
    <row r="248" spans="1:35" s="197" customFormat="1" ht="15" customHeight="1" x14ac:dyDescent="0.2">
      <c r="A248" s="293"/>
      <c r="B248" s="266"/>
      <c r="C248" s="284" t="s">
        <v>475</v>
      </c>
      <c r="D248" s="285" t="s">
        <v>476</v>
      </c>
      <c r="E248" s="286" t="str">
        <f>CY78</f>
        <v/>
      </c>
      <c r="F248" s="286" t="str">
        <f>DI78</f>
        <v/>
      </c>
      <c r="G248" s="298"/>
      <c r="H248" s="221"/>
      <c r="I248" s="221"/>
      <c r="J248" s="221"/>
      <c r="K248" s="221"/>
      <c r="L248" s="221"/>
      <c r="M248" s="221"/>
      <c r="N248" s="297"/>
      <c r="O248" s="311" t="str">
        <f t="shared" si="37"/>
        <v/>
      </c>
      <c r="P248" s="221"/>
      <c r="Q248" s="221"/>
      <c r="R248" s="221"/>
      <c r="S248" s="221"/>
      <c r="T248" s="298"/>
      <c r="U248" s="221"/>
      <c r="V248" s="221"/>
      <c r="W248" s="297"/>
      <c r="X248" s="298"/>
      <c r="Y248" s="221"/>
      <c r="Z248" s="221"/>
      <c r="AA248" s="297"/>
      <c r="AB248" s="298"/>
      <c r="AC248" s="297"/>
      <c r="AD248" s="221"/>
      <c r="AE248" s="221"/>
      <c r="AF248" s="221"/>
      <c r="AG248" s="221"/>
      <c r="AH248" s="221"/>
      <c r="AI248" s="292"/>
    </row>
    <row r="249" spans="1:35" s="197" customFormat="1" ht="15" customHeight="1" x14ac:dyDescent="0.2">
      <c r="A249" s="293"/>
      <c r="B249" s="266"/>
      <c r="C249" s="294"/>
      <c r="D249" s="285" t="s">
        <v>477</v>
      </c>
      <c r="E249" s="286" t="str">
        <f>EE78</f>
        <v/>
      </c>
      <c r="F249" s="286" t="str">
        <f>EO78</f>
        <v/>
      </c>
      <c r="G249" s="298"/>
      <c r="H249" s="221"/>
      <c r="I249" s="312" t="str">
        <f t="shared" ref="I249" si="302">IFERROR(IF(F249-F248&gt;0,F249-F248,0),"")</f>
        <v/>
      </c>
      <c r="J249" s="312" t="str">
        <f>IFERROR(IF(AND(G246&gt;0,G246*'SYNTHESE EVAL. EQ. FCT.'!$AC$140&lt;=I249),I249,0),"")</f>
        <v/>
      </c>
      <c r="K249" s="312" t="str">
        <f t="shared" ref="K249" si="303">IFERROR(IF(F249-F248&lt;0,F248-F249,0),"")</f>
        <v/>
      </c>
      <c r="L249" s="296"/>
      <c r="M249" s="296"/>
      <c r="N249" s="297"/>
      <c r="O249" s="312" t="str">
        <f t="shared" si="40"/>
        <v/>
      </c>
      <c r="P249" s="221"/>
      <c r="Q249" s="312">
        <f t="shared" ref="Q249" si="304">IFERROR(IF(AND(F249&gt;F248,I249&gt;J249),I249,0),"")</f>
        <v>0</v>
      </c>
      <c r="R249" s="312" t="str">
        <f t="shared" ref="R249" si="305">IFERROR(IF(AND(F249&gt;F248,I249&gt;J249),0,I249),"")</f>
        <v/>
      </c>
      <c r="S249" s="315" t="str">
        <f t="shared" ref="S249" si="306">IFERROR(K249,"")</f>
        <v/>
      </c>
      <c r="T249" s="298"/>
      <c r="U249" s="313" t="str">
        <f t="shared" ref="U249" si="307">IF(I249="","",IFERROR(IF(I249&gt;0,CONCATENATE(" (",ROUND(I249/G246,1)," fois la perte)"),""),""))</f>
        <v/>
      </c>
      <c r="V249" s="313" t="str">
        <f t="shared" ref="V249" si="308">IF(J249="","",IFERROR(IF(J249&gt;0,"OUI",""),""))</f>
        <v/>
      </c>
      <c r="W249" s="313" t="str">
        <f t="shared" ref="W249" si="309">IF(K249="","",IFERROR(IF(K249&gt;0,"DECLIN FONCTIONNEL",""),""))</f>
        <v/>
      </c>
      <c r="X249" s="298"/>
      <c r="Y249" s="221"/>
      <c r="Z249" s="314">
        <f t="shared" ref="Z249" si="310">IF(AND(E249&lt;&gt;"",E248&lt;&gt;""),1,0)</f>
        <v>0</v>
      </c>
      <c r="AA249" s="297"/>
      <c r="AB249" s="314">
        <f t="shared" ref="AB249" si="311">IF(IFERROR(X246+Z249,0)=0,0,IF(SUM(Z249,X246)=2,1,0))</f>
        <v>0</v>
      </c>
      <c r="AC249" s="297"/>
      <c r="AD249" s="221"/>
      <c r="AE249" s="221"/>
      <c r="AF249" s="313">
        <f t="shared" ref="AF249" si="312">IF(U249&lt;&gt;"",1,IF(OR(AND(Q249&gt;0,Q249&lt;&gt;""),AND(R249&gt;0,R249&lt;&gt;"")),1,0))</f>
        <v>0</v>
      </c>
      <c r="AG249" s="221"/>
      <c r="AH249" s="314">
        <f t="shared" ref="AH249" si="313">IF(V249="OUI",1,0)</f>
        <v>0</v>
      </c>
      <c r="AI249" s="292"/>
    </row>
    <row r="250" spans="1:35" s="197" customFormat="1" ht="15" customHeight="1" thickBot="1" x14ac:dyDescent="0.25">
      <c r="A250" s="293"/>
      <c r="B250" s="266"/>
      <c r="C250" s="299"/>
      <c r="D250" s="285" t="s">
        <v>478</v>
      </c>
      <c r="E250" s="286" t="str">
        <f>FK78</f>
        <v/>
      </c>
      <c r="F250" s="286" t="str">
        <f>FU78</f>
        <v/>
      </c>
      <c r="G250" s="306"/>
      <c r="H250" s="307"/>
      <c r="I250" s="308"/>
      <c r="J250" s="309"/>
      <c r="K250" s="309"/>
      <c r="L250" s="312" t="str">
        <f t="shared" ref="L250" si="314">IFERROR(IF(F250-F248&gt;0,F250-F248,0),"")</f>
        <v/>
      </c>
      <c r="M250" s="315" t="str">
        <f>IFERROR(IF(AND(H247&gt;0,H247*'SYNTHESE EVAL. EQ. FCT.'!$AC$140&lt;=L250),L250,0),"")</f>
        <v/>
      </c>
      <c r="N250" s="312" t="str">
        <f t="shared" ref="N250" si="315">IFERROR(IF(F250-F248&lt;0,F248-F250,0),"")</f>
        <v/>
      </c>
      <c r="O250" s="312" t="str">
        <f t="shared" si="50"/>
        <v/>
      </c>
      <c r="P250" s="307"/>
      <c r="Q250" s="312">
        <f t="shared" ref="Q250" si="316">IFERROR(IF(L250&gt;M250,L250,0),"")</f>
        <v>0</v>
      </c>
      <c r="R250" s="312" t="str">
        <f t="shared" ref="R250" si="317">IFERROR(IF(L250&gt;M250,0,M250),"")</f>
        <v/>
      </c>
      <c r="S250" s="315" t="str">
        <f t="shared" ref="S250" si="318">IFERROR(N250,"")</f>
        <v/>
      </c>
      <c r="T250" s="306"/>
      <c r="U250" s="328" t="str">
        <f t="shared" ref="U250" si="319">IF(L250="","",IFERROR(IF(L250&gt;0,CONCATENATE(" (",ROUND(L250/H247,1)," fois la perte)"),""),""))</f>
        <v/>
      </c>
      <c r="V250" s="313" t="str">
        <f t="shared" ref="V250" si="320">IF(M250="","",IFERROR(IF(M250&gt;0,"OUI",""),""))</f>
        <v/>
      </c>
      <c r="W250" s="313" t="str">
        <f t="shared" ref="W250" si="321">IF(N250="","",IFERROR(IF(N250&gt;0,"DECLIN FONCTIONNEL",""),""))</f>
        <v/>
      </c>
      <c r="X250" s="306"/>
      <c r="Y250" s="307"/>
      <c r="Z250" s="307"/>
      <c r="AA250" s="314">
        <f t="shared" ref="AA250" si="322">IF(AND(E250&lt;&gt;"",E248&lt;&gt;""),1,0)</f>
        <v>0</v>
      </c>
      <c r="AB250" s="306"/>
      <c r="AC250" s="314">
        <f t="shared" ref="AC250" si="323">IF(IFERROR(Y247+AA250,0)=0,0,IF(SUM(AA250,Y247)=2,1,0))</f>
        <v>0</v>
      </c>
      <c r="AD250" s="221"/>
      <c r="AE250" s="221"/>
      <c r="AF250" s="323"/>
      <c r="AG250" s="328">
        <f t="shared" ref="AG250" si="324">IF(U250&lt;&gt;"",1,IF(OR(AND(Q250&gt;0,Q250&lt;&gt;""),AND(R250&gt;0,R250&lt;&gt;"")),1,0))</f>
        <v>0</v>
      </c>
      <c r="AH250" s="221"/>
      <c r="AI250" s="316">
        <f t="shared" ref="AI250" si="325">IF(V250="OUI",1,0)</f>
        <v>0</v>
      </c>
    </row>
    <row r="251" spans="1:35" s="197" customFormat="1" ht="15.75" customHeight="1" x14ac:dyDescent="0.2">
      <c r="A251" s="293"/>
      <c r="B251" s="303" t="s">
        <v>145</v>
      </c>
      <c r="C251" s="284" t="s">
        <v>474</v>
      </c>
      <c r="D251" s="285" t="s">
        <v>470</v>
      </c>
      <c r="E251" s="286" t="str">
        <f>G70</f>
        <v/>
      </c>
      <c r="F251" s="286" t="str">
        <f>Q70</f>
        <v/>
      </c>
      <c r="G251" s="289"/>
      <c r="H251" s="289"/>
      <c r="I251" s="289"/>
      <c r="J251" s="289"/>
      <c r="K251" s="289"/>
      <c r="L251" s="289"/>
      <c r="M251" s="289"/>
      <c r="N251" s="291"/>
      <c r="O251" s="311" t="str">
        <f t="shared" si="30"/>
        <v/>
      </c>
      <c r="P251" s="289"/>
      <c r="Q251" s="289"/>
      <c r="R251" s="289"/>
      <c r="S251" s="289"/>
      <c r="T251" s="288"/>
      <c r="U251" s="221"/>
      <c r="V251" s="289"/>
      <c r="W251" s="291"/>
      <c r="X251" s="288"/>
      <c r="Y251" s="289"/>
      <c r="Z251" s="289"/>
      <c r="AA251" s="291"/>
      <c r="AB251" s="288"/>
      <c r="AC251" s="291"/>
      <c r="AD251" s="221"/>
      <c r="AE251" s="221"/>
      <c r="AF251" s="221"/>
      <c r="AG251" s="221"/>
      <c r="AH251" s="221"/>
      <c r="AI251" s="292"/>
    </row>
    <row r="252" spans="1:35" s="197" customFormat="1" ht="15" customHeight="1" x14ac:dyDescent="0.2">
      <c r="A252" s="293"/>
      <c r="B252" s="283"/>
      <c r="C252" s="294"/>
      <c r="D252" s="285" t="s">
        <v>562</v>
      </c>
      <c r="E252" s="286" t="str">
        <f>AM70</f>
        <v/>
      </c>
      <c r="F252" s="286" t="str">
        <f>AW70</f>
        <v/>
      </c>
      <c r="G252" s="312" t="str">
        <f t="shared" ref="G252" si="326">IFERROR(IF(F251-F252&gt;0,F251-F252,0),"")</f>
        <v/>
      </c>
      <c r="H252" s="221"/>
      <c r="I252" s="221"/>
      <c r="J252" s="221"/>
      <c r="K252" s="221"/>
      <c r="L252" s="221"/>
      <c r="M252" s="221"/>
      <c r="N252" s="297"/>
      <c r="O252" s="312" t="str">
        <f t="shared" ref="O252" si="327">IF(F252&gt;F251,F252,IFERROR(IF(O251-P252&gt;0,O251-P252,0),""))</f>
        <v/>
      </c>
      <c r="P252" s="313" t="str">
        <f t="shared" ref="P252" si="328">IFERROR(IF(F251-F252&gt;0,F251-F252,0),"")</f>
        <v/>
      </c>
      <c r="Q252" s="221"/>
      <c r="R252" s="221"/>
      <c r="S252" s="221"/>
      <c r="T252" s="313" t="str">
        <f t="shared" ref="T252" si="329">IF(G252="","",IFERROR(IF(G252&gt;0,"PERTE FONCTIONNELLE",""),""))</f>
        <v/>
      </c>
      <c r="U252" s="221"/>
      <c r="V252" s="221"/>
      <c r="W252" s="297"/>
      <c r="X252" s="314">
        <f t="shared" ref="X252" si="330">IF(AND(E252&lt;&gt;"",E251&lt;&gt;""),1,0)</f>
        <v>0</v>
      </c>
      <c r="Y252" s="221"/>
      <c r="Z252" s="221"/>
      <c r="AA252" s="297"/>
      <c r="AB252" s="298"/>
      <c r="AC252" s="297"/>
      <c r="AD252" s="314">
        <f>IF(T252="PERTE FONCTIONNELLE",1,0)</f>
        <v>0</v>
      </c>
      <c r="AE252" s="221"/>
      <c r="AF252" s="221"/>
      <c r="AG252" s="221"/>
      <c r="AH252" s="221"/>
      <c r="AI252" s="292"/>
    </row>
    <row r="253" spans="1:35" s="197" customFormat="1" ht="30" x14ac:dyDescent="0.2">
      <c r="A253" s="293"/>
      <c r="B253" s="283"/>
      <c r="C253" s="299"/>
      <c r="D253" s="285" t="s">
        <v>471</v>
      </c>
      <c r="E253" s="286" t="str">
        <f>BS70</f>
        <v/>
      </c>
      <c r="F253" s="286" t="str">
        <f>CC70</f>
        <v/>
      </c>
      <c r="G253" s="298"/>
      <c r="H253" s="313" t="str">
        <f t="shared" ref="H253" si="331">IFERROR(IF(F251-F253&gt;0,F251-F253,0),"")</f>
        <v/>
      </c>
      <c r="I253" s="221"/>
      <c r="J253" s="221"/>
      <c r="K253" s="221"/>
      <c r="L253" s="221"/>
      <c r="M253" s="221"/>
      <c r="N253" s="297"/>
      <c r="O253" s="311" t="str">
        <f t="shared" ref="O253" si="332">IF(F253&gt;F251,F253,IFERROR(IF(O251-P253&gt;0,O251-P253,0),""))</f>
        <v/>
      </c>
      <c r="P253" s="313" t="str">
        <f t="shared" ref="P253" si="333">IFERROR(IF(F251-F253&gt;0,F251-F253,0),"")</f>
        <v/>
      </c>
      <c r="Q253" s="221"/>
      <c r="R253" s="221"/>
      <c r="S253" s="221"/>
      <c r="T253" s="313" t="str">
        <f t="shared" ref="T253" si="334">IF(H253="","",IFERROR(IF(H253&gt;0,"PERTE FONCTIONNELLE",""),""))</f>
        <v/>
      </c>
      <c r="U253" s="221"/>
      <c r="V253" s="221"/>
      <c r="W253" s="297"/>
      <c r="X253" s="298"/>
      <c r="Y253" s="314">
        <f t="shared" ref="Y253" si="335">IF(AND(E253&lt;&gt;"",E251&lt;&gt;""),1,0)</f>
        <v>0</v>
      </c>
      <c r="Z253" s="221"/>
      <c r="AA253" s="297"/>
      <c r="AB253" s="298"/>
      <c r="AC253" s="297"/>
      <c r="AD253" s="221"/>
      <c r="AE253" s="314">
        <f>IF(T253="PERTE FONCTIONNELLE",1,0)</f>
        <v>0</v>
      </c>
      <c r="AF253" s="221"/>
      <c r="AG253" s="221"/>
      <c r="AH253" s="221"/>
      <c r="AI253" s="292"/>
    </row>
    <row r="254" spans="1:35" s="197" customFormat="1" ht="15" customHeight="1" x14ac:dyDescent="0.2">
      <c r="A254" s="293"/>
      <c r="B254" s="283"/>
      <c r="C254" s="284" t="s">
        <v>475</v>
      </c>
      <c r="D254" s="285" t="s">
        <v>476</v>
      </c>
      <c r="E254" s="286" t="str">
        <f>CY70</f>
        <v/>
      </c>
      <c r="F254" s="286" t="str">
        <f>DI70</f>
        <v/>
      </c>
      <c r="G254" s="298"/>
      <c r="H254" s="221"/>
      <c r="I254" s="221"/>
      <c r="J254" s="221"/>
      <c r="K254" s="221"/>
      <c r="L254" s="221"/>
      <c r="M254" s="221"/>
      <c r="N254" s="297"/>
      <c r="O254" s="311" t="str">
        <f t="shared" si="37"/>
        <v/>
      </c>
      <c r="P254" s="221"/>
      <c r="Q254" s="221"/>
      <c r="R254" s="221"/>
      <c r="S254" s="221"/>
      <c r="T254" s="298"/>
      <c r="U254" s="221"/>
      <c r="V254" s="221"/>
      <c r="W254" s="297"/>
      <c r="X254" s="298"/>
      <c r="Y254" s="221"/>
      <c r="Z254" s="221"/>
      <c r="AA254" s="297"/>
      <c r="AB254" s="298"/>
      <c r="AC254" s="297"/>
      <c r="AD254" s="221"/>
      <c r="AE254" s="221"/>
      <c r="AF254" s="221"/>
      <c r="AG254" s="221"/>
      <c r="AH254" s="221"/>
      <c r="AI254" s="292"/>
    </row>
    <row r="255" spans="1:35" s="197" customFormat="1" ht="15" customHeight="1" x14ac:dyDescent="0.2">
      <c r="A255" s="293"/>
      <c r="B255" s="283"/>
      <c r="C255" s="294"/>
      <c r="D255" s="285" t="s">
        <v>477</v>
      </c>
      <c r="E255" s="286" t="str">
        <f>EE70</f>
        <v/>
      </c>
      <c r="F255" s="286" t="str">
        <f>EO70</f>
        <v/>
      </c>
      <c r="G255" s="298"/>
      <c r="H255" s="221"/>
      <c r="I255" s="312" t="str">
        <f t="shared" ref="I255" si="336">IFERROR(IF(F255-F254&gt;0,F255-F254,0),"")</f>
        <v/>
      </c>
      <c r="J255" s="312" t="str">
        <f>IFERROR(IF(AND(G252&gt;0,G252*'SYNTHESE EVAL. EQ. FCT.'!$AC$140&lt;=I255),I255,0),"")</f>
        <v/>
      </c>
      <c r="K255" s="312" t="str">
        <f t="shared" ref="K255" si="337">IFERROR(IF(F255-F254&lt;0,F254-F255,0),"")</f>
        <v/>
      </c>
      <c r="L255" s="296"/>
      <c r="M255" s="296"/>
      <c r="N255" s="297"/>
      <c r="O255" s="312" t="str">
        <f t="shared" si="40"/>
        <v/>
      </c>
      <c r="P255" s="221"/>
      <c r="Q255" s="312">
        <f t="shared" ref="Q255" si="338">IFERROR(IF(AND(F255&gt;F254,I255&gt;J255),I255,0),"")</f>
        <v>0</v>
      </c>
      <c r="R255" s="312" t="str">
        <f t="shared" ref="R255" si="339">IFERROR(IF(AND(F255&gt;F254,I255&gt;J255),0,I255),"")</f>
        <v/>
      </c>
      <c r="S255" s="315" t="str">
        <f t="shared" ref="S255" si="340">IFERROR(K255,"")</f>
        <v/>
      </c>
      <c r="T255" s="298"/>
      <c r="U255" s="313" t="str">
        <f t="shared" ref="U255" si="341">IF(I255="","",IFERROR(IF(I255&gt;0,CONCATENATE(" (",ROUND(I255/G252,1)," fois la perte)"),""),""))</f>
        <v/>
      </c>
      <c r="V255" s="313" t="str">
        <f t="shared" ref="V255" si="342">IF(J255="","",IFERROR(IF(J255&gt;0,"OUI",""),""))</f>
        <v/>
      </c>
      <c r="W255" s="313" t="str">
        <f t="shared" ref="W255" si="343">IF(K255="","",IFERROR(IF(K255&gt;0,"DECLIN FONCTIONNEL",""),""))</f>
        <v/>
      </c>
      <c r="X255" s="298"/>
      <c r="Y255" s="221"/>
      <c r="Z255" s="314">
        <f t="shared" ref="Z255" si="344">IF(AND(E255&lt;&gt;"",E254&lt;&gt;""),1,0)</f>
        <v>0</v>
      </c>
      <c r="AA255" s="297"/>
      <c r="AB255" s="314">
        <f t="shared" ref="AB255" si="345">IF(IFERROR(X252+Z255,0)=0,0,IF(SUM(Z255,X252)=2,1,0))</f>
        <v>0</v>
      </c>
      <c r="AC255" s="297"/>
      <c r="AD255" s="221"/>
      <c r="AE255" s="221"/>
      <c r="AF255" s="313">
        <f t="shared" ref="AF255" si="346">IF(U255&lt;&gt;"",1,IF(OR(AND(Q255&gt;0,Q255&lt;&gt;""),AND(R255&gt;0,R255&lt;&gt;"")),1,0))</f>
        <v>0</v>
      </c>
      <c r="AG255" s="221"/>
      <c r="AH255" s="314">
        <f t="shared" ref="AH255" si="347">IF(V255="OUI",1,0)</f>
        <v>0</v>
      </c>
      <c r="AI255" s="292"/>
    </row>
    <row r="256" spans="1:35" s="197" customFormat="1" ht="45.75" thickBot="1" x14ac:dyDescent="0.25">
      <c r="A256" s="293"/>
      <c r="B256" s="301"/>
      <c r="C256" s="299"/>
      <c r="D256" s="285" t="s">
        <v>478</v>
      </c>
      <c r="E256" s="286" t="str">
        <f>FK70</f>
        <v/>
      </c>
      <c r="F256" s="286" t="str">
        <f>FU70</f>
        <v/>
      </c>
      <c r="G256" s="306"/>
      <c r="H256" s="307"/>
      <c r="I256" s="308"/>
      <c r="J256" s="309"/>
      <c r="K256" s="309"/>
      <c r="L256" s="312" t="str">
        <f t="shared" ref="L256" si="348">IFERROR(IF(F256-F254&gt;0,F256-F254,0),"")</f>
        <v/>
      </c>
      <c r="M256" s="315" t="str">
        <f>IFERROR(IF(AND(H253&gt;0,H253*'SYNTHESE EVAL. EQ. FCT.'!$AC$140&lt;=L256),L256,0),"")</f>
        <v/>
      </c>
      <c r="N256" s="312" t="str">
        <f t="shared" ref="N256" si="349">IFERROR(IF(F256-F254&lt;0,F254-F256,0),"")</f>
        <v/>
      </c>
      <c r="O256" s="312" t="str">
        <f t="shared" si="50"/>
        <v/>
      </c>
      <c r="P256" s="307"/>
      <c r="Q256" s="312">
        <f t="shared" ref="Q256" si="350">IFERROR(IF(L256&gt;M256,L256,0),"")</f>
        <v>0</v>
      </c>
      <c r="R256" s="312" t="str">
        <f t="shared" ref="R256" si="351">IFERROR(IF(L256&gt;M256,0,M256),"")</f>
        <v/>
      </c>
      <c r="S256" s="315" t="str">
        <f t="shared" ref="S256" si="352">IFERROR(N256,"")</f>
        <v/>
      </c>
      <c r="T256" s="306"/>
      <c r="U256" s="328" t="str">
        <f t="shared" ref="U256" si="353">IF(L256="","",IFERROR(IF(L256&gt;0,CONCATENATE(" (",ROUND(L256/H253,1)," fois la perte)"),""),""))</f>
        <v/>
      </c>
      <c r="V256" s="313" t="str">
        <f t="shared" ref="V256" si="354">IF(M256="","",IFERROR(IF(M256&gt;0,"OUI",""),""))</f>
        <v/>
      </c>
      <c r="W256" s="313" t="str">
        <f t="shared" ref="W256" si="355">IF(N256="","",IFERROR(IF(N256&gt;0,"DECLIN FONCTIONNEL",""),""))</f>
        <v/>
      </c>
      <c r="X256" s="306"/>
      <c r="Y256" s="307"/>
      <c r="Z256" s="307"/>
      <c r="AA256" s="314">
        <f t="shared" ref="AA256" si="356">IF(AND(E256&lt;&gt;"",E254&lt;&gt;""),1,0)</f>
        <v>0</v>
      </c>
      <c r="AB256" s="306"/>
      <c r="AC256" s="314">
        <f t="shared" ref="AC256" si="357">IF(IFERROR(Y253+AA256,0)=0,0,IF(SUM(AA256,Y253)=2,1,0))</f>
        <v>0</v>
      </c>
      <c r="AD256" s="221"/>
      <c r="AE256" s="221"/>
      <c r="AF256" s="323"/>
      <c r="AG256" s="328">
        <f t="shared" ref="AG256" si="358">IF(U256&lt;&gt;"",1,IF(OR(AND(Q256&gt;0,Q256&lt;&gt;""),AND(R256&gt;0,R256&lt;&gt;"")),1,0))</f>
        <v>0</v>
      </c>
      <c r="AH256" s="221"/>
      <c r="AI256" s="316">
        <f t="shared" ref="AI256" si="359">IF(V256="OUI",1,0)</f>
        <v>0</v>
      </c>
    </row>
    <row r="257" spans="1:35" s="197" customFormat="1" ht="15" customHeight="1" x14ac:dyDescent="0.2">
      <c r="A257" s="293"/>
      <c r="B257" s="266" t="s">
        <v>144</v>
      </c>
      <c r="C257" s="284" t="s">
        <v>474</v>
      </c>
      <c r="D257" s="285" t="s">
        <v>470</v>
      </c>
      <c r="E257" s="286" t="str">
        <f>F69</f>
        <v/>
      </c>
      <c r="F257" s="286" t="str">
        <f>P69</f>
        <v/>
      </c>
      <c r="G257" s="289"/>
      <c r="H257" s="289"/>
      <c r="I257" s="289"/>
      <c r="J257" s="289"/>
      <c r="K257" s="289"/>
      <c r="L257" s="289"/>
      <c r="M257" s="289"/>
      <c r="N257" s="291"/>
      <c r="O257" s="311" t="str">
        <f t="shared" si="30"/>
        <v/>
      </c>
      <c r="P257" s="289"/>
      <c r="Q257" s="289"/>
      <c r="R257" s="289"/>
      <c r="S257" s="289"/>
      <c r="T257" s="288"/>
      <c r="U257" s="221"/>
      <c r="V257" s="289"/>
      <c r="W257" s="291"/>
      <c r="X257" s="288"/>
      <c r="Y257" s="289"/>
      <c r="Z257" s="289"/>
      <c r="AA257" s="291"/>
      <c r="AB257" s="288"/>
      <c r="AC257" s="291"/>
      <c r="AD257" s="221"/>
      <c r="AE257" s="221"/>
      <c r="AF257" s="221"/>
      <c r="AG257" s="221"/>
      <c r="AH257" s="221"/>
      <c r="AI257" s="292"/>
    </row>
    <row r="258" spans="1:35" s="197" customFormat="1" ht="60" x14ac:dyDescent="0.2">
      <c r="A258" s="293"/>
      <c r="B258" s="266"/>
      <c r="C258" s="294"/>
      <c r="D258" s="285" t="s">
        <v>562</v>
      </c>
      <c r="E258" s="286" t="str">
        <f>AL69</f>
        <v/>
      </c>
      <c r="F258" s="286" t="str">
        <f>AV69</f>
        <v/>
      </c>
      <c r="G258" s="312" t="str">
        <f t="shared" ref="G258" si="360">IFERROR(IF(F257-F258&gt;0,F257-F258,0),"")</f>
        <v/>
      </c>
      <c r="H258" s="221"/>
      <c r="I258" s="221"/>
      <c r="J258" s="221"/>
      <c r="K258" s="221"/>
      <c r="L258" s="221"/>
      <c r="M258" s="221"/>
      <c r="N258" s="297"/>
      <c r="O258" s="312" t="str">
        <f t="shared" ref="O258" si="361">IF(F258&gt;F257,F258,IFERROR(IF(O257-P258&gt;0,O257-P258,0),""))</f>
        <v/>
      </c>
      <c r="P258" s="313" t="str">
        <f t="shared" ref="P258" si="362">IFERROR(IF(F257-F258&gt;0,F257-F258,0),"")</f>
        <v/>
      </c>
      <c r="Q258" s="221"/>
      <c r="R258" s="221"/>
      <c r="S258" s="221"/>
      <c r="T258" s="313" t="str">
        <f t="shared" ref="T258" si="363">IF(G258="","",IFERROR(IF(G258&gt;0,"PERTE FONCTIONNELLE",""),""))</f>
        <v/>
      </c>
      <c r="U258" s="221"/>
      <c r="V258" s="221"/>
      <c r="W258" s="297"/>
      <c r="X258" s="314">
        <f t="shared" ref="X258" si="364">IF(AND(E258&lt;&gt;"",E257&lt;&gt;""),1,0)</f>
        <v>0</v>
      </c>
      <c r="Y258" s="221"/>
      <c r="Z258" s="221"/>
      <c r="AA258" s="297"/>
      <c r="AB258" s="298"/>
      <c r="AC258" s="297"/>
      <c r="AD258" s="314">
        <f>IF(T258="PERTE FONCTIONNELLE",1,0)</f>
        <v>0</v>
      </c>
      <c r="AE258" s="221"/>
      <c r="AF258" s="221"/>
      <c r="AG258" s="221"/>
      <c r="AH258" s="221"/>
      <c r="AI258" s="292"/>
    </row>
    <row r="259" spans="1:35" s="197" customFormat="1" ht="15" customHeight="1" x14ac:dyDescent="0.2">
      <c r="A259" s="293"/>
      <c r="B259" s="266"/>
      <c r="C259" s="299"/>
      <c r="D259" s="285" t="s">
        <v>471</v>
      </c>
      <c r="E259" s="286" t="str">
        <f>BR69</f>
        <v/>
      </c>
      <c r="F259" s="286" t="str">
        <f>CB69</f>
        <v/>
      </c>
      <c r="G259" s="298"/>
      <c r="H259" s="313" t="str">
        <f t="shared" ref="H259" si="365">IFERROR(IF(F257-F259&gt;0,F257-F259,0),"")</f>
        <v/>
      </c>
      <c r="I259" s="221"/>
      <c r="J259" s="221"/>
      <c r="K259" s="221"/>
      <c r="L259" s="221"/>
      <c r="M259" s="221"/>
      <c r="N259" s="297"/>
      <c r="O259" s="311" t="str">
        <f t="shared" ref="O259" si="366">IF(F259&gt;F257,F259,IFERROR(IF(O257-P259&gt;0,O257-P259,0),""))</f>
        <v/>
      </c>
      <c r="P259" s="313" t="str">
        <f t="shared" ref="P259" si="367">IFERROR(IF(F257-F259&gt;0,F257-F259,0),"")</f>
        <v/>
      </c>
      <c r="Q259" s="221"/>
      <c r="R259" s="221"/>
      <c r="S259" s="221"/>
      <c r="T259" s="313" t="str">
        <f t="shared" ref="T259" si="368">IF(H259="","",IFERROR(IF(H259&gt;0,"PERTE FONCTIONNELLE",""),""))</f>
        <v/>
      </c>
      <c r="U259" s="221"/>
      <c r="V259" s="221"/>
      <c r="W259" s="297"/>
      <c r="X259" s="298"/>
      <c r="Y259" s="314">
        <f t="shared" ref="Y259" si="369">IF(AND(E259&lt;&gt;"",E257&lt;&gt;""),1,0)</f>
        <v>0</v>
      </c>
      <c r="Z259" s="221"/>
      <c r="AA259" s="297"/>
      <c r="AB259" s="298"/>
      <c r="AC259" s="297"/>
      <c r="AD259" s="221"/>
      <c r="AE259" s="314">
        <f>IF(T259="PERTE FONCTIONNELLE",1,0)</f>
        <v>0</v>
      </c>
      <c r="AF259" s="221"/>
      <c r="AG259" s="221"/>
      <c r="AH259" s="221"/>
      <c r="AI259" s="292"/>
    </row>
    <row r="260" spans="1:35" s="197" customFormat="1" ht="15" customHeight="1" x14ac:dyDescent="0.2">
      <c r="A260" s="293"/>
      <c r="B260" s="266"/>
      <c r="C260" s="284" t="s">
        <v>475</v>
      </c>
      <c r="D260" s="285" t="s">
        <v>476</v>
      </c>
      <c r="E260" s="286" t="str">
        <f>CX69</f>
        <v/>
      </c>
      <c r="F260" s="286" t="str">
        <f>DH69</f>
        <v/>
      </c>
      <c r="G260" s="298"/>
      <c r="H260" s="221"/>
      <c r="I260" s="221"/>
      <c r="J260" s="221"/>
      <c r="K260" s="221"/>
      <c r="L260" s="221"/>
      <c r="M260" s="221"/>
      <c r="N260" s="297"/>
      <c r="O260" s="311" t="str">
        <f t="shared" si="37"/>
        <v/>
      </c>
      <c r="P260" s="221"/>
      <c r="Q260" s="221"/>
      <c r="R260" s="221"/>
      <c r="S260" s="221"/>
      <c r="T260" s="298"/>
      <c r="U260" s="221"/>
      <c r="V260" s="221"/>
      <c r="W260" s="297"/>
      <c r="X260" s="298"/>
      <c r="Y260" s="221"/>
      <c r="Z260" s="221"/>
      <c r="AA260" s="297"/>
      <c r="AB260" s="298"/>
      <c r="AC260" s="297"/>
      <c r="AD260" s="221"/>
      <c r="AE260" s="221"/>
      <c r="AF260" s="221"/>
      <c r="AG260" s="221"/>
      <c r="AH260" s="221"/>
      <c r="AI260" s="292"/>
    </row>
    <row r="261" spans="1:35" s="197" customFormat="1" ht="60" x14ac:dyDescent="0.2">
      <c r="A261" s="293"/>
      <c r="B261" s="266"/>
      <c r="C261" s="294"/>
      <c r="D261" s="285" t="s">
        <v>477</v>
      </c>
      <c r="E261" s="286" t="str">
        <f>ED69</f>
        <v/>
      </c>
      <c r="F261" s="286" t="str">
        <f>EN69</f>
        <v/>
      </c>
      <c r="G261" s="298"/>
      <c r="H261" s="221"/>
      <c r="I261" s="312" t="str">
        <f t="shared" ref="I261" si="370">IFERROR(IF(F261-F260&gt;0,F261-F260,0),"")</f>
        <v/>
      </c>
      <c r="J261" s="312" t="str">
        <f>IFERROR(IF(AND(G258&gt;0,G258*'SYNTHESE EVAL. EQ. FCT.'!$AC$140&lt;=I261),I261,0),"")</f>
        <v/>
      </c>
      <c r="K261" s="312" t="str">
        <f t="shared" ref="K261" si="371">IFERROR(IF(F261-F260&lt;0,F260-F261,0),"")</f>
        <v/>
      </c>
      <c r="L261" s="296"/>
      <c r="M261" s="296"/>
      <c r="N261" s="297"/>
      <c r="O261" s="312" t="str">
        <f t="shared" si="40"/>
        <v/>
      </c>
      <c r="P261" s="221"/>
      <c r="Q261" s="312">
        <f t="shared" ref="Q261" si="372">IFERROR(IF(AND(F261&gt;F260,I261&gt;J261),I261,0),"")</f>
        <v>0</v>
      </c>
      <c r="R261" s="312" t="str">
        <f t="shared" ref="R261" si="373">IFERROR(IF(AND(F261&gt;F260,I261&gt;J261),0,I261),"")</f>
        <v/>
      </c>
      <c r="S261" s="315" t="str">
        <f t="shared" ref="S261" si="374">IFERROR(K261,"")</f>
        <v/>
      </c>
      <c r="T261" s="298"/>
      <c r="U261" s="313" t="str">
        <f t="shared" ref="U261" si="375">IF(I261="","",IFERROR(IF(I261&gt;0,CONCATENATE(" (",ROUND(I261/G258,1)," fois la perte)"),""),""))</f>
        <v/>
      </c>
      <c r="V261" s="313" t="str">
        <f t="shared" ref="V261" si="376">IF(J261="","",IFERROR(IF(J261&gt;0,"OUI",""),""))</f>
        <v/>
      </c>
      <c r="W261" s="313" t="str">
        <f t="shared" ref="W261" si="377">IF(K261="","",IFERROR(IF(K261&gt;0,"DECLIN FONCTIONNEL",""),""))</f>
        <v/>
      </c>
      <c r="X261" s="298"/>
      <c r="Y261" s="221"/>
      <c r="Z261" s="314">
        <f t="shared" ref="Z261" si="378">IF(AND(E261&lt;&gt;"",E260&lt;&gt;""),1,0)</f>
        <v>0</v>
      </c>
      <c r="AA261" s="297"/>
      <c r="AB261" s="314">
        <f t="shared" ref="AB261" si="379">IF(IFERROR(X258+Z261,0)=0,0,IF(SUM(Z261,X258)=2,1,0))</f>
        <v>0</v>
      </c>
      <c r="AC261" s="297"/>
      <c r="AD261" s="221"/>
      <c r="AE261" s="221"/>
      <c r="AF261" s="313">
        <f t="shared" ref="AF261" si="380">IF(U261&lt;&gt;"",1,IF(OR(AND(Q261&gt;0,Q261&lt;&gt;""),AND(R261&gt;0,R261&lt;&gt;"")),1,0))</f>
        <v>0</v>
      </c>
      <c r="AG261" s="221"/>
      <c r="AH261" s="314">
        <f t="shared" ref="AH261" si="381">IF(V261="OUI",1,0)</f>
        <v>0</v>
      </c>
      <c r="AI261" s="292"/>
    </row>
    <row r="262" spans="1:35" s="197" customFormat="1" ht="15" customHeight="1" thickBot="1" x14ac:dyDescent="0.25">
      <c r="A262" s="293"/>
      <c r="B262" s="266"/>
      <c r="C262" s="299"/>
      <c r="D262" s="285" t="s">
        <v>478</v>
      </c>
      <c r="E262" s="286" t="str">
        <f>FJ69</f>
        <v/>
      </c>
      <c r="F262" s="286" t="str">
        <f>FT69</f>
        <v/>
      </c>
      <c r="G262" s="306"/>
      <c r="H262" s="307"/>
      <c r="I262" s="308"/>
      <c r="J262" s="309"/>
      <c r="K262" s="309"/>
      <c r="L262" s="312" t="str">
        <f t="shared" ref="L262" si="382">IFERROR(IF(F262-F260&gt;0,F262-F260,0),"")</f>
        <v/>
      </c>
      <c r="M262" s="315" t="str">
        <f>IFERROR(IF(AND(H259&gt;0,H259*'SYNTHESE EVAL. EQ. FCT.'!$AC$140&lt;=L262),L262,0),"")</f>
        <v/>
      </c>
      <c r="N262" s="312" t="str">
        <f t="shared" ref="N262" si="383">IFERROR(IF(F262-F260&lt;0,F260-F262,0),"")</f>
        <v/>
      </c>
      <c r="O262" s="312" t="str">
        <f t="shared" si="50"/>
        <v/>
      </c>
      <c r="P262" s="307"/>
      <c r="Q262" s="312">
        <f t="shared" ref="Q262" si="384">IFERROR(IF(L262&gt;M262,L262,0),"")</f>
        <v>0</v>
      </c>
      <c r="R262" s="312" t="str">
        <f t="shared" ref="R262" si="385">IFERROR(IF(L262&gt;M262,0,M262),"")</f>
        <v/>
      </c>
      <c r="S262" s="315" t="str">
        <f t="shared" ref="S262" si="386">IFERROR(N262,"")</f>
        <v/>
      </c>
      <c r="T262" s="306"/>
      <c r="U262" s="328" t="str">
        <f t="shared" ref="U262" si="387">IF(L262="","",IFERROR(IF(L262&gt;0,CONCATENATE(" (",ROUND(L262/H259,1)," fois la perte)"),""),""))</f>
        <v/>
      </c>
      <c r="V262" s="313" t="str">
        <f t="shared" ref="V262" si="388">IF(M262="","",IFERROR(IF(M262&gt;0,"OUI",""),""))</f>
        <v/>
      </c>
      <c r="W262" s="313" t="str">
        <f t="shared" ref="W262" si="389">IF(N262="","",IFERROR(IF(N262&gt;0,"DECLIN FONCTIONNEL",""),""))</f>
        <v/>
      </c>
      <c r="X262" s="306"/>
      <c r="Y262" s="307"/>
      <c r="Z262" s="307"/>
      <c r="AA262" s="314">
        <f t="shared" ref="AA262" si="390">IF(AND(E262&lt;&gt;"",E260&lt;&gt;""),1,0)</f>
        <v>0</v>
      </c>
      <c r="AB262" s="306"/>
      <c r="AC262" s="314">
        <f t="shared" ref="AC262" si="391">IF(IFERROR(Y259+AA262,0)=0,0,IF(SUM(AA262,Y259)=2,1,0))</f>
        <v>0</v>
      </c>
      <c r="AD262" s="221"/>
      <c r="AE262" s="221"/>
      <c r="AF262" s="323"/>
      <c r="AG262" s="328">
        <f t="shared" ref="AG262" si="392">IF(U262&lt;&gt;"",1,IF(OR(AND(Q262&gt;0,Q262&lt;&gt;""),AND(R262&gt;0,R262&lt;&gt;"")),1,0))</f>
        <v>0</v>
      </c>
      <c r="AH262" s="221"/>
      <c r="AI262" s="316">
        <f t="shared" ref="AI262" si="393">IF(V262="OUI",1,0)</f>
        <v>0</v>
      </c>
    </row>
    <row r="263" spans="1:35" s="197" customFormat="1" ht="15" customHeight="1" x14ac:dyDescent="0.2">
      <c r="A263" s="293"/>
      <c r="B263" s="303" t="s">
        <v>152</v>
      </c>
      <c r="C263" s="284" t="s">
        <v>474</v>
      </c>
      <c r="D263" s="285" t="s">
        <v>470</v>
      </c>
      <c r="E263" s="286" t="str">
        <f>M81</f>
        <v/>
      </c>
      <c r="F263" s="286" t="str">
        <f>W81</f>
        <v/>
      </c>
      <c r="G263" s="289"/>
      <c r="H263" s="289"/>
      <c r="I263" s="289"/>
      <c r="J263" s="289"/>
      <c r="K263" s="289"/>
      <c r="L263" s="289"/>
      <c r="M263" s="289"/>
      <c r="N263" s="291"/>
      <c r="O263" s="311" t="str">
        <f t="shared" ref="O263:O323" si="394">F263</f>
        <v/>
      </c>
      <c r="P263" s="289"/>
      <c r="Q263" s="289"/>
      <c r="R263" s="289"/>
      <c r="S263" s="289"/>
      <c r="T263" s="288"/>
      <c r="U263" s="221"/>
      <c r="V263" s="289"/>
      <c r="W263" s="291"/>
      <c r="X263" s="288"/>
      <c r="Y263" s="289"/>
      <c r="Z263" s="289"/>
      <c r="AA263" s="291"/>
      <c r="AB263" s="288"/>
      <c r="AC263" s="291"/>
      <c r="AD263" s="221"/>
      <c r="AE263" s="221"/>
      <c r="AF263" s="221"/>
      <c r="AG263" s="221"/>
      <c r="AH263" s="221"/>
      <c r="AI263" s="292"/>
    </row>
    <row r="264" spans="1:35" s="197" customFormat="1" ht="15" customHeight="1" x14ac:dyDescent="0.2">
      <c r="A264" s="293"/>
      <c r="B264" s="283"/>
      <c r="C264" s="294"/>
      <c r="D264" s="285" t="s">
        <v>562</v>
      </c>
      <c r="E264" s="286" t="str">
        <f>AS81</f>
        <v/>
      </c>
      <c r="F264" s="286" t="str">
        <f>BC81</f>
        <v/>
      </c>
      <c r="G264" s="312" t="str">
        <f t="shared" ref="G264" si="395">IFERROR(IF(F263-F264&gt;0,F263-F264,0),"")</f>
        <v/>
      </c>
      <c r="H264" s="221"/>
      <c r="I264" s="221"/>
      <c r="J264" s="221"/>
      <c r="K264" s="221"/>
      <c r="L264" s="221"/>
      <c r="M264" s="221"/>
      <c r="N264" s="297"/>
      <c r="O264" s="312" t="str">
        <f t="shared" ref="O264" si="396">IF(F264&gt;F263,F264,IFERROR(IF(O263-P264&gt;0,O263-P264,0),""))</f>
        <v/>
      </c>
      <c r="P264" s="313" t="str">
        <f t="shared" ref="P264" si="397">IFERROR(IF(F263-F264&gt;0,F263-F264,0),"")</f>
        <v/>
      </c>
      <c r="Q264" s="221"/>
      <c r="R264" s="221"/>
      <c r="S264" s="221"/>
      <c r="T264" s="313" t="str">
        <f t="shared" ref="T264" si="398">IF(G264="","",IFERROR(IF(G264&gt;0,"PERTE FONCTIONNELLE",""),""))</f>
        <v/>
      </c>
      <c r="U264" s="221"/>
      <c r="V264" s="221"/>
      <c r="W264" s="297"/>
      <c r="X264" s="314">
        <f t="shared" ref="X264" si="399">IF(AND(E264&lt;&gt;"",E263&lt;&gt;""),1,0)</f>
        <v>0</v>
      </c>
      <c r="Y264" s="221"/>
      <c r="Z264" s="221"/>
      <c r="AA264" s="297"/>
      <c r="AB264" s="298"/>
      <c r="AC264" s="297"/>
      <c r="AD264" s="314">
        <f>IF(T264="PERTE FONCTIONNELLE",1,0)</f>
        <v>0</v>
      </c>
      <c r="AE264" s="221"/>
      <c r="AF264" s="221"/>
      <c r="AG264" s="221"/>
      <c r="AH264" s="221"/>
      <c r="AI264" s="292"/>
    </row>
    <row r="265" spans="1:35" s="197" customFormat="1" ht="15" customHeight="1" x14ac:dyDescent="0.2">
      <c r="A265" s="293"/>
      <c r="B265" s="283"/>
      <c r="C265" s="299"/>
      <c r="D265" s="285" t="s">
        <v>471</v>
      </c>
      <c r="E265" s="286" t="str">
        <f>BY81</f>
        <v/>
      </c>
      <c r="F265" s="286" t="str">
        <f>CI81</f>
        <v/>
      </c>
      <c r="G265" s="298"/>
      <c r="H265" s="313" t="str">
        <f t="shared" ref="H265" si="400">IFERROR(IF(F263-F265&gt;0,F263-F265,0),"")</f>
        <v/>
      </c>
      <c r="I265" s="221"/>
      <c r="J265" s="221"/>
      <c r="K265" s="221"/>
      <c r="L265" s="221"/>
      <c r="M265" s="221"/>
      <c r="N265" s="297"/>
      <c r="O265" s="311" t="str">
        <f t="shared" ref="O265" si="401">IF(F265&gt;F263,F265,IFERROR(IF(O263-P265&gt;0,O263-P265,0),""))</f>
        <v/>
      </c>
      <c r="P265" s="313" t="str">
        <f t="shared" ref="P265" si="402">IFERROR(IF(F263-F265&gt;0,F263-F265,0),"")</f>
        <v/>
      </c>
      <c r="Q265" s="221"/>
      <c r="R265" s="221"/>
      <c r="S265" s="221"/>
      <c r="T265" s="313" t="str">
        <f t="shared" ref="T265" si="403">IF(H265="","",IFERROR(IF(H265&gt;0,"PERTE FONCTIONNELLE",""),""))</f>
        <v/>
      </c>
      <c r="U265" s="221"/>
      <c r="V265" s="221"/>
      <c r="W265" s="297"/>
      <c r="X265" s="298"/>
      <c r="Y265" s="314">
        <f t="shared" ref="Y265" si="404">IF(AND(E265&lt;&gt;"",E263&lt;&gt;""),1,0)</f>
        <v>0</v>
      </c>
      <c r="Z265" s="221"/>
      <c r="AA265" s="297"/>
      <c r="AB265" s="298"/>
      <c r="AC265" s="297"/>
      <c r="AD265" s="221"/>
      <c r="AE265" s="314">
        <f>IF(T265="PERTE FONCTIONNELLE",1,0)</f>
        <v>0</v>
      </c>
      <c r="AF265" s="221"/>
      <c r="AG265" s="221"/>
      <c r="AH265" s="221"/>
      <c r="AI265" s="292"/>
    </row>
    <row r="266" spans="1:35" s="197" customFormat="1" ht="45" x14ac:dyDescent="0.2">
      <c r="A266" s="293"/>
      <c r="B266" s="283"/>
      <c r="C266" s="284" t="s">
        <v>475</v>
      </c>
      <c r="D266" s="285" t="s">
        <v>476</v>
      </c>
      <c r="E266" s="286" t="str">
        <f>DE81</f>
        <v/>
      </c>
      <c r="F266" s="286" t="str">
        <f>DO81</f>
        <v/>
      </c>
      <c r="G266" s="298"/>
      <c r="H266" s="221"/>
      <c r="I266" s="221"/>
      <c r="J266" s="221"/>
      <c r="K266" s="221"/>
      <c r="L266" s="221"/>
      <c r="M266" s="221"/>
      <c r="N266" s="297"/>
      <c r="O266" s="311" t="str">
        <f t="shared" ref="O266:O326" si="405">F266</f>
        <v/>
      </c>
      <c r="P266" s="221"/>
      <c r="Q266" s="221"/>
      <c r="R266" s="221"/>
      <c r="S266" s="221"/>
      <c r="T266" s="298"/>
      <c r="U266" s="221"/>
      <c r="V266" s="221"/>
      <c r="W266" s="297"/>
      <c r="X266" s="298"/>
      <c r="Y266" s="221"/>
      <c r="Z266" s="221"/>
      <c r="AA266" s="297"/>
      <c r="AB266" s="298"/>
      <c r="AC266" s="297"/>
      <c r="AD266" s="221"/>
      <c r="AE266" s="221"/>
      <c r="AF266" s="221"/>
      <c r="AG266" s="221"/>
      <c r="AH266" s="221"/>
      <c r="AI266" s="292"/>
    </row>
    <row r="267" spans="1:35" s="197" customFormat="1" ht="60" x14ac:dyDescent="0.2">
      <c r="A267" s="293"/>
      <c r="B267" s="283"/>
      <c r="C267" s="294"/>
      <c r="D267" s="285" t="s">
        <v>477</v>
      </c>
      <c r="E267" s="286" t="str">
        <f>EK81</f>
        <v/>
      </c>
      <c r="F267" s="286" t="str">
        <f>EU81</f>
        <v/>
      </c>
      <c r="G267" s="298"/>
      <c r="H267" s="221"/>
      <c r="I267" s="312" t="str">
        <f t="shared" ref="I267" si="406">IFERROR(IF(F267-F266&gt;0,F267-F266,0),"")</f>
        <v/>
      </c>
      <c r="J267" s="312" t="str">
        <f>IFERROR(IF(AND(G264&gt;0,G264*'SYNTHESE EVAL. EQ. FCT.'!$AC$140&lt;=I267),I267,0),"")</f>
        <v/>
      </c>
      <c r="K267" s="312" t="str">
        <f t="shared" ref="K267" si="407">IFERROR(IF(F267-F266&lt;0,F266-F267,0),"")</f>
        <v/>
      </c>
      <c r="L267" s="296"/>
      <c r="M267" s="296"/>
      <c r="N267" s="297"/>
      <c r="O267" s="312" t="str">
        <f t="shared" ref="O267:O327" si="408">IF(F267="","",IFERROR(IF(F267&gt;F266,F266,F267),""))</f>
        <v/>
      </c>
      <c r="P267" s="221"/>
      <c r="Q267" s="312">
        <f t="shared" ref="Q267" si="409">IFERROR(IF(AND(F267&gt;F266,I267&gt;J267),I267,0),"")</f>
        <v>0</v>
      </c>
      <c r="R267" s="312" t="str">
        <f t="shared" ref="R267" si="410">IFERROR(IF(AND(F267&gt;F266,I267&gt;J267),0,I267),"")</f>
        <v/>
      </c>
      <c r="S267" s="315" t="str">
        <f t="shared" ref="S267" si="411">IFERROR(K267,"")</f>
        <v/>
      </c>
      <c r="T267" s="298"/>
      <c r="U267" s="313" t="str">
        <f t="shared" ref="U267" si="412">IF(I267="","",IFERROR(IF(I267&gt;0,CONCATENATE(" (",ROUND(I267/G264,1)," fois la perte)"),""),""))</f>
        <v/>
      </c>
      <c r="V267" s="313" t="str">
        <f t="shared" ref="V267" si="413">IF(J267="","",IFERROR(IF(J267&gt;0,"OUI",""),""))</f>
        <v/>
      </c>
      <c r="W267" s="313" t="str">
        <f t="shared" ref="W267" si="414">IF(K267="","",IFERROR(IF(K267&gt;0,"DECLIN FONCTIONNEL",""),""))</f>
        <v/>
      </c>
      <c r="X267" s="298"/>
      <c r="Y267" s="221"/>
      <c r="Z267" s="314">
        <f t="shared" ref="Z267" si="415">IF(AND(E267&lt;&gt;"",E266&lt;&gt;""),1,0)</f>
        <v>0</v>
      </c>
      <c r="AA267" s="297"/>
      <c r="AB267" s="314">
        <f t="shared" ref="AB267" si="416">IF(IFERROR(X264+Z267,0)=0,0,IF(SUM(Z267,X264)=2,1,0))</f>
        <v>0</v>
      </c>
      <c r="AC267" s="297"/>
      <c r="AD267" s="221"/>
      <c r="AE267" s="221"/>
      <c r="AF267" s="313">
        <f t="shared" ref="AF267" si="417">IF(U267&lt;&gt;"",1,IF(OR(AND(Q267&gt;0,Q267&lt;&gt;""),AND(R267&gt;0,R267&lt;&gt;"")),1,0))</f>
        <v>0</v>
      </c>
      <c r="AG267" s="221"/>
      <c r="AH267" s="314">
        <f t="shared" ref="AH267" si="418">IF(V267="OUI",1,0)</f>
        <v>0</v>
      </c>
      <c r="AI267" s="292"/>
    </row>
    <row r="268" spans="1:35" s="197" customFormat="1" ht="45.75" thickBot="1" x14ac:dyDescent="0.25">
      <c r="A268" s="293"/>
      <c r="B268" s="301"/>
      <c r="C268" s="299"/>
      <c r="D268" s="285" t="s">
        <v>478</v>
      </c>
      <c r="E268" s="286" t="str">
        <f>FQ81</f>
        <v/>
      </c>
      <c r="F268" s="286" t="str">
        <f>GA81</f>
        <v/>
      </c>
      <c r="G268" s="306"/>
      <c r="H268" s="307"/>
      <c r="I268" s="308"/>
      <c r="J268" s="309"/>
      <c r="K268" s="309"/>
      <c r="L268" s="312" t="str">
        <f t="shared" ref="L268" si="419">IFERROR(IF(F268-F266&gt;0,F268-F266,0),"")</f>
        <v/>
      </c>
      <c r="M268" s="315" t="str">
        <f>IFERROR(IF(AND(H265&gt;0,H265*'SYNTHESE EVAL. EQ. FCT.'!$AC$140&lt;=L268),L268,0),"")</f>
        <v/>
      </c>
      <c r="N268" s="312" t="str">
        <f t="shared" ref="N268" si="420">IFERROR(IF(F268-F266&lt;0,F266-F268,0),"")</f>
        <v/>
      </c>
      <c r="O268" s="312" t="str">
        <f t="shared" ref="O268:O328" si="421">IF(F268="","",IFERROR(IF(N268&gt;0,F266-N268,0)+IF(AND(L268=0,N268=0),F266,0)+IF(L268&gt;0,F266,0),""))</f>
        <v/>
      </c>
      <c r="P268" s="307"/>
      <c r="Q268" s="312">
        <f t="shared" ref="Q268" si="422">IFERROR(IF(L268&gt;M268,L268,0),"")</f>
        <v>0</v>
      </c>
      <c r="R268" s="312" t="str">
        <f t="shared" ref="R268" si="423">IFERROR(IF(L268&gt;M268,0,M268),"")</f>
        <v/>
      </c>
      <c r="S268" s="315" t="str">
        <f t="shared" ref="S268" si="424">IFERROR(N268,"")</f>
        <v/>
      </c>
      <c r="T268" s="306"/>
      <c r="U268" s="328" t="str">
        <f t="shared" ref="U268" si="425">IF(L268="","",IFERROR(IF(L268&gt;0,CONCATENATE(" (",ROUND(L268/H265,1)," fois la perte)"),""),""))</f>
        <v/>
      </c>
      <c r="V268" s="313" t="str">
        <f t="shared" ref="V268" si="426">IF(M268="","",IFERROR(IF(M268&gt;0,"OUI",""),""))</f>
        <v/>
      </c>
      <c r="W268" s="313" t="str">
        <f t="shared" ref="W268" si="427">IF(N268="","",IFERROR(IF(N268&gt;0,"DECLIN FONCTIONNEL",""),""))</f>
        <v/>
      </c>
      <c r="X268" s="306"/>
      <c r="Y268" s="307"/>
      <c r="Z268" s="307"/>
      <c r="AA268" s="314">
        <f t="shared" ref="AA268" si="428">IF(AND(E268&lt;&gt;"",E266&lt;&gt;""),1,0)</f>
        <v>0</v>
      </c>
      <c r="AB268" s="306"/>
      <c r="AC268" s="314">
        <f t="shared" ref="AC268" si="429">IF(IFERROR(Y265+AA268,0)=0,0,IF(SUM(AA268,Y265)=2,1,0))</f>
        <v>0</v>
      </c>
      <c r="AD268" s="221"/>
      <c r="AE268" s="221"/>
      <c r="AF268" s="323"/>
      <c r="AG268" s="328">
        <f t="shared" ref="AG268" si="430">IF(U268&lt;&gt;"",1,IF(OR(AND(Q268&gt;0,Q268&lt;&gt;""),AND(R268&gt;0,R268&lt;&gt;"")),1,0))</f>
        <v>0</v>
      </c>
      <c r="AH268" s="221"/>
      <c r="AI268" s="316">
        <f t="shared" ref="AI268" si="431">IF(V268="OUI",1,0)</f>
        <v>0</v>
      </c>
    </row>
    <row r="269" spans="1:35" s="197" customFormat="1" ht="30" x14ac:dyDescent="0.2">
      <c r="A269" s="293"/>
      <c r="B269" s="266" t="s">
        <v>427</v>
      </c>
      <c r="C269" s="284" t="s">
        <v>474</v>
      </c>
      <c r="D269" s="285" t="s">
        <v>470</v>
      </c>
      <c r="E269" s="286" t="str">
        <f>L86</f>
        <v/>
      </c>
      <c r="F269" s="286" t="str">
        <f>V86</f>
        <v/>
      </c>
      <c r="G269" s="289"/>
      <c r="H269" s="289"/>
      <c r="I269" s="289"/>
      <c r="J269" s="289"/>
      <c r="K269" s="289"/>
      <c r="L269" s="289"/>
      <c r="M269" s="289"/>
      <c r="N269" s="291"/>
      <c r="O269" s="311" t="str">
        <f t="shared" si="394"/>
        <v/>
      </c>
      <c r="P269" s="289"/>
      <c r="Q269" s="289"/>
      <c r="R269" s="289"/>
      <c r="S269" s="289"/>
      <c r="T269" s="288"/>
      <c r="U269" s="221"/>
      <c r="V269" s="289"/>
      <c r="W269" s="291"/>
      <c r="X269" s="288"/>
      <c r="Y269" s="289"/>
      <c r="Z269" s="289"/>
      <c r="AA269" s="291"/>
      <c r="AB269" s="288"/>
      <c r="AC269" s="291"/>
      <c r="AD269" s="221"/>
      <c r="AE269" s="221"/>
      <c r="AF269" s="221"/>
      <c r="AG269" s="221"/>
      <c r="AH269" s="221"/>
      <c r="AI269" s="292"/>
    </row>
    <row r="270" spans="1:35" s="197" customFormat="1" ht="60" x14ac:dyDescent="0.2">
      <c r="A270" s="293"/>
      <c r="B270" s="266"/>
      <c r="C270" s="294"/>
      <c r="D270" s="285" t="s">
        <v>562</v>
      </c>
      <c r="E270" s="286" t="str">
        <f>AR86</f>
        <v/>
      </c>
      <c r="F270" s="286" t="str">
        <f>BB86</f>
        <v/>
      </c>
      <c r="G270" s="312" t="str">
        <f t="shared" ref="G270" si="432">IFERROR(IF(F269-F270&gt;0,F269-F270,0),"")</f>
        <v/>
      </c>
      <c r="H270" s="221"/>
      <c r="I270" s="221"/>
      <c r="J270" s="221"/>
      <c r="K270" s="221"/>
      <c r="L270" s="221"/>
      <c r="M270" s="221"/>
      <c r="N270" s="297"/>
      <c r="O270" s="312" t="str">
        <f t="shared" ref="O270" si="433">IF(F270&gt;F269,F270,IFERROR(IF(O269-P270&gt;0,O269-P270,0),""))</f>
        <v/>
      </c>
      <c r="P270" s="313" t="str">
        <f t="shared" ref="P270" si="434">IFERROR(IF(F269-F270&gt;0,F269-F270,0),"")</f>
        <v/>
      </c>
      <c r="Q270" s="221"/>
      <c r="R270" s="221"/>
      <c r="S270" s="221"/>
      <c r="T270" s="313" t="str">
        <f t="shared" ref="T270" si="435">IF(G270="","",IFERROR(IF(G270&gt;0,"PERTE FONCTIONNELLE",""),""))</f>
        <v/>
      </c>
      <c r="U270" s="221"/>
      <c r="V270" s="221"/>
      <c r="W270" s="297"/>
      <c r="X270" s="314">
        <f t="shared" ref="X270" si="436">IF(AND(E270&lt;&gt;"",E269&lt;&gt;""),1,0)</f>
        <v>0</v>
      </c>
      <c r="Y270" s="221"/>
      <c r="Z270" s="221"/>
      <c r="AA270" s="297"/>
      <c r="AB270" s="298"/>
      <c r="AC270" s="297"/>
      <c r="AD270" s="314">
        <f>IF(T270="PERTE FONCTIONNELLE",1,0)</f>
        <v>0</v>
      </c>
      <c r="AE270" s="221"/>
      <c r="AF270" s="221"/>
      <c r="AG270" s="221"/>
      <c r="AH270" s="221"/>
      <c r="AI270" s="292"/>
    </row>
    <row r="271" spans="1:35" s="197" customFormat="1" ht="30.75" customHeight="1" x14ac:dyDescent="0.2">
      <c r="A271" s="293"/>
      <c r="B271" s="266"/>
      <c r="C271" s="299"/>
      <c r="D271" s="285" t="s">
        <v>471</v>
      </c>
      <c r="E271" s="286" t="str">
        <f>BX86</f>
        <v/>
      </c>
      <c r="F271" s="286" t="str">
        <f>CH86</f>
        <v/>
      </c>
      <c r="G271" s="298"/>
      <c r="H271" s="313" t="str">
        <f t="shared" ref="H271" si="437">IFERROR(IF(F269-F271&gt;0,F269-F271,0),"")</f>
        <v/>
      </c>
      <c r="I271" s="221"/>
      <c r="J271" s="221"/>
      <c r="K271" s="221"/>
      <c r="L271" s="221"/>
      <c r="M271" s="221"/>
      <c r="N271" s="297"/>
      <c r="O271" s="311" t="str">
        <f t="shared" ref="O271" si="438">IF(F271&gt;F269,F271,IFERROR(IF(O269-P271&gt;0,O269-P271,0),""))</f>
        <v/>
      </c>
      <c r="P271" s="313" t="str">
        <f t="shared" ref="P271" si="439">IFERROR(IF(F269-F271&gt;0,F269-F271,0),"")</f>
        <v/>
      </c>
      <c r="Q271" s="221"/>
      <c r="R271" s="221"/>
      <c r="S271" s="221"/>
      <c r="T271" s="313" t="str">
        <f t="shared" ref="T271" si="440">IF(H271="","",IFERROR(IF(H271&gt;0,"PERTE FONCTIONNELLE",""),""))</f>
        <v/>
      </c>
      <c r="U271" s="221"/>
      <c r="V271" s="221"/>
      <c r="W271" s="297"/>
      <c r="X271" s="298"/>
      <c r="Y271" s="314">
        <f t="shared" ref="Y271" si="441">IF(AND(E271&lt;&gt;"",E269&lt;&gt;""),1,0)</f>
        <v>0</v>
      </c>
      <c r="Z271" s="221"/>
      <c r="AA271" s="297"/>
      <c r="AB271" s="298"/>
      <c r="AC271" s="297"/>
      <c r="AD271" s="221"/>
      <c r="AE271" s="314">
        <f>IF(T271="PERTE FONCTIONNELLE",1,0)</f>
        <v>0</v>
      </c>
      <c r="AF271" s="221"/>
      <c r="AG271" s="221"/>
      <c r="AH271" s="221"/>
      <c r="AI271" s="292"/>
    </row>
    <row r="272" spans="1:35" s="197" customFormat="1" ht="45" x14ac:dyDescent="0.2">
      <c r="A272" s="293"/>
      <c r="B272" s="266"/>
      <c r="C272" s="284" t="s">
        <v>475</v>
      </c>
      <c r="D272" s="285" t="s">
        <v>476</v>
      </c>
      <c r="E272" s="286" t="str">
        <f>DD86</f>
        <v/>
      </c>
      <c r="F272" s="286" t="str">
        <f>DN86</f>
        <v/>
      </c>
      <c r="G272" s="298"/>
      <c r="H272" s="221"/>
      <c r="I272" s="221"/>
      <c r="J272" s="221"/>
      <c r="K272" s="221"/>
      <c r="L272" s="221"/>
      <c r="M272" s="221"/>
      <c r="N272" s="297"/>
      <c r="O272" s="311" t="str">
        <f t="shared" si="405"/>
        <v/>
      </c>
      <c r="P272" s="221"/>
      <c r="Q272" s="221"/>
      <c r="R272" s="221"/>
      <c r="S272" s="221"/>
      <c r="T272" s="298"/>
      <c r="U272" s="221"/>
      <c r="V272" s="221"/>
      <c r="W272" s="297"/>
      <c r="X272" s="298"/>
      <c r="Y272" s="221"/>
      <c r="Z272" s="221"/>
      <c r="AA272" s="297"/>
      <c r="AB272" s="298"/>
      <c r="AC272" s="297"/>
      <c r="AD272" s="221"/>
      <c r="AE272" s="221"/>
      <c r="AF272" s="221"/>
      <c r="AG272" s="221"/>
      <c r="AH272" s="221"/>
      <c r="AI272" s="292"/>
    </row>
    <row r="273" spans="1:35" s="197" customFormat="1" ht="60" x14ac:dyDescent="0.2">
      <c r="A273" s="293"/>
      <c r="B273" s="266"/>
      <c r="C273" s="294"/>
      <c r="D273" s="285" t="s">
        <v>477</v>
      </c>
      <c r="E273" s="286" t="str">
        <f>EJ86</f>
        <v/>
      </c>
      <c r="F273" s="286" t="str">
        <f>ET86</f>
        <v/>
      </c>
      <c r="G273" s="298"/>
      <c r="H273" s="221"/>
      <c r="I273" s="312" t="str">
        <f t="shared" ref="I273" si="442">IFERROR(IF(F273-F272&gt;0,F273-F272,0),"")</f>
        <v/>
      </c>
      <c r="J273" s="312" t="str">
        <f>IFERROR(IF(AND(G270&gt;0,G270*'SYNTHESE EVAL. EQ. FCT.'!$AC$140&lt;=I273),I273,0),"")</f>
        <v/>
      </c>
      <c r="K273" s="312" t="str">
        <f t="shared" ref="K273" si="443">IFERROR(IF(F273-F272&lt;0,F272-F273,0),"")</f>
        <v/>
      </c>
      <c r="L273" s="296"/>
      <c r="M273" s="296"/>
      <c r="N273" s="297"/>
      <c r="O273" s="312" t="str">
        <f t="shared" si="408"/>
        <v/>
      </c>
      <c r="P273" s="221"/>
      <c r="Q273" s="312">
        <f t="shared" ref="Q273" si="444">IFERROR(IF(AND(F273&gt;F272,I273&gt;J273),I273,0),"")</f>
        <v>0</v>
      </c>
      <c r="R273" s="312" t="str">
        <f t="shared" ref="R273" si="445">IFERROR(IF(AND(F273&gt;F272,I273&gt;J273),0,I273),"")</f>
        <v/>
      </c>
      <c r="S273" s="315" t="str">
        <f t="shared" ref="S273" si="446">IFERROR(K273,"")</f>
        <v/>
      </c>
      <c r="T273" s="298"/>
      <c r="U273" s="313" t="str">
        <f t="shared" ref="U273" si="447">IF(I273="","",IFERROR(IF(I273&gt;0,CONCATENATE(" (",ROUND(I273/G270,1)," fois la perte)"),""),""))</f>
        <v/>
      </c>
      <c r="V273" s="313" t="str">
        <f t="shared" ref="V273" si="448">IF(J273="","",IFERROR(IF(J273&gt;0,"OUI",""),""))</f>
        <v/>
      </c>
      <c r="W273" s="313" t="str">
        <f t="shared" ref="W273" si="449">IF(K273="","",IFERROR(IF(K273&gt;0,"DECLIN FONCTIONNEL",""),""))</f>
        <v/>
      </c>
      <c r="X273" s="298"/>
      <c r="Y273" s="221"/>
      <c r="Z273" s="314">
        <f t="shared" ref="Z273" si="450">IF(AND(E273&lt;&gt;"",E272&lt;&gt;""),1,0)</f>
        <v>0</v>
      </c>
      <c r="AA273" s="297"/>
      <c r="AB273" s="314">
        <f t="shared" ref="AB273" si="451">IF(IFERROR(X270+Z273,0)=0,0,IF(SUM(Z273,X270)=2,1,0))</f>
        <v>0</v>
      </c>
      <c r="AC273" s="297"/>
      <c r="AD273" s="221"/>
      <c r="AE273" s="221"/>
      <c r="AF273" s="313">
        <f t="shared" ref="AF273" si="452">IF(U273&lt;&gt;"",1,IF(OR(AND(Q273&gt;0,Q273&lt;&gt;""),AND(R273&gt;0,R273&lt;&gt;"")),1,0))</f>
        <v>0</v>
      </c>
      <c r="AG273" s="221"/>
      <c r="AH273" s="314">
        <f t="shared" ref="AH273" si="453">IF(V273="OUI",1,0)</f>
        <v>0</v>
      </c>
      <c r="AI273" s="292"/>
    </row>
    <row r="274" spans="1:35" s="197" customFormat="1" ht="45.75" thickBot="1" x14ac:dyDescent="0.25">
      <c r="A274" s="293"/>
      <c r="B274" s="266"/>
      <c r="C274" s="299"/>
      <c r="D274" s="285" t="s">
        <v>478</v>
      </c>
      <c r="E274" s="286" t="str">
        <f>FP86</f>
        <v/>
      </c>
      <c r="F274" s="286" t="str">
        <f>FZ86</f>
        <v/>
      </c>
      <c r="G274" s="306"/>
      <c r="H274" s="307"/>
      <c r="I274" s="308"/>
      <c r="J274" s="309"/>
      <c r="K274" s="309"/>
      <c r="L274" s="312" t="str">
        <f t="shared" ref="L274" si="454">IFERROR(IF(F274-F272&gt;0,F274-F272,0),"")</f>
        <v/>
      </c>
      <c r="M274" s="315" t="str">
        <f>IFERROR(IF(AND(H271&gt;0,H271*'SYNTHESE EVAL. EQ. FCT.'!$AC$140&lt;=L274),L274,0),"")</f>
        <v/>
      </c>
      <c r="N274" s="312" t="str">
        <f t="shared" ref="N274" si="455">IFERROR(IF(F274-F272&lt;0,F272-F274,0),"")</f>
        <v/>
      </c>
      <c r="O274" s="312" t="str">
        <f t="shared" si="421"/>
        <v/>
      </c>
      <c r="P274" s="307"/>
      <c r="Q274" s="312">
        <f t="shared" ref="Q274" si="456">IFERROR(IF(L274&gt;M274,L274,0),"")</f>
        <v>0</v>
      </c>
      <c r="R274" s="312" t="str">
        <f t="shared" ref="R274" si="457">IFERROR(IF(L274&gt;M274,0,M274),"")</f>
        <v/>
      </c>
      <c r="S274" s="315" t="str">
        <f t="shared" ref="S274" si="458">IFERROR(N274,"")</f>
        <v/>
      </c>
      <c r="T274" s="306"/>
      <c r="U274" s="328" t="str">
        <f t="shared" ref="U274" si="459">IF(L274="","",IFERROR(IF(L274&gt;0,CONCATENATE(" (",ROUND(L274/H271,1)," fois la perte)"),""),""))</f>
        <v/>
      </c>
      <c r="V274" s="313" t="str">
        <f t="shared" ref="V274" si="460">IF(M274="","",IFERROR(IF(M274&gt;0,"OUI",""),""))</f>
        <v/>
      </c>
      <c r="W274" s="313" t="str">
        <f t="shared" ref="W274" si="461">IF(N274="","",IFERROR(IF(N274&gt;0,"DECLIN FONCTIONNEL",""),""))</f>
        <v/>
      </c>
      <c r="X274" s="306"/>
      <c r="Y274" s="307"/>
      <c r="Z274" s="307"/>
      <c r="AA274" s="314">
        <f t="shared" ref="AA274" si="462">IF(AND(E274&lt;&gt;"",E272&lt;&gt;""),1,0)</f>
        <v>0</v>
      </c>
      <c r="AB274" s="306"/>
      <c r="AC274" s="314">
        <f t="shared" ref="AC274" si="463">IF(IFERROR(Y271+AA274,0)=0,0,IF(SUM(AA274,Y271)=2,1,0))</f>
        <v>0</v>
      </c>
      <c r="AD274" s="221"/>
      <c r="AE274" s="221"/>
      <c r="AF274" s="323"/>
      <c r="AG274" s="328">
        <f t="shared" ref="AG274" si="464">IF(U274&lt;&gt;"",1,IF(OR(AND(Q274&gt;0,Q274&lt;&gt;""),AND(R274&gt;0,R274&lt;&gt;"")),1,0))</f>
        <v>0</v>
      </c>
      <c r="AH274" s="221"/>
      <c r="AI274" s="316">
        <f t="shared" ref="AI274" si="465">IF(V274="OUI",1,0)</f>
        <v>0</v>
      </c>
    </row>
    <row r="275" spans="1:35" s="197" customFormat="1" ht="30" x14ac:dyDescent="0.2">
      <c r="A275" s="293"/>
      <c r="B275" s="303" t="s">
        <v>142</v>
      </c>
      <c r="C275" s="284" t="s">
        <v>474</v>
      </c>
      <c r="D275" s="285" t="s">
        <v>470</v>
      </c>
      <c r="E275" s="286" t="str">
        <f>E64</f>
        <v/>
      </c>
      <c r="F275" s="286" t="str">
        <f>O64</f>
        <v/>
      </c>
      <c r="G275" s="289"/>
      <c r="H275" s="289"/>
      <c r="I275" s="289"/>
      <c r="J275" s="289"/>
      <c r="K275" s="289"/>
      <c r="L275" s="289"/>
      <c r="M275" s="289"/>
      <c r="N275" s="291"/>
      <c r="O275" s="311" t="str">
        <f t="shared" si="394"/>
        <v/>
      </c>
      <c r="P275" s="289"/>
      <c r="Q275" s="289"/>
      <c r="R275" s="289"/>
      <c r="S275" s="289"/>
      <c r="T275" s="288"/>
      <c r="U275" s="221"/>
      <c r="V275" s="289"/>
      <c r="W275" s="291"/>
      <c r="X275" s="288"/>
      <c r="Y275" s="289"/>
      <c r="Z275" s="289"/>
      <c r="AA275" s="291"/>
      <c r="AB275" s="288"/>
      <c r="AC275" s="291"/>
      <c r="AD275" s="221"/>
      <c r="AE275" s="221"/>
      <c r="AF275" s="221"/>
      <c r="AG275" s="221"/>
      <c r="AH275" s="221"/>
      <c r="AI275" s="292"/>
    </row>
    <row r="276" spans="1:35" s="197" customFormat="1" ht="60" x14ac:dyDescent="0.2">
      <c r="A276" s="293"/>
      <c r="B276" s="283"/>
      <c r="C276" s="294"/>
      <c r="D276" s="285" t="s">
        <v>562</v>
      </c>
      <c r="E276" s="286" t="str">
        <f>AK64</f>
        <v/>
      </c>
      <c r="F276" s="286" t="str">
        <f>AU64</f>
        <v/>
      </c>
      <c r="G276" s="312" t="str">
        <f t="shared" ref="G276" si="466">IFERROR(IF(F275-F276&gt;0,F275-F276,0),"")</f>
        <v/>
      </c>
      <c r="H276" s="221"/>
      <c r="I276" s="221"/>
      <c r="J276" s="221"/>
      <c r="K276" s="221"/>
      <c r="L276" s="221"/>
      <c r="M276" s="221"/>
      <c r="N276" s="297"/>
      <c r="O276" s="312" t="str">
        <f t="shared" ref="O276" si="467">IF(F276&gt;F275,F276,IFERROR(IF(O275-P276&gt;0,O275-P276,0),""))</f>
        <v/>
      </c>
      <c r="P276" s="313" t="str">
        <f t="shared" ref="P276" si="468">IFERROR(IF(F275-F276&gt;0,F275-F276,0),"")</f>
        <v/>
      </c>
      <c r="Q276" s="221"/>
      <c r="R276" s="221"/>
      <c r="S276" s="221"/>
      <c r="T276" s="313" t="str">
        <f t="shared" ref="T276" si="469">IF(G276="","",IFERROR(IF(G276&gt;0,"PERTE FONCTIONNELLE",""),""))</f>
        <v/>
      </c>
      <c r="U276" s="221"/>
      <c r="V276" s="221"/>
      <c r="W276" s="297"/>
      <c r="X276" s="314">
        <f t="shared" ref="X276" si="470">IF(AND(E276&lt;&gt;"",E275&lt;&gt;""),1,0)</f>
        <v>0</v>
      </c>
      <c r="Y276" s="221"/>
      <c r="Z276" s="221"/>
      <c r="AA276" s="297"/>
      <c r="AB276" s="298"/>
      <c r="AC276" s="297"/>
      <c r="AD276" s="314">
        <f>IF(T276="PERTE FONCTIONNELLE",1,0)</f>
        <v>0</v>
      </c>
      <c r="AE276" s="221"/>
      <c r="AF276" s="221"/>
      <c r="AG276" s="221"/>
      <c r="AH276" s="221"/>
      <c r="AI276" s="292"/>
    </row>
    <row r="277" spans="1:35" s="197" customFormat="1" ht="30" x14ac:dyDescent="0.2">
      <c r="A277" s="293"/>
      <c r="B277" s="283"/>
      <c r="C277" s="299"/>
      <c r="D277" s="285" t="s">
        <v>471</v>
      </c>
      <c r="E277" s="286" t="str">
        <f>BQ64</f>
        <v/>
      </c>
      <c r="F277" s="286" t="str">
        <f>CA64</f>
        <v/>
      </c>
      <c r="G277" s="298"/>
      <c r="H277" s="313" t="str">
        <f t="shared" ref="H277" si="471">IFERROR(IF(F275-F277&gt;0,F275-F277,0),"")</f>
        <v/>
      </c>
      <c r="I277" s="221"/>
      <c r="J277" s="221"/>
      <c r="K277" s="221"/>
      <c r="L277" s="221"/>
      <c r="M277" s="221"/>
      <c r="N277" s="297"/>
      <c r="O277" s="311" t="str">
        <f t="shared" ref="O277" si="472">IF(F277&gt;F275,F277,IFERROR(IF(O275-P277&gt;0,O275-P277,0),""))</f>
        <v/>
      </c>
      <c r="P277" s="313" t="str">
        <f t="shared" ref="P277" si="473">IFERROR(IF(F275-F277&gt;0,F275-F277,0),"")</f>
        <v/>
      </c>
      <c r="Q277" s="221"/>
      <c r="R277" s="221"/>
      <c r="S277" s="221"/>
      <c r="T277" s="313" t="str">
        <f t="shared" ref="T277" si="474">IF(H277="","",IFERROR(IF(H277&gt;0,"PERTE FONCTIONNELLE",""),""))</f>
        <v/>
      </c>
      <c r="U277" s="221"/>
      <c r="V277" s="221"/>
      <c r="W277" s="297"/>
      <c r="X277" s="298"/>
      <c r="Y277" s="314">
        <f t="shared" ref="Y277" si="475">IF(AND(E277&lt;&gt;"",E275&lt;&gt;""),1,0)</f>
        <v>0</v>
      </c>
      <c r="Z277" s="221"/>
      <c r="AA277" s="297"/>
      <c r="AB277" s="298"/>
      <c r="AC277" s="297"/>
      <c r="AD277" s="221"/>
      <c r="AE277" s="314">
        <f>IF(T277="PERTE FONCTIONNELLE",1,0)</f>
        <v>0</v>
      </c>
      <c r="AF277" s="221"/>
      <c r="AG277" s="221"/>
      <c r="AH277" s="221"/>
      <c r="AI277" s="292"/>
    </row>
    <row r="278" spans="1:35" s="197" customFormat="1" ht="45" x14ac:dyDescent="0.2">
      <c r="A278" s="293"/>
      <c r="B278" s="283"/>
      <c r="C278" s="284" t="s">
        <v>475</v>
      </c>
      <c r="D278" s="285" t="s">
        <v>476</v>
      </c>
      <c r="E278" s="286" t="str">
        <f>CW64</f>
        <v/>
      </c>
      <c r="F278" s="286" t="str">
        <f>DG64</f>
        <v/>
      </c>
      <c r="G278" s="298"/>
      <c r="H278" s="221"/>
      <c r="I278" s="221"/>
      <c r="J278" s="221"/>
      <c r="K278" s="221"/>
      <c r="L278" s="221"/>
      <c r="M278" s="221"/>
      <c r="N278" s="297"/>
      <c r="O278" s="311" t="str">
        <f t="shared" si="405"/>
        <v/>
      </c>
      <c r="P278" s="221"/>
      <c r="Q278" s="221"/>
      <c r="R278" s="221"/>
      <c r="S278" s="221"/>
      <c r="T278" s="298"/>
      <c r="U278" s="221"/>
      <c r="V278" s="221"/>
      <c r="W278" s="297"/>
      <c r="X278" s="298"/>
      <c r="Y278" s="221"/>
      <c r="Z278" s="221"/>
      <c r="AA278" s="297"/>
      <c r="AB278" s="298"/>
      <c r="AC278" s="297"/>
      <c r="AD278" s="221"/>
      <c r="AE278" s="221"/>
      <c r="AF278" s="221"/>
      <c r="AG278" s="221"/>
      <c r="AH278" s="221"/>
      <c r="AI278" s="292"/>
    </row>
    <row r="279" spans="1:35" s="197" customFormat="1" ht="60" x14ac:dyDescent="0.2">
      <c r="A279" s="293"/>
      <c r="B279" s="283"/>
      <c r="C279" s="294"/>
      <c r="D279" s="285" t="s">
        <v>477</v>
      </c>
      <c r="E279" s="286" t="str">
        <f>EC64</f>
        <v/>
      </c>
      <c r="F279" s="286" t="str">
        <f>EM64</f>
        <v/>
      </c>
      <c r="G279" s="298"/>
      <c r="H279" s="221"/>
      <c r="I279" s="312" t="str">
        <f t="shared" ref="I279" si="476">IFERROR(IF(F279-F278&gt;0,F279-F278,0),"")</f>
        <v/>
      </c>
      <c r="J279" s="312" t="str">
        <f>IFERROR(IF(AND(G276&gt;0,G276*'SYNTHESE EVAL. EQ. FCT.'!$AC$140&lt;=I279),I279,0),"")</f>
        <v/>
      </c>
      <c r="K279" s="312" t="str">
        <f t="shared" ref="K279" si="477">IFERROR(IF(F279-F278&lt;0,F278-F279,0),"")</f>
        <v/>
      </c>
      <c r="L279" s="296"/>
      <c r="M279" s="296"/>
      <c r="N279" s="297"/>
      <c r="O279" s="312" t="str">
        <f t="shared" si="408"/>
        <v/>
      </c>
      <c r="P279" s="221"/>
      <c r="Q279" s="312">
        <f t="shared" ref="Q279" si="478">IFERROR(IF(AND(F279&gt;F278,I279&gt;J279),I279,0),"")</f>
        <v>0</v>
      </c>
      <c r="R279" s="312" t="str">
        <f t="shared" ref="R279" si="479">IFERROR(IF(AND(F279&gt;F278,I279&gt;J279),0,I279),"")</f>
        <v/>
      </c>
      <c r="S279" s="315" t="str">
        <f t="shared" ref="S279" si="480">IFERROR(K279,"")</f>
        <v/>
      </c>
      <c r="T279" s="298"/>
      <c r="U279" s="313" t="str">
        <f t="shared" ref="U279" si="481">IF(I279="","",IFERROR(IF(I279&gt;0,CONCATENATE(" (",ROUND(I279/G276,1)," fois la perte)"),""),""))</f>
        <v/>
      </c>
      <c r="V279" s="313" t="str">
        <f t="shared" ref="V279" si="482">IF(J279="","",IFERROR(IF(J279&gt;0,"OUI",""),""))</f>
        <v/>
      </c>
      <c r="W279" s="313" t="str">
        <f t="shared" ref="W279" si="483">IF(K279="","",IFERROR(IF(K279&gt;0,"DECLIN FONCTIONNEL",""),""))</f>
        <v/>
      </c>
      <c r="X279" s="298"/>
      <c r="Y279" s="221"/>
      <c r="Z279" s="314">
        <f t="shared" ref="Z279" si="484">IF(AND(E279&lt;&gt;"",E278&lt;&gt;""),1,0)</f>
        <v>0</v>
      </c>
      <c r="AA279" s="297"/>
      <c r="AB279" s="314">
        <f t="shared" ref="AB279" si="485">IF(IFERROR(X276+Z279,0)=0,0,IF(SUM(Z279,X276)=2,1,0))</f>
        <v>0</v>
      </c>
      <c r="AC279" s="297"/>
      <c r="AD279" s="221"/>
      <c r="AE279" s="221"/>
      <c r="AF279" s="313">
        <f t="shared" ref="AF279" si="486">IF(U279&lt;&gt;"",1,IF(OR(AND(Q279&gt;0,Q279&lt;&gt;""),AND(R279&gt;0,R279&lt;&gt;"")),1,0))</f>
        <v>0</v>
      </c>
      <c r="AG279" s="221"/>
      <c r="AH279" s="314">
        <f t="shared" ref="AH279" si="487">IF(V279="OUI",1,0)</f>
        <v>0</v>
      </c>
      <c r="AI279" s="292"/>
    </row>
    <row r="280" spans="1:35" s="197" customFormat="1" ht="45.75" thickBot="1" x14ac:dyDescent="0.25">
      <c r="A280" s="293"/>
      <c r="B280" s="301"/>
      <c r="C280" s="299"/>
      <c r="D280" s="285" t="s">
        <v>478</v>
      </c>
      <c r="E280" s="286" t="str">
        <f>FI64</f>
        <v/>
      </c>
      <c r="F280" s="286" t="str">
        <f>FS64</f>
        <v/>
      </c>
      <c r="G280" s="306"/>
      <c r="H280" s="307"/>
      <c r="I280" s="308"/>
      <c r="J280" s="309"/>
      <c r="K280" s="309"/>
      <c r="L280" s="312" t="str">
        <f t="shared" ref="L280" si="488">IFERROR(IF(F280-F278&gt;0,F280-F278,0),"")</f>
        <v/>
      </c>
      <c r="M280" s="315" t="str">
        <f>IFERROR(IF(AND(H277&gt;0,H277*'SYNTHESE EVAL. EQ. FCT.'!$AC$140&lt;=L280),L280,0),"")</f>
        <v/>
      </c>
      <c r="N280" s="312" t="str">
        <f t="shared" ref="N280" si="489">IFERROR(IF(F280-F278&lt;0,F278-F280,0),"")</f>
        <v/>
      </c>
      <c r="O280" s="312" t="str">
        <f t="shared" si="421"/>
        <v/>
      </c>
      <c r="P280" s="307"/>
      <c r="Q280" s="312">
        <f t="shared" ref="Q280" si="490">IFERROR(IF(L280&gt;M280,L280,0),"")</f>
        <v>0</v>
      </c>
      <c r="R280" s="312" t="str">
        <f t="shared" ref="R280" si="491">IFERROR(IF(L280&gt;M280,0,M280),"")</f>
        <v/>
      </c>
      <c r="S280" s="315" t="str">
        <f t="shared" ref="S280" si="492">IFERROR(N280,"")</f>
        <v/>
      </c>
      <c r="T280" s="306"/>
      <c r="U280" s="328" t="str">
        <f t="shared" ref="U280" si="493">IF(L280="","",IFERROR(IF(L280&gt;0,CONCATENATE(" (",ROUND(L280/H277,1)," fois la perte)"),""),""))</f>
        <v/>
      </c>
      <c r="V280" s="313" t="str">
        <f t="shared" ref="V280" si="494">IF(M280="","",IFERROR(IF(M280&gt;0,"OUI",""),""))</f>
        <v/>
      </c>
      <c r="W280" s="313" t="str">
        <f t="shared" ref="W280" si="495">IF(N280="","",IFERROR(IF(N280&gt;0,"DECLIN FONCTIONNEL",""),""))</f>
        <v/>
      </c>
      <c r="X280" s="306"/>
      <c r="Y280" s="307"/>
      <c r="Z280" s="307"/>
      <c r="AA280" s="314">
        <f t="shared" ref="AA280" si="496">IF(AND(E280&lt;&gt;"",E278&lt;&gt;""),1,0)</f>
        <v>0</v>
      </c>
      <c r="AB280" s="306"/>
      <c r="AC280" s="314">
        <f t="shared" ref="AC280" si="497">IF(IFERROR(Y277+AA280,0)=0,0,IF(SUM(AA280,Y277)=2,1,0))</f>
        <v>0</v>
      </c>
      <c r="AD280" s="221"/>
      <c r="AE280" s="221"/>
      <c r="AF280" s="323"/>
      <c r="AG280" s="328">
        <f t="shared" ref="AG280" si="498">IF(U280&lt;&gt;"",1,IF(OR(AND(Q280&gt;0,Q280&lt;&gt;""),AND(R280&gt;0,R280&lt;&gt;"")),1,0))</f>
        <v>0</v>
      </c>
      <c r="AH280" s="221"/>
      <c r="AI280" s="316">
        <f t="shared" ref="AI280" si="499">IF(V280="OUI",1,0)</f>
        <v>0</v>
      </c>
    </row>
    <row r="281" spans="1:35" s="197" customFormat="1" ht="30" x14ac:dyDescent="0.2">
      <c r="A281" s="293"/>
      <c r="B281" s="266" t="s">
        <v>140</v>
      </c>
      <c r="C281" s="284" t="s">
        <v>474</v>
      </c>
      <c r="D281" s="285" t="s">
        <v>470</v>
      </c>
      <c r="E281" s="286" t="str">
        <f>D61</f>
        <v/>
      </c>
      <c r="F281" s="286" t="str">
        <f>N61</f>
        <v/>
      </c>
      <c r="G281" s="289"/>
      <c r="H281" s="289"/>
      <c r="I281" s="289"/>
      <c r="J281" s="289"/>
      <c r="K281" s="289"/>
      <c r="L281" s="289"/>
      <c r="M281" s="289"/>
      <c r="N281" s="291"/>
      <c r="O281" s="311" t="str">
        <f t="shared" si="394"/>
        <v/>
      </c>
      <c r="P281" s="289"/>
      <c r="Q281" s="289"/>
      <c r="R281" s="289"/>
      <c r="S281" s="289"/>
      <c r="T281" s="288"/>
      <c r="U281" s="221"/>
      <c r="V281" s="289"/>
      <c r="W281" s="291"/>
      <c r="X281" s="288"/>
      <c r="Y281" s="289"/>
      <c r="Z281" s="289"/>
      <c r="AA281" s="291"/>
      <c r="AB281" s="288"/>
      <c r="AC281" s="291"/>
      <c r="AD281" s="221"/>
      <c r="AE281" s="221"/>
      <c r="AF281" s="221"/>
      <c r="AG281" s="221"/>
      <c r="AH281" s="221"/>
      <c r="AI281" s="292"/>
    </row>
    <row r="282" spans="1:35" s="197" customFormat="1" ht="60" x14ac:dyDescent="0.2">
      <c r="A282" s="293"/>
      <c r="B282" s="266"/>
      <c r="C282" s="294"/>
      <c r="D282" s="285" t="s">
        <v>562</v>
      </c>
      <c r="E282" s="286" t="str">
        <f>AJ61</f>
        <v/>
      </c>
      <c r="F282" s="286" t="str">
        <f>AT61</f>
        <v/>
      </c>
      <c r="G282" s="312" t="str">
        <f t="shared" ref="G282" si="500">IFERROR(IF(F281-F282&gt;0,F281-F282,0),"")</f>
        <v/>
      </c>
      <c r="H282" s="221"/>
      <c r="I282" s="221"/>
      <c r="J282" s="221"/>
      <c r="K282" s="221"/>
      <c r="L282" s="221"/>
      <c r="M282" s="221"/>
      <c r="N282" s="297"/>
      <c r="O282" s="312" t="str">
        <f t="shared" ref="O282" si="501">IF(F282&gt;F281,F282,IFERROR(IF(O281-P282&gt;0,O281-P282,0),""))</f>
        <v/>
      </c>
      <c r="P282" s="313" t="str">
        <f t="shared" ref="P282" si="502">IFERROR(IF(F281-F282&gt;0,F281-F282,0),"")</f>
        <v/>
      </c>
      <c r="Q282" s="221"/>
      <c r="R282" s="221"/>
      <c r="S282" s="221"/>
      <c r="T282" s="313" t="str">
        <f t="shared" ref="T282" si="503">IF(G282="","",IFERROR(IF(G282&gt;0,"PERTE FONCTIONNELLE",""),""))</f>
        <v/>
      </c>
      <c r="U282" s="221"/>
      <c r="V282" s="221"/>
      <c r="W282" s="297"/>
      <c r="X282" s="314">
        <f t="shared" ref="X282" si="504">IF(AND(E282&lt;&gt;"",E281&lt;&gt;""),1,0)</f>
        <v>0</v>
      </c>
      <c r="Y282" s="221"/>
      <c r="Z282" s="221"/>
      <c r="AA282" s="297"/>
      <c r="AB282" s="298"/>
      <c r="AC282" s="297"/>
      <c r="AD282" s="314">
        <f>IF(T282="PERTE FONCTIONNELLE",1,0)</f>
        <v>0</v>
      </c>
      <c r="AE282" s="221"/>
      <c r="AF282" s="221"/>
      <c r="AG282" s="221"/>
      <c r="AH282" s="221"/>
      <c r="AI282" s="292"/>
    </row>
    <row r="283" spans="1:35" s="197" customFormat="1" ht="30" x14ac:dyDescent="0.2">
      <c r="A283" s="293"/>
      <c r="B283" s="266"/>
      <c r="C283" s="299"/>
      <c r="D283" s="285" t="s">
        <v>471</v>
      </c>
      <c r="E283" s="286" t="str">
        <f>BP61</f>
        <v/>
      </c>
      <c r="F283" s="286" t="str">
        <f>BZ61</f>
        <v/>
      </c>
      <c r="G283" s="298"/>
      <c r="H283" s="313" t="str">
        <f t="shared" ref="H283" si="505">IFERROR(IF(F281-F283&gt;0,F281-F283,0),"")</f>
        <v/>
      </c>
      <c r="I283" s="221"/>
      <c r="J283" s="221"/>
      <c r="K283" s="221"/>
      <c r="L283" s="221"/>
      <c r="M283" s="221"/>
      <c r="N283" s="297"/>
      <c r="O283" s="311" t="str">
        <f t="shared" ref="O283" si="506">IF(F283&gt;F281,F283,IFERROR(IF(O281-P283&gt;0,O281-P283,0),""))</f>
        <v/>
      </c>
      <c r="P283" s="313" t="str">
        <f t="shared" ref="P283" si="507">IFERROR(IF(F281-F283&gt;0,F281-F283,0),"")</f>
        <v/>
      </c>
      <c r="Q283" s="221"/>
      <c r="R283" s="221"/>
      <c r="S283" s="221"/>
      <c r="T283" s="313" t="str">
        <f t="shared" ref="T283" si="508">IF(H283="","",IFERROR(IF(H283&gt;0,"PERTE FONCTIONNELLE",""),""))</f>
        <v/>
      </c>
      <c r="U283" s="221"/>
      <c r="V283" s="221"/>
      <c r="W283" s="297"/>
      <c r="X283" s="298"/>
      <c r="Y283" s="314">
        <f t="shared" ref="Y283" si="509">IF(AND(E283&lt;&gt;"",E281&lt;&gt;""),1,0)</f>
        <v>0</v>
      </c>
      <c r="Z283" s="221"/>
      <c r="AA283" s="297"/>
      <c r="AB283" s="298"/>
      <c r="AC283" s="297"/>
      <c r="AD283" s="221"/>
      <c r="AE283" s="314">
        <f>IF(T283="PERTE FONCTIONNELLE",1,0)</f>
        <v>0</v>
      </c>
      <c r="AF283" s="221"/>
      <c r="AG283" s="221"/>
      <c r="AH283" s="221"/>
      <c r="AI283" s="292"/>
    </row>
    <row r="284" spans="1:35" s="197" customFormat="1" ht="45" x14ac:dyDescent="0.2">
      <c r="A284" s="293"/>
      <c r="B284" s="266"/>
      <c r="C284" s="284" t="s">
        <v>475</v>
      </c>
      <c r="D284" s="285" t="s">
        <v>476</v>
      </c>
      <c r="E284" s="286" t="str">
        <f>CV61</f>
        <v/>
      </c>
      <c r="F284" s="286" t="str">
        <f>DF61</f>
        <v/>
      </c>
      <c r="G284" s="298"/>
      <c r="H284" s="221"/>
      <c r="I284" s="221"/>
      <c r="J284" s="221"/>
      <c r="K284" s="221"/>
      <c r="L284" s="221"/>
      <c r="M284" s="221"/>
      <c r="N284" s="297"/>
      <c r="O284" s="311" t="str">
        <f t="shared" si="405"/>
        <v/>
      </c>
      <c r="P284" s="221"/>
      <c r="Q284" s="221"/>
      <c r="R284" s="221"/>
      <c r="S284" s="221"/>
      <c r="T284" s="298"/>
      <c r="U284" s="221"/>
      <c r="V284" s="221"/>
      <c r="W284" s="297"/>
      <c r="X284" s="298"/>
      <c r="Y284" s="221"/>
      <c r="Z284" s="221"/>
      <c r="AA284" s="297"/>
      <c r="AB284" s="298"/>
      <c r="AC284" s="297"/>
      <c r="AD284" s="221"/>
      <c r="AE284" s="221"/>
      <c r="AF284" s="221"/>
      <c r="AG284" s="221"/>
      <c r="AH284" s="221"/>
      <c r="AI284" s="292"/>
    </row>
    <row r="285" spans="1:35" s="197" customFormat="1" ht="60" x14ac:dyDescent="0.2">
      <c r="A285" s="293"/>
      <c r="B285" s="266"/>
      <c r="C285" s="294"/>
      <c r="D285" s="285" t="s">
        <v>477</v>
      </c>
      <c r="E285" s="286" t="str">
        <f>EB61</f>
        <v/>
      </c>
      <c r="F285" s="286" t="str">
        <f>EL61</f>
        <v/>
      </c>
      <c r="G285" s="298"/>
      <c r="H285" s="221"/>
      <c r="I285" s="312" t="str">
        <f t="shared" ref="I285" si="510">IFERROR(IF(F285-F284&gt;0,F285-F284,0),"")</f>
        <v/>
      </c>
      <c r="J285" s="312" t="str">
        <f>IFERROR(IF(AND(G282&gt;0,G282*'SYNTHESE EVAL. EQ. FCT.'!$AC$140&lt;=I285),I285,0),"")</f>
        <v/>
      </c>
      <c r="K285" s="312" t="str">
        <f t="shared" ref="K285" si="511">IFERROR(IF(F285-F284&lt;0,F284-F285,0),"")</f>
        <v/>
      </c>
      <c r="L285" s="296"/>
      <c r="M285" s="296"/>
      <c r="N285" s="297"/>
      <c r="O285" s="312" t="str">
        <f t="shared" si="408"/>
        <v/>
      </c>
      <c r="P285" s="221"/>
      <c r="Q285" s="312">
        <f t="shared" ref="Q285" si="512">IFERROR(IF(AND(F285&gt;F284,I285&gt;J285),I285,0),"")</f>
        <v>0</v>
      </c>
      <c r="R285" s="312" t="str">
        <f t="shared" ref="R285" si="513">IFERROR(IF(AND(F285&gt;F284,I285&gt;J285),0,I285),"")</f>
        <v/>
      </c>
      <c r="S285" s="315" t="str">
        <f t="shared" ref="S285" si="514">IFERROR(K285,"")</f>
        <v/>
      </c>
      <c r="T285" s="298"/>
      <c r="U285" s="313" t="str">
        <f t="shared" ref="U285" si="515">IF(I285="","",IFERROR(IF(I285&gt;0,CONCATENATE(" (",ROUND(I285/G282,1)," fois la perte)"),""),""))</f>
        <v/>
      </c>
      <c r="V285" s="313" t="str">
        <f t="shared" ref="V285" si="516">IF(J285="","",IFERROR(IF(J285&gt;0,"OUI",""),""))</f>
        <v/>
      </c>
      <c r="W285" s="313" t="str">
        <f t="shared" ref="W285" si="517">IF(K285="","",IFERROR(IF(K285&gt;0,"DECLIN FONCTIONNEL",""),""))</f>
        <v/>
      </c>
      <c r="X285" s="298"/>
      <c r="Y285" s="221"/>
      <c r="Z285" s="314">
        <f t="shared" ref="Z285" si="518">IF(AND(E285&lt;&gt;"",E284&lt;&gt;""),1,0)</f>
        <v>0</v>
      </c>
      <c r="AA285" s="297"/>
      <c r="AB285" s="314">
        <f t="shared" ref="AB285" si="519">IF(IFERROR(X282+Z285,0)=0,0,IF(SUM(Z285,X282)=2,1,0))</f>
        <v>0</v>
      </c>
      <c r="AC285" s="297"/>
      <c r="AD285" s="221"/>
      <c r="AE285" s="221"/>
      <c r="AF285" s="313">
        <f t="shared" ref="AF285" si="520">IF(U285&lt;&gt;"",1,IF(OR(AND(Q285&gt;0,Q285&lt;&gt;""),AND(R285&gt;0,R285&lt;&gt;"")),1,0))</f>
        <v>0</v>
      </c>
      <c r="AG285" s="221"/>
      <c r="AH285" s="314">
        <f t="shared" ref="AH285" si="521">IF(V285="OUI",1,0)</f>
        <v>0</v>
      </c>
      <c r="AI285" s="292"/>
    </row>
    <row r="286" spans="1:35" s="197" customFormat="1" ht="45.75" thickBot="1" x14ac:dyDescent="0.25">
      <c r="A286" s="293"/>
      <c r="B286" s="266"/>
      <c r="C286" s="299"/>
      <c r="D286" s="285" t="s">
        <v>478</v>
      </c>
      <c r="E286" s="286" t="str">
        <f>FH61</f>
        <v/>
      </c>
      <c r="F286" s="286" t="str">
        <f>FR61</f>
        <v/>
      </c>
      <c r="G286" s="306"/>
      <c r="H286" s="307"/>
      <c r="I286" s="308"/>
      <c r="J286" s="309"/>
      <c r="K286" s="309"/>
      <c r="L286" s="312" t="str">
        <f t="shared" ref="L286" si="522">IFERROR(IF(F286-F284&gt;0,F286-F284,0),"")</f>
        <v/>
      </c>
      <c r="M286" s="315" t="str">
        <f>IFERROR(IF(AND(H283&gt;0,H283*'SYNTHESE EVAL. EQ. FCT.'!$AC$140&lt;=L286),L286,0),"")</f>
        <v/>
      </c>
      <c r="N286" s="312" t="str">
        <f t="shared" ref="N286" si="523">IFERROR(IF(F286-F284&lt;0,F284-F286,0),"")</f>
        <v/>
      </c>
      <c r="O286" s="312" t="str">
        <f t="shared" si="421"/>
        <v/>
      </c>
      <c r="P286" s="307"/>
      <c r="Q286" s="312">
        <f t="shared" ref="Q286" si="524">IFERROR(IF(L286&gt;M286,L286,0),"")</f>
        <v>0</v>
      </c>
      <c r="R286" s="312" t="str">
        <f t="shared" ref="R286" si="525">IFERROR(IF(L286&gt;M286,0,M286),"")</f>
        <v/>
      </c>
      <c r="S286" s="315" t="str">
        <f t="shared" ref="S286" si="526">IFERROR(N286,"")</f>
        <v/>
      </c>
      <c r="T286" s="306"/>
      <c r="U286" s="328" t="str">
        <f t="shared" ref="U286" si="527">IF(L286="","",IFERROR(IF(L286&gt;0,CONCATENATE(" (",ROUND(L286/H283,1)," fois la perte)"),""),""))</f>
        <v/>
      </c>
      <c r="V286" s="313" t="str">
        <f t="shared" ref="V286" si="528">IF(M286="","",IFERROR(IF(M286&gt;0,"OUI",""),""))</f>
        <v/>
      </c>
      <c r="W286" s="313" t="str">
        <f t="shared" ref="W286" si="529">IF(N286="","",IFERROR(IF(N286&gt;0,"DECLIN FONCTIONNEL",""),""))</f>
        <v/>
      </c>
      <c r="X286" s="306"/>
      <c r="Y286" s="307"/>
      <c r="Z286" s="307"/>
      <c r="AA286" s="314">
        <f t="shared" ref="AA286" si="530">IF(AND(E286&lt;&gt;"",E284&lt;&gt;""),1,0)</f>
        <v>0</v>
      </c>
      <c r="AB286" s="306"/>
      <c r="AC286" s="314">
        <f t="shared" ref="AC286" si="531">IF(IFERROR(Y283+AA286,0)=0,0,IF(SUM(AA286,Y283)=2,1,0))</f>
        <v>0</v>
      </c>
      <c r="AD286" s="221"/>
      <c r="AE286" s="221"/>
      <c r="AF286" s="323"/>
      <c r="AG286" s="328">
        <f t="shared" ref="AG286" si="532">IF(U286&lt;&gt;"",1,IF(OR(AND(Q286&gt;0,Q286&lt;&gt;""),AND(R286&gt;0,R286&lt;&gt;"")),1,0))</f>
        <v>0</v>
      </c>
      <c r="AH286" s="221"/>
      <c r="AI286" s="316">
        <f t="shared" ref="AI286" si="533">IF(V286="OUI",1,0)</f>
        <v>0</v>
      </c>
    </row>
    <row r="287" spans="1:35" s="197" customFormat="1" ht="30" x14ac:dyDescent="0.2">
      <c r="A287" s="293"/>
      <c r="B287" s="303" t="s">
        <v>141</v>
      </c>
      <c r="C287" s="284" t="s">
        <v>474</v>
      </c>
      <c r="D287" s="285" t="s">
        <v>470</v>
      </c>
      <c r="E287" s="286" t="str">
        <f>D62</f>
        <v/>
      </c>
      <c r="F287" s="286" t="str">
        <f>N62</f>
        <v/>
      </c>
      <c r="G287" s="289"/>
      <c r="H287" s="289"/>
      <c r="I287" s="289"/>
      <c r="J287" s="289"/>
      <c r="K287" s="289"/>
      <c r="L287" s="289"/>
      <c r="M287" s="289"/>
      <c r="N287" s="291"/>
      <c r="O287" s="311" t="str">
        <f t="shared" si="394"/>
        <v/>
      </c>
      <c r="P287" s="289"/>
      <c r="Q287" s="289"/>
      <c r="R287" s="289"/>
      <c r="S287" s="289"/>
      <c r="T287" s="288"/>
      <c r="U287" s="221"/>
      <c r="V287" s="289"/>
      <c r="W287" s="291"/>
      <c r="X287" s="288"/>
      <c r="Y287" s="289"/>
      <c r="Z287" s="289"/>
      <c r="AA287" s="291"/>
      <c r="AB287" s="288"/>
      <c r="AC287" s="291"/>
      <c r="AD287" s="221"/>
      <c r="AE287" s="221"/>
      <c r="AF287" s="221"/>
      <c r="AG287" s="221"/>
      <c r="AH287" s="221"/>
      <c r="AI287" s="292"/>
    </row>
    <row r="288" spans="1:35" s="197" customFormat="1" ht="60" x14ac:dyDescent="0.2">
      <c r="A288" s="293"/>
      <c r="B288" s="283"/>
      <c r="C288" s="294"/>
      <c r="D288" s="285" t="s">
        <v>562</v>
      </c>
      <c r="E288" s="286" t="str">
        <f>AJ62</f>
        <v/>
      </c>
      <c r="F288" s="286" t="str">
        <f>AT62</f>
        <v/>
      </c>
      <c r="G288" s="312" t="str">
        <f t="shared" ref="G288" si="534">IFERROR(IF(F287-F288&gt;0,F287-F288,0),"")</f>
        <v/>
      </c>
      <c r="H288" s="221"/>
      <c r="I288" s="221"/>
      <c r="J288" s="221"/>
      <c r="K288" s="221"/>
      <c r="L288" s="221"/>
      <c r="M288" s="221"/>
      <c r="N288" s="297"/>
      <c r="O288" s="312" t="str">
        <f t="shared" ref="O288" si="535">IF(F288&gt;F287,F288,IFERROR(IF(O287-P288&gt;0,O287-P288,0),""))</f>
        <v/>
      </c>
      <c r="P288" s="313" t="str">
        <f t="shared" ref="P288" si="536">IFERROR(IF(F287-F288&gt;0,F287-F288,0),"")</f>
        <v/>
      </c>
      <c r="Q288" s="221"/>
      <c r="R288" s="221"/>
      <c r="S288" s="221"/>
      <c r="T288" s="313" t="str">
        <f t="shared" ref="T288" si="537">IF(G288="","",IFERROR(IF(G288&gt;0,"PERTE FONCTIONNELLE",""),""))</f>
        <v/>
      </c>
      <c r="U288" s="221"/>
      <c r="V288" s="221"/>
      <c r="W288" s="297"/>
      <c r="X288" s="314">
        <f t="shared" ref="X288" si="538">IF(AND(E288&lt;&gt;"",E287&lt;&gt;""),1,0)</f>
        <v>0</v>
      </c>
      <c r="Y288" s="221"/>
      <c r="Z288" s="221"/>
      <c r="AA288" s="297"/>
      <c r="AB288" s="298"/>
      <c r="AC288" s="297"/>
      <c r="AD288" s="314">
        <f>IF(T288="PERTE FONCTIONNELLE",1,0)</f>
        <v>0</v>
      </c>
      <c r="AE288" s="221"/>
      <c r="AF288" s="221"/>
      <c r="AG288" s="221"/>
      <c r="AH288" s="221"/>
      <c r="AI288" s="292"/>
    </row>
    <row r="289" spans="1:35" s="197" customFormat="1" ht="30" x14ac:dyDescent="0.2">
      <c r="A289" s="293"/>
      <c r="B289" s="283"/>
      <c r="C289" s="299"/>
      <c r="D289" s="285" t="s">
        <v>471</v>
      </c>
      <c r="E289" s="286" t="str">
        <f>BP62</f>
        <v/>
      </c>
      <c r="F289" s="286" t="str">
        <f>BZ62</f>
        <v/>
      </c>
      <c r="G289" s="298"/>
      <c r="H289" s="313" t="str">
        <f t="shared" ref="H289" si="539">IFERROR(IF(F287-F289&gt;0,F287-F289,0),"")</f>
        <v/>
      </c>
      <c r="I289" s="221"/>
      <c r="J289" s="221"/>
      <c r="K289" s="221"/>
      <c r="L289" s="221"/>
      <c r="M289" s="221"/>
      <c r="N289" s="297"/>
      <c r="O289" s="311" t="str">
        <f t="shared" ref="O289" si="540">IF(F289&gt;F287,F289,IFERROR(IF(O287-P289&gt;0,O287-P289,0),""))</f>
        <v/>
      </c>
      <c r="P289" s="313" t="str">
        <f t="shared" ref="P289" si="541">IFERROR(IF(F287-F289&gt;0,F287-F289,0),"")</f>
        <v/>
      </c>
      <c r="Q289" s="221"/>
      <c r="R289" s="221"/>
      <c r="S289" s="221"/>
      <c r="T289" s="313" t="str">
        <f t="shared" ref="T289" si="542">IF(H289="","",IFERROR(IF(H289&gt;0,"PERTE FONCTIONNELLE",""),""))</f>
        <v/>
      </c>
      <c r="U289" s="221"/>
      <c r="V289" s="221"/>
      <c r="W289" s="297"/>
      <c r="X289" s="298"/>
      <c r="Y289" s="314">
        <f t="shared" ref="Y289" si="543">IF(AND(E289&lt;&gt;"",E287&lt;&gt;""),1,0)</f>
        <v>0</v>
      </c>
      <c r="Z289" s="221"/>
      <c r="AA289" s="297"/>
      <c r="AB289" s="298"/>
      <c r="AC289" s="297"/>
      <c r="AD289" s="221"/>
      <c r="AE289" s="314">
        <f>IF(T289="PERTE FONCTIONNELLE",1,0)</f>
        <v>0</v>
      </c>
      <c r="AF289" s="221"/>
      <c r="AG289" s="221"/>
      <c r="AH289" s="221"/>
      <c r="AI289" s="292"/>
    </row>
    <row r="290" spans="1:35" s="197" customFormat="1" ht="45" x14ac:dyDescent="0.2">
      <c r="A290" s="293"/>
      <c r="B290" s="283"/>
      <c r="C290" s="284" t="s">
        <v>475</v>
      </c>
      <c r="D290" s="285" t="s">
        <v>476</v>
      </c>
      <c r="E290" s="286" t="str">
        <f>CV62</f>
        <v/>
      </c>
      <c r="F290" s="286" t="str">
        <f>DF62</f>
        <v/>
      </c>
      <c r="G290" s="298"/>
      <c r="H290" s="221"/>
      <c r="I290" s="221"/>
      <c r="J290" s="221"/>
      <c r="K290" s="221"/>
      <c r="L290" s="221"/>
      <c r="M290" s="221"/>
      <c r="N290" s="297"/>
      <c r="O290" s="311" t="str">
        <f t="shared" si="405"/>
        <v/>
      </c>
      <c r="P290" s="221"/>
      <c r="Q290" s="221"/>
      <c r="R290" s="221"/>
      <c r="S290" s="221"/>
      <c r="T290" s="298"/>
      <c r="U290" s="221"/>
      <c r="V290" s="221"/>
      <c r="W290" s="297"/>
      <c r="X290" s="298"/>
      <c r="Y290" s="221"/>
      <c r="Z290" s="221"/>
      <c r="AA290" s="297"/>
      <c r="AB290" s="298"/>
      <c r="AC290" s="297"/>
      <c r="AD290" s="221"/>
      <c r="AE290" s="221"/>
      <c r="AF290" s="221"/>
      <c r="AG290" s="221"/>
      <c r="AH290" s="221"/>
      <c r="AI290" s="292"/>
    </row>
    <row r="291" spans="1:35" s="197" customFormat="1" ht="60" x14ac:dyDescent="0.2">
      <c r="A291" s="293"/>
      <c r="B291" s="283"/>
      <c r="C291" s="294"/>
      <c r="D291" s="285" t="s">
        <v>477</v>
      </c>
      <c r="E291" s="286" t="str">
        <f>EB62</f>
        <v/>
      </c>
      <c r="F291" s="286" t="str">
        <f>EL62</f>
        <v/>
      </c>
      <c r="G291" s="298"/>
      <c r="H291" s="221"/>
      <c r="I291" s="312" t="str">
        <f t="shared" ref="I291" si="544">IFERROR(IF(F291-F290&gt;0,F291-F290,0),"")</f>
        <v/>
      </c>
      <c r="J291" s="312" t="str">
        <f>IFERROR(IF(AND(G288&gt;0,G288*'SYNTHESE EVAL. EQ. FCT.'!$AC$140&lt;=I291),I291,0),"")</f>
        <v/>
      </c>
      <c r="K291" s="312" t="str">
        <f t="shared" ref="K291" si="545">IFERROR(IF(F291-F290&lt;0,F290-F291,0),"")</f>
        <v/>
      </c>
      <c r="L291" s="296"/>
      <c r="M291" s="296"/>
      <c r="N291" s="297"/>
      <c r="O291" s="312" t="str">
        <f t="shared" si="408"/>
        <v/>
      </c>
      <c r="P291" s="221"/>
      <c r="Q291" s="312">
        <f t="shared" ref="Q291" si="546">IFERROR(IF(AND(F291&gt;F290,I291&gt;J291),I291,0),"")</f>
        <v>0</v>
      </c>
      <c r="R291" s="312" t="str">
        <f t="shared" ref="R291" si="547">IFERROR(IF(AND(F291&gt;F290,I291&gt;J291),0,I291),"")</f>
        <v/>
      </c>
      <c r="S291" s="315" t="str">
        <f t="shared" ref="S291" si="548">IFERROR(K291,"")</f>
        <v/>
      </c>
      <c r="T291" s="298"/>
      <c r="U291" s="313" t="str">
        <f t="shared" ref="U291" si="549">IF(I291="","",IFERROR(IF(I291&gt;0,CONCATENATE(" (",ROUND(I291/G288,1)," fois la perte)"),""),""))</f>
        <v/>
      </c>
      <c r="V291" s="313" t="str">
        <f t="shared" ref="V291" si="550">IF(J291="","",IFERROR(IF(J291&gt;0,"OUI",""),""))</f>
        <v/>
      </c>
      <c r="W291" s="313" t="str">
        <f t="shared" ref="W291" si="551">IF(K291="","",IFERROR(IF(K291&gt;0,"DECLIN FONCTIONNEL",""),""))</f>
        <v/>
      </c>
      <c r="X291" s="298"/>
      <c r="Y291" s="221"/>
      <c r="Z291" s="314">
        <f t="shared" ref="Z291" si="552">IF(AND(E291&lt;&gt;"",E290&lt;&gt;""),1,0)</f>
        <v>0</v>
      </c>
      <c r="AA291" s="297"/>
      <c r="AB291" s="314">
        <f t="shared" ref="AB291" si="553">IF(IFERROR(X288+Z291,0)=0,0,IF(SUM(Z291,X288)=2,1,0))</f>
        <v>0</v>
      </c>
      <c r="AC291" s="297"/>
      <c r="AD291" s="221"/>
      <c r="AE291" s="221"/>
      <c r="AF291" s="313">
        <f t="shared" ref="AF291" si="554">IF(U291&lt;&gt;"",1,IF(OR(AND(Q291&gt;0,Q291&lt;&gt;""),AND(R291&gt;0,R291&lt;&gt;"")),1,0))</f>
        <v>0</v>
      </c>
      <c r="AG291" s="221"/>
      <c r="AH291" s="314">
        <f t="shared" ref="AH291" si="555">IF(V291="OUI",1,0)</f>
        <v>0</v>
      </c>
      <c r="AI291" s="292"/>
    </row>
    <row r="292" spans="1:35" s="197" customFormat="1" ht="45.75" thickBot="1" x14ac:dyDescent="0.25">
      <c r="A292" s="293"/>
      <c r="B292" s="301"/>
      <c r="C292" s="299"/>
      <c r="D292" s="285" t="s">
        <v>478</v>
      </c>
      <c r="E292" s="286" t="str">
        <f>FH62</f>
        <v/>
      </c>
      <c r="F292" s="286" t="str">
        <f>FR62</f>
        <v/>
      </c>
      <c r="G292" s="306"/>
      <c r="H292" s="307"/>
      <c r="I292" s="308"/>
      <c r="J292" s="309"/>
      <c r="K292" s="309"/>
      <c r="L292" s="312" t="str">
        <f t="shared" ref="L292" si="556">IFERROR(IF(F292-F290&gt;0,F292-F290,0),"")</f>
        <v/>
      </c>
      <c r="M292" s="315" t="str">
        <f>IFERROR(IF(AND(H289&gt;0,H289*'SYNTHESE EVAL. EQ. FCT.'!$AC$140&lt;=L292),L292,0),"")</f>
        <v/>
      </c>
      <c r="N292" s="312" t="str">
        <f t="shared" ref="N292" si="557">IFERROR(IF(F292-F290&lt;0,F290-F292,0),"")</f>
        <v/>
      </c>
      <c r="O292" s="312" t="str">
        <f t="shared" si="421"/>
        <v/>
      </c>
      <c r="P292" s="307"/>
      <c r="Q292" s="312">
        <f t="shared" ref="Q292" si="558">IFERROR(IF(L292&gt;M292,L292,0),"")</f>
        <v>0</v>
      </c>
      <c r="R292" s="312" t="str">
        <f t="shared" ref="R292" si="559">IFERROR(IF(L292&gt;M292,0,M292),"")</f>
        <v/>
      </c>
      <c r="S292" s="315" t="str">
        <f t="shared" ref="S292" si="560">IFERROR(N292,"")</f>
        <v/>
      </c>
      <c r="T292" s="306"/>
      <c r="U292" s="328" t="str">
        <f t="shared" ref="U292" si="561">IF(L292="","",IFERROR(IF(L292&gt;0,CONCATENATE(" (",ROUND(L292/H289,1)," fois la perte)"),""),""))</f>
        <v/>
      </c>
      <c r="V292" s="313" t="str">
        <f t="shared" ref="V292" si="562">IF(M292="","",IFERROR(IF(M292&gt;0,"OUI",""),""))</f>
        <v/>
      </c>
      <c r="W292" s="313" t="str">
        <f t="shared" ref="W292" si="563">IF(N292="","",IFERROR(IF(N292&gt;0,"DECLIN FONCTIONNEL",""),""))</f>
        <v/>
      </c>
      <c r="X292" s="306"/>
      <c r="Y292" s="307"/>
      <c r="Z292" s="307"/>
      <c r="AA292" s="314">
        <f t="shared" ref="AA292" si="564">IF(AND(E292&lt;&gt;"",E290&lt;&gt;""),1,0)</f>
        <v>0</v>
      </c>
      <c r="AB292" s="306"/>
      <c r="AC292" s="314">
        <f t="shared" ref="AC292" si="565">IF(IFERROR(Y289+AA292,0)=0,0,IF(SUM(AA292,Y289)=2,1,0))</f>
        <v>0</v>
      </c>
      <c r="AD292" s="221"/>
      <c r="AE292" s="221"/>
      <c r="AF292" s="323"/>
      <c r="AG292" s="328">
        <f t="shared" ref="AG292" si="566">IF(U292&lt;&gt;"",1,IF(OR(AND(Q292&gt;0,Q292&lt;&gt;""),AND(R292&gt;0,R292&lt;&gt;"")),1,0))</f>
        <v>0</v>
      </c>
      <c r="AH292" s="221"/>
      <c r="AI292" s="316">
        <f t="shared" ref="AI292" si="567">IF(V292="OUI",1,0)</f>
        <v>0</v>
      </c>
    </row>
    <row r="293" spans="1:35" s="197" customFormat="1" ht="30" x14ac:dyDescent="0.2">
      <c r="A293" s="293"/>
      <c r="B293" s="266" t="s">
        <v>426</v>
      </c>
      <c r="C293" s="284" t="s">
        <v>474</v>
      </c>
      <c r="D293" s="285" t="s">
        <v>470</v>
      </c>
      <c r="E293" s="286" t="str">
        <f>L87</f>
        <v/>
      </c>
      <c r="F293" s="286" t="str">
        <f>V87</f>
        <v/>
      </c>
      <c r="G293" s="289"/>
      <c r="H293" s="289"/>
      <c r="I293" s="289"/>
      <c r="J293" s="289"/>
      <c r="K293" s="289"/>
      <c r="L293" s="289"/>
      <c r="M293" s="289"/>
      <c r="N293" s="291"/>
      <c r="O293" s="311" t="str">
        <f t="shared" si="394"/>
        <v/>
      </c>
      <c r="P293" s="289"/>
      <c r="Q293" s="289"/>
      <c r="R293" s="289"/>
      <c r="S293" s="289"/>
      <c r="T293" s="288"/>
      <c r="U293" s="221"/>
      <c r="V293" s="289"/>
      <c r="W293" s="291"/>
      <c r="X293" s="288"/>
      <c r="Y293" s="289"/>
      <c r="Z293" s="289"/>
      <c r="AA293" s="291"/>
      <c r="AB293" s="288"/>
      <c r="AC293" s="291"/>
      <c r="AD293" s="221"/>
      <c r="AE293" s="221"/>
      <c r="AF293" s="221"/>
      <c r="AG293" s="221"/>
      <c r="AH293" s="221"/>
      <c r="AI293" s="292"/>
    </row>
    <row r="294" spans="1:35" s="197" customFormat="1" ht="60" x14ac:dyDescent="0.2">
      <c r="A294" s="293"/>
      <c r="B294" s="266"/>
      <c r="C294" s="294"/>
      <c r="D294" s="285" t="s">
        <v>562</v>
      </c>
      <c r="E294" s="286" t="str">
        <f>AR87</f>
        <v/>
      </c>
      <c r="F294" s="286" t="str">
        <f>BB87</f>
        <v/>
      </c>
      <c r="G294" s="312" t="str">
        <f t="shared" ref="G294" si="568">IFERROR(IF(F293-F294&gt;0,F293-F294,0),"")</f>
        <v/>
      </c>
      <c r="H294" s="221"/>
      <c r="I294" s="221"/>
      <c r="J294" s="221"/>
      <c r="K294" s="221"/>
      <c r="L294" s="221"/>
      <c r="M294" s="221"/>
      <c r="N294" s="297"/>
      <c r="O294" s="312" t="str">
        <f t="shared" ref="O294" si="569">IF(F294&gt;F293,F294,IFERROR(IF(O293-P294&gt;0,O293-P294,0),""))</f>
        <v/>
      </c>
      <c r="P294" s="313" t="str">
        <f t="shared" ref="P294" si="570">IFERROR(IF(F293-F294&gt;0,F293-F294,0),"")</f>
        <v/>
      </c>
      <c r="Q294" s="221"/>
      <c r="R294" s="221"/>
      <c r="S294" s="221"/>
      <c r="T294" s="313" t="str">
        <f t="shared" ref="T294" si="571">IF(G294="","",IFERROR(IF(G294&gt;0,"PERTE FONCTIONNELLE",""),""))</f>
        <v/>
      </c>
      <c r="U294" s="221"/>
      <c r="V294" s="221"/>
      <c r="W294" s="297"/>
      <c r="X294" s="314">
        <f t="shared" ref="X294" si="572">IF(AND(E294&lt;&gt;"",E293&lt;&gt;""),1,0)</f>
        <v>0</v>
      </c>
      <c r="Y294" s="221"/>
      <c r="Z294" s="221"/>
      <c r="AA294" s="297"/>
      <c r="AB294" s="298"/>
      <c r="AC294" s="297"/>
      <c r="AD294" s="314">
        <f>IF(T294="PERTE FONCTIONNELLE",1,0)</f>
        <v>0</v>
      </c>
      <c r="AE294" s="221"/>
      <c r="AF294" s="221"/>
      <c r="AG294" s="221"/>
      <c r="AH294" s="221"/>
      <c r="AI294" s="292"/>
    </row>
    <row r="295" spans="1:35" s="197" customFormat="1" ht="30" x14ac:dyDescent="0.2">
      <c r="A295" s="293"/>
      <c r="B295" s="266"/>
      <c r="C295" s="299"/>
      <c r="D295" s="285" t="s">
        <v>471</v>
      </c>
      <c r="E295" s="286" t="str">
        <f>BX87</f>
        <v/>
      </c>
      <c r="F295" s="286" t="str">
        <f>CH87</f>
        <v/>
      </c>
      <c r="G295" s="298"/>
      <c r="H295" s="313" t="str">
        <f t="shared" ref="H295" si="573">IFERROR(IF(F293-F295&gt;0,F293-F295,0),"")</f>
        <v/>
      </c>
      <c r="I295" s="221"/>
      <c r="J295" s="221"/>
      <c r="K295" s="221"/>
      <c r="L295" s="221"/>
      <c r="M295" s="221"/>
      <c r="N295" s="297"/>
      <c r="O295" s="311" t="str">
        <f t="shared" ref="O295" si="574">IF(F295&gt;F293,F295,IFERROR(IF(O293-P295&gt;0,O293-P295,0),""))</f>
        <v/>
      </c>
      <c r="P295" s="313" t="str">
        <f t="shared" ref="P295" si="575">IFERROR(IF(F293-F295&gt;0,F293-F295,0),"")</f>
        <v/>
      </c>
      <c r="Q295" s="221"/>
      <c r="R295" s="221"/>
      <c r="S295" s="221"/>
      <c r="T295" s="313" t="str">
        <f t="shared" ref="T295" si="576">IF(H295="","",IFERROR(IF(H295&gt;0,"PERTE FONCTIONNELLE",""),""))</f>
        <v/>
      </c>
      <c r="U295" s="221"/>
      <c r="V295" s="221"/>
      <c r="W295" s="297"/>
      <c r="X295" s="298"/>
      <c r="Y295" s="314">
        <f t="shared" ref="Y295" si="577">IF(AND(E295&lt;&gt;"",E293&lt;&gt;""),1,0)</f>
        <v>0</v>
      </c>
      <c r="Z295" s="221"/>
      <c r="AA295" s="297"/>
      <c r="AB295" s="298"/>
      <c r="AC295" s="297"/>
      <c r="AD295" s="221"/>
      <c r="AE295" s="314">
        <f>IF(T295="PERTE FONCTIONNELLE",1,0)</f>
        <v>0</v>
      </c>
      <c r="AF295" s="221"/>
      <c r="AG295" s="221"/>
      <c r="AH295" s="221"/>
      <c r="AI295" s="292"/>
    </row>
    <row r="296" spans="1:35" s="197" customFormat="1" ht="45" x14ac:dyDescent="0.2">
      <c r="A296" s="293"/>
      <c r="B296" s="266"/>
      <c r="C296" s="284" t="s">
        <v>475</v>
      </c>
      <c r="D296" s="285" t="s">
        <v>476</v>
      </c>
      <c r="E296" s="286" t="str">
        <f>DD87</f>
        <v/>
      </c>
      <c r="F296" s="286" t="str">
        <f>DN87</f>
        <v/>
      </c>
      <c r="G296" s="298"/>
      <c r="H296" s="221"/>
      <c r="I296" s="221"/>
      <c r="J296" s="221"/>
      <c r="K296" s="221"/>
      <c r="L296" s="221"/>
      <c r="M296" s="221"/>
      <c r="N296" s="297"/>
      <c r="O296" s="311" t="str">
        <f t="shared" si="405"/>
        <v/>
      </c>
      <c r="P296" s="221"/>
      <c r="Q296" s="221"/>
      <c r="R296" s="221"/>
      <c r="S296" s="221"/>
      <c r="T296" s="298"/>
      <c r="U296" s="221"/>
      <c r="V296" s="221"/>
      <c r="W296" s="297"/>
      <c r="X296" s="298"/>
      <c r="Y296" s="221"/>
      <c r="Z296" s="221"/>
      <c r="AA296" s="297"/>
      <c r="AB296" s="298"/>
      <c r="AC296" s="297"/>
      <c r="AD296" s="221"/>
      <c r="AE296" s="221"/>
      <c r="AF296" s="221"/>
      <c r="AG296" s="221"/>
      <c r="AH296" s="221"/>
      <c r="AI296" s="292"/>
    </row>
    <row r="297" spans="1:35" s="197" customFormat="1" ht="60" x14ac:dyDescent="0.2">
      <c r="A297" s="293"/>
      <c r="B297" s="266"/>
      <c r="C297" s="294"/>
      <c r="D297" s="285" t="s">
        <v>477</v>
      </c>
      <c r="E297" s="286" t="str">
        <f>EJ87</f>
        <v/>
      </c>
      <c r="F297" s="286" t="str">
        <f>ET87</f>
        <v/>
      </c>
      <c r="G297" s="298"/>
      <c r="H297" s="221"/>
      <c r="I297" s="312" t="str">
        <f t="shared" ref="I297" si="578">IFERROR(IF(F297-F296&gt;0,F297-F296,0),"")</f>
        <v/>
      </c>
      <c r="J297" s="312" t="str">
        <f>IFERROR(IF(AND(G294&gt;0,G294*'SYNTHESE EVAL. EQ. FCT.'!$AC$140&lt;=I297),I297,0),"")</f>
        <v/>
      </c>
      <c r="K297" s="312" t="str">
        <f t="shared" ref="K297" si="579">IFERROR(IF(F297-F296&lt;0,F296-F297,0),"")</f>
        <v/>
      </c>
      <c r="L297" s="296"/>
      <c r="M297" s="296"/>
      <c r="N297" s="297"/>
      <c r="O297" s="312" t="str">
        <f t="shared" si="408"/>
        <v/>
      </c>
      <c r="P297" s="221"/>
      <c r="Q297" s="312">
        <f t="shared" ref="Q297" si="580">IFERROR(IF(AND(F297&gt;F296,I297&gt;J297),I297,0),"")</f>
        <v>0</v>
      </c>
      <c r="R297" s="312" t="str">
        <f t="shared" ref="R297" si="581">IFERROR(IF(AND(F297&gt;F296,I297&gt;J297),0,I297),"")</f>
        <v/>
      </c>
      <c r="S297" s="315" t="str">
        <f t="shared" ref="S297" si="582">IFERROR(K297,"")</f>
        <v/>
      </c>
      <c r="T297" s="298"/>
      <c r="U297" s="313" t="str">
        <f t="shared" ref="U297" si="583">IF(I297="","",IFERROR(IF(I297&gt;0,CONCATENATE(" (",ROUND(I297/G294,1)," fois la perte)"),""),""))</f>
        <v/>
      </c>
      <c r="V297" s="313" t="str">
        <f t="shared" ref="V297" si="584">IF(J297="","",IFERROR(IF(J297&gt;0,"OUI",""),""))</f>
        <v/>
      </c>
      <c r="W297" s="313" t="str">
        <f t="shared" ref="W297" si="585">IF(K297="","",IFERROR(IF(K297&gt;0,"DECLIN FONCTIONNEL",""),""))</f>
        <v/>
      </c>
      <c r="X297" s="298"/>
      <c r="Y297" s="221"/>
      <c r="Z297" s="314">
        <f t="shared" ref="Z297" si="586">IF(AND(E297&lt;&gt;"",E296&lt;&gt;""),1,0)</f>
        <v>0</v>
      </c>
      <c r="AA297" s="297"/>
      <c r="AB297" s="314">
        <f t="shared" ref="AB297" si="587">IF(IFERROR(X294+Z297,0)=0,0,IF(SUM(Z297,X294)=2,1,0))</f>
        <v>0</v>
      </c>
      <c r="AC297" s="297"/>
      <c r="AD297" s="221"/>
      <c r="AE297" s="221"/>
      <c r="AF297" s="313">
        <f t="shared" ref="AF297" si="588">IF(U297&lt;&gt;"",1,IF(OR(AND(Q297&gt;0,Q297&lt;&gt;""),AND(R297&gt;0,R297&lt;&gt;"")),1,0))</f>
        <v>0</v>
      </c>
      <c r="AG297" s="221"/>
      <c r="AH297" s="314">
        <f t="shared" ref="AH297" si="589">IF(V297="OUI",1,0)</f>
        <v>0</v>
      </c>
      <c r="AI297" s="292"/>
    </row>
    <row r="298" spans="1:35" s="197" customFormat="1" ht="45.75" thickBot="1" x14ac:dyDescent="0.25">
      <c r="A298" s="293"/>
      <c r="B298" s="266"/>
      <c r="C298" s="299"/>
      <c r="D298" s="285" t="s">
        <v>478</v>
      </c>
      <c r="E298" s="286" t="str">
        <f>FP87</f>
        <v/>
      </c>
      <c r="F298" s="286" t="str">
        <f>FZ87</f>
        <v/>
      </c>
      <c r="G298" s="306"/>
      <c r="H298" s="307"/>
      <c r="I298" s="308"/>
      <c r="J298" s="309"/>
      <c r="K298" s="309"/>
      <c r="L298" s="312" t="str">
        <f t="shared" ref="L298" si="590">IFERROR(IF(F298-F296&gt;0,F298-F296,0),"")</f>
        <v/>
      </c>
      <c r="M298" s="315" t="str">
        <f>IFERROR(IF(AND(H295&gt;0,H295*'SYNTHESE EVAL. EQ. FCT.'!$AC$140&lt;=L298),L298,0),"")</f>
        <v/>
      </c>
      <c r="N298" s="312" t="str">
        <f t="shared" ref="N298" si="591">IFERROR(IF(F298-F296&lt;0,F296-F298,0),"")</f>
        <v/>
      </c>
      <c r="O298" s="312" t="str">
        <f t="shared" si="421"/>
        <v/>
      </c>
      <c r="P298" s="307"/>
      <c r="Q298" s="312">
        <f t="shared" ref="Q298" si="592">IFERROR(IF(L298&gt;M298,L298,0),"")</f>
        <v>0</v>
      </c>
      <c r="R298" s="312" t="str">
        <f t="shared" ref="R298" si="593">IFERROR(IF(L298&gt;M298,0,M298),"")</f>
        <v/>
      </c>
      <c r="S298" s="315" t="str">
        <f t="shared" ref="S298" si="594">IFERROR(N298,"")</f>
        <v/>
      </c>
      <c r="T298" s="306"/>
      <c r="U298" s="328" t="str">
        <f t="shared" ref="U298" si="595">IF(L298="","",IFERROR(IF(L298&gt;0,CONCATENATE(" (",ROUND(L298/H295,1)," fois la perte)"),""),""))</f>
        <v/>
      </c>
      <c r="V298" s="313" t="str">
        <f t="shared" ref="V298" si="596">IF(M298="","",IFERROR(IF(M298&gt;0,"OUI",""),""))</f>
        <v/>
      </c>
      <c r="W298" s="313" t="str">
        <f t="shared" ref="W298" si="597">IF(N298="","",IFERROR(IF(N298&gt;0,"DECLIN FONCTIONNEL",""),""))</f>
        <v/>
      </c>
      <c r="X298" s="306"/>
      <c r="Y298" s="307"/>
      <c r="Z298" s="307"/>
      <c r="AA298" s="314">
        <f t="shared" ref="AA298" si="598">IF(AND(E298&lt;&gt;"",E296&lt;&gt;""),1,0)</f>
        <v>0</v>
      </c>
      <c r="AB298" s="306"/>
      <c r="AC298" s="314">
        <f t="shared" ref="AC298" si="599">IF(IFERROR(Y295+AA298,0)=0,0,IF(SUM(AA298,Y295)=2,1,0))</f>
        <v>0</v>
      </c>
      <c r="AD298" s="221"/>
      <c r="AE298" s="221"/>
      <c r="AF298" s="323"/>
      <c r="AG298" s="328">
        <f t="shared" ref="AG298" si="600">IF(U298&lt;&gt;"",1,IF(OR(AND(Q298&gt;0,Q298&lt;&gt;""),AND(R298&gt;0,R298&lt;&gt;"")),1,0))</f>
        <v>0</v>
      </c>
      <c r="AH298" s="221"/>
      <c r="AI298" s="316">
        <f t="shared" ref="AI298" si="601">IF(V298="OUI",1,0)</f>
        <v>0</v>
      </c>
    </row>
    <row r="299" spans="1:35" s="197" customFormat="1" ht="30" x14ac:dyDescent="0.2">
      <c r="A299" s="293"/>
      <c r="B299" s="303" t="s">
        <v>155</v>
      </c>
      <c r="C299" s="284" t="s">
        <v>474</v>
      </c>
      <c r="D299" s="285" t="s">
        <v>470</v>
      </c>
      <c r="E299" s="286" t="str">
        <f>L85</f>
        <v/>
      </c>
      <c r="F299" s="286" t="str">
        <f>V85</f>
        <v/>
      </c>
      <c r="G299" s="289"/>
      <c r="H299" s="289"/>
      <c r="I299" s="289"/>
      <c r="J299" s="289"/>
      <c r="K299" s="289"/>
      <c r="L299" s="289"/>
      <c r="M299" s="289"/>
      <c r="N299" s="291"/>
      <c r="O299" s="311" t="str">
        <f t="shared" si="394"/>
        <v/>
      </c>
      <c r="P299" s="289"/>
      <c r="Q299" s="289"/>
      <c r="R299" s="289"/>
      <c r="S299" s="289"/>
      <c r="T299" s="288"/>
      <c r="U299" s="221"/>
      <c r="V299" s="289"/>
      <c r="W299" s="291"/>
      <c r="X299" s="288"/>
      <c r="Y299" s="289"/>
      <c r="Z299" s="289"/>
      <c r="AA299" s="291"/>
      <c r="AB299" s="288"/>
      <c r="AC299" s="291"/>
      <c r="AD299" s="221"/>
      <c r="AE299" s="221"/>
      <c r="AF299" s="221"/>
      <c r="AG299" s="221"/>
      <c r="AH299" s="221"/>
      <c r="AI299" s="292"/>
    </row>
    <row r="300" spans="1:35" s="197" customFormat="1" ht="60" x14ac:dyDescent="0.2">
      <c r="A300" s="293"/>
      <c r="B300" s="283"/>
      <c r="C300" s="294"/>
      <c r="D300" s="285" t="s">
        <v>562</v>
      </c>
      <c r="E300" s="286" t="str">
        <f>AR85</f>
        <v/>
      </c>
      <c r="F300" s="286" t="str">
        <f>BB85</f>
        <v/>
      </c>
      <c r="G300" s="312" t="str">
        <f t="shared" ref="G300" si="602">IFERROR(IF(F299-F300&gt;0,F299-F300,0),"")</f>
        <v/>
      </c>
      <c r="H300" s="221"/>
      <c r="I300" s="221"/>
      <c r="J300" s="221"/>
      <c r="K300" s="221"/>
      <c r="L300" s="221"/>
      <c r="M300" s="221"/>
      <c r="N300" s="297"/>
      <c r="O300" s="312" t="str">
        <f t="shared" ref="O300" si="603">IF(F300&gt;F299,F300,IFERROR(IF(O299-P300&gt;0,O299-P300,0),""))</f>
        <v/>
      </c>
      <c r="P300" s="313" t="str">
        <f t="shared" ref="P300" si="604">IFERROR(IF(F299-F300&gt;0,F299-F300,0),"")</f>
        <v/>
      </c>
      <c r="Q300" s="221"/>
      <c r="R300" s="221"/>
      <c r="S300" s="221"/>
      <c r="T300" s="313" t="str">
        <f t="shared" ref="T300" si="605">IF(G300="","",IFERROR(IF(G300&gt;0,"PERTE FONCTIONNELLE",""),""))</f>
        <v/>
      </c>
      <c r="U300" s="221"/>
      <c r="V300" s="221"/>
      <c r="W300" s="297"/>
      <c r="X300" s="314">
        <f t="shared" ref="X300" si="606">IF(AND(E300&lt;&gt;"",E299&lt;&gt;""),1,0)</f>
        <v>0</v>
      </c>
      <c r="Y300" s="221"/>
      <c r="Z300" s="221"/>
      <c r="AA300" s="297"/>
      <c r="AB300" s="298"/>
      <c r="AC300" s="297"/>
      <c r="AD300" s="314">
        <f>IF(T300="PERTE FONCTIONNELLE",1,0)</f>
        <v>0</v>
      </c>
      <c r="AE300" s="221"/>
      <c r="AF300" s="221"/>
      <c r="AG300" s="221"/>
      <c r="AH300" s="221"/>
      <c r="AI300" s="292"/>
    </row>
    <row r="301" spans="1:35" s="197" customFormat="1" ht="30" x14ac:dyDescent="0.2">
      <c r="A301" s="293"/>
      <c r="B301" s="283"/>
      <c r="C301" s="299"/>
      <c r="D301" s="285" t="s">
        <v>471</v>
      </c>
      <c r="E301" s="286" t="str">
        <f>BX85</f>
        <v/>
      </c>
      <c r="F301" s="286" t="str">
        <f>CH85</f>
        <v/>
      </c>
      <c r="G301" s="298"/>
      <c r="H301" s="313" t="str">
        <f t="shared" ref="H301" si="607">IFERROR(IF(F299-F301&gt;0,F299-F301,0),"")</f>
        <v/>
      </c>
      <c r="I301" s="221"/>
      <c r="J301" s="221"/>
      <c r="K301" s="221"/>
      <c r="L301" s="221"/>
      <c r="M301" s="221"/>
      <c r="N301" s="297"/>
      <c r="O301" s="311" t="str">
        <f t="shared" ref="O301" si="608">IF(F301&gt;F299,F301,IFERROR(IF(O299-P301&gt;0,O299-P301,0),""))</f>
        <v/>
      </c>
      <c r="P301" s="313" t="str">
        <f t="shared" ref="P301" si="609">IFERROR(IF(F299-F301&gt;0,F299-F301,0),"")</f>
        <v/>
      </c>
      <c r="Q301" s="221"/>
      <c r="R301" s="221"/>
      <c r="S301" s="221"/>
      <c r="T301" s="313" t="str">
        <f t="shared" ref="T301" si="610">IF(H301="","",IFERROR(IF(H301&gt;0,"PERTE FONCTIONNELLE",""),""))</f>
        <v/>
      </c>
      <c r="U301" s="221"/>
      <c r="V301" s="221"/>
      <c r="W301" s="297"/>
      <c r="X301" s="298"/>
      <c r="Y301" s="314">
        <f t="shared" ref="Y301" si="611">IF(AND(E301&lt;&gt;"",E299&lt;&gt;""),1,0)</f>
        <v>0</v>
      </c>
      <c r="Z301" s="221"/>
      <c r="AA301" s="297"/>
      <c r="AB301" s="298"/>
      <c r="AC301" s="297"/>
      <c r="AD301" s="221"/>
      <c r="AE301" s="314">
        <f>IF(T301="PERTE FONCTIONNELLE",1,0)</f>
        <v>0</v>
      </c>
      <c r="AF301" s="221"/>
      <c r="AG301" s="221"/>
      <c r="AH301" s="221"/>
      <c r="AI301" s="292"/>
    </row>
    <row r="302" spans="1:35" s="197" customFormat="1" ht="15" customHeight="1" x14ac:dyDescent="0.2">
      <c r="A302" s="293"/>
      <c r="B302" s="283"/>
      <c r="C302" s="284" t="s">
        <v>475</v>
      </c>
      <c r="D302" s="285" t="s">
        <v>476</v>
      </c>
      <c r="E302" s="286" t="str">
        <f>DD85</f>
        <v/>
      </c>
      <c r="F302" s="286" t="str">
        <f>DN85</f>
        <v/>
      </c>
      <c r="G302" s="298"/>
      <c r="H302" s="221"/>
      <c r="I302" s="221"/>
      <c r="J302" s="221"/>
      <c r="K302" s="221"/>
      <c r="L302" s="221"/>
      <c r="M302" s="221"/>
      <c r="N302" s="297"/>
      <c r="O302" s="311" t="str">
        <f t="shared" si="405"/>
        <v/>
      </c>
      <c r="P302" s="221"/>
      <c r="Q302" s="221"/>
      <c r="R302" s="221"/>
      <c r="S302" s="221"/>
      <c r="T302" s="298"/>
      <c r="U302" s="221"/>
      <c r="V302" s="221"/>
      <c r="W302" s="297"/>
      <c r="X302" s="298"/>
      <c r="Y302" s="221"/>
      <c r="Z302" s="221"/>
      <c r="AA302" s="297"/>
      <c r="AB302" s="298"/>
      <c r="AC302" s="297"/>
      <c r="AD302" s="221"/>
      <c r="AE302" s="221"/>
      <c r="AF302" s="221"/>
      <c r="AG302" s="221"/>
      <c r="AH302" s="221"/>
      <c r="AI302" s="292"/>
    </row>
    <row r="303" spans="1:35" s="197" customFormat="1" ht="15" customHeight="1" x14ac:dyDescent="0.2">
      <c r="A303" s="293"/>
      <c r="B303" s="283"/>
      <c r="C303" s="294"/>
      <c r="D303" s="285" t="s">
        <v>477</v>
      </c>
      <c r="E303" s="286" t="str">
        <f>EJ85</f>
        <v/>
      </c>
      <c r="F303" s="286" t="str">
        <f>ET85</f>
        <v/>
      </c>
      <c r="G303" s="298"/>
      <c r="H303" s="221"/>
      <c r="I303" s="312" t="str">
        <f t="shared" ref="I303" si="612">IFERROR(IF(F303-F302&gt;0,F303-F302,0),"")</f>
        <v/>
      </c>
      <c r="J303" s="312" t="str">
        <f>IFERROR(IF(AND(G300&gt;0,G300*'SYNTHESE EVAL. EQ. FCT.'!$AC$140&lt;=I303),I303,0),"")</f>
        <v/>
      </c>
      <c r="K303" s="312" t="str">
        <f t="shared" ref="K303" si="613">IFERROR(IF(F303-F302&lt;0,F302-F303,0),"")</f>
        <v/>
      </c>
      <c r="L303" s="296"/>
      <c r="M303" s="296"/>
      <c r="N303" s="297"/>
      <c r="O303" s="312" t="str">
        <f t="shared" si="408"/>
        <v/>
      </c>
      <c r="P303" s="221"/>
      <c r="Q303" s="312">
        <f t="shared" ref="Q303" si="614">IFERROR(IF(AND(F303&gt;F302,I303&gt;J303),I303,0),"")</f>
        <v>0</v>
      </c>
      <c r="R303" s="312" t="str">
        <f t="shared" ref="R303" si="615">IFERROR(IF(AND(F303&gt;F302,I303&gt;J303),0,I303),"")</f>
        <v/>
      </c>
      <c r="S303" s="315" t="str">
        <f t="shared" ref="S303" si="616">IFERROR(K303,"")</f>
        <v/>
      </c>
      <c r="T303" s="298"/>
      <c r="U303" s="313" t="str">
        <f t="shared" ref="U303" si="617">IF(I303="","",IFERROR(IF(I303&gt;0,CONCATENATE(" (",ROUND(I303/G300,1)," fois la perte)"),""),""))</f>
        <v/>
      </c>
      <c r="V303" s="313" t="str">
        <f t="shared" ref="V303" si="618">IF(J303="","",IFERROR(IF(J303&gt;0,"OUI",""),""))</f>
        <v/>
      </c>
      <c r="W303" s="313" t="str">
        <f t="shared" ref="W303" si="619">IF(K303="","",IFERROR(IF(K303&gt;0,"DECLIN FONCTIONNEL",""),""))</f>
        <v/>
      </c>
      <c r="X303" s="298"/>
      <c r="Y303" s="221"/>
      <c r="Z303" s="314">
        <f t="shared" ref="Z303" si="620">IF(AND(E303&lt;&gt;"",E302&lt;&gt;""),1,0)</f>
        <v>0</v>
      </c>
      <c r="AA303" s="297"/>
      <c r="AB303" s="314">
        <f t="shared" ref="AB303" si="621">IF(IFERROR(X300+Z303,0)=0,0,IF(SUM(Z303,X300)=2,1,0))</f>
        <v>0</v>
      </c>
      <c r="AC303" s="297"/>
      <c r="AD303" s="221"/>
      <c r="AE303" s="221"/>
      <c r="AF303" s="313">
        <f t="shared" ref="AF303" si="622">IF(U303&lt;&gt;"",1,IF(OR(AND(Q303&gt;0,Q303&lt;&gt;""),AND(R303&gt;0,R303&lt;&gt;"")),1,0))</f>
        <v>0</v>
      </c>
      <c r="AG303" s="221"/>
      <c r="AH303" s="314">
        <f t="shared" ref="AH303" si="623">IF(V303="OUI",1,0)</f>
        <v>0</v>
      </c>
      <c r="AI303" s="292"/>
    </row>
    <row r="304" spans="1:35" s="197" customFormat="1" ht="15" customHeight="1" thickBot="1" x14ac:dyDescent="0.25">
      <c r="A304" s="293"/>
      <c r="B304" s="301"/>
      <c r="C304" s="299"/>
      <c r="D304" s="285" t="s">
        <v>478</v>
      </c>
      <c r="E304" s="286" t="str">
        <f>FP85</f>
        <v/>
      </c>
      <c r="F304" s="286" t="str">
        <f>FZ85</f>
        <v/>
      </c>
      <c r="G304" s="306"/>
      <c r="H304" s="307"/>
      <c r="I304" s="308"/>
      <c r="J304" s="309"/>
      <c r="K304" s="309"/>
      <c r="L304" s="312" t="str">
        <f t="shared" ref="L304" si="624">IFERROR(IF(F304-F302&gt;0,F304-F302,0),"")</f>
        <v/>
      </c>
      <c r="M304" s="315" t="str">
        <f>IFERROR(IF(AND(H301&gt;0,H301*'SYNTHESE EVAL. EQ. FCT.'!$AC$140&lt;=L304),L304,0),"")</f>
        <v/>
      </c>
      <c r="N304" s="312" t="str">
        <f t="shared" ref="N304" si="625">IFERROR(IF(F304-F302&lt;0,F302-F304,0),"")</f>
        <v/>
      </c>
      <c r="O304" s="312" t="str">
        <f t="shared" si="421"/>
        <v/>
      </c>
      <c r="P304" s="307"/>
      <c r="Q304" s="312">
        <f t="shared" ref="Q304" si="626">IFERROR(IF(L304&gt;M304,L304,0),"")</f>
        <v>0</v>
      </c>
      <c r="R304" s="312" t="str">
        <f t="shared" ref="R304" si="627">IFERROR(IF(L304&gt;M304,0,M304),"")</f>
        <v/>
      </c>
      <c r="S304" s="315" t="str">
        <f t="shared" ref="S304" si="628">IFERROR(N304,"")</f>
        <v/>
      </c>
      <c r="T304" s="306"/>
      <c r="U304" s="328" t="str">
        <f t="shared" ref="U304" si="629">IF(L304="","",IFERROR(IF(L304&gt;0,CONCATENATE(" (",ROUND(L304/H301,1)," fois la perte)"),""),""))</f>
        <v/>
      </c>
      <c r="V304" s="313" t="str">
        <f t="shared" ref="V304" si="630">IF(M304="","",IFERROR(IF(M304&gt;0,"OUI",""),""))</f>
        <v/>
      </c>
      <c r="W304" s="313" t="str">
        <f t="shared" ref="W304" si="631">IF(N304="","",IFERROR(IF(N304&gt;0,"DECLIN FONCTIONNEL",""),""))</f>
        <v/>
      </c>
      <c r="X304" s="306"/>
      <c r="Y304" s="307"/>
      <c r="Z304" s="307"/>
      <c r="AA304" s="314">
        <f t="shared" ref="AA304" si="632">IF(AND(E304&lt;&gt;"",E302&lt;&gt;""),1,0)</f>
        <v>0</v>
      </c>
      <c r="AB304" s="306"/>
      <c r="AC304" s="314">
        <f t="shared" ref="AC304" si="633">IF(IFERROR(Y301+AA304,0)=0,0,IF(SUM(AA304,Y301)=2,1,0))</f>
        <v>0</v>
      </c>
      <c r="AD304" s="221"/>
      <c r="AE304" s="221"/>
      <c r="AF304" s="323"/>
      <c r="AG304" s="328">
        <f t="shared" ref="AG304" si="634">IF(U304&lt;&gt;"",1,IF(OR(AND(Q304&gt;0,Q304&lt;&gt;""),AND(R304&gt;0,R304&lt;&gt;"")),1,0))</f>
        <v>0</v>
      </c>
      <c r="AH304" s="221"/>
      <c r="AI304" s="316">
        <f t="shared" ref="AI304" si="635">IF(V304="OUI",1,0)</f>
        <v>0</v>
      </c>
    </row>
    <row r="305" spans="1:35" s="197" customFormat="1" ht="15" customHeight="1" x14ac:dyDescent="0.2">
      <c r="A305" s="293"/>
      <c r="B305" s="266" t="s">
        <v>139</v>
      </c>
      <c r="C305" s="284" t="s">
        <v>474</v>
      </c>
      <c r="D305" s="285" t="s">
        <v>470</v>
      </c>
      <c r="E305" s="286" t="str">
        <f>D60</f>
        <v/>
      </c>
      <c r="F305" s="286" t="str">
        <f>N60</f>
        <v/>
      </c>
      <c r="G305" s="289"/>
      <c r="H305" s="289"/>
      <c r="I305" s="289"/>
      <c r="J305" s="289"/>
      <c r="K305" s="289"/>
      <c r="L305" s="289"/>
      <c r="M305" s="289"/>
      <c r="N305" s="291"/>
      <c r="O305" s="311" t="str">
        <f t="shared" si="394"/>
        <v/>
      </c>
      <c r="P305" s="289"/>
      <c r="Q305" s="289"/>
      <c r="R305" s="289"/>
      <c r="S305" s="289"/>
      <c r="T305" s="288"/>
      <c r="U305" s="221"/>
      <c r="V305" s="289"/>
      <c r="W305" s="291"/>
      <c r="X305" s="288"/>
      <c r="Y305" s="289"/>
      <c r="Z305" s="289"/>
      <c r="AA305" s="291"/>
      <c r="AB305" s="288"/>
      <c r="AC305" s="291"/>
      <c r="AD305" s="221"/>
      <c r="AE305" s="221"/>
      <c r="AF305" s="221"/>
      <c r="AG305" s="221"/>
      <c r="AH305" s="221"/>
      <c r="AI305" s="292"/>
    </row>
    <row r="306" spans="1:35" s="197" customFormat="1" ht="15" customHeight="1" x14ac:dyDescent="0.2">
      <c r="A306" s="293"/>
      <c r="B306" s="266"/>
      <c r="C306" s="294"/>
      <c r="D306" s="285" t="s">
        <v>562</v>
      </c>
      <c r="E306" s="286" t="str">
        <f>AJ60</f>
        <v/>
      </c>
      <c r="F306" s="286" t="str">
        <f>AT60</f>
        <v/>
      </c>
      <c r="G306" s="312" t="str">
        <f t="shared" ref="G306" si="636">IFERROR(IF(F305-F306&gt;0,F305-F306,0),"")</f>
        <v/>
      </c>
      <c r="H306" s="221"/>
      <c r="I306" s="221"/>
      <c r="J306" s="221"/>
      <c r="K306" s="221"/>
      <c r="L306" s="221"/>
      <c r="M306" s="221"/>
      <c r="N306" s="297"/>
      <c r="O306" s="312" t="str">
        <f t="shared" ref="O306" si="637">IF(F306&gt;F305,F306,IFERROR(IF(O305-P306&gt;0,O305-P306,0),""))</f>
        <v/>
      </c>
      <c r="P306" s="313" t="str">
        <f t="shared" ref="P306" si="638">IFERROR(IF(F305-F306&gt;0,F305-F306,0),"")</f>
        <v/>
      </c>
      <c r="Q306" s="221"/>
      <c r="R306" s="221"/>
      <c r="S306" s="221"/>
      <c r="T306" s="313" t="str">
        <f t="shared" ref="T306" si="639">IF(G306="","",IFERROR(IF(G306&gt;0,"PERTE FONCTIONNELLE",""),""))</f>
        <v/>
      </c>
      <c r="U306" s="221"/>
      <c r="V306" s="221"/>
      <c r="W306" s="297"/>
      <c r="X306" s="314">
        <f t="shared" ref="X306" si="640">IF(AND(E306&lt;&gt;"",E305&lt;&gt;""),1,0)</f>
        <v>0</v>
      </c>
      <c r="Y306" s="221"/>
      <c r="Z306" s="221"/>
      <c r="AA306" s="297"/>
      <c r="AB306" s="298"/>
      <c r="AC306" s="297"/>
      <c r="AD306" s="314">
        <f>IF(T306="PERTE FONCTIONNELLE",1,0)</f>
        <v>0</v>
      </c>
      <c r="AE306" s="221"/>
      <c r="AF306" s="221"/>
      <c r="AG306" s="221"/>
      <c r="AH306" s="221"/>
      <c r="AI306" s="292"/>
    </row>
    <row r="307" spans="1:35" s="197" customFormat="1" ht="15" customHeight="1" x14ac:dyDescent="0.2">
      <c r="A307" s="293"/>
      <c r="B307" s="266"/>
      <c r="C307" s="299"/>
      <c r="D307" s="285" t="s">
        <v>471</v>
      </c>
      <c r="E307" s="286" t="str">
        <f>BP60</f>
        <v/>
      </c>
      <c r="F307" s="286" t="str">
        <f>BZ60</f>
        <v/>
      </c>
      <c r="G307" s="298"/>
      <c r="H307" s="313" t="str">
        <f t="shared" ref="H307" si="641">IFERROR(IF(F305-F307&gt;0,F305-F307,0),"")</f>
        <v/>
      </c>
      <c r="I307" s="221"/>
      <c r="J307" s="221"/>
      <c r="K307" s="221"/>
      <c r="L307" s="221"/>
      <c r="M307" s="221"/>
      <c r="N307" s="297"/>
      <c r="O307" s="311" t="str">
        <f t="shared" ref="O307" si="642">IF(F307&gt;F305,F307,IFERROR(IF(O305-P307&gt;0,O305-P307,0),""))</f>
        <v/>
      </c>
      <c r="P307" s="313" t="str">
        <f t="shared" ref="P307" si="643">IFERROR(IF(F305-F307&gt;0,F305-F307,0),"")</f>
        <v/>
      </c>
      <c r="Q307" s="221"/>
      <c r="R307" s="221"/>
      <c r="S307" s="221"/>
      <c r="T307" s="313" t="str">
        <f t="shared" ref="T307" si="644">IF(H307="","",IFERROR(IF(H307&gt;0,"PERTE FONCTIONNELLE",""),""))</f>
        <v/>
      </c>
      <c r="U307" s="221"/>
      <c r="V307" s="221"/>
      <c r="W307" s="297"/>
      <c r="X307" s="298"/>
      <c r="Y307" s="314">
        <f t="shared" ref="Y307" si="645">IF(AND(E307&lt;&gt;"",E305&lt;&gt;""),1,0)</f>
        <v>0</v>
      </c>
      <c r="Z307" s="221"/>
      <c r="AA307" s="297"/>
      <c r="AB307" s="298"/>
      <c r="AC307" s="297"/>
      <c r="AD307" s="221"/>
      <c r="AE307" s="314">
        <f>IF(T307="PERTE FONCTIONNELLE",1,0)</f>
        <v>0</v>
      </c>
      <c r="AF307" s="221"/>
      <c r="AG307" s="221"/>
      <c r="AH307" s="221"/>
      <c r="AI307" s="292"/>
    </row>
    <row r="308" spans="1:35" s="197" customFormat="1" ht="15" customHeight="1" x14ac:dyDescent="0.2">
      <c r="A308" s="293"/>
      <c r="B308" s="266"/>
      <c r="C308" s="284" t="s">
        <v>475</v>
      </c>
      <c r="D308" s="285" t="s">
        <v>476</v>
      </c>
      <c r="E308" s="286" t="str">
        <f>CV60</f>
        <v/>
      </c>
      <c r="F308" s="286" t="str">
        <f>DF60</f>
        <v/>
      </c>
      <c r="G308" s="298"/>
      <c r="H308" s="221"/>
      <c r="I308" s="221"/>
      <c r="J308" s="221"/>
      <c r="K308" s="221"/>
      <c r="L308" s="221"/>
      <c r="M308" s="221"/>
      <c r="N308" s="297"/>
      <c r="O308" s="311" t="str">
        <f t="shared" si="405"/>
        <v/>
      </c>
      <c r="P308" s="221"/>
      <c r="Q308" s="221"/>
      <c r="R308" s="221"/>
      <c r="S308" s="221"/>
      <c r="T308" s="298"/>
      <c r="U308" s="221"/>
      <c r="V308" s="221"/>
      <c r="W308" s="297"/>
      <c r="X308" s="298"/>
      <c r="Y308" s="221"/>
      <c r="Z308" s="221"/>
      <c r="AA308" s="297"/>
      <c r="AB308" s="298"/>
      <c r="AC308" s="297"/>
      <c r="AD308" s="221"/>
      <c r="AE308" s="221"/>
      <c r="AF308" s="221"/>
      <c r="AG308" s="221"/>
      <c r="AH308" s="221"/>
      <c r="AI308" s="292"/>
    </row>
    <row r="309" spans="1:35" s="197" customFormat="1" ht="15" customHeight="1" x14ac:dyDescent="0.2">
      <c r="A309" s="293"/>
      <c r="B309" s="266"/>
      <c r="C309" s="294"/>
      <c r="D309" s="285" t="s">
        <v>477</v>
      </c>
      <c r="E309" s="286" t="str">
        <f>EB60</f>
        <v/>
      </c>
      <c r="F309" s="286" t="str">
        <f>EL60</f>
        <v/>
      </c>
      <c r="G309" s="298"/>
      <c r="H309" s="221"/>
      <c r="I309" s="312" t="str">
        <f t="shared" ref="I309" si="646">IFERROR(IF(F309-F308&gt;0,F309-F308,0),"")</f>
        <v/>
      </c>
      <c r="J309" s="312" t="str">
        <f>IFERROR(IF(AND(G306&gt;0,G306*'SYNTHESE EVAL. EQ. FCT.'!$AC$140&lt;=I309),I309,0),"")</f>
        <v/>
      </c>
      <c r="K309" s="312" t="str">
        <f t="shared" ref="K309" si="647">IFERROR(IF(F309-F308&lt;0,F308-F309,0),"")</f>
        <v/>
      </c>
      <c r="L309" s="296"/>
      <c r="M309" s="296"/>
      <c r="N309" s="297"/>
      <c r="O309" s="312" t="str">
        <f t="shared" si="408"/>
        <v/>
      </c>
      <c r="P309" s="221"/>
      <c r="Q309" s="312">
        <f t="shared" ref="Q309" si="648">IFERROR(IF(AND(F309&gt;F308,I309&gt;J309),I309,0),"")</f>
        <v>0</v>
      </c>
      <c r="R309" s="312" t="str">
        <f t="shared" ref="R309" si="649">IFERROR(IF(AND(F309&gt;F308,I309&gt;J309),0,I309),"")</f>
        <v/>
      </c>
      <c r="S309" s="315" t="str">
        <f t="shared" ref="S309" si="650">IFERROR(K309,"")</f>
        <v/>
      </c>
      <c r="T309" s="298"/>
      <c r="U309" s="313" t="str">
        <f t="shared" ref="U309" si="651">IF(I309="","",IFERROR(IF(I309&gt;0,CONCATENATE(" (",ROUND(I309/G306,1)," fois la perte)"),""),""))</f>
        <v/>
      </c>
      <c r="V309" s="313" t="str">
        <f t="shared" ref="V309" si="652">IF(J309="","",IFERROR(IF(J309&gt;0,"OUI",""),""))</f>
        <v/>
      </c>
      <c r="W309" s="313" t="str">
        <f t="shared" ref="W309" si="653">IF(K309="","",IFERROR(IF(K309&gt;0,"DECLIN FONCTIONNEL",""),""))</f>
        <v/>
      </c>
      <c r="X309" s="298"/>
      <c r="Y309" s="221"/>
      <c r="Z309" s="314">
        <f t="shared" ref="Z309" si="654">IF(AND(E309&lt;&gt;"",E308&lt;&gt;""),1,0)</f>
        <v>0</v>
      </c>
      <c r="AA309" s="297"/>
      <c r="AB309" s="314">
        <f t="shared" ref="AB309" si="655">IF(IFERROR(X306+Z309,0)=0,0,IF(SUM(Z309,X306)=2,1,0))</f>
        <v>0</v>
      </c>
      <c r="AC309" s="297"/>
      <c r="AD309" s="221"/>
      <c r="AE309" s="221"/>
      <c r="AF309" s="313">
        <f t="shared" ref="AF309" si="656">IF(U309&lt;&gt;"",1,IF(OR(AND(Q309&gt;0,Q309&lt;&gt;""),AND(R309&gt;0,R309&lt;&gt;"")),1,0))</f>
        <v>0</v>
      </c>
      <c r="AG309" s="221"/>
      <c r="AH309" s="314">
        <f t="shared" ref="AH309" si="657">IF(V309="OUI",1,0)</f>
        <v>0</v>
      </c>
      <c r="AI309" s="292"/>
    </row>
    <row r="310" spans="1:35" s="197" customFormat="1" ht="15" customHeight="1" thickBot="1" x14ac:dyDescent="0.25">
      <c r="A310" s="293"/>
      <c r="B310" s="266"/>
      <c r="C310" s="299"/>
      <c r="D310" s="285" t="s">
        <v>478</v>
      </c>
      <c r="E310" s="286" t="str">
        <f>FH60</f>
        <v/>
      </c>
      <c r="F310" s="286" t="str">
        <f>FR60</f>
        <v/>
      </c>
      <c r="G310" s="306"/>
      <c r="H310" s="307"/>
      <c r="I310" s="308"/>
      <c r="J310" s="309"/>
      <c r="K310" s="309"/>
      <c r="L310" s="312" t="str">
        <f t="shared" ref="L310" si="658">IFERROR(IF(F310-F308&gt;0,F310-F308,0),"")</f>
        <v/>
      </c>
      <c r="M310" s="315" t="str">
        <f>IFERROR(IF(AND(H307&gt;0,H307*'SYNTHESE EVAL. EQ. FCT.'!$AC$140&lt;=L310),L310,0),"")</f>
        <v/>
      </c>
      <c r="N310" s="312" t="str">
        <f t="shared" ref="N310" si="659">IFERROR(IF(F310-F308&lt;0,F308-F310,0),"")</f>
        <v/>
      </c>
      <c r="O310" s="312" t="str">
        <f t="shared" si="421"/>
        <v/>
      </c>
      <c r="P310" s="307"/>
      <c r="Q310" s="312">
        <f t="shared" ref="Q310" si="660">IFERROR(IF(L310&gt;M310,L310,0),"")</f>
        <v>0</v>
      </c>
      <c r="R310" s="312" t="str">
        <f t="shared" ref="R310" si="661">IFERROR(IF(L310&gt;M310,0,M310),"")</f>
        <v/>
      </c>
      <c r="S310" s="315" t="str">
        <f t="shared" ref="S310" si="662">IFERROR(N310,"")</f>
        <v/>
      </c>
      <c r="T310" s="306"/>
      <c r="U310" s="328" t="str">
        <f t="shared" ref="U310" si="663">IF(L310="","",IFERROR(IF(L310&gt;0,CONCATENATE(" (",ROUND(L310/H307,1)," fois la perte)"),""),""))</f>
        <v/>
      </c>
      <c r="V310" s="313" t="str">
        <f t="shared" ref="V310" si="664">IF(M310="","",IFERROR(IF(M310&gt;0,"OUI",""),""))</f>
        <v/>
      </c>
      <c r="W310" s="313" t="str">
        <f t="shared" ref="W310" si="665">IF(N310="","",IFERROR(IF(N310&gt;0,"DECLIN FONCTIONNEL",""),""))</f>
        <v/>
      </c>
      <c r="X310" s="306"/>
      <c r="Y310" s="307"/>
      <c r="Z310" s="307"/>
      <c r="AA310" s="314">
        <f t="shared" ref="AA310" si="666">IF(AND(E310&lt;&gt;"",E308&lt;&gt;""),1,0)</f>
        <v>0</v>
      </c>
      <c r="AB310" s="306"/>
      <c r="AC310" s="314">
        <f t="shared" ref="AC310" si="667">IF(IFERROR(Y307+AA310,0)=0,0,IF(SUM(AA310,Y307)=2,1,0))</f>
        <v>0</v>
      </c>
      <c r="AD310" s="221"/>
      <c r="AE310" s="221"/>
      <c r="AF310" s="323"/>
      <c r="AG310" s="328">
        <f t="shared" ref="AG310" si="668">IF(U310&lt;&gt;"",1,IF(OR(AND(Q310&gt;0,Q310&lt;&gt;""),AND(R310&gt;0,R310&lt;&gt;"")),1,0))</f>
        <v>0</v>
      </c>
      <c r="AH310" s="221"/>
      <c r="AI310" s="316">
        <f t="shared" ref="AI310" si="669">IF(V310="OUI",1,0)</f>
        <v>0</v>
      </c>
    </row>
    <row r="311" spans="1:35" s="197" customFormat="1" ht="15" customHeight="1" x14ac:dyDescent="0.2">
      <c r="A311" s="293"/>
      <c r="B311" s="303" t="s">
        <v>143</v>
      </c>
      <c r="C311" s="284" t="s">
        <v>474</v>
      </c>
      <c r="D311" s="285" t="s">
        <v>470</v>
      </c>
      <c r="E311" s="286" t="str">
        <f>F65</f>
        <v/>
      </c>
      <c r="F311" s="286" t="str">
        <f>P65</f>
        <v/>
      </c>
      <c r="G311" s="289"/>
      <c r="H311" s="289"/>
      <c r="I311" s="289"/>
      <c r="J311" s="289"/>
      <c r="K311" s="289"/>
      <c r="L311" s="289"/>
      <c r="M311" s="289"/>
      <c r="N311" s="291"/>
      <c r="O311" s="311" t="str">
        <f t="shared" si="394"/>
        <v/>
      </c>
      <c r="P311" s="289"/>
      <c r="Q311" s="289"/>
      <c r="R311" s="289"/>
      <c r="S311" s="289"/>
      <c r="T311" s="288"/>
      <c r="U311" s="221"/>
      <c r="V311" s="289"/>
      <c r="W311" s="291"/>
      <c r="X311" s="288"/>
      <c r="Y311" s="289"/>
      <c r="Z311" s="289"/>
      <c r="AA311" s="291"/>
      <c r="AB311" s="288"/>
      <c r="AC311" s="291"/>
      <c r="AD311" s="221"/>
      <c r="AE311" s="221"/>
      <c r="AF311" s="221"/>
      <c r="AG311" s="221"/>
      <c r="AH311" s="221"/>
      <c r="AI311" s="292"/>
    </row>
    <row r="312" spans="1:35" s="197" customFormat="1" ht="15" customHeight="1" x14ac:dyDescent="0.2">
      <c r="A312" s="293"/>
      <c r="B312" s="283"/>
      <c r="C312" s="294"/>
      <c r="D312" s="285" t="s">
        <v>562</v>
      </c>
      <c r="E312" s="286" t="str">
        <f>AL65</f>
        <v/>
      </c>
      <c r="F312" s="286" t="str">
        <f>AV65</f>
        <v/>
      </c>
      <c r="G312" s="312" t="str">
        <f t="shared" ref="G312" si="670">IFERROR(IF(F311-F312&gt;0,F311-F312,0),"")</f>
        <v/>
      </c>
      <c r="H312" s="221"/>
      <c r="I312" s="221"/>
      <c r="J312" s="221"/>
      <c r="K312" s="221"/>
      <c r="L312" s="221"/>
      <c r="M312" s="221"/>
      <c r="N312" s="297"/>
      <c r="O312" s="312" t="str">
        <f t="shared" ref="O312" si="671">IF(F312&gt;F311,F312,IFERROR(IF(O311-P312&gt;0,O311-P312,0),""))</f>
        <v/>
      </c>
      <c r="P312" s="313" t="str">
        <f t="shared" ref="P312" si="672">IFERROR(IF(F311-F312&gt;0,F311-F312,0),"")</f>
        <v/>
      </c>
      <c r="Q312" s="221"/>
      <c r="R312" s="221"/>
      <c r="S312" s="221"/>
      <c r="T312" s="313" t="str">
        <f t="shared" ref="T312" si="673">IF(G312="","",IFERROR(IF(G312&gt;0,"PERTE FONCTIONNELLE",""),""))</f>
        <v/>
      </c>
      <c r="U312" s="221"/>
      <c r="V312" s="221"/>
      <c r="W312" s="297"/>
      <c r="X312" s="314">
        <f t="shared" ref="X312" si="674">IF(AND(E312&lt;&gt;"",E311&lt;&gt;""),1,0)</f>
        <v>0</v>
      </c>
      <c r="Y312" s="221"/>
      <c r="Z312" s="221"/>
      <c r="AA312" s="297"/>
      <c r="AB312" s="298"/>
      <c r="AC312" s="297"/>
      <c r="AD312" s="314">
        <f>IF(T312="PERTE FONCTIONNELLE",1,0)</f>
        <v>0</v>
      </c>
      <c r="AE312" s="221"/>
      <c r="AF312" s="221"/>
      <c r="AG312" s="221"/>
      <c r="AH312" s="221"/>
      <c r="AI312" s="292"/>
    </row>
    <row r="313" spans="1:35" s="197" customFormat="1" ht="15" customHeight="1" x14ac:dyDescent="0.2">
      <c r="A313" s="293"/>
      <c r="B313" s="283"/>
      <c r="C313" s="299"/>
      <c r="D313" s="285" t="s">
        <v>471</v>
      </c>
      <c r="E313" s="286" t="str">
        <f>BR65</f>
        <v/>
      </c>
      <c r="F313" s="286" t="str">
        <f>CB65</f>
        <v/>
      </c>
      <c r="G313" s="298"/>
      <c r="H313" s="313" t="str">
        <f t="shared" ref="H313" si="675">IFERROR(IF(F311-F313&gt;0,F311-F313,0),"")</f>
        <v/>
      </c>
      <c r="I313" s="221"/>
      <c r="J313" s="221"/>
      <c r="K313" s="221"/>
      <c r="L313" s="221"/>
      <c r="M313" s="221"/>
      <c r="N313" s="297"/>
      <c r="O313" s="311" t="str">
        <f t="shared" ref="O313" si="676">IF(F313&gt;F311,F313,IFERROR(IF(O311-P313&gt;0,O311-P313,0),""))</f>
        <v/>
      </c>
      <c r="P313" s="313" t="str">
        <f t="shared" ref="P313" si="677">IFERROR(IF(F311-F313&gt;0,F311-F313,0),"")</f>
        <v/>
      </c>
      <c r="Q313" s="221"/>
      <c r="R313" s="221"/>
      <c r="S313" s="221"/>
      <c r="T313" s="313" t="str">
        <f t="shared" ref="T313" si="678">IF(H313="","",IFERROR(IF(H313&gt;0,"PERTE FONCTIONNELLE",""),""))</f>
        <v/>
      </c>
      <c r="U313" s="221"/>
      <c r="V313" s="221"/>
      <c r="W313" s="297"/>
      <c r="X313" s="298"/>
      <c r="Y313" s="314">
        <f t="shared" ref="Y313" si="679">IF(AND(E313&lt;&gt;"",E311&lt;&gt;""),1,0)</f>
        <v>0</v>
      </c>
      <c r="Z313" s="221"/>
      <c r="AA313" s="297"/>
      <c r="AB313" s="298"/>
      <c r="AC313" s="297"/>
      <c r="AD313" s="221"/>
      <c r="AE313" s="314">
        <f>IF(T313="PERTE FONCTIONNELLE",1,0)</f>
        <v>0</v>
      </c>
      <c r="AF313" s="221"/>
      <c r="AG313" s="221"/>
      <c r="AH313" s="221"/>
      <c r="AI313" s="292"/>
    </row>
    <row r="314" spans="1:35" s="197" customFormat="1" ht="15" customHeight="1" x14ac:dyDescent="0.2">
      <c r="A314" s="293"/>
      <c r="B314" s="283"/>
      <c r="C314" s="284" t="s">
        <v>475</v>
      </c>
      <c r="D314" s="285" t="s">
        <v>476</v>
      </c>
      <c r="E314" s="286" t="str">
        <f>CX65</f>
        <v/>
      </c>
      <c r="F314" s="286" t="str">
        <f>DH65</f>
        <v/>
      </c>
      <c r="G314" s="298"/>
      <c r="H314" s="221"/>
      <c r="I314" s="221"/>
      <c r="J314" s="221"/>
      <c r="K314" s="221"/>
      <c r="L314" s="221"/>
      <c r="M314" s="221"/>
      <c r="N314" s="297"/>
      <c r="O314" s="311" t="str">
        <f t="shared" si="405"/>
        <v/>
      </c>
      <c r="P314" s="221"/>
      <c r="Q314" s="221"/>
      <c r="R314" s="221"/>
      <c r="S314" s="221"/>
      <c r="T314" s="298"/>
      <c r="U314" s="221"/>
      <c r="V314" s="221"/>
      <c r="W314" s="297"/>
      <c r="X314" s="298"/>
      <c r="Y314" s="221"/>
      <c r="Z314" s="221"/>
      <c r="AA314" s="297"/>
      <c r="AB314" s="298"/>
      <c r="AC314" s="297"/>
      <c r="AD314" s="221"/>
      <c r="AE314" s="221"/>
      <c r="AF314" s="221"/>
      <c r="AG314" s="221"/>
      <c r="AH314" s="221"/>
      <c r="AI314" s="292"/>
    </row>
    <row r="315" spans="1:35" s="197" customFormat="1" ht="15" customHeight="1" x14ac:dyDescent="0.2">
      <c r="A315" s="293"/>
      <c r="B315" s="283"/>
      <c r="C315" s="294"/>
      <c r="D315" s="285" t="s">
        <v>477</v>
      </c>
      <c r="E315" s="286" t="str">
        <f>ED65</f>
        <v/>
      </c>
      <c r="F315" s="286" t="str">
        <f>EN65</f>
        <v/>
      </c>
      <c r="G315" s="298"/>
      <c r="H315" s="221"/>
      <c r="I315" s="312" t="str">
        <f t="shared" ref="I315" si="680">IFERROR(IF(F315-F314&gt;0,F315-F314,0),"")</f>
        <v/>
      </c>
      <c r="J315" s="312" t="str">
        <f>IFERROR(IF(AND(G312&gt;0,G312*'SYNTHESE EVAL. EQ. FCT.'!$AC$140&lt;=I315),I315,0),"")</f>
        <v/>
      </c>
      <c r="K315" s="312" t="str">
        <f t="shared" ref="K315" si="681">IFERROR(IF(F315-F314&lt;0,F314-F315,0),"")</f>
        <v/>
      </c>
      <c r="L315" s="296"/>
      <c r="M315" s="296"/>
      <c r="N315" s="297"/>
      <c r="O315" s="312" t="str">
        <f t="shared" si="408"/>
        <v/>
      </c>
      <c r="P315" s="221"/>
      <c r="Q315" s="312">
        <f t="shared" ref="Q315" si="682">IFERROR(IF(AND(F315&gt;F314,I315&gt;J315),I315,0),"")</f>
        <v>0</v>
      </c>
      <c r="R315" s="312" t="str">
        <f t="shared" ref="R315" si="683">IFERROR(IF(AND(F315&gt;F314,I315&gt;J315),0,I315),"")</f>
        <v/>
      </c>
      <c r="S315" s="315" t="str">
        <f t="shared" ref="S315" si="684">IFERROR(K315,"")</f>
        <v/>
      </c>
      <c r="T315" s="298"/>
      <c r="U315" s="313" t="str">
        <f t="shared" ref="U315" si="685">IF(I315="","",IFERROR(IF(I315&gt;0,CONCATENATE(" (",ROUND(I315/G312,1)," fois la perte)"),""),""))</f>
        <v/>
      </c>
      <c r="V315" s="313" t="str">
        <f t="shared" ref="V315" si="686">IF(J315="","",IFERROR(IF(J315&gt;0,"OUI",""),""))</f>
        <v/>
      </c>
      <c r="W315" s="313" t="str">
        <f t="shared" ref="W315" si="687">IF(K315="","",IFERROR(IF(K315&gt;0,"DECLIN FONCTIONNEL",""),""))</f>
        <v/>
      </c>
      <c r="X315" s="298"/>
      <c r="Y315" s="221"/>
      <c r="Z315" s="314">
        <f t="shared" ref="Z315" si="688">IF(AND(E315&lt;&gt;"",E314&lt;&gt;""),1,0)</f>
        <v>0</v>
      </c>
      <c r="AA315" s="297"/>
      <c r="AB315" s="314">
        <f t="shared" ref="AB315" si="689">IF(IFERROR(X312+Z315,0)=0,0,IF(SUM(Z315,X312)=2,1,0))</f>
        <v>0</v>
      </c>
      <c r="AC315" s="297"/>
      <c r="AD315" s="221"/>
      <c r="AE315" s="221"/>
      <c r="AF315" s="313">
        <f t="shared" ref="AF315" si="690">IF(U315&lt;&gt;"",1,IF(OR(AND(Q315&gt;0,Q315&lt;&gt;""),AND(R315&gt;0,R315&lt;&gt;"")),1,0))</f>
        <v>0</v>
      </c>
      <c r="AG315" s="221"/>
      <c r="AH315" s="314">
        <f t="shared" ref="AH315" si="691">IF(V315="OUI",1,0)</f>
        <v>0</v>
      </c>
      <c r="AI315" s="292"/>
    </row>
    <row r="316" spans="1:35" s="197" customFormat="1" ht="15" customHeight="1" thickBot="1" x14ac:dyDescent="0.25">
      <c r="A316" s="293"/>
      <c r="B316" s="301"/>
      <c r="C316" s="299"/>
      <c r="D316" s="285" t="s">
        <v>478</v>
      </c>
      <c r="E316" s="286" t="str">
        <f>FJ65</f>
        <v/>
      </c>
      <c r="F316" s="286" t="str">
        <f>FT65</f>
        <v/>
      </c>
      <c r="G316" s="306"/>
      <c r="H316" s="307"/>
      <c r="I316" s="308"/>
      <c r="J316" s="309"/>
      <c r="K316" s="309"/>
      <c r="L316" s="312" t="str">
        <f t="shared" ref="L316" si="692">IFERROR(IF(F316-F314&gt;0,F316-F314,0),"")</f>
        <v/>
      </c>
      <c r="M316" s="315" t="str">
        <f>IFERROR(IF(AND(H313&gt;0,H313*'SYNTHESE EVAL. EQ. FCT.'!$AC$140&lt;=L316),L316,0),"")</f>
        <v/>
      </c>
      <c r="N316" s="312" t="str">
        <f t="shared" ref="N316" si="693">IFERROR(IF(F316-F314&lt;0,F314-F316,0),"")</f>
        <v/>
      </c>
      <c r="O316" s="312" t="str">
        <f t="shared" si="421"/>
        <v/>
      </c>
      <c r="P316" s="307"/>
      <c r="Q316" s="312">
        <f t="shared" ref="Q316" si="694">IFERROR(IF(L316&gt;M316,L316,0),"")</f>
        <v>0</v>
      </c>
      <c r="R316" s="312" t="str">
        <f t="shared" ref="R316" si="695">IFERROR(IF(L316&gt;M316,0,M316),"")</f>
        <v/>
      </c>
      <c r="S316" s="315" t="str">
        <f t="shared" ref="S316" si="696">IFERROR(N316,"")</f>
        <v/>
      </c>
      <c r="T316" s="306"/>
      <c r="U316" s="328" t="str">
        <f t="shared" ref="U316" si="697">IF(L316="","",IFERROR(IF(L316&gt;0,CONCATENATE(" (",ROUND(L316/H313,1)," fois la perte)"),""),""))</f>
        <v/>
      </c>
      <c r="V316" s="313" t="str">
        <f t="shared" ref="V316" si="698">IF(M316="","",IFERROR(IF(M316&gt;0,"OUI",""),""))</f>
        <v/>
      </c>
      <c r="W316" s="313" t="str">
        <f t="shared" ref="W316" si="699">IF(N316="","",IFERROR(IF(N316&gt;0,"DECLIN FONCTIONNEL",""),""))</f>
        <v/>
      </c>
      <c r="X316" s="306"/>
      <c r="Y316" s="307"/>
      <c r="Z316" s="307"/>
      <c r="AA316" s="314">
        <f t="shared" ref="AA316" si="700">IF(AND(E316&lt;&gt;"",E314&lt;&gt;""),1,0)</f>
        <v>0</v>
      </c>
      <c r="AB316" s="306"/>
      <c r="AC316" s="314">
        <f t="shared" ref="AC316" si="701">IF(IFERROR(Y313+AA316,0)=0,0,IF(SUM(AA316,Y313)=2,1,0))</f>
        <v>0</v>
      </c>
      <c r="AD316" s="221"/>
      <c r="AE316" s="221"/>
      <c r="AF316" s="323"/>
      <c r="AG316" s="328">
        <f t="shared" ref="AG316" si="702">IF(U316&lt;&gt;"",1,IF(OR(AND(Q316&gt;0,Q316&lt;&gt;""),AND(R316&gt;0,R316&lt;&gt;"")),1,0))</f>
        <v>0</v>
      </c>
      <c r="AH316" s="221"/>
      <c r="AI316" s="316">
        <f t="shared" ref="AI316" si="703">IF(V316="OUI",1,0)</f>
        <v>0</v>
      </c>
    </row>
    <row r="317" spans="1:35" s="197" customFormat="1" ht="15" customHeight="1" x14ac:dyDescent="0.2">
      <c r="A317" s="293"/>
      <c r="B317" s="266" t="s">
        <v>151</v>
      </c>
      <c r="C317" s="284" t="s">
        <v>474</v>
      </c>
      <c r="D317" s="285" t="s">
        <v>470</v>
      </c>
      <c r="E317" s="286" t="str">
        <f>L79</f>
        <v/>
      </c>
      <c r="F317" s="286" t="str">
        <f>V79</f>
        <v/>
      </c>
      <c r="G317" s="289"/>
      <c r="H317" s="289"/>
      <c r="I317" s="289"/>
      <c r="J317" s="289"/>
      <c r="K317" s="289"/>
      <c r="L317" s="289"/>
      <c r="M317" s="289"/>
      <c r="N317" s="291"/>
      <c r="O317" s="311" t="str">
        <f t="shared" si="394"/>
        <v/>
      </c>
      <c r="P317" s="289"/>
      <c r="Q317" s="289"/>
      <c r="R317" s="289"/>
      <c r="S317" s="289"/>
      <c r="T317" s="288"/>
      <c r="U317" s="221"/>
      <c r="V317" s="289"/>
      <c r="W317" s="291"/>
      <c r="X317" s="288"/>
      <c r="Y317" s="289"/>
      <c r="Z317" s="289"/>
      <c r="AA317" s="291"/>
      <c r="AB317" s="288"/>
      <c r="AC317" s="291"/>
      <c r="AD317" s="221"/>
      <c r="AE317" s="221"/>
      <c r="AF317" s="221"/>
      <c r="AG317" s="221"/>
      <c r="AH317" s="221"/>
      <c r="AI317" s="292"/>
    </row>
    <row r="318" spans="1:35" s="197" customFormat="1" ht="15" customHeight="1" x14ac:dyDescent="0.2">
      <c r="A318" s="293"/>
      <c r="B318" s="266"/>
      <c r="C318" s="294"/>
      <c r="D318" s="285" t="s">
        <v>562</v>
      </c>
      <c r="E318" s="286" t="str">
        <f>AR79</f>
        <v/>
      </c>
      <c r="F318" s="286" t="str">
        <f>BB79</f>
        <v/>
      </c>
      <c r="G318" s="312" t="str">
        <f t="shared" ref="G318" si="704">IFERROR(IF(F317-F318&gt;0,F317-F318,0),"")</f>
        <v/>
      </c>
      <c r="H318" s="221"/>
      <c r="I318" s="221"/>
      <c r="J318" s="221"/>
      <c r="K318" s="221"/>
      <c r="L318" s="221"/>
      <c r="M318" s="221"/>
      <c r="N318" s="297"/>
      <c r="O318" s="312" t="str">
        <f t="shared" ref="O318" si="705">IF(F318&gt;F317,F318,IFERROR(IF(O317-P318&gt;0,O317-P318,0),""))</f>
        <v/>
      </c>
      <c r="P318" s="313" t="str">
        <f t="shared" ref="P318" si="706">IFERROR(IF(F317-F318&gt;0,F317-F318,0),"")</f>
        <v/>
      </c>
      <c r="Q318" s="221"/>
      <c r="R318" s="221"/>
      <c r="S318" s="221"/>
      <c r="T318" s="313" t="str">
        <f t="shared" ref="T318" si="707">IF(G318="","",IFERROR(IF(G318&gt;0,"PERTE FONCTIONNELLE",""),""))</f>
        <v/>
      </c>
      <c r="U318" s="221"/>
      <c r="V318" s="221"/>
      <c r="W318" s="297"/>
      <c r="X318" s="314">
        <f t="shared" ref="X318" si="708">IF(AND(E318&lt;&gt;"",E317&lt;&gt;""),1,0)</f>
        <v>0</v>
      </c>
      <c r="Y318" s="221"/>
      <c r="Z318" s="221"/>
      <c r="AA318" s="297"/>
      <c r="AB318" s="298"/>
      <c r="AC318" s="297"/>
      <c r="AD318" s="314">
        <f>IF(T318="PERTE FONCTIONNELLE",1,0)</f>
        <v>0</v>
      </c>
      <c r="AE318" s="221"/>
      <c r="AF318" s="221"/>
      <c r="AG318" s="221"/>
      <c r="AH318" s="221"/>
      <c r="AI318" s="292"/>
    </row>
    <row r="319" spans="1:35" s="197" customFormat="1" ht="15" customHeight="1" x14ac:dyDescent="0.2">
      <c r="A319" s="293"/>
      <c r="B319" s="266"/>
      <c r="C319" s="299"/>
      <c r="D319" s="285" t="s">
        <v>471</v>
      </c>
      <c r="E319" s="286" t="str">
        <f>BX79</f>
        <v/>
      </c>
      <c r="F319" s="286" t="str">
        <f>CH79</f>
        <v/>
      </c>
      <c r="G319" s="298"/>
      <c r="H319" s="313" t="str">
        <f t="shared" ref="H319" si="709">IFERROR(IF(F317-F319&gt;0,F317-F319,0),"")</f>
        <v/>
      </c>
      <c r="I319" s="221"/>
      <c r="J319" s="221"/>
      <c r="K319" s="221"/>
      <c r="L319" s="221"/>
      <c r="M319" s="221"/>
      <c r="N319" s="297"/>
      <c r="O319" s="311" t="str">
        <f t="shared" ref="O319" si="710">IF(F319&gt;F317,F319,IFERROR(IF(O317-P319&gt;0,O317-P319,0),""))</f>
        <v/>
      </c>
      <c r="P319" s="313" t="str">
        <f t="shared" ref="P319" si="711">IFERROR(IF(F317-F319&gt;0,F317-F319,0),"")</f>
        <v/>
      </c>
      <c r="Q319" s="221"/>
      <c r="R319" s="221"/>
      <c r="S319" s="221"/>
      <c r="T319" s="313" t="str">
        <f t="shared" ref="T319" si="712">IF(H319="","",IFERROR(IF(H319&gt;0,"PERTE FONCTIONNELLE",""),""))</f>
        <v/>
      </c>
      <c r="U319" s="221"/>
      <c r="V319" s="221"/>
      <c r="W319" s="297"/>
      <c r="X319" s="298"/>
      <c r="Y319" s="314">
        <f t="shared" ref="Y319" si="713">IF(AND(E319&lt;&gt;"",E317&lt;&gt;""),1,0)</f>
        <v>0</v>
      </c>
      <c r="Z319" s="221"/>
      <c r="AA319" s="297"/>
      <c r="AB319" s="298"/>
      <c r="AC319" s="297"/>
      <c r="AD319" s="221"/>
      <c r="AE319" s="314">
        <f>IF(T319="PERTE FONCTIONNELLE",1,0)</f>
        <v>0</v>
      </c>
      <c r="AF319" s="221"/>
      <c r="AG319" s="221"/>
      <c r="AH319" s="221"/>
      <c r="AI319" s="292"/>
    </row>
    <row r="320" spans="1:35" s="197" customFormat="1" ht="15" customHeight="1" x14ac:dyDescent="0.2">
      <c r="A320" s="293"/>
      <c r="B320" s="266"/>
      <c r="C320" s="284" t="s">
        <v>475</v>
      </c>
      <c r="D320" s="285" t="s">
        <v>476</v>
      </c>
      <c r="E320" s="286" t="str">
        <f>DD79</f>
        <v/>
      </c>
      <c r="F320" s="286" t="str">
        <f>DN79</f>
        <v/>
      </c>
      <c r="G320" s="298"/>
      <c r="H320" s="221"/>
      <c r="I320" s="221"/>
      <c r="J320" s="221"/>
      <c r="K320" s="221"/>
      <c r="L320" s="221"/>
      <c r="M320" s="221"/>
      <c r="N320" s="297"/>
      <c r="O320" s="311" t="str">
        <f t="shared" si="405"/>
        <v/>
      </c>
      <c r="P320" s="221"/>
      <c r="Q320" s="221"/>
      <c r="R320" s="221"/>
      <c r="S320" s="221"/>
      <c r="T320" s="298"/>
      <c r="U320" s="221"/>
      <c r="V320" s="221"/>
      <c r="W320" s="297"/>
      <c r="X320" s="298"/>
      <c r="Y320" s="221"/>
      <c r="Z320" s="221"/>
      <c r="AA320" s="297"/>
      <c r="AB320" s="298"/>
      <c r="AC320" s="297"/>
      <c r="AD320" s="221"/>
      <c r="AE320" s="221"/>
      <c r="AF320" s="221"/>
      <c r="AG320" s="221"/>
      <c r="AH320" s="221"/>
      <c r="AI320" s="292"/>
    </row>
    <row r="321" spans="1:35" s="197" customFormat="1" ht="15" customHeight="1" x14ac:dyDescent="0.2">
      <c r="A321" s="293"/>
      <c r="B321" s="266"/>
      <c r="C321" s="294"/>
      <c r="D321" s="285" t="s">
        <v>477</v>
      </c>
      <c r="E321" s="286" t="str">
        <f>EJ79</f>
        <v/>
      </c>
      <c r="F321" s="286" t="str">
        <f>ET79</f>
        <v/>
      </c>
      <c r="G321" s="298"/>
      <c r="H321" s="221"/>
      <c r="I321" s="312" t="str">
        <f t="shared" ref="I321" si="714">IFERROR(IF(F321-F320&gt;0,F321-F320,0),"")</f>
        <v/>
      </c>
      <c r="J321" s="312" t="str">
        <f>IFERROR(IF(AND(G318&gt;0,G318*'SYNTHESE EVAL. EQ. FCT.'!$AC$140&lt;=I321),I321,0),"")</f>
        <v/>
      </c>
      <c r="K321" s="312" t="str">
        <f t="shared" ref="K321" si="715">IFERROR(IF(F321-F320&lt;0,F320-F321,0),"")</f>
        <v/>
      </c>
      <c r="L321" s="296"/>
      <c r="M321" s="296"/>
      <c r="N321" s="297"/>
      <c r="O321" s="312" t="str">
        <f t="shared" si="408"/>
        <v/>
      </c>
      <c r="P321" s="221"/>
      <c r="Q321" s="312">
        <f t="shared" ref="Q321" si="716">IFERROR(IF(AND(F321&gt;F320,I321&gt;J321),I321,0),"")</f>
        <v>0</v>
      </c>
      <c r="R321" s="312" t="str">
        <f t="shared" ref="R321" si="717">IFERROR(IF(AND(F321&gt;F320,I321&gt;J321),0,I321),"")</f>
        <v/>
      </c>
      <c r="S321" s="315" t="str">
        <f t="shared" ref="S321" si="718">IFERROR(K321,"")</f>
        <v/>
      </c>
      <c r="T321" s="298"/>
      <c r="U321" s="313" t="str">
        <f t="shared" ref="U321" si="719">IF(I321="","",IFERROR(IF(I321&gt;0,CONCATENATE(" (",ROUND(I321/G318,1)," fois la perte)"),""),""))</f>
        <v/>
      </c>
      <c r="V321" s="313" t="str">
        <f t="shared" ref="V321" si="720">IF(J321="","",IFERROR(IF(J321&gt;0,"OUI",""),""))</f>
        <v/>
      </c>
      <c r="W321" s="313" t="str">
        <f t="shared" ref="W321" si="721">IF(K321="","",IFERROR(IF(K321&gt;0,"DECLIN FONCTIONNEL",""),""))</f>
        <v/>
      </c>
      <c r="X321" s="298"/>
      <c r="Y321" s="221"/>
      <c r="Z321" s="314">
        <f t="shared" ref="Z321" si="722">IF(AND(E321&lt;&gt;"",E320&lt;&gt;""),1,0)</f>
        <v>0</v>
      </c>
      <c r="AA321" s="297"/>
      <c r="AB321" s="314">
        <f t="shared" ref="AB321" si="723">IF(IFERROR(X318+Z321,0)=0,0,IF(SUM(Z321,X318)=2,1,0))</f>
        <v>0</v>
      </c>
      <c r="AC321" s="297"/>
      <c r="AD321" s="221"/>
      <c r="AE321" s="221"/>
      <c r="AF321" s="313">
        <f t="shared" ref="AF321" si="724">IF(U321&lt;&gt;"",1,IF(OR(AND(Q321&gt;0,Q321&lt;&gt;""),AND(R321&gt;0,R321&lt;&gt;"")),1,0))</f>
        <v>0</v>
      </c>
      <c r="AG321" s="221"/>
      <c r="AH321" s="314">
        <f t="shared" ref="AH321" si="725">IF(V321="OUI",1,0)</f>
        <v>0</v>
      </c>
      <c r="AI321" s="292"/>
    </row>
    <row r="322" spans="1:35" s="197" customFormat="1" ht="15" customHeight="1" thickBot="1" x14ac:dyDescent="0.25">
      <c r="A322" s="293"/>
      <c r="B322" s="266"/>
      <c r="C322" s="299"/>
      <c r="D322" s="285" t="s">
        <v>478</v>
      </c>
      <c r="E322" s="286" t="str">
        <f>FP79</f>
        <v/>
      </c>
      <c r="F322" s="286" t="str">
        <f>FZ79</f>
        <v/>
      </c>
      <c r="G322" s="306"/>
      <c r="H322" s="307"/>
      <c r="I322" s="308"/>
      <c r="J322" s="309"/>
      <c r="K322" s="309"/>
      <c r="L322" s="312" t="str">
        <f t="shared" ref="L322" si="726">IFERROR(IF(F322-F320&gt;0,F322-F320,0),"")</f>
        <v/>
      </c>
      <c r="M322" s="315" t="str">
        <f>IFERROR(IF(AND(H319&gt;0,H319*'SYNTHESE EVAL. EQ. FCT.'!$AC$140&lt;=L322),L322,0),"")</f>
        <v/>
      </c>
      <c r="N322" s="312" t="str">
        <f t="shared" ref="N322" si="727">IFERROR(IF(F322-F320&lt;0,F320-F322,0),"")</f>
        <v/>
      </c>
      <c r="O322" s="312" t="str">
        <f t="shared" si="421"/>
        <v/>
      </c>
      <c r="P322" s="307"/>
      <c r="Q322" s="312">
        <f t="shared" ref="Q322" si="728">IFERROR(IF(L322&gt;M322,L322,0),"")</f>
        <v>0</v>
      </c>
      <c r="R322" s="312" t="str">
        <f t="shared" ref="R322" si="729">IFERROR(IF(L322&gt;M322,0,M322),"")</f>
        <v/>
      </c>
      <c r="S322" s="315" t="str">
        <f t="shared" ref="S322" si="730">IFERROR(N322,"")</f>
        <v/>
      </c>
      <c r="T322" s="306"/>
      <c r="U322" s="328" t="str">
        <f t="shared" ref="U322" si="731">IF(L322="","",IFERROR(IF(L322&gt;0,CONCATENATE(" (",ROUND(L322/H319,1)," fois la perte)"),""),""))</f>
        <v/>
      </c>
      <c r="V322" s="313" t="str">
        <f t="shared" ref="V322" si="732">IF(M322="","",IFERROR(IF(M322&gt;0,"OUI",""),""))</f>
        <v/>
      </c>
      <c r="W322" s="313" t="str">
        <f t="shared" ref="W322" si="733">IF(N322="","",IFERROR(IF(N322&gt;0,"DECLIN FONCTIONNEL",""),""))</f>
        <v/>
      </c>
      <c r="X322" s="306"/>
      <c r="Y322" s="307"/>
      <c r="Z322" s="307"/>
      <c r="AA322" s="314">
        <f t="shared" ref="AA322" si="734">IF(AND(E322&lt;&gt;"",E320&lt;&gt;""),1,0)</f>
        <v>0</v>
      </c>
      <c r="AB322" s="306"/>
      <c r="AC322" s="314">
        <f t="shared" ref="AC322" si="735">IF(IFERROR(Y319+AA322,0)=0,0,IF(SUM(AA322,Y319)=2,1,0))</f>
        <v>0</v>
      </c>
      <c r="AD322" s="221"/>
      <c r="AE322" s="221"/>
      <c r="AF322" s="323"/>
      <c r="AG322" s="328">
        <f t="shared" ref="AG322" si="736">IF(U322&lt;&gt;"",1,IF(OR(AND(Q322&gt;0,Q322&lt;&gt;""),AND(R322&gt;0,R322&lt;&gt;"")),1,0))</f>
        <v>0</v>
      </c>
      <c r="AH322" s="221"/>
      <c r="AI322" s="316">
        <f t="shared" ref="AI322" si="737">IF(V322="OUI",1,0)</f>
        <v>0</v>
      </c>
    </row>
    <row r="323" spans="1:35" s="197" customFormat="1" ht="15" customHeight="1" x14ac:dyDescent="0.2">
      <c r="A323" s="293"/>
      <c r="B323" s="303" t="s">
        <v>154</v>
      </c>
      <c r="C323" s="284" t="s">
        <v>474</v>
      </c>
      <c r="D323" s="285" t="s">
        <v>470</v>
      </c>
      <c r="E323" s="286" t="str">
        <f>L83</f>
        <v/>
      </c>
      <c r="F323" s="286" t="str">
        <f>V83</f>
        <v/>
      </c>
      <c r="G323" s="289"/>
      <c r="H323" s="289"/>
      <c r="I323" s="289"/>
      <c r="J323" s="289"/>
      <c r="K323" s="289"/>
      <c r="L323" s="289"/>
      <c r="M323" s="289"/>
      <c r="N323" s="291"/>
      <c r="O323" s="311" t="str">
        <f t="shared" si="394"/>
        <v/>
      </c>
      <c r="P323" s="289"/>
      <c r="Q323" s="289"/>
      <c r="R323" s="289"/>
      <c r="S323" s="289"/>
      <c r="T323" s="288"/>
      <c r="U323" s="221"/>
      <c r="V323" s="289"/>
      <c r="W323" s="291"/>
      <c r="X323" s="288"/>
      <c r="Y323" s="289"/>
      <c r="Z323" s="289"/>
      <c r="AA323" s="291"/>
      <c r="AB323" s="288"/>
      <c r="AC323" s="291"/>
      <c r="AD323" s="221"/>
      <c r="AE323" s="221"/>
      <c r="AF323" s="221"/>
      <c r="AG323" s="221"/>
      <c r="AH323" s="221"/>
      <c r="AI323" s="292"/>
    </row>
    <row r="324" spans="1:35" s="197" customFormat="1" ht="15" customHeight="1" x14ac:dyDescent="0.2">
      <c r="A324" s="293"/>
      <c r="B324" s="283"/>
      <c r="C324" s="294"/>
      <c r="D324" s="285" t="s">
        <v>562</v>
      </c>
      <c r="E324" s="286" t="str">
        <f>AR83</f>
        <v/>
      </c>
      <c r="F324" s="286" t="str">
        <f>BB83</f>
        <v/>
      </c>
      <c r="G324" s="312" t="str">
        <f t="shared" ref="G324" si="738">IFERROR(IF(F323-F324&gt;0,F323-F324,0),"")</f>
        <v/>
      </c>
      <c r="H324" s="221"/>
      <c r="I324" s="221"/>
      <c r="J324" s="221"/>
      <c r="K324" s="221"/>
      <c r="L324" s="221"/>
      <c r="M324" s="221"/>
      <c r="N324" s="297"/>
      <c r="O324" s="312" t="str">
        <f t="shared" ref="O324" si="739">IF(F324&gt;F323,F324,IFERROR(IF(O323-P324&gt;0,O323-P324,0),""))</f>
        <v/>
      </c>
      <c r="P324" s="313" t="str">
        <f t="shared" ref="P324" si="740">IFERROR(IF(F323-F324&gt;0,F323-F324,0),"")</f>
        <v/>
      </c>
      <c r="Q324" s="221"/>
      <c r="R324" s="221"/>
      <c r="S324" s="221"/>
      <c r="T324" s="313" t="str">
        <f t="shared" ref="T324" si="741">IF(G324="","",IFERROR(IF(G324&gt;0,"PERTE FONCTIONNELLE",""),""))</f>
        <v/>
      </c>
      <c r="U324" s="221"/>
      <c r="V324" s="221"/>
      <c r="W324" s="297"/>
      <c r="X324" s="314">
        <f t="shared" ref="X324" si="742">IF(AND(E324&lt;&gt;"",E323&lt;&gt;""),1,0)</f>
        <v>0</v>
      </c>
      <c r="Y324" s="221"/>
      <c r="Z324" s="221"/>
      <c r="AA324" s="297"/>
      <c r="AB324" s="298"/>
      <c r="AC324" s="297"/>
      <c r="AD324" s="314">
        <f>IF(T324="PERTE FONCTIONNELLE",1,0)</f>
        <v>0</v>
      </c>
      <c r="AE324" s="221"/>
      <c r="AF324" s="221"/>
      <c r="AG324" s="221"/>
      <c r="AH324" s="221"/>
      <c r="AI324" s="292"/>
    </row>
    <row r="325" spans="1:35" s="197" customFormat="1" ht="15" customHeight="1" x14ac:dyDescent="0.2">
      <c r="A325" s="293"/>
      <c r="B325" s="283"/>
      <c r="C325" s="299"/>
      <c r="D325" s="285" t="s">
        <v>471</v>
      </c>
      <c r="E325" s="286" t="str">
        <f>BX83</f>
        <v/>
      </c>
      <c r="F325" s="286" t="str">
        <f>CH83</f>
        <v/>
      </c>
      <c r="G325" s="298"/>
      <c r="H325" s="313" t="str">
        <f t="shared" ref="H325" si="743">IFERROR(IF(F323-F325&gt;0,F323-F325,0),"")</f>
        <v/>
      </c>
      <c r="I325" s="221"/>
      <c r="J325" s="221"/>
      <c r="K325" s="221"/>
      <c r="L325" s="221"/>
      <c r="M325" s="221"/>
      <c r="N325" s="297"/>
      <c r="O325" s="311" t="str">
        <f t="shared" ref="O325" si="744">IF(F325&gt;F323,F325,IFERROR(IF(O323-P325&gt;0,O323-P325,0),""))</f>
        <v/>
      </c>
      <c r="P325" s="313" t="str">
        <f t="shared" ref="P325" si="745">IFERROR(IF(F323-F325&gt;0,F323-F325,0),"")</f>
        <v/>
      </c>
      <c r="Q325" s="221"/>
      <c r="R325" s="221"/>
      <c r="S325" s="221"/>
      <c r="T325" s="313" t="str">
        <f t="shared" ref="T325" si="746">IF(H325="","",IFERROR(IF(H325&gt;0,"PERTE FONCTIONNELLE",""),""))</f>
        <v/>
      </c>
      <c r="U325" s="221"/>
      <c r="V325" s="221"/>
      <c r="W325" s="297"/>
      <c r="X325" s="298"/>
      <c r="Y325" s="314">
        <f t="shared" ref="Y325" si="747">IF(AND(E325&lt;&gt;"",E323&lt;&gt;""),1,0)</f>
        <v>0</v>
      </c>
      <c r="Z325" s="221"/>
      <c r="AA325" s="297"/>
      <c r="AB325" s="298"/>
      <c r="AC325" s="297"/>
      <c r="AD325" s="221"/>
      <c r="AE325" s="314">
        <f>IF(T325="PERTE FONCTIONNELLE",1,0)</f>
        <v>0</v>
      </c>
      <c r="AF325" s="221"/>
      <c r="AG325" s="221"/>
      <c r="AH325" s="221"/>
      <c r="AI325" s="292"/>
    </row>
    <row r="326" spans="1:35" s="197" customFormat="1" ht="15" customHeight="1" x14ac:dyDescent="0.2">
      <c r="A326" s="293"/>
      <c r="B326" s="283"/>
      <c r="C326" s="284" t="s">
        <v>475</v>
      </c>
      <c r="D326" s="285" t="s">
        <v>476</v>
      </c>
      <c r="E326" s="286" t="str">
        <f>DD83</f>
        <v/>
      </c>
      <c r="F326" s="286" t="str">
        <f>DN83</f>
        <v/>
      </c>
      <c r="G326" s="298"/>
      <c r="H326" s="221"/>
      <c r="I326" s="221"/>
      <c r="J326" s="221"/>
      <c r="K326" s="221"/>
      <c r="L326" s="221"/>
      <c r="M326" s="221"/>
      <c r="N326" s="297"/>
      <c r="O326" s="311" t="str">
        <f t="shared" si="405"/>
        <v/>
      </c>
      <c r="P326" s="221"/>
      <c r="Q326" s="221"/>
      <c r="R326" s="221"/>
      <c r="S326" s="221"/>
      <c r="T326" s="298"/>
      <c r="U326" s="221"/>
      <c r="V326" s="221"/>
      <c r="W326" s="297"/>
      <c r="X326" s="298"/>
      <c r="Y326" s="221"/>
      <c r="Z326" s="221"/>
      <c r="AA326" s="297"/>
      <c r="AB326" s="298"/>
      <c r="AC326" s="297"/>
      <c r="AD326" s="221"/>
      <c r="AE326" s="221"/>
      <c r="AF326" s="221"/>
      <c r="AG326" s="221"/>
      <c r="AH326" s="221"/>
      <c r="AI326" s="292"/>
    </row>
    <row r="327" spans="1:35" s="197" customFormat="1" ht="15" customHeight="1" x14ac:dyDescent="0.2">
      <c r="A327" s="293"/>
      <c r="B327" s="283"/>
      <c r="C327" s="294"/>
      <c r="D327" s="285" t="s">
        <v>477</v>
      </c>
      <c r="E327" s="286" t="str">
        <f>EJ83</f>
        <v/>
      </c>
      <c r="F327" s="286" t="str">
        <f>ET83</f>
        <v/>
      </c>
      <c r="G327" s="298"/>
      <c r="H327" s="221"/>
      <c r="I327" s="312" t="str">
        <f t="shared" ref="I327" si="748">IFERROR(IF(F327-F326&gt;0,F327-F326,0),"")</f>
        <v/>
      </c>
      <c r="J327" s="312" t="str">
        <f>IFERROR(IF(AND(G324&gt;0,G324*'SYNTHESE EVAL. EQ. FCT.'!$AC$140&lt;=I327),I327,0),"")</f>
        <v/>
      </c>
      <c r="K327" s="312" t="str">
        <f t="shared" ref="K327" si="749">IFERROR(IF(F327-F326&lt;0,F326-F327,0),"")</f>
        <v/>
      </c>
      <c r="L327" s="296"/>
      <c r="M327" s="296"/>
      <c r="N327" s="297"/>
      <c r="O327" s="312" t="str">
        <f t="shared" si="408"/>
        <v/>
      </c>
      <c r="P327" s="221"/>
      <c r="Q327" s="312">
        <f t="shared" ref="Q327" si="750">IFERROR(IF(AND(F327&gt;F326,I327&gt;J327),I327,0),"")</f>
        <v>0</v>
      </c>
      <c r="R327" s="312" t="str">
        <f t="shared" ref="R327" si="751">IFERROR(IF(AND(F327&gt;F326,I327&gt;J327),0,I327),"")</f>
        <v/>
      </c>
      <c r="S327" s="315" t="str">
        <f t="shared" ref="S327" si="752">IFERROR(K327,"")</f>
        <v/>
      </c>
      <c r="T327" s="298"/>
      <c r="U327" s="313" t="str">
        <f t="shared" ref="U327" si="753">IF(I327="","",IFERROR(IF(I327&gt;0,CONCATENATE(" (",ROUND(I327/G324,1)," fois la perte)"),""),""))</f>
        <v/>
      </c>
      <c r="V327" s="313" t="str">
        <f t="shared" ref="V327" si="754">IF(J327="","",IFERROR(IF(J327&gt;0,"OUI",""),""))</f>
        <v/>
      </c>
      <c r="W327" s="313" t="str">
        <f t="shared" ref="W327" si="755">IF(K327="","",IFERROR(IF(K327&gt;0,"DECLIN FONCTIONNEL",""),""))</f>
        <v/>
      </c>
      <c r="X327" s="298"/>
      <c r="Y327" s="221"/>
      <c r="Z327" s="314">
        <f t="shared" ref="Z327" si="756">IF(AND(E327&lt;&gt;"",E326&lt;&gt;""),1,0)</f>
        <v>0</v>
      </c>
      <c r="AA327" s="297"/>
      <c r="AB327" s="314">
        <f t="shared" ref="AB327" si="757">IF(IFERROR(X324+Z327,0)=0,0,IF(SUM(Z327,X324)=2,1,0))</f>
        <v>0</v>
      </c>
      <c r="AC327" s="297"/>
      <c r="AD327" s="221"/>
      <c r="AE327" s="221"/>
      <c r="AF327" s="313">
        <f t="shared" ref="AF327" si="758">IF(U327&lt;&gt;"",1,IF(OR(AND(Q327&gt;0,Q327&lt;&gt;""),AND(R327&gt;0,R327&lt;&gt;"")),1,0))</f>
        <v>0</v>
      </c>
      <c r="AG327" s="221"/>
      <c r="AH327" s="314">
        <f t="shared" ref="AH327" si="759">IF(V327="OUI",1,0)</f>
        <v>0</v>
      </c>
      <c r="AI327" s="292"/>
    </row>
    <row r="328" spans="1:35" s="197" customFormat="1" ht="15" customHeight="1" thickBot="1" x14ac:dyDescent="0.25">
      <c r="A328" s="293"/>
      <c r="B328" s="301"/>
      <c r="C328" s="299"/>
      <c r="D328" s="285" t="s">
        <v>478</v>
      </c>
      <c r="E328" s="286" t="str">
        <f>FP83</f>
        <v/>
      </c>
      <c r="F328" s="286" t="str">
        <f>FZ83</f>
        <v/>
      </c>
      <c r="G328" s="306"/>
      <c r="H328" s="307"/>
      <c r="I328" s="308"/>
      <c r="J328" s="309"/>
      <c r="K328" s="309"/>
      <c r="L328" s="312" t="str">
        <f t="shared" ref="L328" si="760">IFERROR(IF(F328-F326&gt;0,F328-F326,0),"")</f>
        <v/>
      </c>
      <c r="M328" s="315" t="str">
        <f>IFERROR(IF(AND(H325&gt;0,H325*'SYNTHESE EVAL. EQ. FCT.'!$AC$140&lt;=L328),L328,0),"")</f>
        <v/>
      </c>
      <c r="N328" s="312" t="str">
        <f t="shared" ref="N328" si="761">IFERROR(IF(F328-F326&lt;0,F326-F328,0),"")</f>
        <v/>
      </c>
      <c r="O328" s="312" t="str">
        <f t="shared" si="421"/>
        <v/>
      </c>
      <c r="P328" s="307"/>
      <c r="Q328" s="312">
        <f t="shared" ref="Q328" si="762">IFERROR(IF(L328&gt;M328,L328,0),"")</f>
        <v>0</v>
      </c>
      <c r="R328" s="312" t="str">
        <f t="shared" ref="R328" si="763">IFERROR(IF(L328&gt;M328,0,M328),"")</f>
        <v/>
      </c>
      <c r="S328" s="315" t="str">
        <f t="shared" ref="S328" si="764">IFERROR(N328,"")</f>
        <v/>
      </c>
      <c r="T328" s="306"/>
      <c r="U328" s="328" t="str">
        <f t="shared" ref="U328" si="765">IF(L328="","",IFERROR(IF(L328&gt;0,CONCATENATE(" (",ROUND(L328/H325,1)," fois la perte)"),""),""))</f>
        <v/>
      </c>
      <c r="V328" s="313" t="str">
        <f t="shared" ref="V328" si="766">IF(M328="","",IFERROR(IF(M328&gt;0,"OUI",""),""))</f>
        <v/>
      </c>
      <c r="W328" s="313" t="str">
        <f t="shared" ref="W328" si="767">IF(N328="","",IFERROR(IF(N328&gt;0,"DECLIN FONCTIONNEL",""),""))</f>
        <v/>
      </c>
      <c r="X328" s="306"/>
      <c r="Y328" s="307"/>
      <c r="Z328" s="307"/>
      <c r="AA328" s="314">
        <f t="shared" ref="AA328" si="768">IF(AND(E328&lt;&gt;"",E326&lt;&gt;""),1,0)</f>
        <v>0</v>
      </c>
      <c r="AB328" s="306"/>
      <c r="AC328" s="314">
        <f t="shared" ref="AC328" si="769">IF(IFERROR(Y325+AA328,0)=0,0,IF(SUM(AA328,Y325)=2,1,0))</f>
        <v>0</v>
      </c>
      <c r="AD328" s="221"/>
      <c r="AE328" s="221"/>
      <c r="AF328" s="323"/>
      <c r="AG328" s="328">
        <f t="shared" ref="AG328" si="770">IF(U328&lt;&gt;"",1,IF(OR(AND(Q328&gt;0,Q328&lt;&gt;""),AND(R328&gt;0,R328&lt;&gt;"")),1,0))</f>
        <v>0</v>
      </c>
      <c r="AH328" s="221"/>
      <c r="AI328" s="316">
        <f t="shared" ref="AI328" si="771">IF(V328="OUI",1,0)</f>
        <v>0</v>
      </c>
    </row>
    <row r="329" spans="1:35" s="197" customFormat="1" ht="30" x14ac:dyDescent="0.2">
      <c r="A329" s="293"/>
      <c r="B329" s="266" t="s">
        <v>138</v>
      </c>
      <c r="C329" s="284" t="s">
        <v>474</v>
      </c>
      <c r="D329" s="285" t="s">
        <v>470</v>
      </c>
      <c r="E329" s="286" t="str">
        <f>D59</f>
        <v/>
      </c>
      <c r="F329" s="286" t="str">
        <f>N59</f>
        <v/>
      </c>
      <c r="G329" s="289"/>
      <c r="H329" s="289"/>
      <c r="I329" s="289"/>
      <c r="J329" s="289"/>
      <c r="K329" s="289"/>
      <c r="L329" s="289"/>
      <c r="M329" s="289"/>
      <c r="N329" s="291"/>
      <c r="O329" s="311" t="str">
        <f t="shared" ref="O329:O383" si="772">F329</f>
        <v/>
      </c>
      <c r="P329" s="289"/>
      <c r="Q329" s="289"/>
      <c r="R329" s="289"/>
      <c r="S329" s="289"/>
      <c r="T329" s="288"/>
      <c r="U329" s="221"/>
      <c r="V329" s="289"/>
      <c r="W329" s="291"/>
      <c r="X329" s="288"/>
      <c r="Y329" s="289"/>
      <c r="Z329" s="289"/>
      <c r="AA329" s="291"/>
      <c r="AB329" s="288"/>
      <c r="AC329" s="291"/>
      <c r="AD329" s="221"/>
      <c r="AE329" s="221"/>
      <c r="AF329" s="221"/>
      <c r="AG329" s="221"/>
      <c r="AH329" s="221"/>
      <c r="AI329" s="292"/>
    </row>
    <row r="330" spans="1:35" s="197" customFormat="1" ht="60" x14ac:dyDescent="0.2">
      <c r="A330" s="293"/>
      <c r="B330" s="266"/>
      <c r="C330" s="294"/>
      <c r="D330" s="285" t="s">
        <v>562</v>
      </c>
      <c r="E330" s="286" t="str">
        <f>AJ59</f>
        <v/>
      </c>
      <c r="F330" s="286" t="str">
        <f>AT59</f>
        <v/>
      </c>
      <c r="G330" s="312" t="str">
        <f t="shared" ref="G330" si="773">IFERROR(IF(F329-F330&gt;0,F329-F330,0),"")</f>
        <v/>
      </c>
      <c r="H330" s="221"/>
      <c r="I330" s="221"/>
      <c r="J330" s="221"/>
      <c r="K330" s="221"/>
      <c r="L330" s="221"/>
      <c r="M330" s="221"/>
      <c r="N330" s="297"/>
      <c r="O330" s="312" t="str">
        <f t="shared" ref="O330" si="774">IF(F330&gt;F329,F330,IFERROR(IF(O329-P330&gt;0,O329-P330,0),""))</f>
        <v/>
      </c>
      <c r="P330" s="313" t="str">
        <f t="shared" ref="P330" si="775">IFERROR(IF(F329-F330&gt;0,F329-F330,0),"")</f>
        <v/>
      </c>
      <c r="Q330" s="221"/>
      <c r="R330" s="221"/>
      <c r="S330" s="221"/>
      <c r="T330" s="313" t="str">
        <f t="shared" ref="T330" si="776">IF(G330="","",IFERROR(IF(G330&gt;0,"PERTE FONCTIONNELLE",""),""))</f>
        <v/>
      </c>
      <c r="U330" s="221"/>
      <c r="V330" s="221"/>
      <c r="W330" s="297"/>
      <c r="X330" s="314">
        <f t="shared" ref="X330" si="777">IF(AND(E330&lt;&gt;"",E329&lt;&gt;""),1,0)</f>
        <v>0</v>
      </c>
      <c r="Y330" s="221"/>
      <c r="Z330" s="221"/>
      <c r="AA330" s="297"/>
      <c r="AB330" s="298"/>
      <c r="AC330" s="297"/>
      <c r="AD330" s="314">
        <f>IF(T330="PERTE FONCTIONNELLE",1,0)</f>
        <v>0</v>
      </c>
      <c r="AE330" s="221"/>
      <c r="AF330" s="221"/>
      <c r="AG330" s="221"/>
      <c r="AH330" s="221"/>
      <c r="AI330" s="292"/>
    </row>
    <row r="331" spans="1:35" s="197" customFormat="1" ht="30" x14ac:dyDescent="0.2">
      <c r="A331" s="293"/>
      <c r="B331" s="266"/>
      <c r="C331" s="299"/>
      <c r="D331" s="285" t="s">
        <v>471</v>
      </c>
      <c r="E331" s="286" t="str">
        <f>BP59</f>
        <v/>
      </c>
      <c r="F331" s="286" t="str">
        <f>BZ59</f>
        <v/>
      </c>
      <c r="G331" s="298"/>
      <c r="H331" s="313" t="str">
        <f t="shared" ref="H331" si="778">IFERROR(IF(F329-F331&gt;0,F329-F331,0),"")</f>
        <v/>
      </c>
      <c r="I331" s="221"/>
      <c r="J331" s="221"/>
      <c r="K331" s="221"/>
      <c r="L331" s="221"/>
      <c r="M331" s="221"/>
      <c r="N331" s="297"/>
      <c r="O331" s="311" t="str">
        <f t="shared" ref="O331" si="779">IF(F331&gt;F329,F331,IFERROR(IF(O329-P331&gt;0,O329-P331,0),""))</f>
        <v/>
      </c>
      <c r="P331" s="313" t="str">
        <f t="shared" ref="P331" si="780">IFERROR(IF(F329-F331&gt;0,F329-F331,0),"")</f>
        <v/>
      </c>
      <c r="Q331" s="221"/>
      <c r="R331" s="221"/>
      <c r="S331" s="221"/>
      <c r="T331" s="313" t="str">
        <f t="shared" ref="T331" si="781">IF(H331="","",IFERROR(IF(H331&gt;0,"PERTE FONCTIONNELLE",""),""))</f>
        <v/>
      </c>
      <c r="U331" s="221"/>
      <c r="V331" s="221"/>
      <c r="W331" s="297"/>
      <c r="X331" s="298"/>
      <c r="Y331" s="314">
        <f t="shared" ref="Y331" si="782">IF(AND(E331&lt;&gt;"",E329&lt;&gt;""),1,0)</f>
        <v>0</v>
      </c>
      <c r="Z331" s="221"/>
      <c r="AA331" s="297"/>
      <c r="AB331" s="298"/>
      <c r="AC331" s="297"/>
      <c r="AD331" s="221"/>
      <c r="AE331" s="314">
        <f>IF(T331="PERTE FONCTIONNELLE",1,0)</f>
        <v>0</v>
      </c>
      <c r="AF331" s="221"/>
      <c r="AG331" s="221"/>
      <c r="AH331" s="221"/>
      <c r="AI331" s="292"/>
    </row>
    <row r="332" spans="1:35" s="197" customFormat="1" ht="45" x14ac:dyDescent="0.2">
      <c r="A332" s="293"/>
      <c r="B332" s="266"/>
      <c r="C332" s="284" t="s">
        <v>475</v>
      </c>
      <c r="D332" s="285" t="s">
        <v>476</v>
      </c>
      <c r="E332" s="286" t="str">
        <f>CV59</f>
        <v/>
      </c>
      <c r="F332" s="286" t="str">
        <f>DF59</f>
        <v/>
      </c>
      <c r="G332" s="298"/>
      <c r="H332" s="221"/>
      <c r="I332" s="221"/>
      <c r="J332" s="221"/>
      <c r="K332" s="221"/>
      <c r="L332" s="221"/>
      <c r="M332" s="221"/>
      <c r="N332" s="297"/>
      <c r="O332" s="311" t="str">
        <f t="shared" ref="O332:O386" si="783">F332</f>
        <v/>
      </c>
      <c r="P332" s="221"/>
      <c r="Q332" s="221"/>
      <c r="R332" s="221"/>
      <c r="S332" s="221"/>
      <c r="T332" s="298"/>
      <c r="U332" s="221"/>
      <c r="V332" s="221"/>
      <c r="W332" s="297"/>
      <c r="X332" s="298"/>
      <c r="Y332" s="221"/>
      <c r="Z332" s="221"/>
      <c r="AA332" s="297"/>
      <c r="AB332" s="298"/>
      <c r="AC332" s="297"/>
      <c r="AD332" s="221"/>
      <c r="AE332" s="221"/>
      <c r="AF332" s="221"/>
      <c r="AG332" s="221"/>
      <c r="AH332" s="221"/>
      <c r="AI332" s="292"/>
    </row>
    <row r="333" spans="1:35" s="197" customFormat="1" ht="60" x14ac:dyDescent="0.2">
      <c r="A333" s="293"/>
      <c r="B333" s="266"/>
      <c r="C333" s="294"/>
      <c r="D333" s="285" t="s">
        <v>477</v>
      </c>
      <c r="E333" s="286" t="str">
        <f>EB59</f>
        <v/>
      </c>
      <c r="F333" s="286" t="str">
        <f>EL59</f>
        <v/>
      </c>
      <c r="G333" s="298"/>
      <c r="H333" s="221"/>
      <c r="I333" s="312" t="str">
        <f t="shared" ref="I333" si="784">IFERROR(IF(F333-F332&gt;0,F333-F332,0),"")</f>
        <v/>
      </c>
      <c r="J333" s="312" t="str">
        <f>IFERROR(IF(AND(G330&gt;0,G330*'SYNTHESE EVAL. EQ. FCT.'!$AC$140&lt;=I333),I333,0),"")</f>
        <v/>
      </c>
      <c r="K333" s="312" t="str">
        <f t="shared" ref="K333" si="785">IFERROR(IF(F333-F332&lt;0,F332-F333,0),"")</f>
        <v/>
      </c>
      <c r="L333" s="296"/>
      <c r="M333" s="296"/>
      <c r="N333" s="297"/>
      <c r="O333" s="312" t="str">
        <f t="shared" ref="O333:O387" si="786">IF(F333="","",IFERROR(IF(F333&gt;F332,F332,F333),""))</f>
        <v/>
      </c>
      <c r="P333" s="221"/>
      <c r="Q333" s="312">
        <f t="shared" ref="Q333" si="787">IFERROR(IF(AND(F333&gt;F332,I333&gt;J333),I333,0),"")</f>
        <v>0</v>
      </c>
      <c r="R333" s="312" t="str">
        <f t="shared" ref="R333" si="788">IFERROR(IF(AND(F333&gt;F332,I333&gt;J333),0,I333),"")</f>
        <v/>
      </c>
      <c r="S333" s="315" t="str">
        <f t="shared" ref="S333" si="789">IFERROR(K333,"")</f>
        <v/>
      </c>
      <c r="T333" s="298"/>
      <c r="U333" s="313" t="str">
        <f t="shared" ref="U333" si="790">IF(I333="","",IFERROR(IF(I333&gt;0,CONCATENATE(" (",ROUND(I333/G330,1)," fois la perte)"),""),""))</f>
        <v/>
      </c>
      <c r="V333" s="313" t="str">
        <f t="shared" ref="V333" si="791">IF(J333="","",IFERROR(IF(J333&gt;0,"OUI",""),""))</f>
        <v/>
      </c>
      <c r="W333" s="313" t="str">
        <f t="shared" ref="W333" si="792">IF(K333="","",IFERROR(IF(K333&gt;0,"DECLIN FONCTIONNEL",""),""))</f>
        <v/>
      </c>
      <c r="X333" s="298"/>
      <c r="Y333" s="221"/>
      <c r="Z333" s="314">
        <f t="shared" ref="Z333" si="793">IF(AND(E333&lt;&gt;"",E332&lt;&gt;""),1,0)</f>
        <v>0</v>
      </c>
      <c r="AA333" s="297"/>
      <c r="AB333" s="314">
        <f t="shared" ref="AB333" si="794">IF(IFERROR(X330+Z333,0)=0,0,IF(SUM(Z333,X330)=2,1,0))</f>
        <v>0</v>
      </c>
      <c r="AC333" s="297"/>
      <c r="AD333" s="221"/>
      <c r="AE333" s="221"/>
      <c r="AF333" s="313">
        <f t="shared" ref="AF333" si="795">IF(U333&lt;&gt;"",1,IF(OR(AND(Q333&gt;0,Q333&lt;&gt;""),AND(R333&gt;0,R333&lt;&gt;"")),1,0))</f>
        <v>0</v>
      </c>
      <c r="AG333" s="221"/>
      <c r="AH333" s="314">
        <f>IF(V333="OUI",1,0)</f>
        <v>0</v>
      </c>
      <c r="AI333" s="292"/>
    </row>
    <row r="334" spans="1:35" s="197" customFormat="1" ht="45.75" thickBot="1" x14ac:dyDescent="0.25">
      <c r="A334" s="293"/>
      <c r="B334" s="266"/>
      <c r="C334" s="299"/>
      <c r="D334" s="285" t="s">
        <v>478</v>
      </c>
      <c r="E334" s="286" t="str">
        <f>FH59</f>
        <v/>
      </c>
      <c r="F334" s="286" t="str">
        <f>FR59</f>
        <v/>
      </c>
      <c r="G334" s="306"/>
      <c r="H334" s="307"/>
      <c r="I334" s="308"/>
      <c r="J334" s="309"/>
      <c r="K334" s="309"/>
      <c r="L334" s="312" t="str">
        <f t="shared" ref="L334" si="796">IFERROR(IF(F334-F332&gt;0,F334-F332,0),"")</f>
        <v/>
      </c>
      <c r="M334" s="315" t="str">
        <f>IFERROR(IF(AND(H331&gt;0,H331*'SYNTHESE EVAL. EQ. FCT.'!$AC$140&lt;=L334),L334,0),"")</f>
        <v/>
      </c>
      <c r="N334" s="312" t="str">
        <f t="shared" ref="N334" si="797">IFERROR(IF(F334-F332&lt;0,F332-F334,0),"")</f>
        <v/>
      </c>
      <c r="O334" s="312" t="str">
        <f t="shared" ref="O334:O388" si="798">IF(F334="","",IFERROR(IF(N334&gt;0,F332-N334,0)+IF(AND(L334=0,N334=0),F332,0)+IF(L334&gt;0,F332,0),""))</f>
        <v/>
      </c>
      <c r="P334" s="307"/>
      <c r="Q334" s="312">
        <f t="shared" ref="Q334" si="799">IFERROR(IF(L334&gt;M334,L334,0),"")</f>
        <v>0</v>
      </c>
      <c r="R334" s="312" t="str">
        <f t="shared" ref="R334" si="800">IFERROR(IF(L334&gt;M334,0,M334),"")</f>
        <v/>
      </c>
      <c r="S334" s="315" t="str">
        <f t="shared" ref="S334" si="801">IFERROR(N334,"")</f>
        <v/>
      </c>
      <c r="T334" s="306"/>
      <c r="U334" s="328" t="str">
        <f t="shared" ref="U334" si="802">IF(L334="","",IFERROR(IF(L334&gt;0,CONCATENATE(" (",ROUND(L334/H331,1)," fois la perte)"),""),""))</f>
        <v/>
      </c>
      <c r="V334" s="313" t="str">
        <f t="shared" ref="V334" si="803">IF(M334="","",IFERROR(IF(M334&gt;0,"OUI",""),""))</f>
        <v/>
      </c>
      <c r="W334" s="313" t="str">
        <f t="shared" ref="W334" si="804">IF(N334="","",IFERROR(IF(N334&gt;0,"DECLIN FONCTIONNEL",""),""))</f>
        <v/>
      </c>
      <c r="X334" s="306"/>
      <c r="Y334" s="307"/>
      <c r="Z334" s="307"/>
      <c r="AA334" s="314">
        <f t="shared" ref="AA334" si="805">IF(AND(E334&lt;&gt;"",E332&lt;&gt;""),1,0)</f>
        <v>0</v>
      </c>
      <c r="AB334" s="306"/>
      <c r="AC334" s="314">
        <f t="shared" ref="AC334" si="806">IF(IFERROR(Y331+AA334,0)=0,0,IF(SUM(AA334,Y331)=2,1,0))</f>
        <v>0</v>
      </c>
      <c r="AD334" s="221"/>
      <c r="AE334" s="221"/>
      <c r="AF334" s="323"/>
      <c r="AG334" s="328">
        <f t="shared" ref="AG334" si="807">IF(U334&lt;&gt;"",1,IF(OR(AND(Q334&gt;0,Q334&lt;&gt;""),AND(R334&gt;0,R334&lt;&gt;"")),1,0))</f>
        <v>0</v>
      </c>
      <c r="AH334" s="221"/>
      <c r="AI334" s="316">
        <f>IF(V334="OUI",1,0)</f>
        <v>0</v>
      </c>
    </row>
    <row r="335" spans="1:35" s="197" customFormat="1" ht="30" x14ac:dyDescent="0.2">
      <c r="A335" s="293"/>
      <c r="B335" s="303" t="s">
        <v>153</v>
      </c>
      <c r="C335" s="284" t="s">
        <v>474</v>
      </c>
      <c r="D335" s="285" t="s">
        <v>470</v>
      </c>
      <c r="E335" s="286" t="str">
        <f>M82</f>
        <v/>
      </c>
      <c r="F335" s="286" t="str">
        <f>W82</f>
        <v/>
      </c>
      <c r="G335" s="289"/>
      <c r="H335" s="289"/>
      <c r="I335" s="289"/>
      <c r="J335" s="289"/>
      <c r="K335" s="289"/>
      <c r="L335" s="289"/>
      <c r="M335" s="289"/>
      <c r="N335" s="291"/>
      <c r="O335" s="311" t="str">
        <f t="shared" si="772"/>
        <v/>
      </c>
      <c r="P335" s="289"/>
      <c r="Q335" s="289"/>
      <c r="R335" s="289"/>
      <c r="S335" s="289"/>
      <c r="T335" s="288"/>
      <c r="U335" s="221"/>
      <c r="V335" s="289"/>
      <c r="W335" s="291"/>
      <c r="X335" s="288"/>
      <c r="Y335" s="289"/>
      <c r="Z335" s="289"/>
      <c r="AA335" s="291"/>
      <c r="AB335" s="288"/>
      <c r="AC335" s="291"/>
      <c r="AD335" s="221"/>
      <c r="AE335" s="221"/>
      <c r="AF335" s="221"/>
      <c r="AG335" s="221"/>
      <c r="AH335" s="221"/>
      <c r="AI335" s="292"/>
    </row>
    <row r="336" spans="1:35" s="197" customFormat="1" ht="60" x14ac:dyDescent="0.2">
      <c r="A336" s="293"/>
      <c r="B336" s="283"/>
      <c r="C336" s="294"/>
      <c r="D336" s="285" t="s">
        <v>562</v>
      </c>
      <c r="E336" s="286" t="str">
        <f>AS82</f>
        <v/>
      </c>
      <c r="F336" s="286" t="str">
        <f>BC82</f>
        <v/>
      </c>
      <c r="G336" s="312" t="str">
        <f t="shared" ref="G336" si="808">IFERROR(IF(F335-F336&gt;0,F335-F336,0),"")</f>
        <v/>
      </c>
      <c r="H336" s="221"/>
      <c r="I336" s="221"/>
      <c r="J336" s="221"/>
      <c r="K336" s="221"/>
      <c r="L336" s="221"/>
      <c r="M336" s="221"/>
      <c r="N336" s="297"/>
      <c r="O336" s="312" t="str">
        <f t="shared" ref="O336" si="809">IF(F336&gt;F335,F336,IFERROR(IF(O335-P336&gt;0,O335-P336,0),""))</f>
        <v/>
      </c>
      <c r="P336" s="313" t="str">
        <f t="shared" ref="P336" si="810">IFERROR(IF(F335-F336&gt;0,F335-F336,0),"")</f>
        <v/>
      </c>
      <c r="Q336" s="221"/>
      <c r="R336" s="221"/>
      <c r="S336" s="221"/>
      <c r="T336" s="313" t="str">
        <f t="shared" ref="T336" si="811">IF(G336="","",IFERROR(IF(G336&gt;0,"PERTE FONCTIONNELLE",""),""))</f>
        <v/>
      </c>
      <c r="U336" s="221"/>
      <c r="V336" s="221"/>
      <c r="W336" s="297"/>
      <c r="X336" s="314">
        <f t="shared" ref="X336" si="812">IF(AND(E336&lt;&gt;"",E335&lt;&gt;""),1,0)</f>
        <v>0</v>
      </c>
      <c r="Y336" s="221"/>
      <c r="Z336" s="221"/>
      <c r="AA336" s="297"/>
      <c r="AB336" s="298"/>
      <c r="AC336" s="297"/>
      <c r="AD336" s="314">
        <f>IF(T336="PERTE FONCTIONNELLE",1,0)</f>
        <v>0</v>
      </c>
      <c r="AE336" s="221"/>
      <c r="AF336" s="221"/>
      <c r="AG336" s="221"/>
      <c r="AH336" s="221"/>
      <c r="AI336" s="292"/>
    </row>
    <row r="337" spans="1:35" s="197" customFormat="1" ht="30" x14ac:dyDescent="0.2">
      <c r="A337" s="293"/>
      <c r="B337" s="283"/>
      <c r="C337" s="299"/>
      <c r="D337" s="285" t="s">
        <v>471</v>
      </c>
      <c r="E337" s="286" t="str">
        <f>BY82</f>
        <v/>
      </c>
      <c r="F337" s="286" t="str">
        <f>CI82</f>
        <v/>
      </c>
      <c r="G337" s="298"/>
      <c r="H337" s="313" t="str">
        <f t="shared" ref="H337" si="813">IFERROR(IF(F335-F337&gt;0,F335-F337,0),"")</f>
        <v/>
      </c>
      <c r="I337" s="221"/>
      <c r="J337" s="221"/>
      <c r="K337" s="221"/>
      <c r="L337" s="221"/>
      <c r="M337" s="221"/>
      <c r="N337" s="297"/>
      <c r="O337" s="311" t="str">
        <f t="shared" ref="O337" si="814">IF(F337&gt;F335,F337,IFERROR(IF(O335-P337&gt;0,O335-P337,0),""))</f>
        <v/>
      </c>
      <c r="P337" s="313" t="str">
        <f t="shared" ref="P337" si="815">IFERROR(IF(F335-F337&gt;0,F335-F337,0),"")</f>
        <v/>
      </c>
      <c r="Q337" s="221"/>
      <c r="R337" s="221"/>
      <c r="S337" s="221"/>
      <c r="T337" s="313" t="str">
        <f t="shared" ref="T337" si="816">IF(H337="","",IFERROR(IF(H337&gt;0,"PERTE FONCTIONNELLE",""),""))</f>
        <v/>
      </c>
      <c r="U337" s="221"/>
      <c r="V337" s="221"/>
      <c r="W337" s="297"/>
      <c r="X337" s="298"/>
      <c r="Y337" s="314">
        <f t="shared" ref="Y337" si="817">IF(AND(E337&lt;&gt;"",E335&lt;&gt;""),1,0)</f>
        <v>0</v>
      </c>
      <c r="Z337" s="221"/>
      <c r="AA337" s="297"/>
      <c r="AB337" s="298"/>
      <c r="AC337" s="297"/>
      <c r="AD337" s="221"/>
      <c r="AE337" s="314">
        <f>IF(T337="PERTE FONCTIONNELLE",1,0)</f>
        <v>0</v>
      </c>
      <c r="AF337" s="221"/>
      <c r="AG337" s="221"/>
      <c r="AH337" s="221"/>
      <c r="AI337" s="292"/>
    </row>
    <row r="338" spans="1:35" s="197" customFormat="1" ht="45" x14ac:dyDescent="0.2">
      <c r="A338" s="293"/>
      <c r="B338" s="283"/>
      <c r="C338" s="284" t="s">
        <v>475</v>
      </c>
      <c r="D338" s="285" t="s">
        <v>476</v>
      </c>
      <c r="E338" s="286" t="str">
        <f>DE82</f>
        <v/>
      </c>
      <c r="F338" s="286" t="str">
        <f>DO82</f>
        <v/>
      </c>
      <c r="G338" s="298"/>
      <c r="H338" s="221"/>
      <c r="I338" s="221"/>
      <c r="J338" s="221"/>
      <c r="K338" s="221"/>
      <c r="L338" s="221"/>
      <c r="M338" s="221"/>
      <c r="N338" s="297"/>
      <c r="O338" s="311" t="str">
        <f t="shared" si="783"/>
        <v/>
      </c>
      <c r="P338" s="221"/>
      <c r="Q338" s="221"/>
      <c r="R338" s="221"/>
      <c r="S338" s="221"/>
      <c r="T338" s="298"/>
      <c r="U338" s="221"/>
      <c r="V338" s="221"/>
      <c r="W338" s="297"/>
      <c r="X338" s="298"/>
      <c r="Y338" s="221"/>
      <c r="Z338" s="221"/>
      <c r="AA338" s="297"/>
      <c r="AB338" s="298"/>
      <c r="AC338" s="297"/>
      <c r="AD338" s="221"/>
      <c r="AE338" s="221"/>
      <c r="AF338" s="221"/>
      <c r="AG338" s="221"/>
      <c r="AH338" s="221"/>
      <c r="AI338" s="292"/>
    </row>
    <row r="339" spans="1:35" s="197" customFormat="1" ht="60" x14ac:dyDescent="0.2">
      <c r="A339" s="293"/>
      <c r="B339" s="283"/>
      <c r="C339" s="294"/>
      <c r="D339" s="285" t="s">
        <v>477</v>
      </c>
      <c r="E339" s="286" t="str">
        <f>EK82</f>
        <v/>
      </c>
      <c r="F339" s="286" t="str">
        <f>EU82</f>
        <v/>
      </c>
      <c r="G339" s="298"/>
      <c r="H339" s="221"/>
      <c r="I339" s="312" t="str">
        <f t="shared" ref="I339" si="818">IFERROR(IF(F339-F338&gt;0,F339-F338,0),"")</f>
        <v/>
      </c>
      <c r="J339" s="312" t="str">
        <f>IFERROR(IF(AND(G336&gt;0,G336*'SYNTHESE EVAL. EQ. FCT.'!$AC$140&lt;=I339),I339,0),"")</f>
        <v/>
      </c>
      <c r="K339" s="312" t="str">
        <f t="shared" ref="K339" si="819">IFERROR(IF(F339-F338&lt;0,F338-F339,0),"")</f>
        <v/>
      </c>
      <c r="L339" s="296"/>
      <c r="M339" s="296"/>
      <c r="N339" s="297"/>
      <c r="O339" s="312" t="str">
        <f t="shared" si="786"/>
        <v/>
      </c>
      <c r="P339" s="221"/>
      <c r="Q339" s="312">
        <f t="shared" ref="Q339" si="820">IFERROR(IF(AND(F339&gt;F338,I339&gt;J339),I339,0),"")</f>
        <v>0</v>
      </c>
      <c r="R339" s="312" t="str">
        <f t="shared" ref="R339" si="821">IFERROR(IF(AND(F339&gt;F338,I339&gt;J339),0,I339),"")</f>
        <v/>
      </c>
      <c r="S339" s="315" t="str">
        <f t="shared" ref="S339" si="822">IFERROR(K339,"")</f>
        <v/>
      </c>
      <c r="T339" s="298"/>
      <c r="U339" s="313" t="str">
        <f t="shared" ref="U339" si="823">IF(I339="","",IFERROR(IF(I339&gt;0,CONCATENATE(" (",ROUND(I339/G336,1)," fois la perte)"),""),""))</f>
        <v/>
      </c>
      <c r="V339" s="313" t="str">
        <f t="shared" ref="V339" si="824">IF(J339="","",IFERROR(IF(J339&gt;0,"OUI",""),""))</f>
        <v/>
      </c>
      <c r="W339" s="313" t="str">
        <f t="shared" ref="W339" si="825">IF(K339="","",IFERROR(IF(K339&gt;0,"DECLIN FONCTIONNEL",""),""))</f>
        <v/>
      </c>
      <c r="X339" s="298"/>
      <c r="Y339" s="221"/>
      <c r="Z339" s="314">
        <f t="shared" ref="Z339" si="826">IF(AND(E339&lt;&gt;"",E338&lt;&gt;""),1,0)</f>
        <v>0</v>
      </c>
      <c r="AA339" s="297"/>
      <c r="AB339" s="314">
        <f t="shared" ref="AB339" si="827">IF(IFERROR(X336+Z339,0)=0,0,IF(SUM(Z339,X336)=2,1,0))</f>
        <v>0</v>
      </c>
      <c r="AC339" s="297"/>
      <c r="AD339" s="221"/>
      <c r="AE339" s="221"/>
      <c r="AF339" s="313">
        <f t="shared" ref="AF339" si="828">IF(U339&lt;&gt;"",1,IF(OR(AND(Q339&gt;0,Q339&lt;&gt;""),AND(R339&gt;0,R339&lt;&gt;"")),1,0))</f>
        <v>0</v>
      </c>
      <c r="AG339" s="221"/>
      <c r="AH339" s="314">
        <f t="shared" ref="AH339" si="829">IF(V339="OUI",1,0)</f>
        <v>0</v>
      </c>
      <c r="AI339" s="292"/>
    </row>
    <row r="340" spans="1:35" s="197" customFormat="1" ht="45.75" thickBot="1" x14ac:dyDescent="0.25">
      <c r="A340" s="293"/>
      <c r="B340" s="301"/>
      <c r="C340" s="299"/>
      <c r="D340" s="285" t="s">
        <v>478</v>
      </c>
      <c r="E340" s="286" t="str">
        <f>FQ82</f>
        <v/>
      </c>
      <c r="F340" s="286" t="str">
        <f>GA82</f>
        <v/>
      </c>
      <c r="G340" s="306"/>
      <c r="H340" s="307"/>
      <c r="I340" s="308"/>
      <c r="J340" s="309"/>
      <c r="K340" s="309"/>
      <c r="L340" s="312" t="str">
        <f t="shared" ref="L340" si="830">IFERROR(IF(F340-F338&gt;0,F340-F338,0),"")</f>
        <v/>
      </c>
      <c r="M340" s="315" t="str">
        <f>IFERROR(IF(AND(H337&gt;0,H337*'SYNTHESE EVAL. EQ. FCT.'!$AC$140&lt;=L340),L340,0),"")</f>
        <v/>
      </c>
      <c r="N340" s="312" t="str">
        <f t="shared" ref="N340" si="831">IFERROR(IF(F340-F338&lt;0,F338-F340,0),"")</f>
        <v/>
      </c>
      <c r="O340" s="312" t="str">
        <f t="shared" si="798"/>
        <v/>
      </c>
      <c r="P340" s="307"/>
      <c r="Q340" s="312">
        <f t="shared" ref="Q340" si="832">IFERROR(IF(L340&gt;M340,L340,0),"")</f>
        <v>0</v>
      </c>
      <c r="R340" s="312" t="str">
        <f t="shared" ref="R340" si="833">IFERROR(IF(L340&gt;M340,0,M340),"")</f>
        <v/>
      </c>
      <c r="S340" s="315" t="str">
        <f t="shared" ref="S340" si="834">IFERROR(N340,"")</f>
        <v/>
      </c>
      <c r="T340" s="306"/>
      <c r="U340" s="328" t="str">
        <f t="shared" ref="U340" si="835">IF(L340="","",IFERROR(IF(L340&gt;0,CONCATENATE(" (",ROUND(L340/H337,1)," fois la perte)"),""),""))</f>
        <v/>
      </c>
      <c r="V340" s="313" t="str">
        <f t="shared" ref="V340" si="836">IF(M340="","",IFERROR(IF(M340&gt;0,"OUI",""),""))</f>
        <v/>
      </c>
      <c r="W340" s="313" t="str">
        <f t="shared" ref="W340" si="837">IF(N340="","",IFERROR(IF(N340&gt;0,"DECLIN FONCTIONNEL",""),""))</f>
        <v/>
      </c>
      <c r="X340" s="306"/>
      <c r="Y340" s="307"/>
      <c r="Z340" s="307"/>
      <c r="AA340" s="314">
        <f t="shared" ref="AA340" si="838">IF(AND(E340&lt;&gt;"",E338&lt;&gt;""),1,0)</f>
        <v>0</v>
      </c>
      <c r="AB340" s="306"/>
      <c r="AC340" s="314">
        <f t="shared" ref="AC340" si="839">IF(IFERROR(Y337+AA340,0)=0,0,IF(SUM(AA340,Y337)=2,1,0))</f>
        <v>0</v>
      </c>
      <c r="AD340" s="221"/>
      <c r="AE340" s="221"/>
      <c r="AF340" s="323"/>
      <c r="AG340" s="328">
        <f t="shared" ref="AG340" si="840">IF(U340&lt;&gt;"",1,IF(OR(AND(Q340&gt;0,Q340&lt;&gt;""),AND(R340&gt;0,R340&lt;&gt;"")),1,0))</f>
        <v>0</v>
      </c>
      <c r="AH340" s="221"/>
      <c r="AI340" s="316">
        <f t="shared" ref="AI340" si="841">IF(V340="OUI",1,0)</f>
        <v>0</v>
      </c>
    </row>
    <row r="341" spans="1:35" s="197" customFormat="1" ht="30" x14ac:dyDescent="0.2">
      <c r="A341" s="293"/>
      <c r="B341" s="303" t="s">
        <v>423</v>
      </c>
      <c r="C341" s="284" t="s">
        <v>474</v>
      </c>
      <c r="D341" s="285" t="s">
        <v>470</v>
      </c>
      <c r="E341" s="286" t="str">
        <f>G75</f>
        <v/>
      </c>
      <c r="F341" s="286" t="str">
        <f>Q75</f>
        <v/>
      </c>
      <c r="G341" s="289"/>
      <c r="H341" s="289"/>
      <c r="I341" s="289"/>
      <c r="J341" s="289"/>
      <c r="K341" s="289"/>
      <c r="L341" s="289"/>
      <c r="M341" s="289"/>
      <c r="N341" s="291"/>
      <c r="O341" s="311" t="str">
        <f t="shared" si="772"/>
        <v/>
      </c>
      <c r="P341" s="289"/>
      <c r="Q341" s="289"/>
      <c r="R341" s="289"/>
      <c r="S341" s="289"/>
      <c r="T341" s="288"/>
      <c r="U341" s="221"/>
      <c r="V341" s="289"/>
      <c r="W341" s="291"/>
      <c r="X341" s="288"/>
      <c r="Y341" s="289"/>
      <c r="Z341" s="289"/>
      <c r="AA341" s="291"/>
      <c r="AB341" s="288"/>
      <c r="AC341" s="291"/>
      <c r="AD341" s="221"/>
      <c r="AE341" s="221"/>
      <c r="AF341" s="221"/>
      <c r="AG341" s="221"/>
      <c r="AH341" s="221"/>
      <c r="AI341" s="292"/>
    </row>
    <row r="342" spans="1:35" s="197" customFormat="1" ht="60" x14ac:dyDescent="0.2">
      <c r="A342" s="293"/>
      <c r="B342" s="283"/>
      <c r="C342" s="294"/>
      <c r="D342" s="285" t="s">
        <v>562</v>
      </c>
      <c r="E342" s="286" t="str">
        <f>AM75</f>
        <v/>
      </c>
      <c r="F342" s="286" t="str">
        <f>AW75</f>
        <v/>
      </c>
      <c r="G342" s="312" t="str">
        <f t="shared" ref="G342" si="842">IFERROR(IF(F341-F342&gt;0,F341-F342,0),"")</f>
        <v/>
      </c>
      <c r="H342" s="221"/>
      <c r="I342" s="221"/>
      <c r="J342" s="221"/>
      <c r="K342" s="221"/>
      <c r="L342" s="221"/>
      <c r="M342" s="221"/>
      <c r="N342" s="297"/>
      <c r="O342" s="312" t="str">
        <f t="shared" ref="O342" si="843">IF(F342&gt;F341,F342,IFERROR(IF(O341-P342&gt;0,O341-P342,0),""))</f>
        <v/>
      </c>
      <c r="P342" s="313" t="str">
        <f t="shared" ref="P342" si="844">IFERROR(IF(F341-F342&gt;0,F341-F342,0),"")</f>
        <v/>
      </c>
      <c r="Q342" s="221"/>
      <c r="R342" s="221"/>
      <c r="S342" s="221"/>
      <c r="T342" s="313" t="str">
        <f t="shared" ref="T342" si="845">IF(G342="","",IFERROR(IF(G342&gt;0,"PERTE FONCTIONNELLE",""),""))</f>
        <v/>
      </c>
      <c r="U342" s="221"/>
      <c r="V342" s="221"/>
      <c r="W342" s="297"/>
      <c r="X342" s="314">
        <f t="shared" ref="X342" si="846">IF(AND(E342&lt;&gt;"",E341&lt;&gt;""),1,0)</f>
        <v>0</v>
      </c>
      <c r="Y342" s="221"/>
      <c r="Z342" s="221"/>
      <c r="AA342" s="297"/>
      <c r="AB342" s="298"/>
      <c r="AC342" s="297"/>
      <c r="AD342" s="314">
        <f>IF(T342="PERTE FONCTIONNELLE",1,0)</f>
        <v>0</v>
      </c>
      <c r="AE342" s="221"/>
      <c r="AF342" s="221"/>
      <c r="AG342" s="221"/>
      <c r="AH342" s="221"/>
      <c r="AI342" s="292"/>
    </row>
    <row r="343" spans="1:35" s="197" customFormat="1" ht="30" x14ac:dyDescent="0.2">
      <c r="A343" s="293"/>
      <c r="B343" s="283"/>
      <c r="C343" s="299"/>
      <c r="D343" s="285" t="s">
        <v>471</v>
      </c>
      <c r="E343" s="286" t="str">
        <f>BS75</f>
        <v/>
      </c>
      <c r="F343" s="286" t="str">
        <f>CC75</f>
        <v/>
      </c>
      <c r="G343" s="298"/>
      <c r="H343" s="313" t="str">
        <f t="shared" ref="H343" si="847">IFERROR(IF(F341-F343&gt;0,F341-F343,0),"")</f>
        <v/>
      </c>
      <c r="I343" s="221"/>
      <c r="J343" s="221"/>
      <c r="K343" s="221"/>
      <c r="L343" s="221"/>
      <c r="M343" s="221"/>
      <c r="N343" s="297"/>
      <c r="O343" s="311" t="str">
        <f t="shared" ref="O343" si="848">IF(F343&gt;F341,F343,IFERROR(IF(O341-P343&gt;0,O341-P343,0),""))</f>
        <v/>
      </c>
      <c r="P343" s="313" t="str">
        <f t="shared" ref="P343" si="849">IFERROR(IF(F341-F343&gt;0,F341-F343,0),"")</f>
        <v/>
      </c>
      <c r="Q343" s="221"/>
      <c r="R343" s="221"/>
      <c r="S343" s="221"/>
      <c r="T343" s="313" t="str">
        <f t="shared" ref="T343" si="850">IF(H343="","",IFERROR(IF(H343&gt;0,"PERTE FONCTIONNELLE",""),""))</f>
        <v/>
      </c>
      <c r="U343" s="221"/>
      <c r="V343" s="221"/>
      <c r="W343" s="297"/>
      <c r="X343" s="298"/>
      <c r="Y343" s="314">
        <f t="shared" ref="Y343" si="851">IF(AND(E343&lt;&gt;"",E341&lt;&gt;""),1,0)</f>
        <v>0</v>
      </c>
      <c r="Z343" s="221"/>
      <c r="AA343" s="297"/>
      <c r="AB343" s="298"/>
      <c r="AC343" s="297"/>
      <c r="AD343" s="221"/>
      <c r="AE343" s="314">
        <f>IF(T343="PERTE FONCTIONNELLE",1,0)</f>
        <v>0</v>
      </c>
      <c r="AF343" s="221"/>
      <c r="AG343" s="221"/>
      <c r="AH343" s="221"/>
      <c r="AI343" s="292"/>
    </row>
    <row r="344" spans="1:35" s="197" customFormat="1" ht="45" x14ac:dyDescent="0.2">
      <c r="A344" s="293"/>
      <c r="B344" s="283"/>
      <c r="C344" s="284" t="s">
        <v>475</v>
      </c>
      <c r="D344" s="285" t="s">
        <v>476</v>
      </c>
      <c r="E344" s="286" t="str">
        <f>CY75</f>
        <v/>
      </c>
      <c r="F344" s="286" t="str">
        <f>DI75</f>
        <v/>
      </c>
      <c r="G344" s="298"/>
      <c r="H344" s="221"/>
      <c r="I344" s="221"/>
      <c r="J344" s="221"/>
      <c r="K344" s="221"/>
      <c r="L344" s="221"/>
      <c r="M344" s="221"/>
      <c r="N344" s="297"/>
      <c r="O344" s="311" t="str">
        <f t="shared" si="783"/>
        <v/>
      </c>
      <c r="P344" s="221"/>
      <c r="Q344" s="221"/>
      <c r="R344" s="221"/>
      <c r="S344" s="221"/>
      <c r="T344" s="298"/>
      <c r="U344" s="221"/>
      <c r="V344" s="221"/>
      <c r="W344" s="297"/>
      <c r="X344" s="298"/>
      <c r="Y344" s="221"/>
      <c r="Z344" s="221"/>
      <c r="AA344" s="297"/>
      <c r="AB344" s="298"/>
      <c r="AC344" s="297"/>
      <c r="AD344" s="221"/>
      <c r="AE344" s="221"/>
      <c r="AF344" s="221"/>
      <c r="AG344" s="221"/>
      <c r="AH344" s="221"/>
      <c r="AI344" s="292"/>
    </row>
    <row r="345" spans="1:35" s="197" customFormat="1" ht="60" x14ac:dyDescent="0.2">
      <c r="A345" s="293"/>
      <c r="B345" s="283"/>
      <c r="C345" s="294"/>
      <c r="D345" s="285" t="s">
        <v>477</v>
      </c>
      <c r="E345" s="286" t="str">
        <f>EE75</f>
        <v/>
      </c>
      <c r="F345" s="286" t="str">
        <f>EO75</f>
        <v/>
      </c>
      <c r="G345" s="298"/>
      <c r="H345" s="221"/>
      <c r="I345" s="312" t="str">
        <f t="shared" ref="I345" si="852">IFERROR(IF(F345-F344&gt;0,F345-F344,0),"")</f>
        <v/>
      </c>
      <c r="J345" s="312" t="str">
        <f>IFERROR(IF(AND(G342&gt;0,G342*'SYNTHESE EVAL. EQ. FCT.'!$AC$140&lt;=I345),I345,0),"")</f>
        <v/>
      </c>
      <c r="K345" s="312" t="str">
        <f t="shared" ref="K345" si="853">IFERROR(IF(F345-F344&lt;0,F344-F345,0),"")</f>
        <v/>
      </c>
      <c r="L345" s="296"/>
      <c r="M345" s="296"/>
      <c r="N345" s="297"/>
      <c r="O345" s="312" t="str">
        <f t="shared" si="786"/>
        <v/>
      </c>
      <c r="P345" s="221"/>
      <c r="Q345" s="312">
        <f t="shared" ref="Q345" si="854">IFERROR(IF(AND(F345&gt;F344,I345&gt;J345),I345,0),"")</f>
        <v>0</v>
      </c>
      <c r="R345" s="312" t="str">
        <f t="shared" ref="R345" si="855">IFERROR(IF(AND(F345&gt;F344,I345&gt;J345),0,I345),"")</f>
        <v/>
      </c>
      <c r="S345" s="315" t="str">
        <f t="shared" ref="S345" si="856">IFERROR(K345,"")</f>
        <v/>
      </c>
      <c r="T345" s="298"/>
      <c r="U345" s="313" t="str">
        <f t="shared" ref="U345" si="857">IF(I345="","",IFERROR(IF(I345&gt;0,CONCATENATE(" (",ROUND(I345/G342,1)," fois la perte)"),""),""))</f>
        <v/>
      </c>
      <c r="V345" s="313" t="str">
        <f t="shared" ref="V345" si="858">IF(J345="","",IFERROR(IF(J345&gt;0,"OUI",""),""))</f>
        <v/>
      </c>
      <c r="W345" s="313" t="str">
        <f t="shared" ref="W345" si="859">IF(K345="","",IFERROR(IF(K345&gt;0,"DECLIN FONCTIONNEL",""),""))</f>
        <v/>
      </c>
      <c r="X345" s="298"/>
      <c r="Y345" s="221"/>
      <c r="Z345" s="314">
        <f t="shared" ref="Z345" si="860">IF(AND(E345&lt;&gt;"",E344&lt;&gt;""),1,0)</f>
        <v>0</v>
      </c>
      <c r="AA345" s="297"/>
      <c r="AB345" s="314">
        <f t="shared" ref="AB345" si="861">IF(IFERROR(X342+Z345,0)=0,0,IF(SUM(Z345,X342)=2,1,0))</f>
        <v>0</v>
      </c>
      <c r="AC345" s="297"/>
      <c r="AD345" s="221"/>
      <c r="AE345" s="221"/>
      <c r="AF345" s="313">
        <f t="shared" ref="AF345" si="862">IF(U345&lt;&gt;"",1,IF(OR(AND(Q345&gt;0,Q345&lt;&gt;""),AND(R345&gt;0,R345&lt;&gt;"")),1,0))</f>
        <v>0</v>
      </c>
      <c r="AG345" s="221"/>
      <c r="AH345" s="314">
        <f t="shared" ref="AH345" si="863">IF(V345="OUI",1,0)</f>
        <v>0</v>
      </c>
      <c r="AI345" s="292"/>
    </row>
    <row r="346" spans="1:35" s="197" customFormat="1" ht="45.75" thickBot="1" x14ac:dyDescent="0.25">
      <c r="A346" s="293"/>
      <c r="B346" s="283"/>
      <c r="C346" s="299"/>
      <c r="D346" s="285" t="s">
        <v>478</v>
      </c>
      <c r="E346" s="286" t="str">
        <f>FK75</f>
        <v/>
      </c>
      <c r="F346" s="286" t="str">
        <f>FU75</f>
        <v/>
      </c>
      <c r="G346" s="306"/>
      <c r="H346" s="307"/>
      <c r="I346" s="308"/>
      <c r="J346" s="309"/>
      <c r="K346" s="309"/>
      <c r="L346" s="312" t="str">
        <f t="shared" ref="L346" si="864">IFERROR(IF(F346-F344&gt;0,F346-F344,0),"")</f>
        <v/>
      </c>
      <c r="M346" s="315" t="str">
        <f>IFERROR(IF(AND(H343&gt;0,H343*'SYNTHESE EVAL. EQ. FCT.'!$AC$140&lt;=L346),L346,0),"")</f>
        <v/>
      </c>
      <c r="N346" s="312" t="str">
        <f t="shared" ref="N346" si="865">IFERROR(IF(F346-F344&lt;0,F344-F346,0),"")</f>
        <v/>
      </c>
      <c r="O346" s="312" t="str">
        <f t="shared" si="798"/>
        <v/>
      </c>
      <c r="P346" s="307"/>
      <c r="Q346" s="312">
        <f t="shared" ref="Q346" si="866">IFERROR(IF(L346&gt;M346,L346,0),"")</f>
        <v>0</v>
      </c>
      <c r="R346" s="312" t="str">
        <f t="shared" ref="R346" si="867">IFERROR(IF(L346&gt;M346,0,M346),"")</f>
        <v/>
      </c>
      <c r="S346" s="315" t="str">
        <f t="shared" ref="S346" si="868">IFERROR(N346,"")</f>
        <v/>
      </c>
      <c r="T346" s="306"/>
      <c r="U346" s="328" t="str">
        <f t="shared" ref="U346" si="869">IF(L346="","",IFERROR(IF(L346&gt;0,CONCATENATE(" (",ROUND(L346/H343,1)," fois la perte)"),""),""))</f>
        <v/>
      </c>
      <c r="V346" s="313" t="str">
        <f t="shared" ref="V346" si="870">IF(M346="","",IFERROR(IF(M346&gt;0,"OUI",""),""))</f>
        <v/>
      </c>
      <c r="W346" s="313" t="str">
        <f t="shared" ref="W346" si="871">IF(N346="","",IFERROR(IF(N346&gt;0,"DECLIN FONCTIONNEL",""),""))</f>
        <v/>
      </c>
      <c r="X346" s="306"/>
      <c r="Y346" s="307"/>
      <c r="Z346" s="307"/>
      <c r="AA346" s="314">
        <f t="shared" ref="AA346" si="872">IF(AND(E346&lt;&gt;"",E344&lt;&gt;""),1,0)</f>
        <v>0</v>
      </c>
      <c r="AB346" s="306"/>
      <c r="AC346" s="314">
        <f t="shared" ref="AC346" si="873">IF(IFERROR(Y343+AA346,0)=0,0,IF(SUM(AA346,Y343)=2,1,0))</f>
        <v>0</v>
      </c>
      <c r="AD346" s="221"/>
      <c r="AE346" s="221"/>
      <c r="AF346" s="323"/>
      <c r="AG346" s="328">
        <f t="shared" ref="AG346" si="874">IF(U346&lt;&gt;"",1,IF(OR(AND(Q346&gt;0,Q346&lt;&gt;""),AND(R346&gt;0,R346&lt;&gt;"")),1,0))</f>
        <v>0</v>
      </c>
      <c r="AH346" s="221"/>
      <c r="AI346" s="316">
        <f t="shared" ref="AI346" si="875">IF(V346="OUI",1,0)</f>
        <v>0</v>
      </c>
    </row>
    <row r="347" spans="1:35" s="197" customFormat="1" ht="30" x14ac:dyDescent="0.2">
      <c r="A347" s="293"/>
      <c r="B347" s="303" t="s">
        <v>425</v>
      </c>
      <c r="C347" s="284" t="s">
        <v>474</v>
      </c>
      <c r="D347" s="285" t="s">
        <v>470</v>
      </c>
      <c r="E347" s="286" t="str">
        <f>F73</f>
        <v/>
      </c>
      <c r="F347" s="286" t="str">
        <f>P73</f>
        <v/>
      </c>
      <c r="G347" s="289"/>
      <c r="H347" s="289"/>
      <c r="I347" s="289"/>
      <c r="J347" s="289"/>
      <c r="K347" s="289"/>
      <c r="L347" s="289"/>
      <c r="M347" s="289"/>
      <c r="N347" s="291"/>
      <c r="O347" s="311" t="str">
        <f t="shared" si="772"/>
        <v/>
      </c>
      <c r="P347" s="289"/>
      <c r="Q347" s="289"/>
      <c r="R347" s="289"/>
      <c r="S347" s="289"/>
      <c r="T347" s="288"/>
      <c r="U347" s="221"/>
      <c r="V347" s="289"/>
      <c r="W347" s="291"/>
      <c r="X347" s="288"/>
      <c r="Y347" s="289"/>
      <c r="Z347" s="289"/>
      <c r="AA347" s="291"/>
      <c r="AB347" s="288"/>
      <c r="AC347" s="291"/>
      <c r="AD347" s="221"/>
      <c r="AE347" s="221"/>
      <c r="AF347" s="221"/>
      <c r="AG347" s="221"/>
      <c r="AH347" s="221"/>
      <c r="AI347" s="292"/>
    </row>
    <row r="348" spans="1:35" s="197" customFormat="1" ht="60" x14ac:dyDescent="0.2">
      <c r="A348" s="293"/>
      <c r="B348" s="283"/>
      <c r="C348" s="294"/>
      <c r="D348" s="285" t="s">
        <v>562</v>
      </c>
      <c r="E348" s="286" t="str">
        <f>AL73</f>
        <v/>
      </c>
      <c r="F348" s="286" t="str">
        <f>AV73</f>
        <v/>
      </c>
      <c r="G348" s="312" t="str">
        <f t="shared" ref="G348" si="876">IFERROR(IF(F347-F348&gt;0,F347-F348,0),"")</f>
        <v/>
      </c>
      <c r="H348" s="221"/>
      <c r="I348" s="221"/>
      <c r="J348" s="221"/>
      <c r="K348" s="221"/>
      <c r="L348" s="221"/>
      <c r="M348" s="221"/>
      <c r="N348" s="297"/>
      <c r="O348" s="312" t="str">
        <f t="shared" ref="O348" si="877">IF(F348&gt;F347,F348,IFERROR(IF(O347-P348&gt;0,O347-P348,0),""))</f>
        <v/>
      </c>
      <c r="P348" s="313" t="str">
        <f t="shared" ref="P348" si="878">IFERROR(IF(F347-F348&gt;0,F347-F348,0),"")</f>
        <v/>
      </c>
      <c r="Q348" s="221"/>
      <c r="R348" s="221"/>
      <c r="S348" s="221"/>
      <c r="T348" s="313" t="str">
        <f t="shared" ref="T348" si="879">IF(G348="","",IFERROR(IF(G348&gt;0,"PERTE FONCTIONNELLE",""),""))</f>
        <v/>
      </c>
      <c r="U348" s="221"/>
      <c r="V348" s="221"/>
      <c r="W348" s="297"/>
      <c r="X348" s="314">
        <f t="shared" ref="X348" si="880">IF(AND(E348&lt;&gt;"",E347&lt;&gt;""),1,0)</f>
        <v>0</v>
      </c>
      <c r="Y348" s="221"/>
      <c r="Z348" s="221"/>
      <c r="AA348" s="297"/>
      <c r="AB348" s="298"/>
      <c r="AC348" s="297"/>
      <c r="AD348" s="314">
        <f>IF(T348="PERTE FONCTIONNELLE",1,0)</f>
        <v>0</v>
      </c>
      <c r="AE348" s="221"/>
      <c r="AF348" s="221"/>
      <c r="AG348" s="221"/>
      <c r="AH348" s="221"/>
      <c r="AI348" s="292"/>
    </row>
    <row r="349" spans="1:35" s="197" customFormat="1" ht="30" x14ac:dyDescent="0.2">
      <c r="A349" s="293"/>
      <c r="B349" s="283"/>
      <c r="C349" s="299"/>
      <c r="D349" s="285" t="s">
        <v>471</v>
      </c>
      <c r="E349" s="286" t="str">
        <f>BR73</f>
        <v/>
      </c>
      <c r="F349" s="286" t="str">
        <f>CB73</f>
        <v/>
      </c>
      <c r="G349" s="298"/>
      <c r="H349" s="313" t="str">
        <f t="shared" ref="H349" si="881">IFERROR(IF(F347-F349&gt;0,F347-F349,0),"")</f>
        <v/>
      </c>
      <c r="I349" s="221"/>
      <c r="J349" s="221"/>
      <c r="K349" s="221"/>
      <c r="L349" s="221"/>
      <c r="M349" s="221"/>
      <c r="N349" s="297"/>
      <c r="O349" s="311" t="str">
        <f t="shared" ref="O349" si="882">IF(F349&gt;F347,F349,IFERROR(IF(O347-P349&gt;0,O347-P349,0),""))</f>
        <v/>
      </c>
      <c r="P349" s="313" t="str">
        <f t="shared" ref="P349" si="883">IFERROR(IF(F347-F349&gt;0,F347-F349,0),"")</f>
        <v/>
      </c>
      <c r="Q349" s="221"/>
      <c r="R349" s="221"/>
      <c r="S349" s="221"/>
      <c r="T349" s="313" t="str">
        <f t="shared" ref="T349" si="884">IF(H349="","",IFERROR(IF(H349&gt;0,"PERTE FONCTIONNELLE",""),""))</f>
        <v/>
      </c>
      <c r="U349" s="221"/>
      <c r="V349" s="221"/>
      <c r="W349" s="297"/>
      <c r="X349" s="298"/>
      <c r="Y349" s="314">
        <f t="shared" ref="Y349" si="885">IF(AND(E349&lt;&gt;"",E347&lt;&gt;""),1,0)</f>
        <v>0</v>
      </c>
      <c r="Z349" s="221"/>
      <c r="AA349" s="297"/>
      <c r="AB349" s="298"/>
      <c r="AC349" s="297"/>
      <c r="AD349" s="221"/>
      <c r="AE349" s="314">
        <f>IF(T349="PERTE FONCTIONNELLE",1,0)</f>
        <v>0</v>
      </c>
      <c r="AF349" s="221"/>
      <c r="AG349" s="221"/>
      <c r="AH349" s="221"/>
      <c r="AI349" s="292"/>
    </row>
    <row r="350" spans="1:35" s="197" customFormat="1" ht="45" x14ac:dyDescent="0.2">
      <c r="A350" s="293"/>
      <c r="B350" s="283"/>
      <c r="C350" s="284" t="s">
        <v>475</v>
      </c>
      <c r="D350" s="285" t="s">
        <v>476</v>
      </c>
      <c r="E350" s="286" t="str">
        <f>CX73</f>
        <v/>
      </c>
      <c r="F350" s="286" t="str">
        <f>DH73</f>
        <v/>
      </c>
      <c r="G350" s="298"/>
      <c r="H350" s="221"/>
      <c r="I350" s="221"/>
      <c r="J350" s="221"/>
      <c r="K350" s="221"/>
      <c r="L350" s="221"/>
      <c r="M350" s="221"/>
      <c r="N350" s="297"/>
      <c r="O350" s="311" t="str">
        <f t="shared" si="783"/>
        <v/>
      </c>
      <c r="P350" s="221"/>
      <c r="Q350" s="221"/>
      <c r="R350" s="221"/>
      <c r="S350" s="221"/>
      <c r="T350" s="298"/>
      <c r="U350" s="221"/>
      <c r="V350" s="221"/>
      <c r="W350" s="297"/>
      <c r="X350" s="298"/>
      <c r="Y350" s="221"/>
      <c r="Z350" s="221"/>
      <c r="AA350" s="297"/>
      <c r="AB350" s="298"/>
      <c r="AC350" s="297"/>
      <c r="AD350" s="221"/>
      <c r="AE350" s="221"/>
      <c r="AF350" s="221"/>
      <c r="AG350" s="221"/>
      <c r="AH350" s="221"/>
      <c r="AI350" s="292"/>
    </row>
    <row r="351" spans="1:35" s="197" customFormat="1" ht="60" x14ac:dyDescent="0.2">
      <c r="A351" s="293"/>
      <c r="B351" s="283"/>
      <c r="C351" s="294"/>
      <c r="D351" s="285" t="s">
        <v>477</v>
      </c>
      <c r="E351" s="286" t="str">
        <f>ED73</f>
        <v/>
      </c>
      <c r="F351" s="286" t="str">
        <f>EN73</f>
        <v/>
      </c>
      <c r="G351" s="298"/>
      <c r="H351" s="221"/>
      <c r="I351" s="312" t="str">
        <f t="shared" ref="I351" si="886">IFERROR(IF(F351-F350&gt;0,F351-F350,0),"")</f>
        <v/>
      </c>
      <c r="J351" s="312" t="str">
        <f>IFERROR(IF(AND(G348&gt;0,G348*'SYNTHESE EVAL. EQ. FCT.'!$AC$140&lt;=I351),I351,0),"")</f>
        <v/>
      </c>
      <c r="K351" s="312" t="str">
        <f t="shared" ref="K351" si="887">IFERROR(IF(F351-F350&lt;0,F350-F351,0),"")</f>
        <v/>
      </c>
      <c r="L351" s="296"/>
      <c r="M351" s="296"/>
      <c r="N351" s="297"/>
      <c r="O351" s="312" t="str">
        <f t="shared" si="786"/>
        <v/>
      </c>
      <c r="P351" s="221"/>
      <c r="Q351" s="312">
        <f t="shared" ref="Q351" si="888">IFERROR(IF(AND(F351&gt;F350,I351&gt;J351),I351,0),"")</f>
        <v>0</v>
      </c>
      <c r="R351" s="312" t="str">
        <f t="shared" ref="R351" si="889">IFERROR(IF(AND(F351&gt;F350,I351&gt;J351),0,I351),"")</f>
        <v/>
      </c>
      <c r="S351" s="315" t="str">
        <f t="shared" ref="S351" si="890">IFERROR(K351,"")</f>
        <v/>
      </c>
      <c r="T351" s="298"/>
      <c r="U351" s="313" t="str">
        <f t="shared" ref="U351" si="891">IF(I351="","",IFERROR(IF(I351&gt;0,CONCATENATE(" (",ROUND(I351/G348,1)," fois la perte)"),""),""))</f>
        <v/>
      </c>
      <c r="V351" s="313" t="str">
        <f t="shared" ref="V351" si="892">IF(J351="","",IFERROR(IF(J351&gt;0,"OUI",""),""))</f>
        <v/>
      </c>
      <c r="W351" s="313" t="str">
        <f t="shared" ref="W351" si="893">IF(K351="","",IFERROR(IF(K351&gt;0,"DECLIN FONCTIONNEL",""),""))</f>
        <v/>
      </c>
      <c r="X351" s="298"/>
      <c r="Y351" s="221"/>
      <c r="Z351" s="314">
        <f t="shared" ref="Z351" si="894">IF(AND(E351&lt;&gt;"",E350&lt;&gt;""),1,0)</f>
        <v>0</v>
      </c>
      <c r="AA351" s="297"/>
      <c r="AB351" s="314">
        <f t="shared" ref="AB351" si="895">IF(IFERROR(X348+Z351,0)=0,0,IF(SUM(Z351,X348)=2,1,0))</f>
        <v>0</v>
      </c>
      <c r="AC351" s="297"/>
      <c r="AD351" s="221"/>
      <c r="AE351" s="221"/>
      <c r="AF351" s="313">
        <f t="shared" ref="AF351" si="896">IF(U351&lt;&gt;"",1,IF(OR(AND(Q351&gt;0,Q351&lt;&gt;""),AND(R351&gt;0,R351&lt;&gt;"")),1,0))</f>
        <v>0</v>
      </c>
      <c r="AG351" s="221"/>
      <c r="AH351" s="314">
        <f t="shared" ref="AH351" si="897">IF(V351="OUI",1,0)</f>
        <v>0</v>
      </c>
      <c r="AI351" s="292"/>
    </row>
    <row r="352" spans="1:35" s="197" customFormat="1" ht="45.75" thickBot="1" x14ac:dyDescent="0.25">
      <c r="A352" s="293"/>
      <c r="B352" s="301"/>
      <c r="C352" s="299"/>
      <c r="D352" s="285" t="s">
        <v>478</v>
      </c>
      <c r="E352" s="286" t="str">
        <f>FJ73</f>
        <v/>
      </c>
      <c r="F352" s="286" t="str">
        <f>FT73</f>
        <v/>
      </c>
      <c r="G352" s="306"/>
      <c r="H352" s="307"/>
      <c r="I352" s="308"/>
      <c r="J352" s="309"/>
      <c r="K352" s="309"/>
      <c r="L352" s="312" t="str">
        <f t="shared" ref="L352" si="898">IFERROR(IF(F352-F350&gt;0,F352-F350,0),"")</f>
        <v/>
      </c>
      <c r="M352" s="315" t="str">
        <f>IFERROR(IF(AND(H349&gt;0,H349*'SYNTHESE EVAL. EQ. FCT.'!$AC$140&lt;=L352),L352,0),"")</f>
        <v/>
      </c>
      <c r="N352" s="312" t="str">
        <f t="shared" ref="N352" si="899">IFERROR(IF(F352-F350&lt;0,F350-F352,0),"")</f>
        <v/>
      </c>
      <c r="O352" s="312" t="str">
        <f t="shared" si="798"/>
        <v/>
      </c>
      <c r="P352" s="307"/>
      <c r="Q352" s="312">
        <f t="shared" ref="Q352" si="900">IFERROR(IF(L352&gt;M352,L352,0),"")</f>
        <v>0</v>
      </c>
      <c r="R352" s="312" t="str">
        <f t="shared" ref="R352" si="901">IFERROR(IF(L352&gt;M352,0,M352),"")</f>
        <v/>
      </c>
      <c r="S352" s="315" t="str">
        <f t="shared" ref="S352" si="902">IFERROR(N352,"")</f>
        <v/>
      </c>
      <c r="T352" s="306"/>
      <c r="U352" s="328" t="str">
        <f t="shared" ref="U352" si="903">IF(L352="","",IFERROR(IF(L352&gt;0,CONCATENATE(" (",ROUND(L352/H349,1)," fois la perte)"),""),""))</f>
        <v/>
      </c>
      <c r="V352" s="313" t="str">
        <f t="shared" ref="V352" si="904">IF(M352="","",IFERROR(IF(M352&gt;0,"OUI",""),""))</f>
        <v/>
      </c>
      <c r="W352" s="313" t="str">
        <f t="shared" ref="W352" si="905">IF(N352="","",IFERROR(IF(N352&gt;0,"DECLIN FONCTIONNEL",""),""))</f>
        <v/>
      </c>
      <c r="X352" s="306"/>
      <c r="Y352" s="307"/>
      <c r="Z352" s="307"/>
      <c r="AA352" s="314">
        <f t="shared" ref="AA352" si="906">IF(AND(E352&lt;&gt;"",E350&lt;&gt;""),1,0)</f>
        <v>0</v>
      </c>
      <c r="AB352" s="306"/>
      <c r="AC352" s="314">
        <f t="shared" ref="AC352" si="907">IF(IFERROR(Y349+AA352,0)=0,0,IF(SUM(AA352,Y349)=2,1,0))</f>
        <v>0</v>
      </c>
      <c r="AD352" s="221"/>
      <c r="AE352" s="221"/>
      <c r="AF352" s="323"/>
      <c r="AG352" s="328">
        <f t="shared" ref="AG352" si="908">IF(U352&lt;&gt;"",1,IF(OR(AND(Q352&gt;0,Q352&lt;&gt;""),AND(R352&gt;0,R352&lt;&gt;"")),1,0))</f>
        <v>0</v>
      </c>
      <c r="AH352" s="221"/>
      <c r="AI352" s="316">
        <f t="shared" ref="AI352" si="909">IF(V352="OUI",1,0)</f>
        <v>0</v>
      </c>
    </row>
    <row r="353" spans="1:35" s="197" customFormat="1" ht="30" x14ac:dyDescent="0.2">
      <c r="A353" s="293"/>
      <c r="B353" s="283" t="s">
        <v>424</v>
      </c>
      <c r="C353" s="284" t="s">
        <v>474</v>
      </c>
      <c r="D353" s="285" t="s">
        <v>470</v>
      </c>
      <c r="E353" s="286" t="str">
        <f>G74</f>
        <v/>
      </c>
      <c r="F353" s="286" t="str">
        <f>Q74</f>
        <v/>
      </c>
      <c r="G353" s="289"/>
      <c r="H353" s="289"/>
      <c r="I353" s="289"/>
      <c r="J353" s="289"/>
      <c r="K353" s="289"/>
      <c r="L353" s="289"/>
      <c r="M353" s="289"/>
      <c r="N353" s="291"/>
      <c r="O353" s="311" t="str">
        <f t="shared" si="772"/>
        <v/>
      </c>
      <c r="P353" s="289"/>
      <c r="Q353" s="289"/>
      <c r="R353" s="289"/>
      <c r="S353" s="289"/>
      <c r="T353" s="288"/>
      <c r="U353" s="221"/>
      <c r="V353" s="289"/>
      <c r="W353" s="291"/>
      <c r="X353" s="288"/>
      <c r="Y353" s="289"/>
      <c r="Z353" s="289"/>
      <c r="AA353" s="291"/>
      <c r="AB353" s="288"/>
      <c r="AC353" s="291"/>
      <c r="AD353" s="221"/>
      <c r="AE353" s="221"/>
      <c r="AF353" s="221"/>
      <c r="AG353" s="221"/>
      <c r="AH353" s="221"/>
      <c r="AI353" s="292"/>
    </row>
    <row r="354" spans="1:35" s="197" customFormat="1" ht="60" x14ac:dyDescent="0.2">
      <c r="A354" s="293"/>
      <c r="B354" s="283"/>
      <c r="C354" s="294"/>
      <c r="D354" s="285" t="s">
        <v>562</v>
      </c>
      <c r="E354" s="286" t="str">
        <f>AM74</f>
        <v/>
      </c>
      <c r="F354" s="286" t="str">
        <f>AW74</f>
        <v/>
      </c>
      <c r="G354" s="312" t="str">
        <f t="shared" ref="G354" si="910">IFERROR(IF(F353-F354&gt;0,F353-F354,0),"")</f>
        <v/>
      </c>
      <c r="H354" s="221"/>
      <c r="I354" s="221"/>
      <c r="J354" s="221"/>
      <c r="K354" s="221"/>
      <c r="L354" s="221"/>
      <c r="M354" s="221"/>
      <c r="N354" s="297"/>
      <c r="O354" s="312" t="str">
        <f t="shared" ref="O354" si="911">IF(F354&gt;F353,F354,IFERROR(IF(O353-P354&gt;0,O353-P354,0),""))</f>
        <v/>
      </c>
      <c r="P354" s="313" t="str">
        <f>IFERROR(IF(F353-F354&gt;0,F353-F354,0),"")</f>
        <v/>
      </c>
      <c r="Q354" s="221"/>
      <c r="R354" s="221"/>
      <c r="S354" s="221"/>
      <c r="T354" s="313" t="str">
        <f t="shared" ref="T354" si="912">IF(G354="","",IFERROR(IF(G354&gt;0,"PERTE FONCTIONNELLE",""),""))</f>
        <v/>
      </c>
      <c r="U354" s="221"/>
      <c r="V354" s="221"/>
      <c r="W354" s="297"/>
      <c r="X354" s="314">
        <f t="shared" ref="X354" si="913">IF(AND(E354&lt;&gt;"",E353&lt;&gt;""),1,0)</f>
        <v>0</v>
      </c>
      <c r="Y354" s="221"/>
      <c r="Z354" s="221"/>
      <c r="AA354" s="297"/>
      <c r="AB354" s="298"/>
      <c r="AC354" s="297"/>
      <c r="AD354" s="314">
        <f>IF(T354="PERTE FONCTIONNELLE",1,0)</f>
        <v>0</v>
      </c>
      <c r="AE354" s="221"/>
      <c r="AF354" s="221"/>
      <c r="AG354" s="221"/>
      <c r="AH354" s="221"/>
      <c r="AI354" s="292"/>
    </row>
    <row r="355" spans="1:35" s="197" customFormat="1" ht="30" x14ac:dyDescent="0.2">
      <c r="A355" s="293"/>
      <c r="B355" s="283"/>
      <c r="C355" s="299"/>
      <c r="D355" s="285" t="s">
        <v>471</v>
      </c>
      <c r="E355" s="286" t="str">
        <f>BS74</f>
        <v/>
      </c>
      <c r="F355" s="286" t="str">
        <f>CC74</f>
        <v/>
      </c>
      <c r="G355" s="298"/>
      <c r="H355" s="313" t="str">
        <f t="shared" ref="H355" si="914">IFERROR(IF(F353-F355&gt;0,F353-F355,0),"")</f>
        <v/>
      </c>
      <c r="I355" s="221"/>
      <c r="J355" s="221"/>
      <c r="K355" s="221"/>
      <c r="L355" s="221"/>
      <c r="M355" s="221"/>
      <c r="N355" s="297"/>
      <c r="O355" s="311" t="str">
        <f t="shared" ref="O355" si="915">IF(F355&gt;F353,F355,IFERROR(IF(O353-P355&gt;0,O353-P355,0),""))</f>
        <v/>
      </c>
      <c r="P355" s="313" t="str">
        <f t="shared" ref="P355" si="916">IFERROR(IF(F353-F355&gt;0,F353-F355,0),"")</f>
        <v/>
      </c>
      <c r="Q355" s="221"/>
      <c r="R355" s="221"/>
      <c r="S355" s="221"/>
      <c r="T355" s="313" t="str">
        <f t="shared" ref="T355" si="917">IF(H355="","",IFERROR(IF(H355&gt;0,"PERTE FONCTIONNELLE",""),""))</f>
        <v/>
      </c>
      <c r="U355" s="221"/>
      <c r="V355" s="221"/>
      <c r="W355" s="297"/>
      <c r="X355" s="298"/>
      <c r="Y355" s="314">
        <f t="shared" ref="Y355" si="918">IF(AND(E355&lt;&gt;"",E353&lt;&gt;""),1,0)</f>
        <v>0</v>
      </c>
      <c r="Z355" s="221"/>
      <c r="AA355" s="297"/>
      <c r="AB355" s="298"/>
      <c r="AC355" s="297"/>
      <c r="AD355" s="221"/>
      <c r="AE355" s="314">
        <f>IF(T355="PERTE FONCTIONNELLE",1,0)</f>
        <v>0</v>
      </c>
      <c r="AF355" s="221"/>
      <c r="AG355" s="221"/>
      <c r="AH355" s="221"/>
      <c r="AI355" s="292"/>
    </row>
    <row r="356" spans="1:35" s="197" customFormat="1" ht="45" x14ac:dyDescent="0.2">
      <c r="A356" s="293"/>
      <c r="B356" s="283"/>
      <c r="C356" s="284" t="s">
        <v>475</v>
      </c>
      <c r="D356" s="285" t="s">
        <v>476</v>
      </c>
      <c r="E356" s="286" t="str">
        <f>CY74</f>
        <v/>
      </c>
      <c r="F356" s="286" t="str">
        <f>DI74</f>
        <v/>
      </c>
      <c r="G356" s="298"/>
      <c r="H356" s="221"/>
      <c r="I356" s="221"/>
      <c r="J356" s="221"/>
      <c r="K356" s="221"/>
      <c r="L356" s="221"/>
      <c r="M356" s="221"/>
      <c r="N356" s="297"/>
      <c r="O356" s="311" t="str">
        <f t="shared" si="783"/>
        <v/>
      </c>
      <c r="P356" s="221"/>
      <c r="Q356" s="221"/>
      <c r="R356" s="221"/>
      <c r="S356" s="221"/>
      <c r="T356" s="298"/>
      <c r="U356" s="221"/>
      <c r="V356" s="221"/>
      <c r="W356" s="297"/>
      <c r="X356" s="298"/>
      <c r="Y356" s="221"/>
      <c r="Z356" s="221"/>
      <c r="AA356" s="297"/>
      <c r="AB356" s="298"/>
      <c r="AC356" s="297"/>
      <c r="AD356" s="221"/>
      <c r="AE356" s="221"/>
      <c r="AF356" s="221"/>
      <c r="AG356" s="221"/>
      <c r="AH356" s="221"/>
      <c r="AI356" s="292"/>
    </row>
    <row r="357" spans="1:35" s="197" customFormat="1" ht="60" x14ac:dyDescent="0.2">
      <c r="A357" s="293"/>
      <c r="B357" s="283"/>
      <c r="C357" s="294"/>
      <c r="D357" s="285" t="s">
        <v>477</v>
      </c>
      <c r="E357" s="286" t="str">
        <f>EE74</f>
        <v/>
      </c>
      <c r="F357" s="286" t="str">
        <f>EO74</f>
        <v/>
      </c>
      <c r="G357" s="298"/>
      <c r="H357" s="221"/>
      <c r="I357" s="312" t="str">
        <f t="shared" ref="I357" si="919">IFERROR(IF(F357-F356&gt;0,F357-F356,0),"")</f>
        <v/>
      </c>
      <c r="J357" s="312" t="str">
        <f>IFERROR(IF(AND(G354&gt;0,G354*'SYNTHESE EVAL. EQ. FCT.'!$AC$140&lt;=I357),I357,0),"")</f>
        <v/>
      </c>
      <c r="K357" s="312" t="str">
        <f t="shared" ref="K357" si="920">IFERROR(IF(F357-F356&lt;0,F356-F357,0),"")</f>
        <v/>
      </c>
      <c r="L357" s="296"/>
      <c r="M357" s="296"/>
      <c r="N357" s="297"/>
      <c r="O357" s="312" t="str">
        <f t="shared" si="786"/>
        <v/>
      </c>
      <c r="P357" s="221"/>
      <c r="Q357" s="312">
        <f t="shared" ref="Q357" si="921">IFERROR(IF(AND(F357&gt;F356,I357&gt;J357),I357,0),"")</f>
        <v>0</v>
      </c>
      <c r="R357" s="312" t="str">
        <f t="shared" ref="R357" si="922">IFERROR(IF(AND(F357&gt;F356,I357&gt;J357),0,I357),"")</f>
        <v/>
      </c>
      <c r="S357" s="315" t="str">
        <f t="shared" ref="S357" si="923">IFERROR(K357,"")</f>
        <v/>
      </c>
      <c r="T357" s="298"/>
      <c r="U357" s="313" t="str">
        <f t="shared" ref="U357" si="924">IF(I357="","",IFERROR(IF(I357&gt;0,CONCATENATE(" (",ROUND(I357/G354,1)," fois la perte)"),""),""))</f>
        <v/>
      </c>
      <c r="V357" s="313" t="str">
        <f t="shared" ref="V357" si="925">IF(J357="","",IFERROR(IF(J357&gt;0,"OUI",""),""))</f>
        <v/>
      </c>
      <c r="W357" s="313" t="str">
        <f t="shared" ref="W357" si="926">IF(K357="","",IFERROR(IF(K357&gt;0,"DECLIN FONCTIONNEL",""),""))</f>
        <v/>
      </c>
      <c r="X357" s="298"/>
      <c r="Y357" s="221"/>
      <c r="Z357" s="314">
        <f t="shared" ref="Z357" si="927">IF(AND(E357&lt;&gt;"",E356&lt;&gt;""),1,0)</f>
        <v>0</v>
      </c>
      <c r="AA357" s="297"/>
      <c r="AB357" s="314">
        <f t="shared" ref="AB357" si="928">IF(IFERROR(X354+Z357,0)=0,0,IF(SUM(Z357,X354)=2,1,0))</f>
        <v>0</v>
      </c>
      <c r="AC357" s="297"/>
      <c r="AD357" s="221"/>
      <c r="AE357" s="221"/>
      <c r="AF357" s="313">
        <f t="shared" ref="AF357" si="929">IF(U357&lt;&gt;"",1,IF(OR(AND(Q357&gt;0,Q357&lt;&gt;""),AND(R357&gt;0,R357&lt;&gt;"")),1,0))</f>
        <v>0</v>
      </c>
      <c r="AG357" s="221"/>
      <c r="AH357" s="314">
        <f t="shared" ref="AH357" si="930">IF(V357="OUI",1,0)</f>
        <v>0</v>
      </c>
      <c r="AI357" s="292"/>
    </row>
    <row r="358" spans="1:35" s="197" customFormat="1" ht="45.75" thickBot="1" x14ac:dyDescent="0.25">
      <c r="A358" s="293"/>
      <c r="B358" s="301"/>
      <c r="C358" s="299"/>
      <c r="D358" s="285" t="s">
        <v>478</v>
      </c>
      <c r="E358" s="286" t="str">
        <f>FK74</f>
        <v/>
      </c>
      <c r="F358" s="286" t="str">
        <f>FU74</f>
        <v/>
      </c>
      <c r="G358" s="306"/>
      <c r="H358" s="307"/>
      <c r="I358" s="308"/>
      <c r="J358" s="309"/>
      <c r="K358" s="309"/>
      <c r="L358" s="312" t="str">
        <f t="shared" ref="L358" si="931">IFERROR(IF(F358-F356&gt;0,F358-F356,0),"")</f>
        <v/>
      </c>
      <c r="M358" s="315" t="str">
        <f>IFERROR(IF(AND(H355&gt;0,H355*'SYNTHESE EVAL. EQ. FCT.'!$AC$140&lt;=L358),L358,0),"")</f>
        <v/>
      </c>
      <c r="N358" s="312" t="str">
        <f t="shared" ref="N358" si="932">IFERROR(IF(F358-F356&lt;0,F356-F358,0),"")</f>
        <v/>
      </c>
      <c r="O358" s="312" t="str">
        <f t="shared" si="798"/>
        <v/>
      </c>
      <c r="P358" s="307"/>
      <c r="Q358" s="312">
        <f t="shared" ref="Q358" si="933">IFERROR(IF(L358&gt;M358,L358,0),"")</f>
        <v>0</v>
      </c>
      <c r="R358" s="312" t="str">
        <f t="shared" ref="R358" si="934">IFERROR(IF(L358&gt;M358,0,M358),"")</f>
        <v/>
      </c>
      <c r="S358" s="315" t="str">
        <f t="shared" ref="S358" si="935">IFERROR(N358,"")</f>
        <v/>
      </c>
      <c r="T358" s="306"/>
      <c r="U358" s="328" t="str">
        <f t="shared" ref="U358" si="936">IF(L358="","",IFERROR(IF(L358&gt;0,CONCATENATE(" (",ROUND(L358/H355,1)," fois la perte)"),""),""))</f>
        <v/>
      </c>
      <c r="V358" s="313" t="str">
        <f t="shared" ref="V358" si="937">IF(M358="","",IFERROR(IF(M358&gt;0,"OUI",""),""))</f>
        <v/>
      </c>
      <c r="W358" s="313" t="str">
        <f t="shared" ref="W358" si="938">IF(N358="","",IFERROR(IF(N358&gt;0,"DECLIN FONCTIONNEL",""),""))</f>
        <v/>
      </c>
      <c r="X358" s="306"/>
      <c r="Y358" s="307"/>
      <c r="Z358" s="307"/>
      <c r="AA358" s="314">
        <f t="shared" ref="AA358" si="939">IF(AND(E358&lt;&gt;"",E356&lt;&gt;""),1,0)</f>
        <v>0</v>
      </c>
      <c r="AB358" s="306"/>
      <c r="AC358" s="314">
        <f t="shared" ref="AC358" si="940">IF(IFERROR(Y355+AA358,0)=0,0,IF(SUM(AA358,Y355)=2,1,0))</f>
        <v>0</v>
      </c>
      <c r="AD358" s="221"/>
      <c r="AE358" s="221"/>
      <c r="AF358" s="323"/>
      <c r="AG358" s="328">
        <f t="shared" ref="AG358" si="941">IF(U358&lt;&gt;"",1,IF(OR(AND(Q358&gt;0,Q358&lt;&gt;""),AND(R358&gt;0,R358&lt;&gt;"")),1,0))</f>
        <v>0</v>
      </c>
      <c r="AH358" s="221"/>
      <c r="AI358" s="316">
        <f t="shared" ref="AI358" si="942">IF(V358="OUI",1,0)</f>
        <v>0</v>
      </c>
    </row>
    <row r="359" spans="1:35" s="197" customFormat="1" ht="30" x14ac:dyDescent="0.2">
      <c r="A359" s="293"/>
      <c r="B359" s="303" t="s">
        <v>146</v>
      </c>
      <c r="C359" s="284" t="s">
        <v>474</v>
      </c>
      <c r="D359" s="285" t="s">
        <v>470</v>
      </c>
      <c r="E359" s="286" t="str">
        <f>K71</f>
        <v/>
      </c>
      <c r="F359" s="286" t="str">
        <f>U71</f>
        <v/>
      </c>
      <c r="G359" s="289"/>
      <c r="H359" s="289"/>
      <c r="I359" s="289"/>
      <c r="J359" s="289"/>
      <c r="K359" s="289"/>
      <c r="L359" s="289"/>
      <c r="M359" s="289"/>
      <c r="N359" s="291"/>
      <c r="O359" s="311" t="str">
        <f t="shared" si="772"/>
        <v/>
      </c>
      <c r="P359" s="289"/>
      <c r="Q359" s="289"/>
      <c r="R359" s="289"/>
      <c r="S359" s="289"/>
      <c r="T359" s="288"/>
      <c r="U359" s="221"/>
      <c r="V359" s="289"/>
      <c r="W359" s="291"/>
      <c r="X359" s="288"/>
      <c r="Y359" s="289"/>
      <c r="Z359" s="289"/>
      <c r="AA359" s="291"/>
      <c r="AB359" s="288"/>
      <c r="AC359" s="291"/>
      <c r="AD359" s="221"/>
      <c r="AE359" s="221"/>
      <c r="AF359" s="221"/>
      <c r="AG359" s="221"/>
      <c r="AH359" s="221"/>
      <c r="AI359" s="292"/>
    </row>
    <row r="360" spans="1:35" s="197" customFormat="1" ht="60" x14ac:dyDescent="0.2">
      <c r="A360" s="293"/>
      <c r="B360" s="283"/>
      <c r="C360" s="294"/>
      <c r="D360" s="285" t="s">
        <v>562</v>
      </c>
      <c r="E360" s="286" t="str">
        <f>AQ71</f>
        <v/>
      </c>
      <c r="F360" s="286" t="str">
        <f>BA71</f>
        <v/>
      </c>
      <c r="G360" s="312" t="str">
        <f t="shared" ref="G360" si="943">IFERROR(IF(F359-F360&gt;0,F359-F360,0),"")</f>
        <v/>
      </c>
      <c r="H360" s="221"/>
      <c r="I360" s="221"/>
      <c r="J360" s="221"/>
      <c r="K360" s="221"/>
      <c r="L360" s="221"/>
      <c r="M360" s="221"/>
      <c r="N360" s="297"/>
      <c r="O360" s="312" t="str">
        <f t="shared" ref="O360" si="944">IF(F360&gt;F359,F360,IFERROR(IF(O359-P360&gt;0,O359-P360,0),""))</f>
        <v/>
      </c>
      <c r="P360" s="313" t="str">
        <f t="shared" ref="P360" si="945">IFERROR(IF(F359-F360&gt;0,F359-F360,0),"")</f>
        <v/>
      </c>
      <c r="Q360" s="221"/>
      <c r="R360" s="221"/>
      <c r="S360" s="221"/>
      <c r="T360" s="313" t="str">
        <f t="shared" ref="T360" si="946">IF(G360="","",IFERROR(IF(G360&gt;0,"PERTE FONCTIONNELLE",""),""))</f>
        <v/>
      </c>
      <c r="U360" s="221"/>
      <c r="V360" s="221"/>
      <c r="W360" s="297"/>
      <c r="X360" s="314">
        <f t="shared" ref="X360" si="947">IF(AND(E360&lt;&gt;"",E359&lt;&gt;""),1,0)</f>
        <v>0</v>
      </c>
      <c r="Y360" s="221"/>
      <c r="Z360" s="221"/>
      <c r="AA360" s="297"/>
      <c r="AB360" s="298"/>
      <c r="AC360" s="297"/>
      <c r="AD360" s="314">
        <f>IF(T360="PERTE FONCTIONNELLE",1,0)</f>
        <v>0</v>
      </c>
      <c r="AE360" s="221"/>
      <c r="AF360" s="221"/>
      <c r="AG360" s="221"/>
      <c r="AH360" s="221"/>
      <c r="AI360" s="292"/>
    </row>
    <row r="361" spans="1:35" s="197" customFormat="1" ht="30" x14ac:dyDescent="0.2">
      <c r="A361" s="293"/>
      <c r="B361" s="283"/>
      <c r="C361" s="299"/>
      <c r="D361" s="285" t="s">
        <v>471</v>
      </c>
      <c r="E361" s="286" t="str">
        <f>BW71</f>
        <v/>
      </c>
      <c r="F361" s="286" t="str">
        <f>CG71</f>
        <v/>
      </c>
      <c r="G361" s="298"/>
      <c r="H361" s="313" t="str">
        <f t="shared" ref="H361" si="948">IFERROR(IF(F359-F361&gt;0,F359-F361,0),"")</f>
        <v/>
      </c>
      <c r="I361" s="221"/>
      <c r="J361" s="221"/>
      <c r="K361" s="221"/>
      <c r="L361" s="221"/>
      <c r="M361" s="221"/>
      <c r="N361" s="297"/>
      <c r="O361" s="311" t="str">
        <f t="shared" ref="O361" si="949">IF(F361&gt;F359,F361,IFERROR(IF(O359-P361&gt;0,O359-P361,0),""))</f>
        <v/>
      </c>
      <c r="P361" s="313" t="str">
        <f t="shared" ref="P361" si="950">IFERROR(IF(F359-F361&gt;0,F359-F361,0),"")</f>
        <v/>
      </c>
      <c r="Q361" s="221"/>
      <c r="R361" s="221"/>
      <c r="S361" s="221"/>
      <c r="T361" s="313" t="str">
        <f t="shared" ref="T361" si="951">IF(H361="","",IFERROR(IF(H361&gt;0,"PERTE FONCTIONNELLE",""),""))</f>
        <v/>
      </c>
      <c r="U361" s="221"/>
      <c r="V361" s="221"/>
      <c r="W361" s="297"/>
      <c r="X361" s="298"/>
      <c r="Y361" s="314">
        <f t="shared" ref="Y361" si="952">IF(AND(E361&lt;&gt;"",E359&lt;&gt;""),1,0)</f>
        <v>0</v>
      </c>
      <c r="Z361" s="221"/>
      <c r="AA361" s="297"/>
      <c r="AB361" s="298"/>
      <c r="AC361" s="297"/>
      <c r="AD361" s="221"/>
      <c r="AE361" s="314">
        <f>IF(T361="PERTE FONCTIONNELLE",1,0)</f>
        <v>0</v>
      </c>
      <c r="AF361" s="221"/>
      <c r="AG361" s="221"/>
      <c r="AH361" s="221"/>
      <c r="AI361" s="292"/>
    </row>
    <row r="362" spans="1:35" s="197" customFormat="1" ht="45" x14ac:dyDescent="0.2">
      <c r="A362" s="293"/>
      <c r="B362" s="283"/>
      <c r="C362" s="284" t="s">
        <v>475</v>
      </c>
      <c r="D362" s="285" t="s">
        <v>476</v>
      </c>
      <c r="E362" s="286" t="str">
        <f>DC71</f>
        <v/>
      </c>
      <c r="F362" s="286" t="str">
        <f>DM71</f>
        <v/>
      </c>
      <c r="G362" s="298"/>
      <c r="H362" s="221"/>
      <c r="I362" s="221"/>
      <c r="J362" s="221"/>
      <c r="K362" s="221"/>
      <c r="L362" s="221"/>
      <c r="M362" s="221"/>
      <c r="N362" s="297"/>
      <c r="O362" s="311" t="str">
        <f t="shared" si="783"/>
        <v/>
      </c>
      <c r="P362" s="221"/>
      <c r="Q362" s="221"/>
      <c r="R362" s="221"/>
      <c r="S362" s="221"/>
      <c r="T362" s="298"/>
      <c r="U362" s="221"/>
      <c r="V362" s="221"/>
      <c r="W362" s="297"/>
      <c r="X362" s="298"/>
      <c r="Y362" s="221"/>
      <c r="Z362" s="221"/>
      <c r="AA362" s="297"/>
      <c r="AB362" s="298"/>
      <c r="AC362" s="297"/>
      <c r="AD362" s="221"/>
      <c r="AE362" s="221"/>
      <c r="AF362" s="221"/>
      <c r="AG362" s="221"/>
      <c r="AH362" s="221"/>
      <c r="AI362" s="292"/>
    </row>
    <row r="363" spans="1:35" s="197" customFormat="1" ht="60" x14ac:dyDescent="0.2">
      <c r="A363" s="293"/>
      <c r="B363" s="283"/>
      <c r="C363" s="294"/>
      <c r="D363" s="285" t="s">
        <v>477</v>
      </c>
      <c r="E363" s="286" t="str">
        <f>EI71</f>
        <v/>
      </c>
      <c r="F363" s="286" t="str">
        <f>ES71</f>
        <v/>
      </c>
      <c r="G363" s="298"/>
      <c r="H363" s="221"/>
      <c r="I363" s="312" t="str">
        <f t="shared" ref="I363" si="953">IFERROR(IF(F363-F362&gt;0,F363-F362,0),"")</f>
        <v/>
      </c>
      <c r="J363" s="312" t="str">
        <f>IFERROR(IF(AND(G360&gt;0,G360*'SYNTHESE EVAL. EQ. FCT.'!$AC$140&lt;=I363),I363,0),"")</f>
        <v/>
      </c>
      <c r="K363" s="312" t="str">
        <f t="shared" ref="K363" si="954">IFERROR(IF(F363-F362&lt;0,F362-F363,0),"")</f>
        <v/>
      </c>
      <c r="L363" s="296"/>
      <c r="M363" s="296"/>
      <c r="N363" s="297"/>
      <c r="O363" s="312" t="str">
        <f t="shared" si="786"/>
        <v/>
      </c>
      <c r="P363" s="221"/>
      <c r="Q363" s="312">
        <f t="shared" ref="Q363" si="955">IFERROR(IF(AND(F363&gt;F362,I363&gt;J363),I363,0),"")</f>
        <v>0</v>
      </c>
      <c r="R363" s="312" t="str">
        <f t="shared" ref="R363" si="956">IFERROR(IF(AND(F363&gt;F362,I363&gt;J363),0,I363),"")</f>
        <v/>
      </c>
      <c r="S363" s="315" t="str">
        <f t="shared" ref="S363" si="957">IFERROR(K363,"")</f>
        <v/>
      </c>
      <c r="T363" s="298"/>
      <c r="U363" s="313" t="str">
        <f t="shared" ref="U363" si="958">IF(I363="","",IFERROR(IF(I363&gt;0,CONCATENATE(" (",ROUND(I363/G360,1)," fois la perte)"),""),""))</f>
        <v/>
      </c>
      <c r="V363" s="313" t="str">
        <f t="shared" ref="V363" si="959">IF(J363="","",IFERROR(IF(J363&gt;0,"OUI",""),""))</f>
        <v/>
      </c>
      <c r="W363" s="313" t="str">
        <f t="shared" ref="W363" si="960">IF(K363="","",IFERROR(IF(K363&gt;0,"DECLIN FONCTIONNEL",""),""))</f>
        <v/>
      </c>
      <c r="X363" s="298"/>
      <c r="Y363" s="221"/>
      <c r="Z363" s="314">
        <f t="shared" ref="Z363" si="961">IF(AND(E363&lt;&gt;"",E362&lt;&gt;""),1,0)</f>
        <v>0</v>
      </c>
      <c r="AA363" s="297"/>
      <c r="AB363" s="314">
        <f t="shared" ref="AB363" si="962">IF(IFERROR(X360+Z363,0)=0,0,IF(SUM(Z363,X360)=2,1,0))</f>
        <v>0</v>
      </c>
      <c r="AC363" s="297"/>
      <c r="AD363" s="221"/>
      <c r="AE363" s="221"/>
      <c r="AF363" s="313">
        <f t="shared" ref="AF363" si="963">IF(U363&lt;&gt;"",1,IF(OR(AND(Q363&gt;0,Q363&lt;&gt;""),AND(R363&gt;0,R363&lt;&gt;"")),1,0))</f>
        <v>0</v>
      </c>
      <c r="AG363" s="221"/>
      <c r="AH363" s="314">
        <f t="shared" ref="AH363" si="964">IF(V363="OUI",1,0)</f>
        <v>0</v>
      </c>
      <c r="AI363" s="292"/>
    </row>
    <row r="364" spans="1:35" s="197" customFormat="1" ht="45.75" thickBot="1" x14ac:dyDescent="0.25">
      <c r="A364" s="293"/>
      <c r="B364" s="301"/>
      <c r="C364" s="299"/>
      <c r="D364" s="285" t="s">
        <v>478</v>
      </c>
      <c r="E364" s="286" t="str">
        <f>FO71</f>
        <v/>
      </c>
      <c r="F364" s="286" t="str">
        <f>FY71</f>
        <v/>
      </c>
      <c r="G364" s="306"/>
      <c r="H364" s="307"/>
      <c r="I364" s="308"/>
      <c r="J364" s="309"/>
      <c r="K364" s="309"/>
      <c r="L364" s="312" t="str">
        <f t="shared" ref="L364" si="965">IFERROR(IF(F364-F362&gt;0,F364-F362,0),"")</f>
        <v/>
      </c>
      <c r="M364" s="315" t="str">
        <f>IFERROR(IF(AND(H361&gt;0,H361*'SYNTHESE EVAL. EQ. FCT.'!$AC$140&lt;=L364),L364,0),"")</f>
        <v/>
      </c>
      <c r="N364" s="312" t="str">
        <f t="shared" ref="N364" si="966">IFERROR(IF(F364-F362&lt;0,F362-F364,0),"")</f>
        <v/>
      </c>
      <c r="O364" s="312" t="str">
        <f t="shared" si="798"/>
        <v/>
      </c>
      <c r="P364" s="307"/>
      <c r="Q364" s="312">
        <f t="shared" ref="Q364" si="967">IFERROR(IF(L364&gt;M364,L364,0),"")</f>
        <v>0</v>
      </c>
      <c r="R364" s="312" t="str">
        <f t="shared" ref="R364" si="968">IFERROR(IF(L364&gt;M364,0,M364),"")</f>
        <v/>
      </c>
      <c r="S364" s="315" t="str">
        <f t="shared" ref="S364" si="969">IFERROR(N364,"")</f>
        <v/>
      </c>
      <c r="T364" s="306"/>
      <c r="U364" s="328" t="str">
        <f t="shared" ref="U364" si="970">IF(L364="","",IFERROR(IF(L364&gt;0,CONCATENATE(" (",ROUND(L364/H361,1)," fois la perte)"),""),""))</f>
        <v/>
      </c>
      <c r="V364" s="313" t="str">
        <f t="shared" ref="V364" si="971">IF(M364="","",IFERROR(IF(M364&gt;0,"OUI",""),""))</f>
        <v/>
      </c>
      <c r="W364" s="313" t="str">
        <f t="shared" ref="W364" si="972">IF(N364="","",IFERROR(IF(N364&gt;0,"DECLIN FONCTIONNEL",""),""))</f>
        <v/>
      </c>
      <c r="X364" s="306"/>
      <c r="Y364" s="307"/>
      <c r="Z364" s="307"/>
      <c r="AA364" s="314">
        <f t="shared" ref="AA364" si="973">IF(AND(E364&lt;&gt;"",E362&lt;&gt;""),1,0)</f>
        <v>0</v>
      </c>
      <c r="AB364" s="306"/>
      <c r="AC364" s="314">
        <f t="shared" ref="AC364" si="974">IF(IFERROR(Y361+AA364,0)=0,0,IF(SUM(AA364,Y361)=2,1,0))</f>
        <v>0</v>
      </c>
      <c r="AD364" s="221"/>
      <c r="AE364" s="221"/>
      <c r="AF364" s="323"/>
      <c r="AG364" s="328">
        <f t="shared" ref="AG364" si="975">IF(U364&lt;&gt;"",1,IF(OR(AND(Q364&gt;0,Q364&lt;&gt;""),AND(R364&gt;0,R364&lt;&gt;"")),1,0))</f>
        <v>0</v>
      </c>
      <c r="AH364" s="221"/>
      <c r="AI364" s="316">
        <f t="shared" ref="AI364" si="976">IF(V364="OUI",1,0)</f>
        <v>0</v>
      </c>
    </row>
    <row r="365" spans="1:35" s="197" customFormat="1" ht="30" x14ac:dyDescent="0.2">
      <c r="A365" s="293"/>
      <c r="B365" s="266" t="s">
        <v>147</v>
      </c>
      <c r="C365" s="284" t="s">
        <v>474</v>
      </c>
      <c r="D365" s="285" t="s">
        <v>470</v>
      </c>
      <c r="E365" s="286" t="str">
        <f>K72</f>
        <v/>
      </c>
      <c r="F365" s="286" t="str">
        <f>U72</f>
        <v/>
      </c>
      <c r="G365" s="289"/>
      <c r="H365" s="289"/>
      <c r="I365" s="289"/>
      <c r="J365" s="289"/>
      <c r="K365" s="289"/>
      <c r="L365" s="289"/>
      <c r="M365" s="289"/>
      <c r="N365" s="291"/>
      <c r="O365" s="311" t="str">
        <f t="shared" si="772"/>
        <v/>
      </c>
      <c r="P365" s="289"/>
      <c r="Q365" s="289"/>
      <c r="R365" s="289"/>
      <c r="S365" s="289"/>
      <c r="T365" s="288"/>
      <c r="U365" s="221"/>
      <c r="V365" s="289"/>
      <c r="W365" s="291"/>
      <c r="X365" s="288"/>
      <c r="Y365" s="289"/>
      <c r="Z365" s="289"/>
      <c r="AA365" s="291"/>
      <c r="AB365" s="288"/>
      <c r="AC365" s="291"/>
      <c r="AD365" s="221"/>
      <c r="AE365" s="221"/>
      <c r="AF365" s="221"/>
      <c r="AG365" s="221"/>
      <c r="AH365" s="221"/>
      <c r="AI365" s="292"/>
    </row>
    <row r="366" spans="1:35" s="197" customFormat="1" ht="60" x14ac:dyDescent="0.2">
      <c r="A366" s="293"/>
      <c r="B366" s="266"/>
      <c r="C366" s="294"/>
      <c r="D366" s="285" t="s">
        <v>562</v>
      </c>
      <c r="E366" s="286" t="str">
        <f>AQ72</f>
        <v/>
      </c>
      <c r="F366" s="286" t="str">
        <f>BA72</f>
        <v/>
      </c>
      <c r="G366" s="312" t="str">
        <f t="shared" ref="G366" si="977">IFERROR(IF(F365-F366&gt;0,F365-F366,0),"")</f>
        <v/>
      </c>
      <c r="H366" s="221"/>
      <c r="I366" s="221"/>
      <c r="J366" s="221"/>
      <c r="K366" s="221"/>
      <c r="L366" s="221"/>
      <c r="M366" s="221"/>
      <c r="N366" s="297"/>
      <c r="O366" s="312" t="str">
        <f t="shared" ref="O366" si="978">IF(F366&gt;F365,F366,IFERROR(IF(O365-P366&gt;0,O365-P366,0),""))</f>
        <v/>
      </c>
      <c r="P366" s="313" t="str">
        <f t="shared" ref="P366" si="979">IFERROR(IF(F365-F366&gt;0,F365-F366,0),"")</f>
        <v/>
      </c>
      <c r="Q366" s="221"/>
      <c r="R366" s="221"/>
      <c r="S366" s="221"/>
      <c r="T366" s="313" t="str">
        <f t="shared" ref="T366" si="980">IF(G366="","",IFERROR(IF(G366&gt;0,"PERTE FONCTIONNELLE",""),""))</f>
        <v/>
      </c>
      <c r="U366" s="221"/>
      <c r="V366" s="221"/>
      <c r="W366" s="297"/>
      <c r="X366" s="314">
        <f t="shared" ref="X366" si="981">IF(AND(E366&lt;&gt;"",E365&lt;&gt;""),1,0)</f>
        <v>0</v>
      </c>
      <c r="Y366" s="221"/>
      <c r="Z366" s="221"/>
      <c r="AA366" s="297"/>
      <c r="AB366" s="298"/>
      <c r="AC366" s="297"/>
      <c r="AD366" s="314">
        <f>IF(T366="PERTE FONCTIONNELLE",1,0)</f>
        <v>0</v>
      </c>
      <c r="AE366" s="221"/>
      <c r="AF366" s="221"/>
      <c r="AG366" s="221"/>
      <c r="AH366" s="221"/>
      <c r="AI366" s="292"/>
    </row>
    <row r="367" spans="1:35" s="197" customFormat="1" ht="30" x14ac:dyDescent="0.2">
      <c r="A367" s="293"/>
      <c r="B367" s="266"/>
      <c r="C367" s="299"/>
      <c r="D367" s="285" t="s">
        <v>471</v>
      </c>
      <c r="E367" s="286" t="str">
        <f>BW72</f>
        <v/>
      </c>
      <c r="F367" s="286" t="str">
        <f>CG72</f>
        <v/>
      </c>
      <c r="G367" s="298"/>
      <c r="H367" s="313" t="str">
        <f t="shared" ref="H367" si="982">IFERROR(IF(F365-F367&gt;0,F365-F367,0),"")</f>
        <v/>
      </c>
      <c r="I367" s="221"/>
      <c r="J367" s="221"/>
      <c r="K367" s="221"/>
      <c r="L367" s="221"/>
      <c r="M367" s="221"/>
      <c r="N367" s="297"/>
      <c r="O367" s="311" t="str">
        <f t="shared" ref="O367" si="983">IF(F367&gt;F365,F367,IFERROR(IF(O365-P367&gt;0,O365-P367,0),""))</f>
        <v/>
      </c>
      <c r="P367" s="313" t="str">
        <f t="shared" ref="P367" si="984">IFERROR(IF(F365-F367&gt;0,F365-F367,0),"")</f>
        <v/>
      </c>
      <c r="Q367" s="221"/>
      <c r="R367" s="221"/>
      <c r="S367" s="221"/>
      <c r="T367" s="313" t="str">
        <f t="shared" ref="T367" si="985">IF(H367="","",IFERROR(IF(H367&gt;0,"PERTE FONCTIONNELLE",""),""))</f>
        <v/>
      </c>
      <c r="U367" s="221"/>
      <c r="V367" s="221"/>
      <c r="W367" s="297"/>
      <c r="X367" s="298"/>
      <c r="Y367" s="314">
        <f t="shared" ref="Y367" si="986">IF(AND(E367&lt;&gt;"",E365&lt;&gt;""),1,0)</f>
        <v>0</v>
      </c>
      <c r="Z367" s="221"/>
      <c r="AA367" s="297"/>
      <c r="AB367" s="298"/>
      <c r="AC367" s="297"/>
      <c r="AD367" s="221"/>
      <c r="AE367" s="314">
        <f>IF(T367="PERTE FONCTIONNELLE",1,0)</f>
        <v>0</v>
      </c>
      <c r="AF367" s="221"/>
      <c r="AG367" s="221"/>
      <c r="AH367" s="221"/>
      <c r="AI367" s="292"/>
    </row>
    <row r="368" spans="1:35" s="197" customFormat="1" ht="45" x14ac:dyDescent="0.2">
      <c r="A368" s="293"/>
      <c r="B368" s="266"/>
      <c r="C368" s="284" t="s">
        <v>475</v>
      </c>
      <c r="D368" s="285" t="s">
        <v>476</v>
      </c>
      <c r="E368" s="286" t="str">
        <f>DC72</f>
        <v/>
      </c>
      <c r="F368" s="286" t="str">
        <f>DM72</f>
        <v/>
      </c>
      <c r="G368" s="298"/>
      <c r="H368" s="221"/>
      <c r="I368" s="221"/>
      <c r="J368" s="221"/>
      <c r="K368" s="221"/>
      <c r="L368" s="221"/>
      <c r="M368" s="221"/>
      <c r="N368" s="297"/>
      <c r="O368" s="311" t="str">
        <f t="shared" si="783"/>
        <v/>
      </c>
      <c r="P368" s="221"/>
      <c r="Q368" s="221"/>
      <c r="R368" s="221"/>
      <c r="S368" s="221"/>
      <c r="T368" s="298"/>
      <c r="U368" s="221"/>
      <c r="V368" s="221"/>
      <c r="W368" s="297"/>
      <c r="X368" s="298"/>
      <c r="Y368" s="221"/>
      <c r="Z368" s="221"/>
      <c r="AA368" s="297"/>
      <c r="AB368" s="298"/>
      <c r="AC368" s="297"/>
      <c r="AD368" s="221"/>
      <c r="AE368" s="221"/>
      <c r="AF368" s="221"/>
      <c r="AG368" s="221"/>
      <c r="AH368" s="221"/>
      <c r="AI368" s="292"/>
    </row>
    <row r="369" spans="1:35" s="197" customFormat="1" ht="60" x14ac:dyDescent="0.2">
      <c r="A369" s="293"/>
      <c r="B369" s="266"/>
      <c r="C369" s="294"/>
      <c r="D369" s="285" t="s">
        <v>477</v>
      </c>
      <c r="E369" s="286" t="str">
        <f>EI72</f>
        <v/>
      </c>
      <c r="F369" s="286" t="str">
        <f>ES72</f>
        <v/>
      </c>
      <c r="G369" s="298"/>
      <c r="H369" s="221"/>
      <c r="I369" s="312" t="str">
        <f t="shared" ref="I369" si="987">IFERROR(IF(F369-F368&gt;0,F369-F368,0),"")</f>
        <v/>
      </c>
      <c r="J369" s="312" t="str">
        <f>IFERROR(IF(AND(G366&gt;0,G366*'SYNTHESE EVAL. EQ. FCT.'!$AC$140&lt;=I369),I369,0),"")</f>
        <v/>
      </c>
      <c r="K369" s="312" t="str">
        <f t="shared" ref="K369" si="988">IFERROR(IF(F369-F368&lt;0,F368-F369,0),"")</f>
        <v/>
      </c>
      <c r="L369" s="296"/>
      <c r="M369" s="296"/>
      <c r="N369" s="297"/>
      <c r="O369" s="312" t="str">
        <f t="shared" si="786"/>
        <v/>
      </c>
      <c r="P369" s="221"/>
      <c r="Q369" s="312">
        <f t="shared" ref="Q369" si="989">IFERROR(IF(AND(F369&gt;F368,I369&gt;J369),I369,0),"")</f>
        <v>0</v>
      </c>
      <c r="R369" s="312" t="str">
        <f t="shared" ref="R369" si="990">IFERROR(IF(AND(F369&gt;F368,I369&gt;J369),0,I369),"")</f>
        <v/>
      </c>
      <c r="S369" s="315" t="str">
        <f t="shared" ref="S369" si="991">IFERROR(K369,"")</f>
        <v/>
      </c>
      <c r="T369" s="298"/>
      <c r="U369" s="313" t="str">
        <f t="shared" ref="U369" si="992">IF(I369="","",IFERROR(IF(I369&gt;0,CONCATENATE(" (",ROUND(I369/G366,1)," fois la perte)"),""),""))</f>
        <v/>
      </c>
      <c r="V369" s="313" t="str">
        <f t="shared" ref="V369" si="993">IF(J369="","",IFERROR(IF(J369&gt;0,"OUI",""),""))</f>
        <v/>
      </c>
      <c r="W369" s="313" t="str">
        <f t="shared" ref="W369" si="994">IF(K369="","",IFERROR(IF(K369&gt;0,"DECLIN FONCTIONNEL",""),""))</f>
        <v/>
      </c>
      <c r="X369" s="298"/>
      <c r="Y369" s="221"/>
      <c r="Z369" s="314">
        <f t="shared" ref="Z369" si="995">IF(AND(E369&lt;&gt;"",E368&lt;&gt;""),1,0)</f>
        <v>0</v>
      </c>
      <c r="AA369" s="297"/>
      <c r="AB369" s="314">
        <f t="shared" ref="AB369" si="996">IF(IFERROR(X366+Z369,0)=0,0,IF(SUM(Z369,X366)=2,1,0))</f>
        <v>0</v>
      </c>
      <c r="AC369" s="297"/>
      <c r="AD369" s="221"/>
      <c r="AE369" s="221"/>
      <c r="AF369" s="313">
        <f t="shared" ref="AF369" si="997">IF(U369&lt;&gt;"",1,IF(OR(AND(Q369&gt;0,Q369&lt;&gt;""),AND(R369&gt;0,R369&lt;&gt;"")),1,0))</f>
        <v>0</v>
      </c>
      <c r="AG369" s="221"/>
      <c r="AH369" s="314">
        <f t="shared" ref="AH369" si="998">IF(V369="OUI",1,0)</f>
        <v>0</v>
      </c>
      <c r="AI369" s="292"/>
    </row>
    <row r="370" spans="1:35" s="197" customFormat="1" ht="45.75" thickBot="1" x14ac:dyDescent="0.25">
      <c r="A370" s="293"/>
      <c r="B370" s="266"/>
      <c r="C370" s="299"/>
      <c r="D370" s="285" t="s">
        <v>478</v>
      </c>
      <c r="E370" s="286" t="str">
        <f>FO72</f>
        <v/>
      </c>
      <c r="F370" s="286" t="str">
        <f>FY72</f>
        <v/>
      </c>
      <c r="G370" s="306"/>
      <c r="H370" s="307"/>
      <c r="I370" s="308"/>
      <c r="J370" s="309"/>
      <c r="K370" s="309"/>
      <c r="L370" s="312" t="str">
        <f t="shared" ref="L370" si="999">IFERROR(IF(F370-F368&gt;0,F370-F368,0),"")</f>
        <v/>
      </c>
      <c r="M370" s="315" t="str">
        <f>IFERROR(IF(AND(H367&gt;0,H367*'SYNTHESE EVAL. EQ. FCT.'!$AC$140&lt;=L370),L370,0),"")</f>
        <v/>
      </c>
      <c r="N370" s="312" t="str">
        <f t="shared" ref="N370" si="1000">IFERROR(IF(F370-F368&lt;0,F368-F370,0),"")</f>
        <v/>
      </c>
      <c r="O370" s="312" t="str">
        <f t="shared" si="798"/>
        <v/>
      </c>
      <c r="P370" s="307"/>
      <c r="Q370" s="312">
        <f t="shared" ref="Q370" si="1001">IFERROR(IF(L370&gt;M370,L370,0),"")</f>
        <v>0</v>
      </c>
      <c r="R370" s="312" t="str">
        <f t="shared" ref="R370" si="1002">IFERROR(IF(L370&gt;M370,0,M370),"")</f>
        <v/>
      </c>
      <c r="S370" s="315" t="str">
        <f t="shared" ref="S370" si="1003">IFERROR(N370,"")</f>
        <v/>
      </c>
      <c r="T370" s="306"/>
      <c r="U370" s="328" t="str">
        <f t="shared" ref="U370" si="1004">IF(L370="","",IFERROR(IF(L370&gt;0,CONCATENATE(" (",ROUND(L370/H367,1)," fois la perte)"),""),""))</f>
        <v/>
      </c>
      <c r="V370" s="313" t="str">
        <f t="shared" ref="V370" si="1005">IF(M370="","",IFERROR(IF(M370&gt;0,"OUI",""),""))</f>
        <v/>
      </c>
      <c r="W370" s="313" t="str">
        <f t="shared" ref="W370" si="1006">IF(N370="","",IFERROR(IF(N370&gt;0,"DECLIN FONCTIONNEL",""),""))</f>
        <v/>
      </c>
      <c r="X370" s="306"/>
      <c r="Y370" s="307"/>
      <c r="Z370" s="307"/>
      <c r="AA370" s="314">
        <f t="shared" ref="AA370" si="1007">IF(AND(E370&lt;&gt;"",E368&lt;&gt;""),1,0)</f>
        <v>0</v>
      </c>
      <c r="AB370" s="306"/>
      <c r="AC370" s="314">
        <f t="shared" ref="AC370" si="1008">IF(IFERROR(Y367+AA370,0)=0,0,IF(SUM(AA370,Y367)=2,1,0))</f>
        <v>0</v>
      </c>
      <c r="AD370" s="221"/>
      <c r="AE370" s="221"/>
      <c r="AF370" s="323"/>
      <c r="AG370" s="328">
        <f t="shared" ref="AG370" si="1009">IF(U370&lt;&gt;"",1,IF(OR(AND(Q370&gt;0,Q370&lt;&gt;""),AND(R370&gt;0,R370&lt;&gt;"")),1,0))</f>
        <v>0</v>
      </c>
      <c r="AH370" s="221"/>
      <c r="AI370" s="316">
        <f t="shared" ref="AI370" si="1010">IF(V370="OUI",1,0)</f>
        <v>0</v>
      </c>
    </row>
    <row r="371" spans="1:35" s="197" customFormat="1" ht="30" x14ac:dyDescent="0.2">
      <c r="A371" s="293"/>
      <c r="B371" s="303" t="s">
        <v>417</v>
      </c>
      <c r="C371" s="284" t="s">
        <v>474</v>
      </c>
      <c r="D371" s="285" t="s">
        <v>470</v>
      </c>
      <c r="E371" s="286" t="str">
        <f>F66</f>
        <v/>
      </c>
      <c r="F371" s="286" t="str">
        <f>P66</f>
        <v/>
      </c>
      <c r="G371" s="289"/>
      <c r="H371" s="289"/>
      <c r="I371" s="289"/>
      <c r="J371" s="289"/>
      <c r="K371" s="289"/>
      <c r="L371" s="289"/>
      <c r="M371" s="289"/>
      <c r="N371" s="291"/>
      <c r="O371" s="311" t="str">
        <f t="shared" si="772"/>
        <v/>
      </c>
      <c r="P371" s="289"/>
      <c r="Q371" s="289"/>
      <c r="R371" s="289"/>
      <c r="S371" s="289"/>
      <c r="T371" s="288"/>
      <c r="U371" s="221"/>
      <c r="V371" s="289"/>
      <c r="W371" s="291"/>
      <c r="X371" s="288"/>
      <c r="Y371" s="289"/>
      <c r="Z371" s="289"/>
      <c r="AA371" s="291"/>
      <c r="AB371" s="288"/>
      <c r="AC371" s="291"/>
      <c r="AD371" s="221"/>
      <c r="AE371" s="221"/>
      <c r="AF371" s="221"/>
      <c r="AG371" s="221"/>
      <c r="AH371" s="221"/>
      <c r="AI371" s="292"/>
    </row>
    <row r="372" spans="1:35" s="197" customFormat="1" ht="60" x14ac:dyDescent="0.2">
      <c r="A372" s="293"/>
      <c r="B372" s="283"/>
      <c r="C372" s="294"/>
      <c r="D372" s="285" t="s">
        <v>562</v>
      </c>
      <c r="E372" s="286" t="str">
        <f>AL66</f>
        <v/>
      </c>
      <c r="F372" s="286" t="str">
        <f>AV66</f>
        <v/>
      </c>
      <c r="G372" s="312" t="str">
        <f t="shared" ref="G372" si="1011">IFERROR(IF(F371-F372&gt;0,F371-F372,0),"")</f>
        <v/>
      </c>
      <c r="H372" s="221"/>
      <c r="I372" s="221"/>
      <c r="J372" s="221"/>
      <c r="K372" s="221"/>
      <c r="L372" s="221"/>
      <c r="M372" s="221"/>
      <c r="N372" s="297"/>
      <c r="O372" s="312" t="str">
        <f t="shared" ref="O372" si="1012">IF(F372&gt;F371,F372,IFERROR(IF(O371-P372&gt;0,O371-P372,0),""))</f>
        <v/>
      </c>
      <c r="P372" s="313" t="str">
        <f t="shared" ref="P372" si="1013">IFERROR(IF(F371-F372&gt;0,F371-F372,0),"")</f>
        <v/>
      </c>
      <c r="Q372" s="221"/>
      <c r="R372" s="221"/>
      <c r="S372" s="221"/>
      <c r="T372" s="313" t="str">
        <f t="shared" ref="T372" si="1014">IF(G372="","",IFERROR(IF(G372&gt;0,"PERTE FONCTIONNELLE",""),""))</f>
        <v/>
      </c>
      <c r="U372" s="221"/>
      <c r="V372" s="221"/>
      <c r="W372" s="297"/>
      <c r="X372" s="314">
        <f t="shared" ref="X372" si="1015">IF(AND(E372&lt;&gt;"",E371&lt;&gt;""),1,0)</f>
        <v>0</v>
      </c>
      <c r="Y372" s="221"/>
      <c r="Z372" s="221"/>
      <c r="AA372" s="297"/>
      <c r="AB372" s="298"/>
      <c r="AC372" s="297"/>
      <c r="AD372" s="314">
        <f>IF(T372="PERTE FONCTIONNELLE",1,0)</f>
        <v>0</v>
      </c>
      <c r="AE372" s="221"/>
      <c r="AF372" s="221"/>
      <c r="AG372" s="221"/>
      <c r="AH372" s="221"/>
      <c r="AI372" s="292"/>
    </row>
    <row r="373" spans="1:35" s="197" customFormat="1" ht="30" x14ac:dyDescent="0.2">
      <c r="A373" s="293"/>
      <c r="B373" s="283"/>
      <c r="C373" s="299"/>
      <c r="D373" s="285" t="s">
        <v>471</v>
      </c>
      <c r="E373" s="286" t="str">
        <f>BR66</f>
        <v/>
      </c>
      <c r="F373" s="286" t="str">
        <f>CB66</f>
        <v/>
      </c>
      <c r="G373" s="298"/>
      <c r="H373" s="313" t="str">
        <f t="shared" ref="H373" si="1016">IFERROR(IF(F371-F373&gt;0,F371-F373,0),"")</f>
        <v/>
      </c>
      <c r="I373" s="221"/>
      <c r="J373" s="221"/>
      <c r="K373" s="221"/>
      <c r="L373" s="221"/>
      <c r="M373" s="221"/>
      <c r="N373" s="297"/>
      <c r="O373" s="311" t="str">
        <f t="shared" ref="O373" si="1017">IF(F373&gt;F371,F373,IFERROR(IF(O371-P373&gt;0,O371-P373,0),""))</f>
        <v/>
      </c>
      <c r="P373" s="313" t="str">
        <f t="shared" ref="P373" si="1018">IFERROR(IF(F371-F373&gt;0,F371-F373,0),"")</f>
        <v/>
      </c>
      <c r="Q373" s="221"/>
      <c r="R373" s="221"/>
      <c r="S373" s="221"/>
      <c r="T373" s="313" t="str">
        <f t="shared" ref="T373" si="1019">IF(H373="","",IFERROR(IF(H373&gt;0,"PERTE FONCTIONNELLE",""),""))</f>
        <v/>
      </c>
      <c r="U373" s="221"/>
      <c r="V373" s="221"/>
      <c r="W373" s="297"/>
      <c r="X373" s="298"/>
      <c r="Y373" s="314">
        <f t="shared" ref="Y373" si="1020">IF(AND(E373&lt;&gt;"",E371&lt;&gt;""),1,0)</f>
        <v>0</v>
      </c>
      <c r="Z373" s="221"/>
      <c r="AA373" s="297"/>
      <c r="AB373" s="298"/>
      <c r="AC373" s="297"/>
      <c r="AD373" s="221"/>
      <c r="AE373" s="314">
        <f>IF(T373="PERTE FONCTIONNELLE",1,0)</f>
        <v>0</v>
      </c>
      <c r="AF373" s="221"/>
      <c r="AG373" s="221"/>
      <c r="AH373" s="221"/>
      <c r="AI373" s="292"/>
    </row>
    <row r="374" spans="1:35" s="197" customFormat="1" ht="45" x14ac:dyDescent="0.2">
      <c r="A374" s="293"/>
      <c r="B374" s="283"/>
      <c r="C374" s="284" t="s">
        <v>475</v>
      </c>
      <c r="D374" s="285" t="s">
        <v>476</v>
      </c>
      <c r="E374" s="286" t="str">
        <f>CX66</f>
        <v/>
      </c>
      <c r="F374" s="286" t="str">
        <f>DH66</f>
        <v/>
      </c>
      <c r="G374" s="298"/>
      <c r="H374" s="221"/>
      <c r="I374" s="221"/>
      <c r="J374" s="221"/>
      <c r="K374" s="221"/>
      <c r="L374" s="221"/>
      <c r="M374" s="221"/>
      <c r="N374" s="297"/>
      <c r="O374" s="311" t="str">
        <f t="shared" si="783"/>
        <v/>
      </c>
      <c r="P374" s="221"/>
      <c r="Q374" s="221"/>
      <c r="R374" s="221"/>
      <c r="S374" s="221"/>
      <c r="T374" s="298"/>
      <c r="U374" s="221"/>
      <c r="V374" s="221"/>
      <c r="W374" s="297"/>
      <c r="X374" s="298"/>
      <c r="Y374" s="221"/>
      <c r="Z374" s="221"/>
      <c r="AA374" s="297"/>
      <c r="AB374" s="298"/>
      <c r="AC374" s="297"/>
      <c r="AD374" s="221"/>
      <c r="AE374" s="221"/>
      <c r="AF374" s="221"/>
      <c r="AG374" s="221"/>
      <c r="AH374" s="221"/>
      <c r="AI374" s="292"/>
    </row>
    <row r="375" spans="1:35" s="197" customFormat="1" ht="60" x14ac:dyDescent="0.2">
      <c r="A375" s="293"/>
      <c r="B375" s="283"/>
      <c r="C375" s="294"/>
      <c r="D375" s="285" t="s">
        <v>477</v>
      </c>
      <c r="E375" s="286" t="str">
        <f>ED66</f>
        <v/>
      </c>
      <c r="F375" s="286" t="str">
        <f>EN66</f>
        <v/>
      </c>
      <c r="G375" s="298"/>
      <c r="H375" s="221"/>
      <c r="I375" s="312" t="str">
        <f t="shared" ref="I375" si="1021">IFERROR(IF(F375-F374&gt;0,F375-F374,0),"")</f>
        <v/>
      </c>
      <c r="J375" s="312" t="str">
        <f>IFERROR(IF(AND(G372&gt;0,G372*'SYNTHESE EVAL. EQ. FCT.'!$AC$140&lt;=I375),I375,0),"")</f>
        <v/>
      </c>
      <c r="K375" s="312" t="str">
        <f t="shared" ref="K375" si="1022">IFERROR(IF(F375-F374&lt;0,F374-F375,0),"")</f>
        <v/>
      </c>
      <c r="L375" s="296"/>
      <c r="M375" s="296"/>
      <c r="N375" s="297"/>
      <c r="O375" s="312" t="str">
        <f t="shared" si="786"/>
        <v/>
      </c>
      <c r="P375" s="221"/>
      <c r="Q375" s="312">
        <f t="shared" ref="Q375" si="1023">IFERROR(IF(AND(F375&gt;F374,I375&gt;J375),I375,0),"")</f>
        <v>0</v>
      </c>
      <c r="R375" s="312" t="str">
        <f t="shared" ref="R375" si="1024">IFERROR(IF(AND(F375&gt;F374,I375&gt;J375),0,I375),"")</f>
        <v/>
      </c>
      <c r="S375" s="315" t="str">
        <f t="shared" ref="S375" si="1025">IFERROR(K375,"")</f>
        <v/>
      </c>
      <c r="T375" s="298"/>
      <c r="U375" s="313" t="str">
        <f t="shared" ref="U375" si="1026">IF(I375="","",IFERROR(IF(I375&gt;0,CONCATENATE(" (",ROUND(I375/G372,1)," fois la perte)"),""),""))</f>
        <v/>
      </c>
      <c r="V375" s="313" t="str">
        <f t="shared" ref="V375" si="1027">IF(J375="","",IFERROR(IF(J375&gt;0,"OUI",""),""))</f>
        <v/>
      </c>
      <c r="W375" s="313" t="str">
        <f t="shared" ref="W375" si="1028">IF(K375="","",IFERROR(IF(K375&gt;0,"DECLIN FONCTIONNEL",""),""))</f>
        <v/>
      </c>
      <c r="X375" s="298"/>
      <c r="Y375" s="221"/>
      <c r="Z375" s="314">
        <f t="shared" ref="Z375" si="1029">IF(AND(E375&lt;&gt;"",E374&lt;&gt;""),1,0)</f>
        <v>0</v>
      </c>
      <c r="AA375" s="297"/>
      <c r="AB375" s="314">
        <f t="shared" ref="AB375" si="1030">IF(IFERROR(X372+Z375,0)=0,0,IF(SUM(Z375,X372)=2,1,0))</f>
        <v>0</v>
      </c>
      <c r="AC375" s="297"/>
      <c r="AD375" s="221"/>
      <c r="AE375" s="221"/>
      <c r="AF375" s="313">
        <f t="shared" ref="AF375" si="1031">IF(U375&lt;&gt;"",1,IF(OR(AND(Q375&gt;0,Q375&lt;&gt;""),AND(R375&gt;0,R375&lt;&gt;"")),1,0))</f>
        <v>0</v>
      </c>
      <c r="AG375" s="221"/>
      <c r="AH375" s="314">
        <f t="shared" ref="AH375" si="1032">IF(V375="OUI",1,0)</f>
        <v>0</v>
      </c>
      <c r="AI375" s="292"/>
    </row>
    <row r="376" spans="1:35" s="197" customFormat="1" ht="45.75" thickBot="1" x14ac:dyDescent="0.25">
      <c r="A376" s="293"/>
      <c r="B376" s="301"/>
      <c r="C376" s="299"/>
      <c r="D376" s="285" t="s">
        <v>478</v>
      </c>
      <c r="E376" s="286" t="str">
        <f>FJ66</f>
        <v/>
      </c>
      <c r="F376" s="286" t="str">
        <f>FT66</f>
        <v/>
      </c>
      <c r="G376" s="306"/>
      <c r="H376" s="307"/>
      <c r="I376" s="308"/>
      <c r="J376" s="309"/>
      <c r="K376" s="309"/>
      <c r="L376" s="312" t="str">
        <f t="shared" ref="L376" si="1033">IFERROR(IF(F376-F374&gt;0,F376-F374,0),"")</f>
        <v/>
      </c>
      <c r="M376" s="315" t="str">
        <f>IFERROR(IF(AND(H373&gt;0,H373*'SYNTHESE EVAL. EQ. FCT.'!$AC$140&lt;=L376),L376,0),"")</f>
        <v/>
      </c>
      <c r="N376" s="312" t="str">
        <f t="shared" ref="N376" si="1034">IFERROR(IF(F376-F374&lt;0,F374-F376,0),"")</f>
        <v/>
      </c>
      <c r="O376" s="312" t="str">
        <f t="shared" si="798"/>
        <v/>
      </c>
      <c r="P376" s="307"/>
      <c r="Q376" s="312">
        <f t="shared" ref="Q376" si="1035">IFERROR(IF(L376&gt;M376,L376,0),"")</f>
        <v>0</v>
      </c>
      <c r="R376" s="312" t="str">
        <f t="shared" ref="R376" si="1036">IFERROR(IF(L376&gt;M376,0,M376),"")</f>
        <v/>
      </c>
      <c r="S376" s="315" t="str">
        <f t="shared" ref="S376" si="1037">IFERROR(N376,"")</f>
        <v/>
      </c>
      <c r="T376" s="306"/>
      <c r="U376" s="328" t="str">
        <f t="shared" ref="U376" si="1038">IF(L376="","",IFERROR(IF(L376&gt;0,CONCATENATE(" (",ROUND(L376/H373,1)," fois la perte)"),""),""))</f>
        <v/>
      </c>
      <c r="V376" s="313" t="str">
        <f t="shared" ref="V376" si="1039">IF(M376="","",IFERROR(IF(M376&gt;0,"OUI",""),""))</f>
        <v/>
      </c>
      <c r="W376" s="313" t="str">
        <f t="shared" ref="W376" si="1040">IF(N376="","",IFERROR(IF(N376&gt;0,"DECLIN FONCTIONNEL",""),""))</f>
        <v/>
      </c>
      <c r="X376" s="306"/>
      <c r="Y376" s="307"/>
      <c r="Z376" s="307"/>
      <c r="AA376" s="314">
        <f t="shared" ref="AA376" si="1041">IF(AND(E376&lt;&gt;"",E374&lt;&gt;""),1,0)</f>
        <v>0</v>
      </c>
      <c r="AB376" s="306"/>
      <c r="AC376" s="314">
        <f t="shared" ref="AC376" si="1042">IF(IFERROR(Y373+AA376,0)=0,0,IF(SUM(AA376,Y373)=2,1,0))</f>
        <v>0</v>
      </c>
      <c r="AD376" s="221"/>
      <c r="AE376" s="221"/>
      <c r="AF376" s="323"/>
      <c r="AG376" s="328">
        <f t="shared" ref="AG376" si="1043">IF(U376&lt;&gt;"",1,IF(OR(AND(Q376&gt;0,Q376&lt;&gt;""),AND(R376&gt;0,R376&lt;&gt;"")),1,0))</f>
        <v>0</v>
      </c>
      <c r="AH376" s="221"/>
      <c r="AI376" s="316">
        <f t="shared" ref="AI376" si="1044">IF(V376="OUI",1,0)</f>
        <v>0</v>
      </c>
    </row>
    <row r="377" spans="1:35" s="197" customFormat="1" ht="30" x14ac:dyDescent="0.2">
      <c r="A377" s="293"/>
      <c r="B377" s="266" t="s">
        <v>229</v>
      </c>
      <c r="C377" s="284" t="s">
        <v>474</v>
      </c>
      <c r="D377" s="285" t="s">
        <v>470</v>
      </c>
      <c r="E377" s="286" t="str">
        <f>F63</f>
        <v/>
      </c>
      <c r="F377" s="286" t="str">
        <f>P63</f>
        <v/>
      </c>
      <c r="G377" s="289"/>
      <c r="H377" s="289"/>
      <c r="I377" s="289"/>
      <c r="J377" s="289"/>
      <c r="K377" s="289"/>
      <c r="L377" s="289"/>
      <c r="M377" s="289"/>
      <c r="N377" s="291"/>
      <c r="O377" s="311" t="str">
        <f t="shared" si="772"/>
        <v/>
      </c>
      <c r="P377" s="289"/>
      <c r="Q377" s="289"/>
      <c r="R377" s="289"/>
      <c r="S377" s="289"/>
      <c r="T377" s="288"/>
      <c r="U377" s="221"/>
      <c r="V377" s="289"/>
      <c r="W377" s="291"/>
      <c r="X377" s="288"/>
      <c r="Y377" s="289"/>
      <c r="Z377" s="289"/>
      <c r="AA377" s="291"/>
      <c r="AB377" s="288"/>
      <c r="AC377" s="291"/>
      <c r="AD377" s="221"/>
      <c r="AE377" s="221"/>
      <c r="AF377" s="221"/>
      <c r="AG377" s="221"/>
      <c r="AH377" s="221"/>
      <c r="AI377" s="292"/>
    </row>
    <row r="378" spans="1:35" s="197" customFormat="1" ht="60" x14ac:dyDescent="0.2">
      <c r="A378" s="293"/>
      <c r="B378" s="266"/>
      <c r="C378" s="294"/>
      <c r="D378" s="285" t="s">
        <v>562</v>
      </c>
      <c r="E378" s="286" t="str">
        <f>AL63</f>
        <v/>
      </c>
      <c r="F378" s="286" t="str">
        <f>AV63</f>
        <v/>
      </c>
      <c r="G378" s="312" t="str">
        <f t="shared" ref="G378" si="1045">IFERROR(IF(F377-F378&gt;0,F377-F378,0),"")</f>
        <v/>
      </c>
      <c r="H378" s="221"/>
      <c r="I378" s="221"/>
      <c r="J378" s="221"/>
      <c r="K378" s="221"/>
      <c r="L378" s="221"/>
      <c r="M378" s="221"/>
      <c r="N378" s="297"/>
      <c r="O378" s="312" t="str">
        <f t="shared" ref="O378" si="1046">IF(F378&gt;F377,F378,IFERROR(IF(O377-P378&gt;0,O377-P378,0),""))</f>
        <v/>
      </c>
      <c r="P378" s="313" t="str">
        <f t="shared" ref="P378" si="1047">IFERROR(IF(F377-F378&gt;0,F377-F378,0),"")</f>
        <v/>
      </c>
      <c r="Q378" s="221"/>
      <c r="R378" s="221"/>
      <c r="S378" s="221"/>
      <c r="T378" s="313" t="str">
        <f t="shared" ref="T378" si="1048">IF(G378="","",IFERROR(IF(G378&gt;0,"PERTE FONCTIONNELLE",""),""))</f>
        <v/>
      </c>
      <c r="U378" s="221"/>
      <c r="V378" s="221"/>
      <c r="W378" s="297"/>
      <c r="X378" s="314">
        <f t="shared" ref="X378" si="1049">IF(AND(E378&lt;&gt;"",E377&lt;&gt;""),1,0)</f>
        <v>0</v>
      </c>
      <c r="Y378" s="221"/>
      <c r="Z378" s="221"/>
      <c r="AA378" s="297"/>
      <c r="AB378" s="298"/>
      <c r="AC378" s="297"/>
      <c r="AD378" s="314">
        <f>IF(T378="PERTE FONCTIONNELLE",1,0)</f>
        <v>0</v>
      </c>
      <c r="AE378" s="221"/>
      <c r="AF378" s="221"/>
      <c r="AG378" s="221"/>
      <c r="AH378" s="221"/>
      <c r="AI378" s="292"/>
    </row>
    <row r="379" spans="1:35" s="197" customFormat="1" ht="30" x14ac:dyDescent="0.2">
      <c r="A379" s="293"/>
      <c r="B379" s="266"/>
      <c r="C379" s="299"/>
      <c r="D379" s="285" t="s">
        <v>471</v>
      </c>
      <c r="E379" s="286" t="str">
        <f>BR63</f>
        <v/>
      </c>
      <c r="F379" s="286" t="str">
        <f>CB63</f>
        <v/>
      </c>
      <c r="G379" s="298"/>
      <c r="H379" s="313" t="str">
        <f t="shared" ref="H379" si="1050">IFERROR(IF(F377-F379&gt;0,F377-F379,0),"")</f>
        <v/>
      </c>
      <c r="I379" s="221"/>
      <c r="J379" s="221"/>
      <c r="K379" s="221"/>
      <c r="L379" s="221"/>
      <c r="M379" s="221"/>
      <c r="N379" s="297"/>
      <c r="O379" s="311" t="str">
        <f t="shared" ref="O379" si="1051">IF(F379&gt;F377,F379,IFERROR(IF(O377-P379&gt;0,O377-P379,0),""))</f>
        <v/>
      </c>
      <c r="P379" s="313" t="str">
        <f t="shared" ref="P379" si="1052">IFERROR(IF(F377-F379&gt;0,F377-F379,0),"")</f>
        <v/>
      </c>
      <c r="Q379" s="221"/>
      <c r="R379" s="221"/>
      <c r="S379" s="221"/>
      <c r="T379" s="313" t="str">
        <f t="shared" ref="T379" si="1053">IF(H379="","",IFERROR(IF(H379&gt;0,"PERTE FONCTIONNELLE",""),""))</f>
        <v/>
      </c>
      <c r="U379" s="221"/>
      <c r="V379" s="221"/>
      <c r="W379" s="297"/>
      <c r="X379" s="298"/>
      <c r="Y379" s="314">
        <f t="shared" ref="Y379" si="1054">IF(AND(E379&lt;&gt;"",E377&lt;&gt;""),1,0)</f>
        <v>0</v>
      </c>
      <c r="Z379" s="221"/>
      <c r="AA379" s="297"/>
      <c r="AB379" s="298"/>
      <c r="AC379" s="297"/>
      <c r="AD379" s="221"/>
      <c r="AE379" s="314">
        <f>IF(T379="PERTE FONCTIONNELLE",1,0)</f>
        <v>0</v>
      </c>
      <c r="AF379" s="221"/>
      <c r="AG379" s="221"/>
      <c r="AH379" s="221"/>
      <c r="AI379" s="292"/>
    </row>
    <row r="380" spans="1:35" s="197" customFormat="1" ht="45" x14ac:dyDescent="0.2">
      <c r="A380" s="293"/>
      <c r="B380" s="266"/>
      <c r="C380" s="284" t="s">
        <v>475</v>
      </c>
      <c r="D380" s="285" t="s">
        <v>476</v>
      </c>
      <c r="E380" s="286" t="str">
        <f>CX63</f>
        <v/>
      </c>
      <c r="F380" s="286" t="str">
        <f>DH63</f>
        <v/>
      </c>
      <c r="G380" s="298"/>
      <c r="H380" s="221"/>
      <c r="I380" s="221"/>
      <c r="J380" s="221"/>
      <c r="K380" s="221"/>
      <c r="L380" s="221"/>
      <c r="M380" s="221"/>
      <c r="N380" s="297"/>
      <c r="O380" s="311" t="str">
        <f t="shared" si="783"/>
        <v/>
      </c>
      <c r="P380" s="221"/>
      <c r="Q380" s="221"/>
      <c r="R380" s="221"/>
      <c r="S380" s="221"/>
      <c r="T380" s="298"/>
      <c r="U380" s="221"/>
      <c r="V380" s="221"/>
      <c r="W380" s="297"/>
      <c r="X380" s="298"/>
      <c r="Y380" s="221"/>
      <c r="Z380" s="221"/>
      <c r="AA380" s="297"/>
      <c r="AB380" s="298"/>
      <c r="AC380" s="297"/>
      <c r="AD380" s="221"/>
      <c r="AE380" s="221"/>
      <c r="AF380" s="221"/>
      <c r="AG380" s="221"/>
      <c r="AH380" s="221"/>
      <c r="AI380" s="292"/>
    </row>
    <row r="381" spans="1:35" s="197" customFormat="1" ht="60" x14ac:dyDescent="0.2">
      <c r="A381" s="293"/>
      <c r="B381" s="266"/>
      <c r="C381" s="294"/>
      <c r="D381" s="285" t="s">
        <v>477</v>
      </c>
      <c r="E381" s="286" t="str">
        <f>ED63</f>
        <v/>
      </c>
      <c r="F381" s="286" t="str">
        <f>EN63</f>
        <v/>
      </c>
      <c r="G381" s="298"/>
      <c r="H381" s="221"/>
      <c r="I381" s="312" t="str">
        <f t="shared" ref="I381" si="1055">IFERROR(IF(F381-F380&gt;0,F381-F380,0),"")</f>
        <v/>
      </c>
      <c r="J381" s="312" t="str">
        <f>IFERROR(IF(AND(G378&gt;0,G378*'SYNTHESE EVAL. EQ. FCT.'!$AC$140&lt;=I381),I381,0),"")</f>
        <v/>
      </c>
      <c r="K381" s="312" t="str">
        <f t="shared" ref="K381" si="1056">IFERROR(IF(F381-F380&lt;0,F380-F381,0),"")</f>
        <v/>
      </c>
      <c r="L381" s="296"/>
      <c r="M381" s="296"/>
      <c r="N381" s="297"/>
      <c r="O381" s="312" t="str">
        <f t="shared" si="786"/>
        <v/>
      </c>
      <c r="P381" s="221"/>
      <c r="Q381" s="312">
        <f t="shared" ref="Q381" si="1057">IFERROR(IF(AND(F381&gt;F380,I381&gt;J381),I381,0),"")</f>
        <v>0</v>
      </c>
      <c r="R381" s="312" t="str">
        <f t="shared" ref="R381" si="1058">IFERROR(IF(AND(F381&gt;F380,I381&gt;J381),0,I381),"")</f>
        <v/>
      </c>
      <c r="S381" s="315" t="str">
        <f t="shared" ref="S381" si="1059">IFERROR(K381,"")</f>
        <v/>
      </c>
      <c r="T381" s="298"/>
      <c r="U381" s="313" t="str">
        <f t="shared" ref="U381" si="1060">IF(I381="","",IFERROR(IF(I381&gt;0,CONCATENATE(" (",ROUND(I381/G378,1)," fois la perte)"),""),""))</f>
        <v/>
      </c>
      <c r="V381" s="313" t="str">
        <f t="shared" ref="V381" si="1061">IF(J381="","",IFERROR(IF(J381&gt;0,"OUI",""),""))</f>
        <v/>
      </c>
      <c r="W381" s="313" t="str">
        <f t="shared" ref="W381" si="1062">IF(K381="","",IFERROR(IF(K381&gt;0,"DECLIN FONCTIONNEL",""),""))</f>
        <v/>
      </c>
      <c r="X381" s="298"/>
      <c r="Y381" s="221"/>
      <c r="Z381" s="314">
        <f t="shared" ref="Z381" si="1063">IF(AND(E381&lt;&gt;"",E380&lt;&gt;""),1,0)</f>
        <v>0</v>
      </c>
      <c r="AA381" s="297"/>
      <c r="AB381" s="314">
        <f t="shared" ref="AB381" si="1064">IF(IFERROR(X378+Z381,0)=0,0,IF(SUM(Z381,X378)=2,1,0))</f>
        <v>0</v>
      </c>
      <c r="AC381" s="297"/>
      <c r="AD381" s="221"/>
      <c r="AE381" s="221"/>
      <c r="AF381" s="313">
        <f t="shared" ref="AF381" si="1065">IF(U381&lt;&gt;"",1,IF(OR(AND(Q381&gt;0,Q381&lt;&gt;""),AND(R381&gt;0,R381&lt;&gt;"")),1,0))</f>
        <v>0</v>
      </c>
      <c r="AG381" s="221"/>
      <c r="AH381" s="314">
        <f t="shared" ref="AH381" si="1066">IF(V381="OUI",1,0)</f>
        <v>0</v>
      </c>
      <c r="AI381" s="292"/>
    </row>
    <row r="382" spans="1:35" s="197" customFormat="1" ht="45.75" thickBot="1" x14ac:dyDescent="0.25">
      <c r="A382" s="293"/>
      <c r="B382" s="266"/>
      <c r="C382" s="299"/>
      <c r="D382" s="285" t="s">
        <v>478</v>
      </c>
      <c r="E382" s="286" t="str">
        <f>FJ63</f>
        <v/>
      </c>
      <c r="F382" s="286" t="str">
        <f>FT63</f>
        <v/>
      </c>
      <c r="G382" s="306"/>
      <c r="H382" s="307"/>
      <c r="I382" s="308"/>
      <c r="J382" s="309"/>
      <c r="K382" s="309"/>
      <c r="L382" s="312" t="str">
        <f t="shared" ref="L382" si="1067">IFERROR(IF(F382-F380&gt;0,F382-F380,0),"")</f>
        <v/>
      </c>
      <c r="M382" s="315" t="str">
        <f>IFERROR(IF(AND(H379&gt;0,H379*'SYNTHESE EVAL. EQ. FCT.'!$AC$140&lt;=L382),L382,0),"")</f>
        <v/>
      </c>
      <c r="N382" s="312" t="str">
        <f t="shared" ref="N382" si="1068">IFERROR(IF(F382-F380&lt;0,F380-F382,0),"")</f>
        <v/>
      </c>
      <c r="O382" s="312" t="str">
        <f t="shared" si="798"/>
        <v/>
      </c>
      <c r="P382" s="307"/>
      <c r="Q382" s="312">
        <f t="shared" ref="Q382" si="1069">IFERROR(IF(L382&gt;M382,L382,0),"")</f>
        <v>0</v>
      </c>
      <c r="R382" s="312" t="str">
        <f t="shared" ref="R382" si="1070">IFERROR(IF(L382&gt;M382,0,M382),"")</f>
        <v/>
      </c>
      <c r="S382" s="315" t="str">
        <f t="shared" ref="S382" si="1071">IFERROR(N382,"")</f>
        <v/>
      </c>
      <c r="T382" s="306"/>
      <c r="U382" s="328" t="str">
        <f t="shared" ref="U382" si="1072">IF(L382="","",IFERROR(IF(L382&gt;0,CONCATENATE(" (",ROUND(L382/H379,1)," fois la perte)"),""),""))</f>
        <v/>
      </c>
      <c r="V382" s="313" t="str">
        <f t="shared" ref="V382" si="1073">IF(M382="","",IFERROR(IF(M382&gt;0,"OUI",""),""))</f>
        <v/>
      </c>
      <c r="W382" s="313" t="str">
        <f t="shared" ref="W382" si="1074">IF(N382="","",IFERROR(IF(N382&gt;0,"DECLIN FONCTIONNEL",""),""))</f>
        <v/>
      </c>
      <c r="X382" s="306"/>
      <c r="Y382" s="307"/>
      <c r="Z382" s="307"/>
      <c r="AA382" s="314">
        <f t="shared" ref="AA382" si="1075">IF(AND(E382&lt;&gt;"",E380&lt;&gt;""),1,0)</f>
        <v>0</v>
      </c>
      <c r="AB382" s="306"/>
      <c r="AC382" s="314">
        <f t="shared" ref="AC382" si="1076">IF(IFERROR(Y379+AA382,0)=0,0,IF(SUM(AA382,Y379)=2,1,0))</f>
        <v>0</v>
      </c>
      <c r="AD382" s="221"/>
      <c r="AE382" s="221"/>
      <c r="AF382" s="323"/>
      <c r="AG382" s="328">
        <f t="shared" ref="AG382" si="1077">IF(U382&lt;&gt;"",1,IF(OR(AND(Q382&gt;0,Q382&lt;&gt;""),AND(R382&gt;0,R382&lt;&gt;"")),1,0))</f>
        <v>0</v>
      </c>
      <c r="AH382" s="221"/>
      <c r="AI382" s="316">
        <f t="shared" ref="AI382" si="1078">IF(V382="OUI",1,0)</f>
        <v>0</v>
      </c>
    </row>
    <row r="383" spans="1:35" s="197" customFormat="1" ht="30" x14ac:dyDescent="0.2">
      <c r="A383" s="293"/>
      <c r="B383" s="303" t="s">
        <v>137</v>
      </c>
      <c r="C383" s="284" t="s">
        <v>474</v>
      </c>
      <c r="D383" s="285" t="s">
        <v>470</v>
      </c>
      <c r="E383" s="286" t="str">
        <f>F56</f>
        <v/>
      </c>
      <c r="F383" s="286" t="str">
        <f>P56</f>
        <v/>
      </c>
      <c r="G383" s="289"/>
      <c r="H383" s="289"/>
      <c r="I383" s="289"/>
      <c r="J383" s="289"/>
      <c r="K383" s="289"/>
      <c r="L383" s="289"/>
      <c r="M383" s="289"/>
      <c r="N383" s="291"/>
      <c r="O383" s="311" t="str">
        <f t="shared" si="772"/>
        <v/>
      </c>
      <c r="P383" s="289"/>
      <c r="Q383" s="289"/>
      <c r="R383" s="289"/>
      <c r="S383" s="289"/>
      <c r="T383" s="288"/>
      <c r="U383" s="221"/>
      <c r="V383" s="289"/>
      <c r="W383" s="291"/>
      <c r="X383" s="288"/>
      <c r="Y383" s="289"/>
      <c r="Z383" s="289"/>
      <c r="AA383" s="291"/>
      <c r="AB383" s="288"/>
      <c r="AC383" s="291"/>
      <c r="AD383" s="221"/>
      <c r="AE383" s="221"/>
      <c r="AF383" s="221"/>
      <c r="AG383" s="221"/>
      <c r="AH383" s="221"/>
      <c r="AI383" s="292"/>
    </row>
    <row r="384" spans="1:35" s="197" customFormat="1" ht="60" x14ac:dyDescent="0.2">
      <c r="A384" s="293"/>
      <c r="B384" s="283"/>
      <c r="C384" s="294"/>
      <c r="D384" s="285" t="s">
        <v>562</v>
      </c>
      <c r="E384" s="286" t="str">
        <f>AL56</f>
        <v/>
      </c>
      <c r="F384" s="286" t="str">
        <f>AV56</f>
        <v/>
      </c>
      <c r="G384" s="312" t="str">
        <f t="shared" ref="G384" si="1079">IFERROR(IF(F383-F384&gt;0,F383-F384,0),"")</f>
        <v/>
      </c>
      <c r="H384" s="221"/>
      <c r="I384" s="221"/>
      <c r="J384" s="221"/>
      <c r="K384" s="221"/>
      <c r="L384" s="221"/>
      <c r="M384" s="221"/>
      <c r="N384" s="297"/>
      <c r="O384" s="312" t="str">
        <f t="shared" ref="O384" si="1080">IF(F384&gt;F383,F384,IFERROR(IF(O383-P384&gt;0,O383-P384,0),""))</f>
        <v/>
      </c>
      <c r="P384" s="313" t="str">
        <f t="shared" ref="P384" si="1081">IFERROR(IF(F383-F384&gt;0,F383-F384,0),"")</f>
        <v/>
      </c>
      <c r="Q384" s="221"/>
      <c r="R384" s="221"/>
      <c r="S384" s="221"/>
      <c r="T384" s="313" t="str">
        <f t="shared" ref="T384" si="1082">IF(G384="","",IFERROR(IF(G384&gt;0,"PERTE FONCTIONNELLE",""),""))</f>
        <v/>
      </c>
      <c r="U384" s="221"/>
      <c r="V384" s="221"/>
      <c r="W384" s="297"/>
      <c r="X384" s="314">
        <f t="shared" ref="X384" si="1083">IF(AND(E384&lt;&gt;"",E383&lt;&gt;""),1,0)</f>
        <v>0</v>
      </c>
      <c r="Y384" s="221"/>
      <c r="Z384" s="221"/>
      <c r="AA384" s="297"/>
      <c r="AB384" s="298"/>
      <c r="AC384" s="297"/>
      <c r="AD384" s="314">
        <f>IF(T384="PERTE FONCTIONNELLE",1,0)</f>
        <v>0</v>
      </c>
      <c r="AE384" s="221"/>
      <c r="AF384" s="221"/>
      <c r="AG384" s="221"/>
      <c r="AH384" s="221"/>
      <c r="AI384" s="292"/>
    </row>
    <row r="385" spans="1:35" s="197" customFormat="1" ht="30" x14ac:dyDescent="0.2">
      <c r="A385" s="293"/>
      <c r="B385" s="283"/>
      <c r="C385" s="299"/>
      <c r="D385" s="285" t="s">
        <v>471</v>
      </c>
      <c r="E385" s="286" t="str">
        <f>BR56</f>
        <v/>
      </c>
      <c r="F385" s="286" t="str">
        <f>CB56</f>
        <v/>
      </c>
      <c r="G385" s="298"/>
      <c r="H385" s="313" t="str">
        <f t="shared" ref="H385" si="1084">IFERROR(IF(F383-F385&gt;0,F383-F385,0),"")</f>
        <v/>
      </c>
      <c r="I385" s="221"/>
      <c r="J385" s="221"/>
      <c r="K385" s="221"/>
      <c r="L385" s="221"/>
      <c r="M385" s="221"/>
      <c r="N385" s="297"/>
      <c r="O385" s="311" t="str">
        <f t="shared" ref="O385" si="1085">IF(F385&gt;F383,F385,IFERROR(IF(O383-P385&gt;0,O383-P385,0),""))</f>
        <v/>
      </c>
      <c r="P385" s="313" t="str">
        <f t="shared" ref="P385" si="1086">IFERROR(IF(F383-F385&gt;0,F383-F385,0),"")</f>
        <v/>
      </c>
      <c r="Q385" s="221"/>
      <c r="R385" s="221"/>
      <c r="S385" s="221"/>
      <c r="T385" s="313" t="str">
        <f t="shared" ref="T385" si="1087">IF(H385="","",IFERROR(IF(H385&gt;0,"PERTE FONCTIONNELLE",""),""))</f>
        <v/>
      </c>
      <c r="U385" s="221"/>
      <c r="V385" s="221"/>
      <c r="W385" s="297"/>
      <c r="X385" s="298"/>
      <c r="Y385" s="314">
        <f t="shared" ref="Y385" si="1088">IF(AND(E385&lt;&gt;"",E383&lt;&gt;""),1,0)</f>
        <v>0</v>
      </c>
      <c r="Z385" s="221"/>
      <c r="AA385" s="297"/>
      <c r="AB385" s="298"/>
      <c r="AC385" s="297"/>
      <c r="AD385" s="221"/>
      <c r="AE385" s="314">
        <f>IF(T385="PERTE FONCTIONNELLE",1,0)</f>
        <v>0</v>
      </c>
      <c r="AF385" s="221"/>
      <c r="AG385" s="221"/>
      <c r="AH385" s="221"/>
      <c r="AI385" s="292"/>
    </row>
    <row r="386" spans="1:35" s="197" customFormat="1" ht="45" x14ac:dyDescent="0.2">
      <c r="A386" s="293"/>
      <c r="B386" s="283"/>
      <c r="C386" s="284" t="s">
        <v>475</v>
      </c>
      <c r="D386" s="285" t="s">
        <v>476</v>
      </c>
      <c r="E386" s="286" t="str">
        <f>CX56</f>
        <v/>
      </c>
      <c r="F386" s="286" t="str">
        <f>DH56</f>
        <v/>
      </c>
      <c r="G386" s="298"/>
      <c r="H386" s="221"/>
      <c r="I386" s="221"/>
      <c r="J386" s="221"/>
      <c r="K386" s="221"/>
      <c r="L386" s="221"/>
      <c r="M386" s="221"/>
      <c r="N386" s="297"/>
      <c r="O386" s="311" t="str">
        <f t="shared" si="783"/>
        <v/>
      </c>
      <c r="P386" s="221"/>
      <c r="Q386" s="221"/>
      <c r="R386" s="221"/>
      <c r="S386" s="221"/>
      <c r="T386" s="298"/>
      <c r="U386" s="221"/>
      <c r="V386" s="221"/>
      <c r="W386" s="297"/>
      <c r="X386" s="298"/>
      <c r="Y386" s="221"/>
      <c r="Z386" s="221"/>
      <c r="AA386" s="297"/>
      <c r="AB386" s="298"/>
      <c r="AC386" s="297"/>
      <c r="AD386" s="221"/>
      <c r="AE386" s="221"/>
      <c r="AF386" s="221"/>
      <c r="AG386" s="221"/>
      <c r="AH386" s="221"/>
      <c r="AI386" s="292"/>
    </row>
    <row r="387" spans="1:35" s="197" customFormat="1" ht="60" x14ac:dyDescent="0.2">
      <c r="A387" s="293"/>
      <c r="B387" s="283"/>
      <c r="C387" s="294"/>
      <c r="D387" s="285" t="s">
        <v>477</v>
      </c>
      <c r="E387" s="286" t="str">
        <f>ED56</f>
        <v/>
      </c>
      <c r="F387" s="286" t="str">
        <f>EN56</f>
        <v/>
      </c>
      <c r="G387" s="298"/>
      <c r="H387" s="221"/>
      <c r="I387" s="312" t="str">
        <f>IFERROR(IF(F387-F386&gt;0,F387-F386,0),"")</f>
        <v/>
      </c>
      <c r="J387" s="312" t="str">
        <f>IFERROR(IF(AND(G384&gt;0,G384*'SYNTHESE EVAL. EQ. FCT.'!$AC$140&lt;=I387),I387,0),"")</f>
        <v/>
      </c>
      <c r="K387" s="312" t="str">
        <f>IFERROR(IF(F387-F386&lt;0,F386-F387,0),"")</f>
        <v/>
      </c>
      <c r="L387" s="296"/>
      <c r="M387" s="296"/>
      <c r="N387" s="297"/>
      <c r="O387" s="312" t="str">
        <f t="shared" si="786"/>
        <v/>
      </c>
      <c r="P387" s="221"/>
      <c r="Q387" s="312">
        <f t="shared" ref="Q387" si="1089">IFERROR(IF(AND(F387&gt;F386,I387&gt;J387),I387,0),"")</f>
        <v>0</v>
      </c>
      <c r="R387" s="312" t="str">
        <f t="shared" ref="R387" si="1090">IFERROR(IF(AND(F387&gt;F386,I387&gt;J387),0,I387),"")</f>
        <v/>
      </c>
      <c r="S387" s="315" t="str">
        <f t="shared" ref="S387" si="1091">IFERROR(K387,"")</f>
        <v/>
      </c>
      <c r="T387" s="298"/>
      <c r="U387" s="313" t="str">
        <f>IF(I387="","",IFERROR(IF(I387&gt;0,CONCATENATE(" (",ROUND(I387/G384,1)," fois la perte)"),""),""))</f>
        <v/>
      </c>
      <c r="V387" s="313" t="str">
        <f t="shared" ref="V387" si="1092">IF(J387="","",IFERROR(IF(J387&gt;0,"OUI",""),""))</f>
        <v/>
      </c>
      <c r="W387" s="313" t="str">
        <f t="shared" ref="W387" si="1093">IF(K387="","",IFERROR(IF(K387&gt;0,"DECLIN FONCTIONNEL",""),""))</f>
        <v/>
      </c>
      <c r="X387" s="298"/>
      <c r="Y387" s="221"/>
      <c r="Z387" s="314">
        <f t="shared" ref="Z387" si="1094">IF(AND(E387&lt;&gt;"",E386&lt;&gt;""),1,0)</f>
        <v>0</v>
      </c>
      <c r="AA387" s="297"/>
      <c r="AB387" s="314">
        <f t="shared" ref="AB387" si="1095">IF(IFERROR(X384+Z387,0)=0,0,IF(SUM(Z387,X384)=2,1,0))</f>
        <v>0</v>
      </c>
      <c r="AC387" s="297"/>
      <c r="AD387" s="221"/>
      <c r="AE387" s="221"/>
      <c r="AF387" s="313">
        <f>IF(U387&lt;&gt;"",1,IF(OR(AND(Q387&gt;0,Q387&lt;&gt;""),AND(R387&gt;0,R387&lt;&gt;"")),1,0))</f>
        <v>0</v>
      </c>
      <c r="AG387" s="221"/>
      <c r="AH387" s="314">
        <f t="shared" ref="AH387" si="1096">IF(V387="OUI",1,0)</f>
        <v>0</v>
      </c>
      <c r="AI387" s="292"/>
    </row>
    <row r="388" spans="1:35" s="197" customFormat="1" ht="45.75" thickBot="1" x14ac:dyDescent="0.25">
      <c r="A388" s="317"/>
      <c r="B388" s="318"/>
      <c r="C388" s="319"/>
      <c r="D388" s="320" t="s">
        <v>478</v>
      </c>
      <c r="E388" s="321" t="str">
        <f>FJ56</f>
        <v/>
      </c>
      <c r="F388" s="321" t="str">
        <f>FT56</f>
        <v/>
      </c>
      <c r="G388" s="322"/>
      <c r="H388" s="323"/>
      <c r="I388" s="324"/>
      <c r="J388" s="325"/>
      <c r="K388" s="325"/>
      <c r="L388" s="326" t="str">
        <f>IFERROR(IF(F388-F386&gt;0,F388-F386,0),"")</f>
        <v/>
      </c>
      <c r="M388" s="327" t="str">
        <f>IFERROR(IF(AND(H385&gt;0,H385*'SYNTHESE EVAL. EQ. FCT.'!$AC$140&lt;=L388),L388,0),"")</f>
        <v/>
      </c>
      <c r="N388" s="326" t="str">
        <f>IFERROR(IF(F388-F386&lt;0,F386-F388,0),"")</f>
        <v/>
      </c>
      <c r="O388" s="312" t="str">
        <f t="shared" si="798"/>
        <v/>
      </c>
      <c r="P388" s="323"/>
      <c r="Q388" s="326">
        <f t="shared" ref="Q388" si="1097">IFERROR(IF(L388&gt;M388,L388,0),"")</f>
        <v>0</v>
      </c>
      <c r="R388" s="326" t="str">
        <f t="shared" ref="R388" si="1098">IFERROR(IF(L388&gt;M388,0,M388),"")</f>
        <v/>
      </c>
      <c r="S388" s="327" t="str">
        <f t="shared" ref="S388" si="1099">IFERROR(N388,"")</f>
        <v/>
      </c>
      <c r="T388" s="322"/>
      <c r="U388" s="328" t="str">
        <f>IF(L388="","",IFERROR(IF(L388&gt;0,CONCATENATE(" (",ROUND(L388/H385,1)," fois la perte)"),""),""))</f>
        <v/>
      </c>
      <c r="V388" s="328" t="str">
        <f t="shared" ref="V388" si="1100">IF(M388="","",IFERROR(IF(M388&gt;0,"OUI",""),""))</f>
        <v/>
      </c>
      <c r="W388" s="328" t="str">
        <f t="shared" ref="W388" si="1101">IF(N388="","",IFERROR(IF(N388&gt;0,"DECLIN FONCTIONNEL",""),""))</f>
        <v/>
      </c>
      <c r="X388" s="322"/>
      <c r="Y388" s="323"/>
      <c r="Z388" s="323"/>
      <c r="AA388" s="329">
        <f t="shared" ref="AA388" si="1102">IF(AND(E388&lt;&gt;"",E386&lt;&gt;""),1,0)</f>
        <v>0</v>
      </c>
      <c r="AB388" s="322"/>
      <c r="AC388" s="329">
        <f t="shared" ref="AC388" si="1103">IF(IFERROR(Y385+AA388,0)=0,0,IF(SUM(AA388,Y385)=2,1,0))</f>
        <v>0</v>
      </c>
      <c r="AD388" s="323"/>
      <c r="AE388" s="323"/>
      <c r="AF388" s="323"/>
      <c r="AG388" s="328">
        <f>IF(U388&lt;&gt;"",1,IF(OR(AND(Q388&gt;0,Q388&lt;&gt;""),AND(R388&gt;0,R388&lt;&gt;"")),1,0))</f>
        <v>0</v>
      </c>
      <c r="AH388" s="323"/>
      <c r="AI388" s="330">
        <f t="shared" ref="AI388" si="1104">IF(V388="OUI",1,0)</f>
        <v>0</v>
      </c>
    </row>
  </sheetData>
  <sheetProtection sheet="1" objects="1" scenarios="1"/>
  <sortState ref="G107:L388">
    <sortCondition ref="I101:I382"/>
    <sortCondition ref="J101:J382"/>
    <sortCondition ref="G101:G382"/>
    <sortCondition ref="H101:H382"/>
  </sortState>
  <mergeCells count="352">
    <mergeCell ref="AD103:AD106"/>
    <mergeCell ref="AE103:AE106"/>
    <mergeCell ref="AF103:AF106"/>
    <mergeCell ref="AG103:AG106"/>
    <mergeCell ref="AH103:AH106"/>
    <mergeCell ref="AI103:AI106"/>
    <mergeCell ref="G104:H104"/>
    <mergeCell ref="L105:N105"/>
    <mergeCell ref="O103:S105"/>
    <mergeCell ref="I105:K105"/>
    <mergeCell ref="G103:N103"/>
    <mergeCell ref="I104:N104"/>
    <mergeCell ref="T103:W105"/>
    <mergeCell ref="X103:X106"/>
    <mergeCell ref="Y103:Y106"/>
    <mergeCell ref="Z103:Z106"/>
    <mergeCell ref="AA103:AA106"/>
    <mergeCell ref="AB103:AB106"/>
    <mergeCell ref="AC103:AC106"/>
    <mergeCell ref="AD39:AD40"/>
    <mergeCell ref="AE39:AE40"/>
    <mergeCell ref="AD38:AE38"/>
    <mergeCell ref="A1:AE4"/>
    <mergeCell ref="X38:AC38"/>
    <mergeCell ref="Z39:Z40"/>
    <mergeCell ref="AA39:AA40"/>
    <mergeCell ref="AB39:AB40"/>
    <mergeCell ref="G39:K39"/>
    <mergeCell ref="L39:M39"/>
    <mergeCell ref="B38:B40"/>
    <mergeCell ref="A38:A40"/>
    <mergeCell ref="D38:M38"/>
    <mergeCell ref="Q7:U7"/>
    <mergeCell ref="AC39:AC40"/>
    <mergeCell ref="A6:U6"/>
    <mergeCell ref="V6:AE6"/>
    <mergeCell ref="A103:A106"/>
    <mergeCell ref="C106:D106"/>
    <mergeCell ref="Y39:Y40"/>
    <mergeCell ref="A7:A8"/>
    <mergeCell ref="B7:B8"/>
    <mergeCell ref="C7:C8"/>
    <mergeCell ref="C38:C40"/>
    <mergeCell ref="C35:U35"/>
    <mergeCell ref="C31:U31"/>
    <mergeCell ref="C32:U32"/>
    <mergeCell ref="C33:U33"/>
    <mergeCell ref="C34:U34"/>
    <mergeCell ref="I7:J7"/>
    <mergeCell ref="C29:U29"/>
    <mergeCell ref="A49:A55"/>
    <mergeCell ref="B83:B86"/>
    <mergeCell ref="B49:B50"/>
    <mergeCell ref="B57:B59"/>
    <mergeCell ref="B67:B68"/>
    <mergeCell ref="B73:B74"/>
    <mergeCell ref="D39:F39"/>
    <mergeCell ref="X39:X40"/>
    <mergeCell ref="A37:AE37"/>
    <mergeCell ref="K7:P7"/>
    <mergeCell ref="A101:V101"/>
    <mergeCell ref="D7:D8"/>
    <mergeCell ref="E7:H7"/>
    <mergeCell ref="N38:W38"/>
    <mergeCell ref="N39:P39"/>
    <mergeCell ref="V39:W39"/>
    <mergeCell ref="Q39:U39"/>
    <mergeCell ref="C24:U24"/>
    <mergeCell ref="C25:U25"/>
    <mergeCell ref="C26:U26"/>
    <mergeCell ref="C27:U27"/>
    <mergeCell ref="C28:U28"/>
    <mergeCell ref="C30:U30"/>
    <mergeCell ref="B79:B82"/>
    <mergeCell ref="A56:A87"/>
    <mergeCell ref="A41:A44"/>
    <mergeCell ref="A46:A48"/>
    <mergeCell ref="AG1:BK4"/>
    <mergeCell ref="AG6:BA6"/>
    <mergeCell ref="BB6:BK6"/>
    <mergeCell ref="AG7:AG8"/>
    <mergeCell ref="AH7:AH8"/>
    <mergeCell ref="AI7:AI8"/>
    <mergeCell ref="AJ7:AJ8"/>
    <mergeCell ref="AK7:AN7"/>
    <mergeCell ref="AO7:AP7"/>
    <mergeCell ref="AQ7:AV7"/>
    <mergeCell ref="AW7:BA7"/>
    <mergeCell ref="AI29:BA29"/>
    <mergeCell ref="AI30:BA30"/>
    <mergeCell ref="AI31:BA31"/>
    <mergeCell ref="AI32:BA32"/>
    <mergeCell ref="AI33:BA33"/>
    <mergeCell ref="AI24:BA24"/>
    <mergeCell ref="AI25:BA25"/>
    <mergeCell ref="AI26:BA26"/>
    <mergeCell ref="AI27:BA27"/>
    <mergeCell ref="AI28:BA28"/>
    <mergeCell ref="AI34:BA34"/>
    <mergeCell ref="AI35:BA35"/>
    <mergeCell ref="AG37:BK37"/>
    <mergeCell ref="AG38:AG40"/>
    <mergeCell ref="AH38:AH40"/>
    <mergeCell ref="AI38:AI40"/>
    <mergeCell ref="AJ38:AS38"/>
    <mergeCell ref="AT38:BC38"/>
    <mergeCell ref="BD38:BI38"/>
    <mergeCell ref="BJ38:BK38"/>
    <mergeCell ref="AJ39:AL39"/>
    <mergeCell ref="AM39:AQ39"/>
    <mergeCell ref="AR39:AS39"/>
    <mergeCell ref="AT39:AV39"/>
    <mergeCell ref="AW39:BA39"/>
    <mergeCell ref="BB39:BC39"/>
    <mergeCell ref="BJ39:BJ40"/>
    <mergeCell ref="BK39:BK40"/>
    <mergeCell ref="AG41:AG44"/>
    <mergeCell ref="AG46:AG48"/>
    <mergeCell ref="BD39:BD40"/>
    <mergeCell ref="BE39:BE40"/>
    <mergeCell ref="BF39:BF40"/>
    <mergeCell ref="BG39:BG40"/>
    <mergeCell ref="BH39:BH40"/>
    <mergeCell ref="AG49:AG55"/>
    <mergeCell ref="AH49:AH50"/>
    <mergeCell ref="AG56:AG87"/>
    <mergeCell ref="AH57:AH59"/>
    <mergeCell ref="AH67:AH68"/>
    <mergeCell ref="AH73:AH74"/>
    <mergeCell ref="AH79:AH82"/>
    <mergeCell ref="AH83:AH86"/>
    <mergeCell ref="BI39:BI40"/>
    <mergeCell ref="BM1:CQ4"/>
    <mergeCell ref="BM6:CG6"/>
    <mergeCell ref="CH6:CQ6"/>
    <mergeCell ref="BM7:BM8"/>
    <mergeCell ref="BN7:BN8"/>
    <mergeCell ref="BO7:BO8"/>
    <mergeCell ref="BP7:BP8"/>
    <mergeCell ref="BQ7:BT7"/>
    <mergeCell ref="BU7:BV7"/>
    <mergeCell ref="BW7:CB7"/>
    <mergeCell ref="CC7:CG7"/>
    <mergeCell ref="BO29:CG29"/>
    <mergeCell ref="BO30:CG30"/>
    <mergeCell ref="BO31:CG31"/>
    <mergeCell ref="BO32:CG32"/>
    <mergeCell ref="BO33:CG33"/>
    <mergeCell ref="BO24:CG24"/>
    <mergeCell ref="BO25:CG25"/>
    <mergeCell ref="BO26:CG26"/>
    <mergeCell ref="BO27:CG27"/>
    <mergeCell ref="BO28:CG28"/>
    <mergeCell ref="BO34:CG34"/>
    <mergeCell ref="BO35:CG35"/>
    <mergeCell ref="BM37:CQ37"/>
    <mergeCell ref="BM38:BM40"/>
    <mergeCell ref="BN38:BN40"/>
    <mergeCell ref="BO38:BO40"/>
    <mergeCell ref="BP38:BY38"/>
    <mergeCell ref="BZ38:CI38"/>
    <mergeCell ref="CJ38:CO38"/>
    <mergeCell ref="CP38:CQ38"/>
    <mergeCell ref="BP39:BR39"/>
    <mergeCell ref="BS39:BW39"/>
    <mergeCell ref="BX39:BY39"/>
    <mergeCell ref="BZ39:CB39"/>
    <mergeCell ref="CC39:CG39"/>
    <mergeCell ref="CH39:CI39"/>
    <mergeCell ref="CP39:CP40"/>
    <mergeCell ref="CQ39:CQ40"/>
    <mergeCell ref="BM41:BM44"/>
    <mergeCell ref="BM46:BM48"/>
    <mergeCell ref="CJ39:CJ40"/>
    <mergeCell ref="CK39:CK40"/>
    <mergeCell ref="CL39:CL40"/>
    <mergeCell ref="CM39:CM40"/>
    <mergeCell ref="CN39:CN40"/>
    <mergeCell ref="BM49:BM55"/>
    <mergeCell ref="BN49:BN50"/>
    <mergeCell ref="BM56:BM87"/>
    <mergeCell ref="BN57:BN59"/>
    <mergeCell ref="BN67:BN68"/>
    <mergeCell ref="BN73:BN74"/>
    <mergeCell ref="BN79:BN82"/>
    <mergeCell ref="BN83:BN86"/>
    <mergeCell ref="CO39:CO40"/>
    <mergeCell ref="CS1:DW4"/>
    <mergeCell ref="CS6:DM6"/>
    <mergeCell ref="DN6:DW6"/>
    <mergeCell ref="CS7:CS8"/>
    <mergeCell ref="CT7:CT8"/>
    <mergeCell ref="CU7:CU8"/>
    <mergeCell ref="CV7:CV8"/>
    <mergeCell ref="CW7:CZ7"/>
    <mergeCell ref="DA7:DB7"/>
    <mergeCell ref="DC7:DH7"/>
    <mergeCell ref="DI7:DM7"/>
    <mergeCell ref="CU29:DM29"/>
    <mergeCell ref="CU30:DM30"/>
    <mergeCell ref="CU31:DM31"/>
    <mergeCell ref="CU32:DM32"/>
    <mergeCell ref="CU33:DM33"/>
    <mergeCell ref="CU24:DM24"/>
    <mergeCell ref="CU25:DM25"/>
    <mergeCell ref="CU26:DM26"/>
    <mergeCell ref="CU27:DM27"/>
    <mergeCell ref="CU28:DM28"/>
    <mergeCell ref="CU34:DM34"/>
    <mergeCell ref="CU35:DM35"/>
    <mergeCell ref="CS37:DW37"/>
    <mergeCell ref="CS38:CS40"/>
    <mergeCell ref="CT38:CT40"/>
    <mergeCell ref="CU38:CU40"/>
    <mergeCell ref="CV38:DE38"/>
    <mergeCell ref="DF38:DO38"/>
    <mergeCell ref="DP38:DU38"/>
    <mergeCell ref="DV38:DW38"/>
    <mergeCell ref="CV39:CX39"/>
    <mergeCell ref="CY39:DC39"/>
    <mergeCell ref="DD39:DE39"/>
    <mergeCell ref="DF39:DH39"/>
    <mergeCell ref="DI39:DM39"/>
    <mergeCell ref="DN39:DO39"/>
    <mergeCell ref="DV39:DV40"/>
    <mergeCell ref="DW39:DW40"/>
    <mergeCell ref="DU39:DU40"/>
    <mergeCell ref="CS41:CS44"/>
    <mergeCell ref="CS46:CS48"/>
    <mergeCell ref="DP39:DP40"/>
    <mergeCell ref="DQ39:DQ40"/>
    <mergeCell ref="DR39:DR40"/>
    <mergeCell ref="DS39:DS40"/>
    <mergeCell ref="DT39:DT40"/>
    <mergeCell ref="CS49:CS55"/>
    <mergeCell ref="CT49:CT50"/>
    <mergeCell ref="DY1:FC4"/>
    <mergeCell ref="DY6:ES6"/>
    <mergeCell ref="ET6:FC6"/>
    <mergeCell ref="DY7:DY8"/>
    <mergeCell ref="DZ7:DZ8"/>
    <mergeCell ref="EA7:EA8"/>
    <mergeCell ref="EB7:EB8"/>
    <mergeCell ref="EC7:EF7"/>
    <mergeCell ref="EG7:EH7"/>
    <mergeCell ref="EI7:EN7"/>
    <mergeCell ref="EO7:ES7"/>
    <mergeCell ref="EA29:ES29"/>
    <mergeCell ref="EA30:ES30"/>
    <mergeCell ref="EA31:ES31"/>
    <mergeCell ref="EA32:ES32"/>
    <mergeCell ref="EA33:ES33"/>
    <mergeCell ref="EA24:ES24"/>
    <mergeCell ref="EA25:ES25"/>
    <mergeCell ref="EA26:ES26"/>
    <mergeCell ref="EA27:ES27"/>
    <mergeCell ref="EA28:ES28"/>
    <mergeCell ref="EA34:ES34"/>
    <mergeCell ref="EA35:ES35"/>
    <mergeCell ref="DY37:FC37"/>
    <mergeCell ref="DY38:DY40"/>
    <mergeCell ref="DZ38:DZ40"/>
    <mergeCell ref="EA38:EA40"/>
    <mergeCell ref="EB38:EK38"/>
    <mergeCell ref="EL38:EU38"/>
    <mergeCell ref="EV38:FA38"/>
    <mergeCell ref="FB38:FC38"/>
    <mergeCell ref="EB39:ED39"/>
    <mergeCell ref="EE39:EI39"/>
    <mergeCell ref="EJ39:EK39"/>
    <mergeCell ref="EL39:EN39"/>
    <mergeCell ref="EO39:ES39"/>
    <mergeCell ref="ET39:EU39"/>
    <mergeCell ref="FB39:FB40"/>
    <mergeCell ref="FC39:FC40"/>
    <mergeCell ref="FA39:FA40"/>
    <mergeCell ref="DY41:DY44"/>
    <mergeCell ref="DY46:DY48"/>
    <mergeCell ref="EV39:EV40"/>
    <mergeCell ref="EW39:EW40"/>
    <mergeCell ref="EX39:EX40"/>
    <mergeCell ref="EY39:EY40"/>
    <mergeCell ref="EZ39:EZ40"/>
    <mergeCell ref="DY49:DY55"/>
    <mergeCell ref="DZ49:DZ50"/>
    <mergeCell ref="FE1:GI4"/>
    <mergeCell ref="FE6:FY6"/>
    <mergeCell ref="FZ6:GI6"/>
    <mergeCell ref="FE7:FE8"/>
    <mergeCell ref="FF7:FF8"/>
    <mergeCell ref="FG7:FG8"/>
    <mergeCell ref="FH7:FH8"/>
    <mergeCell ref="FI7:FL7"/>
    <mergeCell ref="FM7:FN7"/>
    <mergeCell ref="FO7:FT7"/>
    <mergeCell ref="FU7:FY7"/>
    <mergeCell ref="FG29:FY29"/>
    <mergeCell ref="FG30:FY30"/>
    <mergeCell ref="FG31:FY31"/>
    <mergeCell ref="FG32:FY32"/>
    <mergeCell ref="FG33:FY33"/>
    <mergeCell ref="FG24:FY24"/>
    <mergeCell ref="FG25:FY25"/>
    <mergeCell ref="FG26:FY26"/>
    <mergeCell ref="FG27:FY27"/>
    <mergeCell ref="FG28:FY28"/>
    <mergeCell ref="FG34:FY34"/>
    <mergeCell ref="FG35:FY35"/>
    <mergeCell ref="FE37:GI37"/>
    <mergeCell ref="FE38:FE40"/>
    <mergeCell ref="FF38:FF40"/>
    <mergeCell ref="FG38:FG40"/>
    <mergeCell ref="FH38:FQ38"/>
    <mergeCell ref="FR38:GA38"/>
    <mergeCell ref="GB38:GG38"/>
    <mergeCell ref="GH38:GI38"/>
    <mergeCell ref="FH39:FJ39"/>
    <mergeCell ref="FK39:FO39"/>
    <mergeCell ref="FP39:FQ39"/>
    <mergeCell ref="FR39:FT39"/>
    <mergeCell ref="FU39:FY39"/>
    <mergeCell ref="FZ39:GA39"/>
    <mergeCell ref="GH39:GH40"/>
    <mergeCell ref="GI39:GI40"/>
    <mergeCell ref="GG39:GG40"/>
    <mergeCell ref="FE41:FE44"/>
    <mergeCell ref="FE46:FE48"/>
    <mergeCell ref="GB39:GB40"/>
    <mergeCell ref="GC39:GC40"/>
    <mergeCell ref="GD39:GD40"/>
    <mergeCell ref="GE39:GE40"/>
    <mergeCell ref="GF39:GF40"/>
    <mergeCell ref="FE49:FE55"/>
    <mergeCell ref="FF49:FF50"/>
    <mergeCell ref="CS56:CS87"/>
    <mergeCell ref="CT57:CT59"/>
    <mergeCell ref="CT67:CT68"/>
    <mergeCell ref="CT73:CT74"/>
    <mergeCell ref="CT79:CT82"/>
    <mergeCell ref="CT83:CT86"/>
    <mergeCell ref="FE56:FE87"/>
    <mergeCell ref="FF57:FF59"/>
    <mergeCell ref="FF67:FF68"/>
    <mergeCell ref="FF73:FF74"/>
    <mergeCell ref="FF79:FF82"/>
    <mergeCell ref="FF83:FF86"/>
    <mergeCell ref="DY56:DY87"/>
    <mergeCell ref="DZ57:DZ59"/>
    <mergeCell ref="DZ67:DZ68"/>
    <mergeCell ref="DZ73:DZ74"/>
    <mergeCell ref="DZ79:DZ82"/>
    <mergeCell ref="DZ83:DZ86"/>
  </mergeCells>
  <printOptions headings="1" gridLines="1"/>
  <pageMargins left="0" right="0" top="0.39370078740157483" bottom="0.39370078740157483" header="0" footer="0"/>
  <pageSetup paperSize="9" scale="20" fitToHeight="2" pageOrder="overThenDown" orientation="landscape" r:id="rId1"/>
  <headerFooter>
    <oddHeader>&amp;C&amp;A</oddHeader>
    <oddFooter>&amp;CPage &amp;P</oddFooter>
  </headerFooter>
  <rowBreaks count="2" manualBreakCount="2">
    <brk id="87" max="190" man="1"/>
    <brk id="196" max="190" man="1"/>
  </rowBreaks>
  <colBreaks count="5" manualBreakCount="5">
    <brk id="31" max="397" man="1"/>
    <brk id="63" max="387" man="1"/>
    <brk id="95" max="397" man="1"/>
    <brk id="127" max="397" man="1"/>
    <brk id="160" max="39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499984740745262"/>
    <pageSetUpPr fitToPage="1"/>
  </sheetPr>
  <dimension ref="A1:AB900"/>
  <sheetViews>
    <sheetView showGridLines="0" showRowColHeaders="0" view="pageBreakPreview" zoomScale="70" zoomScaleNormal="100" zoomScaleSheetLayoutView="70" workbookViewId="0">
      <selection activeCell="B1" sqref="B1:Z3"/>
    </sheetView>
  </sheetViews>
  <sheetFormatPr baseColWidth="10" defaultColWidth="11" defaultRowHeight="18" customHeight="1" x14ac:dyDescent="0.2"/>
  <cols>
    <col min="1" max="4" width="7.5" style="339" customWidth="1"/>
    <col min="5" max="5" width="6.75" style="339" customWidth="1"/>
    <col min="6" max="6" width="7" style="339" customWidth="1"/>
    <col min="7" max="13" width="7.5" style="339" customWidth="1"/>
    <col min="14" max="15" width="4.25" style="339" customWidth="1"/>
    <col min="16" max="16" width="4.5" style="338" customWidth="1"/>
    <col min="17" max="25" width="4.25" style="339" customWidth="1"/>
    <col min="26" max="26" width="4.5" style="339" customWidth="1"/>
    <col min="27" max="28" width="4.375" style="339" customWidth="1"/>
    <col min="29" max="16384" width="11" style="339"/>
  </cols>
  <sheetData>
    <row r="1" spans="1:28" ht="18" customHeight="1" x14ac:dyDescent="0.2">
      <c r="A1" s="333"/>
      <c r="B1" s="707" t="s">
        <v>386</v>
      </c>
      <c r="C1" s="707"/>
      <c r="D1" s="707"/>
      <c r="E1" s="707"/>
      <c r="F1" s="707"/>
      <c r="G1" s="707"/>
      <c r="H1" s="707"/>
      <c r="I1" s="707"/>
      <c r="J1" s="707"/>
      <c r="K1" s="707"/>
      <c r="L1" s="707"/>
      <c r="M1" s="707"/>
      <c r="N1" s="707"/>
      <c r="O1" s="707"/>
      <c r="P1" s="707"/>
      <c r="Q1" s="707"/>
      <c r="R1" s="707"/>
      <c r="S1" s="707"/>
      <c r="T1" s="707"/>
      <c r="U1" s="707"/>
      <c r="V1" s="707"/>
      <c r="W1" s="707"/>
      <c r="X1" s="707"/>
      <c r="Y1" s="707"/>
      <c r="Z1" s="707"/>
      <c r="AA1" s="334"/>
      <c r="AB1" s="334"/>
    </row>
    <row r="2" spans="1:28" ht="18" customHeight="1" x14ac:dyDescent="0.2">
      <c r="A2" s="333"/>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334"/>
      <c r="AB2" s="334"/>
    </row>
    <row r="3" spans="1:28" ht="18" customHeight="1" x14ac:dyDescent="0.2">
      <c r="A3" s="333"/>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334"/>
      <c r="AB3" s="334"/>
    </row>
    <row r="4" spans="1:28" ht="18" customHeight="1" x14ac:dyDescent="0.2">
      <c r="A4" s="333"/>
      <c r="B4" s="706" t="s">
        <v>502</v>
      </c>
      <c r="C4" s="706"/>
      <c r="D4" s="706"/>
      <c r="E4" s="706"/>
      <c r="F4" s="706"/>
      <c r="G4" s="706"/>
      <c r="H4" s="706"/>
      <c r="I4" s="706"/>
      <c r="J4" s="706"/>
      <c r="K4" s="706"/>
      <c r="L4" s="706"/>
      <c r="M4" s="706"/>
      <c r="N4" s="706"/>
      <c r="O4" s="706"/>
      <c r="P4" s="706"/>
      <c r="Q4" s="706"/>
      <c r="R4" s="706"/>
      <c r="S4" s="706"/>
      <c r="T4" s="706"/>
      <c r="U4" s="706"/>
      <c r="V4" s="706"/>
      <c r="W4" s="706"/>
      <c r="X4" s="706"/>
      <c r="Y4" s="706"/>
      <c r="Z4" s="706"/>
      <c r="AA4" s="335"/>
      <c r="AB4" s="335"/>
    </row>
    <row r="5" spans="1:28" ht="18" customHeight="1" x14ac:dyDescent="0.2">
      <c r="A5" s="333"/>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335"/>
      <c r="AB5" s="335"/>
    </row>
    <row r="6" spans="1:28" ht="18" customHeight="1" x14ac:dyDescent="0.2">
      <c r="A6" s="333"/>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335"/>
      <c r="AB6" s="335"/>
    </row>
    <row r="7" spans="1:28" ht="18" customHeight="1" x14ac:dyDescent="0.2">
      <c r="A7" s="333"/>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335"/>
      <c r="AB7" s="335"/>
    </row>
    <row r="8" spans="1:28" ht="18" customHeight="1" x14ac:dyDescent="0.2">
      <c r="A8" s="333"/>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335"/>
      <c r="AB8" s="335"/>
    </row>
    <row r="9" spans="1:28" ht="18" customHeight="1" x14ac:dyDescent="0.2">
      <c r="A9" s="333"/>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335"/>
      <c r="AB9" s="335"/>
    </row>
    <row r="10" spans="1:28" ht="18" customHeight="1" x14ac:dyDescent="0.2">
      <c r="A10" s="333"/>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335"/>
      <c r="AB10" s="335"/>
    </row>
    <row r="11" spans="1:28" ht="18" customHeight="1" x14ac:dyDescent="0.2">
      <c r="A11" s="333"/>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335"/>
      <c r="AB11" s="335"/>
    </row>
    <row r="12" spans="1:28" ht="18" customHeight="1" x14ac:dyDescent="0.2">
      <c r="A12" s="333"/>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335"/>
      <c r="AB12" s="335"/>
    </row>
    <row r="13" spans="1:28" ht="18" customHeight="1" x14ac:dyDescent="0.2">
      <c r="A13" s="333"/>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335"/>
      <c r="AB13" s="335"/>
    </row>
    <row r="14" spans="1:28" ht="18" customHeight="1" x14ac:dyDescent="0.2">
      <c r="A14" s="333"/>
      <c r="B14" s="706"/>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335"/>
      <c r="AB14" s="335"/>
    </row>
    <row r="15" spans="1:28" ht="18" customHeight="1" x14ac:dyDescent="0.2">
      <c r="A15" s="333"/>
      <c r="B15" s="336" t="s">
        <v>1527</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2">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2">
      <c r="A17" s="333"/>
      <c r="B17" s="333"/>
      <c r="C17" s="708" t="s">
        <v>547</v>
      </c>
      <c r="D17" s="709"/>
      <c r="E17" s="709"/>
      <c r="F17" s="709"/>
      <c r="G17" s="709"/>
      <c r="H17" s="709"/>
      <c r="I17" s="709"/>
      <c r="J17" s="709"/>
      <c r="K17" s="709"/>
      <c r="L17" s="709"/>
      <c r="M17" s="709"/>
      <c r="N17" s="709"/>
      <c r="O17" s="709"/>
      <c r="P17" s="709"/>
      <c r="Q17" s="709"/>
      <c r="R17" s="709"/>
      <c r="S17" s="709"/>
      <c r="T17" s="709"/>
      <c r="U17" s="709"/>
      <c r="V17" s="709"/>
      <c r="W17" s="709"/>
      <c r="X17" s="709"/>
      <c r="Y17" s="710"/>
      <c r="Z17" s="333"/>
      <c r="AA17" s="333"/>
      <c r="AB17" s="333"/>
    </row>
    <row r="18" spans="1:28" ht="18" customHeight="1" x14ac:dyDescent="0.2">
      <c r="A18" s="333"/>
      <c r="B18" s="333"/>
      <c r="C18" s="711"/>
      <c r="D18" s="712"/>
      <c r="E18" s="712"/>
      <c r="F18" s="712"/>
      <c r="G18" s="712"/>
      <c r="H18" s="712"/>
      <c r="I18" s="712"/>
      <c r="J18" s="712"/>
      <c r="K18" s="712"/>
      <c r="L18" s="712"/>
      <c r="M18" s="712"/>
      <c r="N18" s="712"/>
      <c r="O18" s="712"/>
      <c r="P18" s="712"/>
      <c r="Q18" s="712"/>
      <c r="R18" s="712"/>
      <c r="S18" s="712"/>
      <c r="T18" s="712"/>
      <c r="U18" s="712"/>
      <c r="V18" s="712"/>
      <c r="W18" s="712"/>
      <c r="X18" s="712"/>
      <c r="Y18" s="713"/>
      <c r="Z18" s="333"/>
      <c r="AA18" s="333"/>
      <c r="AB18" s="333"/>
    </row>
    <row r="19" spans="1:28" ht="18" customHeight="1" x14ac:dyDescent="0.2">
      <c r="A19" s="333"/>
      <c r="B19" s="333"/>
      <c r="C19" s="711"/>
      <c r="D19" s="712"/>
      <c r="E19" s="712"/>
      <c r="F19" s="712"/>
      <c r="G19" s="712"/>
      <c r="H19" s="712"/>
      <c r="I19" s="712"/>
      <c r="J19" s="712"/>
      <c r="K19" s="712"/>
      <c r="L19" s="712"/>
      <c r="M19" s="712"/>
      <c r="N19" s="712"/>
      <c r="O19" s="712"/>
      <c r="P19" s="712"/>
      <c r="Q19" s="712"/>
      <c r="R19" s="712"/>
      <c r="S19" s="712"/>
      <c r="T19" s="712"/>
      <c r="U19" s="712"/>
      <c r="V19" s="712"/>
      <c r="W19" s="712"/>
      <c r="X19" s="712"/>
      <c r="Y19" s="713"/>
      <c r="Z19" s="333"/>
      <c r="AA19" s="333"/>
      <c r="AB19" s="333"/>
    </row>
    <row r="20" spans="1:28" ht="18" customHeight="1" x14ac:dyDescent="0.2">
      <c r="A20" s="333"/>
      <c r="B20" s="333"/>
      <c r="C20" s="714"/>
      <c r="D20" s="715"/>
      <c r="E20" s="715"/>
      <c r="F20" s="715"/>
      <c r="G20" s="715"/>
      <c r="H20" s="715"/>
      <c r="I20" s="715"/>
      <c r="J20" s="715"/>
      <c r="K20" s="715"/>
      <c r="L20" s="715"/>
      <c r="M20" s="715"/>
      <c r="N20" s="715"/>
      <c r="O20" s="715"/>
      <c r="P20" s="715"/>
      <c r="Q20" s="715"/>
      <c r="R20" s="715"/>
      <c r="S20" s="715"/>
      <c r="T20" s="715"/>
      <c r="U20" s="715"/>
      <c r="V20" s="715"/>
      <c r="W20" s="715"/>
      <c r="X20" s="715"/>
      <c r="Y20" s="716"/>
      <c r="Z20" s="333"/>
      <c r="AA20" s="333"/>
      <c r="AB20" s="333"/>
    </row>
    <row r="21" spans="1:28" ht="18" customHeight="1" x14ac:dyDescent="0.2">
      <c r="A21" s="337"/>
      <c r="B21" s="337"/>
      <c r="C21" s="337"/>
      <c r="D21" s="337"/>
      <c r="E21" s="337"/>
      <c r="F21" s="337"/>
      <c r="G21" s="337"/>
      <c r="H21" s="337"/>
      <c r="I21" s="337"/>
      <c r="J21" s="337"/>
      <c r="K21" s="337"/>
      <c r="L21" s="337"/>
      <c r="M21" s="337"/>
      <c r="N21" s="337"/>
      <c r="O21" s="337"/>
    </row>
    <row r="22" spans="1:28" ht="18" customHeight="1" x14ac:dyDescent="0.2">
      <c r="A22" s="337"/>
      <c r="B22" s="337"/>
      <c r="C22" s="337"/>
      <c r="D22" s="337"/>
      <c r="E22" s="337"/>
      <c r="F22" s="337"/>
      <c r="G22" s="337"/>
      <c r="H22" s="337"/>
      <c r="I22" s="337"/>
      <c r="J22" s="337"/>
      <c r="K22" s="337"/>
      <c r="L22" s="337"/>
      <c r="M22" s="337"/>
      <c r="N22" s="337"/>
      <c r="O22" s="337"/>
    </row>
    <row r="23" spans="1:28" s="342" customFormat="1" ht="36" customHeight="1" x14ac:dyDescent="0.2">
      <c r="A23" s="340"/>
      <c r="B23" s="340"/>
      <c r="C23" s="341">
        <v>1</v>
      </c>
      <c r="D23" s="695" t="s">
        <v>381</v>
      </c>
      <c r="E23" s="696"/>
      <c r="F23" s="696"/>
      <c r="G23" s="696"/>
      <c r="H23" s="696"/>
      <c r="I23" s="696"/>
      <c r="J23" s="696"/>
      <c r="K23" s="696"/>
      <c r="L23" s="696"/>
      <c r="M23" s="696"/>
      <c r="N23" s="696"/>
      <c r="O23" s="696"/>
      <c r="P23" s="696"/>
      <c r="Q23" s="696"/>
      <c r="R23" s="696"/>
      <c r="S23" s="696"/>
      <c r="T23" s="696"/>
      <c r="U23" s="696"/>
      <c r="V23" s="696"/>
      <c r="W23" s="696"/>
      <c r="X23" s="696"/>
      <c r="Y23" s="697"/>
    </row>
    <row r="24" spans="1:28" ht="18" customHeight="1" x14ac:dyDescent="0.2">
      <c r="A24" s="337"/>
      <c r="B24" s="337"/>
      <c r="C24" s="337"/>
      <c r="D24" s="337"/>
      <c r="E24" s="337"/>
      <c r="F24" s="337"/>
      <c r="G24" s="337"/>
      <c r="H24" s="337"/>
      <c r="I24" s="337"/>
      <c r="J24" s="337"/>
      <c r="K24" s="337"/>
      <c r="L24" s="337"/>
      <c r="M24" s="337"/>
      <c r="N24" s="337"/>
      <c r="O24" s="337"/>
    </row>
    <row r="25" spans="1:28" ht="18" customHeight="1" x14ac:dyDescent="0.2">
      <c r="A25" s="337"/>
      <c r="B25" s="337"/>
      <c r="C25" s="337"/>
      <c r="D25" s="337"/>
      <c r="E25" s="337"/>
      <c r="F25" s="337"/>
      <c r="G25" s="337"/>
      <c r="H25" s="337"/>
      <c r="I25" s="337"/>
      <c r="J25" s="337"/>
      <c r="K25" s="337"/>
      <c r="L25" s="337"/>
      <c r="M25" s="337"/>
      <c r="N25" s="337"/>
      <c r="O25" s="337"/>
    </row>
    <row r="26" spans="1:28" ht="18" customHeight="1" x14ac:dyDescent="0.2">
      <c r="A26" s="337"/>
      <c r="B26" s="337"/>
      <c r="C26" s="340"/>
      <c r="D26" s="340"/>
      <c r="E26" s="340"/>
      <c r="F26" s="340"/>
      <c r="G26" s="340"/>
      <c r="H26" s="340"/>
      <c r="I26" s="340"/>
      <c r="J26" s="343" t="s">
        <v>266</v>
      </c>
      <c r="K26" s="717"/>
      <c r="L26" s="717"/>
      <c r="M26" s="340"/>
      <c r="N26" s="337"/>
      <c r="O26" s="337"/>
    </row>
    <row r="27" spans="1:28" ht="18" customHeight="1" x14ac:dyDescent="0.2">
      <c r="A27" s="337"/>
      <c r="B27" s="337"/>
      <c r="C27" s="344" t="s">
        <v>230</v>
      </c>
      <c r="D27" s="340"/>
      <c r="E27" s="340"/>
      <c r="F27" s="340"/>
      <c r="G27" s="340"/>
      <c r="H27" s="340"/>
      <c r="I27" s="340"/>
      <c r="J27" s="340"/>
      <c r="K27" s="345"/>
      <c r="L27" s="340"/>
      <c r="M27" s="340"/>
      <c r="N27" s="337"/>
      <c r="O27" s="337"/>
    </row>
    <row r="28" spans="1:28" ht="18" customHeight="1" x14ac:dyDescent="0.2">
      <c r="A28" s="337"/>
      <c r="B28" s="337"/>
      <c r="C28" s="337"/>
      <c r="D28" s="337"/>
      <c r="E28" s="337"/>
      <c r="F28" s="640" t="s">
        <v>0</v>
      </c>
      <c r="G28" s="640"/>
      <c r="H28" s="640"/>
      <c r="I28" s="640" t="s">
        <v>1</v>
      </c>
      <c r="J28" s="640"/>
      <c r="K28" s="640"/>
      <c r="L28" s="640" t="s">
        <v>2</v>
      </c>
      <c r="M28" s="640"/>
      <c r="N28" s="640"/>
      <c r="O28" s="640" t="s">
        <v>3</v>
      </c>
      <c r="P28" s="640"/>
      <c r="Q28" s="640"/>
      <c r="R28" s="640"/>
      <c r="S28" s="640"/>
      <c r="T28" s="640"/>
    </row>
    <row r="29" spans="1:28" ht="18" customHeight="1" x14ac:dyDescent="0.2">
      <c r="A29" s="337"/>
      <c r="B29" s="337"/>
      <c r="C29" s="337"/>
      <c r="D29" s="337"/>
      <c r="E29" s="337"/>
      <c r="F29" s="638"/>
      <c r="G29" s="638"/>
      <c r="H29" s="638"/>
      <c r="I29" s="638"/>
      <c r="J29" s="638"/>
      <c r="K29" s="638"/>
      <c r="L29" s="638"/>
      <c r="M29" s="638"/>
      <c r="N29" s="638"/>
      <c r="O29" s="638"/>
      <c r="P29" s="638"/>
      <c r="Q29" s="638"/>
      <c r="R29" s="638"/>
      <c r="S29" s="638"/>
      <c r="T29" s="638"/>
    </row>
    <row r="30" spans="1:28" ht="18" customHeight="1" x14ac:dyDescent="0.2">
      <c r="A30" s="337"/>
      <c r="B30" s="337"/>
      <c r="C30" s="337"/>
      <c r="D30" s="337"/>
      <c r="E30" s="337"/>
      <c r="F30" s="638"/>
      <c r="G30" s="638"/>
      <c r="H30" s="638"/>
      <c r="I30" s="638"/>
      <c r="J30" s="638"/>
      <c r="K30" s="638"/>
      <c r="L30" s="638"/>
      <c r="M30" s="638"/>
      <c r="N30" s="638"/>
      <c r="O30" s="638"/>
      <c r="P30" s="638"/>
      <c r="Q30" s="638"/>
      <c r="R30" s="638"/>
      <c r="S30" s="638"/>
      <c r="T30" s="638"/>
    </row>
    <row r="31" spans="1:28" ht="18" customHeight="1" x14ac:dyDescent="0.2">
      <c r="A31" s="337"/>
      <c r="B31" s="337"/>
      <c r="C31" s="337"/>
      <c r="D31" s="337"/>
      <c r="E31" s="337"/>
      <c r="F31" s="638"/>
      <c r="G31" s="638"/>
      <c r="H31" s="638"/>
      <c r="I31" s="638"/>
      <c r="J31" s="638"/>
      <c r="K31" s="638"/>
      <c r="L31" s="638"/>
      <c r="M31" s="638"/>
      <c r="N31" s="638"/>
      <c r="O31" s="638"/>
      <c r="P31" s="638"/>
      <c r="Q31" s="638"/>
      <c r="R31" s="638"/>
      <c r="S31" s="638"/>
      <c r="T31" s="638"/>
    </row>
    <row r="32" spans="1:28" ht="18" customHeight="1" x14ac:dyDescent="0.2">
      <c r="A32" s="337"/>
      <c r="B32" s="337"/>
      <c r="C32" s="337"/>
      <c r="D32" s="337"/>
      <c r="E32" s="337"/>
      <c r="F32" s="638"/>
      <c r="G32" s="638"/>
      <c r="H32" s="638"/>
      <c r="I32" s="638"/>
      <c r="J32" s="638"/>
      <c r="K32" s="638"/>
      <c r="L32" s="638"/>
      <c r="M32" s="638"/>
      <c r="N32" s="638"/>
      <c r="O32" s="638"/>
      <c r="P32" s="638"/>
      <c r="Q32" s="638"/>
      <c r="R32" s="638"/>
      <c r="S32" s="638"/>
      <c r="T32" s="638"/>
    </row>
    <row r="33" spans="1:25" ht="18" customHeight="1" x14ac:dyDescent="0.2">
      <c r="C33" s="31"/>
      <c r="D33" s="31"/>
      <c r="E33" s="31"/>
      <c r="F33" s="345"/>
      <c r="G33" s="31"/>
      <c r="H33" s="31"/>
    </row>
    <row r="34" spans="1:25" ht="18" customHeight="1" x14ac:dyDescent="0.2">
      <c r="C34" s="685" t="s">
        <v>277</v>
      </c>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1:25" ht="18" customHeight="1" x14ac:dyDescent="0.2">
      <c r="C35" s="792"/>
      <c r="D35" s="792"/>
      <c r="E35" s="792"/>
      <c r="F35" s="792"/>
      <c r="G35" s="792"/>
      <c r="H35" s="792"/>
      <c r="I35" s="792"/>
      <c r="J35" s="792"/>
      <c r="K35" s="792"/>
      <c r="L35" s="792"/>
      <c r="M35" s="792"/>
      <c r="N35" s="792"/>
      <c r="O35" s="792"/>
      <c r="P35" s="792"/>
      <c r="Q35" s="792"/>
      <c r="R35" s="792"/>
      <c r="S35" s="792"/>
      <c r="T35" s="792"/>
      <c r="U35" s="792"/>
      <c r="V35" s="792"/>
      <c r="W35" s="792"/>
      <c r="X35" s="792"/>
      <c r="Y35" s="792"/>
    </row>
    <row r="36" spans="1:25" ht="18" customHeight="1" x14ac:dyDescent="0.2">
      <c r="C36" s="792"/>
      <c r="D36" s="792"/>
      <c r="E36" s="792"/>
      <c r="F36" s="792"/>
      <c r="G36" s="792"/>
      <c r="H36" s="792"/>
      <c r="I36" s="792"/>
      <c r="J36" s="792"/>
      <c r="K36" s="792"/>
      <c r="L36" s="792"/>
      <c r="M36" s="792"/>
      <c r="N36" s="792"/>
      <c r="O36" s="792"/>
      <c r="P36" s="792"/>
      <c r="Q36" s="792"/>
      <c r="R36" s="792"/>
      <c r="S36" s="792"/>
      <c r="T36" s="792"/>
      <c r="U36" s="792"/>
      <c r="V36" s="792"/>
      <c r="W36" s="792"/>
      <c r="X36" s="792"/>
      <c r="Y36" s="792"/>
    </row>
    <row r="37" spans="1:25" ht="18" customHeight="1" x14ac:dyDescent="0.2">
      <c r="C37" s="792"/>
      <c r="D37" s="792"/>
      <c r="E37" s="792"/>
      <c r="F37" s="792"/>
      <c r="G37" s="792"/>
      <c r="H37" s="792"/>
      <c r="I37" s="792"/>
      <c r="J37" s="792"/>
      <c r="K37" s="792"/>
      <c r="L37" s="792"/>
      <c r="M37" s="792"/>
      <c r="N37" s="792"/>
      <c r="O37" s="792"/>
      <c r="P37" s="792"/>
      <c r="Q37" s="792"/>
      <c r="R37" s="792"/>
      <c r="S37" s="792"/>
      <c r="T37" s="792"/>
      <c r="U37" s="792"/>
      <c r="V37" s="792"/>
      <c r="W37" s="792"/>
      <c r="X37" s="792"/>
      <c r="Y37" s="792"/>
    </row>
    <row r="38" spans="1:25" ht="18" customHeight="1" x14ac:dyDescent="0.2">
      <c r="C38" s="792"/>
      <c r="D38" s="792"/>
      <c r="E38" s="792"/>
      <c r="F38" s="792"/>
      <c r="G38" s="792"/>
      <c r="H38" s="792"/>
      <c r="I38" s="792"/>
      <c r="J38" s="792"/>
      <c r="K38" s="792"/>
      <c r="L38" s="792"/>
      <c r="M38" s="792"/>
      <c r="N38" s="792"/>
      <c r="O38" s="792"/>
      <c r="P38" s="792"/>
      <c r="Q38" s="792"/>
      <c r="R38" s="792"/>
      <c r="S38" s="792"/>
      <c r="T38" s="792"/>
      <c r="U38" s="792"/>
      <c r="V38" s="792"/>
      <c r="W38" s="792"/>
      <c r="X38" s="792"/>
      <c r="Y38" s="792"/>
    </row>
    <row r="39" spans="1:25" ht="18" customHeight="1" x14ac:dyDescent="0.2">
      <c r="C39" s="31"/>
      <c r="D39" s="31"/>
      <c r="E39" s="31"/>
      <c r="F39" s="345"/>
      <c r="G39" s="31"/>
      <c r="H39" s="31"/>
    </row>
    <row r="40" spans="1:25" ht="18" customHeight="1" x14ac:dyDescent="0.2">
      <c r="C40" s="31"/>
      <c r="D40" s="31"/>
      <c r="E40" s="31"/>
      <c r="F40" s="345"/>
      <c r="G40" s="31"/>
      <c r="H40" s="31"/>
    </row>
    <row r="41" spans="1:25" ht="36" customHeight="1" x14ac:dyDescent="0.2">
      <c r="A41" s="337"/>
      <c r="B41" s="337"/>
      <c r="C41" s="341" t="s">
        <v>382</v>
      </c>
      <c r="D41" s="695" t="s">
        <v>383</v>
      </c>
      <c r="E41" s="696"/>
      <c r="F41" s="696"/>
      <c r="G41" s="696"/>
      <c r="H41" s="696"/>
      <c r="I41" s="696"/>
      <c r="J41" s="696"/>
      <c r="K41" s="696"/>
      <c r="L41" s="696"/>
      <c r="M41" s="696"/>
      <c r="N41" s="696"/>
      <c r="O41" s="696"/>
      <c r="P41" s="696"/>
      <c r="Q41" s="696"/>
      <c r="R41" s="696"/>
      <c r="S41" s="696"/>
      <c r="T41" s="696"/>
      <c r="U41" s="696"/>
      <c r="V41" s="696"/>
      <c r="W41" s="696"/>
      <c r="X41" s="696"/>
      <c r="Y41" s="697"/>
    </row>
    <row r="42" spans="1:25" s="347" customFormat="1" ht="18" customHeight="1" x14ac:dyDescent="0.2">
      <c r="A42" s="346"/>
      <c r="B42" s="346"/>
      <c r="C42" s="517"/>
      <c r="D42" s="517"/>
      <c r="E42" s="517"/>
      <c r="F42" s="517"/>
      <c r="G42" s="517"/>
      <c r="H42" s="517"/>
      <c r="I42" s="517"/>
      <c r="J42" s="517"/>
      <c r="K42" s="517"/>
      <c r="L42" s="517"/>
      <c r="M42" s="517"/>
      <c r="N42" s="517"/>
      <c r="O42" s="517"/>
      <c r="P42" s="517"/>
      <c r="Q42" s="517"/>
      <c r="R42" s="517"/>
      <c r="S42" s="517"/>
      <c r="T42" s="517"/>
      <c r="U42" s="517"/>
      <c r="V42" s="517"/>
      <c r="W42" s="517"/>
      <c r="X42" s="517"/>
      <c r="Y42" s="517"/>
    </row>
    <row r="43" spans="1:25" ht="18" customHeight="1" x14ac:dyDescent="0.2">
      <c r="A43" s="337"/>
      <c r="B43" s="337"/>
      <c r="C43" s="348" t="s">
        <v>278</v>
      </c>
      <c r="D43" s="348"/>
      <c r="E43" s="348"/>
      <c r="F43" s="349"/>
      <c r="G43" s="349"/>
      <c r="H43" s="349"/>
      <c r="I43" s="349"/>
      <c r="J43" s="349"/>
      <c r="K43" s="349"/>
      <c r="L43" s="349"/>
      <c r="M43" s="349"/>
      <c r="N43" s="349"/>
      <c r="O43" s="349"/>
      <c r="P43" s="349"/>
      <c r="Q43" s="349"/>
      <c r="R43" s="349"/>
      <c r="S43" s="349"/>
      <c r="T43" s="349"/>
      <c r="U43" s="349"/>
      <c r="V43" s="349"/>
      <c r="W43" s="349"/>
      <c r="X43" s="349"/>
      <c r="Y43" s="349"/>
    </row>
    <row r="44" spans="1:25" ht="18" customHeight="1" x14ac:dyDescent="0.2">
      <c r="C44" s="536"/>
      <c r="D44" s="537"/>
      <c r="E44" s="537"/>
      <c r="F44" s="537"/>
      <c r="G44" s="537"/>
      <c r="H44" s="537"/>
      <c r="I44" s="537"/>
      <c r="J44" s="537"/>
      <c r="K44" s="537"/>
      <c r="L44" s="537"/>
      <c r="M44" s="537"/>
      <c r="N44" s="537"/>
      <c r="O44" s="537"/>
      <c r="P44" s="537"/>
      <c r="Q44" s="537"/>
      <c r="R44" s="537"/>
      <c r="S44" s="537"/>
      <c r="T44" s="537"/>
      <c r="U44" s="537"/>
      <c r="V44" s="537"/>
      <c r="W44" s="537"/>
      <c r="X44" s="537"/>
      <c r="Y44" s="538"/>
    </row>
    <row r="45" spans="1:25" ht="18" customHeight="1" x14ac:dyDescent="0.2">
      <c r="C45" s="345"/>
      <c r="P45" s="339"/>
    </row>
    <row r="46" spans="1:25" ht="18" customHeight="1" x14ac:dyDescent="0.2">
      <c r="A46" s="337"/>
      <c r="B46" s="337"/>
      <c r="C46" s="344" t="s">
        <v>279</v>
      </c>
      <c r="D46" s="340"/>
      <c r="E46" s="349"/>
      <c r="F46" s="349"/>
      <c r="G46" s="349"/>
      <c r="H46" s="349"/>
      <c r="I46" s="349"/>
      <c r="J46" s="349"/>
      <c r="K46" s="349"/>
      <c r="L46" s="349"/>
      <c r="M46" s="349"/>
      <c r="N46" s="349"/>
      <c r="O46" s="349"/>
      <c r="P46" s="349"/>
      <c r="Q46" s="349"/>
      <c r="R46" s="349"/>
      <c r="S46" s="349"/>
      <c r="T46" s="349"/>
      <c r="U46" s="349"/>
      <c r="V46" s="349"/>
      <c r="W46" s="349"/>
      <c r="X46" s="349"/>
      <c r="Y46" s="349"/>
    </row>
    <row r="47" spans="1:25" ht="18" customHeight="1" x14ac:dyDescent="0.2">
      <c r="C47" s="536"/>
      <c r="D47" s="537"/>
      <c r="E47" s="537"/>
      <c r="F47" s="537"/>
      <c r="G47" s="537"/>
      <c r="H47" s="537"/>
      <c r="I47" s="537"/>
      <c r="J47" s="537"/>
      <c r="K47" s="537"/>
      <c r="L47" s="537"/>
      <c r="M47" s="537"/>
      <c r="N47" s="537"/>
      <c r="O47" s="537"/>
      <c r="P47" s="537"/>
      <c r="Q47" s="537"/>
      <c r="R47" s="537"/>
      <c r="S47" s="537"/>
      <c r="T47" s="537"/>
      <c r="U47" s="537"/>
      <c r="V47" s="537"/>
      <c r="W47" s="537"/>
      <c r="X47" s="537"/>
      <c r="Y47" s="538"/>
    </row>
    <row r="48" spans="1:25" ht="18" customHeight="1" x14ac:dyDescent="0.2">
      <c r="C48" s="345"/>
      <c r="P48" s="339"/>
    </row>
    <row r="49" spans="1:25" ht="18" customHeight="1" x14ac:dyDescent="0.2">
      <c r="A49" s="337"/>
      <c r="B49" s="337"/>
      <c r="C49" s="344" t="s">
        <v>280</v>
      </c>
      <c r="D49" s="340"/>
      <c r="E49" s="349"/>
      <c r="F49" s="349"/>
      <c r="G49" s="349"/>
      <c r="H49" s="349"/>
      <c r="I49" s="349"/>
      <c r="J49" s="349"/>
      <c r="K49" s="349"/>
      <c r="L49" s="349"/>
      <c r="M49" s="349"/>
      <c r="N49" s="349"/>
      <c r="O49" s="349"/>
      <c r="P49" s="349"/>
      <c r="Q49" s="349"/>
      <c r="R49" s="349"/>
      <c r="S49" s="349"/>
      <c r="T49" s="349"/>
      <c r="U49" s="349"/>
      <c r="V49" s="349"/>
      <c r="W49" s="349"/>
      <c r="X49" s="349"/>
      <c r="Y49" s="349"/>
    </row>
    <row r="50" spans="1:25" ht="18" customHeight="1" x14ac:dyDescent="0.2">
      <c r="A50" s="337"/>
      <c r="B50" s="337"/>
      <c r="C50" s="536"/>
      <c r="D50" s="537"/>
      <c r="E50" s="537"/>
      <c r="F50" s="537"/>
      <c r="G50" s="537"/>
      <c r="H50" s="537"/>
      <c r="I50" s="537"/>
      <c r="J50" s="537"/>
      <c r="K50" s="537"/>
      <c r="L50" s="537"/>
      <c r="M50" s="537"/>
      <c r="N50" s="537"/>
      <c r="O50" s="537"/>
      <c r="P50" s="537"/>
      <c r="Q50" s="537"/>
      <c r="R50" s="537"/>
      <c r="S50" s="537"/>
      <c r="T50" s="537"/>
      <c r="U50" s="537"/>
      <c r="V50" s="537"/>
      <c r="W50" s="537"/>
      <c r="X50" s="537"/>
      <c r="Y50" s="538"/>
    </row>
    <row r="51" spans="1:25" ht="18" customHeight="1" x14ac:dyDescent="0.2">
      <c r="A51" s="337"/>
      <c r="B51" s="337"/>
      <c r="C51" s="345"/>
      <c r="D51" s="337"/>
      <c r="E51" s="337"/>
      <c r="F51" s="337"/>
      <c r="G51" s="337"/>
      <c r="H51" s="337"/>
      <c r="I51" s="337"/>
      <c r="J51" s="337"/>
      <c r="K51" s="337"/>
      <c r="L51" s="337"/>
      <c r="M51" s="337"/>
      <c r="N51" s="337"/>
      <c r="O51" s="337"/>
    </row>
    <row r="52" spans="1:25" ht="18" customHeight="1" x14ac:dyDescent="0.2">
      <c r="A52" s="337"/>
      <c r="B52" s="337"/>
      <c r="C52" s="345"/>
      <c r="D52" s="337"/>
      <c r="E52" s="337"/>
      <c r="F52" s="337"/>
      <c r="G52" s="337"/>
      <c r="H52" s="337"/>
      <c r="I52" s="337"/>
      <c r="J52" s="337"/>
      <c r="K52" s="337"/>
      <c r="L52" s="337"/>
      <c r="M52" s="337"/>
      <c r="N52" s="337"/>
      <c r="O52" s="337"/>
    </row>
    <row r="53" spans="1:25" ht="18" customHeight="1" x14ac:dyDescent="0.2">
      <c r="A53" s="337"/>
      <c r="B53" s="337"/>
      <c r="C53" s="791" t="s">
        <v>231</v>
      </c>
      <c r="D53" s="791"/>
      <c r="E53" s="791"/>
      <c r="F53" s="791"/>
      <c r="G53" s="791"/>
      <c r="H53" s="791"/>
      <c r="I53" s="791"/>
      <c r="J53" s="791"/>
      <c r="K53" s="791"/>
      <c r="L53" s="791"/>
      <c r="M53" s="791"/>
      <c r="N53" s="791"/>
      <c r="O53" s="791"/>
      <c r="P53" s="791"/>
      <c r="Q53" s="791"/>
      <c r="R53" s="791"/>
      <c r="S53" s="791"/>
      <c r="T53" s="791"/>
      <c r="U53" s="791"/>
      <c r="V53" s="791"/>
      <c r="W53" s="791"/>
      <c r="X53" s="791"/>
      <c r="Y53" s="791"/>
    </row>
    <row r="54" spans="1:25" ht="18" customHeight="1" x14ac:dyDescent="0.2">
      <c r="A54" s="337"/>
      <c r="B54" s="337"/>
      <c r="C54" s="686"/>
      <c r="D54" s="687"/>
      <c r="E54" s="687"/>
      <c r="F54" s="687"/>
      <c r="G54" s="687"/>
      <c r="H54" s="687"/>
      <c r="I54" s="687"/>
      <c r="J54" s="687"/>
      <c r="K54" s="687"/>
      <c r="L54" s="687"/>
      <c r="M54" s="687"/>
      <c r="N54" s="687"/>
      <c r="O54" s="687"/>
      <c r="P54" s="687"/>
      <c r="Q54" s="687"/>
      <c r="R54" s="687"/>
      <c r="S54" s="687"/>
      <c r="T54" s="687"/>
      <c r="U54" s="687"/>
      <c r="V54" s="687"/>
      <c r="W54" s="687"/>
      <c r="X54" s="687"/>
      <c r="Y54" s="688"/>
    </row>
    <row r="55" spans="1:25" ht="18" customHeight="1" x14ac:dyDescent="0.2">
      <c r="A55" s="337"/>
      <c r="B55" s="337"/>
      <c r="C55" s="689"/>
      <c r="D55" s="690"/>
      <c r="E55" s="690"/>
      <c r="F55" s="690"/>
      <c r="G55" s="690"/>
      <c r="H55" s="690"/>
      <c r="I55" s="690"/>
      <c r="J55" s="690"/>
      <c r="K55" s="690"/>
      <c r="L55" s="690"/>
      <c r="M55" s="690"/>
      <c r="N55" s="690"/>
      <c r="O55" s="690"/>
      <c r="P55" s="690"/>
      <c r="Q55" s="690"/>
      <c r="R55" s="690"/>
      <c r="S55" s="690"/>
      <c r="T55" s="690"/>
      <c r="U55" s="690"/>
      <c r="V55" s="690"/>
      <c r="W55" s="690"/>
      <c r="X55" s="690"/>
      <c r="Y55" s="691"/>
    </row>
    <row r="56" spans="1:25" ht="18" customHeight="1" x14ac:dyDescent="0.2">
      <c r="A56" s="337"/>
      <c r="B56" s="337"/>
      <c r="C56" s="689"/>
      <c r="D56" s="690"/>
      <c r="E56" s="690"/>
      <c r="F56" s="690"/>
      <c r="G56" s="690"/>
      <c r="H56" s="690"/>
      <c r="I56" s="690"/>
      <c r="J56" s="690"/>
      <c r="K56" s="690"/>
      <c r="L56" s="690"/>
      <c r="M56" s="690"/>
      <c r="N56" s="690"/>
      <c r="O56" s="690"/>
      <c r="P56" s="690"/>
      <c r="Q56" s="690"/>
      <c r="R56" s="690"/>
      <c r="S56" s="690"/>
      <c r="T56" s="690"/>
      <c r="U56" s="690"/>
      <c r="V56" s="690"/>
      <c r="W56" s="690"/>
      <c r="X56" s="690"/>
      <c r="Y56" s="691"/>
    </row>
    <row r="57" spans="1:25" ht="18" customHeight="1" x14ac:dyDescent="0.2">
      <c r="A57" s="337"/>
      <c r="B57" s="337"/>
      <c r="C57" s="689"/>
      <c r="D57" s="690"/>
      <c r="E57" s="690"/>
      <c r="F57" s="690"/>
      <c r="G57" s="690"/>
      <c r="H57" s="690"/>
      <c r="I57" s="690"/>
      <c r="J57" s="690"/>
      <c r="K57" s="690"/>
      <c r="L57" s="690"/>
      <c r="M57" s="690"/>
      <c r="N57" s="690"/>
      <c r="O57" s="690"/>
      <c r="P57" s="690"/>
      <c r="Q57" s="690"/>
      <c r="R57" s="690"/>
      <c r="S57" s="690"/>
      <c r="T57" s="690"/>
      <c r="U57" s="690"/>
      <c r="V57" s="690"/>
      <c r="W57" s="690"/>
      <c r="X57" s="690"/>
      <c r="Y57" s="691"/>
    </row>
    <row r="58" spans="1:25" ht="18" customHeight="1" x14ac:dyDescent="0.2">
      <c r="A58" s="337"/>
      <c r="B58" s="337"/>
      <c r="C58" s="689"/>
      <c r="D58" s="690"/>
      <c r="E58" s="690"/>
      <c r="F58" s="690"/>
      <c r="G58" s="690"/>
      <c r="H58" s="690"/>
      <c r="I58" s="690"/>
      <c r="J58" s="690"/>
      <c r="K58" s="690"/>
      <c r="L58" s="690"/>
      <c r="M58" s="690"/>
      <c r="N58" s="690"/>
      <c r="O58" s="690"/>
      <c r="P58" s="690"/>
      <c r="Q58" s="690"/>
      <c r="R58" s="690"/>
      <c r="S58" s="690"/>
      <c r="T58" s="690"/>
      <c r="U58" s="690"/>
      <c r="V58" s="690"/>
      <c r="W58" s="690"/>
      <c r="X58" s="690"/>
      <c r="Y58" s="691"/>
    </row>
    <row r="59" spans="1:25" ht="18" customHeight="1" x14ac:dyDescent="0.2">
      <c r="A59" s="337"/>
      <c r="B59" s="337"/>
      <c r="C59" s="689"/>
      <c r="D59" s="690"/>
      <c r="E59" s="690"/>
      <c r="F59" s="690"/>
      <c r="G59" s="690"/>
      <c r="H59" s="690"/>
      <c r="I59" s="690"/>
      <c r="J59" s="690"/>
      <c r="K59" s="690"/>
      <c r="L59" s="690"/>
      <c r="M59" s="690"/>
      <c r="N59" s="690"/>
      <c r="O59" s="690"/>
      <c r="P59" s="690"/>
      <c r="Q59" s="690"/>
      <c r="R59" s="690"/>
      <c r="S59" s="690"/>
      <c r="T59" s="690"/>
      <c r="U59" s="690"/>
      <c r="V59" s="690"/>
      <c r="W59" s="690"/>
      <c r="X59" s="690"/>
      <c r="Y59" s="691"/>
    </row>
    <row r="60" spans="1:25" ht="18" customHeight="1" x14ac:dyDescent="0.2">
      <c r="A60" s="337"/>
      <c r="B60" s="337"/>
      <c r="C60" s="689"/>
      <c r="D60" s="690"/>
      <c r="E60" s="690"/>
      <c r="F60" s="690"/>
      <c r="G60" s="690"/>
      <c r="H60" s="690"/>
      <c r="I60" s="690"/>
      <c r="J60" s="690"/>
      <c r="K60" s="690"/>
      <c r="L60" s="690"/>
      <c r="M60" s="690"/>
      <c r="N60" s="690"/>
      <c r="O60" s="690"/>
      <c r="P60" s="690"/>
      <c r="Q60" s="690"/>
      <c r="R60" s="690"/>
      <c r="S60" s="690"/>
      <c r="T60" s="690"/>
      <c r="U60" s="690"/>
      <c r="V60" s="690"/>
      <c r="W60" s="690"/>
      <c r="X60" s="690"/>
      <c r="Y60" s="691"/>
    </row>
    <row r="61" spans="1:25" ht="18" customHeight="1" x14ac:dyDescent="0.2">
      <c r="A61" s="337"/>
      <c r="B61" s="337"/>
      <c r="C61" s="689"/>
      <c r="D61" s="690"/>
      <c r="E61" s="690"/>
      <c r="F61" s="690"/>
      <c r="G61" s="690"/>
      <c r="H61" s="690"/>
      <c r="I61" s="690"/>
      <c r="J61" s="690"/>
      <c r="K61" s="690"/>
      <c r="L61" s="690"/>
      <c r="M61" s="690"/>
      <c r="N61" s="690"/>
      <c r="O61" s="690"/>
      <c r="P61" s="690"/>
      <c r="Q61" s="690"/>
      <c r="R61" s="690"/>
      <c r="S61" s="690"/>
      <c r="T61" s="690"/>
      <c r="U61" s="690"/>
      <c r="V61" s="690"/>
      <c r="W61" s="690"/>
      <c r="X61" s="690"/>
      <c r="Y61" s="691"/>
    </row>
    <row r="62" spans="1:25" ht="18" customHeight="1" x14ac:dyDescent="0.2">
      <c r="A62" s="337"/>
      <c r="B62" s="337"/>
      <c r="C62" s="689"/>
      <c r="D62" s="690"/>
      <c r="E62" s="690"/>
      <c r="F62" s="690"/>
      <c r="G62" s="690"/>
      <c r="H62" s="690"/>
      <c r="I62" s="690"/>
      <c r="J62" s="690"/>
      <c r="K62" s="690"/>
      <c r="L62" s="690"/>
      <c r="M62" s="690"/>
      <c r="N62" s="690"/>
      <c r="O62" s="690"/>
      <c r="P62" s="690"/>
      <c r="Q62" s="690"/>
      <c r="R62" s="690"/>
      <c r="S62" s="690"/>
      <c r="T62" s="690"/>
      <c r="U62" s="690"/>
      <c r="V62" s="690"/>
      <c r="W62" s="690"/>
      <c r="X62" s="690"/>
      <c r="Y62" s="691"/>
    </row>
    <row r="63" spans="1:25" ht="18" customHeight="1" x14ac:dyDescent="0.2">
      <c r="A63" s="337"/>
      <c r="B63" s="337"/>
      <c r="C63" s="689"/>
      <c r="D63" s="690"/>
      <c r="E63" s="690"/>
      <c r="F63" s="690"/>
      <c r="G63" s="690"/>
      <c r="H63" s="690"/>
      <c r="I63" s="690"/>
      <c r="J63" s="690"/>
      <c r="K63" s="690"/>
      <c r="L63" s="690"/>
      <c r="M63" s="690"/>
      <c r="N63" s="690"/>
      <c r="O63" s="690"/>
      <c r="P63" s="690"/>
      <c r="Q63" s="690"/>
      <c r="R63" s="690"/>
      <c r="S63" s="690"/>
      <c r="T63" s="690"/>
      <c r="U63" s="690"/>
      <c r="V63" s="690"/>
      <c r="W63" s="690"/>
      <c r="X63" s="690"/>
      <c r="Y63" s="691"/>
    </row>
    <row r="64" spans="1:25" ht="18" customHeight="1" x14ac:dyDescent="0.2">
      <c r="A64" s="337"/>
      <c r="B64" s="337"/>
      <c r="C64" s="689"/>
      <c r="D64" s="690"/>
      <c r="E64" s="690"/>
      <c r="F64" s="690"/>
      <c r="G64" s="690"/>
      <c r="H64" s="690"/>
      <c r="I64" s="690"/>
      <c r="J64" s="690"/>
      <c r="K64" s="690"/>
      <c r="L64" s="690"/>
      <c r="M64" s="690"/>
      <c r="N64" s="690"/>
      <c r="O64" s="690"/>
      <c r="P64" s="690"/>
      <c r="Q64" s="690"/>
      <c r="R64" s="690"/>
      <c r="S64" s="690"/>
      <c r="T64" s="690"/>
      <c r="U64" s="690"/>
      <c r="V64" s="690"/>
      <c r="W64" s="690"/>
      <c r="X64" s="690"/>
      <c r="Y64" s="691"/>
    </row>
    <row r="65" spans="1:25" ht="18" customHeight="1" x14ac:dyDescent="0.2">
      <c r="A65" s="337"/>
      <c r="B65" s="337"/>
      <c r="C65" s="689"/>
      <c r="D65" s="690"/>
      <c r="E65" s="690"/>
      <c r="F65" s="690"/>
      <c r="G65" s="690"/>
      <c r="H65" s="690"/>
      <c r="I65" s="690"/>
      <c r="J65" s="690"/>
      <c r="K65" s="690"/>
      <c r="L65" s="690"/>
      <c r="M65" s="690"/>
      <c r="N65" s="690"/>
      <c r="O65" s="690"/>
      <c r="P65" s="690"/>
      <c r="Q65" s="690"/>
      <c r="R65" s="690"/>
      <c r="S65" s="690"/>
      <c r="T65" s="690"/>
      <c r="U65" s="690"/>
      <c r="V65" s="690"/>
      <c r="W65" s="690"/>
      <c r="X65" s="690"/>
      <c r="Y65" s="691"/>
    </row>
    <row r="66" spans="1:25" ht="18" customHeight="1" x14ac:dyDescent="0.2">
      <c r="A66" s="337"/>
      <c r="B66" s="337"/>
      <c r="C66" s="689"/>
      <c r="D66" s="690"/>
      <c r="E66" s="690"/>
      <c r="F66" s="690"/>
      <c r="G66" s="690"/>
      <c r="H66" s="690"/>
      <c r="I66" s="690"/>
      <c r="J66" s="690"/>
      <c r="K66" s="690"/>
      <c r="L66" s="690"/>
      <c r="M66" s="690"/>
      <c r="N66" s="690"/>
      <c r="O66" s="690"/>
      <c r="P66" s="690"/>
      <c r="Q66" s="690"/>
      <c r="R66" s="690"/>
      <c r="S66" s="690"/>
      <c r="T66" s="690"/>
      <c r="U66" s="690"/>
      <c r="V66" s="690"/>
      <c r="W66" s="690"/>
      <c r="X66" s="690"/>
      <c r="Y66" s="691"/>
    </row>
    <row r="67" spans="1:25" ht="18" customHeight="1" x14ac:dyDescent="0.2">
      <c r="A67" s="337"/>
      <c r="B67" s="337"/>
      <c r="C67" s="689"/>
      <c r="D67" s="690"/>
      <c r="E67" s="690"/>
      <c r="F67" s="690"/>
      <c r="G67" s="690"/>
      <c r="H67" s="690"/>
      <c r="I67" s="690"/>
      <c r="J67" s="690"/>
      <c r="K67" s="690"/>
      <c r="L67" s="690"/>
      <c r="M67" s="690"/>
      <c r="N67" s="690"/>
      <c r="O67" s="690"/>
      <c r="P67" s="690"/>
      <c r="Q67" s="690"/>
      <c r="R67" s="690"/>
      <c r="S67" s="690"/>
      <c r="T67" s="690"/>
      <c r="U67" s="690"/>
      <c r="V67" s="690"/>
      <c r="W67" s="690"/>
      <c r="X67" s="690"/>
      <c r="Y67" s="691"/>
    </row>
    <row r="68" spans="1:25" ht="18" customHeight="1" x14ac:dyDescent="0.2">
      <c r="A68" s="337"/>
      <c r="B68" s="337"/>
      <c r="C68" s="689"/>
      <c r="D68" s="690"/>
      <c r="E68" s="690"/>
      <c r="F68" s="690"/>
      <c r="G68" s="690"/>
      <c r="H68" s="690"/>
      <c r="I68" s="690"/>
      <c r="J68" s="690"/>
      <c r="K68" s="690"/>
      <c r="L68" s="690"/>
      <c r="M68" s="690"/>
      <c r="N68" s="690"/>
      <c r="O68" s="690"/>
      <c r="P68" s="690"/>
      <c r="Q68" s="690"/>
      <c r="R68" s="690"/>
      <c r="S68" s="690"/>
      <c r="T68" s="690"/>
      <c r="U68" s="690"/>
      <c r="V68" s="690"/>
      <c r="W68" s="690"/>
      <c r="X68" s="690"/>
      <c r="Y68" s="691"/>
    </row>
    <row r="69" spans="1:25" ht="18" customHeight="1" x14ac:dyDescent="0.2">
      <c r="A69" s="337"/>
      <c r="B69" s="337"/>
      <c r="C69" s="689"/>
      <c r="D69" s="690"/>
      <c r="E69" s="690"/>
      <c r="F69" s="690"/>
      <c r="G69" s="690"/>
      <c r="H69" s="690"/>
      <c r="I69" s="690"/>
      <c r="J69" s="690"/>
      <c r="K69" s="690"/>
      <c r="L69" s="690"/>
      <c r="M69" s="690"/>
      <c r="N69" s="690"/>
      <c r="O69" s="690"/>
      <c r="P69" s="690"/>
      <c r="Q69" s="690"/>
      <c r="R69" s="690"/>
      <c r="S69" s="690"/>
      <c r="T69" s="690"/>
      <c r="U69" s="690"/>
      <c r="V69" s="690"/>
      <c r="W69" s="690"/>
      <c r="X69" s="690"/>
      <c r="Y69" s="691"/>
    </row>
    <row r="70" spans="1:25" ht="18" customHeight="1" x14ac:dyDescent="0.2">
      <c r="A70" s="337"/>
      <c r="B70" s="337"/>
      <c r="C70" s="689"/>
      <c r="D70" s="690"/>
      <c r="E70" s="690"/>
      <c r="F70" s="690"/>
      <c r="G70" s="690"/>
      <c r="H70" s="690"/>
      <c r="I70" s="690"/>
      <c r="J70" s="690"/>
      <c r="K70" s="690"/>
      <c r="L70" s="690"/>
      <c r="M70" s="690"/>
      <c r="N70" s="690"/>
      <c r="O70" s="690"/>
      <c r="P70" s="690"/>
      <c r="Q70" s="690"/>
      <c r="R70" s="690"/>
      <c r="S70" s="690"/>
      <c r="T70" s="690"/>
      <c r="U70" s="690"/>
      <c r="V70" s="690"/>
      <c r="W70" s="690"/>
      <c r="X70" s="690"/>
      <c r="Y70" s="691"/>
    </row>
    <row r="71" spans="1:25" ht="18" customHeight="1" x14ac:dyDescent="0.2">
      <c r="A71" s="337"/>
      <c r="B71" s="337"/>
      <c r="C71" s="689"/>
      <c r="D71" s="690"/>
      <c r="E71" s="690"/>
      <c r="F71" s="690"/>
      <c r="G71" s="690"/>
      <c r="H71" s="690"/>
      <c r="I71" s="690"/>
      <c r="J71" s="690"/>
      <c r="K71" s="690"/>
      <c r="L71" s="690"/>
      <c r="M71" s="690"/>
      <c r="N71" s="690"/>
      <c r="O71" s="690"/>
      <c r="P71" s="690"/>
      <c r="Q71" s="690"/>
      <c r="R71" s="690"/>
      <c r="S71" s="690"/>
      <c r="T71" s="690"/>
      <c r="U71" s="690"/>
      <c r="V71" s="690"/>
      <c r="W71" s="690"/>
      <c r="X71" s="690"/>
      <c r="Y71" s="691"/>
    </row>
    <row r="72" spans="1:25" ht="18" customHeight="1" x14ac:dyDescent="0.2">
      <c r="A72" s="337"/>
      <c r="B72" s="337"/>
      <c r="C72" s="689"/>
      <c r="D72" s="690"/>
      <c r="E72" s="690"/>
      <c r="F72" s="690"/>
      <c r="G72" s="690"/>
      <c r="H72" s="690"/>
      <c r="I72" s="690"/>
      <c r="J72" s="690"/>
      <c r="K72" s="690"/>
      <c r="L72" s="690"/>
      <c r="M72" s="690"/>
      <c r="N72" s="690"/>
      <c r="O72" s="690"/>
      <c r="P72" s="690"/>
      <c r="Q72" s="690"/>
      <c r="R72" s="690"/>
      <c r="S72" s="690"/>
      <c r="T72" s="690"/>
      <c r="U72" s="690"/>
      <c r="V72" s="690"/>
      <c r="W72" s="690"/>
      <c r="X72" s="690"/>
      <c r="Y72" s="691"/>
    </row>
    <row r="73" spans="1:25" ht="18" customHeight="1" x14ac:dyDescent="0.2">
      <c r="A73" s="337"/>
      <c r="B73" s="337"/>
      <c r="C73" s="689"/>
      <c r="D73" s="690"/>
      <c r="E73" s="690"/>
      <c r="F73" s="690"/>
      <c r="G73" s="690"/>
      <c r="H73" s="690"/>
      <c r="I73" s="690"/>
      <c r="J73" s="690"/>
      <c r="K73" s="690"/>
      <c r="L73" s="690"/>
      <c r="M73" s="690"/>
      <c r="N73" s="690"/>
      <c r="O73" s="690"/>
      <c r="P73" s="690"/>
      <c r="Q73" s="690"/>
      <c r="R73" s="690"/>
      <c r="S73" s="690"/>
      <c r="T73" s="690"/>
      <c r="U73" s="690"/>
      <c r="V73" s="690"/>
      <c r="W73" s="690"/>
      <c r="X73" s="690"/>
      <c r="Y73" s="691"/>
    </row>
    <row r="74" spans="1:25" ht="18" customHeight="1" x14ac:dyDescent="0.2">
      <c r="A74" s="337"/>
      <c r="B74" s="337"/>
      <c r="C74" s="689"/>
      <c r="D74" s="690"/>
      <c r="E74" s="690"/>
      <c r="F74" s="690"/>
      <c r="G74" s="690"/>
      <c r="H74" s="690"/>
      <c r="I74" s="690"/>
      <c r="J74" s="690"/>
      <c r="K74" s="690"/>
      <c r="L74" s="690"/>
      <c r="M74" s="690"/>
      <c r="N74" s="690"/>
      <c r="O74" s="690"/>
      <c r="P74" s="690"/>
      <c r="Q74" s="690"/>
      <c r="R74" s="690"/>
      <c r="S74" s="690"/>
      <c r="T74" s="690"/>
      <c r="U74" s="690"/>
      <c r="V74" s="690"/>
      <c r="W74" s="690"/>
      <c r="X74" s="690"/>
      <c r="Y74" s="691"/>
    </row>
    <row r="75" spans="1:25" ht="18" customHeight="1" x14ac:dyDescent="0.2">
      <c r="A75" s="337"/>
      <c r="B75" s="337"/>
      <c r="C75" s="689"/>
      <c r="D75" s="690"/>
      <c r="E75" s="690"/>
      <c r="F75" s="690"/>
      <c r="G75" s="690"/>
      <c r="H75" s="690"/>
      <c r="I75" s="690"/>
      <c r="J75" s="690"/>
      <c r="K75" s="690"/>
      <c r="L75" s="690"/>
      <c r="M75" s="690"/>
      <c r="N75" s="690"/>
      <c r="O75" s="690"/>
      <c r="P75" s="690"/>
      <c r="Q75" s="690"/>
      <c r="R75" s="690"/>
      <c r="S75" s="690"/>
      <c r="T75" s="690"/>
      <c r="U75" s="690"/>
      <c r="V75" s="690"/>
      <c r="W75" s="690"/>
      <c r="X75" s="690"/>
      <c r="Y75" s="691"/>
    </row>
    <row r="76" spans="1:25" ht="18" customHeight="1" x14ac:dyDescent="0.2">
      <c r="A76" s="337"/>
      <c r="B76" s="337"/>
      <c r="C76" s="689"/>
      <c r="D76" s="690"/>
      <c r="E76" s="690"/>
      <c r="F76" s="690"/>
      <c r="G76" s="690"/>
      <c r="H76" s="690"/>
      <c r="I76" s="690"/>
      <c r="J76" s="690"/>
      <c r="K76" s="690"/>
      <c r="L76" s="690"/>
      <c r="M76" s="690"/>
      <c r="N76" s="690"/>
      <c r="O76" s="690"/>
      <c r="P76" s="690"/>
      <c r="Q76" s="690"/>
      <c r="R76" s="690"/>
      <c r="S76" s="690"/>
      <c r="T76" s="690"/>
      <c r="U76" s="690"/>
      <c r="V76" s="690"/>
      <c r="W76" s="690"/>
      <c r="X76" s="690"/>
      <c r="Y76" s="691"/>
    </row>
    <row r="77" spans="1:25" ht="18" customHeight="1" x14ac:dyDescent="0.2">
      <c r="A77" s="337"/>
      <c r="B77" s="337"/>
      <c r="C77" s="689"/>
      <c r="D77" s="690"/>
      <c r="E77" s="690"/>
      <c r="F77" s="690"/>
      <c r="G77" s="690"/>
      <c r="H77" s="690"/>
      <c r="I77" s="690"/>
      <c r="J77" s="690"/>
      <c r="K77" s="690"/>
      <c r="L77" s="690"/>
      <c r="M77" s="690"/>
      <c r="N77" s="690"/>
      <c r="O77" s="690"/>
      <c r="P77" s="690"/>
      <c r="Q77" s="690"/>
      <c r="R77" s="690"/>
      <c r="S77" s="690"/>
      <c r="T77" s="690"/>
      <c r="U77" s="690"/>
      <c r="V77" s="690"/>
      <c r="W77" s="690"/>
      <c r="X77" s="690"/>
      <c r="Y77" s="691"/>
    </row>
    <row r="78" spans="1:25" ht="18" customHeight="1" x14ac:dyDescent="0.2">
      <c r="A78" s="337"/>
      <c r="B78" s="337"/>
      <c r="C78" s="689"/>
      <c r="D78" s="690"/>
      <c r="E78" s="690"/>
      <c r="F78" s="690"/>
      <c r="G78" s="690"/>
      <c r="H78" s="690"/>
      <c r="I78" s="690"/>
      <c r="J78" s="690"/>
      <c r="K78" s="690"/>
      <c r="L78" s="690"/>
      <c r="M78" s="690"/>
      <c r="N78" s="690"/>
      <c r="O78" s="690"/>
      <c r="P78" s="690"/>
      <c r="Q78" s="690"/>
      <c r="R78" s="690"/>
      <c r="S78" s="690"/>
      <c r="T78" s="690"/>
      <c r="U78" s="690"/>
      <c r="V78" s="690"/>
      <c r="W78" s="690"/>
      <c r="X78" s="690"/>
      <c r="Y78" s="691"/>
    </row>
    <row r="79" spans="1:25" ht="18" customHeight="1" x14ac:dyDescent="0.2">
      <c r="A79" s="337"/>
      <c r="B79" s="337"/>
      <c r="C79" s="689"/>
      <c r="D79" s="690"/>
      <c r="E79" s="690"/>
      <c r="F79" s="690"/>
      <c r="G79" s="690"/>
      <c r="H79" s="690"/>
      <c r="I79" s="690"/>
      <c r="J79" s="690"/>
      <c r="K79" s="690"/>
      <c r="L79" s="690"/>
      <c r="M79" s="690"/>
      <c r="N79" s="690"/>
      <c r="O79" s="690"/>
      <c r="P79" s="690"/>
      <c r="Q79" s="690"/>
      <c r="R79" s="690"/>
      <c r="S79" s="690"/>
      <c r="T79" s="690"/>
      <c r="U79" s="690"/>
      <c r="V79" s="690"/>
      <c r="W79" s="690"/>
      <c r="X79" s="690"/>
      <c r="Y79" s="691"/>
    </row>
    <row r="80" spans="1:25" ht="18" customHeight="1" x14ac:dyDescent="0.2">
      <c r="A80" s="337"/>
      <c r="B80" s="337"/>
      <c r="C80" s="689"/>
      <c r="D80" s="690"/>
      <c r="E80" s="690"/>
      <c r="F80" s="690"/>
      <c r="G80" s="690"/>
      <c r="H80" s="690"/>
      <c r="I80" s="690"/>
      <c r="J80" s="690"/>
      <c r="K80" s="690"/>
      <c r="L80" s="690"/>
      <c r="M80" s="690"/>
      <c r="N80" s="690"/>
      <c r="O80" s="690"/>
      <c r="P80" s="690"/>
      <c r="Q80" s="690"/>
      <c r="R80" s="690"/>
      <c r="S80" s="690"/>
      <c r="T80" s="690"/>
      <c r="U80" s="690"/>
      <c r="V80" s="690"/>
      <c r="W80" s="690"/>
      <c r="X80" s="690"/>
      <c r="Y80" s="691"/>
    </row>
    <row r="81" spans="1:25" ht="18" customHeight="1" x14ac:dyDescent="0.2">
      <c r="A81" s="337"/>
      <c r="B81" s="337"/>
      <c r="C81" s="689"/>
      <c r="D81" s="690"/>
      <c r="E81" s="690"/>
      <c r="F81" s="690"/>
      <c r="G81" s="690"/>
      <c r="H81" s="690"/>
      <c r="I81" s="690"/>
      <c r="J81" s="690"/>
      <c r="K81" s="690"/>
      <c r="L81" s="690"/>
      <c r="M81" s="690"/>
      <c r="N81" s="690"/>
      <c r="O81" s="690"/>
      <c r="P81" s="690"/>
      <c r="Q81" s="690"/>
      <c r="R81" s="690"/>
      <c r="S81" s="690"/>
      <c r="T81" s="690"/>
      <c r="U81" s="690"/>
      <c r="V81" s="690"/>
      <c r="W81" s="690"/>
      <c r="X81" s="690"/>
      <c r="Y81" s="691"/>
    </row>
    <row r="82" spans="1:25" ht="18" customHeight="1" x14ac:dyDescent="0.2">
      <c r="A82" s="337"/>
      <c r="B82" s="337"/>
      <c r="C82" s="689"/>
      <c r="D82" s="690"/>
      <c r="E82" s="690"/>
      <c r="F82" s="690"/>
      <c r="G82" s="690"/>
      <c r="H82" s="690"/>
      <c r="I82" s="690"/>
      <c r="J82" s="690"/>
      <c r="K82" s="690"/>
      <c r="L82" s="690"/>
      <c r="M82" s="690"/>
      <c r="N82" s="690"/>
      <c r="O82" s="690"/>
      <c r="P82" s="690"/>
      <c r="Q82" s="690"/>
      <c r="R82" s="690"/>
      <c r="S82" s="690"/>
      <c r="T82" s="690"/>
      <c r="U82" s="690"/>
      <c r="V82" s="690"/>
      <c r="W82" s="690"/>
      <c r="X82" s="690"/>
      <c r="Y82" s="691"/>
    </row>
    <row r="83" spans="1:25" ht="18" customHeight="1" x14ac:dyDescent="0.2">
      <c r="A83" s="337"/>
      <c r="B83" s="337"/>
      <c r="C83" s="689"/>
      <c r="D83" s="690"/>
      <c r="E83" s="690"/>
      <c r="F83" s="690"/>
      <c r="G83" s="690"/>
      <c r="H83" s="690"/>
      <c r="I83" s="690"/>
      <c r="J83" s="690"/>
      <c r="K83" s="690"/>
      <c r="L83" s="690"/>
      <c r="M83" s="690"/>
      <c r="N83" s="690"/>
      <c r="O83" s="690"/>
      <c r="P83" s="690"/>
      <c r="Q83" s="690"/>
      <c r="R83" s="690"/>
      <c r="S83" s="690"/>
      <c r="T83" s="690"/>
      <c r="U83" s="690"/>
      <c r="V83" s="690"/>
      <c r="W83" s="690"/>
      <c r="X83" s="690"/>
      <c r="Y83" s="691"/>
    </row>
    <row r="84" spans="1:25" ht="18" customHeight="1" x14ac:dyDescent="0.2">
      <c r="A84" s="337"/>
      <c r="B84" s="337"/>
      <c r="C84" s="689"/>
      <c r="D84" s="690"/>
      <c r="E84" s="690"/>
      <c r="F84" s="690"/>
      <c r="G84" s="690"/>
      <c r="H84" s="690"/>
      <c r="I84" s="690"/>
      <c r="J84" s="690"/>
      <c r="K84" s="690"/>
      <c r="L84" s="690"/>
      <c r="M84" s="690"/>
      <c r="N84" s="690"/>
      <c r="O84" s="690"/>
      <c r="P84" s="690"/>
      <c r="Q84" s="690"/>
      <c r="R84" s="690"/>
      <c r="S84" s="690"/>
      <c r="T84" s="690"/>
      <c r="U84" s="690"/>
      <c r="V84" s="690"/>
      <c r="W84" s="690"/>
      <c r="X84" s="690"/>
      <c r="Y84" s="691"/>
    </row>
    <row r="85" spans="1:25" ht="18" customHeight="1" x14ac:dyDescent="0.2">
      <c r="A85" s="337"/>
      <c r="B85" s="337"/>
      <c r="C85" s="689"/>
      <c r="D85" s="690"/>
      <c r="E85" s="690"/>
      <c r="F85" s="690"/>
      <c r="G85" s="690"/>
      <c r="H85" s="690"/>
      <c r="I85" s="690"/>
      <c r="J85" s="690"/>
      <c r="K85" s="690"/>
      <c r="L85" s="690"/>
      <c r="M85" s="690"/>
      <c r="N85" s="690"/>
      <c r="O85" s="690"/>
      <c r="P85" s="690"/>
      <c r="Q85" s="690"/>
      <c r="R85" s="690"/>
      <c r="S85" s="690"/>
      <c r="T85" s="690"/>
      <c r="U85" s="690"/>
      <c r="V85" s="690"/>
      <c r="W85" s="690"/>
      <c r="X85" s="690"/>
      <c r="Y85" s="691"/>
    </row>
    <row r="86" spans="1:25" ht="18" customHeight="1" x14ac:dyDescent="0.2">
      <c r="A86" s="337"/>
      <c r="B86" s="337"/>
      <c r="C86" s="689"/>
      <c r="D86" s="690"/>
      <c r="E86" s="690"/>
      <c r="F86" s="690"/>
      <c r="G86" s="690"/>
      <c r="H86" s="690"/>
      <c r="I86" s="690"/>
      <c r="J86" s="690"/>
      <c r="K86" s="690"/>
      <c r="L86" s="690"/>
      <c r="M86" s="690"/>
      <c r="N86" s="690"/>
      <c r="O86" s="690"/>
      <c r="P86" s="690"/>
      <c r="Q86" s="690"/>
      <c r="R86" s="690"/>
      <c r="S86" s="690"/>
      <c r="T86" s="690"/>
      <c r="U86" s="690"/>
      <c r="V86" s="690"/>
      <c r="W86" s="690"/>
      <c r="X86" s="690"/>
      <c r="Y86" s="691"/>
    </row>
    <row r="87" spans="1:25" ht="18" customHeight="1" x14ac:dyDescent="0.2">
      <c r="A87" s="337"/>
      <c r="B87" s="337"/>
      <c r="C87" s="689"/>
      <c r="D87" s="690"/>
      <c r="E87" s="690"/>
      <c r="F87" s="690"/>
      <c r="G87" s="690"/>
      <c r="H87" s="690"/>
      <c r="I87" s="690"/>
      <c r="J87" s="690"/>
      <c r="K87" s="690"/>
      <c r="L87" s="690"/>
      <c r="M87" s="690"/>
      <c r="N87" s="690"/>
      <c r="O87" s="690"/>
      <c r="P87" s="690"/>
      <c r="Q87" s="690"/>
      <c r="R87" s="690"/>
      <c r="S87" s="690"/>
      <c r="T87" s="690"/>
      <c r="U87" s="690"/>
      <c r="V87" s="690"/>
      <c r="W87" s="690"/>
      <c r="X87" s="690"/>
      <c r="Y87" s="691"/>
    </row>
    <row r="88" spans="1:25" ht="18" customHeight="1" x14ac:dyDescent="0.2">
      <c r="A88" s="337"/>
      <c r="B88" s="337"/>
      <c r="C88" s="689"/>
      <c r="D88" s="690"/>
      <c r="E88" s="690"/>
      <c r="F88" s="690"/>
      <c r="G88" s="690"/>
      <c r="H88" s="690"/>
      <c r="I88" s="690"/>
      <c r="J88" s="690"/>
      <c r="K88" s="690"/>
      <c r="L88" s="690"/>
      <c r="M88" s="690"/>
      <c r="N88" s="690"/>
      <c r="O88" s="690"/>
      <c r="P88" s="690"/>
      <c r="Q88" s="690"/>
      <c r="R88" s="690"/>
      <c r="S88" s="690"/>
      <c r="T88" s="690"/>
      <c r="U88" s="690"/>
      <c r="V88" s="690"/>
      <c r="W88" s="690"/>
      <c r="X88" s="690"/>
      <c r="Y88" s="691"/>
    </row>
    <row r="89" spans="1:25" ht="18" customHeight="1" x14ac:dyDescent="0.2">
      <c r="A89" s="337"/>
      <c r="B89" s="337"/>
      <c r="C89" s="689"/>
      <c r="D89" s="690"/>
      <c r="E89" s="690"/>
      <c r="F89" s="690"/>
      <c r="G89" s="690"/>
      <c r="H89" s="690"/>
      <c r="I89" s="690"/>
      <c r="J89" s="690"/>
      <c r="K89" s="690"/>
      <c r="L89" s="690"/>
      <c r="M89" s="690"/>
      <c r="N89" s="690"/>
      <c r="O89" s="690"/>
      <c r="P89" s="690"/>
      <c r="Q89" s="690"/>
      <c r="R89" s="690"/>
      <c r="S89" s="690"/>
      <c r="T89" s="690"/>
      <c r="U89" s="690"/>
      <c r="V89" s="690"/>
      <c r="W89" s="690"/>
      <c r="X89" s="690"/>
      <c r="Y89" s="691"/>
    </row>
    <row r="90" spans="1:25" ht="18" customHeight="1" x14ac:dyDescent="0.2">
      <c r="A90" s="337"/>
      <c r="B90" s="337"/>
      <c r="C90" s="689"/>
      <c r="D90" s="690"/>
      <c r="E90" s="690"/>
      <c r="F90" s="690"/>
      <c r="G90" s="690"/>
      <c r="H90" s="690"/>
      <c r="I90" s="690"/>
      <c r="J90" s="690"/>
      <c r="K90" s="690"/>
      <c r="L90" s="690"/>
      <c r="M90" s="690"/>
      <c r="N90" s="690"/>
      <c r="O90" s="690"/>
      <c r="P90" s="690"/>
      <c r="Q90" s="690"/>
      <c r="R90" s="690"/>
      <c r="S90" s="690"/>
      <c r="T90" s="690"/>
      <c r="U90" s="690"/>
      <c r="V90" s="690"/>
      <c r="W90" s="690"/>
      <c r="X90" s="690"/>
      <c r="Y90" s="691"/>
    </row>
    <row r="91" spans="1:25" ht="18" customHeight="1" x14ac:dyDescent="0.2">
      <c r="A91" s="337"/>
      <c r="B91" s="337"/>
      <c r="C91" s="689"/>
      <c r="D91" s="690"/>
      <c r="E91" s="690"/>
      <c r="F91" s="690"/>
      <c r="G91" s="690"/>
      <c r="H91" s="690"/>
      <c r="I91" s="690"/>
      <c r="J91" s="690"/>
      <c r="K91" s="690"/>
      <c r="L91" s="690"/>
      <c r="M91" s="690"/>
      <c r="N91" s="690"/>
      <c r="O91" s="690"/>
      <c r="P91" s="690"/>
      <c r="Q91" s="690"/>
      <c r="R91" s="690"/>
      <c r="S91" s="690"/>
      <c r="T91" s="690"/>
      <c r="U91" s="690"/>
      <c r="V91" s="690"/>
      <c r="W91" s="690"/>
      <c r="X91" s="690"/>
      <c r="Y91" s="691"/>
    </row>
    <row r="92" spans="1:25" ht="18" customHeight="1" x14ac:dyDescent="0.2">
      <c r="A92" s="337"/>
      <c r="B92" s="337"/>
      <c r="C92" s="689"/>
      <c r="D92" s="690"/>
      <c r="E92" s="690"/>
      <c r="F92" s="690"/>
      <c r="G92" s="690"/>
      <c r="H92" s="690"/>
      <c r="I92" s="690"/>
      <c r="J92" s="690"/>
      <c r="K92" s="690"/>
      <c r="L92" s="690"/>
      <c r="M92" s="690"/>
      <c r="N92" s="690"/>
      <c r="O92" s="690"/>
      <c r="P92" s="690"/>
      <c r="Q92" s="690"/>
      <c r="R92" s="690"/>
      <c r="S92" s="690"/>
      <c r="T92" s="690"/>
      <c r="U92" s="690"/>
      <c r="V92" s="690"/>
      <c r="W92" s="690"/>
      <c r="X92" s="690"/>
      <c r="Y92" s="691"/>
    </row>
    <row r="93" spans="1:25" ht="18" customHeight="1" x14ac:dyDescent="0.2">
      <c r="A93" s="337"/>
      <c r="B93" s="337"/>
      <c r="C93" s="689"/>
      <c r="D93" s="690"/>
      <c r="E93" s="690"/>
      <c r="F93" s="690"/>
      <c r="G93" s="690"/>
      <c r="H93" s="690"/>
      <c r="I93" s="690"/>
      <c r="J93" s="690"/>
      <c r="K93" s="690"/>
      <c r="L93" s="690"/>
      <c r="M93" s="690"/>
      <c r="N93" s="690"/>
      <c r="O93" s="690"/>
      <c r="P93" s="690"/>
      <c r="Q93" s="690"/>
      <c r="R93" s="690"/>
      <c r="S93" s="690"/>
      <c r="T93" s="690"/>
      <c r="U93" s="690"/>
      <c r="V93" s="690"/>
      <c r="W93" s="690"/>
      <c r="X93" s="690"/>
      <c r="Y93" s="691"/>
    </row>
    <row r="94" spans="1:25" ht="18" customHeight="1" x14ac:dyDescent="0.2">
      <c r="A94" s="337"/>
      <c r="B94" s="337"/>
      <c r="C94" s="689"/>
      <c r="D94" s="690"/>
      <c r="E94" s="690"/>
      <c r="F94" s="690"/>
      <c r="G94" s="690"/>
      <c r="H94" s="690"/>
      <c r="I94" s="690"/>
      <c r="J94" s="690"/>
      <c r="K94" s="690"/>
      <c r="L94" s="690"/>
      <c r="M94" s="690"/>
      <c r="N94" s="690"/>
      <c r="O94" s="690"/>
      <c r="P94" s="690"/>
      <c r="Q94" s="690"/>
      <c r="R94" s="690"/>
      <c r="S94" s="690"/>
      <c r="T94" s="690"/>
      <c r="U94" s="690"/>
      <c r="V94" s="690"/>
      <c r="W94" s="690"/>
      <c r="X94" s="690"/>
      <c r="Y94" s="691"/>
    </row>
    <row r="95" spans="1:25" ht="18" customHeight="1" x14ac:dyDescent="0.2">
      <c r="A95" s="337"/>
      <c r="B95" s="337"/>
      <c r="C95" s="689"/>
      <c r="D95" s="690"/>
      <c r="E95" s="690"/>
      <c r="F95" s="690"/>
      <c r="G95" s="690"/>
      <c r="H95" s="690"/>
      <c r="I95" s="690"/>
      <c r="J95" s="690"/>
      <c r="K95" s="690"/>
      <c r="L95" s="690"/>
      <c r="M95" s="690"/>
      <c r="N95" s="690"/>
      <c r="O95" s="690"/>
      <c r="P95" s="690"/>
      <c r="Q95" s="690"/>
      <c r="R95" s="690"/>
      <c r="S95" s="690"/>
      <c r="T95" s="690"/>
      <c r="U95" s="690"/>
      <c r="V95" s="690"/>
      <c r="W95" s="690"/>
      <c r="X95" s="690"/>
      <c r="Y95" s="691"/>
    </row>
    <row r="96" spans="1:25" ht="18" customHeight="1" x14ac:dyDescent="0.2">
      <c r="A96" s="337"/>
      <c r="B96" s="337"/>
      <c r="C96" s="689"/>
      <c r="D96" s="690"/>
      <c r="E96" s="690"/>
      <c r="F96" s="690"/>
      <c r="G96" s="690"/>
      <c r="H96" s="690"/>
      <c r="I96" s="690"/>
      <c r="J96" s="690"/>
      <c r="K96" s="690"/>
      <c r="L96" s="690"/>
      <c r="M96" s="690"/>
      <c r="N96" s="690"/>
      <c r="O96" s="690"/>
      <c r="P96" s="690"/>
      <c r="Q96" s="690"/>
      <c r="R96" s="690"/>
      <c r="S96" s="690"/>
      <c r="T96" s="690"/>
      <c r="U96" s="690"/>
      <c r="V96" s="690"/>
      <c r="W96" s="690"/>
      <c r="X96" s="690"/>
      <c r="Y96" s="691"/>
    </row>
    <row r="97" spans="1:27" ht="18" customHeight="1" x14ac:dyDescent="0.2">
      <c r="A97" s="337"/>
      <c r="B97" s="337"/>
      <c r="C97" s="689"/>
      <c r="D97" s="690"/>
      <c r="E97" s="690"/>
      <c r="F97" s="690"/>
      <c r="G97" s="690"/>
      <c r="H97" s="690"/>
      <c r="I97" s="690"/>
      <c r="J97" s="690"/>
      <c r="K97" s="690"/>
      <c r="L97" s="690"/>
      <c r="M97" s="690"/>
      <c r="N97" s="690"/>
      <c r="O97" s="690"/>
      <c r="P97" s="690"/>
      <c r="Q97" s="690"/>
      <c r="R97" s="690"/>
      <c r="S97" s="690"/>
      <c r="T97" s="690"/>
      <c r="U97" s="690"/>
      <c r="V97" s="690"/>
      <c r="W97" s="690"/>
      <c r="X97" s="690"/>
      <c r="Y97" s="691"/>
    </row>
    <row r="98" spans="1:27" ht="18" customHeight="1" x14ac:dyDescent="0.2">
      <c r="A98" s="337"/>
      <c r="B98" s="337"/>
      <c r="C98" s="689"/>
      <c r="D98" s="690"/>
      <c r="E98" s="690"/>
      <c r="F98" s="690"/>
      <c r="G98" s="690"/>
      <c r="H98" s="690"/>
      <c r="I98" s="690"/>
      <c r="J98" s="690"/>
      <c r="K98" s="690"/>
      <c r="L98" s="690"/>
      <c r="M98" s="690"/>
      <c r="N98" s="690"/>
      <c r="O98" s="690"/>
      <c r="P98" s="690"/>
      <c r="Q98" s="690"/>
      <c r="R98" s="690"/>
      <c r="S98" s="690"/>
      <c r="T98" s="690"/>
      <c r="U98" s="690"/>
      <c r="V98" s="690"/>
      <c r="W98" s="690"/>
      <c r="X98" s="690"/>
      <c r="Y98" s="691"/>
    </row>
    <row r="99" spans="1:27" ht="18" customHeight="1" x14ac:dyDescent="0.2">
      <c r="A99" s="337"/>
      <c r="B99" s="337"/>
      <c r="C99" s="689"/>
      <c r="D99" s="690"/>
      <c r="E99" s="690"/>
      <c r="F99" s="690"/>
      <c r="G99" s="690"/>
      <c r="H99" s="690"/>
      <c r="I99" s="690"/>
      <c r="J99" s="690"/>
      <c r="K99" s="690"/>
      <c r="L99" s="690"/>
      <c r="M99" s="690"/>
      <c r="N99" s="690"/>
      <c r="O99" s="690"/>
      <c r="P99" s="690"/>
      <c r="Q99" s="690"/>
      <c r="R99" s="690"/>
      <c r="S99" s="690"/>
      <c r="T99" s="690"/>
      <c r="U99" s="690"/>
      <c r="V99" s="690"/>
      <c r="W99" s="690"/>
      <c r="X99" s="690"/>
      <c r="Y99" s="691"/>
    </row>
    <row r="100" spans="1:27" ht="18" customHeight="1" x14ac:dyDescent="0.2">
      <c r="A100" s="337"/>
      <c r="B100" s="337"/>
      <c r="C100" s="689"/>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1"/>
    </row>
    <row r="101" spans="1:27" ht="18" customHeight="1" x14ac:dyDescent="0.2">
      <c r="A101" s="337"/>
      <c r="B101" s="337"/>
      <c r="C101" s="689"/>
      <c r="D101" s="690"/>
      <c r="E101" s="690"/>
      <c r="F101" s="690"/>
      <c r="G101" s="690"/>
      <c r="H101" s="690"/>
      <c r="I101" s="690"/>
      <c r="J101" s="690"/>
      <c r="K101" s="690"/>
      <c r="L101" s="690"/>
      <c r="M101" s="690"/>
      <c r="N101" s="690"/>
      <c r="O101" s="690"/>
      <c r="P101" s="690"/>
      <c r="Q101" s="690"/>
      <c r="R101" s="690"/>
      <c r="S101" s="690"/>
      <c r="T101" s="690"/>
      <c r="U101" s="690"/>
      <c r="V101" s="690"/>
      <c r="W101" s="690"/>
      <c r="X101" s="690"/>
      <c r="Y101" s="691"/>
    </row>
    <row r="102" spans="1:27" ht="18" customHeight="1" x14ac:dyDescent="0.2">
      <c r="A102" s="337"/>
      <c r="B102" s="337"/>
      <c r="C102" s="692"/>
      <c r="D102" s="693"/>
      <c r="E102" s="693"/>
      <c r="F102" s="693"/>
      <c r="G102" s="693"/>
      <c r="H102" s="693"/>
      <c r="I102" s="693"/>
      <c r="J102" s="693"/>
      <c r="K102" s="693"/>
      <c r="L102" s="693"/>
      <c r="M102" s="693"/>
      <c r="N102" s="693"/>
      <c r="O102" s="693"/>
      <c r="P102" s="693"/>
      <c r="Q102" s="693"/>
      <c r="R102" s="693"/>
      <c r="S102" s="693"/>
      <c r="T102" s="693"/>
      <c r="U102" s="693"/>
      <c r="V102" s="693"/>
      <c r="W102" s="693"/>
      <c r="X102" s="693"/>
      <c r="Y102" s="694"/>
    </row>
    <row r="103" spans="1:27" ht="18" customHeight="1" x14ac:dyDescent="0.2">
      <c r="A103" s="337"/>
      <c r="B103" s="337"/>
      <c r="C103" s="350"/>
      <c r="D103" s="350"/>
      <c r="E103" s="350"/>
      <c r="F103" s="351" t="s">
        <v>363</v>
      </c>
      <c r="G103" s="536"/>
      <c r="H103" s="538"/>
      <c r="I103" s="345"/>
      <c r="J103" s="337"/>
      <c r="K103" s="337"/>
      <c r="L103" s="337"/>
      <c r="M103" s="337"/>
      <c r="N103" s="337"/>
      <c r="O103" s="337"/>
    </row>
    <row r="104" spans="1:27" ht="18" customHeight="1" x14ac:dyDescent="0.2">
      <c r="A104" s="337"/>
      <c r="B104" s="337"/>
      <c r="C104" s="515"/>
      <c r="D104" s="515"/>
      <c r="E104" s="515"/>
      <c r="F104" s="515"/>
      <c r="G104" s="352"/>
      <c r="H104" s="352"/>
      <c r="I104" s="337"/>
      <c r="J104" s="337"/>
      <c r="K104" s="337"/>
      <c r="L104" s="337"/>
      <c r="M104" s="337"/>
      <c r="N104" s="337"/>
      <c r="O104" s="337"/>
    </row>
    <row r="105" spans="1:27" ht="18" customHeight="1" x14ac:dyDescent="0.2">
      <c r="A105" s="337"/>
      <c r="B105" s="337"/>
      <c r="C105" s="581" t="s">
        <v>232</v>
      </c>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row>
    <row r="106" spans="1:27" ht="18" customHeight="1" x14ac:dyDescent="0.2">
      <c r="A106" s="337"/>
      <c r="B106" s="705" t="str">
        <f>IF(OR(C17="SITE IMPACTE - AVEC IMPACT ENVISAGE
(SIMULATION)",C17="SITE IMPACTE - APRES IMPACT"),"L'aire qui n'est plus en zone humide (par ex. bâti, route) dans le site du fait de l'aménagement n'apparaît pas dans l'état avec impact envisagé ou après impact.","")</f>
        <v>L'aire qui n'est plus en zone humide (par ex. bâti, route) dans le site du fait de l'aménagement n'apparaît pas dans l'état avec impact envisagé ou après impact.</v>
      </c>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row>
    <row r="107" spans="1:27" ht="18" customHeight="1" x14ac:dyDescent="0.2">
      <c r="A107" s="337"/>
      <c r="B107" s="337"/>
      <c r="C107" s="337"/>
      <c r="D107" s="337"/>
      <c r="E107" s="337"/>
      <c r="F107" s="337"/>
      <c r="G107" s="337"/>
      <c r="H107" s="337"/>
      <c r="I107" s="337"/>
      <c r="J107" s="337"/>
      <c r="K107" s="337"/>
      <c r="L107" s="337"/>
      <c r="M107" s="337"/>
      <c r="N107" s="337"/>
      <c r="O107" s="337"/>
      <c r="S107" s="353" t="s">
        <v>233</v>
      </c>
      <c r="T107" s="578"/>
      <c r="U107" s="578"/>
      <c r="V107" s="578"/>
      <c r="W107" s="578"/>
      <c r="X107" s="591" t="s">
        <v>111</v>
      </c>
      <c r="Y107" s="591"/>
    </row>
    <row r="108" spans="1:27" ht="18" customHeight="1" x14ac:dyDescent="0.2">
      <c r="A108" s="337"/>
      <c r="B108" s="337"/>
      <c r="C108" s="345"/>
      <c r="D108" s="337"/>
      <c r="E108" s="337"/>
      <c r="F108" s="337"/>
      <c r="G108" s="337"/>
      <c r="H108" s="337"/>
      <c r="I108" s="337"/>
      <c r="J108" s="337"/>
      <c r="K108" s="337"/>
      <c r="L108" s="337"/>
      <c r="M108" s="337"/>
      <c r="N108" s="337"/>
      <c r="O108" s="337"/>
    </row>
    <row r="109" spans="1:27" ht="18" customHeight="1" x14ac:dyDescent="0.2">
      <c r="A109" s="337"/>
      <c r="B109" s="337"/>
      <c r="C109" s="345"/>
      <c r="D109" s="337"/>
      <c r="E109" s="337"/>
      <c r="F109" s="337"/>
      <c r="G109" s="337"/>
      <c r="H109" s="337"/>
      <c r="I109" s="337"/>
      <c r="J109" s="337"/>
      <c r="K109" s="337"/>
      <c r="L109" s="337"/>
      <c r="M109" s="337"/>
      <c r="N109" s="337"/>
      <c r="O109" s="337"/>
    </row>
    <row r="110" spans="1:27" ht="18" customHeight="1" x14ac:dyDescent="0.2">
      <c r="A110" s="337"/>
      <c r="B110" s="337"/>
      <c r="C110" s="581" t="s">
        <v>281</v>
      </c>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row>
    <row r="111" spans="1:27" ht="18" customHeight="1" x14ac:dyDescent="0.2">
      <c r="A111" s="337"/>
      <c r="B111" s="337"/>
      <c r="C111" s="354" t="s">
        <v>234</v>
      </c>
      <c r="D111" s="354"/>
      <c r="E111" s="354"/>
      <c r="F111" s="355"/>
      <c r="G111" s="354"/>
      <c r="H111" s="355"/>
      <c r="I111" s="355"/>
      <c r="J111" s="356"/>
      <c r="K111" s="356"/>
      <c r="L111" s="356"/>
      <c r="M111" s="356"/>
      <c r="N111" s="356"/>
      <c r="O111" s="356"/>
      <c r="P111" s="356"/>
      <c r="Q111" s="356"/>
      <c r="R111" s="356"/>
      <c r="S111" s="357" t="s">
        <v>50</v>
      </c>
      <c r="T111" s="665"/>
      <c r="U111" s="666"/>
      <c r="V111" s="666"/>
      <c r="W111" s="667"/>
      <c r="X111" s="358"/>
      <c r="Y111" s="359"/>
    </row>
    <row r="112" spans="1:27" ht="18" customHeight="1" x14ac:dyDescent="0.2">
      <c r="A112" s="337"/>
      <c r="B112" s="337"/>
      <c r="C112" s="360"/>
      <c r="D112" s="32"/>
      <c r="E112" s="32"/>
      <c r="F112" s="361"/>
      <c r="G112" s="361"/>
      <c r="H112" s="361"/>
      <c r="I112" s="361"/>
      <c r="J112" s="361"/>
      <c r="K112" s="346"/>
      <c r="L112" s="346"/>
      <c r="M112" s="346"/>
      <c r="N112" s="346"/>
      <c r="O112" s="346"/>
      <c r="P112" s="346"/>
      <c r="Q112" s="346"/>
      <c r="R112" s="346"/>
      <c r="S112" s="362" t="s">
        <v>51</v>
      </c>
      <c r="T112" s="638"/>
      <c r="U112" s="638"/>
      <c r="V112" s="638"/>
      <c r="W112" s="638"/>
      <c r="X112" s="363"/>
      <c r="Y112" s="364"/>
    </row>
    <row r="113" spans="1:25" ht="18" customHeight="1" x14ac:dyDescent="0.2">
      <c r="A113" s="337"/>
      <c r="B113" s="337"/>
      <c r="C113" s="365"/>
      <c r="D113" s="32"/>
      <c r="E113" s="32"/>
      <c r="F113" s="361"/>
      <c r="G113" s="361"/>
      <c r="H113" s="361"/>
      <c r="I113" s="361"/>
      <c r="J113" s="361"/>
      <c r="K113" s="346"/>
      <c r="L113" s="346"/>
      <c r="M113" s="346"/>
      <c r="N113" s="346"/>
      <c r="O113" s="346"/>
      <c r="P113" s="346"/>
      <c r="Q113" s="346"/>
      <c r="R113" s="346"/>
      <c r="S113" s="362" t="s">
        <v>276</v>
      </c>
      <c r="T113" s="638"/>
      <c r="U113" s="638"/>
      <c r="V113" s="638"/>
      <c r="W113" s="638"/>
      <c r="X113" s="363"/>
      <c r="Y113" s="364"/>
    </row>
    <row r="114" spans="1:25" ht="18" customHeight="1" x14ac:dyDescent="0.2">
      <c r="A114" s="337"/>
      <c r="B114" s="337"/>
      <c r="C114" s="345"/>
      <c r="D114" s="337"/>
      <c r="E114" s="337"/>
      <c r="F114" s="361"/>
      <c r="G114" s="337"/>
      <c r="H114" s="337"/>
      <c r="I114" s="337"/>
      <c r="J114" s="337"/>
      <c r="K114" s="337"/>
      <c r="L114" s="337"/>
      <c r="M114" s="337"/>
      <c r="N114" s="337"/>
      <c r="O114" s="337"/>
    </row>
    <row r="115" spans="1:25" ht="18" customHeight="1" x14ac:dyDescent="0.2">
      <c r="A115" s="337"/>
      <c r="B115" s="337"/>
      <c r="C115" s="345"/>
      <c r="D115" s="337"/>
      <c r="E115" s="337"/>
      <c r="F115" s="361"/>
      <c r="G115" s="337"/>
      <c r="H115" s="337"/>
      <c r="I115" s="337"/>
      <c r="J115" s="337"/>
      <c r="K115" s="337"/>
      <c r="L115" s="337"/>
      <c r="M115" s="337"/>
      <c r="N115" s="337"/>
      <c r="O115" s="337"/>
    </row>
    <row r="116" spans="1:25" ht="18" customHeight="1" x14ac:dyDescent="0.2">
      <c r="A116" s="337"/>
      <c r="B116" s="337"/>
      <c r="C116" s="581" t="s">
        <v>757</v>
      </c>
      <c r="D116" s="581"/>
      <c r="E116" s="581"/>
      <c r="F116" s="581"/>
      <c r="G116" s="704"/>
      <c r="H116" s="704"/>
      <c r="I116" s="704"/>
      <c r="J116" s="704"/>
      <c r="K116" s="704"/>
      <c r="L116" s="704"/>
      <c r="M116" s="704"/>
      <c r="N116" s="704"/>
      <c r="O116" s="704"/>
      <c r="P116" s="704"/>
      <c r="Q116" s="704"/>
      <c r="R116" s="704"/>
      <c r="S116" s="704"/>
      <c r="T116" s="704"/>
      <c r="U116" s="704"/>
      <c r="V116" s="704"/>
      <c r="W116" s="704"/>
      <c r="X116" s="704"/>
      <c r="Y116" s="704"/>
    </row>
    <row r="117" spans="1:25" ht="18" customHeight="1" x14ac:dyDescent="0.2">
      <c r="A117" s="337"/>
      <c r="B117" s="337"/>
      <c r="D117" s="367"/>
      <c r="F117" s="362" t="s">
        <v>235</v>
      </c>
      <c r="G117" s="536"/>
      <c r="H117" s="537"/>
      <c r="I117" s="537"/>
      <c r="J117" s="537"/>
      <c r="K117" s="537"/>
      <c r="L117" s="537"/>
      <c r="M117" s="537"/>
      <c r="N117" s="537"/>
      <c r="O117" s="537"/>
      <c r="P117" s="537"/>
      <c r="Q117" s="537"/>
      <c r="R117" s="537"/>
      <c r="S117" s="537"/>
      <c r="T117" s="537"/>
      <c r="U117" s="537"/>
      <c r="V117" s="537"/>
      <c r="W117" s="537"/>
      <c r="X117" s="537"/>
      <c r="Y117" s="538"/>
    </row>
    <row r="118" spans="1:25" ht="18" customHeight="1" x14ac:dyDescent="0.2">
      <c r="C118" s="345"/>
      <c r="D118" s="367"/>
    </row>
    <row r="119" spans="1:25" ht="18" customHeight="1" x14ac:dyDescent="0.2">
      <c r="C119" s="345"/>
      <c r="D119" s="367"/>
    </row>
    <row r="120" spans="1:25" ht="18" customHeight="1" x14ac:dyDescent="0.2">
      <c r="A120" s="337"/>
      <c r="B120" s="337"/>
      <c r="C120" s="581" t="s">
        <v>282</v>
      </c>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row>
    <row r="121" spans="1:25" ht="18" customHeight="1" x14ac:dyDescent="0.2">
      <c r="A121" s="337"/>
      <c r="B121" s="337"/>
      <c r="C121" s="354" t="s">
        <v>236</v>
      </c>
      <c r="D121" s="354"/>
      <c r="E121" s="337"/>
      <c r="F121" s="368"/>
      <c r="G121" s="368"/>
      <c r="H121" s="368"/>
      <c r="I121" s="353" t="s">
        <v>21</v>
      </c>
      <c r="J121" s="588"/>
      <c r="K121" s="588"/>
      <c r="P121" s="368"/>
      <c r="Q121" s="368"/>
      <c r="S121" s="353" t="s">
        <v>53</v>
      </c>
      <c r="T121" s="588"/>
      <c r="U121" s="588"/>
      <c r="V121" s="588"/>
      <c r="W121" s="588"/>
    </row>
    <row r="122" spans="1:25" ht="18" customHeight="1" x14ac:dyDescent="0.2">
      <c r="A122" s="337"/>
      <c r="B122" s="337"/>
      <c r="C122" s="354"/>
      <c r="D122" s="354"/>
      <c r="E122" s="337"/>
      <c r="F122" s="367"/>
      <c r="G122" s="367"/>
      <c r="H122" s="367"/>
      <c r="I122" s="369" t="s">
        <v>52</v>
      </c>
      <c r="J122" s="588"/>
      <c r="K122" s="588"/>
      <c r="P122" s="367"/>
      <c r="Q122" s="368"/>
      <c r="S122" s="353" t="s">
        <v>23</v>
      </c>
      <c r="T122" s="588"/>
      <c r="U122" s="588"/>
      <c r="V122" s="588"/>
      <c r="W122" s="588"/>
    </row>
    <row r="123" spans="1:25" ht="18" customHeight="1" x14ac:dyDescent="0.2">
      <c r="A123" s="337"/>
      <c r="B123" s="337"/>
      <c r="C123" s="337"/>
      <c r="D123" s="337"/>
      <c r="E123" s="337"/>
      <c r="F123" s="368"/>
      <c r="G123" s="368"/>
      <c r="H123" s="367"/>
      <c r="I123" s="353" t="s">
        <v>22</v>
      </c>
      <c r="J123" s="588"/>
      <c r="K123" s="588"/>
      <c r="P123" s="367"/>
      <c r="Q123" s="367"/>
    </row>
    <row r="124" spans="1:25" ht="18" customHeight="1" x14ac:dyDescent="0.2">
      <c r="A124" s="337"/>
      <c r="B124" s="337"/>
      <c r="C124" s="345"/>
      <c r="D124" s="337"/>
      <c r="E124" s="337"/>
      <c r="F124" s="337"/>
      <c r="G124" s="337"/>
      <c r="H124" s="337"/>
      <c r="I124" s="337"/>
      <c r="J124" s="337"/>
      <c r="K124" s="337"/>
      <c r="L124" s="337"/>
      <c r="M124" s="337"/>
      <c r="N124" s="337"/>
      <c r="O124" s="337"/>
    </row>
    <row r="125" spans="1:25" ht="18" customHeight="1" x14ac:dyDescent="0.2">
      <c r="A125" s="337"/>
      <c r="B125" s="337"/>
      <c r="C125" s="345"/>
      <c r="D125" s="337"/>
      <c r="E125" s="337"/>
      <c r="F125" s="337"/>
      <c r="G125" s="337"/>
      <c r="H125" s="337"/>
      <c r="I125" s="337"/>
      <c r="J125" s="337"/>
      <c r="K125" s="337"/>
      <c r="L125" s="337"/>
      <c r="M125" s="337"/>
      <c r="N125" s="337"/>
      <c r="O125" s="337"/>
    </row>
    <row r="126" spans="1:25" ht="18" customHeight="1" x14ac:dyDescent="0.2">
      <c r="A126" s="337"/>
      <c r="B126" s="337"/>
      <c r="C126" s="583" t="s">
        <v>283</v>
      </c>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row>
    <row r="127" spans="1:25" ht="18" customHeight="1" x14ac:dyDescent="0.2">
      <c r="A127" s="337"/>
      <c r="B127" s="337"/>
      <c r="C127" s="592"/>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row>
    <row r="128" spans="1:25" ht="18" customHeight="1" x14ac:dyDescent="0.2">
      <c r="A128" s="337"/>
      <c r="B128" s="337"/>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row>
    <row r="129" spans="1:25" ht="18" customHeight="1" x14ac:dyDescent="0.2">
      <c r="C129" s="345"/>
      <c r="D129" s="520"/>
      <c r="E129" s="370"/>
      <c r="F129" s="370"/>
      <c r="G129" s="370"/>
      <c r="H129" s="370"/>
      <c r="I129" s="370"/>
      <c r="J129" s="370"/>
      <c r="K129" s="370"/>
      <c r="L129" s="370"/>
    </row>
    <row r="130" spans="1:25" ht="18" customHeight="1" x14ac:dyDescent="0.2">
      <c r="C130" s="345"/>
      <c r="D130" s="520"/>
      <c r="E130" s="370"/>
      <c r="F130" s="370"/>
      <c r="G130" s="370"/>
      <c r="H130" s="370"/>
      <c r="I130" s="370"/>
      <c r="J130" s="370"/>
      <c r="K130" s="370"/>
      <c r="L130" s="370"/>
    </row>
    <row r="131" spans="1:25" ht="18" customHeight="1" x14ac:dyDescent="0.2">
      <c r="C131" s="581" t="s">
        <v>284</v>
      </c>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row>
    <row r="132" spans="1:25" ht="18" customHeight="1" x14ac:dyDescent="0.2">
      <c r="C132" s="365"/>
      <c r="D132" s="365"/>
      <c r="S132" s="369" t="s">
        <v>237</v>
      </c>
      <c r="T132" s="701"/>
      <c r="U132" s="701"/>
      <c r="V132" s="701"/>
      <c r="W132" s="701"/>
      <c r="X132" s="371"/>
      <c r="Y132" s="372"/>
    </row>
    <row r="133" spans="1:25" ht="18" customHeight="1" x14ac:dyDescent="0.2">
      <c r="C133" s="345"/>
      <c r="D133" s="520"/>
      <c r="E133" s="370"/>
      <c r="F133" s="370"/>
      <c r="G133" s="370"/>
      <c r="H133" s="370"/>
      <c r="I133" s="370"/>
      <c r="J133" s="370"/>
      <c r="K133" s="370"/>
      <c r="L133" s="370"/>
    </row>
    <row r="134" spans="1:25" ht="18" customHeight="1" x14ac:dyDescent="0.2">
      <c r="C134" s="345"/>
      <c r="D134" s="520"/>
      <c r="E134" s="370"/>
      <c r="F134" s="370"/>
      <c r="G134" s="370"/>
      <c r="H134" s="370"/>
      <c r="I134" s="370"/>
      <c r="J134" s="370"/>
      <c r="K134" s="370"/>
      <c r="L134" s="370"/>
    </row>
    <row r="135" spans="1:25" ht="33.75" customHeight="1" x14ac:dyDescent="0.2">
      <c r="A135" s="337"/>
      <c r="B135" s="337"/>
      <c r="C135" s="341" t="s">
        <v>403</v>
      </c>
      <c r="D135" s="695" t="s">
        <v>44</v>
      </c>
      <c r="E135" s="696"/>
      <c r="F135" s="696"/>
      <c r="G135" s="696"/>
      <c r="H135" s="696"/>
      <c r="I135" s="696"/>
      <c r="J135" s="696"/>
      <c r="K135" s="696"/>
      <c r="L135" s="696"/>
      <c r="M135" s="696"/>
      <c r="N135" s="696"/>
      <c r="O135" s="696"/>
      <c r="P135" s="696"/>
      <c r="Q135" s="696"/>
      <c r="R135" s="696"/>
      <c r="S135" s="696"/>
      <c r="T135" s="696"/>
      <c r="U135" s="696"/>
      <c r="V135" s="696"/>
      <c r="W135" s="696"/>
      <c r="X135" s="696"/>
      <c r="Y135" s="697"/>
    </row>
    <row r="136" spans="1:25" ht="18" customHeight="1" x14ac:dyDescent="0.2">
      <c r="A136" s="337"/>
      <c r="B136" s="337"/>
      <c r="C136" s="517"/>
      <c r="D136" s="517"/>
      <c r="E136" s="517"/>
      <c r="F136" s="517"/>
      <c r="G136" s="517"/>
      <c r="H136" s="517"/>
      <c r="I136" s="517"/>
      <c r="J136" s="517"/>
      <c r="K136" s="517"/>
      <c r="L136" s="517"/>
      <c r="M136" s="517"/>
      <c r="N136" s="517"/>
      <c r="O136" s="517"/>
      <c r="P136" s="517"/>
      <c r="Q136" s="517"/>
      <c r="R136" s="517"/>
      <c r="S136" s="517"/>
      <c r="T136" s="517"/>
      <c r="U136" s="517"/>
      <c r="V136" s="517"/>
      <c r="W136" s="517"/>
      <c r="X136" s="517"/>
      <c r="Y136" s="517"/>
    </row>
    <row r="137" spans="1:25" ht="18" customHeight="1" x14ac:dyDescent="0.2">
      <c r="A137" s="337"/>
      <c r="B137" s="337"/>
      <c r="C137" s="583" t="s">
        <v>364</v>
      </c>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row>
    <row r="138" spans="1:25" ht="18" customHeight="1" x14ac:dyDescent="0.2">
      <c r="A138" s="337"/>
      <c r="B138" s="337"/>
      <c r="C138" s="592"/>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row>
    <row r="139" spans="1:25" ht="18" customHeight="1" thickBot="1" x14ac:dyDescent="0.25">
      <c r="A139" s="337"/>
      <c r="B139" s="337"/>
      <c r="C139" s="373"/>
      <c r="D139" s="373"/>
      <c r="E139" s="374"/>
      <c r="F139" s="374"/>
      <c r="G139" s="374"/>
      <c r="H139" s="374"/>
      <c r="I139" s="374"/>
      <c r="J139" s="374"/>
      <c r="K139" s="373"/>
      <c r="L139" s="373"/>
      <c r="M139" s="374"/>
      <c r="N139" s="374"/>
      <c r="O139" s="374"/>
      <c r="P139" s="374"/>
      <c r="Q139" s="374"/>
      <c r="R139" s="374"/>
      <c r="S139" s="362" t="s">
        <v>238</v>
      </c>
      <c r="T139" s="702"/>
      <c r="U139" s="702"/>
      <c r="V139" s="702"/>
      <c r="W139" s="702"/>
      <c r="X139" s="703"/>
      <c r="Y139" s="703"/>
    </row>
    <row r="140" spans="1:25" ht="18" customHeight="1" thickBot="1" x14ac:dyDescent="0.25">
      <c r="A140" s="337"/>
      <c r="B140" s="337"/>
      <c r="C140" s="345"/>
      <c r="D140" s="517"/>
      <c r="E140" s="517"/>
      <c r="F140" s="517"/>
      <c r="G140" s="517"/>
      <c r="H140" s="517"/>
      <c r="I140" s="517"/>
      <c r="J140" s="517"/>
      <c r="K140" s="517"/>
      <c r="L140" s="517"/>
      <c r="M140" s="517"/>
      <c r="N140" s="517"/>
      <c r="O140" s="517"/>
      <c r="P140" s="517"/>
      <c r="Q140" s="517"/>
      <c r="R140" s="517"/>
      <c r="S140" s="517"/>
      <c r="T140" s="375"/>
      <c r="U140" s="376"/>
      <c r="V140" s="376"/>
      <c r="W140" s="377" t="str">
        <f>CONCATENATE(IF($T$139="","",IF($T$139&gt;8,"Le rang de Strahler maximal est de 8 dans la BD CARTHAGE","")),IF(AND(OR($J$121="X",$J$122="X"),$T$139=""),"Site alluvial ou riverain des étendues d'eau, renseignez un rang de Strahler.",""))</f>
        <v/>
      </c>
      <c r="X140" s="517"/>
      <c r="Y140" s="517"/>
    </row>
    <row r="141" spans="1:25" ht="18" customHeight="1" x14ac:dyDescent="0.2">
      <c r="A141" s="337"/>
      <c r="B141" s="337"/>
      <c r="C141" s="345"/>
      <c r="D141" s="517"/>
      <c r="E141" s="517"/>
      <c r="F141" s="517"/>
      <c r="G141" s="517"/>
      <c r="H141" s="517"/>
      <c r="I141" s="517"/>
      <c r="J141" s="517"/>
      <c r="K141" s="517"/>
      <c r="L141" s="517"/>
      <c r="M141" s="517"/>
      <c r="N141" s="517"/>
      <c r="O141" s="517"/>
      <c r="P141" s="517"/>
      <c r="Q141" s="517"/>
      <c r="R141" s="517"/>
      <c r="S141" s="517"/>
      <c r="T141" s="517"/>
      <c r="U141" s="517"/>
      <c r="V141" s="517"/>
      <c r="W141" s="378"/>
      <c r="X141" s="517"/>
      <c r="Y141" s="517"/>
    </row>
    <row r="142" spans="1:25" ht="18" customHeight="1" x14ac:dyDescent="0.2">
      <c r="A142" s="337"/>
      <c r="B142" s="337"/>
      <c r="C142" s="581" t="s">
        <v>777</v>
      </c>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row>
    <row r="143" spans="1:25" ht="18" customHeight="1" x14ac:dyDescent="0.2">
      <c r="A143" s="337"/>
      <c r="B143" s="337"/>
      <c r="C143" s="684" t="s">
        <v>365</v>
      </c>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row>
    <row r="144" spans="1:25" ht="18" customHeight="1" x14ac:dyDescent="0.2">
      <c r="A144" s="337"/>
      <c r="B144" s="337"/>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row>
    <row r="145" spans="1:25" ht="18" customHeight="1" x14ac:dyDescent="0.2">
      <c r="A145" s="337"/>
      <c r="B145" s="337"/>
      <c r="C145" s="686"/>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8"/>
    </row>
    <row r="146" spans="1:25" ht="18" customHeight="1" x14ac:dyDescent="0.2">
      <c r="A146" s="337"/>
      <c r="B146" s="337"/>
      <c r="C146" s="689"/>
      <c r="D146" s="690"/>
      <c r="E146" s="690"/>
      <c r="F146" s="690"/>
      <c r="G146" s="690"/>
      <c r="H146" s="690"/>
      <c r="I146" s="690"/>
      <c r="J146" s="690"/>
      <c r="K146" s="690"/>
      <c r="L146" s="690"/>
      <c r="M146" s="690"/>
      <c r="N146" s="690"/>
      <c r="O146" s="690"/>
      <c r="P146" s="690"/>
      <c r="Q146" s="690"/>
      <c r="R146" s="690"/>
      <c r="S146" s="690"/>
      <c r="T146" s="690"/>
      <c r="U146" s="690"/>
      <c r="V146" s="690"/>
      <c r="W146" s="690"/>
      <c r="X146" s="690"/>
      <c r="Y146" s="691"/>
    </row>
    <row r="147" spans="1:25" ht="18" customHeight="1" x14ac:dyDescent="0.2">
      <c r="A147" s="337"/>
      <c r="B147" s="337"/>
      <c r="C147" s="689"/>
      <c r="D147" s="690"/>
      <c r="E147" s="690"/>
      <c r="F147" s="690"/>
      <c r="G147" s="690"/>
      <c r="H147" s="690"/>
      <c r="I147" s="690"/>
      <c r="J147" s="690"/>
      <c r="K147" s="690"/>
      <c r="L147" s="690"/>
      <c r="M147" s="690"/>
      <c r="N147" s="690"/>
      <c r="O147" s="690"/>
      <c r="P147" s="690"/>
      <c r="Q147" s="690"/>
      <c r="R147" s="690"/>
      <c r="S147" s="690"/>
      <c r="T147" s="690"/>
      <c r="U147" s="690"/>
      <c r="V147" s="690"/>
      <c r="W147" s="690"/>
      <c r="X147" s="690"/>
      <c r="Y147" s="691"/>
    </row>
    <row r="148" spans="1:25" ht="18" customHeight="1" x14ac:dyDescent="0.2">
      <c r="A148" s="337"/>
      <c r="B148" s="337"/>
      <c r="C148" s="689"/>
      <c r="D148" s="690"/>
      <c r="E148" s="690"/>
      <c r="F148" s="690"/>
      <c r="G148" s="690"/>
      <c r="H148" s="690"/>
      <c r="I148" s="690"/>
      <c r="J148" s="690"/>
      <c r="K148" s="690"/>
      <c r="L148" s="690"/>
      <c r="M148" s="690"/>
      <c r="N148" s="690"/>
      <c r="O148" s="690"/>
      <c r="P148" s="690"/>
      <c r="Q148" s="690"/>
      <c r="R148" s="690"/>
      <c r="S148" s="690"/>
      <c r="T148" s="690"/>
      <c r="U148" s="690"/>
      <c r="V148" s="690"/>
      <c r="W148" s="690"/>
      <c r="X148" s="690"/>
      <c r="Y148" s="691"/>
    </row>
    <row r="149" spans="1:25" ht="18" customHeight="1" x14ac:dyDescent="0.2">
      <c r="A149" s="337"/>
      <c r="B149" s="337"/>
      <c r="C149" s="689"/>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1"/>
    </row>
    <row r="150" spans="1:25" ht="18" customHeight="1" x14ac:dyDescent="0.2">
      <c r="A150" s="337"/>
      <c r="B150" s="337"/>
      <c r="C150" s="689"/>
      <c r="D150" s="690"/>
      <c r="E150" s="690"/>
      <c r="F150" s="690"/>
      <c r="G150" s="690"/>
      <c r="H150" s="690"/>
      <c r="I150" s="690"/>
      <c r="J150" s="690"/>
      <c r="K150" s="690"/>
      <c r="L150" s="690"/>
      <c r="M150" s="690"/>
      <c r="N150" s="690"/>
      <c r="O150" s="690"/>
      <c r="P150" s="690"/>
      <c r="Q150" s="690"/>
      <c r="R150" s="690"/>
      <c r="S150" s="690"/>
      <c r="T150" s="690"/>
      <c r="U150" s="690"/>
      <c r="V150" s="690"/>
      <c r="W150" s="690"/>
      <c r="X150" s="690"/>
      <c r="Y150" s="691"/>
    </row>
    <row r="151" spans="1:25" ht="18" customHeight="1" x14ac:dyDescent="0.2">
      <c r="A151" s="337"/>
      <c r="B151" s="337"/>
      <c r="C151" s="689"/>
      <c r="D151" s="690"/>
      <c r="E151" s="690"/>
      <c r="F151" s="690"/>
      <c r="G151" s="690"/>
      <c r="H151" s="690"/>
      <c r="I151" s="690"/>
      <c r="J151" s="690"/>
      <c r="K151" s="690"/>
      <c r="L151" s="690"/>
      <c r="M151" s="690"/>
      <c r="N151" s="690"/>
      <c r="O151" s="690"/>
      <c r="P151" s="690"/>
      <c r="Q151" s="690"/>
      <c r="R151" s="690"/>
      <c r="S151" s="690"/>
      <c r="T151" s="690"/>
      <c r="U151" s="690"/>
      <c r="V151" s="690"/>
      <c r="W151" s="690"/>
      <c r="X151" s="690"/>
      <c r="Y151" s="691"/>
    </row>
    <row r="152" spans="1:25" ht="18" customHeight="1" x14ac:dyDescent="0.2">
      <c r="A152" s="337"/>
      <c r="B152" s="337"/>
      <c r="C152" s="689"/>
      <c r="D152" s="690"/>
      <c r="E152" s="690"/>
      <c r="F152" s="690"/>
      <c r="G152" s="690"/>
      <c r="H152" s="690"/>
      <c r="I152" s="690"/>
      <c r="J152" s="690"/>
      <c r="K152" s="690"/>
      <c r="L152" s="690"/>
      <c r="M152" s="690"/>
      <c r="N152" s="690"/>
      <c r="O152" s="690"/>
      <c r="P152" s="690"/>
      <c r="Q152" s="690"/>
      <c r="R152" s="690"/>
      <c r="S152" s="690"/>
      <c r="T152" s="690"/>
      <c r="U152" s="690"/>
      <c r="V152" s="690"/>
      <c r="W152" s="690"/>
      <c r="X152" s="690"/>
      <c r="Y152" s="691"/>
    </row>
    <row r="153" spans="1:25" ht="18" customHeight="1" x14ac:dyDescent="0.2">
      <c r="A153" s="337"/>
      <c r="B153" s="337"/>
      <c r="C153" s="689"/>
      <c r="D153" s="690"/>
      <c r="E153" s="690"/>
      <c r="F153" s="690"/>
      <c r="G153" s="690"/>
      <c r="H153" s="690"/>
      <c r="I153" s="690"/>
      <c r="J153" s="690"/>
      <c r="K153" s="690"/>
      <c r="L153" s="690"/>
      <c r="M153" s="690"/>
      <c r="N153" s="690"/>
      <c r="O153" s="690"/>
      <c r="P153" s="690"/>
      <c r="Q153" s="690"/>
      <c r="R153" s="690"/>
      <c r="S153" s="690"/>
      <c r="T153" s="690"/>
      <c r="U153" s="690"/>
      <c r="V153" s="690"/>
      <c r="W153" s="690"/>
      <c r="X153" s="690"/>
      <c r="Y153" s="691"/>
    </row>
    <row r="154" spans="1:25" ht="18" customHeight="1" x14ac:dyDescent="0.2">
      <c r="A154" s="337"/>
      <c r="B154" s="337"/>
      <c r="C154" s="689"/>
      <c r="D154" s="690"/>
      <c r="E154" s="690"/>
      <c r="F154" s="690"/>
      <c r="G154" s="690"/>
      <c r="H154" s="690"/>
      <c r="I154" s="690"/>
      <c r="J154" s="690"/>
      <c r="K154" s="690"/>
      <c r="L154" s="690"/>
      <c r="M154" s="690"/>
      <c r="N154" s="690"/>
      <c r="O154" s="690"/>
      <c r="P154" s="690"/>
      <c r="Q154" s="690"/>
      <c r="R154" s="690"/>
      <c r="S154" s="690"/>
      <c r="T154" s="690"/>
      <c r="U154" s="690"/>
      <c r="V154" s="690"/>
      <c r="W154" s="690"/>
      <c r="X154" s="690"/>
      <c r="Y154" s="691"/>
    </row>
    <row r="155" spans="1:25" ht="18" customHeight="1" x14ac:dyDescent="0.2">
      <c r="A155" s="337"/>
      <c r="B155" s="337"/>
      <c r="C155" s="689"/>
      <c r="D155" s="690"/>
      <c r="E155" s="690"/>
      <c r="F155" s="690"/>
      <c r="G155" s="690"/>
      <c r="H155" s="690"/>
      <c r="I155" s="690"/>
      <c r="J155" s="690"/>
      <c r="K155" s="690"/>
      <c r="L155" s="690"/>
      <c r="M155" s="690"/>
      <c r="N155" s="690"/>
      <c r="O155" s="690"/>
      <c r="P155" s="690"/>
      <c r="Q155" s="690"/>
      <c r="R155" s="690"/>
      <c r="S155" s="690"/>
      <c r="T155" s="690"/>
      <c r="U155" s="690"/>
      <c r="V155" s="690"/>
      <c r="W155" s="690"/>
      <c r="X155" s="690"/>
      <c r="Y155" s="691"/>
    </row>
    <row r="156" spans="1:25" ht="18" customHeight="1" x14ac:dyDescent="0.2">
      <c r="A156" s="337"/>
      <c r="B156" s="337"/>
      <c r="C156" s="689"/>
      <c r="D156" s="690"/>
      <c r="E156" s="690"/>
      <c r="F156" s="690"/>
      <c r="G156" s="690"/>
      <c r="H156" s="690"/>
      <c r="I156" s="690"/>
      <c r="J156" s="690"/>
      <c r="K156" s="690"/>
      <c r="L156" s="690"/>
      <c r="M156" s="690"/>
      <c r="N156" s="690"/>
      <c r="O156" s="690"/>
      <c r="P156" s="690"/>
      <c r="Q156" s="690"/>
      <c r="R156" s="690"/>
      <c r="S156" s="690"/>
      <c r="T156" s="690"/>
      <c r="U156" s="690"/>
      <c r="V156" s="690"/>
      <c r="W156" s="690"/>
      <c r="X156" s="690"/>
      <c r="Y156" s="691"/>
    </row>
    <row r="157" spans="1:25" ht="18" customHeight="1" x14ac:dyDescent="0.2">
      <c r="A157" s="337"/>
      <c r="B157" s="337"/>
      <c r="C157" s="689"/>
      <c r="D157" s="690"/>
      <c r="E157" s="690"/>
      <c r="F157" s="690"/>
      <c r="G157" s="690"/>
      <c r="H157" s="690"/>
      <c r="I157" s="690"/>
      <c r="J157" s="690"/>
      <c r="K157" s="690"/>
      <c r="L157" s="690"/>
      <c r="M157" s="690"/>
      <c r="N157" s="690"/>
      <c r="O157" s="690"/>
      <c r="P157" s="690"/>
      <c r="Q157" s="690"/>
      <c r="R157" s="690"/>
      <c r="S157" s="690"/>
      <c r="T157" s="690"/>
      <c r="U157" s="690"/>
      <c r="V157" s="690"/>
      <c r="W157" s="690"/>
      <c r="X157" s="690"/>
      <c r="Y157" s="691"/>
    </row>
    <row r="158" spans="1:25" ht="18" customHeight="1" x14ac:dyDescent="0.2">
      <c r="A158" s="337"/>
      <c r="B158" s="337"/>
      <c r="C158" s="689"/>
      <c r="D158" s="690"/>
      <c r="E158" s="690"/>
      <c r="F158" s="690"/>
      <c r="G158" s="690"/>
      <c r="H158" s="690"/>
      <c r="I158" s="690"/>
      <c r="J158" s="690"/>
      <c r="K158" s="690"/>
      <c r="L158" s="690"/>
      <c r="M158" s="690"/>
      <c r="N158" s="690"/>
      <c r="O158" s="690"/>
      <c r="P158" s="690"/>
      <c r="Q158" s="690"/>
      <c r="R158" s="690"/>
      <c r="S158" s="690"/>
      <c r="T158" s="690"/>
      <c r="U158" s="690"/>
      <c r="V158" s="690"/>
      <c r="W158" s="690"/>
      <c r="X158" s="690"/>
      <c r="Y158" s="691"/>
    </row>
    <row r="159" spans="1:25" ht="18" customHeight="1" x14ac:dyDescent="0.2">
      <c r="A159" s="337"/>
      <c r="B159" s="337"/>
      <c r="C159" s="689"/>
      <c r="D159" s="690"/>
      <c r="E159" s="690"/>
      <c r="F159" s="690"/>
      <c r="G159" s="690"/>
      <c r="H159" s="690"/>
      <c r="I159" s="690"/>
      <c r="J159" s="690"/>
      <c r="K159" s="690"/>
      <c r="L159" s="690"/>
      <c r="M159" s="690"/>
      <c r="N159" s="690"/>
      <c r="O159" s="690"/>
      <c r="P159" s="690"/>
      <c r="Q159" s="690"/>
      <c r="R159" s="690"/>
      <c r="S159" s="690"/>
      <c r="T159" s="690"/>
      <c r="U159" s="690"/>
      <c r="V159" s="690"/>
      <c r="W159" s="690"/>
      <c r="X159" s="690"/>
      <c r="Y159" s="691"/>
    </row>
    <row r="160" spans="1:25" ht="18" customHeight="1" x14ac:dyDescent="0.2">
      <c r="A160" s="337"/>
      <c r="B160" s="337"/>
      <c r="C160" s="689"/>
      <c r="D160" s="690"/>
      <c r="E160" s="690"/>
      <c r="F160" s="690"/>
      <c r="G160" s="690"/>
      <c r="H160" s="690"/>
      <c r="I160" s="690"/>
      <c r="J160" s="690"/>
      <c r="K160" s="690"/>
      <c r="L160" s="690"/>
      <c r="M160" s="690"/>
      <c r="N160" s="690"/>
      <c r="O160" s="690"/>
      <c r="P160" s="690"/>
      <c r="Q160" s="690"/>
      <c r="R160" s="690"/>
      <c r="S160" s="690"/>
      <c r="T160" s="690"/>
      <c r="U160" s="690"/>
      <c r="V160" s="690"/>
      <c r="W160" s="690"/>
      <c r="X160" s="690"/>
      <c r="Y160" s="691"/>
    </row>
    <row r="161" spans="1:25" ht="18" customHeight="1" x14ac:dyDescent="0.2">
      <c r="A161" s="337"/>
      <c r="B161" s="337"/>
      <c r="C161" s="689"/>
      <c r="D161" s="690"/>
      <c r="E161" s="690"/>
      <c r="F161" s="690"/>
      <c r="G161" s="690"/>
      <c r="H161" s="690"/>
      <c r="I161" s="690"/>
      <c r="J161" s="690"/>
      <c r="K161" s="690"/>
      <c r="L161" s="690"/>
      <c r="M161" s="690"/>
      <c r="N161" s="690"/>
      <c r="O161" s="690"/>
      <c r="P161" s="690"/>
      <c r="Q161" s="690"/>
      <c r="R161" s="690"/>
      <c r="S161" s="690"/>
      <c r="T161" s="690"/>
      <c r="U161" s="690"/>
      <c r="V161" s="690"/>
      <c r="W161" s="690"/>
      <c r="X161" s="690"/>
      <c r="Y161" s="691"/>
    </row>
    <row r="162" spans="1:25" ht="18" customHeight="1" x14ac:dyDescent="0.2">
      <c r="A162" s="337"/>
      <c r="B162" s="337"/>
      <c r="C162" s="689"/>
      <c r="D162" s="690"/>
      <c r="E162" s="690"/>
      <c r="F162" s="690"/>
      <c r="G162" s="690"/>
      <c r="H162" s="690"/>
      <c r="I162" s="690"/>
      <c r="J162" s="690"/>
      <c r="K162" s="690"/>
      <c r="L162" s="690"/>
      <c r="M162" s="690"/>
      <c r="N162" s="690"/>
      <c r="O162" s="690"/>
      <c r="P162" s="690"/>
      <c r="Q162" s="690"/>
      <c r="R162" s="690"/>
      <c r="S162" s="690"/>
      <c r="T162" s="690"/>
      <c r="U162" s="690"/>
      <c r="V162" s="690"/>
      <c r="W162" s="690"/>
      <c r="X162" s="690"/>
      <c r="Y162" s="691"/>
    </row>
    <row r="163" spans="1:25" ht="18" customHeight="1" x14ac:dyDescent="0.2">
      <c r="A163" s="337"/>
      <c r="B163" s="337"/>
      <c r="C163" s="689"/>
      <c r="D163" s="690"/>
      <c r="E163" s="690"/>
      <c r="F163" s="690"/>
      <c r="G163" s="690"/>
      <c r="H163" s="690"/>
      <c r="I163" s="690"/>
      <c r="J163" s="690"/>
      <c r="K163" s="690"/>
      <c r="L163" s="690"/>
      <c r="M163" s="690"/>
      <c r="N163" s="690"/>
      <c r="O163" s="690"/>
      <c r="P163" s="690"/>
      <c r="Q163" s="690"/>
      <c r="R163" s="690"/>
      <c r="S163" s="690"/>
      <c r="T163" s="690"/>
      <c r="U163" s="690"/>
      <c r="V163" s="690"/>
      <c r="W163" s="690"/>
      <c r="X163" s="690"/>
      <c r="Y163" s="691"/>
    </row>
    <row r="164" spans="1:25" ht="18" customHeight="1" x14ac:dyDescent="0.2">
      <c r="A164" s="337"/>
      <c r="B164" s="337"/>
      <c r="C164" s="689"/>
      <c r="D164" s="690"/>
      <c r="E164" s="690"/>
      <c r="F164" s="690"/>
      <c r="G164" s="690"/>
      <c r="H164" s="690"/>
      <c r="I164" s="690"/>
      <c r="J164" s="690"/>
      <c r="K164" s="690"/>
      <c r="L164" s="690"/>
      <c r="M164" s="690"/>
      <c r="N164" s="690"/>
      <c r="O164" s="690"/>
      <c r="P164" s="690"/>
      <c r="Q164" s="690"/>
      <c r="R164" s="690"/>
      <c r="S164" s="690"/>
      <c r="T164" s="690"/>
      <c r="U164" s="690"/>
      <c r="V164" s="690"/>
      <c r="W164" s="690"/>
      <c r="X164" s="690"/>
      <c r="Y164" s="691"/>
    </row>
    <row r="165" spans="1:25" ht="18" customHeight="1" x14ac:dyDescent="0.2">
      <c r="A165" s="337"/>
      <c r="B165" s="337"/>
      <c r="C165" s="689"/>
      <c r="D165" s="690"/>
      <c r="E165" s="690"/>
      <c r="F165" s="690"/>
      <c r="G165" s="690"/>
      <c r="H165" s="690"/>
      <c r="I165" s="690"/>
      <c r="J165" s="690"/>
      <c r="K165" s="690"/>
      <c r="L165" s="690"/>
      <c r="M165" s="690"/>
      <c r="N165" s="690"/>
      <c r="O165" s="690"/>
      <c r="P165" s="690"/>
      <c r="Q165" s="690"/>
      <c r="R165" s="690"/>
      <c r="S165" s="690"/>
      <c r="T165" s="690"/>
      <c r="U165" s="690"/>
      <c r="V165" s="690"/>
      <c r="W165" s="690"/>
      <c r="X165" s="690"/>
      <c r="Y165" s="691"/>
    </row>
    <row r="166" spans="1:25" ht="18" customHeight="1" x14ac:dyDescent="0.2">
      <c r="A166" s="337"/>
      <c r="B166" s="337"/>
      <c r="C166" s="689"/>
      <c r="D166" s="690"/>
      <c r="E166" s="690"/>
      <c r="F166" s="690"/>
      <c r="G166" s="690"/>
      <c r="H166" s="690"/>
      <c r="I166" s="690"/>
      <c r="J166" s="690"/>
      <c r="K166" s="690"/>
      <c r="L166" s="690"/>
      <c r="M166" s="690"/>
      <c r="N166" s="690"/>
      <c r="O166" s="690"/>
      <c r="P166" s="690"/>
      <c r="Q166" s="690"/>
      <c r="R166" s="690"/>
      <c r="S166" s="690"/>
      <c r="T166" s="690"/>
      <c r="U166" s="690"/>
      <c r="V166" s="690"/>
      <c r="W166" s="690"/>
      <c r="X166" s="690"/>
      <c r="Y166" s="691"/>
    </row>
    <row r="167" spans="1:25" ht="18" customHeight="1" x14ac:dyDescent="0.2">
      <c r="A167" s="337"/>
      <c r="B167" s="337"/>
      <c r="C167" s="689"/>
      <c r="D167" s="690"/>
      <c r="E167" s="690"/>
      <c r="F167" s="690"/>
      <c r="G167" s="690"/>
      <c r="H167" s="690"/>
      <c r="I167" s="690"/>
      <c r="J167" s="690"/>
      <c r="K167" s="690"/>
      <c r="L167" s="690"/>
      <c r="M167" s="690"/>
      <c r="N167" s="690"/>
      <c r="O167" s="690"/>
      <c r="P167" s="690"/>
      <c r="Q167" s="690"/>
      <c r="R167" s="690"/>
      <c r="S167" s="690"/>
      <c r="T167" s="690"/>
      <c r="U167" s="690"/>
      <c r="V167" s="690"/>
      <c r="W167" s="690"/>
      <c r="X167" s="690"/>
      <c r="Y167" s="691"/>
    </row>
    <row r="168" spans="1:25" ht="18" customHeight="1" x14ac:dyDescent="0.2">
      <c r="A168" s="337"/>
      <c r="B168" s="337"/>
      <c r="C168" s="689"/>
      <c r="D168" s="690"/>
      <c r="E168" s="690"/>
      <c r="F168" s="690"/>
      <c r="G168" s="690"/>
      <c r="H168" s="690"/>
      <c r="I168" s="690"/>
      <c r="J168" s="690"/>
      <c r="K168" s="690"/>
      <c r="L168" s="690"/>
      <c r="M168" s="690"/>
      <c r="N168" s="690"/>
      <c r="O168" s="690"/>
      <c r="P168" s="690"/>
      <c r="Q168" s="690"/>
      <c r="R168" s="690"/>
      <c r="S168" s="690"/>
      <c r="T168" s="690"/>
      <c r="U168" s="690"/>
      <c r="V168" s="690"/>
      <c r="W168" s="690"/>
      <c r="X168" s="690"/>
      <c r="Y168" s="691"/>
    </row>
    <row r="169" spans="1:25" ht="18" customHeight="1" x14ac:dyDescent="0.2">
      <c r="A169" s="337"/>
      <c r="B169" s="337"/>
      <c r="C169" s="689"/>
      <c r="D169" s="690"/>
      <c r="E169" s="690"/>
      <c r="F169" s="690"/>
      <c r="G169" s="690"/>
      <c r="H169" s="690"/>
      <c r="I169" s="690"/>
      <c r="J169" s="690"/>
      <c r="K169" s="690"/>
      <c r="L169" s="690"/>
      <c r="M169" s="690"/>
      <c r="N169" s="690"/>
      <c r="O169" s="690"/>
      <c r="P169" s="690"/>
      <c r="Q169" s="690"/>
      <c r="R169" s="690"/>
      <c r="S169" s="690"/>
      <c r="T169" s="690"/>
      <c r="U169" s="690"/>
      <c r="V169" s="690"/>
      <c r="W169" s="690"/>
      <c r="X169" s="690"/>
      <c r="Y169" s="691"/>
    </row>
    <row r="170" spans="1:25" ht="18" customHeight="1" x14ac:dyDescent="0.2">
      <c r="A170" s="337"/>
      <c r="B170" s="337"/>
      <c r="C170" s="689"/>
      <c r="D170" s="690"/>
      <c r="E170" s="690"/>
      <c r="F170" s="690"/>
      <c r="G170" s="690"/>
      <c r="H170" s="690"/>
      <c r="I170" s="690"/>
      <c r="J170" s="690"/>
      <c r="K170" s="690"/>
      <c r="L170" s="690"/>
      <c r="M170" s="690"/>
      <c r="N170" s="690"/>
      <c r="O170" s="690"/>
      <c r="P170" s="690"/>
      <c r="Q170" s="690"/>
      <c r="R170" s="690"/>
      <c r="S170" s="690"/>
      <c r="T170" s="690"/>
      <c r="U170" s="690"/>
      <c r="V170" s="690"/>
      <c r="W170" s="690"/>
      <c r="X170" s="690"/>
      <c r="Y170" s="691"/>
    </row>
    <row r="171" spans="1:25" ht="18" customHeight="1" x14ac:dyDescent="0.2">
      <c r="A171" s="337"/>
      <c r="B171" s="337"/>
      <c r="C171" s="689"/>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1"/>
    </row>
    <row r="172" spans="1:25" ht="18" customHeight="1" x14ac:dyDescent="0.2">
      <c r="A172" s="337"/>
      <c r="B172" s="337"/>
      <c r="C172" s="689"/>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1"/>
    </row>
    <row r="173" spans="1:25" ht="18" customHeight="1" x14ac:dyDescent="0.2">
      <c r="A173" s="337"/>
      <c r="B173" s="337"/>
      <c r="C173" s="689"/>
      <c r="D173" s="690"/>
      <c r="E173" s="690"/>
      <c r="F173" s="690"/>
      <c r="G173" s="690"/>
      <c r="H173" s="690"/>
      <c r="I173" s="690"/>
      <c r="J173" s="690"/>
      <c r="K173" s="690"/>
      <c r="L173" s="690"/>
      <c r="M173" s="690"/>
      <c r="N173" s="690"/>
      <c r="O173" s="690"/>
      <c r="P173" s="690"/>
      <c r="Q173" s="690"/>
      <c r="R173" s="690"/>
      <c r="S173" s="690"/>
      <c r="T173" s="690"/>
      <c r="U173" s="690"/>
      <c r="V173" s="690"/>
      <c r="W173" s="690"/>
      <c r="X173" s="690"/>
      <c r="Y173" s="691"/>
    </row>
    <row r="174" spans="1:25" ht="18" customHeight="1" x14ac:dyDescent="0.2">
      <c r="A174" s="337"/>
      <c r="B174" s="337"/>
      <c r="C174" s="689"/>
      <c r="D174" s="690"/>
      <c r="E174" s="690"/>
      <c r="F174" s="690"/>
      <c r="G174" s="690"/>
      <c r="H174" s="690"/>
      <c r="I174" s="690"/>
      <c r="J174" s="690"/>
      <c r="K174" s="690"/>
      <c r="L174" s="690"/>
      <c r="M174" s="690"/>
      <c r="N174" s="690"/>
      <c r="O174" s="690"/>
      <c r="P174" s="690"/>
      <c r="Q174" s="690"/>
      <c r="R174" s="690"/>
      <c r="S174" s="690"/>
      <c r="T174" s="690"/>
      <c r="U174" s="690"/>
      <c r="V174" s="690"/>
      <c r="W174" s="690"/>
      <c r="X174" s="690"/>
      <c r="Y174" s="691"/>
    </row>
    <row r="175" spans="1:25" ht="18" customHeight="1" x14ac:dyDescent="0.2">
      <c r="A175" s="337"/>
      <c r="B175" s="337"/>
      <c r="C175" s="689"/>
      <c r="D175" s="690"/>
      <c r="E175" s="690"/>
      <c r="F175" s="690"/>
      <c r="G175" s="690"/>
      <c r="H175" s="690"/>
      <c r="I175" s="690"/>
      <c r="J175" s="690"/>
      <c r="K175" s="690"/>
      <c r="L175" s="690"/>
      <c r="M175" s="690"/>
      <c r="N175" s="690"/>
      <c r="O175" s="690"/>
      <c r="P175" s="690"/>
      <c r="Q175" s="690"/>
      <c r="R175" s="690"/>
      <c r="S175" s="690"/>
      <c r="T175" s="690"/>
      <c r="U175" s="690"/>
      <c r="V175" s="690"/>
      <c r="W175" s="690"/>
      <c r="X175" s="690"/>
      <c r="Y175" s="691"/>
    </row>
    <row r="176" spans="1:25" ht="18" customHeight="1" x14ac:dyDescent="0.2">
      <c r="A176" s="337"/>
      <c r="B176" s="337"/>
      <c r="C176" s="689"/>
      <c r="D176" s="690"/>
      <c r="E176" s="690"/>
      <c r="F176" s="690"/>
      <c r="G176" s="690"/>
      <c r="H176" s="690"/>
      <c r="I176" s="690"/>
      <c r="J176" s="690"/>
      <c r="K176" s="690"/>
      <c r="L176" s="690"/>
      <c r="M176" s="690"/>
      <c r="N176" s="690"/>
      <c r="O176" s="690"/>
      <c r="P176" s="690"/>
      <c r="Q176" s="690"/>
      <c r="R176" s="690"/>
      <c r="S176" s="690"/>
      <c r="T176" s="690"/>
      <c r="U176" s="690"/>
      <c r="V176" s="690"/>
      <c r="W176" s="690"/>
      <c r="X176" s="690"/>
      <c r="Y176" s="691"/>
    </row>
    <row r="177" spans="1:25" ht="18" customHeight="1" x14ac:dyDescent="0.2">
      <c r="A177" s="337"/>
      <c r="B177" s="337"/>
      <c r="C177" s="689"/>
      <c r="D177" s="690"/>
      <c r="E177" s="690"/>
      <c r="F177" s="690"/>
      <c r="G177" s="690"/>
      <c r="H177" s="690"/>
      <c r="I177" s="690"/>
      <c r="J177" s="690"/>
      <c r="K177" s="690"/>
      <c r="L177" s="690"/>
      <c r="M177" s="690"/>
      <c r="N177" s="690"/>
      <c r="O177" s="690"/>
      <c r="P177" s="690"/>
      <c r="Q177" s="690"/>
      <c r="R177" s="690"/>
      <c r="S177" s="690"/>
      <c r="T177" s="690"/>
      <c r="U177" s="690"/>
      <c r="V177" s="690"/>
      <c r="W177" s="690"/>
      <c r="X177" s="690"/>
      <c r="Y177" s="691"/>
    </row>
    <row r="178" spans="1:25" ht="18" customHeight="1" x14ac:dyDescent="0.2">
      <c r="A178" s="337"/>
      <c r="B178" s="337"/>
      <c r="C178" s="689"/>
      <c r="D178" s="690"/>
      <c r="E178" s="690"/>
      <c r="F178" s="690"/>
      <c r="G178" s="690"/>
      <c r="H178" s="690"/>
      <c r="I178" s="690"/>
      <c r="J178" s="690"/>
      <c r="K178" s="690"/>
      <c r="L178" s="690"/>
      <c r="M178" s="690"/>
      <c r="N178" s="690"/>
      <c r="O178" s="690"/>
      <c r="P178" s="690"/>
      <c r="Q178" s="690"/>
      <c r="R178" s="690"/>
      <c r="S178" s="690"/>
      <c r="T178" s="690"/>
      <c r="U178" s="690"/>
      <c r="V178" s="690"/>
      <c r="W178" s="690"/>
      <c r="X178" s="690"/>
      <c r="Y178" s="691"/>
    </row>
    <row r="179" spans="1:25" ht="18" customHeight="1" x14ac:dyDescent="0.2">
      <c r="A179" s="337"/>
      <c r="B179" s="337"/>
      <c r="C179" s="689"/>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1"/>
    </row>
    <row r="180" spans="1:25" ht="18" customHeight="1" x14ac:dyDescent="0.2">
      <c r="A180" s="337"/>
      <c r="B180" s="337"/>
      <c r="C180" s="689"/>
      <c r="D180" s="690"/>
      <c r="E180" s="690"/>
      <c r="F180" s="690"/>
      <c r="G180" s="690"/>
      <c r="H180" s="690"/>
      <c r="I180" s="690"/>
      <c r="J180" s="690"/>
      <c r="K180" s="690"/>
      <c r="L180" s="690"/>
      <c r="M180" s="690"/>
      <c r="N180" s="690"/>
      <c r="O180" s="690"/>
      <c r="P180" s="690"/>
      <c r="Q180" s="690"/>
      <c r="R180" s="690"/>
      <c r="S180" s="690"/>
      <c r="T180" s="690"/>
      <c r="U180" s="690"/>
      <c r="V180" s="690"/>
      <c r="W180" s="690"/>
      <c r="X180" s="690"/>
      <c r="Y180" s="691"/>
    </row>
    <row r="181" spans="1:25" ht="18" customHeight="1" x14ac:dyDescent="0.2">
      <c r="A181" s="337"/>
      <c r="B181" s="337"/>
      <c r="C181" s="689"/>
      <c r="D181" s="690"/>
      <c r="E181" s="690"/>
      <c r="F181" s="690"/>
      <c r="G181" s="690"/>
      <c r="H181" s="690"/>
      <c r="I181" s="690"/>
      <c r="J181" s="690"/>
      <c r="K181" s="690"/>
      <c r="L181" s="690"/>
      <c r="M181" s="690"/>
      <c r="N181" s="690"/>
      <c r="O181" s="690"/>
      <c r="P181" s="690"/>
      <c r="Q181" s="690"/>
      <c r="R181" s="690"/>
      <c r="S181" s="690"/>
      <c r="T181" s="690"/>
      <c r="U181" s="690"/>
      <c r="V181" s="690"/>
      <c r="W181" s="690"/>
      <c r="X181" s="690"/>
      <c r="Y181" s="691"/>
    </row>
    <row r="182" spans="1:25" ht="18" customHeight="1" x14ac:dyDescent="0.2">
      <c r="A182" s="337"/>
      <c r="B182" s="337"/>
      <c r="C182" s="689"/>
      <c r="D182" s="690"/>
      <c r="E182" s="690"/>
      <c r="F182" s="690"/>
      <c r="G182" s="690"/>
      <c r="H182" s="690"/>
      <c r="I182" s="690"/>
      <c r="J182" s="690"/>
      <c r="K182" s="690"/>
      <c r="L182" s="690"/>
      <c r="M182" s="690"/>
      <c r="N182" s="690"/>
      <c r="O182" s="690"/>
      <c r="P182" s="690"/>
      <c r="Q182" s="690"/>
      <c r="R182" s="690"/>
      <c r="S182" s="690"/>
      <c r="T182" s="690"/>
      <c r="U182" s="690"/>
      <c r="V182" s="690"/>
      <c r="W182" s="690"/>
      <c r="X182" s="690"/>
      <c r="Y182" s="691"/>
    </row>
    <row r="183" spans="1:25" ht="18" customHeight="1" x14ac:dyDescent="0.2">
      <c r="A183" s="337"/>
      <c r="B183" s="337"/>
      <c r="C183" s="689"/>
      <c r="D183" s="690"/>
      <c r="E183" s="690"/>
      <c r="F183" s="690"/>
      <c r="G183" s="690"/>
      <c r="H183" s="690"/>
      <c r="I183" s="690"/>
      <c r="J183" s="690"/>
      <c r="K183" s="690"/>
      <c r="L183" s="690"/>
      <c r="M183" s="690"/>
      <c r="N183" s="690"/>
      <c r="O183" s="690"/>
      <c r="P183" s="690"/>
      <c r="Q183" s="690"/>
      <c r="R183" s="690"/>
      <c r="S183" s="690"/>
      <c r="T183" s="690"/>
      <c r="U183" s="690"/>
      <c r="V183" s="690"/>
      <c r="W183" s="690"/>
      <c r="X183" s="690"/>
      <c r="Y183" s="691"/>
    </row>
    <row r="184" spans="1:25" ht="18" customHeight="1" x14ac:dyDescent="0.2">
      <c r="A184" s="337"/>
      <c r="B184" s="337"/>
      <c r="C184" s="689"/>
      <c r="D184" s="690"/>
      <c r="E184" s="690"/>
      <c r="F184" s="690"/>
      <c r="G184" s="690"/>
      <c r="H184" s="690"/>
      <c r="I184" s="690"/>
      <c r="J184" s="690"/>
      <c r="K184" s="690"/>
      <c r="L184" s="690"/>
      <c r="M184" s="690"/>
      <c r="N184" s="690"/>
      <c r="O184" s="690"/>
      <c r="P184" s="690"/>
      <c r="Q184" s="690"/>
      <c r="R184" s="690"/>
      <c r="S184" s="690"/>
      <c r="T184" s="690"/>
      <c r="U184" s="690"/>
      <c r="V184" s="690"/>
      <c r="W184" s="690"/>
      <c r="X184" s="690"/>
      <c r="Y184" s="691"/>
    </row>
    <row r="185" spans="1:25" ht="18" customHeight="1" x14ac:dyDescent="0.2">
      <c r="A185" s="337"/>
      <c r="B185" s="337"/>
      <c r="C185" s="689"/>
      <c r="D185" s="690"/>
      <c r="E185" s="690"/>
      <c r="F185" s="690"/>
      <c r="G185" s="690"/>
      <c r="H185" s="690"/>
      <c r="I185" s="690"/>
      <c r="J185" s="690"/>
      <c r="K185" s="690"/>
      <c r="L185" s="690"/>
      <c r="M185" s="690"/>
      <c r="N185" s="690"/>
      <c r="O185" s="690"/>
      <c r="P185" s="690"/>
      <c r="Q185" s="690"/>
      <c r="R185" s="690"/>
      <c r="S185" s="690"/>
      <c r="T185" s="690"/>
      <c r="U185" s="690"/>
      <c r="V185" s="690"/>
      <c r="W185" s="690"/>
      <c r="X185" s="690"/>
      <c r="Y185" s="691"/>
    </row>
    <row r="186" spans="1:25" ht="18" customHeight="1" x14ac:dyDescent="0.2">
      <c r="A186" s="337"/>
      <c r="B186" s="337"/>
      <c r="C186" s="689"/>
      <c r="D186" s="690"/>
      <c r="E186" s="690"/>
      <c r="F186" s="690"/>
      <c r="G186" s="690"/>
      <c r="H186" s="690"/>
      <c r="I186" s="690"/>
      <c r="J186" s="690"/>
      <c r="K186" s="690"/>
      <c r="L186" s="690"/>
      <c r="M186" s="690"/>
      <c r="N186" s="690"/>
      <c r="O186" s="690"/>
      <c r="P186" s="690"/>
      <c r="Q186" s="690"/>
      <c r="R186" s="690"/>
      <c r="S186" s="690"/>
      <c r="T186" s="690"/>
      <c r="U186" s="690"/>
      <c r="V186" s="690"/>
      <c r="W186" s="690"/>
      <c r="X186" s="690"/>
      <c r="Y186" s="691"/>
    </row>
    <row r="187" spans="1:25" ht="18" customHeight="1" x14ac:dyDescent="0.2">
      <c r="A187" s="337"/>
      <c r="B187" s="337"/>
      <c r="C187" s="689"/>
      <c r="D187" s="690"/>
      <c r="E187" s="690"/>
      <c r="F187" s="690"/>
      <c r="G187" s="690"/>
      <c r="H187" s="690"/>
      <c r="I187" s="690"/>
      <c r="J187" s="690"/>
      <c r="K187" s="690"/>
      <c r="L187" s="690"/>
      <c r="M187" s="690"/>
      <c r="N187" s="690"/>
      <c r="O187" s="690"/>
      <c r="P187" s="690"/>
      <c r="Q187" s="690"/>
      <c r="R187" s="690"/>
      <c r="S187" s="690"/>
      <c r="T187" s="690"/>
      <c r="U187" s="690"/>
      <c r="V187" s="690"/>
      <c r="W187" s="690"/>
      <c r="X187" s="690"/>
      <c r="Y187" s="691"/>
    </row>
    <row r="188" spans="1:25" ht="18" customHeight="1" x14ac:dyDescent="0.2">
      <c r="A188" s="337"/>
      <c r="B188" s="337"/>
      <c r="C188" s="689"/>
      <c r="D188" s="690"/>
      <c r="E188" s="690"/>
      <c r="F188" s="690"/>
      <c r="G188" s="690"/>
      <c r="H188" s="690"/>
      <c r="I188" s="690"/>
      <c r="J188" s="690"/>
      <c r="K188" s="690"/>
      <c r="L188" s="690"/>
      <c r="M188" s="690"/>
      <c r="N188" s="690"/>
      <c r="O188" s="690"/>
      <c r="P188" s="690"/>
      <c r="Q188" s="690"/>
      <c r="R188" s="690"/>
      <c r="S188" s="690"/>
      <c r="T188" s="690"/>
      <c r="U188" s="690"/>
      <c r="V188" s="690"/>
      <c r="W188" s="690"/>
      <c r="X188" s="690"/>
      <c r="Y188" s="691"/>
    </row>
    <row r="189" spans="1:25" ht="18" customHeight="1" x14ac:dyDescent="0.2">
      <c r="A189" s="337"/>
      <c r="B189" s="337"/>
      <c r="C189" s="689"/>
      <c r="D189" s="690"/>
      <c r="E189" s="690"/>
      <c r="F189" s="690"/>
      <c r="G189" s="690"/>
      <c r="H189" s="690"/>
      <c r="I189" s="690"/>
      <c r="J189" s="690"/>
      <c r="K189" s="690"/>
      <c r="L189" s="690"/>
      <c r="M189" s="690"/>
      <c r="N189" s="690"/>
      <c r="O189" s="690"/>
      <c r="P189" s="690"/>
      <c r="Q189" s="690"/>
      <c r="R189" s="690"/>
      <c r="S189" s="690"/>
      <c r="T189" s="690"/>
      <c r="U189" s="690"/>
      <c r="V189" s="690"/>
      <c r="W189" s="690"/>
      <c r="X189" s="690"/>
      <c r="Y189" s="691"/>
    </row>
    <row r="190" spans="1:25" ht="18" customHeight="1" x14ac:dyDescent="0.2">
      <c r="A190" s="337"/>
      <c r="B190" s="337"/>
      <c r="C190" s="692"/>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4"/>
    </row>
    <row r="191" spans="1:25" ht="18" customHeight="1" x14ac:dyDescent="0.2">
      <c r="A191" s="337"/>
      <c r="B191" s="337"/>
      <c r="C191" s="379"/>
      <c r="D191" s="379"/>
      <c r="E191" s="379"/>
      <c r="F191" s="379"/>
      <c r="G191" s="379"/>
      <c r="H191" s="379"/>
      <c r="I191" s="379"/>
      <c r="J191" s="379"/>
      <c r="K191" s="379"/>
      <c r="L191" s="379"/>
      <c r="M191" s="379"/>
      <c r="N191" s="379"/>
      <c r="O191" s="380"/>
    </row>
    <row r="192" spans="1:25" ht="18" customHeight="1" x14ac:dyDescent="0.2">
      <c r="A192" s="337"/>
      <c r="B192" s="337"/>
      <c r="C192" s="379"/>
      <c r="D192" s="379"/>
      <c r="E192" s="379"/>
      <c r="F192" s="379"/>
      <c r="G192" s="379"/>
      <c r="H192" s="379"/>
      <c r="I192" s="379"/>
      <c r="J192" s="379"/>
      <c r="K192" s="379"/>
      <c r="L192" s="379"/>
      <c r="M192" s="379"/>
      <c r="N192" s="379"/>
      <c r="O192" s="380"/>
    </row>
    <row r="193" spans="1:25" ht="18" customHeight="1" x14ac:dyDescent="0.2">
      <c r="A193" s="337"/>
      <c r="B193" s="337"/>
      <c r="C193" s="581" t="s">
        <v>285</v>
      </c>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row>
    <row r="194" spans="1:25" ht="18" customHeight="1" x14ac:dyDescent="0.2">
      <c r="A194" s="337"/>
      <c r="B194" s="337"/>
      <c r="C194" s="783" t="s">
        <v>234</v>
      </c>
      <c r="D194" s="783"/>
      <c r="E194" s="783"/>
      <c r="F194" s="783"/>
      <c r="G194" s="783"/>
      <c r="I194" s="353" t="s">
        <v>24</v>
      </c>
      <c r="J194" s="588"/>
      <c r="K194" s="588"/>
      <c r="P194" s="339"/>
      <c r="S194" s="353" t="s">
        <v>25</v>
      </c>
      <c r="T194" s="588"/>
      <c r="U194" s="588"/>
      <c r="V194" s="588"/>
      <c r="W194" s="588"/>
    </row>
    <row r="195" spans="1:25" ht="18" customHeight="1" x14ac:dyDescent="0.2">
      <c r="A195" s="337"/>
      <c r="B195" s="337"/>
      <c r="C195" s="784"/>
      <c r="D195" s="784"/>
      <c r="E195" s="784"/>
      <c r="F195" s="784"/>
      <c r="G195" s="784"/>
      <c r="H195" s="337"/>
      <c r="I195" s="369" t="s">
        <v>26</v>
      </c>
      <c r="J195" s="588"/>
      <c r="K195" s="588"/>
      <c r="P195" s="339"/>
      <c r="S195" s="353" t="s">
        <v>27</v>
      </c>
      <c r="T195" s="588"/>
      <c r="U195" s="588"/>
      <c r="V195" s="588"/>
      <c r="W195" s="588"/>
    </row>
    <row r="196" spans="1:25" ht="18" customHeight="1" x14ac:dyDescent="0.2">
      <c r="A196" s="337"/>
      <c r="B196" s="337"/>
      <c r="C196" s="784"/>
      <c r="D196" s="784"/>
      <c r="E196" s="784"/>
      <c r="F196" s="784"/>
      <c r="G196" s="784"/>
      <c r="H196" s="337"/>
      <c r="I196" s="353" t="s">
        <v>54</v>
      </c>
      <c r="J196" s="588"/>
      <c r="K196" s="588"/>
      <c r="P196" s="367"/>
      <c r="Q196" s="367"/>
    </row>
    <row r="197" spans="1:25" ht="18" customHeight="1" x14ac:dyDescent="0.2">
      <c r="A197" s="337"/>
      <c r="B197" s="337"/>
      <c r="C197" s="381"/>
      <c r="D197" s="381"/>
      <c r="E197" s="381"/>
      <c r="F197" s="381"/>
      <c r="G197" s="786" t="s">
        <v>239</v>
      </c>
      <c r="H197" s="786"/>
      <c r="I197" s="787"/>
      <c r="J197" s="588"/>
      <c r="K197" s="588"/>
      <c r="L197" s="381"/>
      <c r="M197" s="381"/>
      <c r="N197" s="381"/>
      <c r="O197" s="381"/>
      <c r="P197" s="381"/>
      <c r="Q197" s="381"/>
      <c r="R197" s="381"/>
      <c r="S197" s="381"/>
      <c r="T197" s="381"/>
      <c r="U197" s="381"/>
      <c r="V197" s="381"/>
      <c r="W197" s="381"/>
      <c r="X197" s="381"/>
      <c r="Y197" s="381"/>
    </row>
    <row r="198" spans="1:25" ht="18" customHeight="1" x14ac:dyDescent="0.2">
      <c r="A198" s="337"/>
      <c r="B198" s="337"/>
      <c r="C198" s="793"/>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5"/>
    </row>
    <row r="199" spans="1:25" ht="18" customHeight="1" x14ac:dyDescent="0.2">
      <c r="A199" s="337"/>
      <c r="B199" s="337"/>
      <c r="C199" s="796"/>
      <c r="D199" s="797"/>
      <c r="E199" s="797"/>
      <c r="F199" s="797"/>
      <c r="G199" s="797"/>
      <c r="H199" s="797"/>
      <c r="I199" s="797"/>
      <c r="J199" s="797"/>
      <c r="K199" s="797"/>
      <c r="L199" s="797"/>
      <c r="M199" s="797"/>
      <c r="N199" s="797"/>
      <c r="O199" s="797"/>
      <c r="P199" s="797"/>
      <c r="Q199" s="797"/>
      <c r="R199" s="797"/>
      <c r="S199" s="797"/>
      <c r="T199" s="797"/>
      <c r="U199" s="797"/>
      <c r="V199" s="797"/>
      <c r="W199" s="797"/>
      <c r="X199" s="797"/>
      <c r="Y199" s="798"/>
    </row>
    <row r="200" spans="1:25" ht="18" customHeight="1" x14ac:dyDescent="0.2">
      <c r="A200" s="337"/>
      <c r="B200" s="337"/>
      <c r="C200" s="799"/>
      <c r="D200" s="800"/>
      <c r="E200" s="800"/>
      <c r="F200" s="800"/>
      <c r="G200" s="800"/>
      <c r="H200" s="800"/>
      <c r="I200" s="800"/>
      <c r="J200" s="800"/>
      <c r="K200" s="800"/>
      <c r="L200" s="800"/>
      <c r="M200" s="800"/>
      <c r="N200" s="800"/>
      <c r="O200" s="800"/>
      <c r="P200" s="800"/>
      <c r="Q200" s="800"/>
      <c r="R200" s="800"/>
      <c r="S200" s="800"/>
      <c r="T200" s="800"/>
      <c r="U200" s="800"/>
      <c r="V200" s="800"/>
      <c r="W200" s="800"/>
      <c r="X200" s="800"/>
      <c r="Y200" s="801"/>
    </row>
    <row r="201" spans="1:25" ht="18" customHeight="1" x14ac:dyDescent="0.2">
      <c r="A201" s="337"/>
      <c r="B201" s="337"/>
      <c r="C201" s="345"/>
      <c r="D201" s="379"/>
      <c r="E201" s="379"/>
      <c r="F201" s="379"/>
      <c r="G201" s="379"/>
      <c r="H201" s="379"/>
      <c r="I201" s="379"/>
      <c r="J201" s="379"/>
      <c r="K201" s="379"/>
      <c r="L201" s="379"/>
      <c r="M201" s="379"/>
      <c r="N201" s="379"/>
      <c r="O201" s="380"/>
    </row>
    <row r="202" spans="1:25" ht="18" customHeight="1" x14ac:dyDescent="0.2">
      <c r="A202" s="337"/>
      <c r="B202" s="337"/>
      <c r="C202" s="345"/>
      <c r="D202" s="379"/>
      <c r="E202" s="379"/>
      <c r="F202" s="379"/>
      <c r="G202" s="379"/>
      <c r="H202" s="379"/>
      <c r="I202" s="379"/>
      <c r="J202" s="379"/>
      <c r="K202" s="379"/>
      <c r="L202" s="379"/>
      <c r="M202" s="379"/>
      <c r="N202" s="379"/>
      <c r="O202" s="380"/>
    </row>
    <row r="203" spans="1:25" ht="18" customHeight="1" x14ac:dyDescent="0.2">
      <c r="A203" s="337"/>
      <c r="B203" s="337"/>
      <c r="C203" s="583" t="s">
        <v>286</v>
      </c>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row>
    <row r="204" spans="1:25" ht="18" customHeight="1" x14ac:dyDescent="0.2">
      <c r="A204" s="337"/>
      <c r="B204" s="337"/>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row>
    <row r="205" spans="1:25" ht="18" customHeight="1" x14ac:dyDescent="0.2">
      <c r="A205" s="337"/>
      <c r="B205" s="337"/>
      <c r="C205" s="669"/>
      <c r="D205" s="670"/>
      <c r="E205" s="670"/>
      <c r="F205" s="670"/>
      <c r="G205" s="670"/>
      <c r="H205" s="670"/>
      <c r="I205" s="670"/>
      <c r="J205" s="670"/>
      <c r="K205" s="670"/>
      <c r="L205" s="670"/>
      <c r="M205" s="670"/>
      <c r="N205" s="670"/>
      <c r="O205" s="670"/>
      <c r="P205" s="670"/>
      <c r="Q205" s="670"/>
      <c r="R205" s="670"/>
      <c r="S205" s="670"/>
      <c r="T205" s="670"/>
      <c r="U205" s="670"/>
      <c r="V205" s="670"/>
      <c r="W205" s="670"/>
      <c r="X205" s="670"/>
      <c r="Y205" s="671"/>
    </row>
    <row r="206" spans="1:25" ht="18" customHeight="1" x14ac:dyDescent="0.2">
      <c r="A206" s="337"/>
      <c r="B206" s="337"/>
      <c r="C206" s="802"/>
      <c r="D206" s="803"/>
      <c r="E206" s="803"/>
      <c r="F206" s="803"/>
      <c r="G206" s="803"/>
      <c r="H206" s="803"/>
      <c r="I206" s="803"/>
      <c r="J206" s="803"/>
      <c r="K206" s="803"/>
      <c r="L206" s="803"/>
      <c r="M206" s="803"/>
      <c r="N206" s="803"/>
      <c r="O206" s="803"/>
      <c r="P206" s="803"/>
      <c r="Q206" s="803"/>
      <c r="R206" s="803"/>
      <c r="S206" s="803"/>
      <c r="T206" s="803"/>
      <c r="U206" s="803"/>
      <c r="V206" s="803"/>
      <c r="W206" s="803"/>
      <c r="X206" s="803"/>
      <c r="Y206" s="804"/>
    </row>
    <row r="207" spans="1:25" ht="18" customHeight="1" x14ac:dyDescent="0.2">
      <c r="A207" s="337"/>
      <c r="B207" s="337"/>
      <c r="C207" s="672"/>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4"/>
    </row>
    <row r="208" spans="1:25" ht="18" customHeight="1" x14ac:dyDescent="0.2">
      <c r="A208" s="337"/>
      <c r="B208" s="337"/>
      <c r="C208" s="379"/>
      <c r="D208" s="379"/>
      <c r="E208" s="379"/>
      <c r="F208" s="379"/>
      <c r="G208" s="379"/>
      <c r="H208" s="379"/>
      <c r="I208" s="379"/>
      <c r="J208" s="379"/>
      <c r="K208" s="379"/>
      <c r="L208" s="379"/>
      <c r="M208" s="379"/>
      <c r="N208" s="379"/>
      <c r="O208" s="380"/>
    </row>
    <row r="209" spans="1:26" ht="18" customHeight="1" x14ac:dyDescent="0.2">
      <c r="A209" s="337"/>
      <c r="B209" s="337"/>
      <c r="C209" s="379"/>
      <c r="D209" s="379"/>
      <c r="E209" s="379"/>
      <c r="F209" s="379"/>
      <c r="G209" s="379"/>
      <c r="H209" s="379"/>
      <c r="I209" s="379"/>
      <c r="J209" s="379"/>
      <c r="K209" s="379"/>
      <c r="L209" s="379"/>
      <c r="M209" s="379"/>
      <c r="N209" s="379"/>
      <c r="O209" s="380"/>
    </row>
    <row r="210" spans="1:26" ht="18" customHeight="1" x14ac:dyDescent="0.2">
      <c r="A210" s="337"/>
      <c r="B210" s="337"/>
      <c r="C210" s="581" t="s">
        <v>287</v>
      </c>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row>
    <row r="211" spans="1:26" ht="18" customHeight="1" x14ac:dyDescent="0.2">
      <c r="A211" s="337"/>
      <c r="B211" s="788" t="s">
        <v>1528</v>
      </c>
      <c r="C211" s="789"/>
      <c r="D211" s="789"/>
      <c r="E211" s="789"/>
      <c r="F211" s="789"/>
      <c r="G211" s="789"/>
      <c r="H211" s="789"/>
      <c r="I211" s="789"/>
      <c r="J211" s="789"/>
      <c r="K211" s="789"/>
      <c r="L211" s="789"/>
      <c r="M211" s="789"/>
      <c r="N211" s="789"/>
      <c r="O211" s="789"/>
      <c r="P211" s="789"/>
      <c r="Q211" s="789"/>
      <c r="R211" s="789"/>
      <c r="S211" s="789"/>
      <c r="T211" s="789"/>
      <c r="U211" s="789"/>
      <c r="V211" s="789"/>
      <c r="W211" s="789"/>
      <c r="X211" s="789"/>
      <c r="Y211" s="789"/>
      <c r="Z211" s="789"/>
    </row>
    <row r="212" spans="1:26" ht="18" customHeight="1" x14ac:dyDescent="0.2">
      <c r="A212" s="337"/>
      <c r="B212" s="789"/>
      <c r="C212" s="789"/>
      <c r="D212" s="789"/>
      <c r="E212" s="789"/>
      <c r="F212" s="789"/>
      <c r="G212" s="789"/>
      <c r="H212" s="789"/>
      <c r="I212" s="789"/>
      <c r="J212" s="789"/>
      <c r="K212" s="789"/>
      <c r="L212" s="789"/>
      <c r="M212" s="789"/>
      <c r="N212" s="789"/>
      <c r="O212" s="789"/>
      <c r="P212" s="789"/>
      <c r="Q212" s="789"/>
      <c r="R212" s="789"/>
      <c r="S212" s="789"/>
      <c r="T212" s="789"/>
      <c r="U212" s="789"/>
      <c r="V212" s="789"/>
      <c r="W212" s="789"/>
      <c r="X212" s="789"/>
      <c r="Y212" s="789"/>
      <c r="Z212" s="789"/>
    </row>
    <row r="213" spans="1:26" ht="18" customHeight="1" thickBot="1" x14ac:dyDescent="0.25">
      <c r="A213" s="337"/>
      <c r="B213" s="337"/>
      <c r="C213" s="337"/>
      <c r="D213" s="337"/>
      <c r="E213" s="337"/>
      <c r="F213" s="337"/>
      <c r="G213" s="337"/>
      <c r="H213" s="337"/>
      <c r="I213" s="337"/>
      <c r="J213" s="337"/>
      <c r="K213" s="368"/>
      <c r="L213" s="368"/>
      <c r="M213" s="337"/>
      <c r="N213" s="337"/>
      <c r="O213" s="380"/>
      <c r="S213" s="353" t="s">
        <v>240</v>
      </c>
      <c r="T213" s="785"/>
      <c r="U213" s="785"/>
      <c r="V213" s="785"/>
      <c r="W213" s="785"/>
      <c r="X213" s="591" t="s">
        <v>111</v>
      </c>
      <c r="Y213" s="591"/>
    </row>
    <row r="214" spans="1:26" ht="18" customHeight="1" thickBot="1" x14ac:dyDescent="0.25">
      <c r="A214" s="337"/>
      <c r="B214" s="337"/>
      <c r="C214" s="345"/>
      <c r="D214" s="382"/>
      <c r="E214" s="382"/>
      <c r="F214" s="382"/>
      <c r="G214" s="382"/>
      <c r="H214" s="382"/>
      <c r="I214" s="382"/>
      <c r="J214" s="382"/>
      <c r="K214" s="382"/>
      <c r="L214" s="382"/>
      <c r="M214" s="383"/>
      <c r="N214" s="382"/>
      <c r="O214" s="382"/>
      <c r="P214" s="382"/>
      <c r="Q214" s="382"/>
      <c r="R214" s="382"/>
      <c r="S214" s="384"/>
      <c r="T214" s="375"/>
      <c r="U214" s="385"/>
      <c r="V214" s="385"/>
      <c r="W214" s="377" t="str">
        <f>IF($T$213="","",IF($T$213&lt;$T$107,"La superficie de la zone contributive ne peut pas être inférieure à la superficie du site",""))</f>
        <v/>
      </c>
      <c r="X214" s="382"/>
      <c r="Y214" s="382"/>
    </row>
    <row r="215" spans="1:26" ht="18" customHeight="1" x14ac:dyDescent="0.2">
      <c r="A215" s="337"/>
      <c r="B215" s="337"/>
      <c r="C215" s="345"/>
      <c r="D215" s="382"/>
      <c r="E215" s="382"/>
      <c r="F215" s="382"/>
      <c r="G215" s="382"/>
      <c r="H215" s="382"/>
      <c r="I215" s="382"/>
      <c r="J215" s="382"/>
      <c r="K215" s="382"/>
      <c r="L215" s="382"/>
      <c r="M215" s="383"/>
      <c r="N215" s="382"/>
      <c r="O215" s="382"/>
      <c r="P215" s="382"/>
      <c r="Q215" s="382"/>
      <c r="R215" s="382"/>
      <c r="S215" s="384"/>
      <c r="T215" s="382"/>
      <c r="U215" s="382"/>
      <c r="V215" s="382"/>
      <c r="W215" s="378"/>
      <c r="X215" s="382"/>
      <c r="Y215" s="382"/>
    </row>
    <row r="216" spans="1:26" ht="18" customHeight="1" x14ac:dyDescent="0.2">
      <c r="A216" s="337"/>
      <c r="B216" s="337"/>
      <c r="C216" s="592" t="s">
        <v>288</v>
      </c>
      <c r="D216" s="592"/>
      <c r="E216" s="592"/>
      <c r="F216" s="592"/>
      <c r="G216" s="592"/>
      <c r="H216" s="592"/>
      <c r="I216" s="592"/>
      <c r="J216" s="592"/>
      <c r="K216" s="592"/>
      <c r="L216" s="592"/>
      <c r="M216" s="592"/>
      <c r="N216" s="592"/>
      <c r="O216" s="592"/>
      <c r="P216" s="592"/>
      <c r="Q216" s="592"/>
      <c r="R216" s="592"/>
      <c r="S216" s="592"/>
      <c r="T216" s="592"/>
      <c r="U216" s="592"/>
      <c r="V216" s="592"/>
      <c r="W216" s="592"/>
      <c r="X216" s="592"/>
      <c r="Y216" s="592"/>
    </row>
    <row r="217" spans="1:26" ht="18" customHeight="1" x14ac:dyDescent="0.2">
      <c r="A217" s="337"/>
      <c r="B217" s="337"/>
      <c r="C217" s="337"/>
      <c r="D217" s="337"/>
      <c r="E217" s="337"/>
      <c r="F217" s="337"/>
      <c r="G217" s="337"/>
      <c r="H217" s="337"/>
      <c r="I217" s="337"/>
      <c r="J217" s="337"/>
      <c r="K217" s="337"/>
      <c r="L217" s="337"/>
      <c r="M217" s="337"/>
      <c r="N217" s="337"/>
      <c r="O217" s="337"/>
      <c r="P217" s="337"/>
      <c r="S217" s="353" t="s">
        <v>241</v>
      </c>
      <c r="T217" s="701"/>
      <c r="U217" s="701"/>
      <c r="V217" s="701"/>
      <c r="W217" s="701"/>
      <c r="X217" s="371"/>
      <c r="Y217" s="372"/>
    </row>
    <row r="218" spans="1:26" ht="18" customHeight="1" x14ac:dyDescent="0.2">
      <c r="A218" s="337"/>
      <c r="B218" s="337"/>
      <c r="C218" s="345"/>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row>
    <row r="219" spans="1:26" ht="18" customHeight="1" x14ac:dyDescent="0.2">
      <c r="A219" s="337"/>
      <c r="B219" s="337"/>
      <c r="C219" s="345"/>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row>
    <row r="220" spans="1:26" ht="18" customHeight="1" x14ac:dyDescent="0.2">
      <c r="A220" s="337"/>
      <c r="B220" s="337"/>
      <c r="C220" s="592" t="s">
        <v>289</v>
      </c>
      <c r="D220" s="592"/>
      <c r="E220" s="592"/>
      <c r="F220" s="592"/>
      <c r="G220" s="592"/>
      <c r="H220" s="592"/>
      <c r="I220" s="592"/>
      <c r="J220" s="592"/>
      <c r="K220" s="592"/>
      <c r="L220" s="592"/>
      <c r="M220" s="592"/>
      <c r="N220" s="592"/>
      <c r="O220" s="592"/>
      <c r="P220" s="592"/>
      <c r="Q220" s="592"/>
      <c r="R220" s="592"/>
      <c r="S220" s="592"/>
      <c r="T220" s="592"/>
      <c r="U220" s="592"/>
      <c r="V220" s="592"/>
      <c r="W220" s="592"/>
      <c r="X220" s="592"/>
      <c r="Y220" s="592"/>
    </row>
    <row r="221" spans="1:26" ht="18" customHeight="1" x14ac:dyDescent="0.2">
      <c r="A221" s="337"/>
      <c r="B221" s="337"/>
      <c r="C221" s="356"/>
      <c r="D221" s="356"/>
      <c r="E221" s="356"/>
      <c r="F221" s="356"/>
      <c r="G221" s="356"/>
      <c r="H221" s="356"/>
      <c r="I221" s="362"/>
      <c r="J221" s="356"/>
      <c r="K221" s="379"/>
      <c r="L221" s="379"/>
      <c r="M221" s="379"/>
      <c r="N221" s="379"/>
      <c r="O221" s="380"/>
      <c r="S221" s="357" t="s">
        <v>242</v>
      </c>
      <c r="T221" s="578"/>
      <c r="U221" s="578"/>
      <c r="V221" s="578"/>
      <c r="W221" s="578"/>
      <c r="X221" s="591" t="s">
        <v>111</v>
      </c>
      <c r="Y221" s="591"/>
    </row>
    <row r="222" spans="1:26" ht="18" customHeight="1" thickBot="1" x14ac:dyDescent="0.25">
      <c r="A222" s="337"/>
      <c r="B222" s="337"/>
      <c r="C222" s="346"/>
      <c r="D222" s="346"/>
      <c r="E222" s="346"/>
      <c r="F222" s="346"/>
      <c r="G222" s="346"/>
      <c r="H222" s="346"/>
      <c r="I222" s="362"/>
      <c r="J222" s="346"/>
      <c r="K222" s="379"/>
      <c r="L222" s="379"/>
      <c r="M222" s="379"/>
      <c r="N222" s="379"/>
      <c r="O222" s="380"/>
      <c r="S222" s="362" t="s">
        <v>243</v>
      </c>
      <c r="T222" s="785"/>
      <c r="U222" s="785"/>
      <c r="V222" s="785"/>
      <c r="W222" s="785"/>
      <c r="X222" s="591" t="s">
        <v>111</v>
      </c>
      <c r="Y222" s="591"/>
    </row>
    <row r="223" spans="1:26" ht="18" customHeight="1" thickBot="1" x14ac:dyDescent="0.25">
      <c r="A223" s="337"/>
      <c r="B223" s="337"/>
      <c r="C223" s="345"/>
      <c r="D223" s="382"/>
      <c r="E223" s="382"/>
      <c r="F223" s="382"/>
      <c r="G223" s="382"/>
      <c r="H223" s="382"/>
      <c r="I223" s="382"/>
      <c r="J223" s="382"/>
      <c r="K223" s="382"/>
      <c r="L223" s="382"/>
      <c r="M223" s="382"/>
      <c r="N223" s="382"/>
      <c r="O223" s="382"/>
      <c r="P223" s="382"/>
      <c r="Q223" s="382"/>
      <c r="R223" s="382"/>
      <c r="S223" s="382"/>
      <c r="T223" s="375"/>
      <c r="U223" s="385"/>
      <c r="V223" s="385"/>
      <c r="W223" s="377" t="str">
        <f>IF(AND(ISBLANK($T$221),ISBLANK($T$222)),"",IF(SUM($T$221,$T$222)&gt;$T$213,"La somme des superficies des surfaces enherbées et cultivées ne peut pas être supérieure à la superficie de la zone contributive.",""))</f>
        <v/>
      </c>
      <c r="X223" s="382"/>
      <c r="Y223" s="382"/>
    </row>
    <row r="224" spans="1:26" ht="18" customHeight="1" x14ac:dyDescent="0.2">
      <c r="A224" s="337"/>
      <c r="B224" s="337"/>
      <c r="C224" s="345"/>
      <c r="D224" s="382"/>
      <c r="E224" s="382"/>
      <c r="F224" s="382"/>
      <c r="G224" s="382"/>
      <c r="H224" s="382"/>
      <c r="I224" s="382"/>
      <c r="J224" s="382"/>
      <c r="K224" s="382"/>
      <c r="L224" s="382"/>
      <c r="M224" s="382"/>
      <c r="N224" s="382"/>
      <c r="O224" s="382"/>
      <c r="P224" s="382"/>
      <c r="Q224" s="382"/>
      <c r="R224" s="382"/>
      <c r="S224" s="382"/>
      <c r="T224" s="382"/>
      <c r="U224" s="382"/>
      <c r="V224" s="382"/>
      <c r="W224" s="378"/>
      <c r="X224" s="382"/>
      <c r="Y224" s="382"/>
    </row>
    <row r="225" spans="1:25" ht="18" customHeight="1" x14ac:dyDescent="0.2">
      <c r="A225" s="337"/>
      <c r="B225" s="337"/>
      <c r="C225" s="592" t="s">
        <v>290</v>
      </c>
      <c r="D225" s="592"/>
      <c r="E225" s="592"/>
      <c r="F225" s="592"/>
      <c r="G225" s="592"/>
      <c r="H225" s="592"/>
      <c r="I225" s="592"/>
      <c r="J225" s="592"/>
      <c r="K225" s="592"/>
      <c r="L225" s="592"/>
      <c r="M225" s="592"/>
      <c r="N225" s="592"/>
      <c r="O225" s="592"/>
      <c r="P225" s="592"/>
      <c r="Q225" s="592"/>
      <c r="R225" s="592"/>
      <c r="S225" s="592"/>
      <c r="T225" s="592"/>
      <c r="U225" s="592"/>
      <c r="V225" s="592"/>
      <c r="W225" s="592"/>
      <c r="X225" s="592"/>
      <c r="Y225" s="592"/>
    </row>
    <row r="226" spans="1:25" ht="18" customHeight="1" x14ac:dyDescent="0.2">
      <c r="A226" s="337"/>
      <c r="B226" s="337"/>
      <c r="C226" s="354" t="s">
        <v>234</v>
      </c>
      <c r="D226" s="354"/>
      <c r="E226" s="337"/>
      <c r="F226" s="368"/>
      <c r="G226" s="368"/>
      <c r="H226" s="368"/>
      <c r="I226" s="353" t="s">
        <v>28</v>
      </c>
      <c r="J226" s="588"/>
      <c r="K226" s="588"/>
      <c r="N226" s="368"/>
      <c r="P226" s="368"/>
      <c r="Q226" s="368"/>
      <c r="S226" s="369" t="s">
        <v>29</v>
      </c>
      <c r="T226" s="588"/>
      <c r="U226" s="588"/>
      <c r="V226" s="588"/>
      <c r="W226" s="588"/>
    </row>
    <row r="227" spans="1:25" ht="18" customHeight="1" x14ac:dyDescent="0.2">
      <c r="A227" s="337"/>
      <c r="B227" s="337"/>
      <c r="C227" s="345"/>
      <c r="D227" s="337"/>
      <c r="E227" s="337"/>
      <c r="F227" s="337"/>
      <c r="G227" s="337"/>
      <c r="H227" s="337"/>
      <c r="I227" s="337"/>
      <c r="J227" s="337"/>
      <c r="K227" s="337"/>
      <c r="L227" s="337"/>
      <c r="M227" s="337"/>
      <c r="N227" s="386"/>
      <c r="O227" s="380"/>
    </row>
    <row r="228" spans="1:25" ht="18" customHeight="1" x14ac:dyDescent="0.2">
      <c r="A228" s="337"/>
      <c r="B228" s="337"/>
      <c r="C228" s="345"/>
      <c r="D228" s="337"/>
      <c r="E228" s="337"/>
      <c r="F228" s="337"/>
      <c r="G228" s="337"/>
      <c r="H228" s="337"/>
      <c r="I228" s="337"/>
      <c r="J228" s="337"/>
      <c r="K228" s="337"/>
      <c r="L228" s="337"/>
      <c r="M228" s="337"/>
      <c r="N228" s="386"/>
      <c r="O228" s="380"/>
    </row>
    <row r="229" spans="1:25" ht="18" customHeight="1" x14ac:dyDescent="0.2">
      <c r="A229" s="337"/>
      <c r="B229" s="337"/>
      <c r="C229" s="581" t="s">
        <v>291</v>
      </c>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row>
    <row r="230" spans="1:25" ht="18" customHeight="1" thickBot="1" x14ac:dyDescent="0.25">
      <c r="A230" s="337"/>
      <c r="B230" s="337"/>
      <c r="C230" s="337"/>
      <c r="D230" s="337"/>
      <c r="E230" s="337"/>
      <c r="F230" s="337"/>
      <c r="G230" s="337"/>
      <c r="H230" s="337"/>
      <c r="I230" s="337"/>
      <c r="J230" s="337"/>
      <c r="K230" s="386"/>
      <c r="L230" s="386"/>
      <c r="M230" s="386"/>
      <c r="N230" s="386"/>
      <c r="O230" s="380"/>
      <c r="S230" s="353" t="s">
        <v>244</v>
      </c>
      <c r="T230" s="578"/>
      <c r="U230" s="578"/>
      <c r="V230" s="578"/>
      <c r="W230" s="578"/>
      <c r="X230" s="591" t="s">
        <v>111</v>
      </c>
      <c r="Y230" s="591"/>
    </row>
    <row r="231" spans="1:25" ht="18" customHeight="1" thickBot="1" x14ac:dyDescent="0.25">
      <c r="A231" s="337"/>
      <c r="B231" s="337"/>
      <c r="C231" s="345"/>
      <c r="D231" s="337"/>
      <c r="E231" s="337"/>
      <c r="F231" s="337"/>
      <c r="G231" s="337"/>
      <c r="H231" s="337"/>
      <c r="I231" s="337"/>
      <c r="J231" s="337"/>
      <c r="K231" s="337"/>
      <c r="L231" s="337"/>
      <c r="M231" s="337"/>
      <c r="N231" s="386"/>
      <c r="O231" s="380"/>
      <c r="T231" s="375"/>
      <c r="U231" s="385"/>
      <c r="V231" s="385"/>
      <c r="W231" s="377" t="str">
        <f>IF($T$230="","",IF($T$230&gt;$T$213,"La superficie des surfaces construites ne peut pas être supérieure à la superficie de la zone contributive",""))</f>
        <v/>
      </c>
    </row>
    <row r="232" spans="1:25" ht="18" customHeight="1" x14ac:dyDescent="0.2">
      <c r="A232" s="337"/>
      <c r="B232" s="337"/>
      <c r="C232" s="345"/>
      <c r="D232" s="337"/>
      <c r="E232" s="337"/>
      <c r="F232" s="337"/>
      <c r="G232" s="337"/>
      <c r="H232" s="337"/>
      <c r="I232" s="337"/>
      <c r="J232" s="337"/>
      <c r="K232" s="337"/>
      <c r="L232" s="337"/>
      <c r="M232" s="337"/>
      <c r="N232" s="386"/>
      <c r="O232" s="380"/>
      <c r="W232" s="387"/>
    </row>
    <row r="233" spans="1:25" ht="18" customHeight="1" x14ac:dyDescent="0.2">
      <c r="A233" s="337"/>
      <c r="B233" s="337"/>
      <c r="C233" s="581" t="s">
        <v>292</v>
      </c>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row>
    <row r="234" spans="1:25" ht="18" customHeight="1" x14ac:dyDescent="0.2">
      <c r="A234" s="337"/>
      <c r="B234" s="337"/>
      <c r="C234" s="388"/>
      <c r="D234" s="388"/>
      <c r="E234" s="388"/>
      <c r="F234" s="388"/>
      <c r="G234" s="388"/>
      <c r="H234" s="388"/>
      <c r="I234" s="356"/>
      <c r="J234" s="346"/>
      <c r="K234" s="389"/>
      <c r="L234" s="389"/>
      <c r="M234" s="373"/>
      <c r="N234" s="386"/>
      <c r="O234" s="380"/>
      <c r="S234" s="357" t="s">
        <v>245</v>
      </c>
      <c r="T234" s="578"/>
      <c r="U234" s="578"/>
      <c r="V234" s="578"/>
      <c r="W234" s="578"/>
      <c r="X234" s="591" t="s">
        <v>112</v>
      </c>
      <c r="Y234" s="591"/>
    </row>
    <row r="235" spans="1:25" ht="18" customHeight="1" x14ac:dyDescent="0.2">
      <c r="A235" s="337"/>
      <c r="B235" s="337"/>
      <c r="C235" s="345"/>
      <c r="D235" s="337"/>
      <c r="E235" s="337"/>
      <c r="F235" s="337"/>
      <c r="G235" s="337"/>
      <c r="H235" s="337"/>
      <c r="I235" s="337"/>
      <c r="J235" s="337"/>
      <c r="K235" s="337"/>
      <c r="L235" s="337"/>
      <c r="M235" s="337"/>
      <c r="N235" s="386"/>
      <c r="O235" s="380"/>
    </row>
    <row r="236" spans="1:25" ht="18" customHeight="1" x14ac:dyDescent="0.2">
      <c r="A236" s="337"/>
      <c r="B236" s="337"/>
      <c r="C236" s="345"/>
      <c r="D236" s="337"/>
      <c r="E236" s="337"/>
      <c r="F236" s="337"/>
      <c r="G236" s="337"/>
      <c r="H236" s="337"/>
      <c r="I236" s="337"/>
      <c r="J236" s="337"/>
      <c r="K236" s="337"/>
      <c r="L236" s="337"/>
      <c r="M236" s="337"/>
      <c r="N236" s="386"/>
      <c r="O236" s="380"/>
    </row>
    <row r="237" spans="1:25" ht="35.25" customHeight="1" x14ac:dyDescent="0.2">
      <c r="A237" s="337"/>
      <c r="B237" s="337"/>
      <c r="C237" s="341" t="s">
        <v>402</v>
      </c>
      <c r="D237" s="695" t="s">
        <v>404</v>
      </c>
      <c r="E237" s="696"/>
      <c r="F237" s="696"/>
      <c r="G237" s="696"/>
      <c r="H237" s="696"/>
      <c r="I237" s="696"/>
      <c r="J237" s="696"/>
      <c r="K237" s="696"/>
      <c r="L237" s="696"/>
      <c r="M237" s="696"/>
      <c r="N237" s="696"/>
      <c r="O237" s="696"/>
      <c r="P237" s="696"/>
      <c r="Q237" s="696"/>
      <c r="R237" s="696"/>
      <c r="S237" s="696"/>
      <c r="T237" s="696"/>
      <c r="U237" s="696"/>
      <c r="V237" s="696"/>
      <c r="W237" s="696"/>
      <c r="X237" s="696"/>
      <c r="Y237" s="697"/>
    </row>
    <row r="238" spans="1:25" ht="18" customHeight="1" x14ac:dyDescent="0.2">
      <c r="A238" s="337"/>
      <c r="B238" s="337"/>
      <c r="C238" s="517"/>
      <c r="D238" s="517"/>
      <c r="E238" s="517"/>
      <c r="F238" s="517"/>
      <c r="G238" s="517"/>
      <c r="H238" s="517"/>
      <c r="I238" s="517"/>
      <c r="J238" s="517"/>
      <c r="K238" s="517"/>
      <c r="L238" s="517"/>
      <c r="M238" s="517"/>
      <c r="N238" s="517"/>
      <c r="O238" s="517"/>
      <c r="P238" s="517"/>
      <c r="Q238" s="517"/>
      <c r="R238" s="517"/>
      <c r="S238" s="517"/>
      <c r="T238" s="517"/>
      <c r="U238" s="517"/>
      <c r="V238" s="517"/>
      <c r="W238" s="517"/>
      <c r="X238" s="517"/>
      <c r="Y238" s="517"/>
    </row>
    <row r="239" spans="1:25" ht="18" customHeight="1" x14ac:dyDescent="0.2">
      <c r="A239" s="337"/>
      <c r="B239" s="337"/>
      <c r="C239" s="581" t="s">
        <v>366</v>
      </c>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row>
    <row r="240" spans="1:25" ht="18" customHeight="1" x14ac:dyDescent="0.2">
      <c r="A240" s="337"/>
      <c r="B240" s="337"/>
      <c r="C240" s="684" t="s">
        <v>246</v>
      </c>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row>
    <row r="241" spans="1:25" ht="18" customHeight="1" x14ac:dyDescent="0.2">
      <c r="A241" s="337"/>
      <c r="B241" s="337"/>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row>
    <row r="242" spans="1:25" ht="18" customHeight="1" x14ac:dyDescent="0.2">
      <c r="A242" s="337"/>
      <c r="B242" s="337"/>
      <c r="C242" s="686"/>
      <c r="D242" s="687"/>
      <c r="E242" s="687"/>
      <c r="F242" s="687"/>
      <c r="G242" s="687"/>
      <c r="H242" s="687"/>
      <c r="I242" s="687"/>
      <c r="J242" s="687"/>
      <c r="K242" s="687"/>
      <c r="L242" s="687"/>
      <c r="M242" s="687"/>
      <c r="N242" s="687"/>
      <c r="O242" s="687"/>
      <c r="P242" s="687"/>
      <c r="Q242" s="687"/>
      <c r="R242" s="687"/>
      <c r="S242" s="687"/>
      <c r="T242" s="687"/>
      <c r="U242" s="687"/>
      <c r="V242" s="687"/>
      <c r="W242" s="687"/>
      <c r="X242" s="687"/>
      <c r="Y242" s="688"/>
    </row>
    <row r="243" spans="1:25" ht="18" customHeight="1" x14ac:dyDescent="0.2">
      <c r="A243" s="337"/>
      <c r="B243" s="337"/>
      <c r="C243" s="689"/>
      <c r="D243" s="690"/>
      <c r="E243" s="690"/>
      <c r="F243" s="690"/>
      <c r="G243" s="690"/>
      <c r="H243" s="690"/>
      <c r="I243" s="690"/>
      <c r="J243" s="690"/>
      <c r="K243" s="690"/>
      <c r="L243" s="690"/>
      <c r="M243" s="690"/>
      <c r="N243" s="690"/>
      <c r="O243" s="690"/>
      <c r="P243" s="690"/>
      <c r="Q243" s="690"/>
      <c r="R243" s="690"/>
      <c r="S243" s="690"/>
      <c r="T243" s="690"/>
      <c r="U243" s="690"/>
      <c r="V243" s="690"/>
      <c r="W243" s="690"/>
      <c r="X243" s="690"/>
      <c r="Y243" s="691"/>
    </row>
    <row r="244" spans="1:25" ht="18" customHeight="1" x14ac:dyDescent="0.2">
      <c r="A244" s="337"/>
      <c r="B244" s="337"/>
      <c r="C244" s="689"/>
      <c r="D244" s="690"/>
      <c r="E244" s="690"/>
      <c r="F244" s="690"/>
      <c r="G244" s="690"/>
      <c r="H244" s="690"/>
      <c r="I244" s="690"/>
      <c r="J244" s="690"/>
      <c r="K244" s="690"/>
      <c r="L244" s="690"/>
      <c r="M244" s="690"/>
      <c r="N244" s="690"/>
      <c r="O244" s="690"/>
      <c r="P244" s="690"/>
      <c r="Q244" s="690"/>
      <c r="R244" s="690"/>
      <c r="S244" s="690"/>
      <c r="T244" s="690"/>
      <c r="U244" s="690"/>
      <c r="V244" s="690"/>
      <c r="W244" s="690"/>
      <c r="X244" s="690"/>
      <c r="Y244" s="691"/>
    </row>
    <row r="245" spans="1:25" ht="18" customHeight="1" x14ac:dyDescent="0.2">
      <c r="A245" s="337"/>
      <c r="B245" s="337"/>
      <c r="C245" s="689"/>
      <c r="D245" s="690"/>
      <c r="E245" s="690"/>
      <c r="F245" s="690"/>
      <c r="G245" s="690"/>
      <c r="H245" s="690"/>
      <c r="I245" s="690"/>
      <c r="J245" s="690"/>
      <c r="K245" s="690"/>
      <c r="L245" s="690"/>
      <c r="M245" s="690"/>
      <c r="N245" s="690"/>
      <c r="O245" s="690"/>
      <c r="P245" s="690"/>
      <c r="Q245" s="690"/>
      <c r="R245" s="690"/>
      <c r="S245" s="690"/>
      <c r="T245" s="690"/>
      <c r="U245" s="690"/>
      <c r="V245" s="690"/>
      <c r="W245" s="690"/>
      <c r="X245" s="690"/>
      <c r="Y245" s="691"/>
    </row>
    <row r="246" spans="1:25" ht="18" customHeight="1" x14ac:dyDescent="0.2">
      <c r="A246" s="337"/>
      <c r="B246" s="337"/>
      <c r="C246" s="689"/>
      <c r="D246" s="690"/>
      <c r="E246" s="690"/>
      <c r="F246" s="690"/>
      <c r="G246" s="690"/>
      <c r="H246" s="690"/>
      <c r="I246" s="690"/>
      <c r="J246" s="690"/>
      <c r="K246" s="690"/>
      <c r="L246" s="690"/>
      <c r="M246" s="690"/>
      <c r="N246" s="690"/>
      <c r="O246" s="690"/>
      <c r="P246" s="690"/>
      <c r="Q246" s="690"/>
      <c r="R246" s="690"/>
      <c r="S246" s="690"/>
      <c r="T246" s="690"/>
      <c r="U246" s="690"/>
      <c r="V246" s="690"/>
      <c r="W246" s="690"/>
      <c r="X246" s="690"/>
      <c r="Y246" s="691"/>
    </row>
    <row r="247" spans="1:25" ht="18" customHeight="1" x14ac:dyDescent="0.2">
      <c r="A247" s="337"/>
      <c r="B247" s="337"/>
      <c r="C247" s="689"/>
      <c r="D247" s="690"/>
      <c r="E247" s="690"/>
      <c r="F247" s="690"/>
      <c r="G247" s="690"/>
      <c r="H247" s="690"/>
      <c r="I247" s="690"/>
      <c r="J247" s="690"/>
      <c r="K247" s="690"/>
      <c r="L247" s="690"/>
      <c r="M247" s="690"/>
      <c r="N247" s="690"/>
      <c r="O247" s="690"/>
      <c r="P247" s="690"/>
      <c r="Q247" s="690"/>
      <c r="R247" s="690"/>
      <c r="S247" s="690"/>
      <c r="T247" s="690"/>
      <c r="U247" s="690"/>
      <c r="V247" s="690"/>
      <c r="W247" s="690"/>
      <c r="X247" s="690"/>
      <c r="Y247" s="691"/>
    </row>
    <row r="248" spans="1:25" ht="18" customHeight="1" x14ac:dyDescent="0.2">
      <c r="A248" s="337"/>
      <c r="B248" s="337"/>
      <c r="C248" s="689"/>
      <c r="D248" s="690"/>
      <c r="E248" s="690"/>
      <c r="F248" s="690"/>
      <c r="G248" s="690"/>
      <c r="H248" s="690"/>
      <c r="I248" s="690"/>
      <c r="J248" s="690"/>
      <c r="K248" s="690"/>
      <c r="L248" s="690"/>
      <c r="M248" s="690"/>
      <c r="N248" s="690"/>
      <c r="O248" s="690"/>
      <c r="P248" s="690"/>
      <c r="Q248" s="690"/>
      <c r="R248" s="690"/>
      <c r="S248" s="690"/>
      <c r="T248" s="690"/>
      <c r="U248" s="690"/>
      <c r="V248" s="690"/>
      <c r="W248" s="690"/>
      <c r="X248" s="690"/>
      <c r="Y248" s="691"/>
    </row>
    <row r="249" spans="1:25" ht="18" customHeight="1" x14ac:dyDescent="0.2">
      <c r="A249" s="337"/>
      <c r="B249" s="337"/>
      <c r="C249" s="689"/>
      <c r="D249" s="690"/>
      <c r="E249" s="690"/>
      <c r="F249" s="690"/>
      <c r="G249" s="690"/>
      <c r="H249" s="690"/>
      <c r="I249" s="690"/>
      <c r="J249" s="690"/>
      <c r="K249" s="690"/>
      <c r="L249" s="690"/>
      <c r="M249" s="690"/>
      <c r="N249" s="690"/>
      <c r="O249" s="690"/>
      <c r="P249" s="690"/>
      <c r="Q249" s="690"/>
      <c r="R249" s="690"/>
      <c r="S249" s="690"/>
      <c r="T249" s="690"/>
      <c r="U249" s="690"/>
      <c r="V249" s="690"/>
      <c r="W249" s="690"/>
      <c r="X249" s="690"/>
      <c r="Y249" s="691"/>
    </row>
    <row r="250" spans="1:25" ht="18" customHeight="1" x14ac:dyDescent="0.2">
      <c r="A250" s="337"/>
      <c r="B250" s="337"/>
      <c r="C250" s="689"/>
      <c r="D250" s="690"/>
      <c r="E250" s="690"/>
      <c r="F250" s="690"/>
      <c r="G250" s="690"/>
      <c r="H250" s="690"/>
      <c r="I250" s="690"/>
      <c r="J250" s="690"/>
      <c r="K250" s="690"/>
      <c r="L250" s="690"/>
      <c r="M250" s="690"/>
      <c r="N250" s="690"/>
      <c r="O250" s="690"/>
      <c r="P250" s="690"/>
      <c r="Q250" s="690"/>
      <c r="R250" s="690"/>
      <c r="S250" s="690"/>
      <c r="T250" s="690"/>
      <c r="U250" s="690"/>
      <c r="V250" s="690"/>
      <c r="W250" s="690"/>
      <c r="X250" s="690"/>
      <c r="Y250" s="691"/>
    </row>
    <row r="251" spans="1:25" ht="18" customHeight="1" x14ac:dyDescent="0.2">
      <c r="A251" s="337"/>
      <c r="B251" s="337"/>
      <c r="C251" s="689"/>
      <c r="D251" s="690"/>
      <c r="E251" s="690"/>
      <c r="F251" s="690"/>
      <c r="G251" s="690"/>
      <c r="H251" s="690"/>
      <c r="I251" s="690"/>
      <c r="J251" s="690"/>
      <c r="K251" s="690"/>
      <c r="L251" s="690"/>
      <c r="M251" s="690"/>
      <c r="N251" s="690"/>
      <c r="O251" s="690"/>
      <c r="P251" s="690"/>
      <c r="Q251" s="690"/>
      <c r="R251" s="690"/>
      <c r="S251" s="690"/>
      <c r="T251" s="690"/>
      <c r="U251" s="690"/>
      <c r="V251" s="690"/>
      <c r="W251" s="690"/>
      <c r="X251" s="690"/>
      <c r="Y251" s="691"/>
    </row>
    <row r="252" spans="1:25" ht="18" customHeight="1" x14ac:dyDescent="0.2">
      <c r="A252" s="337"/>
      <c r="B252" s="337"/>
      <c r="C252" s="689"/>
      <c r="D252" s="690"/>
      <c r="E252" s="690"/>
      <c r="F252" s="690"/>
      <c r="G252" s="690"/>
      <c r="H252" s="690"/>
      <c r="I252" s="690"/>
      <c r="J252" s="690"/>
      <c r="K252" s="690"/>
      <c r="L252" s="690"/>
      <c r="M252" s="690"/>
      <c r="N252" s="690"/>
      <c r="O252" s="690"/>
      <c r="P252" s="690"/>
      <c r="Q252" s="690"/>
      <c r="R252" s="690"/>
      <c r="S252" s="690"/>
      <c r="T252" s="690"/>
      <c r="U252" s="690"/>
      <c r="V252" s="690"/>
      <c r="W252" s="690"/>
      <c r="X252" s="690"/>
      <c r="Y252" s="691"/>
    </row>
    <row r="253" spans="1:25" ht="18" customHeight="1" x14ac:dyDescent="0.2">
      <c r="A253" s="337"/>
      <c r="B253" s="337"/>
      <c r="C253" s="689"/>
      <c r="D253" s="690"/>
      <c r="E253" s="690"/>
      <c r="F253" s="690"/>
      <c r="G253" s="690"/>
      <c r="H253" s="690"/>
      <c r="I253" s="690"/>
      <c r="J253" s="690"/>
      <c r="K253" s="690"/>
      <c r="L253" s="690"/>
      <c r="M253" s="690"/>
      <c r="N253" s="690"/>
      <c r="O253" s="690"/>
      <c r="P253" s="690"/>
      <c r="Q253" s="690"/>
      <c r="R253" s="690"/>
      <c r="S253" s="690"/>
      <c r="T253" s="690"/>
      <c r="U253" s="690"/>
      <c r="V253" s="690"/>
      <c r="W253" s="690"/>
      <c r="X253" s="690"/>
      <c r="Y253" s="691"/>
    </row>
    <row r="254" spans="1:25" ht="18" customHeight="1" x14ac:dyDescent="0.2">
      <c r="A254" s="337"/>
      <c r="B254" s="337"/>
      <c r="C254" s="689"/>
      <c r="D254" s="690"/>
      <c r="E254" s="690"/>
      <c r="F254" s="690"/>
      <c r="G254" s="690"/>
      <c r="H254" s="690"/>
      <c r="I254" s="690"/>
      <c r="J254" s="690"/>
      <c r="K254" s="690"/>
      <c r="L254" s="690"/>
      <c r="M254" s="690"/>
      <c r="N254" s="690"/>
      <c r="O254" s="690"/>
      <c r="P254" s="690"/>
      <c r="Q254" s="690"/>
      <c r="R254" s="690"/>
      <c r="S254" s="690"/>
      <c r="T254" s="690"/>
      <c r="U254" s="690"/>
      <c r="V254" s="690"/>
      <c r="W254" s="690"/>
      <c r="X254" s="690"/>
      <c r="Y254" s="691"/>
    </row>
    <row r="255" spans="1:25" ht="18" customHeight="1" x14ac:dyDescent="0.2">
      <c r="A255" s="337"/>
      <c r="B255" s="337"/>
      <c r="C255" s="689"/>
      <c r="D255" s="690"/>
      <c r="E255" s="690"/>
      <c r="F255" s="690"/>
      <c r="G255" s="690"/>
      <c r="H255" s="690"/>
      <c r="I255" s="690"/>
      <c r="J255" s="690"/>
      <c r="K255" s="690"/>
      <c r="L255" s="690"/>
      <c r="M255" s="690"/>
      <c r="N255" s="690"/>
      <c r="O255" s="690"/>
      <c r="P255" s="690"/>
      <c r="Q255" s="690"/>
      <c r="R255" s="690"/>
      <c r="S255" s="690"/>
      <c r="T255" s="690"/>
      <c r="U255" s="690"/>
      <c r="V255" s="690"/>
      <c r="W255" s="690"/>
      <c r="X255" s="690"/>
      <c r="Y255" s="691"/>
    </row>
    <row r="256" spans="1:25" ht="18" customHeight="1" x14ac:dyDescent="0.2">
      <c r="A256" s="337"/>
      <c r="B256" s="337"/>
      <c r="C256" s="689"/>
      <c r="D256" s="690"/>
      <c r="E256" s="690"/>
      <c r="F256" s="690"/>
      <c r="G256" s="690"/>
      <c r="H256" s="690"/>
      <c r="I256" s="690"/>
      <c r="J256" s="690"/>
      <c r="K256" s="690"/>
      <c r="L256" s="690"/>
      <c r="M256" s="690"/>
      <c r="N256" s="690"/>
      <c r="O256" s="690"/>
      <c r="P256" s="690"/>
      <c r="Q256" s="690"/>
      <c r="R256" s="690"/>
      <c r="S256" s="690"/>
      <c r="T256" s="690"/>
      <c r="U256" s="690"/>
      <c r="V256" s="690"/>
      <c r="W256" s="690"/>
      <c r="X256" s="690"/>
      <c r="Y256" s="691"/>
    </row>
    <row r="257" spans="1:25" ht="18" customHeight="1" x14ac:dyDescent="0.2">
      <c r="A257" s="337"/>
      <c r="B257" s="337"/>
      <c r="C257" s="689"/>
      <c r="D257" s="690"/>
      <c r="E257" s="690"/>
      <c r="F257" s="690"/>
      <c r="G257" s="690"/>
      <c r="H257" s="690"/>
      <c r="I257" s="690"/>
      <c r="J257" s="690"/>
      <c r="K257" s="690"/>
      <c r="L257" s="690"/>
      <c r="M257" s="690"/>
      <c r="N257" s="690"/>
      <c r="O257" s="690"/>
      <c r="P257" s="690"/>
      <c r="Q257" s="690"/>
      <c r="R257" s="690"/>
      <c r="S257" s="690"/>
      <c r="T257" s="690"/>
      <c r="U257" s="690"/>
      <c r="V257" s="690"/>
      <c r="W257" s="690"/>
      <c r="X257" s="690"/>
      <c r="Y257" s="691"/>
    </row>
    <row r="258" spans="1:25" ht="18" customHeight="1" x14ac:dyDescent="0.2">
      <c r="A258" s="337"/>
      <c r="B258" s="337"/>
      <c r="C258" s="689"/>
      <c r="D258" s="690"/>
      <c r="E258" s="690"/>
      <c r="F258" s="690"/>
      <c r="G258" s="690"/>
      <c r="H258" s="690"/>
      <c r="I258" s="690"/>
      <c r="J258" s="690"/>
      <c r="K258" s="690"/>
      <c r="L258" s="690"/>
      <c r="M258" s="690"/>
      <c r="N258" s="690"/>
      <c r="O258" s="690"/>
      <c r="P258" s="690"/>
      <c r="Q258" s="690"/>
      <c r="R258" s="690"/>
      <c r="S258" s="690"/>
      <c r="T258" s="690"/>
      <c r="U258" s="690"/>
      <c r="V258" s="690"/>
      <c r="W258" s="690"/>
      <c r="X258" s="690"/>
      <c r="Y258" s="691"/>
    </row>
    <row r="259" spans="1:25" ht="18" customHeight="1" x14ac:dyDescent="0.2">
      <c r="A259" s="337"/>
      <c r="B259" s="337"/>
      <c r="C259" s="689"/>
      <c r="D259" s="690"/>
      <c r="E259" s="690"/>
      <c r="F259" s="690"/>
      <c r="G259" s="690"/>
      <c r="H259" s="690"/>
      <c r="I259" s="690"/>
      <c r="J259" s="690"/>
      <c r="K259" s="690"/>
      <c r="L259" s="690"/>
      <c r="M259" s="690"/>
      <c r="N259" s="690"/>
      <c r="O259" s="690"/>
      <c r="P259" s="690"/>
      <c r="Q259" s="690"/>
      <c r="R259" s="690"/>
      <c r="S259" s="690"/>
      <c r="T259" s="690"/>
      <c r="U259" s="690"/>
      <c r="V259" s="690"/>
      <c r="W259" s="690"/>
      <c r="X259" s="690"/>
      <c r="Y259" s="691"/>
    </row>
    <row r="260" spans="1:25" ht="18" customHeight="1" x14ac:dyDescent="0.2">
      <c r="A260" s="337"/>
      <c r="B260" s="337"/>
      <c r="C260" s="689"/>
      <c r="D260" s="690"/>
      <c r="E260" s="690"/>
      <c r="F260" s="690"/>
      <c r="G260" s="690"/>
      <c r="H260" s="690"/>
      <c r="I260" s="690"/>
      <c r="J260" s="690"/>
      <c r="K260" s="690"/>
      <c r="L260" s="690"/>
      <c r="M260" s="690"/>
      <c r="N260" s="690"/>
      <c r="O260" s="690"/>
      <c r="P260" s="690"/>
      <c r="Q260" s="690"/>
      <c r="R260" s="690"/>
      <c r="S260" s="690"/>
      <c r="T260" s="690"/>
      <c r="U260" s="690"/>
      <c r="V260" s="690"/>
      <c r="W260" s="690"/>
      <c r="X260" s="690"/>
      <c r="Y260" s="691"/>
    </row>
    <row r="261" spans="1:25" ht="18" customHeight="1" x14ac:dyDescent="0.2">
      <c r="A261" s="337"/>
      <c r="B261" s="337"/>
      <c r="C261" s="689"/>
      <c r="D261" s="690"/>
      <c r="E261" s="690"/>
      <c r="F261" s="690"/>
      <c r="G261" s="690"/>
      <c r="H261" s="690"/>
      <c r="I261" s="690"/>
      <c r="J261" s="690"/>
      <c r="K261" s="690"/>
      <c r="L261" s="690"/>
      <c r="M261" s="690"/>
      <c r="N261" s="690"/>
      <c r="O261" s="690"/>
      <c r="P261" s="690"/>
      <c r="Q261" s="690"/>
      <c r="R261" s="690"/>
      <c r="S261" s="690"/>
      <c r="T261" s="690"/>
      <c r="U261" s="690"/>
      <c r="V261" s="690"/>
      <c r="W261" s="690"/>
      <c r="X261" s="690"/>
      <c r="Y261" s="691"/>
    </row>
    <row r="262" spans="1:25" ht="18" customHeight="1" x14ac:dyDescent="0.2">
      <c r="A262" s="337"/>
      <c r="B262" s="337"/>
      <c r="C262" s="689"/>
      <c r="D262" s="690"/>
      <c r="E262" s="690"/>
      <c r="F262" s="690"/>
      <c r="G262" s="690"/>
      <c r="H262" s="690"/>
      <c r="I262" s="690"/>
      <c r="J262" s="690"/>
      <c r="K262" s="690"/>
      <c r="L262" s="690"/>
      <c r="M262" s="690"/>
      <c r="N262" s="690"/>
      <c r="O262" s="690"/>
      <c r="P262" s="690"/>
      <c r="Q262" s="690"/>
      <c r="R262" s="690"/>
      <c r="S262" s="690"/>
      <c r="T262" s="690"/>
      <c r="U262" s="690"/>
      <c r="V262" s="690"/>
      <c r="W262" s="690"/>
      <c r="X262" s="690"/>
      <c r="Y262" s="691"/>
    </row>
    <row r="263" spans="1:25" ht="18" customHeight="1" x14ac:dyDescent="0.2">
      <c r="A263" s="337"/>
      <c r="B263" s="337"/>
      <c r="C263" s="689"/>
      <c r="D263" s="690"/>
      <c r="E263" s="690"/>
      <c r="F263" s="690"/>
      <c r="G263" s="690"/>
      <c r="H263" s="690"/>
      <c r="I263" s="690"/>
      <c r="J263" s="690"/>
      <c r="K263" s="690"/>
      <c r="L263" s="690"/>
      <c r="M263" s="690"/>
      <c r="N263" s="690"/>
      <c r="O263" s="690"/>
      <c r="P263" s="690"/>
      <c r="Q263" s="690"/>
      <c r="R263" s="690"/>
      <c r="S263" s="690"/>
      <c r="T263" s="690"/>
      <c r="U263" s="690"/>
      <c r="V263" s="690"/>
      <c r="W263" s="690"/>
      <c r="X263" s="690"/>
      <c r="Y263" s="691"/>
    </row>
    <row r="264" spans="1:25" ht="18" customHeight="1" x14ac:dyDescent="0.2">
      <c r="A264" s="337"/>
      <c r="B264" s="337"/>
      <c r="C264" s="689"/>
      <c r="D264" s="690"/>
      <c r="E264" s="690"/>
      <c r="F264" s="690"/>
      <c r="G264" s="690"/>
      <c r="H264" s="690"/>
      <c r="I264" s="690"/>
      <c r="J264" s="690"/>
      <c r="K264" s="690"/>
      <c r="L264" s="690"/>
      <c r="M264" s="690"/>
      <c r="N264" s="690"/>
      <c r="O264" s="690"/>
      <c r="P264" s="690"/>
      <c r="Q264" s="690"/>
      <c r="R264" s="690"/>
      <c r="S264" s="690"/>
      <c r="T264" s="690"/>
      <c r="U264" s="690"/>
      <c r="V264" s="690"/>
      <c r="W264" s="690"/>
      <c r="X264" s="690"/>
      <c r="Y264" s="691"/>
    </row>
    <row r="265" spans="1:25" ht="18" customHeight="1" x14ac:dyDescent="0.2">
      <c r="A265" s="337"/>
      <c r="B265" s="337"/>
      <c r="C265" s="689"/>
      <c r="D265" s="690"/>
      <c r="E265" s="690"/>
      <c r="F265" s="690"/>
      <c r="G265" s="690"/>
      <c r="H265" s="690"/>
      <c r="I265" s="690"/>
      <c r="J265" s="690"/>
      <c r="K265" s="690"/>
      <c r="L265" s="690"/>
      <c r="M265" s="690"/>
      <c r="N265" s="690"/>
      <c r="O265" s="690"/>
      <c r="P265" s="690"/>
      <c r="Q265" s="690"/>
      <c r="R265" s="690"/>
      <c r="S265" s="690"/>
      <c r="T265" s="690"/>
      <c r="U265" s="690"/>
      <c r="V265" s="690"/>
      <c r="W265" s="690"/>
      <c r="X265" s="690"/>
      <c r="Y265" s="691"/>
    </row>
    <row r="266" spans="1:25" ht="18" customHeight="1" x14ac:dyDescent="0.2">
      <c r="A266" s="337"/>
      <c r="B266" s="337"/>
      <c r="C266" s="689"/>
      <c r="D266" s="690"/>
      <c r="E266" s="690"/>
      <c r="F266" s="690"/>
      <c r="G266" s="690"/>
      <c r="H266" s="690"/>
      <c r="I266" s="690"/>
      <c r="J266" s="690"/>
      <c r="K266" s="690"/>
      <c r="L266" s="690"/>
      <c r="M266" s="690"/>
      <c r="N266" s="690"/>
      <c r="O266" s="690"/>
      <c r="P266" s="690"/>
      <c r="Q266" s="690"/>
      <c r="R266" s="690"/>
      <c r="S266" s="690"/>
      <c r="T266" s="690"/>
      <c r="U266" s="690"/>
      <c r="V266" s="690"/>
      <c r="W266" s="690"/>
      <c r="X266" s="690"/>
      <c r="Y266" s="691"/>
    </row>
    <row r="267" spans="1:25" ht="18" customHeight="1" x14ac:dyDescent="0.2">
      <c r="A267" s="337"/>
      <c r="B267" s="337"/>
      <c r="C267" s="689"/>
      <c r="D267" s="690"/>
      <c r="E267" s="690"/>
      <c r="F267" s="690"/>
      <c r="G267" s="690"/>
      <c r="H267" s="690"/>
      <c r="I267" s="690"/>
      <c r="J267" s="690"/>
      <c r="K267" s="690"/>
      <c r="L267" s="690"/>
      <c r="M267" s="690"/>
      <c r="N267" s="690"/>
      <c r="O267" s="690"/>
      <c r="P267" s="690"/>
      <c r="Q267" s="690"/>
      <c r="R267" s="690"/>
      <c r="S267" s="690"/>
      <c r="T267" s="690"/>
      <c r="U267" s="690"/>
      <c r="V267" s="690"/>
      <c r="W267" s="690"/>
      <c r="X267" s="690"/>
      <c r="Y267" s="691"/>
    </row>
    <row r="268" spans="1:25" ht="18" customHeight="1" x14ac:dyDescent="0.2">
      <c r="A268" s="337"/>
      <c r="B268" s="337"/>
      <c r="C268" s="689"/>
      <c r="D268" s="690"/>
      <c r="E268" s="690"/>
      <c r="F268" s="690"/>
      <c r="G268" s="690"/>
      <c r="H268" s="690"/>
      <c r="I268" s="690"/>
      <c r="J268" s="690"/>
      <c r="K268" s="690"/>
      <c r="L268" s="690"/>
      <c r="M268" s="690"/>
      <c r="N268" s="690"/>
      <c r="O268" s="690"/>
      <c r="P268" s="690"/>
      <c r="Q268" s="690"/>
      <c r="R268" s="690"/>
      <c r="S268" s="690"/>
      <c r="T268" s="690"/>
      <c r="U268" s="690"/>
      <c r="V268" s="690"/>
      <c r="W268" s="690"/>
      <c r="X268" s="690"/>
      <c r="Y268" s="691"/>
    </row>
    <row r="269" spans="1:25" ht="18" customHeight="1" x14ac:dyDescent="0.2">
      <c r="A269" s="337"/>
      <c r="B269" s="337"/>
      <c r="C269" s="689"/>
      <c r="D269" s="690"/>
      <c r="E269" s="690"/>
      <c r="F269" s="690"/>
      <c r="G269" s="690"/>
      <c r="H269" s="690"/>
      <c r="I269" s="690"/>
      <c r="J269" s="690"/>
      <c r="K269" s="690"/>
      <c r="L269" s="690"/>
      <c r="M269" s="690"/>
      <c r="N269" s="690"/>
      <c r="O269" s="690"/>
      <c r="P269" s="690"/>
      <c r="Q269" s="690"/>
      <c r="R269" s="690"/>
      <c r="S269" s="690"/>
      <c r="T269" s="690"/>
      <c r="U269" s="690"/>
      <c r="V269" s="690"/>
      <c r="W269" s="690"/>
      <c r="X269" s="690"/>
      <c r="Y269" s="691"/>
    </row>
    <row r="270" spans="1:25" ht="18" customHeight="1" x14ac:dyDescent="0.2">
      <c r="A270" s="337"/>
      <c r="B270" s="337"/>
      <c r="C270" s="689"/>
      <c r="D270" s="690"/>
      <c r="E270" s="690"/>
      <c r="F270" s="690"/>
      <c r="G270" s="690"/>
      <c r="H270" s="690"/>
      <c r="I270" s="690"/>
      <c r="J270" s="690"/>
      <c r="K270" s="690"/>
      <c r="L270" s="690"/>
      <c r="M270" s="690"/>
      <c r="N270" s="690"/>
      <c r="O270" s="690"/>
      <c r="P270" s="690"/>
      <c r="Q270" s="690"/>
      <c r="R270" s="690"/>
      <c r="S270" s="690"/>
      <c r="T270" s="690"/>
      <c r="U270" s="690"/>
      <c r="V270" s="690"/>
      <c r="W270" s="690"/>
      <c r="X270" s="690"/>
      <c r="Y270" s="691"/>
    </row>
    <row r="271" spans="1:25" ht="18" customHeight="1" x14ac:dyDescent="0.2">
      <c r="A271" s="337"/>
      <c r="B271" s="337"/>
      <c r="C271" s="689"/>
      <c r="D271" s="690"/>
      <c r="E271" s="690"/>
      <c r="F271" s="690"/>
      <c r="G271" s="690"/>
      <c r="H271" s="690"/>
      <c r="I271" s="690"/>
      <c r="J271" s="690"/>
      <c r="K271" s="690"/>
      <c r="L271" s="690"/>
      <c r="M271" s="690"/>
      <c r="N271" s="690"/>
      <c r="O271" s="690"/>
      <c r="P271" s="690"/>
      <c r="Q271" s="690"/>
      <c r="R271" s="690"/>
      <c r="S271" s="690"/>
      <c r="T271" s="690"/>
      <c r="U271" s="690"/>
      <c r="V271" s="690"/>
      <c r="W271" s="690"/>
      <c r="X271" s="690"/>
      <c r="Y271" s="691"/>
    </row>
    <row r="272" spans="1:25" ht="18" customHeight="1" x14ac:dyDescent="0.2">
      <c r="A272" s="337"/>
      <c r="B272" s="337"/>
      <c r="C272" s="689"/>
      <c r="D272" s="690"/>
      <c r="E272" s="690"/>
      <c r="F272" s="690"/>
      <c r="G272" s="690"/>
      <c r="H272" s="690"/>
      <c r="I272" s="690"/>
      <c r="J272" s="690"/>
      <c r="K272" s="690"/>
      <c r="L272" s="690"/>
      <c r="M272" s="690"/>
      <c r="N272" s="690"/>
      <c r="O272" s="690"/>
      <c r="P272" s="690"/>
      <c r="Q272" s="690"/>
      <c r="R272" s="690"/>
      <c r="S272" s="690"/>
      <c r="T272" s="690"/>
      <c r="U272" s="690"/>
      <c r="V272" s="690"/>
      <c r="W272" s="690"/>
      <c r="X272" s="690"/>
      <c r="Y272" s="691"/>
    </row>
    <row r="273" spans="1:25" ht="18" customHeight="1" x14ac:dyDescent="0.2">
      <c r="A273" s="337"/>
      <c r="B273" s="337"/>
      <c r="C273" s="689"/>
      <c r="D273" s="690"/>
      <c r="E273" s="690"/>
      <c r="F273" s="690"/>
      <c r="G273" s="690"/>
      <c r="H273" s="690"/>
      <c r="I273" s="690"/>
      <c r="J273" s="690"/>
      <c r="K273" s="690"/>
      <c r="L273" s="690"/>
      <c r="M273" s="690"/>
      <c r="N273" s="690"/>
      <c r="O273" s="690"/>
      <c r="P273" s="690"/>
      <c r="Q273" s="690"/>
      <c r="R273" s="690"/>
      <c r="S273" s="690"/>
      <c r="T273" s="690"/>
      <c r="U273" s="690"/>
      <c r="V273" s="690"/>
      <c r="W273" s="690"/>
      <c r="X273" s="690"/>
      <c r="Y273" s="691"/>
    </row>
    <row r="274" spans="1:25" ht="18" customHeight="1" x14ac:dyDescent="0.2">
      <c r="A274" s="337"/>
      <c r="B274" s="337"/>
      <c r="C274" s="689"/>
      <c r="D274" s="690"/>
      <c r="E274" s="690"/>
      <c r="F274" s="690"/>
      <c r="G274" s="690"/>
      <c r="H274" s="690"/>
      <c r="I274" s="690"/>
      <c r="J274" s="690"/>
      <c r="K274" s="690"/>
      <c r="L274" s="690"/>
      <c r="M274" s="690"/>
      <c r="N274" s="690"/>
      <c r="O274" s="690"/>
      <c r="P274" s="690"/>
      <c r="Q274" s="690"/>
      <c r="R274" s="690"/>
      <c r="S274" s="690"/>
      <c r="T274" s="690"/>
      <c r="U274" s="690"/>
      <c r="V274" s="690"/>
      <c r="W274" s="690"/>
      <c r="X274" s="690"/>
      <c r="Y274" s="691"/>
    </row>
    <row r="275" spans="1:25" ht="18" customHeight="1" x14ac:dyDescent="0.2">
      <c r="A275" s="337"/>
      <c r="B275" s="337"/>
      <c r="C275" s="689"/>
      <c r="D275" s="690"/>
      <c r="E275" s="690"/>
      <c r="F275" s="690"/>
      <c r="G275" s="690"/>
      <c r="H275" s="690"/>
      <c r="I275" s="690"/>
      <c r="J275" s="690"/>
      <c r="K275" s="690"/>
      <c r="L275" s="690"/>
      <c r="M275" s="690"/>
      <c r="N275" s="690"/>
      <c r="O275" s="690"/>
      <c r="P275" s="690"/>
      <c r="Q275" s="690"/>
      <c r="R275" s="690"/>
      <c r="S275" s="690"/>
      <c r="T275" s="690"/>
      <c r="U275" s="690"/>
      <c r="V275" s="690"/>
      <c r="W275" s="690"/>
      <c r="X275" s="690"/>
      <c r="Y275" s="691"/>
    </row>
    <row r="276" spans="1:25" ht="18" customHeight="1" x14ac:dyDescent="0.2">
      <c r="A276" s="337"/>
      <c r="B276" s="337"/>
      <c r="C276" s="689"/>
      <c r="D276" s="690"/>
      <c r="E276" s="690"/>
      <c r="F276" s="690"/>
      <c r="G276" s="690"/>
      <c r="H276" s="690"/>
      <c r="I276" s="690"/>
      <c r="J276" s="690"/>
      <c r="K276" s="690"/>
      <c r="L276" s="690"/>
      <c r="M276" s="690"/>
      <c r="N276" s="690"/>
      <c r="O276" s="690"/>
      <c r="P276" s="690"/>
      <c r="Q276" s="690"/>
      <c r="R276" s="690"/>
      <c r="S276" s="690"/>
      <c r="T276" s="690"/>
      <c r="U276" s="690"/>
      <c r="V276" s="690"/>
      <c r="W276" s="690"/>
      <c r="X276" s="690"/>
      <c r="Y276" s="691"/>
    </row>
    <row r="277" spans="1:25" ht="18" customHeight="1" x14ac:dyDescent="0.2">
      <c r="A277" s="337"/>
      <c r="B277" s="337"/>
      <c r="C277" s="689"/>
      <c r="D277" s="690"/>
      <c r="E277" s="690"/>
      <c r="F277" s="690"/>
      <c r="G277" s="690"/>
      <c r="H277" s="690"/>
      <c r="I277" s="690"/>
      <c r="J277" s="690"/>
      <c r="K277" s="690"/>
      <c r="L277" s="690"/>
      <c r="M277" s="690"/>
      <c r="N277" s="690"/>
      <c r="O277" s="690"/>
      <c r="P277" s="690"/>
      <c r="Q277" s="690"/>
      <c r="R277" s="690"/>
      <c r="S277" s="690"/>
      <c r="T277" s="690"/>
      <c r="U277" s="690"/>
      <c r="V277" s="690"/>
      <c r="W277" s="690"/>
      <c r="X277" s="690"/>
      <c r="Y277" s="691"/>
    </row>
    <row r="278" spans="1:25" ht="18" customHeight="1" x14ac:dyDescent="0.2">
      <c r="A278" s="337"/>
      <c r="B278" s="337"/>
      <c r="C278" s="689"/>
      <c r="D278" s="690"/>
      <c r="E278" s="690"/>
      <c r="F278" s="690"/>
      <c r="G278" s="690"/>
      <c r="H278" s="690"/>
      <c r="I278" s="690"/>
      <c r="J278" s="690"/>
      <c r="K278" s="690"/>
      <c r="L278" s="690"/>
      <c r="M278" s="690"/>
      <c r="N278" s="690"/>
      <c r="O278" s="690"/>
      <c r="P278" s="690"/>
      <c r="Q278" s="690"/>
      <c r="R278" s="690"/>
      <c r="S278" s="690"/>
      <c r="T278" s="690"/>
      <c r="U278" s="690"/>
      <c r="V278" s="690"/>
      <c r="W278" s="690"/>
      <c r="X278" s="690"/>
      <c r="Y278" s="691"/>
    </row>
    <row r="279" spans="1:25" ht="18" customHeight="1" x14ac:dyDescent="0.2">
      <c r="A279" s="337"/>
      <c r="B279" s="337"/>
      <c r="C279" s="689"/>
      <c r="D279" s="690"/>
      <c r="E279" s="690"/>
      <c r="F279" s="690"/>
      <c r="G279" s="690"/>
      <c r="H279" s="690"/>
      <c r="I279" s="690"/>
      <c r="J279" s="690"/>
      <c r="K279" s="690"/>
      <c r="L279" s="690"/>
      <c r="M279" s="690"/>
      <c r="N279" s="690"/>
      <c r="O279" s="690"/>
      <c r="P279" s="690"/>
      <c r="Q279" s="690"/>
      <c r="R279" s="690"/>
      <c r="S279" s="690"/>
      <c r="T279" s="690"/>
      <c r="U279" s="690"/>
      <c r="V279" s="690"/>
      <c r="W279" s="690"/>
      <c r="X279" s="690"/>
      <c r="Y279" s="691"/>
    </row>
    <row r="280" spans="1:25" ht="18" customHeight="1" x14ac:dyDescent="0.2">
      <c r="A280" s="337"/>
      <c r="B280" s="337"/>
      <c r="C280" s="689"/>
      <c r="D280" s="690"/>
      <c r="E280" s="690"/>
      <c r="F280" s="690"/>
      <c r="G280" s="690"/>
      <c r="H280" s="690"/>
      <c r="I280" s="690"/>
      <c r="J280" s="690"/>
      <c r="K280" s="690"/>
      <c r="L280" s="690"/>
      <c r="M280" s="690"/>
      <c r="N280" s="690"/>
      <c r="O280" s="690"/>
      <c r="P280" s="690"/>
      <c r="Q280" s="690"/>
      <c r="R280" s="690"/>
      <c r="S280" s="690"/>
      <c r="T280" s="690"/>
      <c r="U280" s="690"/>
      <c r="V280" s="690"/>
      <c r="W280" s="690"/>
      <c r="X280" s="690"/>
      <c r="Y280" s="691"/>
    </row>
    <row r="281" spans="1:25" ht="18" customHeight="1" x14ac:dyDescent="0.2">
      <c r="A281" s="337"/>
      <c r="B281" s="337"/>
      <c r="C281" s="689"/>
      <c r="D281" s="690"/>
      <c r="E281" s="690"/>
      <c r="F281" s="690"/>
      <c r="G281" s="690"/>
      <c r="H281" s="690"/>
      <c r="I281" s="690"/>
      <c r="J281" s="690"/>
      <c r="K281" s="690"/>
      <c r="L281" s="690"/>
      <c r="M281" s="690"/>
      <c r="N281" s="690"/>
      <c r="O281" s="690"/>
      <c r="P281" s="690"/>
      <c r="Q281" s="690"/>
      <c r="R281" s="690"/>
      <c r="S281" s="690"/>
      <c r="T281" s="690"/>
      <c r="U281" s="690"/>
      <c r="V281" s="690"/>
      <c r="W281" s="690"/>
      <c r="X281" s="690"/>
      <c r="Y281" s="691"/>
    </row>
    <row r="282" spans="1:25" ht="18" customHeight="1" x14ac:dyDescent="0.2">
      <c r="A282" s="337"/>
      <c r="B282" s="337"/>
      <c r="C282" s="689"/>
      <c r="D282" s="690"/>
      <c r="E282" s="690"/>
      <c r="F282" s="690"/>
      <c r="G282" s="690"/>
      <c r="H282" s="690"/>
      <c r="I282" s="690"/>
      <c r="J282" s="690"/>
      <c r="K282" s="690"/>
      <c r="L282" s="690"/>
      <c r="M282" s="690"/>
      <c r="N282" s="690"/>
      <c r="O282" s="690"/>
      <c r="P282" s="690"/>
      <c r="Q282" s="690"/>
      <c r="R282" s="690"/>
      <c r="S282" s="690"/>
      <c r="T282" s="690"/>
      <c r="U282" s="690"/>
      <c r="V282" s="690"/>
      <c r="W282" s="690"/>
      <c r="X282" s="690"/>
      <c r="Y282" s="691"/>
    </row>
    <row r="283" spans="1:25" ht="18" customHeight="1" x14ac:dyDescent="0.2">
      <c r="A283" s="337"/>
      <c r="B283" s="337"/>
      <c r="C283" s="689"/>
      <c r="D283" s="690"/>
      <c r="E283" s="690"/>
      <c r="F283" s="690"/>
      <c r="G283" s="690"/>
      <c r="H283" s="690"/>
      <c r="I283" s="690"/>
      <c r="J283" s="690"/>
      <c r="K283" s="690"/>
      <c r="L283" s="690"/>
      <c r="M283" s="690"/>
      <c r="N283" s="690"/>
      <c r="O283" s="690"/>
      <c r="P283" s="690"/>
      <c r="Q283" s="690"/>
      <c r="R283" s="690"/>
      <c r="S283" s="690"/>
      <c r="T283" s="690"/>
      <c r="U283" s="690"/>
      <c r="V283" s="690"/>
      <c r="W283" s="690"/>
      <c r="X283" s="690"/>
      <c r="Y283" s="691"/>
    </row>
    <row r="284" spans="1:25" ht="18" customHeight="1" x14ac:dyDescent="0.2">
      <c r="A284" s="337"/>
      <c r="B284" s="337"/>
      <c r="C284" s="689"/>
      <c r="D284" s="690"/>
      <c r="E284" s="690"/>
      <c r="F284" s="690"/>
      <c r="G284" s="690"/>
      <c r="H284" s="690"/>
      <c r="I284" s="690"/>
      <c r="J284" s="690"/>
      <c r="K284" s="690"/>
      <c r="L284" s="690"/>
      <c r="M284" s="690"/>
      <c r="N284" s="690"/>
      <c r="O284" s="690"/>
      <c r="P284" s="690"/>
      <c r="Q284" s="690"/>
      <c r="R284" s="690"/>
      <c r="S284" s="690"/>
      <c r="T284" s="690"/>
      <c r="U284" s="690"/>
      <c r="V284" s="690"/>
      <c r="W284" s="690"/>
      <c r="X284" s="690"/>
      <c r="Y284" s="691"/>
    </row>
    <row r="285" spans="1:25" ht="18" customHeight="1" x14ac:dyDescent="0.2">
      <c r="A285" s="337"/>
      <c r="B285" s="337"/>
      <c r="C285" s="689"/>
      <c r="D285" s="690"/>
      <c r="E285" s="690"/>
      <c r="F285" s="690"/>
      <c r="G285" s="690"/>
      <c r="H285" s="690"/>
      <c r="I285" s="690"/>
      <c r="J285" s="690"/>
      <c r="K285" s="690"/>
      <c r="L285" s="690"/>
      <c r="M285" s="690"/>
      <c r="N285" s="690"/>
      <c r="O285" s="690"/>
      <c r="P285" s="690"/>
      <c r="Q285" s="690"/>
      <c r="R285" s="690"/>
      <c r="S285" s="690"/>
      <c r="T285" s="690"/>
      <c r="U285" s="690"/>
      <c r="V285" s="690"/>
      <c r="W285" s="690"/>
      <c r="X285" s="690"/>
      <c r="Y285" s="691"/>
    </row>
    <row r="286" spans="1:25" ht="18" customHeight="1" x14ac:dyDescent="0.2">
      <c r="A286" s="337"/>
      <c r="B286" s="337"/>
      <c r="C286" s="689"/>
      <c r="D286" s="690"/>
      <c r="E286" s="690"/>
      <c r="F286" s="690"/>
      <c r="G286" s="690"/>
      <c r="H286" s="690"/>
      <c r="I286" s="690"/>
      <c r="J286" s="690"/>
      <c r="K286" s="690"/>
      <c r="L286" s="690"/>
      <c r="M286" s="690"/>
      <c r="N286" s="690"/>
      <c r="O286" s="690"/>
      <c r="P286" s="690"/>
      <c r="Q286" s="690"/>
      <c r="R286" s="690"/>
      <c r="S286" s="690"/>
      <c r="T286" s="690"/>
      <c r="U286" s="690"/>
      <c r="V286" s="690"/>
      <c r="W286" s="690"/>
      <c r="X286" s="690"/>
      <c r="Y286" s="691"/>
    </row>
    <row r="287" spans="1:25" ht="18" customHeight="1" x14ac:dyDescent="0.2">
      <c r="A287" s="337"/>
      <c r="B287" s="337"/>
      <c r="C287" s="692"/>
      <c r="D287" s="693"/>
      <c r="E287" s="693"/>
      <c r="F287" s="693"/>
      <c r="G287" s="693"/>
      <c r="H287" s="693"/>
      <c r="I287" s="693"/>
      <c r="J287" s="693"/>
      <c r="K287" s="693"/>
      <c r="L287" s="693"/>
      <c r="M287" s="693"/>
      <c r="N287" s="693"/>
      <c r="O287" s="693"/>
      <c r="P287" s="693"/>
      <c r="Q287" s="693"/>
      <c r="R287" s="693"/>
      <c r="S287" s="693"/>
      <c r="T287" s="693"/>
      <c r="U287" s="693"/>
      <c r="V287" s="693"/>
      <c r="W287" s="693"/>
      <c r="X287" s="693"/>
      <c r="Y287" s="694"/>
    </row>
    <row r="288" spans="1:25" ht="18" customHeight="1" x14ac:dyDescent="0.2">
      <c r="A288" s="337"/>
      <c r="B288" s="337"/>
      <c r="C288" s="356"/>
      <c r="D288" s="373"/>
      <c r="E288" s="390"/>
      <c r="F288" s="357" t="s">
        <v>367</v>
      </c>
      <c r="G288" s="536"/>
      <c r="H288" s="538"/>
      <c r="I288" s="337"/>
      <c r="J288" s="337"/>
      <c r="K288" s="337"/>
      <c r="L288" s="337"/>
      <c r="M288" s="337"/>
      <c r="N288" s="337"/>
      <c r="O288" s="337"/>
    </row>
    <row r="289" spans="1:25" ht="18" customHeight="1" x14ac:dyDescent="0.2">
      <c r="A289" s="337"/>
      <c r="B289" s="337"/>
      <c r="C289" s="345"/>
      <c r="D289" s="391"/>
      <c r="E289" s="391"/>
      <c r="F289" s="391"/>
      <c r="G289" s="347"/>
      <c r="H289" s="347"/>
      <c r="O289" s="337"/>
    </row>
    <row r="290" spans="1:25" ht="18" customHeight="1" x14ac:dyDescent="0.2">
      <c r="A290" s="337"/>
      <c r="B290" s="337"/>
      <c r="C290" s="345"/>
      <c r="D290" s="391"/>
      <c r="E290" s="391"/>
      <c r="F290" s="391"/>
      <c r="G290" s="347"/>
      <c r="H290" s="347"/>
      <c r="O290" s="337"/>
    </row>
    <row r="291" spans="1:25" ht="18" customHeight="1" x14ac:dyDescent="0.2">
      <c r="A291" s="337"/>
      <c r="B291" s="337"/>
      <c r="C291" s="581" t="s">
        <v>293</v>
      </c>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row>
    <row r="292" spans="1:25" ht="18" customHeight="1" x14ac:dyDescent="0.2">
      <c r="A292" s="337"/>
      <c r="B292" s="337"/>
      <c r="C292" s="337"/>
      <c r="D292" s="337"/>
      <c r="E292" s="337"/>
      <c r="F292" s="337"/>
      <c r="G292" s="337"/>
      <c r="H292" s="337"/>
      <c r="I292" s="337"/>
      <c r="J292" s="337"/>
      <c r="K292" s="386"/>
      <c r="L292" s="386"/>
      <c r="M292" s="337"/>
      <c r="N292" s="386"/>
      <c r="O292" s="380"/>
      <c r="S292" s="353" t="s">
        <v>247</v>
      </c>
      <c r="T292" s="578"/>
      <c r="U292" s="578"/>
      <c r="V292" s="578"/>
      <c r="W292" s="578"/>
      <c r="X292" s="591" t="s">
        <v>111</v>
      </c>
      <c r="Y292" s="591"/>
    </row>
    <row r="293" spans="1:25" ht="18" customHeight="1" x14ac:dyDescent="0.2">
      <c r="A293" s="337"/>
      <c r="B293" s="337"/>
      <c r="C293" s="345"/>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row>
    <row r="294" spans="1:25" ht="18" customHeight="1" x14ac:dyDescent="0.2">
      <c r="A294" s="337"/>
      <c r="B294" s="337"/>
      <c r="C294" s="345"/>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row>
    <row r="295" spans="1:25" ht="18" customHeight="1" x14ac:dyDescent="0.2">
      <c r="A295" s="337"/>
      <c r="B295" s="337"/>
      <c r="C295" s="592" t="s">
        <v>294</v>
      </c>
      <c r="D295" s="592"/>
      <c r="E295" s="592"/>
      <c r="F295" s="592"/>
      <c r="G295" s="592"/>
      <c r="H295" s="592"/>
      <c r="I295" s="592"/>
      <c r="J295" s="592"/>
      <c r="K295" s="592"/>
      <c r="L295" s="592"/>
      <c r="M295" s="592"/>
      <c r="N295" s="592"/>
      <c r="O295" s="592"/>
      <c r="P295" s="592"/>
      <c r="Q295" s="592"/>
      <c r="R295" s="592"/>
      <c r="S295" s="592"/>
      <c r="T295" s="592"/>
      <c r="U295" s="592"/>
      <c r="V295" s="592"/>
      <c r="W295" s="592"/>
      <c r="X295" s="592"/>
      <c r="Y295" s="592"/>
    </row>
    <row r="296" spans="1:25" ht="18" customHeight="1" thickBot="1" x14ac:dyDescent="0.25">
      <c r="A296" s="337"/>
      <c r="B296" s="337"/>
      <c r="C296" s="337"/>
      <c r="D296" s="337"/>
      <c r="E296" s="337"/>
      <c r="F296" s="337"/>
      <c r="G296" s="337"/>
      <c r="H296" s="337"/>
      <c r="I296" s="337"/>
      <c r="J296" s="337"/>
      <c r="K296" s="368"/>
      <c r="L296" s="368"/>
      <c r="M296" s="368"/>
      <c r="N296" s="386"/>
      <c r="O296" s="380"/>
      <c r="S296" s="353" t="s">
        <v>248</v>
      </c>
      <c r="T296" s="590"/>
      <c r="U296" s="590"/>
      <c r="V296" s="590"/>
      <c r="W296" s="590"/>
      <c r="X296" s="591" t="s">
        <v>118</v>
      </c>
      <c r="Y296" s="591"/>
    </row>
    <row r="297" spans="1:25" ht="18" customHeight="1" thickBot="1" x14ac:dyDescent="0.25">
      <c r="A297" s="337"/>
      <c r="B297" s="337"/>
      <c r="C297" s="345"/>
      <c r="D297" s="391"/>
      <c r="E297" s="391"/>
      <c r="F297" s="391"/>
      <c r="G297" s="347"/>
      <c r="H297" s="347"/>
      <c r="O297" s="337"/>
      <c r="T297" s="392"/>
      <c r="U297" s="393"/>
      <c r="V297" s="393"/>
      <c r="W297" s="377" t="str">
        <f>CONCATENATE(IF($T$296&gt;100,"La proportion de la zone tampon occupée par un couvert végétal permanent ne peut pas être supérieure à 100%. ",""),IF(AND($T$292=0,$T$296&lt;&gt;""),"En l'absence de zone tampon, aucune valeur à octroyer en réponse à cette question.",""))</f>
        <v/>
      </c>
    </row>
    <row r="298" spans="1:25" ht="18" customHeight="1" x14ac:dyDescent="0.2">
      <c r="A298" s="337"/>
      <c r="B298" s="337"/>
      <c r="C298" s="345"/>
      <c r="D298" s="391"/>
      <c r="E298" s="391"/>
      <c r="F298" s="391"/>
      <c r="G298" s="347"/>
      <c r="H298" s="347"/>
      <c r="O298" s="337"/>
      <c r="T298" s="382"/>
      <c r="U298" s="382"/>
      <c r="V298" s="382"/>
      <c r="W298" s="378"/>
    </row>
    <row r="299" spans="1:25" ht="18" customHeight="1" x14ac:dyDescent="0.2">
      <c r="A299" s="337"/>
      <c r="B299" s="337"/>
      <c r="C299" s="345"/>
      <c r="D299" s="391"/>
      <c r="E299" s="391"/>
      <c r="F299" s="391"/>
      <c r="G299" s="347"/>
      <c r="H299" s="347"/>
      <c r="O299" s="337"/>
      <c r="T299" s="382"/>
      <c r="U299" s="382"/>
      <c r="V299" s="382"/>
      <c r="W299" s="378"/>
    </row>
    <row r="300" spans="1:25" ht="33.75" customHeight="1" x14ac:dyDescent="0.2">
      <c r="A300" s="337"/>
      <c r="B300" s="337"/>
      <c r="C300" s="341" t="s">
        <v>401</v>
      </c>
      <c r="D300" s="695" t="s">
        <v>49</v>
      </c>
      <c r="E300" s="696"/>
      <c r="F300" s="696"/>
      <c r="G300" s="696"/>
      <c r="H300" s="696"/>
      <c r="I300" s="696"/>
      <c r="J300" s="696"/>
      <c r="K300" s="696"/>
      <c r="L300" s="696"/>
      <c r="M300" s="696"/>
      <c r="N300" s="696"/>
      <c r="O300" s="696"/>
      <c r="P300" s="696"/>
      <c r="Q300" s="696"/>
      <c r="R300" s="696"/>
      <c r="S300" s="696"/>
      <c r="T300" s="696"/>
      <c r="U300" s="696"/>
      <c r="V300" s="696"/>
      <c r="W300" s="696"/>
      <c r="X300" s="696"/>
      <c r="Y300" s="697"/>
    </row>
    <row r="301" spans="1:25" s="347" customFormat="1" ht="18" customHeight="1" x14ac:dyDescent="0.2">
      <c r="A301" s="346"/>
      <c r="B301" s="346"/>
      <c r="C301" s="517"/>
      <c r="D301" s="517"/>
      <c r="E301" s="517"/>
      <c r="F301" s="517"/>
      <c r="G301" s="517"/>
      <c r="H301" s="517"/>
      <c r="I301" s="517"/>
      <c r="J301" s="517"/>
      <c r="K301" s="517"/>
      <c r="L301" s="517"/>
      <c r="M301" s="517"/>
      <c r="N301" s="517"/>
      <c r="O301" s="517"/>
      <c r="P301" s="517"/>
      <c r="Q301" s="517"/>
      <c r="R301" s="517"/>
      <c r="S301" s="517"/>
      <c r="T301" s="517"/>
      <c r="U301" s="517"/>
      <c r="V301" s="517"/>
      <c r="W301" s="517"/>
      <c r="X301" s="517"/>
      <c r="Y301" s="517"/>
    </row>
    <row r="302" spans="1:25" ht="18" customHeight="1" x14ac:dyDescent="0.2">
      <c r="A302" s="337"/>
      <c r="B302" s="337"/>
      <c r="C302" s="581" t="s">
        <v>295</v>
      </c>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row>
    <row r="303" spans="1:25" ht="18" customHeight="1" x14ac:dyDescent="0.2">
      <c r="A303" s="337"/>
      <c r="B303" s="337"/>
      <c r="C303" s="684" t="s">
        <v>249</v>
      </c>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row>
    <row r="304" spans="1:25" ht="18" customHeight="1" x14ac:dyDescent="0.2">
      <c r="A304" s="337"/>
      <c r="B304" s="337"/>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row>
    <row r="305" spans="1:25" ht="18" customHeight="1" x14ac:dyDescent="0.2">
      <c r="A305" s="337"/>
      <c r="B305" s="337"/>
      <c r="C305" s="686"/>
      <c r="D305" s="687"/>
      <c r="E305" s="687"/>
      <c r="F305" s="687"/>
      <c r="G305" s="687"/>
      <c r="H305" s="687"/>
      <c r="I305" s="687"/>
      <c r="J305" s="687"/>
      <c r="K305" s="687"/>
      <c r="L305" s="687"/>
      <c r="M305" s="687"/>
      <c r="N305" s="687"/>
      <c r="O305" s="687"/>
      <c r="P305" s="687"/>
      <c r="Q305" s="687"/>
      <c r="R305" s="687"/>
      <c r="S305" s="687"/>
      <c r="T305" s="687"/>
      <c r="U305" s="687"/>
      <c r="V305" s="687"/>
      <c r="W305" s="687"/>
      <c r="X305" s="687"/>
      <c r="Y305" s="688"/>
    </row>
    <row r="306" spans="1:25" ht="18" customHeight="1" x14ac:dyDescent="0.2">
      <c r="A306" s="337"/>
      <c r="B306" s="337"/>
      <c r="C306" s="689"/>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1"/>
    </row>
    <row r="307" spans="1:25" ht="18" customHeight="1" x14ac:dyDescent="0.2">
      <c r="A307" s="337"/>
      <c r="B307" s="337"/>
      <c r="C307" s="689"/>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1"/>
    </row>
    <row r="308" spans="1:25" ht="18" customHeight="1" x14ac:dyDescent="0.2">
      <c r="A308" s="337"/>
      <c r="B308" s="337"/>
      <c r="C308" s="689"/>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1"/>
    </row>
    <row r="309" spans="1:25" ht="18" customHeight="1" x14ac:dyDescent="0.2">
      <c r="A309" s="337"/>
      <c r="B309" s="337"/>
      <c r="C309" s="689"/>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1"/>
    </row>
    <row r="310" spans="1:25" ht="18" customHeight="1" x14ac:dyDescent="0.2">
      <c r="A310" s="337"/>
      <c r="B310" s="337"/>
      <c r="C310" s="689"/>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1"/>
    </row>
    <row r="311" spans="1:25" ht="18" customHeight="1" x14ac:dyDescent="0.2">
      <c r="A311" s="337"/>
      <c r="B311" s="337"/>
      <c r="C311" s="689"/>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1"/>
    </row>
    <row r="312" spans="1:25" ht="18" customHeight="1" x14ac:dyDescent="0.2">
      <c r="A312" s="337"/>
      <c r="B312" s="337"/>
      <c r="C312" s="689"/>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1"/>
    </row>
    <row r="313" spans="1:25" ht="18" customHeight="1" x14ac:dyDescent="0.2">
      <c r="A313" s="337"/>
      <c r="B313" s="337"/>
      <c r="C313" s="689"/>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1"/>
    </row>
    <row r="314" spans="1:25" ht="18" customHeight="1" x14ac:dyDescent="0.2">
      <c r="A314" s="337"/>
      <c r="B314" s="337"/>
      <c r="C314" s="689"/>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1"/>
    </row>
    <row r="315" spans="1:25" ht="18" customHeight="1" x14ac:dyDescent="0.2">
      <c r="A315" s="337"/>
      <c r="B315" s="337"/>
      <c r="C315" s="689"/>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1"/>
    </row>
    <row r="316" spans="1:25" ht="18" customHeight="1" x14ac:dyDescent="0.2">
      <c r="A316" s="337"/>
      <c r="B316" s="337"/>
      <c r="C316" s="689"/>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1"/>
    </row>
    <row r="317" spans="1:25" ht="18" customHeight="1" x14ac:dyDescent="0.2">
      <c r="A317" s="337"/>
      <c r="B317" s="337"/>
      <c r="C317" s="689"/>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1"/>
    </row>
    <row r="318" spans="1:25" ht="18" customHeight="1" x14ac:dyDescent="0.2">
      <c r="A318" s="337"/>
      <c r="B318" s="337"/>
      <c r="C318" s="689"/>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1"/>
    </row>
    <row r="319" spans="1:25" ht="18" customHeight="1" x14ac:dyDescent="0.2">
      <c r="A319" s="337"/>
      <c r="B319" s="337"/>
      <c r="C319" s="689"/>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1"/>
    </row>
    <row r="320" spans="1:25" ht="18" customHeight="1" x14ac:dyDescent="0.2">
      <c r="A320" s="337"/>
      <c r="B320" s="337"/>
      <c r="C320" s="689"/>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1"/>
    </row>
    <row r="321" spans="1:25" ht="18" customHeight="1" x14ac:dyDescent="0.2">
      <c r="A321" s="337"/>
      <c r="B321" s="337"/>
      <c r="C321" s="689"/>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1"/>
    </row>
    <row r="322" spans="1:25" ht="18" customHeight="1" x14ac:dyDescent="0.2">
      <c r="A322" s="337"/>
      <c r="B322" s="337"/>
      <c r="C322" s="689"/>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1"/>
    </row>
    <row r="323" spans="1:25" ht="18" customHeight="1" x14ac:dyDescent="0.2">
      <c r="A323" s="337"/>
      <c r="B323" s="337"/>
      <c r="C323" s="689"/>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1"/>
    </row>
    <row r="324" spans="1:25" ht="18" customHeight="1" x14ac:dyDescent="0.2">
      <c r="A324" s="337"/>
      <c r="B324" s="337"/>
      <c r="C324" s="689"/>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1"/>
    </row>
    <row r="325" spans="1:25" ht="18" customHeight="1" x14ac:dyDescent="0.2">
      <c r="A325" s="337"/>
      <c r="B325" s="337"/>
      <c r="C325" s="689"/>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1"/>
    </row>
    <row r="326" spans="1:25" ht="18" customHeight="1" x14ac:dyDescent="0.2">
      <c r="A326" s="337"/>
      <c r="B326" s="337"/>
      <c r="C326" s="689"/>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1"/>
    </row>
    <row r="327" spans="1:25" ht="18" customHeight="1" x14ac:dyDescent="0.2">
      <c r="A327" s="337"/>
      <c r="B327" s="337"/>
      <c r="C327" s="689"/>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1"/>
    </row>
    <row r="328" spans="1:25" ht="18" customHeight="1" x14ac:dyDescent="0.2">
      <c r="A328" s="337"/>
      <c r="B328" s="337"/>
      <c r="C328" s="689"/>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1"/>
    </row>
    <row r="329" spans="1:25" ht="18" customHeight="1" x14ac:dyDescent="0.2">
      <c r="A329" s="337"/>
      <c r="B329" s="337"/>
      <c r="C329" s="689"/>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1"/>
    </row>
    <row r="330" spans="1:25" ht="18" customHeight="1" x14ac:dyDescent="0.2">
      <c r="A330" s="337"/>
      <c r="B330" s="337"/>
      <c r="C330" s="689"/>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1"/>
    </row>
    <row r="331" spans="1:25" ht="18" customHeight="1" x14ac:dyDescent="0.2">
      <c r="A331" s="337"/>
      <c r="B331" s="337"/>
      <c r="C331" s="689"/>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1"/>
    </row>
    <row r="332" spans="1:25" ht="18" customHeight="1" x14ac:dyDescent="0.2">
      <c r="A332" s="337"/>
      <c r="B332" s="337"/>
      <c r="C332" s="689"/>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1"/>
    </row>
    <row r="333" spans="1:25" ht="18" customHeight="1" x14ac:dyDescent="0.2">
      <c r="A333" s="337"/>
      <c r="B333" s="337"/>
      <c r="C333" s="689"/>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1"/>
    </row>
    <row r="334" spans="1:25" ht="18" customHeight="1" x14ac:dyDescent="0.2">
      <c r="A334" s="337"/>
      <c r="B334" s="337"/>
      <c r="C334" s="689"/>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1"/>
    </row>
    <row r="335" spans="1:25" ht="18" customHeight="1" x14ac:dyDescent="0.2">
      <c r="A335" s="337"/>
      <c r="B335" s="337"/>
      <c r="C335" s="689"/>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1"/>
    </row>
    <row r="336" spans="1:25" ht="18" customHeight="1" x14ac:dyDescent="0.2">
      <c r="A336" s="337"/>
      <c r="B336" s="337"/>
      <c r="C336" s="689"/>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1"/>
    </row>
    <row r="337" spans="1:25" ht="18" customHeight="1" x14ac:dyDescent="0.2">
      <c r="A337" s="337"/>
      <c r="B337" s="337"/>
      <c r="C337" s="689"/>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1"/>
    </row>
    <row r="338" spans="1:25" ht="18" customHeight="1" x14ac:dyDescent="0.2">
      <c r="A338" s="337"/>
      <c r="B338" s="337"/>
      <c r="C338" s="689"/>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1"/>
    </row>
    <row r="339" spans="1:25" ht="18" customHeight="1" x14ac:dyDescent="0.2">
      <c r="A339" s="337"/>
      <c r="B339" s="337"/>
      <c r="C339" s="689"/>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1"/>
    </row>
    <row r="340" spans="1:25" ht="18" customHeight="1" x14ac:dyDescent="0.2">
      <c r="A340" s="337"/>
      <c r="B340" s="337"/>
      <c r="C340" s="689"/>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1"/>
    </row>
    <row r="341" spans="1:25" ht="18" customHeight="1" x14ac:dyDescent="0.2">
      <c r="A341" s="337"/>
      <c r="B341" s="337"/>
      <c r="C341" s="689"/>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1"/>
    </row>
    <row r="342" spans="1:25" ht="18" customHeight="1" x14ac:dyDescent="0.2">
      <c r="A342" s="337"/>
      <c r="B342" s="337"/>
      <c r="C342" s="689"/>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1"/>
    </row>
    <row r="343" spans="1:25" ht="18" customHeight="1" x14ac:dyDescent="0.2">
      <c r="A343" s="337"/>
      <c r="B343" s="337"/>
      <c r="C343" s="689"/>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1"/>
    </row>
    <row r="344" spans="1:25" ht="18" customHeight="1" x14ac:dyDescent="0.2">
      <c r="A344" s="337"/>
      <c r="B344" s="337"/>
      <c r="C344" s="689"/>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1"/>
    </row>
    <row r="345" spans="1:25" ht="18" customHeight="1" x14ac:dyDescent="0.2">
      <c r="A345" s="337"/>
      <c r="B345" s="337"/>
      <c r="C345" s="689"/>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1"/>
    </row>
    <row r="346" spans="1:25" ht="18" customHeight="1" x14ac:dyDescent="0.2">
      <c r="A346" s="337"/>
      <c r="B346" s="337"/>
      <c r="C346" s="689"/>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1"/>
    </row>
    <row r="347" spans="1:25" ht="18" customHeight="1" x14ac:dyDescent="0.2">
      <c r="A347" s="337"/>
      <c r="B347" s="337"/>
      <c r="C347" s="689"/>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1"/>
    </row>
    <row r="348" spans="1:25" ht="18" customHeight="1" x14ac:dyDescent="0.2">
      <c r="A348" s="337"/>
      <c r="B348" s="337"/>
      <c r="C348" s="689"/>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1"/>
    </row>
    <row r="349" spans="1:25" ht="18" customHeight="1" x14ac:dyDescent="0.2">
      <c r="A349" s="337"/>
      <c r="B349" s="337"/>
      <c r="C349" s="689"/>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1"/>
    </row>
    <row r="350" spans="1:25" ht="18" customHeight="1" x14ac:dyDescent="0.2">
      <c r="A350" s="337"/>
      <c r="B350" s="337"/>
      <c r="C350" s="689"/>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1"/>
    </row>
    <row r="351" spans="1:25" ht="18" customHeight="1" x14ac:dyDescent="0.2">
      <c r="A351" s="337"/>
      <c r="B351" s="337"/>
      <c r="C351" s="692"/>
      <c r="D351" s="693"/>
      <c r="E351" s="693"/>
      <c r="F351" s="693"/>
      <c r="G351" s="693"/>
      <c r="H351" s="693"/>
      <c r="I351" s="693"/>
      <c r="J351" s="693"/>
      <c r="K351" s="693"/>
      <c r="L351" s="693"/>
      <c r="M351" s="693"/>
      <c r="N351" s="693"/>
      <c r="O351" s="693"/>
      <c r="P351" s="693"/>
      <c r="Q351" s="693"/>
      <c r="R351" s="693"/>
      <c r="S351" s="693"/>
      <c r="T351" s="693"/>
      <c r="U351" s="693"/>
      <c r="V351" s="693"/>
      <c r="W351" s="693"/>
      <c r="X351" s="693"/>
      <c r="Y351" s="694"/>
    </row>
    <row r="352" spans="1:25" ht="18" customHeight="1" x14ac:dyDescent="0.2">
      <c r="A352" s="337"/>
      <c r="B352" s="337"/>
      <c r="C352" s="346"/>
      <c r="D352" s="373"/>
      <c r="E352" s="365"/>
      <c r="F352" s="362" t="s">
        <v>363</v>
      </c>
      <c r="G352" s="536"/>
      <c r="H352" s="538"/>
      <c r="I352" s="337"/>
      <c r="J352" s="337"/>
      <c r="K352" s="337"/>
      <c r="L352" s="337"/>
      <c r="M352" s="337"/>
      <c r="N352" s="337"/>
      <c r="O352" s="337"/>
    </row>
    <row r="353" spans="1:25" ht="18" customHeight="1" x14ac:dyDescent="0.2">
      <c r="A353" s="337"/>
      <c r="B353" s="337"/>
      <c r="C353" s="345"/>
      <c r="D353" s="337"/>
      <c r="E353" s="337"/>
      <c r="F353" s="337"/>
      <c r="G353" s="337"/>
      <c r="H353" s="337"/>
      <c r="I353" s="337"/>
      <c r="J353" s="337"/>
      <c r="K353" s="337"/>
      <c r="L353" s="337"/>
      <c r="M353" s="337"/>
      <c r="N353" s="337"/>
      <c r="O353" s="337"/>
    </row>
    <row r="354" spans="1:25" ht="18" customHeight="1" x14ac:dyDescent="0.2">
      <c r="A354" s="337"/>
      <c r="B354" s="337"/>
      <c r="C354" s="345"/>
      <c r="D354" s="337"/>
      <c r="E354" s="337"/>
      <c r="F354" s="337"/>
      <c r="G354" s="337"/>
      <c r="H354" s="337"/>
      <c r="I354" s="337"/>
      <c r="J354" s="337"/>
      <c r="K354" s="337"/>
      <c r="L354" s="337"/>
      <c r="M354" s="337"/>
      <c r="N354" s="337"/>
      <c r="O354" s="337"/>
    </row>
    <row r="355" spans="1:25" ht="18" customHeight="1" x14ac:dyDescent="0.2">
      <c r="A355" s="337"/>
      <c r="B355" s="337"/>
      <c r="C355" s="581" t="s">
        <v>296</v>
      </c>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row>
    <row r="356" spans="1:25" ht="18" customHeight="1" thickBot="1" x14ac:dyDescent="0.25">
      <c r="A356" s="337"/>
      <c r="B356" s="337"/>
      <c r="C356" s="337"/>
      <c r="D356" s="337"/>
      <c r="E356" s="337"/>
      <c r="F356" s="337"/>
      <c r="G356" s="337"/>
      <c r="H356" s="337"/>
      <c r="I356" s="337"/>
      <c r="J356" s="337"/>
      <c r="K356" s="337"/>
      <c r="L356" s="337"/>
      <c r="M356" s="394"/>
      <c r="N356" s="337"/>
      <c r="O356" s="337"/>
      <c r="P356" s="339"/>
      <c r="S356" s="353" t="s">
        <v>250</v>
      </c>
      <c r="T356" s="785"/>
      <c r="U356" s="785"/>
      <c r="V356" s="785"/>
      <c r="W356" s="785"/>
      <c r="X356" s="591" t="s">
        <v>111</v>
      </c>
      <c r="Y356" s="591"/>
    </row>
    <row r="357" spans="1:25" ht="18" customHeight="1" thickBot="1" x14ac:dyDescent="0.25">
      <c r="A357" s="337"/>
      <c r="B357" s="337"/>
      <c r="C357" s="345"/>
      <c r="D357" s="337"/>
      <c r="E357" s="337"/>
      <c r="F357" s="337"/>
      <c r="G357" s="337"/>
      <c r="H357" s="337"/>
      <c r="I357" s="337"/>
      <c r="J357" s="337"/>
      <c r="K357" s="337"/>
      <c r="L357" s="337"/>
      <c r="M357" s="337"/>
      <c r="N357" s="337"/>
      <c r="O357" s="337"/>
      <c r="T357" s="395"/>
      <c r="U357" s="396"/>
      <c r="V357" s="396"/>
      <c r="W357" s="397" t="str">
        <f>IF($T$356="","",IF($T$356&lt;$T$107,"La superficie du paysage ne peut pas être inférieure à la superficie du site.",""))</f>
        <v/>
      </c>
    </row>
    <row r="358" spans="1:25" ht="18" customHeight="1" x14ac:dyDescent="0.2">
      <c r="A358" s="337"/>
      <c r="B358" s="337"/>
      <c r="C358" s="345"/>
      <c r="D358" s="337"/>
      <c r="E358" s="337"/>
      <c r="F358" s="337"/>
      <c r="G358" s="337"/>
      <c r="H358" s="337"/>
      <c r="I358" s="337"/>
      <c r="J358" s="337"/>
      <c r="K358" s="337"/>
      <c r="L358" s="337"/>
      <c r="M358" s="337"/>
      <c r="N358" s="337"/>
      <c r="O358" s="337"/>
      <c r="T358" s="347"/>
      <c r="U358" s="347"/>
      <c r="V358" s="347"/>
      <c r="W358" s="398"/>
    </row>
    <row r="359" spans="1:25" ht="18" customHeight="1" x14ac:dyDescent="0.2">
      <c r="A359" s="337"/>
      <c r="B359" s="337"/>
      <c r="C359" s="581" t="s">
        <v>368</v>
      </c>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row>
    <row r="360" spans="1:25" ht="36" customHeight="1" x14ac:dyDescent="0.2">
      <c r="A360" s="337"/>
      <c r="B360" s="337"/>
      <c r="C360" s="698" t="s">
        <v>4</v>
      </c>
      <c r="D360" s="699"/>
      <c r="E360" s="699"/>
      <c r="F360" s="699"/>
      <c r="G360" s="699"/>
      <c r="H360" s="699"/>
      <c r="I360" s="699"/>
      <c r="J360" s="699"/>
      <c r="K360" s="699"/>
      <c r="L360" s="699"/>
      <c r="M360" s="699"/>
      <c r="N360" s="699"/>
      <c r="O360" s="699"/>
      <c r="P360" s="699"/>
      <c r="Q360" s="699"/>
      <c r="R360" s="699"/>
      <c r="S360" s="699"/>
      <c r="T360" s="700" t="s">
        <v>42</v>
      </c>
      <c r="U360" s="700"/>
      <c r="V360" s="700"/>
      <c r="W360" s="700"/>
      <c r="X360" s="700"/>
      <c r="Y360" s="700"/>
    </row>
    <row r="361" spans="1:25" ht="26.25" customHeight="1" x14ac:dyDescent="0.2">
      <c r="A361" s="337"/>
      <c r="B361" s="337"/>
      <c r="C361" s="399"/>
      <c r="D361" s="400" t="s">
        <v>55</v>
      </c>
      <c r="E361" s="677" t="s">
        <v>65</v>
      </c>
      <c r="F361" s="678"/>
      <c r="G361" s="678"/>
      <c r="H361" s="678"/>
      <c r="I361" s="678"/>
      <c r="J361" s="678"/>
      <c r="K361" s="678"/>
      <c r="L361" s="678"/>
      <c r="M361" s="678"/>
      <c r="N361" s="678"/>
      <c r="O361" s="678"/>
      <c r="P361" s="678"/>
      <c r="Q361" s="678"/>
      <c r="R361" s="678"/>
      <c r="S361" s="678"/>
      <c r="T361" s="679"/>
      <c r="U361" s="679"/>
      <c r="V361" s="679"/>
      <c r="W361" s="679"/>
      <c r="X361" s="634" t="s">
        <v>5</v>
      </c>
      <c r="Y361" s="635"/>
    </row>
    <row r="362" spans="1:25" ht="26.25" customHeight="1" x14ac:dyDescent="0.2">
      <c r="A362" s="337"/>
      <c r="B362" s="337"/>
      <c r="C362" s="401"/>
      <c r="D362" s="400" t="s">
        <v>56</v>
      </c>
      <c r="E362" s="677" t="s">
        <v>66</v>
      </c>
      <c r="F362" s="678"/>
      <c r="G362" s="678"/>
      <c r="H362" s="678"/>
      <c r="I362" s="678"/>
      <c r="J362" s="678"/>
      <c r="K362" s="678"/>
      <c r="L362" s="678"/>
      <c r="M362" s="678"/>
      <c r="N362" s="678"/>
      <c r="O362" s="678"/>
      <c r="P362" s="678"/>
      <c r="Q362" s="678"/>
      <c r="R362" s="678"/>
      <c r="S362" s="678"/>
      <c r="T362" s="679"/>
      <c r="U362" s="679"/>
      <c r="V362" s="679"/>
      <c r="W362" s="679"/>
      <c r="X362" s="634" t="s">
        <v>5</v>
      </c>
      <c r="Y362" s="635"/>
    </row>
    <row r="363" spans="1:25" ht="26.25" customHeight="1" x14ac:dyDescent="0.2">
      <c r="A363" s="337"/>
      <c r="B363" s="337"/>
      <c r="C363" s="402"/>
      <c r="D363" s="400" t="s">
        <v>57</v>
      </c>
      <c r="E363" s="677" t="s">
        <v>369</v>
      </c>
      <c r="F363" s="678"/>
      <c r="G363" s="678"/>
      <c r="H363" s="678"/>
      <c r="I363" s="678"/>
      <c r="J363" s="678"/>
      <c r="K363" s="678"/>
      <c r="L363" s="678"/>
      <c r="M363" s="678"/>
      <c r="N363" s="678"/>
      <c r="O363" s="678"/>
      <c r="P363" s="678"/>
      <c r="Q363" s="678"/>
      <c r="R363" s="678"/>
      <c r="S363" s="678"/>
      <c r="T363" s="679"/>
      <c r="U363" s="679"/>
      <c r="V363" s="679"/>
      <c r="W363" s="679"/>
      <c r="X363" s="634" t="s">
        <v>5</v>
      </c>
      <c r="Y363" s="635"/>
    </row>
    <row r="364" spans="1:25" ht="26.25" customHeight="1" x14ac:dyDescent="0.2">
      <c r="A364" s="337"/>
      <c r="B364" s="337"/>
      <c r="C364" s="403"/>
      <c r="D364" s="400" t="s">
        <v>58</v>
      </c>
      <c r="E364" s="677" t="s">
        <v>67</v>
      </c>
      <c r="F364" s="678"/>
      <c r="G364" s="678"/>
      <c r="H364" s="678"/>
      <c r="I364" s="678"/>
      <c r="J364" s="678"/>
      <c r="K364" s="678"/>
      <c r="L364" s="678"/>
      <c r="M364" s="678"/>
      <c r="N364" s="678"/>
      <c r="O364" s="678"/>
      <c r="P364" s="678"/>
      <c r="Q364" s="678"/>
      <c r="R364" s="678"/>
      <c r="S364" s="678"/>
      <c r="T364" s="679"/>
      <c r="U364" s="679"/>
      <c r="V364" s="679"/>
      <c r="W364" s="679"/>
      <c r="X364" s="634" t="s">
        <v>5</v>
      </c>
      <c r="Y364" s="635"/>
    </row>
    <row r="365" spans="1:25" ht="26.25" customHeight="1" x14ac:dyDescent="0.2">
      <c r="A365" s="337"/>
      <c r="B365" s="337"/>
      <c r="C365" s="404"/>
      <c r="D365" s="400" t="s">
        <v>59</v>
      </c>
      <c r="E365" s="677" t="s">
        <v>68</v>
      </c>
      <c r="F365" s="678"/>
      <c r="G365" s="678"/>
      <c r="H365" s="678"/>
      <c r="I365" s="678"/>
      <c r="J365" s="678"/>
      <c r="K365" s="678"/>
      <c r="L365" s="678"/>
      <c r="M365" s="678"/>
      <c r="N365" s="678"/>
      <c r="O365" s="678"/>
      <c r="P365" s="678"/>
      <c r="Q365" s="678"/>
      <c r="R365" s="678"/>
      <c r="S365" s="678"/>
      <c r="T365" s="679"/>
      <c r="U365" s="679"/>
      <c r="V365" s="679"/>
      <c r="W365" s="679"/>
      <c r="X365" s="634" t="s">
        <v>5</v>
      </c>
      <c r="Y365" s="635"/>
    </row>
    <row r="366" spans="1:25" ht="26.25" customHeight="1" x14ac:dyDescent="0.2">
      <c r="A366" s="337"/>
      <c r="B366" s="337"/>
      <c r="C366" s="405"/>
      <c r="D366" s="400" t="s">
        <v>60</v>
      </c>
      <c r="E366" s="677" t="s">
        <v>69</v>
      </c>
      <c r="F366" s="678"/>
      <c r="G366" s="678"/>
      <c r="H366" s="678"/>
      <c r="I366" s="678"/>
      <c r="J366" s="678"/>
      <c r="K366" s="678"/>
      <c r="L366" s="678"/>
      <c r="M366" s="678"/>
      <c r="N366" s="678"/>
      <c r="O366" s="678"/>
      <c r="P366" s="678"/>
      <c r="Q366" s="678"/>
      <c r="R366" s="678"/>
      <c r="S366" s="678"/>
      <c r="T366" s="679"/>
      <c r="U366" s="679"/>
      <c r="V366" s="679"/>
      <c r="W366" s="679"/>
      <c r="X366" s="634" t="s">
        <v>5</v>
      </c>
      <c r="Y366" s="635"/>
    </row>
    <row r="367" spans="1:25" ht="26.25" customHeight="1" x14ac:dyDescent="0.2">
      <c r="A367" s="337"/>
      <c r="B367" s="337"/>
      <c r="C367" s="406"/>
      <c r="D367" s="400" t="s">
        <v>61</v>
      </c>
      <c r="E367" s="677" t="s">
        <v>370</v>
      </c>
      <c r="F367" s="678"/>
      <c r="G367" s="678"/>
      <c r="H367" s="678"/>
      <c r="I367" s="678"/>
      <c r="J367" s="678"/>
      <c r="K367" s="678"/>
      <c r="L367" s="678"/>
      <c r="M367" s="678"/>
      <c r="N367" s="678"/>
      <c r="O367" s="678"/>
      <c r="P367" s="678"/>
      <c r="Q367" s="678"/>
      <c r="R367" s="678"/>
      <c r="S367" s="678"/>
      <c r="T367" s="679"/>
      <c r="U367" s="679"/>
      <c r="V367" s="679"/>
      <c r="W367" s="679"/>
      <c r="X367" s="634" t="s">
        <v>5</v>
      </c>
      <c r="Y367" s="635"/>
    </row>
    <row r="368" spans="1:25" ht="26.25" customHeight="1" x14ac:dyDescent="0.2">
      <c r="A368" s="337"/>
      <c r="B368" s="337"/>
      <c r="C368" s="407"/>
      <c r="D368" s="400" t="s">
        <v>62</v>
      </c>
      <c r="E368" s="677" t="s">
        <v>70</v>
      </c>
      <c r="F368" s="678"/>
      <c r="G368" s="678"/>
      <c r="H368" s="678"/>
      <c r="I368" s="678"/>
      <c r="J368" s="678"/>
      <c r="K368" s="678"/>
      <c r="L368" s="678"/>
      <c r="M368" s="678"/>
      <c r="N368" s="678"/>
      <c r="O368" s="678"/>
      <c r="P368" s="678"/>
      <c r="Q368" s="678"/>
      <c r="R368" s="678"/>
      <c r="S368" s="678"/>
      <c r="T368" s="679"/>
      <c r="U368" s="679"/>
      <c r="V368" s="679"/>
      <c r="W368" s="679"/>
      <c r="X368" s="634" t="s">
        <v>5</v>
      </c>
      <c r="Y368" s="635"/>
    </row>
    <row r="369" spans="1:25" ht="26.25" customHeight="1" x14ac:dyDescent="0.2">
      <c r="A369" s="337"/>
      <c r="B369" s="337"/>
      <c r="C369" s="408"/>
      <c r="D369" s="400" t="s">
        <v>63</v>
      </c>
      <c r="E369" s="677" t="s">
        <v>71</v>
      </c>
      <c r="F369" s="678"/>
      <c r="G369" s="678"/>
      <c r="H369" s="678"/>
      <c r="I369" s="678"/>
      <c r="J369" s="678"/>
      <c r="K369" s="678"/>
      <c r="L369" s="678"/>
      <c r="M369" s="678"/>
      <c r="N369" s="678"/>
      <c r="O369" s="678"/>
      <c r="P369" s="678"/>
      <c r="Q369" s="678"/>
      <c r="R369" s="678"/>
      <c r="S369" s="678"/>
      <c r="T369" s="679"/>
      <c r="U369" s="679"/>
      <c r="V369" s="679"/>
      <c r="W369" s="679"/>
      <c r="X369" s="634" t="s">
        <v>5</v>
      </c>
      <c r="Y369" s="635"/>
    </row>
    <row r="370" spans="1:25" ht="26.25" customHeight="1" x14ac:dyDescent="0.2">
      <c r="A370" s="337"/>
      <c r="B370" s="337"/>
      <c r="C370" s="409"/>
      <c r="D370" s="400" t="s">
        <v>64</v>
      </c>
      <c r="E370" s="677" t="s">
        <v>72</v>
      </c>
      <c r="F370" s="678"/>
      <c r="G370" s="678"/>
      <c r="H370" s="678"/>
      <c r="I370" s="678"/>
      <c r="J370" s="678"/>
      <c r="K370" s="678"/>
      <c r="L370" s="678"/>
      <c r="M370" s="678"/>
      <c r="N370" s="678"/>
      <c r="O370" s="678"/>
      <c r="P370" s="678"/>
      <c r="Q370" s="678"/>
      <c r="R370" s="678"/>
      <c r="S370" s="678"/>
      <c r="T370" s="679"/>
      <c r="U370" s="679"/>
      <c r="V370" s="679"/>
      <c r="W370" s="679"/>
      <c r="X370" s="634" t="s">
        <v>5</v>
      </c>
      <c r="Y370" s="635"/>
    </row>
    <row r="371" spans="1:25" ht="26.25" customHeight="1" thickBot="1" x14ac:dyDescent="0.25">
      <c r="A371" s="337"/>
      <c r="B371" s="337"/>
      <c r="C371" s="410"/>
      <c r="D371" s="680" t="s">
        <v>214</v>
      </c>
      <c r="E371" s="680"/>
      <c r="F371" s="680"/>
      <c r="G371" s="680"/>
      <c r="H371" s="680"/>
      <c r="I371" s="680"/>
      <c r="J371" s="680"/>
      <c r="K371" s="680"/>
      <c r="L371" s="680"/>
      <c r="M371" s="680"/>
      <c r="N371" s="680"/>
      <c r="O371" s="680"/>
      <c r="P371" s="680"/>
      <c r="Q371" s="680"/>
      <c r="R371" s="680"/>
      <c r="S371" s="680"/>
      <c r="T371" s="681">
        <f>SUM($T$361:$W$370)</f>
        <v>0</v>
      </c>
      <c r="U371" s="681"/>
      <c r="V371" s="681"/>
      <c r="W371" s="681"/>
      <c r="X371" s="682" t="s">
        <v>5</v>
      </c>
      <c r="Y371" s="683"/>
    </row>
    <row r="372" spans="1:25" ht="18" customHeight="1" thickBot="1" x14ac:dyDescent="0.25">
      <c r="A372" s="337"/>
      <c r="B372" s="337"/>
      <c r="C372" s="345"/>
      <c r="D372" s="337"/>
      <c r="E372" s="337"/>
      <c r="F372" s="337"/>
      <c r="G372" s="337"/>
      <c r="H372" s="337"/>
      <c r="I372" s="337"/>
      <c r="J372" s="337"/>
      <c r="K372" s="337"/>
      <c r="L372" s="337"/>
      <c r="M372" s="337"/>
      <c r="N372" s="337"/>
      <c r="O372" s="337"/>
      <c r="T372" s="395"/>
      <c r="U372" s="396"/>
      <c r="V372" s="396"/>
      <c r="W372" s="397" t="str">
        <f>IF(AND(SUM($T$361:$W$370)&lt;&gt;0,$T$371&lt;&gt;100),"La somme de la proportion des différents habitats dans le paysage doit être égale à 100. ","")</f>
        <v/>
      </c>
    </row>
    <row r="373" spans="1:25" ht="18" customHeight="1" x14ac:dyDescent="0.2">
      <c r="A373" s="337"/>
      <c r="B373" s="337"/>
      <c r="C373" s="345"/>
      <c r="D373" s="337"/>
      <c r="E373" s="337"/>
      <c r="F373" s="337"/>
      <c r="G373" s="337"/>
      <c r="H373" s="337"/>
      <c r="I373" s="337"/>
      <c r="J373" s="337"/>
      <c r="K373" s="337"/>
      <c r="L373" s="337"/>
      <c r="M373" s="337"/>
      <c r="N373" s="337"/>
      <c r="O373" s="337"/>
    </row>
    <row r="374" spans="1:25" ht="18" customHeight="1" x14ac:dyDescent="0.2">
      <c r="A374" s="337"/>
      <c r="B374" s="337"/>
      <c r="C374" s="345"/>
      <c r="D374" s="337"/>
      <c r="E374" s="337"/>
      <c r="F374" s="337"/>
      <c r="G374" s="337"/>
      <c r="H374" s="337"/>
      <c r="I374" s="337"/>
      <c r="J374" s="337"/>
      <c r="K374" s="337"/>
      <c r="L374" s="337"/>
      <c r="M374" s="337"/>
      <c r="N374" s="337"/>
      <c r="O374" s="337"/>
    </row>
    <row r="375" spans="1:25" ht="18" customHeight="1" x14ac:dyDescent="0.2">
      <c r="A375" s="337"/>
      <c r="B375" s="337"/>
      <c r="C375" s="581" t="s">
        <v>297</v>
      </c>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row>
    <row r="376" spans="1:25" ht="18" customHeight="1" x14ac:dyDescent="0.2">
      <c r="A376" s="337"/>
      <c r="B376" s="337"/>
      <c r="C376" s="675" t="s">
        <v>234</v>
      </c>
      <c r="D376" s="675"/>
      <c r="E376" s="675"/>
      <c r="F376" s="675"/>
      <c r="G376" s="675"/>
      <c r="H376" s="368"/>
      <c r="I376" s="353" t="s">
        <v>24</v>
      </c>
      <c r="J376" s="588"/>
      <c r="K376" s="588"/>
      <c r="P376" s="339"/>
      <c r="Q376" s="368"/>
      <c r="S376" s="353" t="s">
        <v>25</v>
      </c>
      <c r="T376" s="588"/>
      <c r="U376" s="588"/>
      <c r="V376" s="588"/>
      <c r="W376" s="588"/>
    </row>
    <row r="377" spans="1:25" ht="18" customHeight="1" x14ac:dyDescent="0.2">
      <c r="A377" s="337"/>
      <c r="B377" s="337"/>
      <c r="C377" s="676"/>
      <c r="D377" s="676"/>
      <c r="E377" s="676"/>
      <c r="F377" s="676"/>
      <c r="G377" s="676"/>
      <c r="H377" s="367"/>
      <c r="I377" s="369" t="s">
        <v>26</v>
      </c>
      <c r="J377" s="588"/>
      <c r="K377" s="588"/>
      <c r="P377" s="339"/>
      <c r="Q377" s="368"/>
      <c r="T377" s="347"/>
      <c r="U377" s="347"/>
      <c r="V377" s="347"/>
      <c r="W377" s="347"/>
    </row>
    <row r="378" spans="1:25" ht="18" customHeight="1" x14ac:dyDescent="0.2">
      <c r="A378" s="337"/>
      <c r="B378" s="337"/>
      <c r="C378" s="345"/>
      <c r="D378" s="337"/>
      <c r="E378" s="337"/>
      <c r="F378" s="337"/>
      <c r="G378" s="337"/>
      <c r="H378" s="337"/>
      <c r="I378" s="337"/>
      <c r="J378" s="337"/>
      <c r="K378" s="337"/>
      <c r="L378" s="337"/>
      <c r="M378" s="337"/>
      <c r="N378" s="337"/>
      <c r="O378" s="337"/>
    </row>
    <row r="379" spans="1:25" ht="18" customHeight="1" x14ac:dyDescent="0.2">
      <c r="A379" s="337"/>
      <c r="B379" s="337"/>
      <c r="C379" s="345"/>
      <c r="D379" s="337"/>
      <c r="E379" s="337"/>
      <c r="F379" s="337"/>
      <c r="G379" s="337"/>
      <c r="H379" s="337"/>
      <c r="I379" s="337"/>
      <c r="J379" s="337"/>
      <c r="K379" s="337"/>
      <c r="L379" s="337"/>
      <c r="M379" s="337"/>
      <c r="N379" s="337"/>
      <c r="O379" s="337"/>
    </row>
    <row r="380" spans="1:25" ht="18" customHeight="1" x14ac:dyDescent="0.2">
      <c r="A380" s="337"/>
      <c r="B380" s="337"/>
      <c r="C380" s="583" t="s">
        <v>371</v>
      </c>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row>
    <row r="381" spans="1:25" ht="18" customHeight="1" x14ac:dyDescent="0.2">
      <c r="A381" s="337"/>
      <c r="B381" s="337"/>
      <c r="C381" s="592"/>
      <c r="D381" s="592"/>
      <c r="E381" s="592"/>
      <c r="F381" s="592"/>
      <c r="G381" s="592"/>
      <c r="H381" s="592"/>
      <c r="I381" s="592"/>
      <c r="J381" s="592"/>
      <c r="K381" s="592"/>
      <c r="L381" s="592"/>
      <c r="M381" s="592"/>
      <c r="N381" s="592"/>
      <c r="O381" s="592"/>
      <c r="P381" s="592"/>
      <c r="Q381" s="592"/>
      <c r="R381" s="592"/>
      <c r="S381" s="592"/>
      <c r="T381" s="592"/>
      <c r="U381" s="592"/>
      <c r="V381" s="592"/>
      <c r="W381" s="592"/>
      <c r="X381" s="592"/>
      <c r="Y381" s="592"/>
    </row>
    <row r="382" spans="1:25" ht="18" customHeight="1" x14ac:dyDescent="0.2">
      <c r="A382" s="337"/>
      <c r="B382" s="337"/>
      <c r="C382" s="337"/>
      <c r="D382" s="337"/>
      <c r="E382" s="337"/>
      <c r="F382" s="337"/>
      <c r="G382" s="337"/>
      <c r="H382" s="337"/>
      <c r="I382" s="337"/>
      <c r="J382" s="337"/>
      <c r="K382" s="386"/>
      <c r="L382" s="337"/>
      <c r="M382" s="386"/>
      <c r="N382" s="386"/>
      <c r="O382" s="380"/>
      <c r="S382" s="353" t="s">
        <v>251</v>
      </c>
      <c r="T382" s="578"/>
      <c r="U382" s="578"/>
      <c r="V382" s="578"/>
      <c r="W382" s="578"/>
      <c r="X382" s="591" t="s">
        <v>111</v>
      </c>
      <c r="Y382" s="591"/>
    </row>
    <row r="383" spans="1:25" ht="18" customHeight="1" x14ac:dyDescent="0.2">
      <c r="A383" s="337"/>
      <c r="B383" s="337"/>
      <c r="C383" s="345"/>
      <c r="D383" s="337"/>
      <c r="E383" s="337"/>
      <c r="F383" s="337"/>
      <c r="G383" s="337"/>
      <c r="H383" s="337"/>
      <c r="I383" s="337"/>
      <c r="J383" s="337"/>
      <c r="K383" s="337"/>
      <c r="L383" s="337"/>
      <c r="M383" s="337"/>
      <c r="N383" s="337"/>
      <c r="O383" s="337"/>
    </row>
    <row r="384" spans="1:25" ht="18" customHeight="1" x14ac:dyDescent="0.2">
      <c r="A384" s="337"/>
      <c r="B384" s="337"/>
      <c r="C384" s="345"/>
      <c r="D384" s="337"/>
      <c r="E384" s="337"/>
      <c r="F384" s="337"/>
      <c r="G384" s="337"/>
      <c r="H384" s="337"/>
      <c r="I384" s="337"/>
      <c r="J384" s="337"/>
      <c r="K384" s="337"/>
      <c r="L384" s="337"/>
      <c r="M384" s="337"/>
      <c r="N384" s="337"/>
      <c r="O384" s="337"/>
    </row>
    <row r="385" spans="1:25" ht="18" customHeight="1" x14ac:dyDescent="0.2">
      <c r="A385" s="337"/>
      <c r="B385" s="337"/>
      <c r="C385" s="583" t="s">
        <v>372</v>
      </c>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row>
    <row r="386" spans="1:25" ht="18" customHeight="1" x14ac:dyDescent="0.2">
      <c r="A386" s="337"/>
      <c r="B386" s="337"/>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row>
    <row r="387" spans="1:25" ht="18" customHeight="1" x14ac:dyDescent="0.2">
      <c r="A387" s="337"/>
      <c r="B387" s="337"/>
      <c r="C387" s="337"/>
      <c r="D387" s="337"/>
      <c r="E387" s="337"/>
      <c r="F387" s="337"/>
      <c r="G387" s="337"/>
      <c r="H387" s="337"/>
      <c r="I387" s="337"/>
      <c r="J387" s="337"/>
      <c r="K387" s="337"/>
      <c r="L387" s="368"/>
      <c r="M387" s="368"/>
      <c r="N387" s="386"/>
      <c r="O387" s="380"/>
      <c r="S387" s="353" t="s">
        <v>252</v>
      </c>
      <c r="T387" s="578"/>
      <c r="U387" s="578"/>
      <c r="V387" s="578"/>
      <c r="W387" s="578"/>
      <c r="X387" s="591" t="s">
        <v>112</v>
      </c>
      <c r="Y387" s="591"/>
    </row>
    <row r="388" spans="1:25" ht="18" customHeight="1" x14ac:dyDescent="0.2">
      <c r="C388" s="345"/>
      <c r="I388" s="411"/>
      <c r="J388" s="411"/>
      <c r="K388" s="412"/>
      <c r="N388" s="413"/>
      <c r="O388" s="414"/>
    </row>
    <row r="389" spans="1:25" ht="18" customHeight="1" x14ac:dyDescent="0.2">
      <c r="C389" s="345"/>
      <c r="I389" s="411"/>
      <c r="J389" s="411"/>
      <c r="K389" s="412"/>
      <c r="N389" s="413"/>
      <c r="O389" s="414"/>
    </row>
    <row r="390" spans="1:25" ht="18" customHeight="1" x14ac:dyDescent="0.2">
      <c r="A390" s="337"/>
      <c r="B390" s="337"/>
      <c r="C390" s="583" t="s">
        <v>373</v>
      </c>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row>
    <row r="391" spans="1:25" ht="18" customHeight="1" x14ac:dyDescent="0.2">
      <c r="A391" s="337"/>
      <c r="B391" s="337"/>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row>
    <row r="392" spans="1:25" ht="18" customHeight="1" x14ac:dyDescent="0.2">
      <c r="A392" s="337"/>
      <c r="B392" s="337"/>
      <c r="C392" s="592"/>
      <c r="D392" s="592"/>
      <c r="E392" s="592"/>
      <c r="F392" s="592"/>
      <c r="G392" s="592"/>
      <c r="H392" s="592"/>
      <c r="I392" s="592"/>
      <c r="J392" s="592"/>
      <c r="K392" s="592"/>
      <c r="L392" s="592"/>
      <c r="M392" s="592"/>
      <c r="N392" s="592"/>
      <c r="O392" s="592"/>
      <c r="P392" s="592"/>
      <c r="Q392" s="592"/>
      <c r="R392" s="592"/>
      <c r="S392" s="592"/>
      <c r="T392" s="592"/>
      <c r="U392" s="592"/>
      <c r="V392" s="592"/>
      <c r="W392" s="592"/>
      <c r="X392" s="592"/>
      <c r="Y392" s="592"/>
    </row>
    <row r="393" spans="1:25" ht="18" customHeight="1" x14ac:dyDescent="0.2">
      <c r="A393" s="337"/>
      <c r="B393" s="337"/>
      <c r="C393" s="337"/>
      <c r="D393" s="337"/>
      <c r="E393" s="337"/>
      <c r="F393" s="337"/>
      <c r="G393" s="337"/>
      <c r="H393" s="337"/>
      <c r="I393" s="389"/>
      <c r="J393" s="337"/>
      <c r="K393" s="368"/>
      <c r="L393" s="368"/>
      <c r="M393" s="368"/>
      <c r="N393" s="386"/>
      <c r="O393" s="380"/>
      <c r="S393" s="353" t="s">
        <v>253</v>
      </c>
      <c r="T393" s="578"/>
      <c r="U393" s="578"/>
      <c r="V393" s="578"/>
      <c r="W393" s="578"/>
      <c r="X393" s="591" t="s">
        <v>111</v>
      </c>
      <c r="Y393" s="591"/>
    </row>
    <row r="394" spans="1:25" ht="18" customHeight="1" x14ac:dyDescent="0.2">
      <c r="A394" s="337"/>
      <c r="B394" s="337"/>
      <c r="C394" s="337"/>
      <c r="D394" s="415"/>
      <c r="E394" s="415"/>
      <c r="F394" s="337"/>
      <c r="G394" s="337"/>
      <c r="H394" s="337"/>
      <c r="I394" s="415"/>
      <c r="J394" s="416"/>
      <c r="K394" s="417"/>
      <c r="L394" s="417"/>
      <c r="M394" s="368"/>
      <c r="N394" s="386"/>
      <c r="O394" s="380"/>
      <c r="S394" s="353" t="s">
        <v>254</v>
      </c>
      <c r="T394" s="578"/>
      <c r="U394" s="578"/>
      <c r="V394" s="578"/>
      <c r="W394" s="578"/>
      <c r="X394" s="591" t="s">
        <v>112</v>
      </c>
      <c r="Y394" s="591"/>
    </row>
    <row r="395" spans="1:25" ht="18" customHeight="1" x14ac:dyDescent="0.2">
      <c r="A395" s="337"/>
      <c r="B395" s="337"/>
      <c r="C395" s="345"/>
      <c r="D395" s="337"/>
      <c r="E395" s="337"/>
      <c r="F395" s="337"/>
      <c r="G395" s="337"/>
      <c r="H395" s="337"/>
      <c r="I395" s="337"/>
      <c r="J395" s="337"/>
      <c r="K395" s="337"/>
      <c r="L395" s="337"/>
      <c r="M395" s="337"/>
      <c r="N395" s="337"/>
      <c r="O395" s="337"/>
    </row>
    <row r="396" spans="1:25" ht="18" customHeight="1" x14ac:dyDescent="0.2">
      <c r="A396" s="337"/>
      <c r="B396" s="337"/>
      <c r="C396" s="345"/>
      <c r="D396" s="337"/>
      <c r="E396" s="337"/>
      <c r="F396" s="337"/>
      <c r="G396" s="337"/>
      <c r="H396" s="337"/>
      <c r="I396" s="337"/>
      <c r="J396" s="337"/>
      <c r="K396" s="337"/>
      <c r="L396" s="337"/>
      <c r="M396" s="337"/>
      <c r="N396" s="337"/>
      <c r="O396" s="337"/>
    </row>
    <row r="397" spans="1:25" ht="18" customHeight="1" x14ac:dyDescent="0.2">
      <c r="A397" s="337"/>
      <c r="B397" s="337"/>
      <c r="C397" s="581" t="s">
        <v>298</v>
      </c>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row>
    <row r="398" spans="1:25" ht="18" customHeight="1" x14ac:dyDescent="0.2">
      <c r="A398" s="337"/>
      <c r="B398" s="337"/>
      <c r="C398" s="346"/>
      <c r="D398" s="346"/>
      <c r="E398" s="346"/>
      <c r="F398" s="346"/>
      <c r="G398" s="346"/>
      <c r="H398" s="362"/>
      <c r="I398" s="346"/>
      <c r="J398" s="346"/>
      <c r="K398" s="368"/>
      <c r="L398" s="368"/>
      <c r="M398" s="368"/>
      <c r="N398" s="374"/>
      <c r="O398" s="337"/>
      <c r="S398" s="362" t="s">
        <v>374</v>
      </c>
      <c r="T398" s="782"/>
      <c r="U398" s="782"/>
      <c r="V398" s="782"/>
      <c r="W398" s="782"/>
      <c r="X398" s="591" t="s">
        <v>112</v>
      </c>
      <c r="Y398" s="591"/>
    </row>
    <row r="399" spans="1:25" ht="18" customHeight="1" x14ac:dyDescent="0.2">
      <c r="A399" s="337"/>
      <c r="B399" s="337"/>
      <c r="C399" s="346"/>
      <c r="D399" s="346"/>
      <c r="E399" s="346"/>
      <c r="F399" s="346"/>
      <c r="G399" s="346"/>
      <c r="H399" s="362"/>
      <c r="I399" s="346"/>
      <c r="J399" s="346"/>
      <c r="K399" s="368"/>
      <c r="L399" s="368"/>
      <c r="M399" s="368"/>
      <c r="N399" s="386"/>
      <c r="O399" s="380"/>
      <c r="S399" s="362" t="s">
        <v>255</v>
      </c>
      <c r="T399" s="578"/>
      <c r="U399" s="578"/>
      <c r="V399" s="578"/>
      <c r="W399" s="578"/>
      <c r="X399" s="591" t="s">
        <v>112</v>
      </c>
      <c r="Y399" s="591"/>
    </row>
    <row r="400" spans="1:25" ht="18" customHeight="1" x14ac:dyDescent="0.2">
      <c r="A400" s="337"/>
      <c r="B400" s="337"/>
      <c r="C400" s="345"/>
      <c r="D400" s="337"/>
      <c r="E400" s="337"/>
      <c r="F400" s="337"/>
      <c r="G400" s="337"/>
      <c r="H400" s="337"/>
      <c r="I400" s="337"/>
      <c r="J400" s="337"/>
      <c r="K400" s="337"/>
      <c r="L400" s="337"/>
      <c r="M400" s="337"/>
      <c r="N400" s="337"/>
      <c r="O400" s="337"/>
    </row>
    <row r="401" spans="1:25" ht="18" customHeight="1" x14ac:dyDescent="0.2">
      <c r="A401" s="337"/>
      <c r="B401" s="337"/>
      <c r="C401" s="345"/>
      <c r="D401" s="337"/>
      <c r="E401" s="337"/>
      <c r="F401" s="337"/>
      <c r="G401" s="337"/>
      <c r="H401" s="337"/>
      <c r="I401" s="337"/>
      <c r="J401" s="337"/>
      <c r="K401" s="337"/>
      <c r="L401" s="337"/>
      <c r="M401" s="337"/>
      <c r="N401" s="337"/>
      <c r="O401" s="337"/>
    </row>
    <row r="402" spans="1:25" ht="18" customHeight="1" x14ac:dyDescent="0.2">
      <c r="A402" s="337"/>
      <c r="B402" s="337"/>
      <c r="C402" s="583" t="s">
        <v>299</v>
      </c>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row>
    <row r="403" spans="1:25" ht="18" customHeight="1" x14ac:dyDescent="0.2">
      <c r="A403" s="337"/>
      <c r="B403" s="337"/>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row>
    <row r="404" spans="1:25" ht="18" customHeight="1" x14ac:dyDescent="0.2">
      <c r="A404" s="337"/>
      <c r="B404" s="337"/>
      <c r="C404" s="354" t="s">
        <v>234</v>
      </c>
      <c r="D404" s="354"/>
      <c r="E404" s="337"/>
      <c r="H404" s="368"/>
      <c r="I404" s="353" t="s">
        <v>28</v>
      </c>
      <c r="J404" s="588"/>
      <c r="K404" s="588"/>
      <c r="P404" s="339"/>
      <c r="Q404" s="368"/>
      <c r="R404" s="368"/>
      <c r="S404" s="369" t="s">
        <v>29</v>
      </c>
      <c r="T404" s="588"/>
      <c r="U404" s="588"/>
      <c r="V404" s="588"/>
      <c r="W404" s="588"/>
    </row>
    <row r="405" spans="1:25" ht="18" customHeight="1" x14ac:dyDescent="0.2">
      <c r="A405" s="337"/>
      <c r="B405" s="337"/>
      <c r="C405" s="345"/>
      <c r="D405" s="337"/>
      <c r="E405" s="337"/>
      <c r="F405" s="337"/>
      <c r="G405" s="337"/>
      <c r="H405" s="337"/>
      <c r="I405" s="337"/>
      <c r="J405" s="337"/>
      <c r="K405" s="337"/>
      <c r="L405" s="337"/>
      <c r="M405" s="337"/>
      <c r="N405" s="337"/>
      <c r="O405" s="337"/>
    </row>
    <row r="406" spans="1:25" ht="18" customHeight="1" x14ac:dyDescent="0.2">
      <c r="A406" s="337"/>
      <c r="B406" s="337"/>
      <c r="C406" s="345"/>
      <c r="D406" s="337"/>
      <c r="E406" s="337"/>
      <c r="F406" s="337"/>
      <c r="G406" s="337"/>
      <c r="H406" s="337"/>
      <c r="I406" s="337"/>
      <c r="J406" s="337"/>
      <c r="K406" s="337"/>
      <c r="L406" s="337"/>
      <c r="M406" s="337"/>
      <c r="N406" s="337"/>
      <c r="O406" s="337"/>
    </row>
    <row r="407" spans="1:25" ht="18" customHeight="1" x14ac:dyDescent="0.2">
      <c r="A407" s="337"/>
      <c r="B407" s="337"/>
      <c r="C407" s="581" t="s">
        <v>300</v>
      </c>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row>
    <row r="408" spans="1:25" ht="18" customHeight="1" x14ac:dyDescent="0.2">
      <c r="A408" s="337"/>
      <c r="B408" s="337"/>
      <c r="C408" s="337"/>
      <c r="D408" s="337"/>
      <c r="E408" s="337"/>
      <c r="F408" s="337"/>
      <c r="G408" s="337"/>
      <c r="H408" s="337"/>
      <c r="I408" s="337"/>
      <c r="J408" s="337"/>
      <c r="K408" s="353"/>
      <c r="L408" s="368"/>
      <c r="M408" s="368"/>
      <c r="N408" s="386"/>
      <c r="O408" s="380"/>
      <c r="S408" s="353" t="s">
        <v>256</v>
      </c>
      <c r="T408" s="578"/>
      <c r="U408" s="578"/>
      <c r="V408" s="578"/>
      <c r="W408" s="578"/>
      <c r="X408" s="591" t="s">
        <v>112</v>
      </c>
      <c r="Y408" s="591"/>
    </row>
    <row r="409" spans="1:25" ht="18" customHeight="1" x14ac:dyDescent="0.2">
      <c r="A409" s="337"/>
      <c r="B409" s="337"/>
      <c r="C409" s="345"/>
      <c r="D409" s="337"/>
      <c r="E409" s="337"/>
      <c r="F409" s="337"/>
      <c r="G409" s="337"/>
      <c r="H409" s="337"/>
      <c r="I409" s="337"/>
      <c r="J409" s="337"/>
      <c r="K409" s="337"/>
      <c r="L409" s="337"/>
      <c r="M409" s="337"/>
      <c r="N409" s="337"/>
      <c r="O409" s="337"/>
    </row>
    <row r="410" spans="1:25" ht="18" customHeight="1" x14ac:dyDescent="0.2">
      <c r="A410" s="337"/>
      <c r="B410" s="337"/>
      <c r="C410" s="345"/>
      <c r="D410" s="337"/>
      <c r="E410" s="337"/>
      <c r="F410" s="337"/>
      <c r="G410" s="337"/>
      <c r="H410" s="337"/>
      <c r="I410" s="337"/>
      <c r="J410" s="337"/>
      <c r="K410" s="337"/>
      <c r="L410" s="337"/>
      <c r="M410" s="337"/>
      <c r="N410" s="337"/>
      <c r="O410" s="337"/>
    </row>
    <row r="411" spans="1:25" ht="18" customHeight="1" x14ac:dyDescent="0.2">
      <c r="A411" s="337"/>
      <c r="B411" s="337"/>
      <c r="C411" s="583" t="s">
        <v>301</v>
      </c>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row>
    <row r="412" spans="1:25" ht="18" customHeight="1" x14ac:dyDescent="0.2">
      <c r="A412" s="337"/>
      <c r="B412" s="337"/>
      <c r="C412" s="592"/>
      <c r="D412" s="592"/>
      <c r="E412" s="592"/>
      <c r="F412" s="592"/>
      <c r="G412" s="592"/>
      <c r="H412" s="592"/>
      <c r="I412" s="592"/>
      <c r="J412" s="592"/>
      <c r="K412" s="592"/>
      <c r="L412" s="592"/>
      <c r="M412" s="592"/>
      <c r="N412" s="592"/>
      <c r="O412" s="592"/>
      <c r="P412" s="592"/>
      <c r="Q412" s="592"/>
      <c r="R412" s="592"/>
      <c r="S412" s="592"/>
      <c r="T412" s="592"/>
      <c r="U412" s="592"/>
      <c r="V412" s="592"/>
      <c r="W412" s="592"/>
      <c r="X412" s="592"/>
      <c r="Y412" s="592"/>
    </row>
    <row r="413" spans="1:25" ht="18" customHeight="1" x14ac:dyDescent="0.2">
      <c r="A413" s="337"/>
      <c r="B413" s="337"/>
      <c r="C413" s="354" t="s">
        <v>234</v>
      </c>
      <c r="D413" s="354"/>
      <c r="E413" s="337"/>
      <c r="H413" s="368"/>
      <c r="I413" s="353" t="s">
        <v>28</v>
      </c>
      <c r="J413" s="588"/>
      <c r="K413" s="588"/>
      <c r="P413" s="339"/>
      <c r="Q413" s="368"/>
      <c r="R413" s="368"/>
      <c r="S413" s="369" t="s">
        <v>29</v>
      </c>
      <c r="T413" s="588"/>
      <c r="U413" s="588"/>
      <c r="V413" s="588"/>
      <c r="W413" s="588"/>
    </row>
    <row r="414" spans="1:25" ht="18" customHeight="1" x14ac:dyDescent="0.2">
      <c r="A414" s="337"/>
      <c r="B414" s="337"/>
      <c r="C414" s="345"/>
      <c r="D414" s="337"/>
      <c r="E414" s="337"/>
      <c r="F414" s="337"/>
      <c r="G414" s="337"/>
      <c r="H414" s="337"/>
      <c r="I414" s="337"/>
      <c r="J414" s="337"/>
      <c r="K414" s="337"/>
      <c r="L414" s="337"/>
      <c r="M414" s="337"/>
      <c r="N414" s="337"/>
      <c r="O414" s="337"/>
    </row>
    <row r="415" spans="1:25" ht="18" customHeight="1" x14ac:dyDescent="0.2">
      <c r="A415" s="337"/>
      <c r="B415" s="337"/>
      <c r="C415" s="345"/>
      <c r="D415" s="337"/>
      <c r="E415" s="337"/>
      <c r="F415" s="337"/>
      <c r="G415" s="337"/>
      <c r="H415" s="337"/>
      <c r="I415" s="337"/>
      <c r="J415" s="337"/>
      <c r="K415" s="337"/>
      <c r="L415" s="337"/>
      <c r="M415" s="337"/>
      <c r="N415" s="337"/>
      <c r="O415" s="337"/>
    </row>
    <row r="416" spans="1:25" ht="18" customHeight="1" x14ac:dyDescent="0.2">
      <c r="A416" s="337"/>
      <c r="B416" s="337"/>
      <c r="C416" s="583" t="s">
        <v>302</v>
      </c>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row>
    <row r="417" spans="1:25" ht="18" customHeight="1" x14ac:dyDescent="0.2">
      <c r="A417" s="337"/>
      <c r="B417" s="337"/>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row>
    <row r="418" spans="1:25" ht="18" customHeight="1" x14ac:dyDescent="0.2">
      <c r="A418" s="337"/>
      <c r="B418" s="337"/>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row>
    <row r="419" spans="1:25" ht="18" customHeight="1" x14ac:dyDescent="0.2">
      <c r="A419" s="337"/>
      <c r="B419" s="337"/>
      <c r="C419" s="669"/>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1"/>
    </row>
    <row r="420" spans="1:25" ht="18" customHeight="1" x14ac:dyDescent="0.2">
      <c r="A420" s="337"/>
      <c r="B420" s="337"/>
      <c r="C420" s="672"/>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4"/>
    </row>
    <row r="421" spans="1:25" ht="18" customHeight="1" x14ac:dyDescent="0.2">
      <c r="A421" s="337"/>
      <c r="B421" s="337"/>
      <c r="C421" s="337"/>
      <c r="D421" s="337"/>
      <c r="E421" s="337"/>
      <c r="F421" s="337"/>
      <c r="G421" s="337"/>
      <c r="H421" s="337"/>
      <c r="I421" s="337"/>
      <c r="J421" s="337"/>
      <c r="K421" s="337"/>
      <c r="L421" s="337"/>
      <c r="M421" s="337"/>
      <c r="N421" s="337"/>
      <c r="O421" s="337"/>
    </row>
    <row r="422" spans="1:25" ht="18" customHeight="1" x14ac:dyDescent="0.2">
      <c r="A422" s="337"/>
      <c r="B422" s="337"/>
      <c r="C422" s="337"/>
      <c r="D422" s="337"/>
      <c r="E422" s="337"/>
      <c r="F422" s="337"/>
      <c r="G422" s="337"/>
      <c r="H422" s="337"/>
      <c r="I422" s="337"/>
      <c r="J422" s="337"/>
      <c r="K422" s="337"/>
      <c r="L422" s="337"/>
      <c r="M422" s="337"/>
      <c r="N422" s="337"/>
      <c r="O422" s="337"/>
    </row>
    <row r="423" spans="1:25" ht="18" customHeight="1" x14ac:dyDescent="0.2">
      <c r="A423" s="337"/>
      <c r="B423" s="337"/>
      <c r="C423" s="581" t="s">
        <v>303</v>
      </c>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row>
    <row r="424" spans="1:25" ht="18" customHeight="1" x14ac:dyDescent="0.2">
      <c r="A424" s="337"/>
      <c r="B424" s="337"/>
      <c r="C424" s="337"/>
      <c r="D424" s="337"/>
      <c r="E424" s="337"/>
      <c r="F424" s="337"/>
      <c r="G424" s="337"/>
      <c r="H424" s="337"/>
      <c r="I424" s="337"/>
      <c r="J424" s="337"/>
      <c r="K424" s="337"/>
      <c r="L424" s="386"/>
      <c r="M424" s="386"/>
      <c r="N424" s="386"/>
      <c r="O424" s="380"/>
      <c r="S424" s="353" t="s">
        <v>257</v>
      </c>
      <c r="T424" s="578"/>
      <c r="U424" s="578"/>
      <c r="V424" s="578"/>
      <c r="W424" s="578"/>
      <c r="X424" s="591" t="s">
        <v>112</v>
      </c>
      <c r="Y424" s="591"/>
    </row>
    <row r="425" spans="1:25" ht="18" customHeight="1" x14ac:dyDescent="0.2">
      <c r="A425" s="337"/>
      <c r="B425" s="337"/>
      <c r="C425" s="345"/>
      <c r="D425" s="337"/>
      <c r="E425" s="337"/>
      <c r="F425" s="337"/>
      <c r="G425" s="337"/>
      <c r="H425" s="337"/>
      <c r="I425" s="337"/>
      <c r="J425" s="337"/>
      <c r="K425" s="337"/>
      <c r="L425" s="337"/>
      <c r="M425" s="337"/>
      <c r="N425" s="337"/>
      <c r="O425" s="337"/>
    </row>
    <row r="426" spans="1:25" ht="18" customHeight="1" x14ac:dyDescent="0.2">
      <c r="A426" s="337"/>
      <c r="B426" s="337"/>
      <c r="C426" s="345"/>
      <c r="D426" s="337"/>
      <c r="E426" s="337"/>
      <c r="F426" s="337"/>
      <c r="G426" s="337"/>
      <c r="H426" s="337"/>
      <c r="I426" s="337"/>
      <c r="J426" s="337"/>
      <c r="K426" s="337"/>
      <c r="L426" s="337"/>
      <c r="M426" s="337"/>
      <c r="N426" s="337"/>
      <c r="O426" s="337"/>
    </row>
    <row r="427" spans="1:25" ht="23.1" customHeight="1" x14ac:dyDescent="0.2">
      <c r="A427" s="337"/>
      <c r="B427" s="337"/>
      <c r="C427" s="583" t="s">
        <v>304</v>
      </c>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row>
    <row r="428" spans="1:25" ht="23.1" customHeight="1" x14ac:dyDescent="0.2">
      <c r="A428" s="337"/>
      <c r="B428" s="337"/>
      <c r="C428" s="592"/>
      <c r="D428" s="592"/>
      <c r="E428" s="592"/>
      <c r="F428" s="592"/>
      <c r="G428" s="592"/>
      <c r="H428" s="592"/>
      <c r="I428" s="592"/>
      <c r="J428" s="592"/>
      <c r="K428" s="592"/>
      <c r="L428" s="592"/>
      <c r="M428" s="592"/>
      <c r="N428" s="592"/>
      <c r="O428" s="592"/>
      <c r="P428" s="592"/>
      <c r="Q428" s="592"/>
      <c r="R428" s="592"/>
      <c r="S428" s="592"/>
      <c r="T428" s="592"/>
      <c r="U428" s="592"/>
      <c r="V428" s="592"/>
      <c r="W428" s="592"/>
      <c r="X428" s="592"/>
      <c r="Y428" s="592"/>
    </row>
    <row r="429" spans="1:25" ht="18" customHeight="1" x14ac:dyDescent="0.2">
      <c r="A429" s="337"/>
      <c r="B429" s="337"/>
      <c r="C429" s="354" t="s">
        <v>234</v>
      </c>
      <c r="D429" s="354"/>
      <c r="E429" s="337"/>
      <c r="H429" s="368"/>
      <c r="I429" s="353" t="s">
        <v>28</v>
      </c>
      <c r="J429" s="588"/>
      <c r="K429" s="588"/>
      <c r="P429" s="339"/>
      <c r="Q429" s="368"/>
      <c r="R429" s="368"/>
      <c r="S429" s="369" t="s">
        <v>29</v>
      </c>
      <c r="T429" s="588"/>
      <c r="U429" s="588"/>
      <c r="V429" s="588"/>
      <c r="W429" s="588"/>
    </row>
    <row r="430" spans="1:25" ht="18" customHeight="1" x14ac:dyDescent="0.2">
      <c r="A430" s="337"/>
      <c r="B430" s="337"/>
      <c r="C430" s="345"/>
      <c r="D430" s="337"/>
      <c r="E430" s="337"/>
      <c r="F430" s="337"/>
      <c r="G430" s="337"/>
      <c r="H430" s="337"/>
      <c r="I430" s="337"/>
      <c r="J430" s="337"/>
      <c r="K430" s="337"/>
      <c r="L430" s="337"/>
      <c r="M430" s="337"/>
      <c r="N430" s="337"/>
      <c r="O430" s="337"/>
    </row>
    <row r="431" spans="1:25" ht="18" customHeight="1" x14ac:dyDescent="0.2">
      <c r="A431" s="337"/>
      <c r="B431" s="337"/>
      <c r="C431" s="345"/>
      <c r="D431" s="337"/>
      <c r="E431" s="337"/>
      <c r="F431" s="337"/>
      <c r="G431" s="337"/>
      <c r="H431" s="337"/>
      <c r="I431" s="337"/>
      <c r="J431" s="337"/>
      <c r="K431" s="337"/>
      <c r="L431" s="337"/>
      <c r="M431" s="337"/>
      <c r="N431" s="337"/>
      <c r="O431" s="337"/>
    </row>
    <row r="432" spans="1:25" ht="18" customHeight="1" x14ac:dyDescent="0.2">
      <c r="A432" s="337"/>
      <c r="B432" s="337"/>
      <c r="C432" s="583" t="s">
        <v>305</v>
      </c>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row>
    <row r="433" spans="1:25" ht="18" customHeight="1" x14ac:dyDescent="0.2">
      <c r="A433" s="337"/>
      <c r="B433" s="337"/>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row>
    <row r="434" spans="1:25" ht="18" customHeight="1" x14ac:dyDescent="0.2">
      <c r="A434" s="337"/>
      <c r="B434" s="337"/>
      <c r="C434" s="592"/>
      <c r="D434" s="592"/>
      <c r="E434" s="592"/>
      <c r="F434" s="592"/>
      <c r="G434" s="592"/>
      <c r="H434" s="592"/>
      <c r="I434" s="592"/>
      <c r="J434" s="592"/>
      <c r="K434" s="592"/>
      <c r="L434" s="592"/>
      <c r="M434" s="592"/>
      <c r="N434" s="592"/>
      <c r="O434" s="592"/>
      <c r="P434" s="592"/>
      <c r="Q434" s="592"/>
      <c r="R434" s="592"/>
      <c r="S434" s="592"/>
      <c r="T434" s="592"/>
      <c r="U434" s="592"/>
      <c r="V434" s="592"/>
      <c r="W434" s="592"/>
      <c r="X434" s="592"/>
      <c r="Y434" s="592"/>
    </row>
    <row r="435" spans="1:25" ht="18" customHeight="1" x14ac:dyDescent="0.2">
      <c r="A435" s="337"/>
      <c r="B435" s="337"/>
      <c r="C435" s="669"/>
      <c r="D435" s="670"/>
      <c r="E435" s="670"/>
      <c r="F435" s="670"/>
      <c r="G435" s="670"/>
      <c r="H435" s="670"/>
      <c r="I435" s="670"/>
      <c r="J435" s="670"/>
      <c r="K435" s="670"/>
      <c r="L435" s="670"/>
      <c r="M435" s="670"/>
      <c r="N435" s="670"/>
      <c r="O435" s="670"/>
      <c r="P435" s="670"/>
      <c r="Q435" s="670"/>
      <c r="R435" s="670"/>
      <c r="S435" s="670"/>
      <c r="T435" s="670"/>
      <c r="U435" s="670"/>
      <c r="V435" s="670"/>
      <c r="W435" s="670"/>
      <c r="X435" s="670"/>
      <c r="Y435" s="671"/>
    </row>
    <row r="436" spans="1:25" ht="18" customHeight="1" x14ac:dyDescent="0.2">
      <c r="A436" s="337"/>
      <c r="B436" s="337"/>
      <c r="C436" s="672"/>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4"/>
    </row>
    <row r="437" spans="1:25" ht="18" customHeight="1" x14ac:dyDescent="0.2">
      <c r="A437" s="337"/>
      <c r="B437" s="337"/>
      <c r="C437" s="337"/>
      <c r="D437" s="337"/>
      <c r="E437" s="337"/>
      <c r="F437" s="337"/>
      <c r="G437" s="337"/>
      <c r="H437" s="337"/>
      <c r="I437" s="337"/>
      <c r="J437" s="337"/>
      <c r="K437" s="337"/>
      <c r="L437" s="337"/>
      <c r="M437" s="337"/>
      <c r="N437" s="337"/>
      <c r="O437" s="337"/>
    </row>
    <row r="438" spans="1:25" ht="18" customHeight="1" x14ac:dyDescent="0.2">
      <c r="A438" s="337"/>
      <c r="B438" s="337"/>
      <c r="C438" s="337"/>
      <c r="D438" s="337"/>
      <c r="E438" s="337"/>
      <c r="F438" s="337"/>
      <c r="G438" s="337"/>
      <c r="H438" s="337"/>
      <c r="I438" s="337"/>
      <c r="J438" s="337"/>
      <c r="K438" s="337"/>
      <c r="L438" s="337"/>
      <c r="M438" s="337"/>
      <c r="N438" s="337"/>
      <c r="O438" s="337"/>
    </row>
    <row r="439" spans="1:25" ht="18" customHeight="1" x14ac:dyDescent="0.2">
      <c r="A439" s="337"/>
      <c r="B439" s="337"/>
      <c r="C439" s="581" t="s">
        <v>306</v>
      </c>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row>
    <row r="440" spans="1:25" ht="18" customHeight="1" x14ac:dyDescent="0.2">
      <c r="A440" s="337"/>
      <c r="B440" s="337"/>
      <c r="C440" s="354" t="s">
        <v>234</v>
      </c>
      <c r="D440" s="354"/>
      <c r="E440" s="337"/>
      <c r="H440" s="368"/>
      <c r="I440" s="353" t="s">
        <v>28</v>
      </c>
      <c r="J440" s="588"/>
      <c r="K440" s="588"/>
      <c r="P440" s="339"/>
      <c r="Q440" s="368"/>
      <c r="R440" s="368"/>
      <c r="S440" s="369" t="s">
        <v>29</v>
      </c>
      <c r="T440" s="588"/>
      <c r="U440" s="588"/>
      <c r="V440" s="588"/>
      <c r="W440" s="588"/>
    </row>
    <row r="441" spans="1:25" ht="18" customHeight="1" x14ac:dyDescent="0.2">
      <c r="A441" s="337"/>
      <c r="B441" s="337"/>
      <c r="C441" s="345"/>
      <c r="D441" s="337"/>
      <c r="E441" s="337"/>
      <c r="F441" s="337"/>
      <c r="G441" s="337"/>
      <c r="H441" s="337"/>
      <c r="I441" s="337"/>
      <c r="J441" s="337"/>
      <c r="K441" s="337"/>
      <c r="L441" s="337"/>
      <c r="M441" s="337"/>
      <c r="N441" s="337"/>
      <c r="O441" s="337"/>
    </row>
    <row r="442" spans="1:25" ht="18" customHeight="1" x14ac:dyDescent="0.2">
      <c r="A442" s="337"/>
      <c r="B442" s="337"/>
      <c r="C442" s="345"/>
      <c r="D442" s="337"/>
      <c r="E442" s="337"/>
      <c r="F442" s="337"/>
      <c r="G442" s="337"/>
      <c r="H442" s="337"/>
      <c r="I442" s="337"/>
      <c r="J442" s="337"/>
      <c r="K442" s="337"/>
      <c r="L442" s="337"/>
      <c r="M442" s="337"/>
      <c r="N442" s="337"/>
      <c r="O442" s="337"/>
    </row>
    <row r="443" spans="1:25" ht="18" customHeight="1" x14ac:dyDescent="0.2">
      <c r="A443" s="337"/>
      <c r="B443" s="337"/>
      <c r="C443" s="592" t="s">
        <v>307</v>
      </c>
      <c r="D443" s="592"/>
      <c r="E443" s="592"/>
      <c r="F443" s="592"/>
      <c r="G443" s="592"/>
      <c r="H443" s="592"/>
      <c r="I443" s="592"/>
      <c r="J443" s="592"/>
      <c r="K443" s="592"/>
      <c r="L443" s="592"/>
      <c r="M443" s="592"/>
      <c r="N443" s="592"/>
      <c r="O443" s="592"/>
      <c r="P443" s="592"/>
      <c r="Q443" s="592"/>
      <c r="R443" s="592"/>
      <c r="S443" s="592"/>
      <c r="T443" s="592"/>
      <c r="U443" s="592"/>
      <c r="V443" s="592"/>
      <c r="W443" s="592"/>
      <c r="X443" s="592"/>
      <c r="Y443" s="592"/>
    </row>
    <row r="444" spans="1:25" ht="18" customHeight="1" x14ac:dyDescent="0.2">
      <c r="A444" s="337"/>
      <c r="B444" s="337"/>
      <c r="C444" s="354" t="s">
        <v>234</v>
      </c>
      <c r="D444" s="354"/>
      <c r="E444" s="337"/>
      <c r="H444" s="368"/>
      <c r="I444" s="353" t="s">
        <v>28</v>
      </c>
      <c r="J444" s="771"/>
      <c r="K444" s="771"/>
      <c r="P444" s="339"/>
      <c r="Q444" s="368"/>
      <c r="R444" s="368"/>
      <c r="S444" s="369" t="s">
        <v>29</v>
      </c>
      <c r="T444" s="771"/>
      <c r="U444" s="771"/>
      <c r="V444" s="771"/>
      <c r="W444" s="771"/>
    </row>
    <row r="445" spans="1:25" ht="18" customHeight="1" x14ac:dyDescent="0.2">
      <c r="A445" s="337"/>
      <c r="B445" s="337"/>
      <c r="C445" s="345"/>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row>
    <row r="446" spans="1:25" ht="18" customHeight="1" x14ac:dyDescent="0.2">
      <c r="A446" s="337"/>
      <c r="B446" s="337"/>
      <c r="C446" s="345"/>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row>
    <row r="447" spans="1:25" ht="18" customHeight="1" x14ac:dyDescent="0.2">
      <c r="A447" s="337"/>
      <c r="B447" s="337"/>
      <c r="C447" s="583" t="s">
        <v>308</v>
      </c>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row>
    <row r="448" spans="1:25" ht="18" customHeight="1" x14ac:dyDescent="0.2">
      <c r="A448" s="337"/>
      <c r="B448" s="337"/>
      <c r="C448" s="592"/>
      <c r="D448" s="592"/>
      <c r="E448" s="592"/>
      <c r="F448" s="592"/>
      <c r="G448" s="592"/>
      <c r="H448" s="592"/>
      <c r="I448" s="592"/>
      <c r="J448" s="592"/>
      <c r="K448" s="592"/>
      <c r="L448" s="592"/>
      <c r="M448" s="592"/>
      <c r="N448" s="592"/>
      <c r="O448" s="592"/>
      <c r="P448" s="592"/>
      <c r="Q448" s="592"/>
      <c r="R448" s="592"/>
      <c r="S448" s="592"/>
      <c r="T448" s="592"/>
      <c r="U448" s="592"/>
      <c r="V448" s="592"/>
      <c r="W448" s="592"/>
      <c r="X448" s="592"/>
      <c r="Y448" s="592"/>
    </row>
    <row r="449" spans="1:27" ht="18" customHeight="1" x14ac:dyDescent="0.2">
      <c r="A449" s="337"/>
      <c r="B449" s="337"/>
      <c r="C449" s="354" t="s">
        <v>234</v>
      </c>
      <c r="D449" s="354"/>
      <c r="E449" s="337"/>
      <c r="H449" s="368"/>
      <c r="I449" s="353" t="s">
        <v>28</v>
      </c>
      <c r="J449" s="588"/>
      <c r="K449" s="588"/>
      <c r="P449" s="339"/>
      <c r="Q449" s="368"/>
      <c r="R449" s="368"/>
      <c r="S449" s="369" t="s">
        <v>29</v>
      </c>
      <c r="T449" s="588"/>
      <c r="U449" s="588"/>
      <c r="V449" s="588"/>
      <c r="W449" s="588"/>
    </row>
    <row r="450" spans="1:27" ht="18" customHeight="1" x14ac:dyDescent="0.2">
      <c r="A450" s="337"/>
      <c r="B450" s="337"/>
      <c r="C450" s="345"/>
      <c r="D450" s="337"/>
      <c r="E450" s="337"/>
      <c r="F450" s="337"/>
      <c r="G450" s="337"/>
      <c r="H450" s="337"/>
      <c r="I450" s="337"/>
      <c r="J450" s="337"/>
      <c r="K450" s="337"/>
      <c r="L450" s="337"/>
      <c r="M450" s="337"/>
      <c r="N450" s="337"/>
      <c r="O450" s="337"/>
    </row>
    <row r="451" spans="1:27" ht="18" customHeight="1" x14ac:dyDescent="0.2">
      <c r="A451" s="337"/>
      <c r="B451" s="337"/>
      <c r="C451" s="345"/>
      <c r="D451" s="337"/>
      <c r="E451" s="337"/>
      <c r="F451" s="337"/>
      <c r="G451" s="337"/>
      <c r="H451" s="337"/>
      <c r="I451" s="337"/>
      <c r="J451" s="337"/>
      <c r="K451" s="337"/>
      <c r="L451" s="337"/>
      <c r="M451" s="337"/>
      <c r="N451" s="337"/>
      <c r="O451" s="337"/>
    </row>
    <row r="452" spans="1:27" ht="33.75" customHeight="1" x14ac:dyDescent="0.2">
      <c r="A452" s="337"/>
      <c r="B452" s="337"/>
      <c r="C452" s="341" t="s">
        <v>400</v>
      </c>
      <c r="D452" s="695" t="s">
        <v>405</v>
      </c>
      <c r="E452" s="696"/>
      <c r="F452" s="696"/>
      <c r="G452" s="696"/>
      <c r="H452" s="696"/>
      <c r="I452" s="696"/>
      <c r="J452" s="696"/>
      <c r="K452" s="696"/>
      <c r="L452" s="696"/>
      <c r="M452" s="696"/>
      <c r="N452" s="696"/>
      <c r="O452" s="696"/>
      <c r="P452" s="696"/>
      <c r="Q452" s="696"/>
      <c r="R452" s="696"/>
      <c r="S452" s="696"/>
      <c r="T452" s="696"/>
      <c r="U452" s="696"/>
      <c r="V452" s="696"/>
      <c r="W452" s="696"/>
      <c r="X452" s="696"/>
      <c r="Y452" s="697"/>
    </row>
    <row r="453" spans="1:27" ht="18" customHeight="1" x14ac:dyDescent="0.2">
      <c r="A453" s="337"/>
      <c r="B453" s="337"/>
      <c r="C453" s="583" t="s">
        <v>309</v>
      </c>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row>
    <row r="454" spans="1:27" s="367" customFormat="1" ht="18" customHeight="1" x14ac:dyDescent="0.2">
      <c r="A454" s="368"/>
      <c r="B454" s="368"/>
      <c r="C454" s="592"/>
      <c r="D454" s="592"/>
      <c r="E454" s="592"/>
      <c r="F454" s="592"/>
      <c r="G454" s="592"/>
      <c r="H454" s="592"/>
      <c r="I454" s="592"/>
      <c r="J454" s="592"/>
      <c r="K454" s="592"/>
      <c r="L454" s="592"/>
      <c r="M454" s="592"/>
      <c r="N454" s="592"/>
      <c r="O454" s="592"/>
      <c r="P454" s="592"/>
      <c r="Q454" s="592"/>
      <c r="R454" s="592"/>
      <c r="S454" s="592"/>
      <c r="T454" s="592"/>
      <c r="U454" s="592"/>
      <c r="V454" s="592"/>
      <c r="W454" s="592"/>
      <c r="X454" s="592"/>
      <c r="Y454" s="592"/>
    </row>
    <row r="455" spans="1:27" s="367" customFormat="1" ht="18" customHeight="1" x14ac:dyDescent="0.2">
      <c r="A455" s="368"/>
      <c r="B455" s="781" t="s">
        <v>1522</v>
      </c>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c r="AA455" s="781"/>
    </row>
    <row r="456" spans="1:27" ht="18" customHeight="1" x14ac:dyDescent="0.2">
      <c r="A456" s="337"/>
      <c r="B456" s="337"/>
      <c r="C456" s="354" t="s">
        <v>234</v>
      </c>
      <c r="D456" s="354"/>
      <c r="E456" s="337"/>
      <c r="I456" s="362" t="s">
        <v>8</v>
      </c>
      <c r="J456" s="588"/>
      <c r="K456" s="588"/>
      <c r="N456" s="346"/>
      <c r="P456" s="339"/>
      <c r="S456" s="362" t="s">
        <v>9</v>
      </c>
      <c r="T456" s="588"/>
      <c r="U456" s="588"/>
      <c r="V456" s="588"/>
      <c r="W456" s="588"/>
    </row>
    <row r="457" spans="1:27" ht="18" customHeight="1" x14ac:dyDescent="0.2">
      <c r="A457" s="337"/>
      <c r="B457" s="337"/>
      <c r="C457" s="354"/>
      <c r="D457" s="354"/>
      <c r="E457" s="337"/>
      <c r="F457" s="337"/>
      <c r="G457" s="337"/>
      <c r="H457" s="337"/>
      <c r="I457" s="362" t="s">
        <v>10</v>
      </c>
      <c r="J457" s="588"/>
      <c r="K457" s="588"/>
      <c r="P457" s="339"/>
      <c r="S457" s="362" t="s">
        <v>11</v>
      </c>
      <c r="T457" s="588"/>
      <c r="U457" s="588"/>
      <c r="V457" s="588"/>
      <c r="W457" s="588"/>
    </row>
    <row r="458" spans="1:27" s="347" customFormat="1" ht="18" customHeight="1" x14ac:dyDescent="0.2">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row>
    <row r="459" spans="1:27" s="347" customFormat="1" ht="18" customHeight="1" x14ac:dyDescent="0.2">
      <c r="A459" s="346"/>
      <c r="B459" s="346"/>
      <c r="C459" s="583" t="s">
        <v>310</v>
      </c>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row>
    <row r="460" spans="1:27" s="347" customFormat="1" ht="18" customHeight="1" x14ac:dyDescent="0.2">
      <c r="A460" s="346"/>
      <c r="B460" s="346"/>
      <c r="C460" s="583"/>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row>
    <row r="461" spans="1:27" ht="18" customHeight="1" x14ac:dyDescent="0.2">
      <c r="A461" s="337"/>
      <c r="B461" s="705" t="s">
        <v>1525</v>
      </c>
      <c r="C461" s="705"/>
      <c r="D461" s="705"/>
      <c r="E461" s="705"/>
      <c r="F461" s="705"/>
      <c r="G461" s="705"/>
      <c r="H461" s="705"/>
      <c r="I461" s="705"/>
      <c r="J461" s="705"/>
      <c r="K461" s="705"/>
      <c r="L461" s="705"/>
      <c r="M461" s="705"/>
      <c r="N461" s="705"/>
      <c r="O461" s="705"/>
      <c r="P461" s="705"/>
      <c r="Q461" s="705"/>
      <c r="R461" s="705"/>
      <c r="S461" s="705"/>
      <c r="T461" s="705"/>
      <c r="U461" s="705"/>
      <c r="V461" s="705"/>
      <c r="W461" s="705"/>
      <c r="X461" s="705"/>
      <c r="Y461" s="705"/>
      <c r="Z461" s="705"/>
      <c r="AA461" s="705"/>
    </row>
    <row r="462" spans="1:27" ht="39.75" customHeight="1" x14ac:dyDescent="0.2">
      <c r="A462" s="337"/>
      <c r="B462" s="337"/>
      <c r="C462" s="640" t="s">
        <v>85</v>
      </c>
      <c r="D462" s="640"/>
      <c r="E462" s="640"/>
      <c r="F462" s="772" t="s">
        <v>86</v>
      </c>
      <c r="G462" s="773"/>
      <c r="H462" s="773"/>
      <c r="I462" s="773"/>
      <c r="J462" s="773"/>
      <c r="K462" s="773"/>
      <c r="L462" s="773"/>
      <c r="M462" s="773"/>
      <c r="N462" s="773"/>
      <c r="O462" s="773"/>
      <c r="P462" s="773"/>
      <c r="Q462" s="773"/>
      <c r="R462" s="773"/>
      <c r="S462" s="774"/>
      <c r="T462" s="772" t="s">
        <v>12</v>
      </c>
      <c r="U462" s="773"/>
      <c r="V462" s="773"/>
      <c r="W462" s="773"/>
      <c r="X462" s="773"/>
      <c r="Y462" s="774"/>
      <c r="Z462" s="419"/>
      <c r="AA462" s="419"/>
    </row>
    <row r="463" spans="1:27" ht="23.1" customHeight="1" x14ac:dyDescent="0.2">
      <c r="A463" s="337"/>
      <c r="B463" s="337"/>
      <c r="C463" s="775" t="s">
        <v>37</v>
      </c>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7"/>
      <c r="Z463" s="419"/>
      <c r="AA463" s="419"/>
    </row>
    <row r="464" spans="1:27" ht="26.25" customHeight="1" x14ac:dyDescent="0.2">
      <c r="A464" s="337"/>
      <c r="B464" s="337"/>
      <c r="C464" s="770" t="s">
        <v>113</v>
      </c>
      <c r="D464" s="770"/>
      <c r="E464" s="770"/>
      <c r="F464" s="778" t="s">
        <v>114</v>
      </c>
      <c r="G464" s="779"/>
      <c r="H464" s="779"/>
      <c r="I464" s="779"/>
      <c r="J464" s="779"/>
      <c r="K464" s="779"/>
      <c r="L464" s="779"/>
      <c r="M464" s="779"/>
      <c r="N464" s="779"/>
      <c r="O464" s="779"/>
      <c r="P464" s="779"/>
      <c r="Q464" s="779"/>
      <c r="R464" s="779"/>
      <c r="S464" s="780"/>
      <c r="T464" s="770">
        <v>35</v>
      </c>
      <c r="U464" s="770"/>
      <c r="V464" s="770"/>
      <c r="W464" s="770"/>
      <c r="X464" s="770" t="s">
        <v>5</v>
      </c>
      <c r="Y464" s="770"/>
      <c r="Z464" s="419"/>
      <c r="AA464" s="419"/>
    </row>
    <row r="465" spans="1:28" ht="26.25" customHeight="1" x14ac:dyDescent="0.2">
      <c r="A465" s="337"/>
      <c r="B465" s="337"/>
      <c r="C465" s="638"/>
      <c r="D465" s="638"/>
      <c r="E465" s="638"/>
      <c r="F465" s="665"/>
      <c r="G465" s="666"/>
      <c r="H465" s="666"/>
      <c r="I465" s="666"/>
      <c r="J465" s="666"/>
      <c r="K465" s="666"/>
      <c r="L465" s="666"/>
      <c r="M465" s="666"/>
      <c r="N465" s="666"/>
      <c r="O465" s="666"/>
      <c r="P465" s="666"/>
      <c r="Q465" s="666"/>
      <c r="R465" s="666"/>
      <c r="S465" s="667"/>
      <c r="T465" s="590"/>
      <c r="U465" s="590"/>
      <c r="V465" s="590"/>
      <c r="W465" s="590"/>
      <c r="X465" s="668" t="s">
        <v>5</v>
      </c>
      <c r="Y465" s="668"/>
      <c r="Z465" s="420"/>
      <c r="AA465" s="420"/>
    </row>
    <row r="466" spans="1:28" ht="26.25" customHeight="1" x14ac:dyDescent="0.2">
      <c r="A466" s="337"/>
      <c r="B466" s="337"/>
      <c r="C466" s="638"/>
      <c r="D466" s="638"/>
      <c r="E466" s="638"/>
      <c r="F466" s="665"/>
      <c r="G466" s="666"/>
      <c r="H466" s="666"/>
      <c r="I466" s="666"/>
      <c r="J466" s="666"/>
      <c r="K466" s="666"/>
      <c r="L466" s="666"/>
      <c r="M466" s="666"/>
      <c r="N466" s="666"/>
      <c r="O466" s="666"/>
      <c r="P466" s="666"/>
      <c r="Q466" s="666"/>
      <c r="R466" s="666"/>
      <c r="S466" s="667"/>
      <c r="T466" s="590"/>
      <c r="U466" s="590"/>
      <c r="V466" s="590"/>
      <c r="W466" s="590"/>
      <c r="X466" s="668" t="s">
        <v>5</v>
      </c>
      <c r="Y466" s="668"/>
    </row>
    <row r="467" spans="1:28" ht="26.25" customHeight="1" x14ac:dyDescent="0.2">
      <c r="A467" s="337"/>
      <c r="B467" s="337"/>
      <c r="C467" s="638"/>
      <c r="D467" s="638"/>
      <c r="E467" s="638"/>
      <c r="F467" s="665"/>
      <c r="G467" s="666"/>
      <c r="H467" s="666"/>
      <c r="I467" s="666"/>
      <c r="J467" s="666"/>
      <c r="K467" s="666"/>
      <c r="L467" s="666"/>
      <c r="M467" s="666"/>
      <c r="N467" s="666"/>
      <c r="O467" s="666"/>
      <c r="P467" s="666"/>
      <c r="Q467" s="666"/>
      <c r="R467" s="666"/>
      <c r="S467" s="667"/>
      <c r="T467" s="590"/>
      <c r="U467" s="590"/>
      <c r="V467" s="590"/>
      <c r="W467" s="590"/>
      <c r="X467" s="668" t="s">
        <v>5</v>
      </c>
      <c r="Y467" s="668"/>
    </row>
    <row r="468" spans="1:28" ht="26.25" customHeight="1" x14ac:dyDescent="0.2">
      <c r="A468" s="337"/>
      <c r="B468" s="337"/>
      <c r="C468" s="638"/>
      <c r="D468" s="638"/>
      <c r="E468" s="638"/>
      <c r="F468" s="665"/>
      <c r="G468" s="666"/>
      <c r="H468" s="666"/>
      <c r="I468" s="666"/>
      <c r="J468" s="666"/>
      <c r="K468" s="666"/>
      <c r="L468" s="666"/>
      <c r="M468" s="666"/>
      <c r="N468" s="666"/>
      <c r="O468" s="666"/>
      <c r="P468" s="666"/>
      <c r="Q468" s="666"/>
      <c r="R468" s="666"/>
      <c r="S468" s="667"/>
      <c r="T468" s="590"/>
      <c r="U468" s="590"/>
      <c r="V468" s="590"/>
      <c r="W468" s="590"/>
      <c r="X468" s="668" t="s">
        <v>5</v>
      </c>
      <c r="Y468" s="668"/>
    </row>
    <row r="469" spans="1:28" ht="26.25" customHeight="1" x14ac:dyDescent="0.2">
      <c r="A469" s="337"/>
      <c r="B469" s="337"/>
      <c r="C469" s="638"/>
      <c r="D469" s="638"/>
      <c r="E469" s="638"/>
      <c r="F469" s="665"/>
      <c r="G469" s="666"/>
      <c r="H469" s="666"/>
      <c r="I469" s="666"/>
      <c r="J469" s="666"/>
      <c r="K469" s="666"/>
      <c r="L469" s="666"/>
      <c r="M469" s="666"/>
      <c r="N469" s="666"/>
      <c r="O469" s="666"/>
      <c r="P469" s="666"/>
      <c r="Q469" s="666"/>
      <c r="R469" s="666"/>
      <c r="S469" s="667"/>
      <c r="T469" s="590"/>
      <c r="U469" s="590"/>
      <c r="V469" s="590"/>
      <c r="W469" s="590"/>
      <c r="X469" s="668" t="s">
        <v>5</v>
      </c>
      <c r="Y469" s="668"/>
    </row>
    <row r="470" spans="1:28" ht="26.25" customHeight="1" x14ac:dyDescent="0.2">
      <c r="A470" s="337"/>
      <c r="B470" s="337"/>
      <c r="C470" s="638"/>
      <c r="D470" s="638"/>
      <c r="E470" s="638"/>
      <c r="F470" s="665"/>
      <c r="G470" s="666"/>
      <c r="H470" s="666"/>
      <c r="I470" s="666"/>
      <c r="J470" s="666"/>
      <c r="K470" s="666"/>
      <c r="L470" s="666"/>
      <c r="M470" s="666"/>
      <c r="N470" s="666"/>
      <c r="O470" s="666"/>
      <c r="P470" s="666"/>
      <c r="Q470" s="666"/>
      <c r="R470" s="666"/>
      <c r="S470" s="667"/>
      <c r="T470" s="590"/>
      <c r="U470" s="590"/>
      <c r="V470" s="590"/>
      <c r="W470" s="590"/>
      <c r="X470" s="668" t="s">
        <v>5</v>
      </c>
      <c r="Y470" s="668"/>
    </row>
    <row r="471" spans="1:28" ht="26.25" customHeight="1" x14ac:dyDescent="0.2">
      <c r="A471" s="337"/>
      <c r="B471" s="337"/>
      <c r="C471" s="638"/>
      <c r="D471" s="638"/>
      <c r="E471" s="638"/>
      <c r="F471" s="665"/>
      <c r="G471" s="666"/>
      <c r="H471" s="666"/>
      <c r="I471" s="666"/>
      <c r="J471" s="666"/>
      <c r="K471" s="666"/>
      <c r="L471" s="666"/>
      <c r="M471" s="666"/>
      <c r="N471" s="666"/>
      <c r="O471" s="666"/>
      <c r="P471" s="666"/>
      <c r="Q471" s="666"/>
      <c r="R471" s="666"/>
      <c r="S471" s="667"/>
      <c r="T471" s="590"/>
      <c r="U471" s="590"/>
      <c r="V471" s="590"/>
      <c r="W471" s="590"/>
      <c r="X471" s="668" t="s">
        <v>5</v>
      </c>
      <c r="Y471" s="668"/>
    </row>
    <row r="472" spans="1:28" ht="26.25" customHeight="1" x14ac:dyDescent="0.2">
      <c r="A472" s="337"/>
      <c r="B472" s="337"/>
      <c r="C472" s="638"/>
      <c r="D472" s="638"/>
      <c r="E472" s="638"/>
      <c r="F472" s="665"/>
      <c r="G472" s="666"/>
      <c r="H472" s="666"/>
      <c r="I472" s="666"/>
      <c r="J472" s="666"/>
      <c r="K472" s="666"/>
      <c r="L472" s="666"/>
      <c r="M472" s="666"/>
      <c r="N472" s="666"/>
      <c r="O472" s="666"/>
      <c r="P472" s="666"/>
      <c r="Q472" s="666"/>
      <c r="R472" s="666"/>
      <c r="S472" s="667"/>
      <c r="T472" s="590"/>
      <c r="U472" s="590"/>
      <c r="V472" s="590"/>
      <c r="W472" s="590"/>
      <c r="X472" s="668" t="s">
        <v>5</v>
      </c>
      <c r="Y472" s="668"/>
    </row>
    <row r="473" spans="1:28" ht="26.25" customHeight="1" x14ac:dyDescent="0.2">
      <c r="A473" s="337"/>
      <c r="B473" s="337"/>
      <c r="C473" s="638"/>
      <c r="D473" s="638"/>
      <c r="E473" s="638"/>
      <c r="F473" s="665"/>
      <c r="G473" s="666"/>
      <c r="H473" s="666"/>
      <c r="I473" s="666"/>
      <c r="J473" s="666"/>
      <c r="K473" s="666"/>
      <c r="L473" s="666"/>
      <c r="M473" s="666"/>
      <c r="N473" s="666"/>
      <c r="O473" s="666"/>
      <c r="P473" s="666"/>
      <c r="Q473" s="666"/>
      <c r="R473" s="666"/>
      <c r="S473" s="667"/>
      <c r="T473" s="590"/>
      <c r="U473" s="590"/>
      <c r="V473" s="590"/>
      <c r="W473" s="590"/>
      <c r="X473" s="668" t="s">
        <v>5</v>
      </c>
      <c r="Y473" s="668"/>
    </row>
    <row r="474" spans="1:28" ht="26.25" customHeight="1" x14ac:dyDescent="0.2">
      <c r="A474" s="337"/>
      <c r="B474" s="337"/>
      <c r="C474" s="638"/>
      <c r="D474" s="638"/>
      <c r="E474" s="638"/>
      <c r="F474" s="665"/>
      <c r="G474" s="666"/>
      <c r="H474" s="666"/>
      <c r="I474" s="666"/>
      <c r="J474" s="666"/>
      <c r="K474" s="666"/>
      <c r="L474" s="666"/>
      <c r="M474" s="666"/>
      <c r="N474" s="666"/>
      <c r="O474" s="666"/>
      <c r="P474" s="666"/>
      <c r="Q474" s="666"/>
      <c r="R474" s="666"/>
      <c r="S474" s="667"/>
      <c r="T474" s="590"/>
      <c r="U474" s="590"/>
      <c r="V474" s="590"/>
      <c r="W474" s="590"/>
      <c r="X474" s="668" t="s">
        <v>5</v>
      </c>
      <c r="Y474" s="668"/>
    </row>
    <row r="475" spans="1:28" ht="26.25" customHeight="1" x14ac:dyDescent="0.2">
      <c r="A475" s="337"/>
      <c r="B475" s="337"/>
      <c r="C475" s="638"/>
      <c r="D475" s="638"/>
      <c r="E475" s="638"/>
      <c r="F475" s="665"/>
      <c r="G475" s="666"/>
      <c r="H475" s="666"/>
      <c r="I475" s="666"/>
      <c r="J475" s="666"/>
      <c r="K475" s="666"/>
      <c r="L475" s="666"/>
      <c r="M475" s="666"/>
      <c r="N475" s="666"/>
      <c r="O475" s="666"/>
      <c r="P475" s="666"/>
      <c r="Q475" s="666"/>
      <c r="R475" s="666"/>
      <c r="S475" s="667"/>
      <c r="T475" s="590"/>
      <c r="U475" s="590"/>
      <c r="V475" s="590"/>
      <c r="W475" s="590"/>
      <c r="X475" s="668" t="s">
        <v>5</v>
      </c>
      <c r="Y475" s="668"/>
    </row>
    <row r="476" spans="1:28" ht="26.25" customHeight="1" x14ac:dyDescent="0.2">
      <c r="A476" s="337"/>
      <c r="B476" s="337"/>
      <c r="C476" s="638"/>
      <c r="D476" s="638"/>
      <c r="E476" s="638"/>
      <c r="F476" s="665"/>
      <c r="G476" s="666"/>
      <c r="H476" s="666"/>
      <c r="I476" s="666"/>
      <c r="J476" s="666"/>
      <c r="K476" s="666"/>
      <c r="L476" s="666"/>
      <c r="M476" s="666"/>
      <c r="N476" s="666"/>
      <c r="O476" s="666"/>
      <c r="P476" s="666"/>
      <c r="Q476" s="666"/>
      <c r="R476" s="666"/>
      <c r="S476" s="667"/>
      <c r="T476" s="590"/>
      <c r="U476" s="590"/>
      <c r="V476" s="590"/>
      <c r="W476" s="590"/>
      <c r="X476" s="668" t="s">
        <v>5</v>
      </c>
      <c r="Y476" s="668"/>
    </row>
    <row r="477" spans="1:28" ht="26.25" customHeight="1" x14ac:dyDescent="0.2">
      <c r="A477" s="337"/>
      <c r="B477" s="337"/>
      <c r="C477" s="638"/>
      <c r="D477" s="638"/>
      <c r="E477" s="638"/>
      <c r="F477" s="665"/>
      <c r="G477" s="666"/>
      <c r="H477" s="666"/>
      <c r="I477" s="666"/>
      <c r="J477" s="666"/>
      <c r="K477" s="666"/>
      <c r="L477" s="666"/>
      <c r="M477" s="666"/>
      <c r="N477" s="666"/>
      <c r="O477" s="666"/>
      <c r="P477" s="666"/>
      <c r="Q477" s="666"/>
      <c r="R477" s="666"/>
      <c r="S477" s="667"/>
      <c r="T477" s="590"/>
      <c r="U477" s="590"/>
      <c r="V477" s="590"/>
      <c r="W477" s="590"/>
      <c r="X477" s="668" t="s">
        <v>5</v>
      </c>
      <c r="Y477" s="668"/>
    </row>
    <row r="478" spans="1:28" ht="26.25" customHeight="1" x14ac:dyDescent="0.2">
      <c r="A478" s="337"/>
      <c r="B478" s="337"/>
      <c r="C478" s="638"/>
      <c r="D478" s="638"/>
      <c r="E478" s="638"/>
      <c r="F478" s="665"/>
      <c r="G478" s="666"/>
      <c r="H478" s="666"/>
      <c r="I478" s="666"/>
      <c r="J478" s="666"/>
      <c r="K478" s="666"/>
      <c r="L478" s="666"/>
      <c r="M478" s="666"/>
      <c r="N478" s="666"/>
      <c r="O478" s="666"/>
      <c r="P478" s="666"/>
      <c r="Q478" s="666"/>
      <c r="R478" s="666"/>
      <c r="S478" s="667"/>
      <c r="T478" s="590"/>
      <c r="U478" s="590"/>
      <c r="V478" s="590"/>
      <c r="W478" s="590"/>
      <c r="X478" s="668" t="s">
        <v>5</v>
      </c>
      <c r="Y478" s="668"/>
    </row>
    <row r="479" spans="1:28" ht="26.25" customHeight="1" x14ac:dyDescent="0.2">
      <c r="C479" s="638"/>
      <c r="D479" s="638"/>
      <c r="E479" s="638"/>
      <c r="F479" s="665"/>
      <c r="G479" s="666"/>
      <c r="H479" s="666"/>
      <c r="I479" s="666"/>
      <c r="J479" s="666"/>
      <c r="K479" s="666"/>
      <c r="L479" s="666"/>
      <c r="M479" s="666"/>
      <c r="N479" s="666"/>
      <c r="O479" s="666"/>
      <c r="P479" s="666"/>
      <c r="Q479" s="666"/>
      <c r="R479" s="666"/>
      <c r="S479" s="667"/>
      <c r="T479" s="590"/>
      <c r="U479" s="590"/>
      <c r="V479" s="590"/>
      <c r="W479" s="590"/>
      <c r="X479" s="668" t="s">
        <v>5</v>
      </c>
      <c r="Y479" s="668"/>
      <c r="Z479" s="421"/>
      <c r="AA479" s="421"/>
      <c r="AB479" s="421"/>
    </row>
    <row r="480" spans="1:28" ht="18" customHeight="1" thickBot="1" x14ac:dyDescent="0.25">
      <c r="A480" s="337"/>
      <c r="B480" s="337"/>
      <c r="C480" s="625" t="s">
        <v>258</v>
      </c>
      <c r="D480" s="626"/>
      <c r="E480" s="626"/>
      <c r="F480" s="626"/>
      <c r="G480" s="626"/>
      <c r="H480" s="626"/>
      <c r="I480" s="626"/>
      <c r="J480" s="626"/>
      <c r="K480" s="626"/>
      <c r="L480" s="626"/>
      <c r="M480" s="626"/>
      <c r="N480" s="626"/>
      <c r="O480" s="626"/>
      <c r="P480" s="626"/>
      <c r="Q480" s="626"/>
      <c r="R480" s="626"/>
      <c r="S480" s="627"/>
      <c r="T480" s="662" t="str">
        <f>IF(COUNTA($T$465:$W$479)=0,"",SUM($T$465:$W$479))</f>
        <v/>
      </c>
      <c r="U480" s="662"/>
      <c r="V480" s="662"/>
      <c r="W480" s="662"/>
      <c r="X480" s="663" t="s">
        <v>5</v>
      </c>
      <c r="Y480" s="663"/>
      <c r="Z480" s="422"/>
      <c r="AA480" s="422"/>
      <c r="AB480" s="423"/>
    </row>
    <row r="481" spans="1:27" ht="18" customHeight="1" thickBot="1" x14ac:dyDescent="0.25">
      <c r="A481" s="337"/>
      <c r="B481" s="337"/>
      <c r="C481" s="337"/>
      <c r="D481" s="337"/>
      <c r="E481" s="337"/>
      <c r="F481" s="337"/>
      <c r="I481" s="424"/>
      <c r="J481" s="424"/>
      <c r="K481" s="337"/>
      <c r="L481" s="337"/>
      <c r="M481" s="369"/>
      <c r="N481" s="337"/>
      <c r="O481" s="337"/>
      <c r="P481" s="337"/>
      <c r="Q481" s="337"/>
      <c r="R481" s="337"/>
      <c r="S481" s="337"/>
      <c r="T481" s="528">
        <f t="array" ref="T481">SUM(IF(COUNTIF(C465:E479,C465:E479)&lt;&gt;0,1/COUNTIF(C465:E479,C465:E479),""))</f>
        <v>0</v>
      </c>
      <c r="U481" s="396"/>
      <c r="V481" s="396"/>
      <c r="W481" s="397" t="str">
        <f>IF($T$480="","",IF($T$480&lt;&gt;100,"La somme des proportions du site occupée par les différents types d'habitats EUNIS niveau 3 doit être égale à 100%. ",""))</f>
        <v/>
      </c>
      <c r="X481" s="425"/>
      <c r="Y481" s="425"/>
      <c r="Z481" s="425"/>
      <c r="AA481" s="425"/>
    </row>
    <row r="482" spans="1:27" ht="18" customHeight="1" thickBot="1" x14ac:dyDescent="0.25">
      <c r="A482" s="337"/>
      <c r="B482" s="337"/>
      <c r="C482" s="423"/>
      <c r="D482" s="337"/>
      <c r="E482" s="337"/>
      <c r="F482" s="337"/>
      <c r="G482" s="337"/>
      <c r="H482" s="337"/>
      <c r="I482" s="337"/>
      <c r="J482" s="337"/>
      <c r="K482" s="337"/>
      <c r="L482" s="337"/>
      <c r="M482" s="337"/>
      <c r="N482" s="337"/>
      <c r="O482" s="337"/>
      <c r="P482" s="337"/>
      <c r="Q482" s="337"/>
      <c r="R482" s="337"/>
      <c r="S482" s="337"/>
      <c r="T482" s="426" t="str">
        <f>CONCATENATE(IF(SUM(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IF(AND(LEN(C478)&lt;&gt;4,C478&lt;&gt;""),1,0),IF(AND(LEN(C479)&lt;&gt;4,C479&lt;&gt;""),1,0))&gt;0,"Au moins un code EUNIS niveau 3 est mal renseigné (voir les instructions dans le guide page 106).",""),IF(SUM(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IF(AND(LEFT(RIGHT(C478,2),1)&lt;&gt;".",LEFT(RIGHT(C478,2),1)&lt;&gt;""),1,0),IF(AND(LEFT(RIGHT(C479,2),1)&lt;&gt;".",LEFT(RIGHT(C479,2),1)&lt;&gt;""),1,0))&gt;0,"Au moins un code EUNIS niveau 3 est mal renseigné (voir instructions du guide page 106).",""),IF(SUM(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IF(OR(LEFT(C478,2)="C1",LEFT(C478,2)="C2",LEFT(C478,2)="J5",LEFT(C478,2)="J1",LEFT(C478,2)="J2",LEFT(C478,2)="J4"),1,0),IF(OR(LEFT(C479,2)="C1",LEFT(C479,2)="C2",LEFT(C479,2)="J5",LEFT(C479,2)="J1",LEFT(C479,2)="J2",LEFT(C479,2)="J4"),1,0))&gt;0,"C1, C2, J1, J2, J4 et J5 ne peuvent pas figurer ici (non humide). Avec impact envisagé ou après impact, réduisez l'emprise sur site impacté (question 1) pour les exclure et ne pas les noter ici.",""),IF(COUNTA(C465:E479)-T481&gt;0,"Un code EUNIS apparaît en doublon et ce n'est pas logique.",""),IF(COUNTA(C465:E479)&gt;COUNTIF(T465:W479,"&gt;0"),"La part de chaque habitat indiqué dans la colonne de gauche, doit être renseignée dans la colonne de droite.",""),IF(COUNTIF(T465:W479,"&gt;0")&gt;COUNTA(C465:E479),"Le code de chaque habitat doit être indiqué dans la colonne de gauche.",""))</f>
        <v/>
      </c>
      <c r="U482" s="427"/>
      <c r="V482" s="427"/>
      <c r="W482" s="397" t="str">
        <f>IF(COUNTA($T$465:$W$479)=0,"",CONCATENATE(IF(AND($J$456="X",MIN($T$465:$T$479)*$T$107*100&lt;15625),"La part d'un des habitats est inférieure à la surface minimale cartographiable choisie (15 625 m²).",IF(AND($T$456="X",MIN($T$465:$T$479)*$T$107*100&lt;2500),"La part d'un des habitats est inférieure à la surface minimale cartographiable choisie (2500 m²).",IF(AND($J$457="X",MIN($T$465:$T$479)*$T$107*100&lt;625),"La part d'un des habitats est inférieure à la surface minimale cartographiable choisie (625 m²).",IF(AND($T$457="X",MIN($T$465:$T$479)*$T$107*100&lt;156),"La part d'un des habitats est inférieure à la surface minimale cartographiable choisie (156 m²).","")))),CONCATENATE(IF(SUMIF($C$465:$E$479,"A*",$T$465:$W$479)*$T$107*100&gt;$T$361*$T$356*100,"La superficie de l’habitat A dans le paysage ne peut pas être inférieure à celle de l’habitat A dans le site. ",""),IF(SUMIF($C$465:$E$479,"B*",$T$465:$W$479)*$T$107*100&gt;$T$362*$T$356*100,"La superficie de l’habitat B dans le paysage ne peut pas être inférieure à celle de l’habitat B dans le site. ",""),IF(SUMIF($C$465:$E$479,"C*",$T$465:$W$479)*$T$107*100&gt;$T$363*$T$356*100,"La superficie de l’habitat C dans le paysage ne peut pas être inférieure à celle de l’habitat C dans le site. ",""),IF(SUMIF($C$465:$E$479,"D*",$T$465:$W$479)*$T$107*100&gt;$T$364*$T$356*100,"La superficie de l’habitat D dans le paysage ne peut pas être inférieure à celle de l’habitat D dans le site. ",""),IF(SUMIF($C$465:$E$479,"E*",$T$465:$W$479)*$T$107*100&gt;$T$365*$T$356*100,"La superficie de l’habitat E dans le paysage ne peut pas être inférieure à celle de l’habitat E dans le site. ",""),IF(SUMIF($C$465:$E$479,"F*",$T$465:$W$479)*$T$107*100&gt;$T$366*$T$356*100,"La superficie de l’habitat F dans le paysage ne peut pas être inférieure à celle de l’habitat F dans le site. ",""),IF(SUMIF($C$465:$E$479,"G*",$T$465:$W$479)*$T$107*100&gt;$T$367*$T$356*100,"La superficie de l’habitat G dans le paysage ne peut pas être inférieure à celle de l’habitat G dans le site. ",""),IF(SUMIF($C$465:$E$479,"H*",$T$465:$W$479)*$T$107*100&gt;$T$368*$T$356*100,"La superficie de l’habitat H dans le paysage ne peut pas être inférieure à celle de l’habitat H dans le site. ",""),IF(SUMIF($C$465:$E$479,"I*",$T$465:$W$479)*$T$107*100&gt;$T$369*$T$356*100,"La superficie de l’habitat I dans le paysage ne peut pas être inférieure à celle de l’habitat I dans le site. ",""),IF(SUMIF($C$465:$E$479,"J*",$T$465:$W$479)*$T$107*100&gt;$T$370*$T$356*100,"La superficie de l’habitat J dans le paysage ne peut pas être inférieure à celle de l’habitat J dans le site.",""))))</f>
        <v/>
      </c>
      <c r="X482" s="428"/>
      <c r="Y482" s="428"/>
      <c r="Z482" s="428"/>
      <c r="AA482" s="428"/>
    </row>
    <row r="483" spans="1:27" ht="18" customHeight="1" x14ac:dyDescent="0.2">
      <c r="A483" s="337"/>
      <c r="B483" s="337"/>
      <c r="C483" s="345"/>
      <c r="D483" s="337"/>
      <c r="E483" s="337"/>
      <c r="F483" s="337"/>
      <c r="G483" s="337"/>
      <c r="H483" s="337"/>
      <c r="I483" s="337"/>
      <c r="J483" s="337"/>
      <c r="K483" s="337"/>
      <c r="L483" s="337"/>
      <c r="M483" s="337"/>
      <c r="N483" s="337"/>
      <c r="O483" s="337"/>
      <c r="P483" s="337"/>
      <c r="Q483" s="337"/>
      <c r="R483" s="337"/>
      <c r="S483" s="337"/>
      <c r="T483" s="429"/>
      <c r="U483" s="429"/>
      <c r="V483" s="429"/>
      <c r="W483" s="398"/>
      <c r="X483" s="428"/>
      <c r="Y483" s="428"/>
      <c r="Z483" s="428"/>
      <c r="AA483" s="428"/>
    </row>
    <row r="484" spans="1:27" ht="23.1" customHeight="1" x14ac:dyDescent="0.2">
      <c r="A484" s="337"/>
      <c r="B484" s="337"/>
      <c r="C484" s="583" t="s">
        <v>311</v>
      </c>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row>
    <row r="485" spans="1:27" ht="23.1" customHeight="1" x14ac:dyDescent="0.2">
      <c r="A485" s="337"/>
      <c r="B485" s="337"/>
      <c r="C485" s="592"/>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row>
    <row r="486" spans="1:27" ht="18" customHeight="1" x14ac:dyDescent="0.2">
      <c r="A486" s="337"/>
      <c r="B486" s="337"/>
      <c r="C486" s="669"/>
      <c r="D486" s="670"/>
      <c r="E486" s="670"/>
      <c r="F486" s="670"/>
      <c r="G486" s="670"/>
      <c r="H486" s="670"/>
      <c r="I486" s="670"/>
      <c r="J486" s="670"/>
      <c r="K486" s="670"/>
      <c r="L486" s="670"/>
      <c r="M486" s="670"/>
      <c r="N486" s="670"/>
      <c r="O486" s="670"/>
      <c r="P486" s="670"/>
      <c r="Q486" s="670"/>
      <c r="R486" s="670"/>
      <c r="S486" s="670"/>
      <c r="T486" s="670"/>
      <c r="U486" s="670"/>
      <c r="V486" s="670"/>
      <c r="W486" s="670"/>
      <c r="X486" s="670"/>
      <c r="Y486" s="671"/>
    </row>
    <row r="487" spans="1:27" ht="18" customHeight="1" x14ac:dyDescent="0.2">
      <c r="A487" s="337"/>
      <c r="B487" s="337"/>
      <c r="C487" s="672"/>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4"/>
    </row>
    <row r="488" spans="1:27" s="347" customFormat="1" ht="18" customHeight="1" x14ac:dyDescent="0.2">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row>
    <row r="489" spans="1:27" s="347" customFormat="1" ht="18" customHeight="1" x14ac:dyDescent="0.2">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row>
    <row r="490" spans="1:27" ht="18" customHeight="1" x14ac:dyDescent="0.2">
      <c r="A490" s="337"/>
      <c r="B490" s="337"/>
      <c r="C490" s="581" t="s">
        <v>312</v>
      </c>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row>
    <row r="491" spans="1:27" ht="18" customHeight="1" thickBot="1" x14ac:dyDescent="0.25">
      <c r="A491" s="337"/>
      <c r="B491" s="337"/>
      <c r="C491" s="337"/>
      <c r="D491" s="337"/>
      <c r="E491" s="337"/>
      <c r="F491" s="337"/>
      <c r="G491" s="337"/>
      <c r="H491" s="337"/>
      <c r="I491" s="337"/>
      <c r="J491" s="337"/>
      <c r="K491" s="337"/>
      <c r="L491" s="337"/>
      <c r="M491" s="337"/>
      <c r="N491" s="337"/>
      <c r="O491" s="337"/>
      <c r="S491" s="353" t="s">
        <v>259</v>
      </c>
      <c r="T491" s="769"/>
      <c r="U491" s="769"/>
      <c r="V491" s="769"/>
      <c r="W491" s="769"/>
      <c r="X491" s="591" t="s">
        <v>118</v>
      </c>
      <c r="Y491" s="591"/>
    </row>
    <row r="492" spans="1:27" ht="18" customHeight="1" thickBot="1" x14ac:dyDescent="0.25">
      <c r="A492" s="337"/>
      <c r="B492" s="337"/>
      <c r="C492" s="345"/>
      <c r="D492" s="337"/>
      <c r="E492" s="337"/>
      <c r="F492" s="337"/>
      <c r="G492" s="337"/>
      <c r="H492" s="337"/>
      <c r="I492" s="337"/>
      <c r="J492" s="337"/>
      <c r="K492" s="337"/>
      <c r="L492" s="337"/>
      <c r="M492" s="337"/>
      <c r="N492" s="337"/>
      <c r="O492" s="337"/>
      <c r="T492" s="395"/>
      <c r="U492" s="396"/>
      <c r="V492" s="396"/>
      <c r="W492" s="397" t="str">
        <f>IF($T$491="","",IF($T$491&gt;100,"La proportion du site occupée par un couvert végétal permanent ne peut pas être supérieure à 100%",""))</f>
        <v/>
      </c>
    </row>
    <row r="493" spans="1:27" ht="18" customHeight="1" x14ac:dyDescent="0.2">
      <c r="A493" s="337"/>
      <c r="B493" s="337"/>
      <c r="C493" s="345"/>
      <c r="D493" s="337"/>
      <c r="E493" s="337"/>
      <c r="F493" s="337"/>
      <c r="G493" s="337"/>
      <c r="H493" s="337"/>
      <c r="I493" s="337"/>
      <c r="J493" s="337"/>
      <c r="K493" s="337"/>
      <c r="L493" s="337"/>
      <c r="M493" s="337"/>
      <c r="N493" s="337"/>
      <c r="O493" s="337"/>
      <c r="T493" s="347"/>
      <c r="U493" s="347"/>
      <c r="V493" s="347"/>
      <c r="W493" s="398"/>
    </row>
    <row r="494" spans="1:27" ht="33.75" customHeight="1" x14ac:dyDescent="0.2">
      <c r="A494" s="337"/>
      <c r="B494" s="337"/>
      <c r="C494" s="341" t="s">
        <v>399</v>
      </c>
      <c r="D494" s="695" t="s">
        <v>406</v>
      </c>
      <c r="E494" s="696"/>
      <c r="F494" s="696"/>
      <c r="G494" s="696"/>
      <c r="H494" s="696"/>
      <c r="I494" s="696"/>
      <c r="J494" s="696"/>
      <c r="K494" s="696"/>
      <c r="L494" s="696"/>
      <c r="M494" s="696"/>
      <c r="N494" s="696"/>
      <c r="O494" s="696"/>
      <c r="P494" s="696"/>
      <c r="Q494" s="696"/>
      <c r="R494" s="696"/>
      <c r="S494" s="696"/>
      <c r="T494" s="696"/>
      <c r="U494" s="696"/>
      <c r="V494" s="696"/>
      <c r="W494" s="696"/>
      <c r="X494" s="696"/>
      <c r="Y494" s="697"/>
    </row>
    <row r="495" spans="1:27" s="432" customFormat="1" ht="18" customHeight="1" thickBot="1" x14ac:dyDescent="0.25">
      <c r="A495" s="431"/>
      <c r="B495" s="431"/>
      <c r="C495" s="664" t="s">
        <v>115</v>
      </c>
      <c r="D495" s="664"/>
      <c r="E495" s="664"/>
      <c r="F495" s="664"/>
      <c r="G495" s="664"/>
      <c r="H495" s="664"/>
      <c r="I495" s="664"/>
      <c r="J495" s="664"/>
      <c r="K495" s="664"/>
      <c r="L495" s="664"/>
      <c r="M495" s="664"/>
      <c r="N495" s="664"/>
      <c r="O495" s="664"/>
      <c r="P495" s="664"/>
      <c r="Q495" s="664"/>
      <c r="R495" s="664"/>
      <c r="S495" s="664"/>
      <c r="T495" s="664"/>
      <c r="U495" s="664"/>
      <c r="V495" s="664"/>
      <c r="W495" s="664"/>
      <c r="X495" s="664"/>
      <c r="Y495" s="664"/>
    </row>
    <row r="496" spans="1:27" ht="18" customHeight="1" thickBot="1" x14ac:dyDescent="0.25">
      <c r="A496" s="337"/>
      <c r="B496" s="337"/>
      <c r="C496" s="433"/>
      <c r="D496" s="433"/>
      <c r="E496" s="433"/>
      <c r="F496" s="433"/>
      <c r="G496" s="433"/>
      <c r="H496" s="433"/>
      <c r="I496" s="433"/>
      <c r="J496" s="433"/>
      <c r="K496" s="433"/>
      <c r="L496" s="433"/>
      <c r="M496" s="433"/>
      <c r="N496" s="433"/>
      <c r="O496" s="433"/>
      <c r="P496" s="433"/>
      <c r="Q496" s="433"/>
      <c r="R496" s="433"/>
      <c r="S496" s="433"/>
      <c r="T496" s="434"/>
      <c r="U496" s="435"/>
      <c r="V496" s="435"/>
      <c r="W496" s="377" t="str">
        <f>IF(AND($J$121="X",COUNTA($T$503,$T$504,$J$508,$T$508)&lt;3),"Le site est dans un système hydrogéomorphologique alluvial, la sous-partie 1.6 doit être renseignée. ",IF(AND(COUNTA($J$121)=0,COUNTA($T$498,$T$503,$T$504,$J$508,$T$508)&gt;0),"Le système n'est pas dans un système hydromorphologique alluvial, ne répondez pas aux 3 questions suivantes.",""))</f>
        <v/>
      </c>
      <c r="X496" s="433"/>
      <c r="Y496" s="433"/>
    </row>
    <row r="497" spans="1:25" ht="18" customHeight="1" x14ac:dyDescent="0.2">
      <c r="A497" s="337"/>
      <c r="B497" s="337"/>
      <c r="C497" s="581" t="s">
        <v>313</v>
      </c>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row>
    <row r="498" spans="1:25" ht="18" customHeight="1" x14ac:dyDescent="0.2">
      <c r="A498" s="337"/>
      <c r="B498" s="337"/>
      <c r="C498" s="337"/>
      <c r="D498" s="337"/>
      <c r="E498" s="337"/>
      <c r="F498" s="337"/>
      <c r="G498" s="337"/>
      <c r="H498" s="337"/>
      <c r="I498" s="337"/>
      <c r="J498" s="337"/>
      <c r="K498" s="394"/>
      <c r="L498" s="394"/>
      <c r="M498" s="394"/>
      <c r="N498" s="337"/>
      <c r="O498" s="337"/>
      <c r="S498" s="353" t="s">
        <v>260</v>
      </c>
      <c r="T498" s="578"/>
      <c r="U498" s="578"/>
      <c r="V498" s="578"/>
      <c r="W498" s="578"/>
      <c r="X498" s="591" t="s">
        <v>112</v>
      </c>
      <c r="Y498" s="591"/>
    </row>
    <row r="499" spans="1:25" ht="18" customHeight="1" x14ac:dyDescent="0.2">
      <c r="A499" s="337"/>
      <c r="B499" s="337"/>
      <c r="C499" s="337"/>
      <c r="D499" s="337"/>
      <c r="E499" s="337"/>
      <c r="F499" s="337"/>
      <c r="G499" s="337"/>
      <c r="H499" s="337"/>
      <c r="I499" s="337"/>
      <c r="J499" s="337"/>
      <c r="K499" s="337"/>
      <c r="L499" s="337"/>
      <c r="M499" s="337"/>
      <c r="N499" s="337"/>
      <c r="O499" s="337"/>
    </row>
    <row r="500" spans="1:25" ht="18" customHeight="1" x14ac:dyDescent="0.2">
      <c r="A500" s="337"/>
      <c r="B500" s="337"/>
      <c r="C500" s="337"/>
      <c r="D500" s="337"/>
      <c r="E500" s="337"/>
      <c r="F500" s="337"/>
      <c r="G500" s="337"/>
      <c r="H500" s="337"/>
      <c r="I500" s="337"/>
      <c r="J500" s="337"/>
      <c r="K500" s="337"/>
      <c r="L500" s="337"/>
      <c r="M500" s="337"/>
      <c r="N500" s="337"/>
      <c r="O500" s="337"/>
    </row>
    <row r="501" spans="1:25" ht="18" customHeight="1" x14ac:dyDescent="0.2">
      <c r="A501" s="337"/>
      <c r="B501" s="337"/>
      <c r="C501" s="583" t="s">
        <v>314</v>
      </c>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row>
    <row r="502" spans="1:25" ht="18" customHeight="1" x14ac:dyDescent="0.2">
      <c r="A502" s="337"/>
      <c r="B502" s="337"/>
      <c r="C502" s="592"/>
      <c r="D502" s="592"/>
      <c r="E502" s="592"/>
      <c r="F502" s="592"/>
      <c r="G502" s="592"/>
      <c r="H502" s="592"/>
      <c r="I502" s="592"/>
      <c r="J502" s="592"/>
      <c r="K502" s="592"/>
      <c r="L502" s="592"/>
      <c r="M502" s="592"/>
      <c r="N502" s="592"/>
      <c r="O502" s="592"/>
      <c r="P502" s="592"/>
      <c r="Q502" s="592"/>
      <c r="R502" s="592"/>
      <c r="S502" s="592"/>
      <c r="T502" s="592"/>
      <c r="U502" s="592"/>
      <c r="V502" s="592"/>
      <c r="W502" s="592"/>
      <c r="X502" s="592"/>
      <c r="Y502" s="592"/>
    </row>
    <row r="503" spans="1:25" ht="18" customHeight="1" x14ac:dyDescent="0.2">
      <c r="A503" s="337"/>
      <c r="B503" s="337"/>
      <c r="C503" s="436"/>
      <c r="D503" s="436"/>
      <c r="E503" s="436"/>
      <c r="F503" s="436"/>
      <c r="G503" s="436"/>
      <c r="H503" s="353"/>
      <c r="I503" s="353"/>
      <c r="J503" s="353"/>
      <c r="K503" s="337"/>
      <c r="L503" s="337"/>
      <c r="M503" s="337"/>
      <c r="N503" s="337"/>
      <c r="O503" s="337"/>
      <c r="S503" s="437" t="s">
        <v>261</v>
      </c>
      <c r="T503" s="578"/>
      <c r="U503" s="578"/>
      <c r="V503" s="578"/>
      <c r="W503" s="578"/>
      <c r="X503" s="591" t="s">
        <v>112</v>
      </c>
      <c r="Y503" s="591"/>
    </row>
    <row r="504" spans="1:25" ht="17.25" customHeight="1" thickBot="1" x14ac:dyDescent="0.25">
      <c r="A504" s="337"/>
      <c r="B504" s="337"/>
      <c r="C504" s="438"/>
      <c r="D504" s="439"/>
      <c r="E504" s="439"/>
      <c r="F504" s="439"/>
      <c r="G504" s="439"/>
      <c r="H504" s="439"/>
      <c r="I504" s="439"/>
      <c r="J504" s="439"/>
      <c r="K504" s="337"/>
      <c r="L504" s="337"/>
      <c r="M504" s="337"/>
      <c r="N504" s="337"/>
      <c r="O504" s="337"/>
      <c r="S504" s="440" t="s">
        <v>262</v>
      </c>
      <c r="T504" s="578"/>
      <c r="U504" s="578"/>
      <c r="V504" s="578"/>
      <c r="W504" s="578"/>
      <c r="X504" s="591" t="s">
        <v>112</v>
      </c>
      <c r="Y504" s="591"/>
    </row>
    <row r="505" spans="1:25" ht="18" customHeight="1" thickBot="1" x14ac:dyDescent="0.25">
      <c r="A505" s="337"/>
      <c r="B505" s="337"/>
      <c r="C505" s="337"/>
      <c r="D505" s="337"/>
      <c r="E505" s="337"/>
      <c r="F505" s="337"/>
      <c r="G505" s="337"/>
      <c r="H505" s="337"/>
      <c r="I505" s="337"/>
      <c r="J505" s="337"/>
      <c r="K505" s="337"/>
      <c r="L505" s="337"/>
      <c r="M505" s="337"/>
      <c r="N505" s="337"/>
      <c r="O505" s="337"/>
      <c r="T505" s="395"/>
      <c r="U505" s="396"/>
      <c r="V505" s="396"/>
      <c r="W505" s="397" t="str">
        <f>CONCATENATE(IF(AND($J$121="X",COUNTBLANK($T$503:$T$504)&gt;0),"Le site est dans un système hydrogéomorphologique alluvial, répondez à cette question.",""),(IF($T$503&lt;$T$504,CONCATENATE("La longueur développée doit être supérieure ou égale à la longueur de l'enveloppe de méandrage en passant par les points d'inflexion des sinuosités."),"")))</f>
        <v/>
      </c>
    </row>
    <row r="506" spans="1:25" ht="18" customHeight="1" x14ac:dyDescent="0.2">
      <c r="A506" s="337"/>
      <c r="B506" s="337"/>
      <c r="C506" s="337"/>
      <c r="D506" s="337"/>
      <c r="E506" s="337"/>
      <c r="F506" s="337"/>
      <c r="G506" s="337"/>
      <c r="H506" s="337"/>
      <c r="I506" s="337"/>
      <c r="J506" s="337"/>
      <c r="K506" s="337"/>
      <c r="L506" s="337"/>
      <c r="M506" s="337"/>
      <c r="N506" s="337"/>
      <c r="O506" s="337"/>
    </row>
    <row r="507" spans="1:25" ht="18" customHeight="1" x14ac:dyDescent="0.2">
      <c r="A507" s="337"/>
      <c r="B507" s="337"/>
      <c r="C507" s="581" t="s">
        <v>375</v>
      </c>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row>
    <row r="508" spans="1:25" ht="18" customHeight="1" x14ac:dyDescent="0.2">
      <c r="A508" s="337"/>
      <c r="B508" s="337"/>
      <c r="C508" s="354" t="s">
        <v>234</v>
      </c>
      <c r="D508" s="354"/>
      <c r="E508" s="337"/>
      <c r="H508" s="368"/>
      <c r="I508" s="353" t="s">
        <v>28</v>
      </c>
      <c r="J508" s="588"/>
      <c r="K508" s="588"/>
      <c r="P508" s="339"/>
      <c r="Q508" s="368"/>
      <c r="R508" s="368"/>
      <c r="S508" s="369" t="s">
        <v>29</v>
      </c>
      <c r="T508" s="588"/>
      <c r="U508" s="588"/>
      <c r="V508" s="588"/>
      <c r="W508" s="588"/>
    </row>
    <row r="509" spans="1:25" ht="18" customHeight="1" x14ac:dyDescent="0.2">
      <c r="A509" s="337"/>
      <c r="B509" s="337"/>
      <c r="C509" s="345"/>
      <c r="D509" s="337"/>
      <c r="E509" s="337"/>
      <c r="F509" s="337"/>
      <c r="G509" s="337"/>
      <c r="H509" s="337"/>
      <c r="I509" s="337"/>
      <c r="J509" s="337"/>
      <c r="K509" s="337"/>
      <c r="L509" s="337"/>
      <c r="M509" s="337"/>
      <c r="N509" s="337"/>
      <c r="O509" s="337"/>
    </row>
    <row r="510" spans="1:25" ht="18" customHeight="1" x14ac:dyDescent="0.2">
      <c r="A510" s="337"/>
      <c r="B510" s="337"/>
      <c r="C510" s="345"/>
      <c r="D510" s="337"/>
      <c r="E510" s="337"/>
      <c r="F510" s="337"/>
      <c r="G510" s="337"/>
      <c r="H510" s="337"/>
      <c r="I510" s="337"/>
      <c r="J510" s="337"/>
      <c r="K510" s="337"/>
      <c r="L510" s="337"/>
      <c r="M510" s="337"/>
      <c r="N510" s="337"/>
      <c r="O510" s="337"/>
    </row>
    <row r="511" spans="1:25" ht="35.25" customHeight="1" x14ac:dyDescent="0.2">
      <c r="A511" s="337"/>
      <c r="B511" s="337"/>
      <c r="C511" s="341" t="s">
        <v>398</v>
      </c>
      <c r="D511" s="695" t="s">
        <v>407</v>
      </c>
      <c r="E511" s="696"/>
      <c r="F511" s="696"/>
      <c r="G511" s="696"/>
      <c r="H511" s="696"/>
      <c r="I511" s="696"/>
      <c r="J511" s="696"/>
      <c r="K511" s="696"/>
      <c r="L511" s="696"/>
      <c r="M511" s="696"/>
      <c r="N511" s="696"/>
      <c r="O511" s="696"/>
      <c r="P511" s="696"/>
      <c r="Q511" s="696"/>
      <c r="R511" s="696"/>
      <c r="S511" s="696"/>
      <c r="T511" s="696"/>
      <c r="U511" s="696"/>
      <c r="V511" s="696"/>
      <c r="W511" s="696"/>
      <c r="X511" s="696"/>
      <c r="Y511" s="697"/>
    </row>
    <row r="512" spans="1:25" ht="18" customHeight="1" x14ac:dyDescent="0.2">
      <c r="A512" s="337"/>
      <c r="B512" s="337"/>
      <c r="C512" s="517"/>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row>
    <row r="513" spans="1:25" ht="18" customHeight="1" x14ac:dyDescent="0.2">
      <c r="A513" s="337"/>
      <c r="B513" s="337"/>
      <c r="C513" s="581" t="s">
        <v>315</v>
      </c>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row>
    <row r="514" spans="1:25" ht="18" customHeight="1" x14ac:dyDescent="0.2">
      <c r="A514" s="337"/>
      <c r="B514" s="337"/>
      <c r="C514" s="536"/>
      <c r="D514" s="537"/>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1:25" s="347" customFormat="1" ht="18" customHeight="1" x14ac:dyDescent="0.2">
      <c r="C515" s="345"/>
      <c r="D515" s="520"/>
      <c r="E515" s="352"/>
      <c r="F515" s="352"/>
      <c r="G515" s="352"/>
      <c r="H515" s="352"/>
      <c r="I515" s="352"/>
      <c r="J515" s="352"/>
      <c r="K515" s="352"/>
      <c r="L515" s="352"/>
      <c r="M515" s="352"/>
      <c r="N515" s="352"/>
      <c r="O515" s="352"/>
      <c r="P515" s="352"/>
      <c r="Q515" s="352"/>
      <c r="R515" s="352"/>
      <c r="S515" s="352"/>
      <c r="T515" s="352"/>
      <c r="U515" s="352"/>
      <c r="V515" s="352"/>
      <c r="W515" s="352"/>
      <c r="X515" s="352"/>
      <c r="Y515" s="352"/>
    </row>
    <row r="516" spans="1:25" s="347" customFormat="1" ht="18" customHeight="1" x14ac:dyDescent="0.2">
      <c r="C516" s="345"/>
      <c r="D516" s="520"/>
      <c r="E516" s="352"/>
      <c r="F516" s="352"/>
      <c r="G516" s="352"/>
      <c r="H516" s="352"/>
      <c r="I516" s="352"/>
      <c r="J516" s="352"/>
      <c r="K516" s="352"/>
      <c r="L516" s="352"/>
      <c r="M516" s="352"/>
      <c r="N516" s="352"/>
      <c r="O516" s="352"/>
      <c r="P516" s="352"/>
      <c r="Q516" s="352"/>
      <c r="R516" s="352"/>
      <c r="S516" s="352"/>
      <c r="T516" s="352"/>
      <c r="U516" s="352"/>
      <c r="V516" s="352"/>
      <c r="W516" s="352"/>
      <c r="X516" s="352"/>
      <c r="Y516" s="352"/>
    </row>
    <row r="517" spans="1:25" ht="33.75" customHeight="1" x14ac:dyDescent="0.2">
      <c r="A517" s="337"/>
      <c r="B517" s="337"/>
      <c r="C517" s="341" t="s">
        <v>397</v>
      </c>
      <c r="D517" s="695" t="s">
        <v>408</v>
      </c>
      <c r="E517" s="696"/>
      <c r="F517" s="696"/>
      <c r="G517" s="696"/>
      <c r="H517" s="696"/>
      <c r="I517" s="696"/>
      <c r="J517" s="696"/>
      <c r="K517" s="696"/>
      <c r="L517" s="696"/>
      <c r="M517" s="696"/>
      <c r="N517" s="696"/>
      <c r="O517" s="696"/>
      <c r="P517" s="696"/>
      <c r="Q517" s="696"/>
      <c r="R517" s="696"/>
      <c r="S517" s="696"/>
      <c r="T517" s="696"/>
      <c r="U517" s="696"/>
      <c r="V517" s="696"/>
      <c r="W517" s="696"/>
      <c r="X517" s="696"/>
      <c r="Y517" s="697"/>
    </row>
    <row r="518" spans="1:25" ht="18" customHeight="1" x14ac:dyDescent="0.2">
      <c r="A518" s="337"/>
      <c r="B518" s="337"/>
      <c r="C518" s="660" t="s">
        <v>116</v>
      </c>
      <c r="D518" s="660"/>
      <c r="E518" s="660"/>
      <c r="F518" s="660"/>
      <c r="G518" s="660"/>
      <c r="H518" s="660"/>
      <c r="I518" s="660"/>
      <c r="J518" s="660"/>
      <c r="K518" s="660"/>
      <c r="L518" s="660"/>
      <c r="M518" s="660"/>
      <c r="N518" s="660"/>
      <c r="O518" s="660"/>
      <c r="P518" s="660"/>
      <c r="Q518" s="660"/>
      <c r="R518" s="660"/>
      <c r="S518" s="660"/>
      <c r="T518" s="660"/>
      <c r="U518" s="660"/>
      <c r="V518" s="660"/>
      <c r="W518" s="660"/>
      <c r="X518" s="660"/>
      <c r="Y518" s="660"/>
    </row>
    <row r="519" spans="1:25" ht="18" customHeight="1" x14ac:dyDescent="0.2">
      <c r="A519" s="337"/>
      <c r="B519" s="337"/>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row>
    <row r="520" spans="1:25" ht="18" customHeight="1" x14ac:dyDescent="0.2">
      <c r="A520" s="337"/>
      <c r="B520" s="337"/>
      <c r="C520" s="516"/>
      <c r="D520" s="516"/>
      <c r="E520" s="516"/>
      <c r="F520" s="516"/>
      <c r="G520" s="516"/>
      <c r="H520" s="516"/>
      <c r="I520" s="516"/>
      <c r="J520" s="516"/>
      <c r="K520" s="516"/>
      <c r="L520" s="516"/>
      <c r="M520" s="516"/>
      <c r="N520" s="516"/>
      <c r="O520" s="516"/>
      <c r="P520" s="516"/>
      <c r="Q520" s="516"/>
      <c r="R520" s="516"/>
      <c r="S520" s="516"/>
      <c r="T520" s="516"/>
      <c r="U520" s="516"/>
      <c r="V520" s="516"/>
      <c r="W520" s="516"/>
      <c r="X520" s="516"/>
      <c r="Y520" s="516"/>
    </row>
    <row r="521" spans="1:25" ht="18" customHeight="1" x14ac:dyDescent="0.2">
      <c r="A521" s="337"/>
      <c r="B521" s="337"/>
      <c r="C521" s="581" t="s">
        <v>316</v>
      </c>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row>
    <row r="522" spans="1:25" ht="18" customHeight="1" x14ac:dyDescent="0.2">
      <c r="A522" s="337"/>
      <c r="B522" s="337"/>
      <c r="C522" s="354" t="s">
        <v>234</v>
      </c>
      <c r="D522" s="354"/>
      <c r="E522" s="337"/>
      <c r="H522" s="368"/>
      <c r="I522" s="353" t="s">
        <v>28</v>
      </c>
      <c r="J522" s="588"/>
      <c r="K522" s="588"/>
      <c r="P522" s="339"/>
      <c r="Q522" s="368"/>
      <c r="R522" s="368"/>
      <c r="S522" s="369" t="s">
        <v>29</v>
      </c>
      <c r="T522" s="588"/>
      <c r="U522" s="588"/>
      <c r="V522" s="588"/>
      <c r="W522" s="588"/>
    </row>
    <row r="523" spans="1:25" ht="18" customHeight="1" x14ac:dyDescent="0.2">
      <c r="A523" s="337"/>
      <c r="B523" s="337"/>
      <c r="C523" s="345"/>
      <c r="D523" s="337"/>
    </row>
    <row r="524" spans="1:25" ht="18" customHeight="1" x14ac:dyDescent="0.2">
      <c r="A524" s="337"/>
      <c r="B524" s="337"/>
      <c r="C524" s="345"/>
      <c r="D524" s="337"/>
    </row>
    <row r="525" spans="1:25" ht="18" customHeight="1" x14ac:dyDescent="0.2">
      <c r="A525" s="337"/>
      <c r="B525" s="337"/>
      <c r="C525" s="581" t="s">
        <v>317</v>
      </c>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row>
    <row r="526" spans="1:25" ht="18" customHeight="1" x14ac:dyDescent="0.2">
      <c r="A526" s="337"/>
      <c r="B526" s="337"/>
      <c r="C526" s="536"/>
      <c r="D526" s="537"/>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1:25" ht="18" customHeight="1" x14ac:dyDescent="0.2">
      <c r="A527" s="337"/>
      <c r="B527" s="337"/>
      <c r="C527" s="345"/>
      <c r="D527" s="337"/>
    </row>
    <row r="528" spans="1:25" ht="18" customHeight="1" x14ac:dyDescent="0.2">
      <c r="A528" s="337"/>
      <c r="B528" s="337"/>
      <c r="C528" s="345"/>
      <c r="D528" s="337"/>
    </row>
    <row r="529" spans="1:25" ht="35.25" customHeight="1" x14ac:dyDescent="0.2">
      <c r="A529" s="337"/>
      <c r="B529" s="337"/>
      <c r="C529" s="341" t="s">
        <v>396</v>
      </c>
      <c r="D529" s="695" t="s">
        <v>748</v>
      </c>
      <c r="E529" s="696"/>
      <c r="F529" s="696"/>
      <c r="G529" s="696"/>
      <c r="H529" s="696"/>
      <c r="I529" s="696"/>
      <c r="J529" s="696"/>
      <c r="K529" s="696"/>
      <c r="L529" s="696"/>
      <c r="M529" s="696"/>
      <c r="N529" s="696"/>
      <c r="O529" s="696"/>
      <c r="P529" s="696"/>
      <c r="Q529" s="696"/>
      <c r="R529" s="696"/>
      <c r="S529" s="696"/>
      <c r="T529" s="696"/>
      <c r="U529" s="696"/>
      <c r="V529" s="696"/>
      <c r="W529" s="696"/>
      <c r="X529" s="696"/>
      <c r="Y529" s="697"/>
    </row>
    <row r="530" spans="1:25" ht="18" customHeight="1" x14ac:dyDescent="0.2">
      <c r="A530" s="337"/>
      <c r="B530" s="337"/>
      <c r="C530" s="517"/>
      <c r="D530" s="517"/>
      <c r="E530" s="517"/>
      <c r="F530" s="517"/>
      <c r="G530" s="517"/>
      <c r="H530" s="517"/>
      <c r="I530" s="517"/>
      <c r="J530" s="517"/>
      <c r="K530" s="517"/>
      <c r="L530" s="517"/>
      <c r="M530" s="517"/>
      <c r="N530" s="517"/>
      <c r="O530" s="517"/>
      <c r="P530" s="517"/>
      <c r="Q530" s="517"/>
      <c r="R530" s="517"/>
      <c r="S530" s="517"/>
      <c r="T530" s="517"/>
      <c r="U530" s="517"/>
      <c r="V530" s="517"/>
      <c r="W530" s="517"/>
      <c r="X530" s="517"/>
      <c r="Y530" s="517"/>
    </row>
    <row r="531" spans="1:25" ht="18" customHeight="1" x14ac:dyDescent="0.2">
      <c r="A531" s="337"/>
      <c r="B531" s="337"/>
      <c r="C531" s="583" t="s">
        <v>318</v>
      </c>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row>
    <row r="532" spans="1:25" ht="18" customHeight="1" x14ac:dyDescent="0.2">
      <c r="A532" s="337"/>
      <c r="B532" s="337"/>
      <c r="C532" s="592"/>
      <c r="D532" s="592"/>
      <c r="E532" s="592"/>
      <c r="F532" s="592"/>
      <c r="G532" s="592"/>
      <c r="H532" s="592"/>
      <c r="I532" s="592"/>
      <c r="J532" s="592"/>
      <c r="K532" s="592"/>
      <c r="L532" s="592"/>
      <c r="M532" s="592"/>
      <c r="N532" s="592"/>
      <c r="O532" s="592"/>
      <c r="P532" s="592"/>
      <c r="Q532" s="592"/>
      <c r="R532" s="592"/>
      <c r="S532" s="592"/>
      <c r="T532" s="592"/>
      <c r="U532" s="592"/>
      <c r="V532" s="592"/>
      <c r="W532" s="592"/>
      <c r="X532" s="592"/>
      <c r="Y532" s="592"/>
    </row>
    <row r="533" spans="1:25" ht="18" customHeight="1" x14ac:dyDescent="0.2">
      <c r="A533" s="337"/>
      <c r="B533" s="337"/>
      <c r="C533" s="652" t="s">
        <v>749</v>
      </c>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row>
    <row r="534" spans="1:25" ht="18" customHeight="1" x14ac:dyDescent="0.2">
      <c r="A534" s="337"/>
      <c r="B534" s="337"/>
      <c r="C534" s="645"/>
      <c r="D534" s="646"/>
      <c r="E534" s="646"/>
      <c r="F534" s="646"/>
      <c r="G534" s="646"/>
      <c r="H534" s="646"/>
      <c r="I534" s="646"/>
      <c r="J534" s="646"/>
      <c r="K534" s="646"/>
      <c r="L534" s="646"/>
      <c r="M534" s="646"/>
      <c r="N534" s="646"/>
      <c r="O534" s="646"/>
      <c r="P534" s="646"/>
      <c r="Q534" s="646"/>
      <c r="R534" s="646"/>
      <c r="S534" s="646"/>
      <c r="T534" s="646"/>
      <c r="U534" s="646"/>
      <c r="V534" s="646"/>
      <c r="W534" s="646"/>
      <c r="X534" s="646"/>
      <c r="Y534" s="647"/>
    </row>
    <row r="535" spans="1:25" ht="18" customHeight="1" x14ac:dyDescent="0.2">
      <c r="A535" s="337"/>
      <c r="B535" s="337"/>
      <c r="C535" s="648"/>
      <c r="D535" s="649"/>
      <c r="E535" s="649"/>
      <c r="F535" s="649"/>
      <c r="G535" s="649"/>
      <c r="H535" s="649"/>
      <c r="I535" s="649"/>
      <c r="J535" s="649"/>
      <c r="K535" s="649"/>
      <c r="L535" s="649"/>
      <c r="M535" s="649"/>
      <c r="N535" s="649"/>
      <c r="O535" s="649"/>
      <c r="P535" s="649"/>
      <c r="Q535" s="649"/>
      <c r="R535" s="649"/>
      <c r="S535" s="649"/>
      <c r="T535" s="649"/>
      <c r="U535" s="649"/>
      <c r="V535" s="649"/>
      <c r="W535" s="649"/>
      <c r="X535" s="649"/>
      <c r="Y535" s="650"/>
    </row>
    <row r="536" spans="1:25" ht="18" customHeight="1" x14ac:dyDescent="0.2">
      <c r="A536" s="337"/>
      <c r="B536" s="337"/>
      <c r="C536" s="652" t="s">
        <v>752</v>
      </c>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row>
    <row r="537" spans="1:25" ht="18" customHeight="1" x14ac:dyDescent="0.2">
      <c r="A537" s="337"/>
      <c r="B537" s="337"/>
      <c r="C537" s="645"/>
      <c r="D537" s="646"/>
      <c r="E537" s="646"/>
      <c r="F537" s="646"/>
      <c r="G537" s="646"/>
      <c r="H537" s="646"/>
      <c r="I537" s="646"/>
      <c r="J537" s="646"/>
      <c r="K537" s="646"/>
      <c r="L537" s="646"/>
      <c r="M537" s="646"/>
      <c r="N537" s="646"/>
      <c r="O537" s="646"/>
      <c r="P537" s="646"/>
      <c r="Q537" s="646"/>
      <c r="R537" s="646"/>
      <c r="S537" s="646"/>
      <c r="T537" s="646"/>
      <c r="U537" s="646"/>
      <c r="V537" s="646"/>
      <c r="W537" s="646"/>
      <c r="X537" s="646"/>
      <c r="Y537" s="647"/>
    </row>
    <row r="538" spans="1:25" ht="18" customHeight="1" x14ac:dyDescent="0.2">
      <c r="A538" s="337"/>
      <c r="B538" s="337"/>
      <c r="C538" s="648"/>
      <c r="D538" s="649"/>
      <c r="E538" s="649"/>
      <c r="F538" s="649"/>
      <c r="G538" s="649"/>
      <c r="H538" s="649"/>
      <c r="I538" s="649"/>
      <c r="J538" s="649"/>
      <c r="K538" s="649"/>
      <c r="L538" s="649"/>
      <c r="M538" s="649"/>
      <c r="N538" s="649"/>
      <c r="O538" s="649"/>
      <c r="P538" s="649"/>
      <c r="Q538" s="649"/>
      <c r="R538" s="649"/>
      <c r="S538" s="649"/>
      <c r="T538" s="649"/>
      <c r="U538" s="649"/>
      <c r="V538" s="649"/>
      <c r="W538" s="649"/>
      <c r="X538" s="649"/>
      <c r="Y538" s="650"/>
    </row>
    <row r="539" spans="1:25" ht="18" customHeight="1" x14ac:dyDescent="0.2">
      <c r="A539" s="337"/>
      <c r="B539" s="337"/>
      <c r="C539" s="652" t="s">
        <v>264</v>
      </c>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row>
    <row r="540" spans="1:25" ht="18" customHeight="1" x14ac:dyDescent="0.2">
      <c r="A540" s="337"/>
      <c r="B540" s="337"/>
      <c r="C540" s="645"/>
      <c r="D540" s="646"/>
      <c r="E540" s="646"/>
      <c r="F540" s="646"/>
      <c r="G540" s="646"/>
      <c r="H540" s="646"/>
      <c r="I540" s="646"/>
      <c r="J540" s="646"/>
      <c r="K540" s="646"/>
      <c r="L540" s="646"/>
      <c r="M540" s="646"/>
      <c r="N540" s="646"/>
      <c r="O540" s="646"/>
      <c r="P540" s="646"/>
      <c r="Q540" s="646"/>
      <c r="R540" s="646"/>
      <c r="S540" s="646"/>
      <c r="T540" s="646"/>
      <c r="U540" s="646"/>
      <c r="V540" s="646"/>
      <c r="W540" s="646"/>
      <c r="X540" s="646"/>
      <c r="Y540" s="647"/>
    </row>
    <row r="541" spans="1:25" ht="18" customHeight="1" x14ac:dyDescent="0.2">
      <c r="A541" s="337"/>
      <c r="B541" s="337"/>
      <c r="C541" s="648"/>
      <c r="D541" s="649"/>
      <c r="E541" s="649"/>
      <c r="F541" s="649"/>
      <c r="G541" s="649"/>
      <c r="H541" s="649"/>
      <c r="I541" s="649"/>
      <c r="J541" s="649"/>
      <c r="K541" s="649"/>
      <c r="L541" s="649"/>
      <c r="M541" s="649"/>
      <c r="N541" s="649"/>
      <c r="O541" s="649"/>
      <c r="P541" s="649"/>
      <c r="Q541" s="649"/>
      <c r="R541" s="649"/>
      <c r="S541" s="649"/>
      <c r="T541" s="649"/>
      <c r="U541" s="649"/>
      <c r="V541" s="649"/>
      <c r="W541" s="649"/>
      <c r="X541" s="649"/>
      <c r="Y541" s="650"/>
    </row>
    <row r="542" spans="1:25" ht="18" customHeight="1" x14ac:dyDescent="0.2">
      <c r="A542" s="337"/>
      <c r="B542" s="337"/>
      <c r="C542" s="651" t="s">
        <v>750</v>
      </c>
      <c r="D542" s="651"/>
      <c r="E542" s="651"/>
      <c r="F542" s="651"/>
      <c r="G542" s="651"/>
      <c r="H542" s="651"/>
      <c r="I542" s="651"/>
      <c r="J542" s="651"/>
      <c r="K542" s="651"/>
      <c r="L542" s="651"/>
      <c r="M542" s="651"/>
      <c r="N542" s="651"/>
      <c r="O542" s="651"/>
      <c r="P542" s="651"/>
      <c r="Q542" s="651"/>
      <c r="R542" s="651"/>
      <c r="S542" s="651"/>
      <c r="T542" s="651"/>
      <c r="U542" s="651"/>
      <c r="V542" s="651"/>
      <c r="W542" s="651"/>
      <c r="X542" s="651"/>
      <c r="Y542" s="651"/>
    </row>
    <row r="543" spans="1:25" ht="18" customHeight="1" x14ac:dyDescent="0.2">
      <c r="A543" s="337"/>
      <c r="B543" s="337"/>
      <c r="C543" s="645"/>
      <c r="D543" s="646"/>
      <c r="E543" s="646"/>
      <c r="F543" s="646"/>
      <c r="G543" s="646"/>
      <c r="H543" s="646"/>
      <c r="I543" s="646"/>
      <c r="J543" s="646"/>
      <c r="K543" s="646"/>
      <c r="L543" s="646"/>
      <c r="M543" s="646"/>
      <c r="N543" s="646"/>
      <c r="O543" s="646"/>
      <c r="P543" s="646"/>
      <c r="Q543" s="646"/>
      <c r="R543" s="646"/>
      <c r="S543" s="646"/>
      <c r="T543" s="646"/>
      <c r="U543" s="646"/>
      <c r="V543" s="646"/>
      <c r="W543" s="646"/>
      <c r="X543" s="646"/>
      <c r="Y543" s="647"/>
    </row>
    <row r="544" spans="1:25" ht="18" customHeight="1" x14ac:dyDescent="0.2">
      <c r="A544" s="337"/>
      <c r="B544" s="337"/>
      <c r="C544" s="648"/>
      <c r="D544" s="649"/>
      <c r="E544" s="649"/>
      <c r="F544" s="649"/>
      <c r="G544" s="649"/>
      <c r="H544" s="649"/>
      <c r="I544" s="649"/>
      <c r="J544" s="649"/>
      <c r="K544" s="649"/>
      <c r="L544" s="649"/>
      <c r="M544" s="649"/>
      <c r="N544" s="649"/>
      <c r="O544" s="649"/>
      <c r="P544" s="649"/>
      <c r="Q544" s="649"/>
      <c r="R544" s="649"/>
      <c r="S544" s="649"/>
      <c r="T544" s="649"/>
      <c r="U544" s="649"/>
      <c r="V544" s="649"/>
      <c r="W544" s="649"/>
      <c r="X544" s="649"/>
      <c r="Y544" s="650"/>
    </row>
    <row r="545" spans="1:25" ht="18" customHeight="1" x14ac:dyDescent="0.2">
      <c r="A545" s="337"/>
      <c r="B545" s="337"/>
      <c r="C545" s="651" t="s">
        <v>263</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row>
    <row r="546" spans="1:25" ht="18" customHeight="1" x14ac:dyDescent="0.2">
      <c r="A546" s="337"/>
      <c r="B546" s="337"/>
      <c r="C546" s="645"/>
      <c r="D546" s="646"/>
      <c r="E546" s="646"/>
      <c r="F546" s="646"/>
      <c r="G546" s="646"/>
      <c r="H546" s="646"/>
      <c r="I546" s="646"/>
      <c r="J546" s="646"/>
      <c r="K546" s="646"/>
      <c r="L546" s="646"/>
      <c r="M546" s="646"/>
      <c r="N546" s="646"/>
      <c r="O546" s="646"/>
      <c r="P546" s="646"/>
      <c r="Q546" s="646"/>
      <c r="R546" s="646"/>
      <c r="S546" s="646"/>
      <c r="T546" s="646"/>
      <c r="U546" s="646"/>
      <c r="V546" s="646"/>
      <c r="W546" s="646"/>
      <c r="X546" s="646"/>
      <c r="Y546" s="647"/>
    </row>
    <row r="547" spans="1:25" ht="18" customHeight="1" x14ac:dyDescent="0.2">
      <c r="A547" s="337"/>
      <c r="B547" s="337"/>
      <c r="C547" s="648"/>
      <c r="D547" s="649"/>
      <c r="E547" s="649"/>
      <c r="F547" s="649"/>
      <c r="G547" s="649"/>
      <c r="H547" s="649"/>
      <c r="I547" s="649"/>
      <c r="J547" s="649"/>
      <c r="K547" s="649"/>
      <c r="L547" s="649"/>
      <c r="M547" s="649"/>
      <c r="N547" s="649"/>
      <c r="O547" s="649"/>
      <c r="P547" s="649"/>
      <c r="Q547" s="649"/>
      <c r="R547" s="649"/>
      <c r="S547" s="649"/>
      <c r="T547" s="649"/>
      <c r="U547" s="649"/>
      <c r="V547" s="649"/>
      <c r="W547" s="649"/>
      <c r="X547" s="649"/>
      <c r="Y547" s="650"/>
    </row>
    <row r="548" spans="1:25" ht="18" customHeight="1" x14ac:dyDescent="0.2">
      <c r="A548" s="337"/>
      <c r="B548" s="337"/>
      <c r="C548" s="337"/>
      <c r="D548" s="337"/>
      <c r="E548" s="337"/>
      <c r="F548" s="337"/>
      <c r="G548" s="337"/>
      <c r="H548" s="337"/>
      <c r="I548" s="337"/>
      <c r="J548" s="337"/>
      <c r="K548" s="337"/>
      <c r="L548" s="337"/>
      <c r="M548" s="337"/>
      <c r="N548" s="337"/>
      <c r="O548" s="337"/>
    </row>
    <row r="549" spans="1:25" ht="18" customHeight="1" x14ac:dyDescent="0.2">
      <c r="A549" s="337"/>
      <c r="B549" s="337"/>
      <c r="C549" s="337"/>
      <c r="D549" s="337"/>
      <c r="E549" s="337"/>
      <c r="F549" s="337"/>
      <c r="G549" s="337"/>
      <c r="H549" s="337"/>
      <c r="I549" s="337"/>
      <c r="J549" s="337"/>
      <c r="K549" s="337"/>
      <c r="L549" s="337"/>
      <c r="M549" s="337"/>
      <c r="N549" s="337"/>
      <c r="O549" s="337"/>
    </row>
    <row r="550" spans="1:25" ht="18" customHeight="1" x14ac:dyDescent="0.2">
      <c r="A550" s="337"/>
      <c r="B550" s="337"/>
      <c r="C550" s="583" t="s">
        <v>751</v>
      </c>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row>
    <row r="551" spans="1:25" ht="18" customHeight="1" x14ac:dyDescent="0.2">
      <c r="A551" s="337"/>
      <c r="B551" s="337"/>
      <c r="C551" s="583"/>
      <c r="D551" s="583"/>
      <c r="E551" s="583"/>
      <c r="F551" s="583"/>
      <c r="G551" s="583"/>
      <c r="H551" s="583"/>
      <c r="I551" s="583"/>
      <c r="J551" s="583"/>
      <c r="K551" s="583"/>
      <c r="L551" s="583"/>
      <c r="M551" s="583"/>
      <c r="N551" s="583"/>
      <c r="O551" s="583"/>
      <c r="P551" s="583"/>
      <c r="Q551" s="583"/>
      <c r="R551" s="583"/>
      <c r="S551" s="583"/>
      <c r="T551" s="583"/>
      <c r="U551" s="583"/>
      <c r="V551" s="583"/>
      <c r="W551" s="583"/>
      <c r="X551" s="583"/>
      <c r="Y551" s="583"/>
    </row>
    <row r="552" spans="1:25" ht="18" customHeight="1" x14ac:dyDescent="0.2">
      <c r="A552" s="337"/>
      <c r="B552" s="337"/>
      <c r="C552" s="654"/>
      <c r="D552" s="655"/>
      <c r="E552" s="655"/>
      <c r="F552" s="655"/>
      <c r="G552" s="655"/>
      <c r="H552" s="655"/>
      <c r="I552" s="655"/>
      <c r="J552" s="655"/>
      <c r="K552" s="655"/>
      <c r="L552" s="655"/>
      <c r="M552" s="655"/>
      <c r="N552" s="655"/>
      <c r="O552" s="655"/>
      <c r="P552" s="655"/>
      <c r="Q552" s="655"/>
      <c r="R552" s="655"/>
      <c r="S552" s="655"/>
      <c r="T552" s="655"/>
      <c r="U552" s="655"/>
      <c r="V552" s="655"/>
      <c r="W552" s="655"/>
      <c r="X552" s="655"/>
      <c r="Y552" s="656"/>
    </row>
    <row r="553" spans="1:25" ht="18" customHeight="1" x14ac:dyDescent="0.2">
      <c r="A553" s="337"/>
      <c r="B553" s="337"/>
      <c r="C553" s="657"/>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9"/>
    </row>
    <row r="554" spans="1:25" ht="18" customHeight="1" x14ac:dyDescent="0.2">
      <c r="A554" s="337"/>
      <c r="B554" s="337"/>
      <c r="C554" s="337"/>
      <c r="D554" s="337"/>
      <c r="E554" s="337"/>
      <c r="F554" s="337"/>
      <c r="G554" s="337"/>
      <c r="H554" s="337"/>
      <c r="I554" s="337"/>
      <c r="J554" s="337"/>
      <c r="K554" s="337"/>
      <c r="L554" s="337"/>
      <c r="M554" s="337"/>
      <c r="N554" s="337"/>
      <c r="O554" s="337"/>
    </row>
    <row r="555" spans="1:25" ht="18" customHeight="1" x14ac:dyDescent="0.2">
      <c r="A555" s="337"/>
      <c r="B555" s="337"/>
      <c r="C555" s="337"/>
      <c r="D555" s="337"/>
      <c r="E555" s="337"/>
      <c r="F555" s="337"/>
      <c r="G555" s="337"/>
      <c r="H555" s="337"/>
      <c r="I555" s="337"/>
      <c r="J555" s="337"/>
      <c r="K555" s="337"/>
      <c r="L555" s="337"/>
      <c r="M555" s="337"/>
      <c r="N555" s="337"/>
      <c r="O555" s="337"/>
    </row>
    <row r="556" spans="1:25" ht="18" customHeight="1" x14ac:dyDescent="0.2">
      <c r="A556" s="337"/>
      <c r="B556" s="337"/>
      <c r="C556" s="583" t="s">
        <v>319</v>
      </c>
      <c r="D556" s="583"/>
      <c r="E556" s="583"/>
      <c r="F556" s="583"/>
      <c r="G556" s="583"/>
      <c r="H556" s="583"/>
      <c r="I556" s="583"/>
      <c r="J556" s="583"/>
      <c r="K556" s="583"/>
      <c r="L556" s="583"/>
      <c r="M556" s="583"/>
      <c r="N556" s="583"/>
      <c r="O556" s="583"/>
      <c r="P556" s="583"/>
      <c r="Q556" s="583"/>
      <c r="R556" s="583"/>
      <c r="S556" s="583"/>
      <c r="T556" s="583"/>
      <c r="U556" s="583"/>
      <c r="V556" s="583"/>
      <c r="W556" s="583"/>
      <c r="X556" s="583"/>
      <c r="Y556" s="583"/>
    </row>
    <row r="557" spans="1:25" ht="18" customHeight="1" x14ac:dyDescent="0.2">
      <c r="A557" s="337"/>
      <c r="B557" s="337"/>
      <c r="C557" s="592"/>
      <c r="D557" s="592"/>
      <c r="E557" s="592"/>
      <c r="F557" s="592"/>
      <c r="G557" s="592"/>
      <c r="H557" s="592"/>
      <c r="I557" s="592"/>
      <c r="J557" s="592"/>
      <c r="K557" s="592"/>
      <c r="L557" s="592"/>
      <c r="M557" s="592"/>
      <c r="N557" s="592"/>
      <c r="O557" s="592"/>
      <c r="P557" s="592"/>
      <c r="Q557" s="592"/>
      <c r="R557" s="592"/>
      <c r="S557" s="592"/>
      <c r="T557" s="592"/>
      <c r="U557" s="592"/>
      <c r="V557" s="592"/>
      <c r="W557" s="592"/>
      <c r="X557" s="592"/>
      <c r="Y557" s="592"/>
    </row>
    <row r="558" spans="1:25" ht="18" customHeight="1" x14ac:dyDescent="0.2">
      <c r="A558" s="337"/>
      <c r="B558" s="337"/>
      <c r="C558" s="652" t="s">
        <v>749</v>
      </c>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row>
    <row r="559" spans="1:25" ht="18" customHeight="1" x14ac:dyDescent="0.2">
      <c r="A559" s="337"/>
      <c r="B559" s="337"/>
      <c r="C559" s="645"/>
      <c r="D559" s="646"/>
      <c r="E559" s="646"/>
      <c r="F559" s="646"/>
      <c r="G559" s="646"/>
      <c r="H559" s="646"/>
      <c r="I559" s="646"/>
      <c r="J559" s="646"/>
      <c r="K559" s="646"/>
      <c r="L559" s="646"/>
      <c r="M559" s="646"/>
      <c r="N559" s="646"/>
      <c r="O559" s="646"/>
      <c r="P559" s="646"/>
      <c r="Q559" s="646"/>
      <c r="R559" s="646"/>
      <c r="S559" s="646"/>
      <c r="T559" s="646"/>
      <c r="U559" s="646"/>
      <c r="V559" s="646"/>
      <c r="W559" s="646"/>
      <c r="X559" s="646"/>
      <c r="Y559" s="647"/>
    </row>
    <row r="560" spans="1:25" ht="18" customHeight="1" x14ac:dyDescent="0.2">
      <c r="A560" s="337"/>
      <c r="B560" s="337"/>
      <c r="C560" s="648"/>
      <c r="D560" s="649"/>
      <c r="E560" s="649"/>
      <c r="F560" s="649"/>
      <c r="G560" s="649"/>
      <c r="H560" s="649"/>
      <c r="I560" s="649"/>
      <c r="J560" s="649"/>
      <c r="K560" s="649"/>
      <c r="L560" s="649"/>
      <c r="M560" s="649"/>
      <c r="N560" s="649"/>
      <c r="O560" s="649"/>
      <c r="P560" s="649"/>
      <c r="Q560" s="649"/>
      <c r="R560" s="649"/>
      <c r="S560" s="649"/>
      <c r="T560" s="649"/>
      <c r="U560" s="649"/>
      <c r="V560" s="649"/>
      <c r="W560" s="649"/>
      <c r="X560" s="649"/>
      <c r="Y560" s="650"/>
    </row>
    <row r="561" spans="1:25" ht="18" customHeight="1" x14ac:dyDescent="0.2">
      <c r="A561" s="337"/>
      <c r="B561" s="337"/>
      <c r="C561" s="652" t="s">
        <v>752</v>
      </c>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row>
    <row r="562" spans="1:25" ht="18" customHeight="1" x14ac:dyDescent="0.2">
      <c r="A562" s="337"/>
      <c r="B562" s="337"/>
      <c r="C562" s="645"/>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7"/>
    </row>
    <row r="563" spans="1:25" ht="18" customHeight="1" x14ac:dyDescent="0.2">
      <c r="A563" s="337"/>
      <c r="B563" s="337"/>
      <c r="C563" s="648"/>
      <c r="D563" s="649"/>
      <c r="E563" s="649"/>
      <c r="F563" s="649"/>
      <c r="G563" s="649"/>
      <c r="H563" s="649"/>
      <c r="I563" s="649"/>
      <c r="J563" s="649"/>
      <c r="K563" s="649"/>
      <c r="L563" s="649"/>
      <c r="M563" s="649"/>
      <c r="N563" s="649"/>
      <c r="O563" s="649"/>
      <c r="P563" s="649"/>
      <c r="Q563" s="649"/>
      <c r="R563" s="649"/>
      <c r="S563" s="649"/>
      <c r="T563" s="649"/>
      <c r="U563" s="649"/>
      <c r="V563" s="649"/>
      <c r="W563" s="649"/>
      <c r="X563" s="649"/>
      <c r="Y563" s="650"/>
    </row>
    <row r="564" spans="1:25" ht="18" customHeight="1" x14ac:dyDescent="0.2">
      <c r="A564" s="337"/>
      <c r="B564" s="337"/>
      <c r="C564" s="653" t="s">
        <v>264</v>
      </c>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row>
    <row r="565" spans="1:25" ht="18" customHeight="1" x14ac:dyDescent="0.2">
      <c r="A565" s="337"/>
      <c r="B565" s="337"/>
      <c r="C565" s="645"/>
      <c r="D565" s="646"/>
      <c r="E565" s="646"/>
      <c r="F565" s="646"/>
      <c r="G565" s="646"/>
      <c r="H565" s="646"/>
      <c r="I565" s="646"/>
      <c r="J565" s="646"/>
      <c r="K565" s="646"/>
      <c r="L565" s="646"/>
      <c r="M565" s="646"/>
      <c r="N565" s="646"/>
      <c r="O565" s="646"/>
      <c r="P565" s="646"/>
      <c r="Q565" s="646"/>
      <c r="R565" s="646"/>
      <c r="S565" s="646"/>
      <c r="T565" s="646"/>
      <c r="U565" s="646"/>
      <c r="V565" s="646"/>
      <c r="W565" s="646"/>
      <c r="X565" s="646"/>
      <c r="Y565" s="647"/>
    </row>
    <row r="566" spans="1:25" ht="18" customHeight="1" x14ac:dyDescent="0.2">
      <c r="A566" s="337"/>
      <c r="B566" s="337"/>
      <c r="C566" s="648"/>
      <c r="D566" s="649"/>
      <c r="E566" s="649"/>
      <c r="F566" s="649"/>
      <c r="G566" s="649"/>
      <c r="H566" s="649"/>
      <c r="I566" s="649"/>
      <c r="J566" s="649"/>
      <c r="K566" s="649"/>
      <c r="L566" s="649"/>
      <c r="M566" s="649"/>
      <c r="N566" s="649"/>
      <c r="O566" s="649"/>
      <c r="P566" s="649"/>
      <c r="Q566" s="649"/>
      <c r="R566" s="649"/>
      <c r="S566" s="649"/>
      <c r="T566" s="649"/>
      <c r="U566" s="649"/>
      <c r="V566" s="649"/>
      <c r="W566" s="649"/>
      <c r="X566" s="649"/>
      <c r="Y566" s="650"/>
    </row>
    <row r="567" spans="1:25" ht="18" customHeight="1" x14ac:dyDescent="0.2">
      <c r="A567" s="337"/>
      <c r="B567" s="337"/>
      <c r="C567" s="651" t="s">
        <v>753</v>
      </c>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row>
    <row r="568" spans="1:25" ht="18" customHeight="1" x14ac:dyDescent="0.2">
      <c r="A568" s="337"/>
      <c r="B568" s="337"/>
      <c r="C568" s="645"/>
      <c r="D568" s="646"/>
      <c r="E568" s="646"/>
      <c r="F568" s="646"/>
      <c r="G568" s="646"/>
      <c r="H568" s="646"/>
      <c r="I568" s="646"/>
      <c r="J568" s="646"/>
      <c r="K568" s="646"/>
      <c r="L568" s="646"/>
      <c r="M568" s="646"/>
      <c r="N568" s="646"/>
      <c r="O568" s="646"/>
      <c r="P568" s="646"/>
      <c r="Q568" s="646"/>
      <c r="R568" s="646"/>
      <c r="S568" s="646"/>
      <c r="T568" s="646"/>
      <c r="U568" s="646"/>
      <c r="V568" s="646"/>
      <c r="W568" s="646"/>
      <c r="X568" s="646"/>
      <c r="Y568" s="647"/>
    </row>
    <row r="569" spans="1:25" ht="18" customHeight="1" x14ac:dyDescent="0.2">
      <c r="A569" s="337"/>
      <c r="B569" s="337"/>
      <c r="C569" s="648"/>
      <c r="D569" s="649"/>
      <c r="E569" s="649"/>
      <c r="F569" s="649"/>
      <c r="G569" s="649"/>
      <c r="H569" s="649"/>
      <c r="I569" s="649"/>
      <c r="J569" s="649"/>
      <c r="K569" s="649"/>
      <c r="L569" s="649"/>
      <c r="M569" s="649"/>
      <c r="N569" s="649"/>
      <c r="O569" s="649"/>
      <c r="P569" s="649"/>
      <c r="Q569" s="649"/>
      <c r="R569" s="649"/>
      <c r="S569" s="649"/>
      <c r="T569" s="649"/>
      <c r="U569" s="649"/>
      <c r="V569" s="649"/>
      <c r="W569" s="649"/>
      <c r="X569" s="649"/>
      <c r="Y569" s="650"/>
    </row>
    <row r="570" spans="1:25" ht="18" customHeight="1" x14ac:dyDescent="0.2">
      <c r="A570" s="337"/>
      <c r="B570" s="337"/>
      <c r="C570" s="337"/>
      <c r="D570" s="337"/>
      <c r="E570" s="337"/>
      <c r="F570" s="337"/>
      <c r="G570" s="337"/>
      <c r="H570" s="337"/>
      <c r="I570" s="337"/>
      <c r="J570" s="337"/>
      <c r="K570" s="337"/>
      <c r="L570" s="337"/>
      <c r="M570" s="337"/>
      <c r="N570" s="337"/>
      <c r="O570" s="337"/>
    </row>
    <row r="571" spans="1:25" ht="18" customHeight="1" x14ac:dyDescent="0.2">
      <c r="A571" s="337"/>
      <c r="B571" s="337"/>
      <c r="C571" s="337"/>
      <c r="D571" s="337"/>
      <c r="E571" s="337"/>
      <c r="F571" s="337"/>
      <c r="G571" s="337"/>
      <c r="H571" s="337"/>
      <c r="I571" s="337"/>
      <c r="J571" s="337"/>
      <c r="K571" s="337"/>
      <c r="L571" s="337"/>
      <c r="M571" s="337"/>
      <c r="N571" s="337"/>
      <c r="O571" s="337"/>
    </row>
    <row r="572" spans="1:25" ht="33.75" customHeight="1" x14ac:dyDescent="0.2">
      <c r="A572" s="337"/>
      <c r="B572" s="337"/>
      <c r="C572" s="341" t="s">
        <v>395</v>
      </c>
      <c r="D572" s="695" t="s">
        <v>754</v>
      </c>
      <c r="E572" s="696"/>
      <c r="F572" s="696"/>
      <c r="G572" s="696"/>
      <c r="H572" s="696"/>
      <c r="I572" s="696"/>
      <c r="J572" s="696"/>
      <c r="K572" s="696"/>
      <c r="L572" s="696"/>
      <c r="M572" s="696"/>
      <c r="N572" s="696"/>
      <c r="O572" s="696"/>
      <c r="P572" s="696"/>
      <c r="Q572" s="696"/>
      <c r="R572" s="696"/>
      <c r="S572" s="696"/>
      <c r="T572" s="696"/>
      <c r="U572" s="696"/>
      <c r="V572" s="696"/>
      <c r="W572" s="696"/>
      <c r="X572" s="696"/>
      <c r="Y572" s="697"/>
    </row>
    <row r="573" spans="1:25" ht="18" customHeight="1" x14ac:dyDescent="0.2">
      <c r="A573" s="337"/>
      <c r="B573" s="337"/>
      <c r="C573" s="517"/>
      <c r="D573" s="517"/>
      <c r="E573" s="517"/>
      <c r="F573" s="517"/>
      <c r="G573" s="517"/>
      <c r="H573" s="517"/>
      <c r="I573" s="517"/>
      <c r="J573" s="517"/>
      <c r="K573" s="517"/>
      <c r="L573" s="517"/>
      <c r="M573" s="517"/>
      <c r="N573" s="517"/>
      <c r="O573" s="517"/>
      <c r="P573" s="517"/>
      <c r="Q573" s="517"/>
      <c r="R573" s="517"/>
      <c r="S573" s="517"/>
      <c r="T573" s="517"/>
      <c r="U573" s="517"/>
      <c r="V573" s="517"/>
      <c r="W573" s="517"/>
      <c r="X573" s="517"/>
      <c r="Y573" s="517"/>
    </row>
    <row r="574" spans="1:25" ht="18" customHeight="1" x14ac:dyDescent="0.2">
      <c r="A574" s="337"/>
      <c r="B574" s="337"/>
      <c r="C574" s="583" t="s">
        <v>320</v>
      </c>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row>
    <row r="575" spans="1:25" ht="18" customHeight="1" x14ac:dyDescent="0.2">
      <c r="A575" s="337"/>
      <c r="B575" s="337"/>
      <c r="C575" s="583"/>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row>
    <row r="576" spans="1:25" ht="18" customHeight="1" x14ac:dyDescent="0.2">
      <c r="A576" s="337"/>
      <c r="B576" s="337"/>
      <c r="C576" s="645"/>
      <c r="D576" s="646"/>
      <c r="E576" s="646"/>
      <c r="F576" s="646"/>
      <c r="G576" s="646"/>
      <c r="H576" s="646"/>
      <c r="I576" s="646"/>
      <c r="J576" s="646"/>
      <c r="K576" s="646"/>
      <c r="L576" s="646"/>
      <c r="M576" s="646"/>
      <c r="N576" s="646"/>
      <c r="O576" s="646"/>
      <c r="P576" s="646"/>
      <c r="Q576" s="646"/>
      <c r="R576" s="646"/>
      <c r="S576" s="646"/>
      <c r="T576" s="646"/>
      <c r="U576" s="646"/>
      <c r="V576" s="646"/>
      <c r="W576" s="646"/>
      <c r="X576" s="646"/>
      <c r="Y576" s="647"/>
    </row>
    <row r="577" spans="1:25" ht="18" customHeight="1" x14ac:dyDescent="0.2">
      <c r="A577" s="337"/>
      <c r="B577" s="337"/>
      <c r="C577" s="648"/>
      <c r="D577" s="649"/>
      <c r="E577" s="649"/>
      <c r="F577" s="649"/>
      <c r="G577" s="649"/>
      <c r="H577" s="649"/>
      <c r="I577" s="649"/>
      <c r="J577" s="649"/>
      <c r="K577" s="649"/>
      <c r="L577" s="649"/>
      <c r="M577" s="649"/>
      <c r="N577" s="649"/>
      <c r="O577" s="649"/>
      <c r="P577" s="649"/>
      <c r="Q577" s="649"/>
      <c r="R577" s="649"/>
      <c r="S577" s="649"/>
      <c r="T577" s="649"/>
      <c r="U577" s="649"/>
      <c r="V577" s="649"/>
      <c r="W577" s="649"/>
      <c r="X577" s="649"/>
      <c r="Y577" s="650"/>
    </row>
    <row r="578" spans="1:25" ht="18" customHeight="1" x14ac:dyDescent="0.2">
      <c r="A578" s="337"/>
      <c r="B578" s="337"/>
      <c r="C578" s="345"/>
      <c r="D578" s="337"/>
      <c r="E578" s="337"/>
      <c r="F578" s="337"/>
      <c r="G578" s="337"/>
      <c r="H578" s="337"/>
      <c r="I578" s="337"/>
      <c r="J578" s="337"/>
      <c r="K578" s="337"/>
      <c r="L578" s="337"/>
      <c r="M578" s="337"/>
      <c r="N578" s="337"/>
      <c r="O578" s="337"/>
    </row>
    <row r="579" spans="1:25" ht="18" customHeight="1" x14ac:dyDescent="0.2">
      <c r="A579" s="337"/>
      <c r="B579" s="337"/>
      <c r="C579" s="345"/>
      <c r="D579" s="337"/>
      <c r="E579" s="337"/>
      <c r="F579" s="337"/>
      <c r="G579" s="337"/>
      <c r="H579" s="337"/>
      <c r="I579" s="337"/>
      <c r="J579" s="337"/>
      <c r="K579" s="337"/>
      <c r="L579" s="337"/>
      <c r="M579" s="337"/>
      <c r="N579" s="337"/>
      <c r="O579" s="337"/>
    </row>
    <row r="580" spans="1:25" ht="18" customHeight="1" x14ac:dyDescent="0.2">
      <c r="A580" s="337"/>
      <c r="B580" s="337"/>
      <c r="C580" s="583" t="s">
        <v>321</v>
      </c>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row>
    <row r="581" spans="1:25" ht="18" customHeight="1" x14ac:dyDescent="0.2">
      <c r="A581" s="337"/>
      <c r="B581" s="337"/>
      <c r="C581" s="583"/>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row>
    <row r="582" spans="1:25" ht="18" customHeight="1" x14ac:dyDescent="0.2">
      <c r="A582" s="337"/>
      <c r="B582" s="337"/>
      <c r="C582" s="645"/>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7"/>
    </row>
    <row r="583" spans="1:25" ht="18" customHeight="1" x14ac:dyDescent="0.2">
      <c r="A583" s="337"/>
      <c r="B583" s="337"/>
      <c r="C583" s="648"/>
      <c r="D583" s="649"/>
      <c r="E583" s="649"/>
      <c r="F583" s="649"/>
      <c r="G583" s="649"/>
      <c r="H583" s="649"/>
      <c r="I583" s="649"/>
      <c r="J583" s="649"/>
      <c r="K583" s="649"/>
      <c r="L583" s="649"/>
      <c r="M583" s="649"/>
      <c r="N583" s="649"/>
      <c r="O583" s="649"/>
      <c r="P583" s="649"/>
      <c r="Q583" s="649"/>
      <c r="R583" s="649"/>
      <c r="S583" s="649"/>
      <c r="T583" s="649"/>
      <c r="U583" s="649"/>
      <c r="V583" s="649"/>
      <c r="W583" s="649"/>
      <c r="X583" s="649"/>
      <c r="Y583" s="650"/>
    </row>
    <row r="584" spans="1:25" ht="18" customHeight="1" x14ac:dyDescent="0.2">
      <c r="A584" s="337"/>
      <c r="B584" s="337"/>
      <c r="C584" s="345"/>
      <c r="D584" s="337"/>
      <c r="E584" s="337"/>
      <c r="F584" s="337"/>
      <c r="G584" s="337"/>
      <c r="H584" s="337"/>
      <c r="I584" s="337"/>
      <c r="J584" s="337"/>
      <c r="K584" s="337"/>
      <c r="L584" s="337"/>
      <c r="M584" s="337"/>
      <c r="N584" s="337"/>
      <c r="O584" s="337"/>
    </row>
    <row r="585" spans="1:25" ht="18" customHeight="1" x14ac:dyDescent="0.2">
      <c r="A585" s="337"/>
      <c r="B585" s="337"/>
      <c r="C585" s="345"/>
      <c r="D585" s="337"/>
      <c r="E585" s="337"/>
      <c r="F585" s="337"/>
      <c r="G585" s="337"/>
      <c r="H585" s="337"/>
      <c r="I585" s="337"/>
      <c r="J585" s="337"/>
      <c r="K585" s="337"/>
      <c r="L585" s="337"/>
      <c r="M585" s="337"/>
      <c r="N585" s="337"/>
      <c r="O585" s="337"/>
    </row>
    <row r="586" spans="1:25" ht="18" customHeight="1" x14ac:dyDescent="0.2">
      <c r="A586" s="337"/>
      <c r="B586" s="337"/>
      <c r="C586" s="583" t="s">
        <v>322</v>
      </c>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row>
    <row r="587" spans="1:25" ht="18" customHeight="1" x14ac:dyDescent="0.2">
      <c r="A587" s="337"/>
      <c r="B587" s="337"/>
      <c r="C587" s="583"/>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row>
    <row r="588" spans="1:25" ht="18" customHeight="1" x14ac:dyDescent="0.2">
      <c r="A588" s="337"/>
      <c r="B588" s="337"/>
      <c r="C588" s="645"/>
      <c r="D588" s="646"/>
      <c r="E588" s="646"/>
      <c r="F588" s="646"/>
      <c r="G588" s="646"/>
      <c r="H588" s="646"/>
      <c r="I588" s="646"/>
      <c r="J588" s="646"/>
      <c r="K588" s="646"/>
      <c r="L588" s="646"/>
      <c r="M588" s="646"/>
      <c r="N588" s="646"/>
      <c r="O588" s="646"/>
      <c r="P588" s="646"/>
      <c r="Q588" s="646"/>
      <c r="R588" s="646"/>
      <c r="S588" s="646"/>
      <c r="T588" s="646"/>
      <c r="U588" s="646"/>
      <c r="V588" s="646"/>
      <c r="W588" s="646"/>
      <c r="X588" s="646"/>
      <c r="Y588" s="647"/>
    </row>
    <row r="589" spans="1:25" ht="18" customHeight="1" x14ac:dyDescent="0.2">
      <c r="A589" s="337"/>
      <c r="B589" s="337"/>
      <c r="C589" s="648"/>
      <c r="D589" s="649"/>
      <c r="E589" s="649"/>
      <c r="F589" s="649"/>
      <c r="G589" s="649"/>
      <c r="H589" s="649"/>
      <c r="I589" s="649"/>
      <c r="J589" s="649"/>
      <c r="K589" s="649"/>
      <c r="L589" s="649"/>
      <c r="M589" s="649"/>
      <c r="N589" s="649"/>
      <c r="O589" s="649"/>
      <c r="P589" s="649"/>
      <c r="Q589" s="649"/>
      <c r="R589" s="649"/>
      <c r="S589" s="649"/>
      <c r="T589" s="649"/>
      <c r="U589" s="649"/>
      <c r="V589" s="649"/>
      <c r="W589" s="649"/>
      <c r="X589" s="649"/>
      <c r="Y589" s="650"/>
    </row>
    <row r="590" spans="1:25" ht="18" customHeight="1" x14ac:dyDescent="0.2">
      <c r="A590" s="337"/>
      <c r="B590" s="337"/>
      <c r="C590" s="345"/>
      <c r="D590" s="337"/>
      <c r="E590" s="337"/>
      <c r="F590" s="337"/>
      <c r="G590" s="337"/>
      <c r="H590" s="337"/>
      <c r="I590" s="337"/>
      <c r="J590" s="337"/>
      <c r="K590" s="337"/>
      <c r="L590" s="337"/>
      <c r="M590" s="337"/>
      <c r="N590" s="386"/>
      <c r="O590" s="380"/>
    </row>
    <row r="591" spans="1:25" ht="18" customHeight="1" x14ac:dyDescent="0.2">
      <c r="A591" s="337"/>
      <c r="B591" s="337"/>
      <c r="C591" s="345"/>
      <c r="D591" s="337"/>
      <c r="E591" s="337"/>
      <c r="F591" s="337"/>
      <c r="G591" s="337"/>
      <c r="H591" s="337"/>
      <c r="I591" s="337"/>
      <c r="J591" s="337"/>
      <c r="K591" s="337"/>
      <c r="L591" s="337"/>
      <c r="M591" s="337"/>
      <c r="N591" s="386"/>
      <c r="O591" s="380"/>
    </row>
    <row r="592" spans="1:25" ht="18" customHeight="1" x14ac:dyDescent="0.2">
      <c r="A592" s="337"/>
      <c r="B592" s="337"/>
      <c r="C592" s="583" t="s">
        <v>323</v>
      </c>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row>
    <row r="593" spans="1:25" ht="18" customHeight="1" x14ac:dyDescent="0.2">
      <c r="A593" s="337"/>
      <c r="B593" s="337"/>
      <c r="C593" s="592"/>
      <c r="D593" s="592"/>
      <c r="E593" s="592"/>
      <c r="F593" s="592"/>
      <c r="G593" s="592"/>
      <c r="H593" s="592"/>
      <c r="I593" s="592"/>
      <c r="J593" s="592"/>
      <c r="K593" s="592"/>
      <c r="L593" s="592"/>
      <c r="M593" s="592"/>
      <c r="N593" s="592"/>
      <c r="O593" s="592"/>
      <c r="P593" s="592"/>
      <c r="Q593" s="592"/>
      <c r="R593" s="592"/>
      <c r="S593" s="592"/>
      <c r="T593" s="592"/>
      <c r="U593" s="592"/>
      <c r="V593" s="592"/>
      <c r="W593" s="592"/>
      <c r="X593" s="592"/>
      <c r="Y593" s="592"/>
    </row>
    <row r="594" spans="1:25" ht="18" customHeight="1" x14ac:dyDescent="0.2">
      <c r="A594" s="337"/>
      <c r="B594" s="337"/>
      <c r="C594" s="354" t="s">
        <v>234</v>
      </c>
      <c r="D594" s="354"/>
      <c r="E594" s="337"/>
      <c r="H594" s="368"/>
      <c r="I594" s="353" t="s">
        <v>28</v>
      </c>
      <c r="J594" s="588"/>
      <c r="K594" s="588"/>
      <c r="P594" s="339"/>
      <c r="Q594" s="368"/>
      <c r="R594" s="368"/>
      <c r="S594" s="369" t="s">
        <v>29</v>
      </c>
      <c r="T594" s="588"/>
      <c r="U594" s="588"/>
      <c r="V594" s="588"/>
      <c r="W594" s="588"/>
    </row>
    <row r="595" spans="1:25" ht="18" customHeight="1" x14ac:dyDescent="0.2">
      <c r="A595" s="337"/>
      <c r="B595" s="337"/>
      <c r="C595" s="345"/>
      <c r="D595" s="337"/>
      <c r="E595" s="337"/>
      <c r="F595" s="337"/>
      <c r="G595" s="337"/>
      <c r="H595" s="337"/>
      <c r="I595" s="337"/>
      <c r="J595" s="337"/>
      <c r="K595" s="337"/>
      <c r="L595" s="337"/>
      <c r="M595" s="337"/>
      <c r="N595" s="337"/>
      <c r="O595" s="337"/>
    </row>
    <row r="596" spans="1:25" ht="18" customHeight="1" x14ac:dyDescent="0.2">
      <c r="A596" s="337"/>
      <c r="B596" s="337"/>
      <c r="C596" s="345"/>
      <c r="D596" s="337"/>
      <c r="E596" s="337"/>
      <c r="F596" s="337"/>
      <c r="G596" s="337"/>
      <c r="H596" s="337"/>
      <c r="I596" s="337"/>
      <c r="J596" s="337"/>
      <c r="K596" s="337"/>
      <c r="L596" s="337"/>
      <c r="M596" s="337"/>
      <c r="N596" s="337"/>
      <c r="O596" s="337"/>
    </row>
    <row r="597" spans="1:25" ht="18" customHeight="1" x14ac:dyDescent="0.2">
      <c r="A597" s="337"/>
      <c r="B597" s="337"/>
      <c r="C597" s="583" t="s">
        <v>376</v>
      </c>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row>
    <row r="598" spans="1:25" ht="18" customHeight="1" x14ac:dyDescent="0.2">
      <c r="A598" s="337"/>
      <c r="B598" s="337"/>
      <c r="C598" s="592"/>
      <c r="D598" s="592"/>
      <c r="E598" s="592"/>
      <c r="F598" s="592"/>
      <c r="G598" s="592"/>
      <c r="H598" s="592"/>
      <c r="I598" s="592"/>
      <c r="J598" s="592"/>
      <c r="K598" s="592"/>
      <c r="L598" s="592"/>
      <c r="M598" s="592"/>
      <c r="N598" s="592"/>
      <c r="O598" s="592"/>
      <c r="P598" s="592"/>
      <c r="Q598" s="592"/>
      <c r="R598" s="592"/>
      <c r="S598" s="592"/>
      <c r="T598" s="592"/>
      <c r="U598" s="592"/>
      <c r="V598" s="592"/>
      <c r="W598" s="592"/>
      <c r="X598" s="592"/>
      <c r="Y598" s="592"/>
    </row>
    <row r="599" spans="1:25" ht="18" customHeight="1" x14ac:dyDescent="0.2">
      <c r="A599" s="337"/>
      <c r="B599" s="337"/>
      <c r="C599" s="356"/>
      <c r="D599" s="443"/>
      <c r="E599" s="443"/>
      <c r="F599" s="443"/>
      <c r="G599" s="641" t="s">
        <v>265</v>
      </c>
      <c r="H599" s="641"/>
      <c r="I599" s="641"/>
      <c r="J599" s="641"/>
      <c r="K599" s="641"/>
      <c r="L599" s="641"/>
      <c r="M599" s="641"/>
      <c r="N599" s="641"/>
      <c r="O599" s="641"/>
      <c r="P599" s="641"/>
      <c r="Q599" s="641"/>
      <c r="R599" s="641"/>
      <c r="S599" s="641"/>
    </row>
    <row r="600" spans="1:25" ht="18" customHeight="1" x14ac:dyDescent="0.2">
      <c r="A600" s="337"/>
      <c r="B600" s="337"/>
      <c r="C600" s="419"/>
      <c r="D600" s="419"/>
      <c r="E600" s="419"/>
      <c r="F600" s="419"/>
      <c r="G600" s="642"/>
      <c r="H600" s="642"/>
      <c r="I600" s="642"/>
      <c r="J600" s="642"/>
      <c r="K600" s="642"/>
      <c r="L600" s="642"/>
      <c r="M600" s="642"/>
      <c r="N600" s="642"/>
      <c r="O600" s="642"/>
      <c r="P600" s="642"/>
      <c r="Q600" s="642"/>
      <c r="R600" s="642"/>
      <c r="S600" s="642"/>
      <c r="T600" s="590"/>
      <c r="U600" s="590"/>
      <c r="V600" s="590"/>
      <c r="W600" s="590"/>
      <c r="X600" s="591" t="s">
        <v>118</v>
      </c>
      <c r="Y600" s="591"/>
    </row>
    <row r="601" spans="1:25" ht="18" customHeight="1" x14ac:dyDescent="0.2">
      <c r="A601" s="337"/>
      <c r="B601" s="337"/>
      <c r="C601" s="345"/>
      <c r="D601" s="419"/>
      <c r="E601" s="419"/>
      <c r="F601" s="419"/>
      <c r="G601" s="419"/>
      <c r="H601" s="419"/>
      <c r="I601" s="419"/>
      <c r="J601" s="419"/>
      <c r="K601" s="337"/>
      <c r="L601" s="337"/>
      <c r="M601" s="337"/>
      <c r="N601" s="337"/>
      <c r="O601" s="337"/>
    </row>
    <row r="602" spans="1:25" ht="18" customHeight="1" x14ac:dyDescent="0.2">
      <c r="A602" s="337"/>
      <c r="B602" s="337"/>
      <c r="C602" s="337"/>
      <c r="D602" s="337"/>
      <c r="E602" s="337"/>
      <c r="F602" s="337"/>
      <c r="G602" s="337"/>
      <c r="H602" s="337"/>
      <c r="I602" s="337"/>
      <c r="J602" s="337"/>
      <c r="K602" s="444"/>
      <c r="L602" s="337"/>
      <c r="M602" s="337"/>
      <c r="N602" s="337"/>
      <c r="O602" s="337"/>
    </row>
    <row r="603" spans="1:25" ht="35.25" customHeight="1" x14ac:dyDescent="0.2">
      <c r="A603" s="337"/>
      <c r="B603" s="337"/>
      <c r="C603" s="341">
        <v>2</v>
      </c>
      <c r="D603" s="695" t="s">
        <v>385</v>
      </c>
      <c r="E603" s="696"/>
      <c r="F603" s="696"/>
      <c r="G603" s="696"/>
      <c r="H603" s="696"/>
      <c r="I603" s="696"/>
      <c r="J603" s="696"/>
      <c r="K603" s="696"/>
      <c r="L603" s="696"/>
      <c r="M603" s="696"/>
      <c r="N603" s="696"/>
      <c r="O603" s="696"/>
      <c r="P603" s="696"/>
      <c r="Q603" s="696"/>
      <c r="R603" s="696"/>
      <c r="S603" s="696"/>
      <c r="T603" s="696"/>
      <c r="U603" s="696"/>
      <c r="V603" s="696"/>
      <c r="W603" s="696"/>
      <c r="X603" s="696"/>
      <c r="Y603" s="697"/>
    </row>
    <row r="604" spans="1:25" ht="18" customHeight="1" x14ac:dyDescent="0.2">
      <c r="A604" s="337"/>
      <c r="B604" s="337"/>
      <c r="C604" s="337"/>
      <c r="D604" s="337"/>
      <c r="E604" s="337"/>
      <c r="F604" s="337"/>
      <c r="G604" s="337"/>
      <c r="H604" s="337"/>
      <c r="I604" s="337"/>
      <c r="J604" s="337"/>
      <c r="K604" s="337"/>
      <c r="L604" s="337"/>
      <c r="M604" s="337"/>
      <c r="N604" s="337"/>
      <c r="O604" s="337"/>
    </row>
    <row r="605" spans="1:25" ht="18" customHeight="1" x14ac:dyDescent="0.2">
      <c r="A605" s="337"/>
      <c r="B605" s="337"/>
      <c r="C605" s="337"/>
      <c r="D605" s="337"/>
      <c r="E605" s="337"/>
      <c r="F605" s="337"/>
      <c r="G605" s="337"/>
      <c r="H605" s="337"/>
      <c r="I605" s="343" t="s">
        <v>266</v>
      </c>
      <c r="J605" s="643"/>
      <c r="K605" s="644"/>
      <c r="L605" s="337"/>
      <c r="M605" s="337"/>
      <c r="N605" s="337"/>
      <c r="O605" s="337"/>
    </row>
    <row r="606" spans="1:25" ht="18" customHeight="1" x14ac:dyDescent="0.2">
      <c r="A606" s="337"/>
      <c r="B606" s="337"/>
      <c r="C606" s="345"/>
      <c r="D606" s="337"/>
      <c r="E606" s="337"/>
      <c r="F606" s="337"/>
      <c r="G606" s="337"/>
      <c r="H606" s="337"/>
      <c r="I606" s="445"/>
      <c r="J606" s="337"/>
      <c r="K606" s="337"/>
      <c r="L606" s="337"/>
      <c r="M606" s="337"/>
      <c r="N606" s="337"/>
      <c r="O606" s="337"/>
    </row>
    <row r="607" spans="1:25" ht="18" customHeight="1" x14ac:dyDescent="0.2">
      <c r="A607" s="337"/>
      <c r="B607" s="337"/>
      <c r="C607" s="344" t="s">
        <v>267</v>
      </c>
      <c r="D607" s="344"/>
      <c r="E607" s="344"/>
      <c r="F607" s="344"/>
      <c r="G607" s="344"/>
      <c r="H607" s="344"/>
      <c r="I607" s="344"/>
      <c r="J607" s="344"/>
      <c r="K607" s="344"/>
      <c r="L607" s="344"/>
      <c r="M607" s="344"/>
      <c r="N607" s="337"/>
      <c r="O607" s="337"/>
    </row>
    <row r="608" spans="1:25" ht="18" customHeight="1" x14ac:dyDescent="0.2">
      <c r="A608" s="337"/>
      <c r="B608" s="337"/>
      <c r="C608" s="344"/>
      <c r="D608" s="446"/>
      <c r="E608" s="447"/>
      <c r="F608" s="640" t="s">
        <v>0</v>
      </c>
      <c r="G608" s="640"/>
      <c r="H608" s="640"/>
      <c r="I608" s="640" t="s">
        <v>1</v>
      </c>
      <c r="J608" s="640"/>
      <c r="K608" s="640"/>
      <c r="L608" s="640" t="s">
        <v>2</v>
      </c>
      <c r="M608" s="640"/>
      <c r="N608" s="640"/>
      <c r="O608" s="640" t="s">
        <v>3</v>
      </c>
      <c r="P608" s="640"/>
      <c r="Q608" s="640"/>
      <c r="R608" s="640"/>
      <c r="S608" s="640"/>
      <c r="T608" s="640"/>
    </row>
    <row r="609" spans="1:25" ht="18" customHeight="1" x14ac:dyDescent="0.2">
      <c r="A609" s="337"/>
      <c r="B609" s="337"/>
      <c r="C609" s="344"/>
      <c r="D609" s="446"/>
      <c r="E609" s="447"/>
      <c r="F609" s="638"/>
      <c r="G609" s="638"/>
      <c r="H609" s="638"/>
      <c r="I609" s="638"/>
      <c r="J609" s="638"/>
      <c r="K609" s="638"/>
      <c r="L609" s="638"/>
      <c r="M609" s="638"/>
      <c r="N609" s="638"/>
      <c r="O609" s="638"/>
      <c r="P609" s="638"/>
      <c r="Q609" s="638"/>
      <c r="R609" s="638"/>
      <c r="S609" s="638"/>
      <c r="T609" s="638"/>
    </row>
    <row r="610" spans="1:25" ht="18" customHeight="1" x14ac:dyDescent="0.2">
      <c r="A610" s="337"/>
      <c r="B610" s="337"/>
      <c r="C610" s="344"/>
      <c r="D610" s="446"/>
      <c r="E610" s="447"/>
      <c r="F610" s="638"/>
      <c r="G610" s="638"/>
      <c r="H610" s="638"/>
      <c r="I610" s="638"/>
      <c r="J610" s="638"/>
      <c r="K610" s="638"/>
      <c r="L610" s="638"/>
      <c r="M610" s="638"/>
      <c r="N610" s="638"/>
      <c r="O610" s="638"/>
      <c r="P610" s="638"/>
      <c r="Q610" s="638"/>
      <c r="R610" s="638"/>
      <c r="S610" s="638"/>
      <c r="T610" s="638"/>
    </row>
    <row r="611" spans="1:25" ht="18" customHeight="1" x14ac:dyDescent="0.2">
      <c r="A611" s="337"/>
      <c r="B611" s="337"/>
      <c r="C611" s="344"/>
      <c r="D611" s="446"/>
      <c r="E611" s="447"/>
      <c r="F611" s="638"/>
      <c r="G611" s="638"/>
      <c r="H611" s="638"/>
      <c r="I611" s="638"/>
      <c r="J611" s="638"/>
      <c r="K611" s="638"/>
      <c r="L611" s="638"/>
      <c r="M611" s="638"/>
      <c r="N611" s="638"/>
      <c r="O611" s="638"/>
      <c r="P611" s="638"/>
      <c r="Q611" s="638"/>
      <c r="R611" s="638"/>
      <c r="S611" s="638"/>
      <c r="T611" s="638"/>
    </row>
    <row r="612" spans="1:25" ht="18" customHeight="1" x14ac:dyDescent="0.2">
      <c r="A612" s="337"/>
      <c r="B612" s="337"/>
      <c r="C612" s="344"/>
      <c r="D612" s="446"/>
      <c r="E612" s="447"/>
      <c r="F612" s="638"/>
      <c r="G612" s="638"/>
      <c r="H612" s="638"/>
      <c r="I612" s="638"/>
      <c r="J612" s="638"/>
      <c r="K612" s="638"/>
      <c r="L612" s="638"/>
      <c r="M612" s="638"/>
      <c r="N612" s="638"/>
      <c r="O612" s="638"/>
      <c r="P612" s="638"/>
      <c r="Q612" s="638"/>
      <c r="R612" s="638"/>
      <c r="S612" s="638"/>
      <c r="T612" s="638"/>
    </row>
    <row r="613" spans="1:25" ht="18" customHeight="1" x14ac:dyDescent="0.2">
      <c r="A613" s="337"/>
      <c r="B613" s="337"/>
      <c r="C613" s="345"/>
      <c r="D613" s="337"/>
      <c r="E613" s="337"/>
      <c r="F613" s="337"/>
      <c r="G613" s="337"/>
      <c r="H613" s="337"/>
      <c r="I613" s="337"/>
      <c r="J613" s="337"/>
      <c r="K613" s="337"/>
      <c r="L613" s="337"/>
      <c r="M613" s="337"/>
      <c r="N613" s="337"/>
      <c r="O613" s="337"/>
    </row>
    <row r="614" spans="1:25" ht="18" customHeight="1" x14ac:dyDescent="0.2">
      <c r="A614" s="337"/>
      <c r="B614" s="337"/>
      <c r="C614" s="345"/>
      <c r="D614" s="337"/>
      <c r="E614" s="337"/>
      <c r="F614" s="337"/>
      <c r="G614" s="337"/>
      <c r="H614" s="337"/>
      <c r="I614" s="337"/>
      <c r="J614" s="337"/>
      <c r="K614" s="337"/>
      <c r="L614" s="337"/>
      <c r="M614" s="337"/>
      <c r="N614" s="337"/>
      <c r="O614" s="337"/>
    </row>
    <row r="615" spans="1:25" ht="33.75" customHeight="1" x14ac:dyDescent="0.2">
      <c r="A615" s="337"/>
      <c r="B615" s="337"/>
      <c r="C615" s="341" t="s">
        <v>394</v>
      </c>
      <c r="D615" s="695" t="s">
        <v>409</v>
      </c>
      <c r="E615" s="696"/>
      <c r="F615" s="696"/>
      <c r="G615" s="696"/>
      <c r="H615" s="696"/>
      <c r="I615" s="696"/>
      <c r="J615" s="696"/>
      <c r="K615" s="696"/>
      <c r="L615" s="696"/>
      <c r="M615" s="696"/>
      <c r="N615" s="696"/>
      <c r="O615" s="696"/>
      <c r="P615" s="696"/>
      <c r="Q615" s="696"/>
      <c r="R615" s="696"/>
      <c r="S615" s="696"/>
      <c r="T615" s="696"/>
      <c r="U615" s="696"/>
      <c r="V615" s="696"/>
      <c r="W615" s="696"/>
      <c r="X615" s="696"/>
      <c r="Y615" s="697"/>
    </row>
    <row r="616" spans="1:25" ht="18" customHeight="1" x14ac:dyDescent="0.2">
      <c r="A616" s="337"/>
      <c r="B616" s="337"/>
      <c r="C616" s="517"/>
      <c r="D616" s="517"/>
      <c r="E616" s="517"/>
      <c r="F616" s="517"/>
      <c r="G616" s="517"/>
      <c r="H616" s="517"/>
      <c r="I616" s="517"/>
      <c r="J616" s="517"/>
      <c r="K616" s="517"/>
      <c r="L616" s="517"/>
      <c r="M616" s="517"/>
      <c r="N616" s="517"/>
      <c r="O616" s="517"/>
      <c r="P616" s="517"/>
      <c r="Q616" s="517"/>
      <c r="R616" s="517"/>
      <c r="S616" s="517"/>
      <c r="T616" s="517"/>
      <c r="U616" s="517"/>
      <c r="V616" s="517"/>
      <c r="W616" s="517"/>
      <c r="X616" s="517"/>
      <c r="Y616" s="517"/>
    </row>
    <row r="617" spans="1:25" ht="18" customHeight="1" x14ac:dyDescent="0.2">
      <c r="A617" s="337"/>
      <c r="B617" s="337"/>
      <c r="C617" s="581" t="s">
        <v>324</v>
      </c>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row>
    <row r="618" spans="1:25" ht="18" customHeight="1" x14ac:dyDescent="0.2">
      <c r="A618" s="346"/>
      <c r="B618" s="346"/>
      <c r="C618" s="619" t="s">
        <v>74</v>
      </c>
      <c r="D618" s="619"/>
      <c r="E618" s="619"/>
      <c r="F618" s="619"/>
      <c r="G618" s="619"/>
      <c r="H618" s="619"/>
      <c r="I618" s="619"/>
      <c r="J618" s="619"/>
      <c r="K618" s="619"/>
      <c r="L618" s="619"/>
      <c r="M618" s="619"/>
      <c r="N618" s="619"/>
      <c r="O618" s="619"/>
      <c r="P618" s="619"/>
      <c r="Q618" s="619"/>
      <c r="R618" s="619"/>
      <c r="S618" s="619"/>
      <c r="T618" s="448" t="s">
        <v>73</v>
      </c>
      <c r="U618" s="347"/>
      <c r="V618" s="347"/>
      <c r="W618" s="347"/>
      <c r="X618" s="347"/>
      <c r="Y618" s="347"/>
    </row>
    <row r="619" spans="1:25" ht="18" customHeight="1" x14ac:dyDescent="0.2">
      <c r="A619" s="346"/>
      <c r="B619" s="346"/>
      <c r="C619" s="639" t="s">
        <v>377</v>
      </c>
      <c r="D619" s="639"/>
      <c r="E619" s="639"/>
      <c r="F619" s="639"/>
      <c r="G619" s="639"/>
      <c r="H619" s="639"/>
      <c r="I619" s="639"/>
      <c r="J619" s="639"/>
      <c r="K619" s="639"/>
      <c r="L619" s="639"/>
      <c r="M619" s="639"/>
      <c r="N619" s="639"/>
      <c r="O619" s="639"/>
      <c r="P619" s="639"/>
      <c r="Q619" s="639"/>
      <c r="R619" s="639"/>
      <c r="S619" s="639"/>
      <c r="T619" s="590"/>
      <c r="U619" s="590"/>
      <c r="V619" s="590"/>
      <c r="W619" s="590"/>
      <c r="X619" s="579" t="s">
        <v>5</v>
      </c>
      <c r="Y619" s="579"/>
    </row>
    <row r="620" spans="1:25" ht="18" customHeight="1" x14ac:dyDescent="0.2">
      <c r="A620" s="346"/>
      <c r="B620" s="346"/>
      <c r="C620" s="639"/>
      <c r="D620" s="639"/>
      <c r="E620" s="639"/>
      <c r="F620" s="639"/>
      <c r="G620" s="639"/>
      <c r="H620" s="639"/>
      <c r="I620" s="639"/>
      <c r="J620" s="639"/>
      <c r="K620" s="639"/>
      <c r="L620" s="639"/>
      <c r="M620" s="639"/>
      <c r="N620" s="639"/>
      <c r="O620" s="639"/>
      <c r="P620" s="639"/>
      <c r="Q620" s="639"/>
      <c r="R620" s="639"/>
      <c r="S620" s="639"/>
      <c r="T620" s="590"/>
      <c r="U620" s="590"/>
      <c r="V620" s="590"/>
      <c r="W620" s="590"/>
      <c r="X620" s="579"/>
      <c r="Y620" s="579"/>
    </row>
    <row r="621" spans="1:25" ht="18" customHeight="1" x14ac:dyDescent="0.2">
      <c r="A621" s="346"/>
      <c r="B621" s="346"/>
      <c r="C621" s="600" t="s">
        <v>498</v>
      </c>
      <c r="D621" s="601"/>
      <c r="E621" s="601"/>
      <c r="F621" s="601"/>
      <c r="G621" s="601"/>
      <c r="H621" s="601"/>
      <c r="I621" s="601"/>
      <c r="J621" s="601"/>
      <c r="K621" s="601"/>
      <c r="L621" s="601"/>
      <c r="M621" s="601"/>
      <c r="N621" s="601"/>
      <c r="O621" s="601"/>
      <c r="P621" s="601"/>
      <c r="Q621" s="601"/>
      <c r="R621" s="601"/>
      <c r="S621" s="601"/>
      <c r="T621" s="601"/>
      <c r="U621" s="601"/>
      <c r="V621" s="601"/>
      <c r="W621" s="601"/>
      <c r="X621" s="601"/>
      <c r="Y621" s="602"/>
    </row>
    <row r="622" spans="1:25" ht="18" customHeight="1" x14ac:dyDescent="0.2">
      <c r="A622" s="346"/>
      <c r="B622" s="346"/>
      <c r="C622" s="449"/>
      <c r="D622" s="620" t="s">
        <v>1518</v>
      </c>
      <c r="E622" s="620"/>
      <c r="F622" s="620"/>
      <c r="G622" s="620"/>
      <c r="H622" s="620"/>
      <c r="I622" s="620"/>
      <c r="J622" s="620"/>
      <c r="K622" s="620"/>
      <c r="L622" s="620"/>
      <c r="M622" s="620"/>
      <c r="N622" s="620"/>
      <c r="O622" s="620"/>
      <c r="P622" s="620"/>
      <c r="Q622" s="620"/>
      <c r="R622" s="620"/>
      <c r="S622" s="620"/>
      <c r="T622" s="590"/>
      <c r="U622" s="590"/>
      <c r="V622" s="590"/>
      <c r="W622" s="590"/>
      <c r="X622" s="622" t="s">
        <v>5</v>
      </c>
      <c r="Y622" s="623"/>
    </row>
    <row r="623" spans="1:25" ht="18" customHeight="1" x14ac:dyDescent="0.2">
      <c r="A623" s="346"/>
      <c r="B623" s="346"/>
      <c r="C623" s="450"/>
      <c r="D623" s="620" t="s">
        <v>439</v>
      </c>
      <c r="E623" s="620"/>
      <c r="F623" s="620"/>
      <c r="G623" s="620"/>
      <c r="H623" s="620"/>
      <c r="I623" s="620"/>
      <c r="J623" s="620"/>
      <c r="K623" s="620"/>
      <c r="L623" s="620"/>
      <c r="M623" s="620"/>
      <c r="N623" s="620"/>
      <c r="O623" s="620"/>
      <c r="P623" s="620"/>
      <c r="Q623" s="620"/>
      <c r="R623" s="620"/>
      <c r="S623" s="620"/>
      <c r="T623" s="590"/>
      <c r="U623" s="590"/>
      <c r="V623" s="590"/>
      <c r="W623" s="590"/>
      <c r="X623" s="622" t="s">
        <v>5</v>
      </c>
      <c r="Y623" s="623"/>
    </row>
    <row r="624" spans="1:25" ht="18" customHeight="1" x14ac:dyDescent="0.2">
      <c r="A624" s="346"/>
      <c r="B624" s="346"/>
      <c r="C624" s="451"/>
      <c r="D624" s="633" t="s">
        <v>75</v>
      </c>
      <c r="E624" s="633"/>
      <c r="F624" s="633"/>
      <c r="G624" s="633"/>
      <c r="H624" s="633"/>
      <c r="I624" s="633"/>
      <c r="J624" s="633"/>
      <c r="K624" s="633"/>
      <c r="L624" s="633"/>
      <c r="M624" s="633"/>
      <c r="N624" s="633"/>
      <c r="O624" s="633"/>
      <c r="P624" s="633"/>
      <c r="Q624" s="633"/>
      <c r="R624" s="633"/>
      <c r="S624" s="633"/>
      <c r="T624" s="590"/>
      <c r="U624" s="590"/>
      <c r="V624" s="590"/>
      <c r="W624" s="590"/>
      <c r="X624" s="634" t="s">
        <v>5</v>
      </c>
      <c r="Y624" s="635"/>
    </row>
    <row r="625" spans="1:25" ht="18" customHeight="1" x14ac:dyDescent="0.2">
      <c r="A625" s="346"/>
      <c r="B625" s="346"/>
      <c r="C625" s="600" t="s">
        <v>499</v>
      </c>
      <c r="D625" s="601"/>
      <c r="E625" s="601"/>
      <c r="F625" s="601"/>
      <c r="G625" s="601"/>
      <c r="H625" s="601"/>
      <c r="I625" s="601"/>
      <c r="J625" s="601"/>
      <c r="K625" s="601"/>
      <c r="L625" s="601"/>
      <c r="M625" s="601"/>
      <c r="N625" s="601"/>
      <c r="O625" s="601"/>
      <c r="P625" s="601"/>
      <c r="Q625" s="601"/>
      <c r="R625" s="601"/>
      <c r="S625" s="601"/>
      <c r="T625" s="601"/>
      <c r="U625" s="601"/>
      <c r="V625" s="601"/>
      <c r="W625" s="601"/>
      <c r="X625" s="601"/>
      <c r="Y625" s="602"/>
    </row>
    <row r="626" spans="1:25" ht="18" customHeight="1" x14ac:dyDescent="0.2">
      <c r="A626" s="346"/>
      <c r="B626" s="346"/>
      <c r="C626" s="449"/>
      <c r="D626" s="633" t="s">
        <v>1519</v>
      </c>
      <c r="E626" s="633"/>
      <c r="F626" s="633"/>
      <c r="G626" s="633"/>
      <c r="H626" s="633"/>
      <c r="I626" s="633"/>
      <c r="J626" s="633"/>
      <c r="K626" s="633"/>
      <c r="L626" s="633"/>
      <c r="M626" s="633"/>
      <c r="N626" s="633"/>
      <c r="O626" s="633"/>
      <c r="P626" s="633"/>
      <c r="Q626" s="633"/>
      <c r="R626" s="633"/>
      <c r="S626" s="633"/>
      <c r="T626" s="590"/>
      <c r="U626" s="590"/>
      <c r="V626" s="590"/>
      <c r="W626" s="590"/>
      <c r="X626" s="634" t="s">
        <v>5</v>
      </c>
      <c r="Y626" s="635"/>
    </row>
    <row r="627" spans="1:25" ht="18" customHeight="1" x14ac:dyDescent="0.2">
      <c r="A627" s="346"/>
      <c r="B627" s="346"/>
      <c r="C627" s="449"/>
      <c r="D627" s="633" t="s">
        <v>440</v>
      </c>
      <c r="E627" s="633"/>
      <c r="F627" s="633"/>
      <c r="G627" s="633"/>
      <c r="H627" s="633"/>
      <c r="I627" s="633"/>
      <c r="J627" s="633"/>
      <c r="K627" s="633"/>
      <c r="L627" s="633"/>
      <c r="M627" s="633"/>
      <c r="N627" s="633"/>
      <c r="O627" s="633"/>
      <c r="P627" s="633"/>
      <c r="Q627" s="633"/>
      <c r="R627" s="633"/>
      <c r="S627" s="633"/>
      <c r="T627" s="590"/>
      <c r="U627" s="590"/>
      <c r="V627" s="590"/>
      <c r="W627" s="590"/>
      <c r="X627" s="634" t="s">
        <v>5</v>
      </c>
      <c r="Y627" s="635"/>
    </row>
    <row r="628" spans="1:25" ht="18" customHeight="1" x14ac:dyDescent="0.2">
      <c r="A628" s="346"/>
      <c r="B628" s="346"/>
      <c r="C628" s="452"/>
      <c r="D628" s="636" t="s">
        <v>75</v>
      </c>
      <c r="E628" s="636"/>
      <c r="F628" s="636"/>
      <c r="G628" s="636"/>
      <c r="H628" s="636"/>
      <c r="I628" s="636"/>
      <c r="J628" s="636"/>
      <c r="K628" s="636"/>
      <c r="L628" s="636"/>
      <c r="M628" s="636"/>
      <c r="N628" s="636"/>
      <c r="O628" s="636"/>
      <c r="P628" s="636"/>
      <c r="Q628" s="636"/>
      <c r="R628" s="636"/>
      <c r="S628" s="636"/>
      <c r="T628" s="590"/>
      <c r="U628" s="590"/>
      <c r="V628" s="590"/>
      <c r="W628" s="590"/>
      <c r="X628" s="637" t="s">
        <v>5</v>
      </c>
      <c r="Y628" s="604"/>
    </row>
    <row r="629" spans="1:25" ht="18" customHeight="1" x14ac:dyDescent="0.2">
      <c r="A629" s="346"/>
      <c r="B629" s="346"/>
      <c r="C629" s="767" t="s">
        <v>500</v>
      </c>
      <c r="D629" s="768"/>
      <c r="E629" s="768"/>
      <c r="F629" s="768"/>
      <c r="G629" s="768"/>
      <c r="H629" s="768"/>
      <c r="I629" s="768"/>
      <c r="J629" s="768"/>
      <c r="K629" s="768"/>
      <c r="L629" s="768"/>
      <c r="M629" s="768"/>
      <c r="N629" s="768"/>
      <c r="O629" s="768"/>
      <c r="P629" s="768"/>
      <c r="Q629" s="768"/>
      <c r="R629" s="768"/>
      <c r="S629" s="768"/>
      <c r="T629" s="590"/>
      <c r="U629" s="590"/>
      <c r="V629" s="590"/>
      <c r="W629" s="590"/>
      <c r="X629" s="634" t="s">
        <v>5</v>
      </c>
      <c r="Y629" s="635"/>
    </row>
    <row r="630" spans="1:25" ht="18" customHeight="1" x14ac:dyDescent="0.2">
      <c r="A630" s="346"/>
      <c r="B630" s="346"/>
      <c r="C630" s="767" t="s">
        <v>501</v>
      </c>
      <c r="D630" s="768"/>
      <c r="E630" s="768"/>
      <c r="F630" s="768"/>
      <c r="G630" s="768"/>
      <c r="H630" s="768"/>
      <c r="I630" s="768"/>
      <c r="J630" s="768"/>
      <c r="K630" s="768"/>
      <c r="L630" s="768"/>
      <c r="M630" s="768"/>
      <c r="N630" s="768"/>
      <c r="O630" s="768"/>
      <c r="P630" s="768"/>
      <c r="Q630" s="768"/>
      <c r="R630" s="768"/>
      <c r="S630" s="768"/>
      <c r="T630" s="590"/>
      <c r="U630" s="590"/>
      <c r="V630" s="590"/>
      <c r="W630" s="590"/>
      <c r="X630" s="634" t="s">
        <v>5</v>
      </c>
      <c r="Y630" s="635"/>
    </row>
    <row r="631" spans="1:25" ht="18" customHeight="1" thickBot="1" x14ac:dyDescent="0.25">
      <c r="A631" s="346"/>
      <c r="B631" s="346"/>
      <c r="C631" s="625" t="s">
        <v>258</v>
      </c>
      <c r="D631" s="626"/>
      <c r="E631" s="626"/>
      <c r="F631" s="626"/>
      <c r="G631" s="626"/>
      <c r="H631" s="626"/>
      <c r="I631" s="626"/>
      <c r="J631" s="626"/>
      <c r="K631" s="626"/>
      <c r="L631" s="626"/>
      <c r="M631" s="626"/>
      <c r="N631" s="626"/>
      <c r="O631" s="626"/>
      <c r="P631" s="626"/>
      <c r="Q631" s="626"/>
      <c r="R631" s="626"/>
      <c r="S631" s="627"/>
      <c r="T631" s="628" t="str">
        <f>IF(COUNTA($T$626:$W$630,$T$622:$W$624,$T$619)=0,"",SUM($T$626:$W$630,$T$622:$W$624,$T$619))</f>
        <v/>
      </c>
      <c r="U631" s="628"/>
      <c r="V631" s="628"/>
      <c r="W631" s="628"/>
      <c r="X631" s="579" t="s">
        <v>5</v>
      </c>
      <c r="Y631" s="579"/>
    </row>
    <row r="632" spans="1:25" ht="18" customHeight="1" thickBot="1" x14ac:dyDescent="0.25">
      <c r="A632" s="346"/>
      <c r="B632" s="346"/>
      <c r="C632" s="345"/>
      <c r="D632" s="453"/>
      <c r="E632" s="453"/>
      <c r="F632" s="453"/>
      <c r="G632" s="453"/>
      <c r="H632" s="453"/>
      <c r="I632" s="453"/>
      <c r="J632" s="453"/>
      <c r="K632" s="454"/>
      <c r="L632" s="455"/>
      <c r="M632" s="455"/>
      <c r="N632" s="455"/>
      <c r="O632" s="346"/>
      <c r="P632" s="346"/>
      <c r="Q632" s="347"/>
      <c r="R632" s="347"/>
      <c r="S632" s="347"/>
      <c r="T632" s="395"/>
      <c r="U632" s="396"/>
      <c r="V632" s="396"/>
      <c r="W632" s="397" t="str">
        <f>IF(COUNTIF($T$626:$T$630,0)+COUNTIF($T$622:$T$624,0)+COUNTIF($T$619,0)&gt;0,"Supprimez les valeurs nulles.",IF(COUNTA($T$619,$T$622:$W$624,$T$626:$W$630)=0,"",CONCATENATE(CONCATENATE(IF(AND($J$456="X",MIN($T$619,$T$622:$W$624,$T$626:$W$630)*$T$107*100&lt;15625),"La part d'un type de couvert végétal est inférieure à la surface minimale cartographiable choisie (15 625 m²). ",IF(AND($T$456="X",MIN($T$619,$T$622:$W$624,$T$626:$W$630)*$T$107*100&lt;2500)," La part d'un type de couvert végétal est inférieure à la surface minimale cartographiable choisie (2500 m²). ",IF(AND($J$457="X",MIN($T$619,$T$622:$W$624,$T$626:$W$630)*$T$107*100&lt;625)," La part d'un type de couvert végétal est inférieure à la surface minimale cartographiable choisie (625 m²). ",IF(AND($T$457="X",MIN($T$619,$T$622:$W$624,$T$626:$W$630)*$T$107*100&lt;156)," La part d'un type de couvert végétal est inférieure à la surface minimale cartographiable choisie (156 m²). ",""))))),IF($T$631="","",IF(COUNTA($T$619,$T$622:$T$624,$T$626:$T$630)=0,"Renseignez la proportion du site occupée par les différents types de couverts végétaux. ",IF($T$631&lt;&gt;100,"La somme des proportions du site occupée par les différents types de couverts végétaux doit être égale à 100%. ",""))))))</f>
        <v/>
      </c>
      <c r="X632" s="347"/>
      <c r="Y632" s="347"/>
    </row>
    <row r="633" spans="1:25" ht="18" customHeight="1" x14ac:dyDescent="0.2">
      <c r="A633" s="346"/>
      <c r="B633" s="346"/>
      <c r="C633" s="345"/>
      <c r="D633" s="453"/>
      <c r="E633" s="453"/>
      <c r="F633" s="453"/>
      <c r="G633" s="453"/>
      <c r="H633" s="453"/>
      <c r="I633" s="453"/>
      <c r="J633" s="453"/>
      <c r="K633" s="453"/>
      <c r="L633" s="456"/>
      <c r="M633" s="455"/>
      <c r="N633" s="455"/>
      <c r="O633" s="346"/>
      <c r="P633" s="346"/>
      <c r="Q633" s="347"/>
      <c r="R633" s="347"/>
      <c r="S633" s="347"/>
      <c r="T633" s="457"/>
      <c r="U633" s="457"/>
      <c r="V633" s="347"/>
      <c r="W633" s="398"/>
      <c r="X633" s="347"/>
      <c r="Y633" s="347"/>
    </row>
    <row r="634" spans="1:25" ht="18" customHeight="1" x14ac:dyDescent="0.2">
      <c r="A634" s="337"/>
      <c r="B634" s="337"/>
      <c r="C634" s="583" t="s">
        <v>755</v>
      </c>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row>
    <row r="635" spans="1:25" ht="18" customHeight="1" x14ac:dyDescent="0.2">
      <c r="A635" s="337"/>
      <c r="B635" s="337"/>
      <c r="C635" s="592"/>
      <c r="D635" s="592"/>
      <c r="E635" s="592"/>
      <c r="F635" s="592"/>
      <c r="G635" s="592"/>
      <c r="H635" s="592"/>
      <c r="I635" s="592"/>
      <c r="J635" s="592"/>
      <c r="K635" s="592"/>
      <c r="L635" s="592"/>
      <c r="M635" s="592"/>
      <c r="N635" s="592"/>
      <c r="O635" s="592"/>
      <c r="P635" s="592"/>
      <c r="Q635" s="592"/>
      <c r="R635" s="592"/>
      <c r="S635" s="592"/>
      <c r="T635" s="592"/>
      <c r="U635" s="592"/>
      <c r="V635" s="592"/>
      <c r="W635" s="592"/>
      <c r="X635" s="592"/>
      <c r="Y635" s="592"/>
    </row>
    <row r="636" spans="1:25" ht="18" customHeight="1" x14ac:dyDescent="0.2">
      <c r="A636" s="337"/>
      <c r="B636" s="337"/>
      <c r="C636" s="619" t="s">
        <v>225</v>
      </c>
      <c r="D636" s="619"/>
      <c r="E636" s="619"/>
      <c r="F636" s="619"/>
      <c r="G636" s="619"/>
      <c r="H636" s="619"/>
      <c r="I636" s="619"/>
      <c r="J636" s="619"/>
      <c r="K636" s="619"/>
      <c r="L636" s="619"/>
      <c r="M636" s="619"/>
      <c r="N636" s="619"/>
      <c r="O636" s="619"/>
      <c r="P636" s="619"/>
      <c r="Q636" s="619"/>
      <c r="R636" s="619"/>
      <c r="S636" s="619"/>
      <c r="T636" s="448" t="s">
        <v>73</v>
      </c>
      <c r="U636" s="347"/>
      <c r="V636" s="347"/>
      <c r="W636" s="347"/>
      <c r="X636" s="347"/>
      <c r="Y636" s="347"/>
    </row>
    <row r="637" spans="1:25" ht="18" customHeight="1" x14ac:dyDescent="0.2">
      <c r="A637" s="337"/>
      <c r="B637" s="337"/>
      <c r="C637" s="600" t="s">
        <v>220</v>
      </c>
      <c r="D637" s="601"/>
      <c r="E637" s="601"/>
      <c r="F637" s="601"/>
      <c r="G637" s="601"/>
      <c r="H637" s="601"/>
      <c r="I637" s="601"/>
      <c r="J637" s="601"/>
      <c r="K637" s="601"/>
      <c r="L637" s="601"/>
      <c r="M637" s="601"/>
      <c r="N637" s="601"/>
      <c r="O637" s="601"/>
      <c r="P637" s="601"/>
      <c r="Q637" s="601"/>
      <c r="R637" s="601"/>
      <c r="S637" s="602"/>
      <c r="T637" s="629"/>
      <c r="U637" s="630"/>
      <c r="V637" s="630"/>
      <c r="W637" s="631"/>
      <c r="X637" s="632" t="s">
        <v>5</v>
      </c>
      <c r="Y637" s="623"/>
    </row>
    <row r="638" spans="1:25" ht="18" customHeight="1" x14ac:dyDescent="0.2">
      <c r="A638" s="337"/>
      <c r="B638" s="337"/>
      <c r="C638" s="600" t="s">
        <v>227</v>
      </c>
      <c r="D638" s="601"/>
      <c r="E638" s="601"/>
      <c r="F638" s="601"/>
      <c r="G638" s="601"/>
      <c r="H638" s="601"/>
      <c r="I638" s="601"/>
      <c r="J638" s="601"/>
      <c r="K638" s="601"/>
      <c r="L638" s="601"/>
      <c r="M638" s="601"/>
      <c r="N638" s="601"/>
      <c r="O638" s="601"/>
      <c r="P638" s="601"/>
      <c r="Q638" s="601"/>
      <c r="R638" s="601"/>
      <c r="S638" s="601"/>
      <c r="T638" s="458"/>
      <c r="U638" s="458"/>
      <c r="V638" s="458"/>
      <c r="W638" s="458"/>
      <c r="X638" s="458"/>
      <c r="Y638" s="459"/>
    </row>
    <row r="639" spans="1:25" ht="18" customHeight="1" x14ac:dyDescent="0.2">
      <c r="A639" s="337"/>
      <c r="B639" s="337"/>
      <c r="C639" s="449"/>
      <c r="D639" s="620" t="s">
        <v>221</v>
      </c>
      <c r="E639" s="620"/>
      <c r="F639" s="620"/>
      <c r="G639" s="620"/>
      <c r="H639" s="620"/>
      <c r="I639" s="620"/>
      <c r="J639" s="620"/>
      <c r="K639" s="620"/>
      <c r="L639" s="620"/>
      <c r="M639" s="620"/>
      <c r="N639" s="620"/>
      <c r="O639" s="620"/>
      <c r="P639" s="620"/>
      <c r="Q639" s="620"/>
      <c r="R639" s="620"/>
      <c r="S639" s="620"/>
      <c r="T639" s="621"/>
      <c r="U639" s="621"/>
      <c r="V639" s="621"/>
      <c r="W639" s="621"/>
      <c r="X639" s="622" t="s">
        <v>5</v>
      </c>
      <c r="Y639" s="623"/>
    </row>
    <row r="640" spans="1:25" ht="18" customHeight="1" x14ac:dyDescent="0.2">
      <c r="A640" s="337"/>
      <c r="B640" s="337"/>
      <c r="C640" s="451"/>
      <c r="D640" s="624" t="s">
        <v>222</v>
      </c>
      <c r="E640" s="577"/>
      <c r="F640" s="577"/>
      <c r="G640" s="577"/>
      <c r="H640" s="577"/>
      <c r="I640" s="577"/>
      <c r="J640" s="577"/>
      <c r="K640" s="577"/>
      <c r="L640" s="577"/>
      <c r="M640" s="577"/>
      <c r="N640" s="577"/>
      <c r="O640" s="577"/>
      <c r="P640" s="577"/>
      <c r="Q640" s="577"/>
      <c r="R640" s="577"/>
      <c r="S640" s="577"/>
      <c r="T640" s="588"/>
      <c r="U640" s="588"/>
      <c r="V640" s="588"/>
      <c r="W640" s="588"/>
      <c r="X640" s="579" t="s">
        <v>5</v>
      </c>
      <c r="Y640" s="579"/>
    </row>
    <row r="641" spans="1:25" ht="18" customHeight="1" thickBot="1" x14ac:dyDescent="0.25">
      <c r="C641" s="611" t="s">
        <v>486</v>
      </c>
      <c r="D641" s="612"/>
      <c r="E641" s="612"/>
      <c r="F641" s="612"/>
      <c r="G641" s="612"/>
      <c r="H641" s="612"/>
      <c r="I641" s="612"/>
      <c r="J641" s="612"/>
      <c r="K641" s="612"/>
      <c r="L641" s="612"/>
      <c r="M641" s="612"/>
      <c r="N641" s="612"/>
      <c r="O641" s="612"/>
      <c r="P641" s="612"/>
      <c r="Q641" s="612"/>
      <c r="R641" s="612"/>
      <c r="S641" s="613"/>
      <c r="T641" s="614" t="str">
        <f>IF(COUNTA($T$639:$W$640,$T$637)=0,"",SUM($T$639:$W$640,$T$637))</f>
        <v/>
      </c>
      <c r="U641" s="615"/>
      <c r="V641" s="615"/>
      <c r="W641" s="616"/>
      <c r="X641" s="617" t="s">
        <v>5</v>
      </c>
      <c r="Y641" s="618"/>
    </row>
    <row r="642" spans="1:25" ht="18" customHeight="1" thickBot="1" x14ac:dyDescent="0.25">
      <c r="A642" s="337"/>
      <c r="B642" s="337"/>
      <c r="C642" s="345"/>
      <c r="D642" s="382"/>
      <c r="E642" s="382"/>
      <c r="F642" s="382"/>
      <c r="G642" s="382"/>
      <c r="H642" s="382"/>
      <c r="I642" s="382"/>
      <c r="J642" s="382"/>
      <c r="K642" s="460"/>
      <c r="L642" s="382"/>
      <c r="M642" s="382"/>
      <c r="N642" s="382"/>
      <c r="O642" s="382"/>
      <c r="P642" s="382"/>
      <c r="Q642" s="382"/>
      <c r="R642" s="382"/>
      <c r="S642" s="382"/>
      <c r="T642" s="395"/>
      <c r="U642" s="396"/>
      <c r="V642" s="396"/>
      <c r="W642" s="397" t="str">
        <f>CONCATENATE(IF(COUNTIF($C$465:$C$479,"FA.1")+COUNTIF($C$465:$C$479,"FB.1")+COUNTIF($C$465:$C$479,"FB.2")+COUNTIF($C$465:$C$479,"FB.3")+COUNTIF($C$465:$C$479,"FB.4")=0,"",IF(AND(OR(COUNTIF($C$465:$C$479,"FA.1")&gt;0,COUNTIF($C$465:$C$479,"FB.1")&gt;0,COUNTIF($C$465:$C$479,"FB.2")&gt;0,COUNTIF($C$465:$C$479,"FB.3")&gt;0,COUNTIF($C$465:$C$479,"FB.4")&gt;0),COUNTA($T$637,$T$639:$T$640)=0),"Les habitats mentionnés ici ont été observés dans le site (voir question 39), renseignez les types de couverts herbacés.",IF($T$641&lt;&gt;(SUMIF($C$465:$C$479,"FA.1",$T$465:$T$479)+SUMIF($C$465:$C$479,"FB.1",$T$465:$T$479)+SUMIF($C$465:$C$479,"FB.2",$T$465:$T$479)+SUMIF($C$465:$C$479,"FB.3",$T$465:$T$479)+SUMIF($C$465:$C$479,"FB.4",$T$465:$T$479)),"La somme renseignée ici doit être égale à la somme des proportions des habitats FA.1, FB.1, FB.2, FB.3, FB.4 dans le site. ",""))),IF(AND(COUNTIF($C$465:$C$479,"FA.1")+COUNTIF($C$465:$C$479,"FB.1")+COUNTIF($C$465:$C$479,"FB.2")+COUNTIF($C$465:$C$479,"FB.3")+COUNTIF($C$465:$C$479,"FB.4")=0,SUM($T$637,$T$639:$T$640)&gt;0),"Les habitats mentionnés ici n’ont pas été détectés dans la question 39, ne répondez pas à la question. ",""))</f>
        <v/>
      </c>
      <c r="X642" s="382"/>
      <c r="Y642" s="382"/>
    </row>
    <row r="643" spans="1:25" ht="18" customHeight="1" x14ac:dyDescent="0.2">
      <c r="A643" s="337"/>
      <c r="B643" s="337"/>
      <c r="C643" s="345"/>
      <c r="D643" s="382"/>
      <c r="E643" s="382"/>
      <c r="F643" s="382"/>
      <c r="G643" s="382"/>
      <c r="H643" s="382"/>
      <c r="I643" s="382"/>
      <c r="J643" s="382"/>
      <c r="K643" s="382"/>
      <c r="L643" s="382"/>
      <c r="M643" s="382"/>
      <c r="N643" s="382"/>
      <c r="O643" s="382"/>
      <c r="P643" s="382"/>
      <c r="Q643" s="382"/>
      <c r="R643" s="382"/>
      <c r="S643" s="382"/>
      <c r="T643" s="347"/>
      <c r="U643" s="347"/>
      <c r="V643" s="347"/>
      <c r="W643" s="382"/>
      <c r="X643" s="382"/>
      <c r="Y643" s="382"/>
    </row>
    <row r="644" spans="1:25" ht="18" customHeight="1" x14ac:dyDescent="0.2">
      <c r="A644" s="337"/>
      <c r="B644" s="337"/>
      <c r="C644" s="583" t="s">
        <v>756</v>
      </c>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row>
    <row r="645" spans="1:25" ht="18" customHeight="1" x14ac:dyDescent="0.2">
      <c r="A645" s="337"/>
      <c r="B645" s="337"/>
      <c r="C645" s="592"/>
      <c r="D645" s="592"/>
      <c r="E645" s="592"/>
      <c r="F645" s="592"/>
      <c r="G645" s="592"/>
      <c r="H645" s="592"/>
      <c r="I645" s="592"/>
      <c r="J645" s="592"/>
      <c r="K645" s="592"/>
      <c r="L645" s="592"/>
      <c r="M645" s="592"/>
      <c r="N645" s="592"/>
      <c r="O645" s="592"/>
      <c r="P645" s="592"/>
      <c r="Q645" s="592"/>
      <c r="R645" s="592"/>
      <c r="S645" s="592"/>
      <c r="T645" s="592"/>
      <c r="U645" s="592"/>
      <c r="V645" s="592"/>
      <c r="W645" s="592"/>
      <c r="X645" s="592"/>
      <c r="Y645" s="592"/>
    </row>
    <row r="646" spans="1:25" ht="18" customHeight="1" x14ac:dyDescent="0.2">
      <c r="A646" s="337"/>
      <c r="B646" s="337"/>
      <c r="C646" s="619" t="s">
        <v>226</v>
      </c>
      <c r="D646" s="619"/>
      <c r="E646" s="619"/>
      <c r="F646" s="619"/>
      <c r="G646" s="619"/>
      <c r="H646" s="619"/>
      <c r="I646" s="619"/>
      <c r="J646" s="619"/>
      <c r="K646" s="619"/>
      <c r="L646" s="619"/>
      <c r="M646" s="619"/>
      <c r="N646" s="619"/>
      <c r="O646" s="619"/>
      <c r="P646" s="619"/>
      <c r="Q646" s="619"/>
      <c r="R646" s="619"/>
      <c r="S646" s="619"/>
      <c r="T646" s="461" t="s">
        <v>73</v>
      </c>
      <c r="U646" s="462"/>
      <c r="V646" s="462"/>
      <c r="W646" s="462"/>
      <c r="X646" s="462"/>
      <c r="Y646" s="462"/>
    </row>
    <row r="647" spans="1:25" ht="18" customHeight="1" x14ac:dyDescent="0.2">
      <c r="A647" s="337"/>
      <c r="B647" s="337"/>
      <c r="C647" s="600" t="s">
        <v>220</v>
      </c>
      <c r="D647" s="601"/>
      <c r="E647" s="601"/>
      <c r="F647" s="601"/>
      <c r="G647" s="601"/>
      <c r="H647" s="601"/>
      <c r="I647" s="601"/>
      <c r="J647" s="601"/>
      <c r="K647" s="601"/>
      <c r="L647" s="601"/>
      <c r="M647" s="601"/>
      <c r="N647" s="601"/>
      <c r="O647" s="601"/>
      <c r="P647" s="601"/>
      <c r="Q647" s="601"/>
      <c r="R647" s="601"/>
      <c r="S647" s="601"/>
      <c r="T647" s="601"/>
      <c r="U647" s="601"/>
      <c r="V647" s="601"/>
      <c r="W647" s="601"/>
      <c r="X647" s="601"/>
      <c r="Y647" s="602"/>
    </row>
    <row r="648" spans="1:25" ht="18" customHeight="1" x14ac:dyDescent="0.2">
      <c r="A648" s="337"/>
      <c r="C648" s="463"/>
      <c r="D648" s="562" t="s">
        <v>517</v>
      </c>
      <c r="E648" s="562"/>
      <c r="F648" s="562"/>
      <c r="G648" s="562"/>
      <c r="H648" s="562"/>
      <c r="I648" s="562"/>
      <c r="J648" s="562"/>
      <c r="K648" s="562"/>
      <c r="L648" s="562"/>
      <c r="M648" s="562"/>
      <c r="N648" s="562"/>
      <c r="O648" s="562"/>
      <c r="P648" s="562"/>
      <c r="Q648" s="562"/>
      <c r="R648" s="562"/>
      <c r="S648" s="562"/>
      <c r="T648" s="599"/>
      <c r="U648" s="599"/>
      <c r="V648" s="599"/>
      <c r="W648" s="599"/>
      <c r="X648" s="579" t="s">
        <v>5</v>
      </c>
      <c r="Y648" s="579"/>
    </row>
    <row r="649" spans="1:25" ht="18" customHeight="1" x14ac:dyDescent="0.2">
      <c r="A649" s="337"/>
      <c r="C649" s="463"/>
      <c r="D649" s="597" t="s">
        <v>518</v>
      </c>
      <c r="E649" s="598"/>
      <c r="F649" s="598"/>
      <c r="G649" s="598"/>
      <c r="H649" s="598"/>
      <c r="I649" s="598"/>
      <c r="J649" s="598"/>
      <c r="K649" s="598"/>
      <c r="L649" s="598"/>
      <c r="M649" s="598"/>
      <c r="N649" s="598"/>
      <c r="O649" s="598"/>
      <c r="P649" s="598"/>
      <c r="Q649" s="598"/>
      <c r="R649" s="598"/>
      <c r="S649" s="598"/>
      <c r="T649" s="599"/>
      <c r="U649" s="599"/>
      <c r="V649" s="599"/>
      <c r="W649" s="599"/>
      <c r="X649" s="603" t="s">
        <v>5</v>
      </c>
      <c r="Y649" s="604"/>
    </row>
    <row r="650" spans="1:25" ht="18" customHeight="1" x14ac:dyDescent="0.2">
      <c r="A650" s="337"/>
      <c r="C650" s="600" t="s">
        <v>223</v>
      </c>
      <c r="D650" s="601"/>
      <c r="E650" s="601"/>
      <c r="F650" s="601"/>
      <c r="G650" s="601"/>
      <c r="H650" s="601"/>
      <c r="I650" s="601"/>
      <c r="J650" s="601"/>
      <c r="K650" s="601"/>
      <c r="L650" s="601"/>
      <c r="M650" s="601"/>
      <c r="N650" s="601"/>
      <c r="O650" s="601"/>
      <c r="P650" s="601"/>
      <c r="Q650" s="601"/>
      <c r="R650" s="601"/>
      <c r="S650" s="601"/>
      <c r="T650" s="601"/>
      <c r="U650" s="601"/>
      <c r="V650" s="601"/>
      <c r="W650" s="601"/>
      <c r="X650" s="601"/>
      <c r="Y650" s="602"/>
    </row>
    <row r="651" spans="1:25" ht="18" customHeight="1" x14ac:dyDescent="0.2">
      <c r="A651" s="337"/>
      <c r="C651" s="463"/>
      <c r="D651" s="597" t="s">
        <v>517</v>
      </c>
      <c r="E651" s="598"/>
      <c r="F651" s="598"/>
      <c r="G651" s="598"/>
      <c r="H651" s="598"/>
      <c r="I651" s="598"/>
      <c r="J651" s="598"/>
      <c r="K651" s="598"/>
      <c r="L651" s="598"/>
      <c r="M651" s="598"/>
      <c r="N651" s="598"/>
      <c r="O651" s="598"/>
      <c r="P651" s="598"/>
      <c r="Q651" s="598"/>
      <c r="R651" s="598"/>
      <c r="S651" s="598"/>
      <c r="T651" s="599"/>
      <c r="U651" s="599"/>
      <c r="V651" s="599"/>
      <c r="W651" s="599"/>
      <c r="X651" s="579" t="s">
        <v>5</v>
      </c>
      <c r="Y651" s="579"/>
    </row>
    <row r="652" spans="1:25" ht="18" customHeight="1" x14ac:dyDescent="0.2">
      <c r="A652" s="337"/>
      <c r="C652" s="464"/>
      <c r="D652" s="605" t="s">
        <v>519</v>
      </c>
      <c r="E652" s="606"/>
      <c r="F652" s="606"/>
      <c r="G652" s="606"/>
      <c r="H652" s="606"/>
      <c r="I652" s="606"/>
      <c r="J652" s="606"/>
      <c r="K652" s="606"/>
      <c r="L652" s="606"/>
      <c r="M652" s="606"/>
      <c r="N652" s="606"/>
      <c r="O652" s="606"/>
      <c r="P652" s="606"/>
      <c r="Q652" s="606"/>
      <c r="R652" s="606"/>
      <c r="S652" s="607"/>
      <c r="T652" s="599"/>
      <c r="U652" s="599"/>
      <c r="V652" s="599"/>
      <c r="W652" s="599"/>
      <c r="X652" s="579" t="s">
        <v>5</v>
      </c>
      <c r="Y652" s="579"/>
    </row>
    <row r="653" spans="1:25" ht="18" customHeight="1" x14ac:dyDescent="0.2">
      <c r="A653" s="337"/>
      <c r="C653" s="600" t="s">
        <v>520</v>
      </c>
      <c r="D653" s="601"/>
      <c r="E653" s="601"/>
      <c r="F653" s="601"/>
      <c r="G653" s="601"/>
      <c r="H653" s="601"/>
      <c r="I653" s="601"/>
      <c r="J653" s="601"/>
      <c r="K653" s="601"/>
      <c r="L653" s="601"/>
      <c r="M653" s="601"/>
      <c r="N653" s="601"/>
      <c r="O653" s="601"/>
      <c r="P653" s="601"/>
      <c r="Q653" s="601"/>
      <c r="R653" s="601"/>
      <c r="S653" s="601"/>
      <c r="T653" s="601"/>
      <c r="U653" s="601"/>
      <c r="V653" s="601"/>
      <c r="W653" s="601"/>
      <c r="X653" s="601"/>
      <c r="Y653" s="602"/>
    </row>
    <row r="654" spans="1:25" ht="18" customHeight="1" x14ac:dyDescent="0.2">
      <c r="A654" s="337"/>
      <c r="C654" s="608" t="s">
        <v>224</v>
      </c>
      <c r="D654" s="609"/>
      <c r="E654" s="609"/>
      <c r="F654" s="609"/>
      <c r="G654" s="609"/>
      <c r="H654" s="609"/>
      <c r="I654" s="609"/>
      <c r="J654" s="609"/>
      <c r="K654" s="609"/>
      <c r="L654" s="609"/>
      <c r="M654" s="609"/>
      <c r="N654" s="609"/>
      <c r="O654" s="609"/>
      <c r="P654" s="609"/>
      <c r="Q654" s="609"/>
      <c r="R654" s="609"/>
      <c r="S654" s="610"/>
      <c r="T654" s="599"/>
      <c r="U654" s="599"/>
      <c r="V654" s="599"/>
      <c r="W654" s="599"/>
      <c r="X654" s="579" t="s">
        <v>5</v>
      </c>
      <c r="Y654" s="579"/>
    </row>
    <row r="655" spans="1:25" ht="18" customHeight="1" thickBot="1" x14ac:dyDescent="0.25">
      <c r="C655" s="611" t="s">
        <v>486</v>
      </c>
      <c r="D655" s="612"/>
      <c r="E655" s="612"/>
      <c r="F655" s="612"/>
      <c r="G655" s="612"/>
      <c r="H655" s="612"/>
      <c r="I655" s="612"/>
      <c r="J655" s="612"/>
      <c r="K655" s="612"/>
      <c r="L655" s="612"/>
      <c r="M655" s="612"/>
      <c r="N655" s="612"/>
      <c r="O655" s="612"/>
      <c r="P655" s="612"/>
      <c r="Q655" s="612"/>
      <c r="R655" s="612"/>
      <c r="S655" s="613"/>
      <c r="T655" s="614" t="str">
        <f>IF(COUNTA($T$648:$W$649,$T$651:$W$652,$T$654)=0,"",SUM($T$648:$W$649,$T$651:$W$652,$T$654))</f>
        <v/>
      </c>
      <c r="U655" s="615"/>
      <c r="V655" s="615"/>
      <c r="W655" s="616"/>
      <c r="X655" s="790" t="s">
        <v>5</v>
      </c>
      <c r="Y655" s="683"/>
    </row>
    <row r="656" spans="1:25" ht="18" customHeight="1" thickBot="1" x14ac:dyDescent="0.25">
      <c r="A656" s="337"/>
      <c r="B656" s="337"/>
      <c r="C656" s="345"/>
      <c r="D656" s="337"/>
      <c r="E656" s="337"/>
      <c r="F656" s="337"/>
      <c r="G656" s="337"/>
      <c r="H656" s="337"/>
      <c r="I656" s="337"/>
      <c r="J656" s="337"/>
      <c r="K656" s="337"/>
      <c r="L656" s="337"/>
      <c r="M656" s="337"/>
      <c r="N656" s="337"/>
      <c r="O656" s="337"/>
      <c r="T656" s="395"/>
      <c r="U656" s="396"/>
      <c r="V656" s="396"/>
      <c r="W656" s="397" t="str">
        <f>CONCATENATE(IF(COUNTIF($C$465:$C$479,"G1.C")+COUNTIF($C$465:$C$479,"G1.D")+COUNTIF($C$465:$C$479,"G2.8")+COUNTIF($C$465:$C$479,"G2.9")+COUNTIF($C$465:$C$479,"G3.F")=0,"",IF(AND(OR(COUNTIF($C$465:$C$479,"G1.C")&gt;0,COUNTIF($C$465:$C$479,"G1.D")&gt;0,COUNTIF($C$465:$C$479,"G2.8")&gt;0,COUNTIF($C$465:$C$479,"G2.9")&gt;0,COUNTIF($C$465:$C$479,"G3.F")&gt;0),COUNTA($T$648:$W$649,$T$651:$W$652,$T$654)=0),"Les habitats mentionnés ici ont été observés dans le site (voir question 39), renseignez les types de couverts herbacés et arbustifs. ",IF($T$655&lt;&gt;(SUMIF($C$465:$C$479,"G1.C",T465:T479)+SUMIF($C$465:$C$479,"G1.D",$T$465:$T$479)+SUMIF($C$465:$C$479,"G2.8",$T$465:$T$479)+SUMIF($C$465:$C$479,"G2.9",$T$465:$T$479)+SUMIF($C$465:$C$479,"G3.F",$T$465:$T$479)),"La somme renseignée ici doit être égale à la somme des proportions des habitats G1.C, G1.D, G2.8, G2.9, G3.F dans le site. ",""))),IF(AND(COUNTIF($C$465:$C$479,"G1.C")+COUNTIF($C$465:$C$479,"G1.D")+COUNTIF($C$465:$C$479,"G2.8")+COUNTIF($C$465:$C$479,"G2.9")+COUNTIF($C$465:$C$479,"G3.F")=0,SUM($T$648:$W$649,$T$651:$W$652,$T$654)&gt;0),"Les habitats mentionnés ici n’ont pas été détectés dans la question 39, ne répondez pas à la question. ",""))</f>
        <v/>
      </c>
      <c r="Y656" s="465"/>
    </row>
    <row r="657" spans="1:25" ht="18" customHeight="1" x14ac:dyDescent="0.2">
      <c r="A657" s="337"/>
      <c r="B657" s="337"/>
      <c r="C657" s="345"/>
      <c r="D657" s="337"/>
      <c r="E657" s="337"/>
      <c r="F657" s="337"/>
      <c r="G657" s="337"/>
      <c r="H657" s="337"/>
      <c r="I657" s="337"/>
      <c r="J657" s="337"/>
      <c r="K657" s="337"/>
      <c r="L657" s="337"/>
      <c r="M657" s="337"/>
      <c r="N657" s="337"/>
      <c r="O657" s="337"/>
      <c r="T657" s="347"/>
      <c r="U657" s="347"/>
      <c r="V657" s="347"/>
      <c r="W657" s="398"/>
    </row>
    <row r="658" spans="1:25" ht="33.75" customHeight="1" x14ac:dyDescent="0.2">
      <c r="A658" s="337"/>
      <c r="B658" s="337"/>
      <c r="C658" s="341" t="s">
        <v>393</v>
      </c>
      <c r="D658" s="695" t="s">
        <v>410</v>
      </c>
      <c r="E658" s="696"/>
      <c r="F658" s="696"/>
      <c r="G658" s="696"/>
      <c r="H658" s="696"/>
      <c r="I658" s="696"/>
      <c r="J658" s="696"/>
      <c r="K658" s="696"/>
      <c r="L658" s="696"/>
      <c r="M658" s="696"/>
      <c r="N658" s="696"/>
      <c r="O658" s="696"/>
      <c r="P658" s="696"/>
      <c r="Q658" s="696"/>
      <c r="R658" s="696"/>
      <c r="S658" s="696"/>
      <c r="T658" s="696"/>
      <c r="U658" s="696"/>
      <c r="V658" s="696"/>
      <c r="W658" s="696"/>
      <c r="X658" s="696"/>
      <c r="Y658" s="697"/>
    </row>
    <row r="659" spans="1:25" ht="18" customHeight="1" x14ac:dyDescent="0.2">
      <c r="A659" s="337"/>
      <c r="B659" s="337"/>
      <c r="C659" s="517"/>
      <c r="D659" s="517"/>
      <c r="E659" s="517"/>
      <c r="F659" s="517"/>
      <c r="G659" s="517"/>
      <c r="H659" s="517"/>
      <c r="I659" s="517"/>
      <c r="J659" s="517"/>
      <c r="K659" s="517"/>
      <c r="L659" s="517"/>
      <c r="M659" s="517"/>
      <c r="N659" s="517"/>
      <c r="O659" s="517"/>
      <c r="P659" s="517"/>
      <c r="Q659" s="517"/>
      <c r="R659" s="517"/>
      <c r="S659" s="517"/>
      <c r="T659" s="517"/>
      <c r="U659" s="517"/>
      <c r="V659" s="517"/>
      <c r="W659" s="517"/>
      <c r="X659" s="517"/>
      <c r="Y659" s="517"/>
    </row>
    <row r="660" spans="1:25" ht="18" customHeight="1" x14ac:dyDescent="0.2">
      <c r="A660" s="337"/>
      <c r="B660" s="337"/>
      <c r="C660" s="581" t="s">
        <v>325</v>
      </c>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row>
    <row r="661" spans="1:25" ht="18" customHeight="1" x14ac:dyDescent="0.2">
      <c r="A661" s="337"/>
      <c r="B661" s="337"/>
      <c r="C661" s="466" t="s">
        <v>236</v>
      </c>
      <c r="D661" s="466"/>
      <c r="E661" s="337"/>
      <c r="H661" s="369" t="s">
        <v>268</v>
      </c>
      <c r="I661" s="353" t="s">
        <v>28</v>
      </c>
      <c r="J661" s="588"/>
      <c r="K661" s="588"/>
      <c r="P661" s="339"/>
      <c r="Q661" s="368"/>
      <c r="R661" s="368"/>
      <c r="S661" s="369" t="s">
        <v>29</v>
      </c>
      <c r="T661" s="588"/>
      <c r="U661" s="588"/>
      <c r="V661" s="588"/>
      <c r="W661" s="588"/>
    </row>
    <row r="662" spans="1:25" ht="18" customHeight="1" thickBot="1" x14ac:dyDescent="0.25">
      <c r="A662" s="337"/>
      <c r="B662" s="337"/>
      <c r="C662" s="354"/>
      <c r="D662" s="354"/>
      <c r="E662" s="337"/>
      <c r="H662" s="369" t="s">
        <v>269</v>
      </c>
      <c r="I662" s="353" t="s">
        <v>28</v>
      </c>
      <c r="J662" s="588"/>
      <c r="K662" s="588"/>
      <c r="P662" s="339"/>
      <c r="Q662" s="368"/>
      <c r="R662" s="368"/>
      <c r="S662" s="369" t="s">
        <v>29</v>
      </c>
      <c r="T662" s="588"/>
      <c r="U662" s="588"/>
      <c r="V662" s="588"/>
      <c r="W662" s="588"/>
    </row>
    <row r="663" spans="1:25" ht="18" customHeight="1" thickBot="1" x14ac:dyDescent="0.25">
      <c r="A663" s="337"/>
      <c r="B663" s="337"/>
      <c r="C663" s="337"/>
      <c r="D663" s="337"/>
      <c r="E663" s="337"/>
      <c r="F663" s="337"/>
      <c r="G663" s="337"/>
      <c r="H663" s="337"/>
      <c r="I663" s="337"/>
      <c r="J663" s="337"/>
      <c r="K663" s="337"/>
      <c r="L663" s="337"/>
      <c r="M663" s="337"/>
      <c r="N663" s="337"/>
      <c r="O663" s="337"/>
      <c r="T663" s="395"/>
      <c r="U663" s="396"/>
      <c r="V663" s="396"/>
      <c r="W663" s="397" t="str">
        <f>CONCATENATE(IF(COUNTA($J$661,$J$662,$T$661,$T$662)=0,"",IF(COUNTA($J$661,$J$662,$T$661,$T$662)&lt;&gt;2,"2 réponses nécessaires. ","")),IF(AND($T$121="X",$J$662&lt;&gt;"X"),"Site dans un système de versant et bas-versant, improbable qu'il n'y ait pas de source dans le site et la zone tampon. ",""))</f>
        <v/>
      </c>
    </row>
    <row r="664" spans="1:25" ht="18" customHeight="1" x14ac:dyDescent="0.2">
      <c r="A664" s="337"/>
      <c r="B664" s="337"/>
      <c r="C664" s="345"/>
      <c r="D664" s="337"/>
      <c r="E664" s="337"/>
      <c r="F664" s="337"/>
      <c r="G664" s="337"/>
      <c r="H664" s="337"/>
      <c r="I664" s="337"/>
      <c r="J664" s="337"/>
      <c r="K664" s="337"/>
      <c r="L664" s="337"/>
      <c r="M664" s="337"/>
      <c r="N664" s="337"/>
      <c r="O664" s="337"/>
    </row>
    <row r="665" spans="1:25" ht="18" customHeight="1" x14ac:dyDescent="0.2">
      <c r="A665" s="337"/>
      <c r="B665" s="337"/>
      <c r="C665" s="583" t="s">
        <v>378</v>
      </c>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row>
    <row r="666" spans="1:25" ht="18" customHeight="1" x14ac:dyDescent="0.2">
      <c r="A666" s="337"/>
      <c r="B666" s="337"/>
      <c r="C666" s="592"/>
      <c r="D666" s="592"/>
      <c r="E666" s="592"/>
      <c r="F666" s="592"/>
      <c r="G666" s="592"/>
      <c r="H666" s="592"/>
      <c r="I666" s="592"/>
      <c r="J666" s="592"/>
      <c r="K666" s="592"/>
      <c r="L666" s="592"/>
      <c r="M666" s="592"/>
      <c r="N666" s="592"/>
      <c r="O666" s="592"/>
      <c r="P666" s="592"/>
      <c r="Q666" s="592"/>
      <c r="R666" s="592"/>
      <c r="S666" s="592"/>
      <c r="T666" s="592"/>
      <c r="U666" s="592"/>
      <c r="V666" s="592"/>
      <c r="W666" s="592"/>
      <c r="X666" s="592"/>
      <c r="Y666" s="592"/>
    </row>
    <row r="667" spans="1:25" ht="18" customHeight="1" x14ac:dyDescent="0.2">
      <c r="A667" s="337"/>
      <c r="B667" s="337"/>
      <c r="C667" s="346"/>
      <c r="D667" s="346"/>
      <c r="E667" s="346"/>
      <c r="F667" s="346"/>
      <c r="G667" s="346"/>
      <c r="H667" s="346"/>
      <c r="I667" s="346"/>
      <c r="J667" s="594" t="s">
        <v>78</v>
      </c>
      <c r="K667" s="594"/>
      <c r="L667" s="594"/>
      <c r="M667" s="346"/>
      <c r="N667" s="595" t="s">
        <v>379</v>
      </c>
      <c r="O667" s="595"/>
      <c r="P667" s="595"/>
      <c r="Q667" s="595"/>
      <c r="R667" s="595"/>
      <c r="S667" s="346"/>
      <c r="T667" s="594" t="s">
        <v>80</v>
      </c>
      <c r="U667" s="594"/>
      <c r="V667" s="594"/>
      <c r="W667" s="594"/>
      <c r="X667" s="594"/>
      <c r="Y667" s="594"/>
    </row>
    <row r="668" spans="1:25" ht="18" customHeight="1" x14ac:dyDescent="0.2">
      <c r="A668" s="337"/>
      <c r="B668" s="337"/>
      <c r="C668" s="346"/>
      <c r="D668" s="346"/>
      <c r="E668" s="346"/>
      <c r="F668" s="346"/>
      <c r="G668" s="346"/>
      <c r="H668" s="346"/>
      <c r="I668" s="346"/>
      <c r="J668" s="594" t="s">
        <v>77</v>
      </c>
      <c r="K668" s="594"/>
      <c r="L668" s="594"/>
      <c r="M668" s="346"/>
      <c r="N668" s="596"/>
      <c r="O668" s="596"/>
      <c r="P668" s="596"/>
      <c r="Q668" s="596"/>
      <c r="R668" s="596"/>
      <c r="S668" s="346"/>
      <c r="T668" s="594" t="s">
        <v>81</v>
      </c>
      <c r="U668" s="594"/>
      <c r="V668" s="594"/>
      <c r="W668" s="594"/>
      <c r="X668" s="594"/>
      <c r="Y668" s="594"/>
    </row>
    <row r="669" spans="1:25" ht="18" customHeight="1" x14ac:dyDescent="0.2">
      <c r="A669" s="337"/>
      <c r="B669" s="337"/>
      <c r="C669" s="346"/>
      <c r="D669" s="346"/>
      <c r="E669" s="346"/>
      <c r="F669" s="346"/>
      <c r="G669" s="346"/>
      <c r="H669" s="362" t="s">
        <v>38</v>
      </c>
      <c r="I669" s="346"/>
      <c r="J669" s="761"/>
      <c r="K669" s="762"/>
      <c r="L669" s="518" t="s">
        <v>6</v>
      </c>
      <c r="M669" s="346"/>
      <c r="N669" s="701"/>
      <c r="O669" s="701"/>
      <c r="P669" s="701"/>
      <c r="Q669" s="763" t="s">
        <v>6</v>
      </c>
      <c r="R669" s="763"/>
      <c r="S669" s="346"/>
      <c r="T669" s="761"/>
      <c r="U669" s="764"/>
      <c r="V669" s="764"/>
      <c r="W669" s="762"/>
      <c r="X669" s="765" t="s">
        <v>6</v>
      </c>
      <c r="Y669" s="765"/>
    </row>
    <row r="670" spans="1:25" ht="18" customHeight="1" thickBot="1" x14ac:dyDescent="0.3">
      <c r="A670" s="337"/>
      <c r="B670" s="337"/>
      <c r="C670" s="346"/>
      <c r="D670" s="346"/>
      <c r="E670" s="346"/>
      <c r="F670" s="346"/>
      <c r="G670" s="346"/>
      <c r="H670" s="362" t="s">
        <v>76</v>
      </c>
      <c r="I670" s="346"/>
      <c r="J670" s="701"/>
      <c r="K670" s="766"/>
      <c r="L670" s="518" t="s">
        <v>6</v>
      </c>
      <c r="M670" s="346"/>
      <c r="N670" s="701"/>
      <c r="O670" s="701"/>
      <c r="P670" s="701"/>
      <c r="Q670" s="763" t="s">
        <v>6</v>
      </c>
      <c r="R670" s="763"/>
      <c r="S670" s="346"/>
      <c r="T670" s="761"/>
      <c r="U670" s="764"/>
      <c r="V670" s="764"/>
      <c r="W670" s="762"/>
      <c r="X670" s="765" t="s">
        <v>6</v>
      </c>
      <c r="Y670" s="765"/>
    </row>
    <row r="671" spans="1:25" ht="18" customHeight="1" thickBot="1" x14ac:dyDescent="0.25">
      <c r="A671" s="337"/>
      <c r="B671" s="337"/>
      <c r="C671" s="345"/>
      <c r="D671" s="337"/>
      <c r="E671" s="337"/>
      <c r="F671" s="337"/>
      <c r="G671" s="337"/>
      <c r="H671" s="337"/>
      <c r="I671" s="337"/>
      <c r="J671" s="337"/>
      <c r="K671" s="337"/>
      <c r="L671" s="337"/>
      <c r="M671" s="337"/>
      <c r="N671" s="337"/>
      <c r="O671" s="337"/>
      <c r="T671" s="395"/>
      <c r="U671" s="396"/>
      <c r="V671" s="396"/>
      <c r="W671" s="397" t="str">
        <f>IF(COUNTA($J$669,$J$670,$N$669,$N$670,$T$669,$T$670)=0,"",IF(COUNTA($J$669,$J$670,$N$669,$N$670,$T$669,$T$670)&lt;6,"Renseignez 6 valeurs en réponse à cette question, y compris les valeurs nulles. ",""))</f>
        <v/>
      </c>
    </row>
    <row r="672" spans="1:25" ht="18" customHeight="1" x14ac:dyDescent="0.2">
      <c r="A672" s="337"/>
      <c r="B672" s="337"/>
      <c r="C672" s="345"/>
      <c r="D672" s="337"/>
      <c r="E672" s="337"/>
      <c r="F672" s="337"/>
      <c r="G672" s="337"/>
      <c r="H672" s="337"/>
      <c r="I672" s="337"/>
      <c r="J672" s="337"/>
      <c r="K672" s="337"/>
      <c r="L672" s="337"/>
      <c r="M672" s="337"/>
      <c r="N672" s="337"/>
      <c r="O672" s="337"/>
    </row>
    <row r="673" spans="1:25" ht="18" customHeight="1" x14ac:dyDescent="0.2">
      <c r="A673" s="337"/>
      <c r="B673" s="337"/>
      <c r="C673" s="345"/>
      <c r="D673" s="337"/>
      <c r="E673" s="337"/>
      <c r="F673" s="337"/>
      <c r="G673" s="337"/>
      <c r="H673" s="337"/>
      <c r="I673" s="337"/>
      <c r="J673" s="337"/>
      <c r="K673" s="337"/>
      <c r="L673" s="337"/>
      <c r="M673" s="337"/>
      <c r="N673" s="337"/>
      <c r="O673" s="337"/>
    </row>
    <row r="674" spans="1:25" ht="18" customHeight="1" x14ac:dyDescent="0.2">
      <c r="A674" s="337"/>
      <c r="B674" s="337"/>
      <c r="C674" s="593" t="s">
        <v>481</v>
      </c>
      <c r="D674" s="593"/>
      <c r="E674" s="593"/>
      <c r="F674" s="593"/>
      <c r="G674" s="593"/>
      <c r="H674" s="593"/>
      <c r="I674" s="593"/>
      <c r="J674" s="593"/>
      <c r="K674" s="593"/>
      <c r="L674" s="593"/>
      <c r="M674" s="593"/>
      <c r="N674" s="593"/>
      <c r="O674" s="593"/>
      <c r="P674" s="593"/>
      <c r="Q674" s="593"/>
      <c r="R674" s="593"/>
      <c r="S674" s="593"/>
      <c r="T674" s="593"/>
      <c r="U674" s="593"/>
      <c r="V674" s="593"/>
      <c r="W674" s="593"/>
      <c r="X674" s="593"/>
      <c r="Y674" s="593"/>
    </row>
    <row r="675" spans="1:25" ht="18" customHeight="1" x14ac:dyDescent="0.2">
      <c r="A675" s="337"/>
      <c r="B675" s="337"/>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row>
    <row r="676" spans="1:25" ht="18" customHeight="1" x14ac:dyDescent="0.2">
      <c r="A676" s="337"/>
      <c r="B676" s="337"/>
      <c r="C676" s="581" t="s">
        <v>326</v>
      </c>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row>
    <row r="677" spans="1:25" ht="18" customHeight="1" thickBot="1" x14ac:dyDescent="0.25">
      <c r="A677" s="337"/>
      <c r="B677" s="337"/>
      <c r="C677" s="354" t="s">
        <v>234</v>
      </c>
      <c r="D677" s="354"/>
      <c r="E677" s="337"/>
      <c r="H677" s="368"/>
      <c r="I677" s="353" t="s">
        <v>28</v>
      </c>
      <c r="J677" s="588"/>
      <c r="K677" s="588"/>
      <c r="P677" s="339"/>
      <c r="Q677" s="368"/>
      <c r="R677" s="368"/>
      <c r="S677" s="369" t="s">
        <v>29</v>
      </c>
      <c r="T677" s="588"/>
      <c r="U677" s="588"/>
      <c r="V677" s="588"/>
      <c r="W677" s="588"/>
    </row>
    <row r="678" spans="1:25" ht="18" customHeight="1" thickBot="1" x14ac:dyDescent="0.25">
      <c r="A678" s="337"/>
      <c r="B678" s="337"/>
      <c r="C678" s="345"/>
      <c r="D678" s="337"/>
      <c r="E678" s="337"/>
      <c r="F678" s="337"/>
      <c r="G678" s="337"/>
      <c r="H678" s="337"/>
      <c r="I678" s="337"/>
      <c r="J678" s="337"/>
      <c r="K678" s="337"/>
      <c r="L678" s="337"/>
      <c r="M678" s="337"/>
      <c r="N678" s="337"/>
      <c r="O678" s="337"/>
      <c r="T678" s="395"/>
      <c r="U678" s="396"/>
      <c r="V678" s="396"/>
      <c r="W678" s="397" t="str">
        <f>CONCATENATE(IF(AND(SUM($N$669,$N$670,$T$669,$T$670)&gt;0,COUNTA($J$677,$T$677)=0),"Des fossés et/ou des fossés profonds sont présents dans le site, donc répondez à cette question. ",""),IF(COUNTA($J$677,$T$677)&gt;1,"Une seule réponse est possible.",""))</f>
        <v/>
      </c>
    </row>
    <row r="679" spans="1:25" ht="18" customHeight="1" x14ac:dyDescent="0.2">
      <c r="A679" s="337"/>
      <c r="B679" s="337"/>
      <c r="C679" s="345"/>
      <c r="D679" s="337"/>
      <c r="E679" s="337"/>
      <c r="F679" s="337"/>
      <c r="G679" s="337"/>
      <c r="H679" s="337"/>
      <c r="I679" s="337"/>
      <c r="J679" s="337"/>
      <c r="K679" s="337"/>
      <c r="L679" s="337"/>
      <c r="M679" s="337"/>
      <c r="N679" s="337"/>
      <c r="O679" s="337"/>
    </row>
    <row r="680" spans="1:25" ht="23.1" customHeight="1" x14ac:dyDescent="0.2">
      <c r="A680" s="337"/>
      <c r="B680" s="337"/>
      <c r="C680" s="583" t="s">
        <v>327</v>
      </c>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row>
    <row r="681" spans="1:25" ht="23.1" customHeight="1" x14ac:dyDescent="0.2">
      <c r="A681" s="337"/>
      <c r="B681" s="337"/>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c r="Y681" s="592"/>
    </row>
    <row r="682" spans="1:25" ht="18" customHeight="1" thickBot="1" x14ac:dyDescent="0.25">
      <c r="A682" s="337"/>
      <c r="B682" s="337"/>
      <c r="C682" s="354" t="s">
        <v>234</v>
      </c>
      <c r="D682" s="354"/>
      <c r="E682" s="337"/>
      <c r="H682" s="368"/>
      <c r="I682" s="353" t="s">
        <v>28</v>
      </c>
      <c r="J682" s="588"/>
      <c r="K682" s="588"/>
      <c r="P682" s="339"/>
      <c r="Q682" s="368"/>
      <c r="R682" s="368"/>
      <c r="S682" s="369" t="s">
        <v>29</v>
      </c>
      <c r="T682" s="588"/>
      <c r="U682" s="588"/>
      <c r="V682" s="588"/>
      <c r="W682" s="588"/>
    </row>
    <row r="683" spans="1:25" ht="18" customHeight="1" thickBot="1" x14ac:dyDescent="0.25">
      <c r="A683" s="337"/>
      <c r="B683" s="337"/>
      <c r="C683" s="345"/>
      <c r="D683" s="337"/>
      <c r="E683" s="337"/>
      <c r="F683" s="337"/>
      <c r="G683" s="337"/>
      <c r="H683" s="337"/>
      <c r="I683" s="337"/>
      <c r="J683" s="337"/>
      <c r="K683" s="337"/>
      <c r="L683" s="337"/>
      <c r="M683" s="337"/>
      <c r="N683" s="337"/>
      <c r="O683" s="337"/>
      <c r="T683" s="395"/>
      <c r="U683" s="396"/>
      <c r="V683" s="396"/>
      <c r="W683" s="397" t="str">
        <f>CONCATENATE(IF(AND(SUM($N$669,$N$670,$T$669,$T$670)&gt;0,COUNTA($J$682,$T$682)=0),"Des fossés et/ou des fossés profonds sont présents dans le site, donc répondez à cette question. ",""),IF(COUNTA($J$682,$T$682)&gt;1,"Une seule réponse est possible.",""))</f>
        <v/>
      </c>
    </row>
    <row r="684" spans="1:25" ht="18" customHeight="1" x14ac:dyDescent="0.2">
      <c r="A684" s="337"/>
      <c r="B684" s="337"/>
      <c r="C684" s="345"/>
      <c r="D684" s="337"/>
      <c r="E684" s="337"/>
      <c r="F684" s="337"/>
      <c r="G684" s="337"/>
      <c r="H684" s="337"/>
      <c r="I684" s="337"/>
      <c r="J684" s="337"/>
      <c r="K684" s="337"/>
      <c r="L684" s="337"/>
      <c r="M684" s="337"/>
      <c r="N684" s="337"/>
      <c r="O684" s="337"/>
    </row>
    <row r="685" spans="1:25" ht="18" customHeight="1" x14ac:dyDescent="0.2">
      <c r="A685" s="337"/>
      <c r="B685" s="337"/>
      <c r="C685" s="581" t="s">
        <v>328</v>
      </c>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row>
    <row r="686" spans="1:25" ht="18" customHeight="1" thickBot="1" x14ac:dyDescent="0.25">
      <c r="A686" s="337"/>
      <c r="B686" s="337"/>
      <c r="C686" s="354" t="s">
        <v>234</v>
      </c>
      <c r="D686" s="354"/>
      <c r="E686" s="337"/>
      <c r="H686" s="368"/>
      <c r="I686" s="353" t="s">
        <v>28</v>
      </c>
      <c r="J686" s="588"/>
      <c r="K686" s="588"/>
      <c r="P686" s="339"/>
      <c r="Q686" s="368"/>
      <c r="R686" s="368"/>
      <c r="S686" s="369" t="s">
        <v>29</v>
      </c>
      <c r="T686" s="588"/>
      <c r="U686" s="588"/>
      <c r="V686" s="588"/>
      <c r="W686" s="588"/>
    </row>
    <row r="687" spans="1:25" ht="18" customHeight="1" thickBot="1" x14ac:dyDescent="0.25">
      <c r="A687" s="337"/>
      <c r="B687" s="337"/>
      <c r="C687" s="345"/>
      <c r="D687" s="337"/>
      <c r="E687" s="337"/>
      <c r="F687" s="337"/>
      <c r="G687" s="337"/>
      <c r="H687" s="337"/>
      <c r="I687" s="337"/>
      <c r="J687" s="337"/>
      <c r="K687" s="337"/>
      <c r="L687" s="337"/>
      <c r="M687" s="337"/>
      <c r="N687" s="337"/>
      <c r="O687" s="337"/>
      <c r="T687" s="395"/>
      <c r="U687" s="396"/>
      <c r="V687" s="396"/>
      <c r="W687" s="397" t="str">
        <f>IF(COUNTA($J$686,$T$686)&gt;1,"Une seule réponse est possible.","")</f>
        <v/>
      </c>
    </row>
    <row r="688" spans="1:25" ht="18" customHeight="1" x14ac:dyDescent="0.2">
      <c r="A688" s="337"/>
      <c r="B688" s="337"/>
      <c r="C688" s="345"/>
      <c r="D688" s="337"/>
      <c r="E688" s="337"/>
      <c r="F688" s="337"/>
      <c r="G688" s="337"/>
      <c r="H688" s="337"/>
      <c r="I688" s="337"/>
      <c r="J688" s="337"/>
      <c r="K688" s="337"/>
      <c r="L688" s="337"/>
      <c r="M688" s="337"/>
      <c r="N688" s="337"/>
      <c r="O688" s="337"/>
    </row>
    <row r="689" spans="1:27" ht="18" customHeight="1" x14ac:dyDescent="0.2">
      <c r="A689" s="337"/>
      <c r="B689" s="337"/>
      <c r="C689" s="583" t="s">
        <v>380</v>
      </c>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row>
    <row r="690" spans="1:27" ht="18" customHeight="1" x14ac:dyDescent="0.2">
      <c r="A690" s="337"/>
      <c r="B690" s="337"/>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c r="Y690" s="592"/>
    </row>
    <row r="691" spans="1:27" ht="18" customHeight="1" thickBot="1" x14ac:dyDescent="0.25">
      <c r="A691" s="337"/>
      <c r="B691" s="337"/>
      <c r="C691" s="337"/>
      <c r="D691" s="337"/>
      <c r="E691" s="337"/>
      <c r="F691" s="337"/>
      <c r="G691" s="337"/>
      <c r="H691" s="337"/>
      <c r="I691" s="337"/>
      <c r="J691" s="337"/>
      <c r="K691" s="337"/>
      <c r="L691" s="337"/>
      <c r="M691" s="337"/>
      <c r="N691" s="337"/>
      <c r="O691" s="337"/>
      <c r="S691" s="369" t="s">
        <v>270</v>
      </c>
      <c r="T691" s="590"/>
      <c r="U691" s="590"/>
      <c r="V691" s="590"/>
      <c r="W691" s="590"/>
      <c r="X691" s="591" t="s">
        <v>118</v>
      </c>
      <c r="Y691" s="591"/>
    </row>
    <row r="692" spans="1:27" ht="18" customHeight="1" thickBot="1" x14ac:dyDescent="0.25">
      <c r="A692" s="337"/>
      <c r="B692" s="337"/>
      <c r="C692" s="345"/>
      <c r="D692" s="337"/>
      <c r="E692" s="337"/>
      <c r="F692" s="337"/>
      <c r="G692" s="337"/>
      <c r="H692" s="337"/>
      <c r="I692" s="337"/>
      <c r="J692" s="337"/>
      <c r="K692" s="337"/>
      <c r="L692" s="337"/>
      <c r="M692" s="337"/>
      <c r="N692" s="337"/>
      <c r="O692" s="337"/>
      <c r="P692" s="337"/>
      <c r="Q692" s="337"/>
      <c r="R692" s="337"/>
      <c r="S692" s="337"/>
      <c r="T692" s="395"/>
      <c r="U692" s="396"/>
      <c r="V692" s="396"/>
      <c r="W692" s="397" t="str">
        <f>IF(OR(AND(T686="X",LEN(T691)&gt;0),AND(J686="",LEN(T691)&gt;0)),"Si vous n'avez pas répondu oui à la question 63, ne répondez pas à celle-ci.",CONCATENATE(IF(AND($J$686="X",ISBLANK($T$691)),"Vous avez affirmé que vous saviez si des drains souterrains sont présents (question 63), donc répondez à cette question.",""),IF($T$691&gt;100," La valeur renseignée ne peut pas être supérieure à 100%.","")))</f>
        <v/>
      </c>
      <c r="X692" s="425"/>
      <c r="Y692" s="425"/>
      <c r="Z692" s="425"/>
      <c r="AA692" s="425"/>
    </row>
    <row r="693" spans="1:27" ht="18" customHeight="1" x14ac:dyDescent="0.2">
      <c r="A693" s="337"/>
      <c r="B693" s="337"/>
      <c r="C693" s="345"/>
      <c r="D693" s="337"/>
      <c r="E693" s="337"/>
      <c r="F693" s="337"/>
      <c r="G693" s="337"/>
      <c r="H693" s="337"/>
      <c r="I693" s="337"/>
      <c r="J693" s="337"/>
      <c r="K693" s="337"/>
      <c r="L693" s="337"/>
      <c r="M693" s="337"/>
      <c r="N693" s="337"/>
      <c r="O693" s="337"/>
      <c r="P693" s="337"/>
      <c r="Q693" s="337"/>
      <c r="R693" s="337"/>
      <c r="S693" s="337"/>
      <c r="T693" s="425"/>
      <c r="U693" s="425"/>
      <c r="V693" s="425"/>
      <c r="W693" s="425"/>
      <c r="X693" s="425"/>
      <c r="Y693" s="425"/>
      <c r="Z693" s="425"/>
      <c r="AA693" s="425"/>
    </row>
    <row r="694" spans="1:27" ht="18" customHeight="1" x14ac:dyDescent="0.2">
      <c r="A694" s="337"/>
      <c r="B694" s="337"/>
      <c r="C694" s="592" t="s">
        <v>329</v>
      </c>
      <c r="D694" s="592"/>
      <c r="E694" s="592"/>
      <c r="F694" s="592"/>
      <c r="G694" s="592"/>
      <c r="H694" s="592"/>
      <c r="I694" s="592"/>
      <c r="J694" s="592"/>
      <c r="K694" s="592"/>
      <c r="L694" s="592"/>
      <c r="M694" s="592"/>
      <c r="N694" s="592"/>
      <c r="O694" s="592"/>
      <c r="P694" s="592"/>
      <c r="Q694" s="592"/>
      <c r="R694" s="592"/>
      <c r="S694" s="592"/>
      <c r="T694" s="592"/>
      <c r="U694" s="592"/>
      <c r="V694" s="592"/>
      <c r="W694" s="592"/>
      <c r="X694" s="592"/>
      <c r="Y694" s="592"/>
    </row>
    <row r="695" spans="1:27" ht="18" customHeight="1" thickBot="1" x14ac:dyDescent="0.25">
      <c r="A695" s="337"/>
      <c r="B695" s="337"/>
      <c r="C695" s="354" t="s">
        <v>234</v>
      </c>
      <c r="D695" s="354"/>
      <c r="E695" s="337"/>
      <c r="H695" s="368"/>
      <c r="I695" s="353" t="s">
        <v>28</v>
      </c>
      <c r="J695" s="588"/>
      <c r="K695" s="588"/>
      <c r="P695" s="339"/>
      <c r="Q695" s="368"/>
      <c r="R695" s="368"/>
      <c r="S695" s="369" t="s">
        <v>29</v>
      </c>
      <c r="T695" s="588"/>
      <c r="U695" s="588"/>
      <c r="V695" s="588"/>
      <c r="W695" s="588"/>
    </row>
    <row r="696" spans="1:27" ht="18" customHeight="1" thickBot="1" x14ac:dyDescent="0.25">
      <c r="A696" s="337"/>
      <c r="B696" s="337"/>
      <c r="C696" s="345"/>
      <c r="D696" s="337"/>
      <c r="E696" s="337"/>
      <c r="F696" s="337"/>
      <c r="G696" s="337"/>
      <c r="H696" s="337"/>
      <c r="I696" s="337"/>
      <c r="J696" s="337"/>
      <c r="K696" s="337"/>
      <c r="L696" s="337"/>
      <c r="M696" s="337"/>
      <c r="N696" s="337"/>
      <c r="O696" s="337"/>
      <c r="T696" s="395"/>
      <c r="U696" s="396"/>
      <c r="V696" s="396"/>
      <c r="W696" s="397" t="str">
        <f>CONCATENATE(IF(AND($J$686="X",AND($J$695&lt;&gt;"X",$T$695&lt;&gt;"X")),"Vous avez affirmé que vous saviez si des drains souterrains sont présents (question 63), donc répondez à cette question.",""),IF(AND(COUNTA($J$695,$T$695)&gt;1)," Une seule réponse est possible.",""),IF(AND($T$686="X",COUNTA($J$695,$T$695)&gt;0),"Vous avez affirmé que vous ne saviez pas si des drains souterrains sont présents (question 63), donc ne répondez pas à cette question.",""))</f>
        <v/>
      </c>
    </row>
    <row r="697" spans="1:27" ht="18" customHeight="1" x14ac:dyDescent="0.2">
      <c r="A697" s="337"/>
      <c r="B697" s="337"/>
      <c r="C697" s="345"/>
      <c r="D697" s="337"/>
      <c r="E697" s="337"/>
      <c r="F697" s="337"/>
      <c r="G697" s="337"/>
      <c r="H697" s="337"/>
      <c r="I697" s="337"/>
      <c r="J697" s="337"/>
      <c r="K697" s="337"/>
      <c r="L697" s="337"/>
      <c r="M697" s="337"/>
      <c r="N697" s="337"/>
      <c r="O697" s="337"/>
    </row>
    <row r="698" spans="1:27" ht="18" customHeight="1" x14ac:dyDescent="0.2">
      <c r="A698" s="337"/>
      <c r="B698" s="337"/>
      <c r="C698" s="581" t="s">
        <v>330</v>
      </c>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row>
    <row r="699" spans="1:27" ht="18" customHeight="1" thickBot="1" x14ac:dyDescent="0.25">
      <c r="A699" s="337"/>
      <c r="B699" s="337"/>
      <c r="C699" s="337"/>
      <c r="D699" s="337"/>
      <c r="E699" s="337"/>
      <c r="F699" s="337"/>
      <c r="G699" s="337"/>
      <c r="H699" s="337"/>
      <c r="I699" s="337"/>
      <c r="J699" s="337"/>
      <c r="K699" s="469"/>
      <c r="L699" s="337"/>
      <c r="M699" s="337"/>
      <c r="N699" s="337"/>
      <c r="O699" s="337"/>
      <c r="S699" s="369" t="s">
        <v>271</v>
      </c>
      <c r="T699" s="590"/>
      <c r="U699" s="590"/>
      <c r="V699" s="590"/>
      <c r="W699" s="590"/>
      <c r="X699" s="591" t="s">
        <v>118</v>
      </c>
      <c r="Y699" s="591"/>
    </row>
    <row r="700" spans="1:27" ht="18" customHeight="1" thickBot="1" x14ac:dyDescent="0.25">
      <c r="A700" s="337"/>
      <c r="B700" s="337"/>
      <c r="C700" s="345"/>
      <c r="D700" s="337"/>
      <c r="E700" s="337"/>
      <c r="F700" s="337"/>
      <c r="G700" s="337"/>
      <c r="H700" s="337"/>
      <c r="I700" s="337"/>
      <c r="J700" s="337"/>
      <c r="K700" s="337"/>
      <c r="L700" s="337"/>
      <c r="M700" s="337"/>
      <c r="N700" s="337"/>
      <c r="O700" s="337"/>
      <c r="T700" s="395"/>
      <c r="U700" s="396"/>
      <c r="V700" s="396"/>
      <c r="W700" s="397" t="str">
        <f>IF($T$699&gt;100,"La réponse donnée ne peut pas être supérieure à 100%.","")</f>
        <v/>
      </c>
    </row>
    <row r="701" spans="1:27" ht="18" customHeight="1" x14ac:dyDescent="0.2">
      <c r="A701" s="337"/>
      <c r="B701" s="337"/>
      <c r="C701" s="345"/>
      <c r="D701" s="337"/>
      <c r="E701" s="337"/>
      <c r="F701" s="337"/>
      <c r="G701" s="337"/>
      <c r="H701" s="337"/>
      <c r="I701" s="337"/>
      <c r="J701" s="337"/>
      <c r="K701" s="337"/>
      <c r="L701" s="337"/>
      <c r="M701" s="337"/>
      <c r="N701" s="337"/>
      <c r="O701" s="337"/>
    </row>
    <row r="702" spans="1:27" ht="18" customHeight="1" x14ac:dyDescent="0.2">
      <c r="A702" s="337"/>
      <c r="B702" s="337"/>
      <c r="C702" s="581" t="s">
        <v>331</v>
      </c>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row>
    <row r="703" spans="1:27" ht="18" customHeight="1" thickBot="1" x14ac:dyDescent="0.25">
      <c r="A703" s="337"/>
      <c r="B703" s="337"/>
      <c r="C703" s="354" t="s">
        <v>234</v>
      </c>
      <c r="D703" s="354"/>
      <c r="E703" s="337"/>
      <c r="H703" s="368"/>
      <c r="I703" s="353" t="s">
        <v>28</v>
      </c>
      <c r="J703" s="588"/>
      <c r="K703" s="588"/>
      <c r="P703" s="339"/>
      <c r="Q703" s="368"/>
      <c r="R703" s="368"/>
      <c r="S703" s="369" t="s">
        <v>29</v>
      </c>
      <c r="T703" s="588"/>
      <c r="U703" s="588"/>
      <c r="V703" s="588"/>
      <c r="W703" s="588"/>
    </row>
    <row r="704" spans="1:27" ht="18" customHeight="1" thickBot="1" x14ac:dyDescent="0.25">
      <c r="A704" s="337"/>
      <c r="B704" s="337"/>
      <c r="C704" s="345"/>
      <c r="D704" s="337"/>
      <c r="E704" s="337"/>
      <c r="F704" s="337"/>
      <c r="G704" s="337"/>
      <c r="H704" s="337"/>
      <c r="I704" s="337"/>
      <c r="J704" s="337"/>
      <c r="K704" s="337"/>
      <c r="L704" s="337"/>
      <c r="M704" s="337"/>
      <c r="N704" s="337"/>
      <c r="O704" s="337"/>
      <c r="T704" s="395"/>
      <c r="U704" s="396"/>
      <c r="V704" s="396"/>
      <c r="W704" s="397" t="str">
        <f>IF(COUNTA($J$703,$T$703)&gt;1,"Une seule réponse est possible.","")</f>
        <v/>
      </c>
    </row>
    <row r="705" spans="1:25" ht="18" customHeight="1" x14ac:dyDescent="0.2">
      <c r="A705" s="337"/>
      <c r="B705" s="337"/>
      <c r="C705" s="345"/>
      <c r="D705" s="337"/>
      <c r="E705" s="337"/>
      <c r="F705" s="337"/>
      <c r="G705" s="337"/>
      <c r="H705" s="337"/>
      <c r="I705" s="337"/>
      <c r="J705" s="337"/>
      <c r="K705" s="337"/>
      <c r="L705" s="337"/>
      <c r="M705" s="337"/>
      <c r="N705" s="337"/>
      <c r="O705" s="337"/>
    </row>
    <row r="706" spans="1:25" ht="33.75" customHeight="1" x14ac:dyDescent="0.2">
      <c r="A706" s="337"/>
      <c r="B706" s="337"/>
      <c r="C706" s="341" t="s">
        <v>392</v>
      </c>
      <c r="D706" s="805" t="s">
        <v>406</v>
      </c>
      <c r="E706" s="805"/>
      <c r="F706" s="805"/>
      <c r="G706" s="805"/>
      <c r="H706" s="805"/>
      <c r="I706" s="805"/>
      <c r="J706" s="805"/>
      <c r="K706" s="805"/>
      <c r="L706" s="805"/>
      <c r="M706" s="805"/>
      <c r="N706" s="805"/>
      <c r="O706" s="805"/>
      <c r="P706" s="805"/>
      <c r="Q706" s="805"/>
      <c r="R706" s="805"/>
      <c r="S706" s="805"/>
      <c r="T706" s="805"/>
      <c r="U706" s="805"/>
      <c r="V706" s="805"/>
      <c r="W706" s="805"/>
      <c r="X706" s="805"/>
      <c r="Y706" s="805"/>
    </row>
    <row r="707" spans="1:25" ht="18" customHeight="1" x14ac:dyDescent="0.2">
      <c r="A707" s="337"/>
      <c r="B707" s="337"/>
      <c r="C707" s="470"/>
      <c r="D707" s="470"/>
      <c r="E707" s="470"/>
      <c r="F707" s="470"/>
      <c r="G707" s="470"/>
      <c r="H707" s="470"/>
      <c r="I707" s="470"/>
      <c r="J707" s="470"/>
      <c r="K707" s="470"/>
      <c r="L707" s="470"/>
      <c r="M707" s="470"/>
      <c r="N707" s="470"/>
      <c r="O707" s="470"/>
      <c r="P707" s="470"/>
      <c r="Q707" s="470"/>
      <c r="R707" s="470"/>
      <c r="S707" s="470"/>
      <c r="T707" s="470"/>
      <c r="U707" s="470"/>
      <c r="V707" s="470"/>
      <c r="W707" s="470"/>
      <c r="X707" s="470"/>
      <c r="Y707" s="470"/>
    </row>
    <row r="708" spans="1:25" ht="23.1" customHeight="1" thickBot="1" x14ac:dyDescent="0.25">
      <c r="A708" s="337"/>
      <c r="B708" s="337"/>
      <c r="C708" s="589" t="s">
        <v>117</v>
      </c>
      <c r="D708" s="589"/>
      <c r="E708" s="589"/>
      <c r="F708" s="589"/>
      <c r="G708" s="589"/>
      <c r="H708" s="589"/>
      <c r="I708" s="589"/>
      <c r="J708" s="589"/>
      <c r="K708" s="589"/>
      <c r="L708" s="589"/>
      <c r="M708" s="589"/>
      <c r="N708" s="589"/>
      <c r="O708" s="589"/>
      <c r="P708" s="589"/>
      <c r="Q708" s="589"/>
      <c r="R708" s="589"/>
      <c r="S708" s="589"/>
      <c r="T708" s="589"/>
      <c r="U708" s="589"/>
      <c r="V708" s="589"/>
      <c r="W708" s="589"/>
      <c r="X708" s="589"/>
      <c r="Y708" s="589"/>
    </row>
    <row r="709" spans="1:25" ht="18" customHeight="1" thickBot="1" x14ac:dyDescent="0.25">
      <c r="A709" s="337"/>
      <c r="B709" s="337"/>
      <c r="C709" s="345"/>
      <c r="D709" s="471"/>
      <c r="E709" s="471"/>
      <c r="F709" s="471"/>
      <c r="G709" s="471"/>
      <c r="H709" s="471"/>
      <c r="I709" s="471"/>
      <c r="J709" s="471"/>
      <c r="K709" s="471"/>
      <c r="L709" s="471"/>
      <c r="M709" s="471"/>
      <c r="N709" s="471"/>
      <c r="O709" s="471"/>
      <c r="P709" s="471"/>
      <c r="Q709" s="471"/>
      <c r="R709" s="471"/>
      <c r="S709" s="471"/>
      <c r="T709" s="395"/>
      <c r="U709" s="396"/>
      <c r="V709" s="396"/>
      <c r="W709" s="397" t="str">
        <f>IF(AND($J$121&lt;&gt;"X",COUNTA($J$711,$T$711,$J$715:$K$718,$T$715:$W$717,$T$722,$T$726,$T$732:$W$739)&gt;0),"Le site n'est pas dans un système alluvial, donc ne répondez pas à ces questions.","")</f>
        <v/>
      </c>
      <c r="X709" s="471"/>
      <c r="Y709" s="471"/>
    </row>
    <row r="710" spans="1:25" ht="18" customHeight="1" x14ac:dyDescent="0.2">
      <c r="A710" s="337"/>
      <c r="B710" s="337"/>
      <c r="C710" s="581" t="s">
        <v>332</v>
      </c>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row>
    <row r="711" spans="1:25" ht="18" customHeight="1" thickBot="1" x14ac:dyDescent="0.25">
      <c r="A711" s="337"/>
      <c r="B711" s="337"/>
      <c r="C711" s="354" t="s">
        <v>234</v>
      </c>
      <c r="D711" s="354"/>
      <c r="E711" s="337"/>
      <c r="H711" s="368"/>
      <c r="I711" s="353" t="s">
        <v>28</v>
      </c>
      <c r="J711" s="588"/>
      <c r="K711" s="588"/>
      <c r="P711" s="339"/>
      <c r="Q711" s="368"/>
      <c r="R711" s="368"/>
      <c r="S711" s="369" t="s">
        <v>29</v>
      </c>
      <c r="T711" s="588"/>
      <c r="U711" s="588"/>
      <c r="V711" s="588"/>
      <c r="W711" s="588"/>
    </row>
    <row r="712" spans="1:25" ht="18" customHeight="1" thickBot="1" x14ac:dyDescent="0.25">
      <c r="A712" s="337"/>
      <c r="B712" s="337"/>
      <c r="C712" s="345"/>
      <c r="D712" s="337"/>
      <c r="E712" s="337"/>
      <c r="F712" s="337"/>
      <c r="G712" s="337"/>
      <c r="H712" s="337"/>
      <c r="I712" s="337"/>
      <c r="J712" s="337"/>
      <c r="K712" s="337"/>
      <c r="L712" s="337"/>
      <c r="M712" s="337"/>
      <c r="N712" s="337"/>
      <c r="O712" s="337"/>
      <c r="T712" s="395"/>
      <c r="U712" s="396"/>
      <c r="V712" s="396"/>
      <c r="W712" s="397" t="str">
        <f>CONCATENATE(IF(COUNTA($J$711,$T$711)&gt;1,"Une seule réponse est possible.",""),IF(AND($J$121="x",AND($J$711&lt;&gt;"X",$T$711&lt;&gt;"X")),"Votre site est alluvial, donnez une réponse à cette question.",""))</f>
        <v/>
      </c>
    </row>
    <row r="713" spans="1:25" ht="18" customHeight="1" x14ac:dyDescent="0.2">
      <c r="A713" s="337"/>
      <c r="B713" s="337"/>
      <c r="C713" s="345"/>
      <c r="D713" s="337"/>
      <c r="E713" s="337"/>
      <c r="F713" s="337"/>
      <c r="G713" s="337"/>
      <c r="H713" s="337"/>
      <c r="I713" s="337"/>
      <c r="J713" s="337"/>
      <c r="K713" s="337"/>
      <c r="L713" s="337"/>
      <c r="M713" s="337"/>
      <c r="N713" s="337"/>
      <c r="O713" s="337"/>
    </row>
    <row r="714" spans="1:25" ht="18" customHeight="1" x14ac:dyDescent="0.2">
      <c r="A714" s="337"/>
      <c r="B714" s="337"/>
      <c r="C714" s="581" t="s">
        <v>333</v>
      </c>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row>
    <row r="715" spans="1:25" s="369" customFormat="1" ht="18" customHeight="1" x14ac:dyDescent="0.2">
      <c r="A715" s="353"/>
      <c r="B715" s="353"/>
      <c r="C715" s="472" t="s">
        <v>234</v>
      </c>
      <c r="D715" s="473"/>
      <c r="E715" s="353"/>
      <c r="I715" s="353" t="s">
        <v>13</v>
      </c>
      <c r="J715" s="588"/>
      <c r="K715" s="588"/>
      <c r="S715" s="353" t="s">
        <v>18</v>
      </c>
      <c r="T715" s="588"/>
      <c r="U715" s="588"/>
      <c r="V715" s="588"/>
      <c r="W715" s="588"/>
    </row>
    <row r="716" spans="1:25" s="369" customFormat="1" ht="18" customHeight="1" x14ac:dyDescent="0.2">
      <c r="A716" s="353"/>
      <c r="B716" s="353"/>
      <c r="C716" s="473"/>
      <c r="D716" s="473"/>
      <c r="E716" s="353"/>
      <c r="F716" s="353"/>
      <c r="G716" s="353"/>
      <c r="H716" s="353"/>
      <c r="I716" s="353" t="s">
        <v>19</v>
      </c>
      <c r="J716" s="588"/>
      <c r="K716" s="588"/>
      <c r="S716" s="353" t="s">
        <v>20</v>
      </c>
      <c r="T716" s="588"/>
      <c r="U716" s="588"/>
      <c r="V716" s="588"/>
      <c r="W716" s="588"/>
    </row>
    <row r="717" spans="1:25" s="369" customFormat="1" ht="18" customHeight="1" x14ac:dyDescent="0.2">
      <c r="A717" s="353"/>
      <c r="B717" s="353"/>
      <c r="C717" s="353"/>
      <c r="D717" s="353"/>
      <c r="E717" s="353"/>
      <c r="F717" s="353"/>
      <c r="G717" s="353"/>
      <c r="H717" s="353"/>
      <c r="I717" s="353" t="s">
        <v>14</v>
      </c>
      <c r="J717" s="588"/>
      <c r="K717" s="588"/>
      <c r="S717" s="353" t="s">
        <v>16</v>
      </c>
      <c r="T717" s="588"/>
      <c r="U717" s="588"/>
      <c r="V717" s="588"/>
      <c r="W717" s="588"/>
    </row>
    <row r="718" spans="1:25" s="369" customFormat="1" ht="18" customHeight="1" thickBot="1" x14ac:dyDescent="0.25">
      <c r="A718" s="353"/>
      <c r="B718" s="353"/>
      <c r="C718" s="353"/>
      <c r="D718" s="353"/>
      <c r="E718" s="353"/>
      <c r="F718" s="353"/>
      <c r="G718" s="353"/>
      <c r="H718" s="353"/>
      <c r="I718" s="353" t="s">
        <v>15</v>
      </c>
      <c r="J718" s="588"/>
      <c r="K718" s="588"/>
      <c r="S718" s="353"/>
    </row>
    <row r="719" spans="1:25" s="347" customFormat="1" ht="18" customHeight="1" thickBot="1" x14ac:dyDescent="0.25">
      <c r="C719" s="345"/>
      <c r="E719" s="352"/>
      <c r="F719" s="352"/>
      <c r="G719" s="370"/>
      <c r="H719" s="370"/>
      <c r="J719" s="352"/>
      <c r="K719" s="370"/>
      <c r="M719" s="352"/>
      <c r="N719" s="370"/>
      <c r="P719" s="418"/>
      <c r="R719" s="349"/>
      <c r="S719" s="349"/>
      <c r="T719" s="395"/>
      <c r="U719" s="396"/>
      <c r="V719" s="396"/>
      <c r="W719" s="397" t="str">
        <f>CONCATENATE(IF(COUNTA($J$715:$K$718,$T$715:$W$717)&gt;1,"Une seule réponse est possible.",""),IF(AND($J$121="x",AND($J$715&lt;&gt;"X",$J$716&lt;&gt;"X",$J$717&lt;&gt;"x",$J$718&lt;&gt;"x",$T$715&lt;&gt;"x",$T$716&lt;&gt;"x",$T$717&lt;&gt;"x")),"Votre site est alluvial, donnez une réponse à cette question.",""))</f>
        <v/>
      </c>
    </row>
    <row r="720" spans="1:25" s="347" customFormat="1" ht="18" customHeight="1" x14ac:dyDescent="0.2">
      <c r="C720" s="345"/>
      <c r="E720" s="352"/>
      <c r="F720" s="352"/>
      <c r="G720" s="370"/>
      <c r="H720" s="370"/>
      <c r="J720" s="352"/>
      <c r="K720" s="370"/>
      <c r="M720" s="352"/>
      <c r="N720" s="370"/>
      <c r="P720" s="418"/>
      <c r="R720" s="349"/>
      <c r="S720" s="349"/>
    </row>
    <row r="721" spans="1:25" ht="18" customHeight="1" x14ac:dyDescent="0.2">
      <c r="A721" s="337"/>
      <c r="B721" s="337"/>
      <c r="C721" s="581" t="s">
        <v>334</v>
      </c>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row>
    <row r="722" spans="1:25" ht="18" customHeight="1" thickBot="1" x14ac:dyDescent="0.25">
      <c r="A722" s="337"/>
      <c r="B722" s="337"/>
      <c r="C722" s="354" t="s">
        <v>234</v>
      </c>
      <c r="D722" s="354"/>
      <c r="E722" s="337"/>
      <c r="H722" s="368"/>
      <c r="I722" s="353" t="s">
        <v>28</v>
      </c>
      <c r="J722" s="588"/>
      <c r="K722" s="588"/>
      <c r="P722" s="339"/>
      <c r="Q722" s="368"/>
      <c r="R722" s="368"/>
      <c r="S722" s="369" t="s">
        <v>29</v>
      </c>
      <c r="T722" s="588"/>
      <c r="U722" s="588"/>
      <c r="V722" s="588"/>
      <c r="W722" s="588"/>
    </row>
    <row r="723" spans="1:25" s="347" customFormat="1" ht="18" customHeight="1" thickBot="1" x14ac:dyDescent="0.25">
      <c r="C723" s="345"/>
      <c r="D723" s="360"/>
      <c r="E723" s="352"/>
      <c r="F723" s="352"/>
      <c r="G723" s="349"/>
      <c r="H723" s="349"/>
      <c r="I723" s="349"/>
      <c r="J723" s="349"/>
      <c r="K723" s="352"/>
      <c r="L723" s="349"/>
      <c r="P723" s="418"/>
      <c r="T723" s="395"/>
      <c r="U723" s="396"/>
      <c r="V723" s="396"/>
      <c r="W723" s="397" t="str">
        <f>CONCATENATE(IF(COUNTA($J$722,$T$722)&gt;1,"Une seule réponse est possible.",""),IF(AND($J$121="x",AND($J$722&lt;&gt;"X",$T$722&lt;&gt;"X")),"Votre site est alluvial, donnez une réponse à cette question.",""))</f>
        <v/>
      </c>
    </row>
    <row r="724" spans="1:25" s="347" customFormat="1" ht="18" customHeight="1" x14ac:dyDescent="0.2">
      <c r="C724" s="345"/>
      <c r="D724" s="360"/>
      <c r="E724" s="352"/>
      <c r="F724" s="352"/>
      <c r="G724" s="349"/>
      <c r="H724" s="349"/>
      <c r="I724" s="349"/>
      <c r="J724" s="349"/>
      <c r="K724" s="352"/>
      <c r="L724" s="349"/>
      <c r="P724" s="418"/>
    </row>
    <row r="725" spans="1:25" ht="18" customHeight="1" x14ac:dyDescent="0.2">
      <c r="A725" s="337"/>
      <c r="B725" s="337"/>
      <c r="C725" s="581" t="s">
        <v>335</v>
      </c>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row>
    <row r="726" spans="1:25" ht="18" customHeight="1" thickBot="1" x14ac:dyDescent="0.25">
      <c r="A726" s="337"/>
      <c r="B726" s="337"/>
      <c r="C726" s="337"/>
      <c r="D726" s="337"/>
      <c r="E726" s="337"/>
      <c r="F726" s="337"/>
      <c r="G726" s="337"/>
      <c r="H726" s="337"/>
      <c r="I726" s="337"/>
      <c r="J726" s="337"/>
      <c r="K726" s="337"/>
      <c r="L726" s="337"/>
      <c r="M726" s="394"/>
      <c r="N726" s="337"/>
      <c r="O726" s="337"/>
      <c r="S726" s="369" t="s">
        <v>119</v>
      </c>
      <c r="T726" s="578"/>
      <c r="U726" s="578"/>
      <c r="V726" s="578"/>
      <c r="W726" s="578"/>
      <c r="X726" s="582" t="s">
        <v>112</v>
      </c>
      <c r="Y726" s="582"/>
    </row>
    <row r="727" spans="1:25" ht="18" customHeight="1" thickBot="1" x14ac:dyDescent="0.25">
      <c r="A727" s="337"/>
      <c r="B727" s="337"/>
      <c r="C727" s="345"/>
      <c r="D727" s="337"/>
      <c r="E727" s="337"/>
      <c r="F727" s="337"/>
      <c r="G727" s="337"/>
      <c r="H727" s="337"/>
      <c r="I727" s="337"/>
      <c r="J727" s="337"/>
      <c r="K727" s="337"/>
      <c r="L727" s="337"/>
      <c r="M727" s="337"/>
      <c r="N727" s="337"/>
      <c r="O727" s="337"/>
      <c r="T727" s="395"/>
      <c r="U727" s="396"/>
      <c r="V727" s="396"/>
      <c r="W727" s="397" t="str">
        <f>IF(AND($J$121="x",AND($T$726="")),"Votre site est alluvial, donnez une réponse à cette question.","")</f>
        <v/>
      </c>
    </row>
    <row r="728" spans="1:25" ht="18" customHeight="1" x14ac:dyDescent="0.2">
      <c r="A728" s="337"/>
      <c r="B728" s="337"/>
      <c r="C728" s="345"/>
      <c r="D728" s="337"/>
      <c r="E728" s="337"/>
      <c r="F728" s="337"/>
      <c r="G728" s="337"/>
      <c r="H728" s="337"/>
      <c r="I728" s="337"/>
      <c r="J728" s="337"/>
      <c r="K728" s="337"/>
      <c r="L728" s="337"/>
      <c r="M728" s="337"/>
      <c r="N728" s="337"/>
      <c r="O728" s="337"/>
    </row>
    <row r="729" spans="1:25" ht="23.1" customHeight="1" x14ac:dyDescent="0.2">
      <c r="A729" s="337"/>
      <c r="B729" s="337"/>
      <c r="C729" s="583" t="s">
        <v>336</v>
      </c>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row>
    <row r="730" spans="1:25" ht="23.1" customHeight="1" x14ac:dyDescent="0.2">
      <c r="A730" s="337"/>
      <c r="B730" s="337"/>
      <c r="C730" s="583"/>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row>
    <row r="731" spans="1:25" ht="36" customHeight="1" x14ac:dyDescent="0.2">
      <c r="A731" s="337"/>
      <c r="B731" s="337"/>
      <c r="C731" s="584" t="s">
        <v>84</v>
      </c>
      <c r="D731" s="584"/>
      <c r="E731" s="584"/>
      <c r="F731" s="584"/>
      <c r="G731" s="584"/>
      <c r="H731" s="584"/>
      <c r="I731" s="584"/>
      <c r="J731" s="584"/>
      <c r="K731" s="584"/>
      <c r="L731" s="584"/>
      <c r="M731" s="584"/>
      <c r="N731" s="584"/>
      <c r="O731" s="584"/>
      <c r="P731" s="584"/>
      <c r="Q731" s="584"/>
      <c r="R731" s="584"/>
      <c r="S731" s="584"/>
      <c r="T731" s="585" t="s">
        <v>110</v>
      </c>
      <c r="U731" s="586"/>
      <c r="V731" s="586"/>
      <c r="W731" s="586"/>
      <c r="X731" s="586"/>
      <c r="Y731" s="587"/>
    </row>
    <row r="732" spans="1:25" ht="18" customHeight="1" x14ac:dyDescent="0.2">
      <c r="A732" s="337"/>
      <c r="B732" s="337"/>
      <c r="C732" s="577" t="s">
        <v>337</v>
      </c>
      <c r="D732" s="577"/>
      <c r="E732" s="577"/>
      <c r="F732" s="577"/>
      <c r="G732" s="577"/>
      <c r="H732" s="577"/>
      <c r="I732" s="577"/>
      <c r="J732" s="577"/>
      <c r="K732" s="577"/>
      <c r="L732" s="577"/>
      <c r="M732" s="577"/>
      <c r="N732" s="577"/>
      <c r="O732" s="577"/>
      <c r="P732" s="577"/>
      <c r="Q732" s="577"/>
      <c r="R732" s="577"/>
      <c r="S732" s="577"/>
      <c r="T732" s="578"/>
      <c r="U732" s="578"/>
      <c r="V732" s="578"/>
      <c r="W732" s="578"/>
      <c r="X732" s="579" t="s">
        <v>82</v>
      </c>
      <c r="Y732" s="579"/>
    </row>
    <row r="733" spans="1:25" ht="18" customHeight="1" x14ac:dyDescent="0.2">
      <c r="A733" s="337"/>
      <c r="B733" s="337"/>
      <c r="C733" s="577"/>
      <c r="D733" s="577"/>
      <c r="E733" s="577"/>
      <c r="F733" s="577"/>
      <c r="G733" s="577"/>
      <c r="H733" s="577"/>
      <c r="I733" s="577"/>
      <c r="J733" s="577"/>
      <c r="K733" s="577"/>
      <c r="L733" s="577"/>
      <c r="M733" s="577"/>
      <c r="N733" s="577"/>
      <c r="O733" s="577"/>
      <c r="P733" s="577"/>
      <c r="Q733" s="577"/>
      <c r="R733" s="577"/>
      <c r="S733" s="577"/>
      <c r="T733" s="578"/>
      <c r="U733" s="578"/>
      <c r="V733" s="578"/>
      <c r="W733" s="578"/>
      <c r="X733" s="579"/>
      <c r="Y733" s="579"/>
    </row>
    <row r="734" spans="1:25" ht="18" customHeight="1" x14ac:dyDescent="0.2">
      <c r="A734" s="337"/>
      <c r="B734" s="337"/>
      <c r="C734" s="577" t="s">
        <v>480</v>
      </c>
      <c r="D734" s="577"/>
      <c r="E734" s="577"/>
      <c r="F734" s="577"/>
      <c r="G734" s="577"/>
      <c r="H734" s="577"/>
      <c r="I734" s="577"/>
      <c r="J734" s="577"/>
      <c r="K734" s="577"/>
      <c r="L734" s="577"/>
      <c r="M734" s="577"/>
      <c r="N734" s="577"/>
      <c r="O734" s="577"/>
      <c r="P734" s="577"/>
      <c r="Q734" s="577"/>
      <c r="R734" s="577"/>
      <c r="S734" s="577"/>
      <c r="T734" s="578"/>
      <c r="U734" s="578"/>
      <c r="V734" s="578"/>
      <c r="W734" s="578"/>
      <c r="X734" s="580" t="s">
        <v>82</v>
      </c>
      <c r="Y734" s="580"/>
    </row>
    <row r="735" spans="1:25" ht="18" customHeight="1" x14ac:dyDescent="0.2">
      <c r="A735" s="337"/>
      <c r="B735" s="337"/>
      <c r="C735" s="577"/>
      <c r="D735" s="577"/>
      <c r="E735" s="577"/>
      <c r="F735" s="577"/>
      <c r="G735" s="577"/>
      <c r="H735" s="577"/>
      <c r="I735" s="577"/>
      <c r="J735" s="577"/>
      <c r="K735" s="577"/>
      <c r="L735" s="577"/>
      <c r="M735" s="577"/>
      <c r="N735" s="577"/>
      <c r="O735" s="577"/>
      <c r="P735" s="577"/>
      <c r="Q735" s="577"/>
      <c r="R735" s="577"/>
      <c r="S735" s="577"/>
      <c r="T735" s="578"/>
      <c r="U735" s="578"/>
      <c r="V735" s="578"/>
      <c r="W735" s="578"/>
      <c r="X735" s="580"/>
      <c r="Y735" s="580"/>
    </row>
    <row r="736" spans="1:25" ht="18" customHeight="1" x14ac:dyDescent="0.2">
      <c r="A736" s="337"/>
      <c r="B736" s="337"/>
      <c r="C736" s="561" t="s">
        <v>83</v>
      </c>
      <c r="D736" s="562"/>
      <c r="E736" s="562"/>
      <c r="F736" s="562"/>
      <c r="G736" s="562"/>
      <c r="H736" s="562"/>
      <c r="I736" s="562"/>
      <c r="J736" s="562"/>
      <c r="K736" s="562"/>
      <c r="L736" s="562"/>
      <c r="M736" s="562"/>
      <c r="N736" s="562"/>
      <c r="O736" s="562"/>
      <c r="P736" s="562"/>
      <c r="Q736" s="562"/>
      <c r="R736" s="562"/>
      <c r="S736" s="563"/>
      <c r="T736" s="567"/>
      <c r="U736" s="568"/>
      <c r="V736" s="568"/>
      <c r="W736" s="569"/>
      <c r="X736" s="573" t="s">
        <v>82</v>
      </c>
      <c r="Y736" s="574"/>
    </row>
    <row r="737" spans="1:28" ht="18" customHeight="1" x14ac:dyDescent="0.2">
      <c r="A737" s="337"/>
      <c r="B737" s="337"/>
      <c r="C737" s="564"/>
      <c r="D737" s="565"/>
      <c r="E737" s="565"/>
      <c r="F737" s="565"/>
      <c r="G737" s="565"/>
      <c r="H737" s="565"/>
      <c r="I737" s="565"/>
      <c r="J737" s="565"/>
      <c r="K737" s="565"/>
      <c r="L737" s="565"/>
      <c r="M737" s="565"/>
      <c r="N737" s="565"/>
      <c r="O737" s="565"/>
      <c r="P737" s="565"/>
      <c r="Q737" s="565"/>
      <c r="R737" s="565"/>
      <c r="S737" s="566"/>
      <c r="T737" s="570"/>
      <c r="U737" s="571"/>
      <c r="V737" s="571"/>
      <c r="W737" s="572"/>
      <c r="X737" s="575"/>
      <c r="Y737" s="576"/>
    </row>
    <row r="738" spans="1:28" ht="18" customHeight="1" x14ac:dyDescent="0.2">
      <c r="A738" s="337"/>
      <c r="B738" s="337"/>
      <c r="C738" s="561" t="s">
        <v>338</v>
      </c>
      <c r="D738" s="562"/>
      <c r="E738" s="562"/>
      <c r="F738" s="562"/>
      <c r="G738" s="562"/>
      <c r="H738" s="562"/>
      <c r="I738" s="562"/>
      <c r="J738" s="562"/>
      <c r="K738" s="562"/>
      <c r="L738" s="562"/>
      <c r="M738" s="562"/>
      <c r="N738" s="562"/>
      <c r="O738" s="562"/>
      <c r="P738" s="562"/>
      <c r="Q738" s="562"/>
      <c r="R738" s="562"/>
      <c r="S738" s="563"/>
      <c r="T738" s="567"/>
      <c r="U738" s="568"/>
      <c r="V738" s="568"/>
      <c r="W738" s="569"/>
      <c r="X738" s="573" t="s">
        <v>82</v>
      </c>
      <c r="Y738" s="574"/>
    </row>
    <row r="739" spans="1:28" ht="18" customHeight="1" thickBot="1" x14ac:dyDescent="0.25">
      <c r="A739" s="337"/>
      <c r="B739" s="337"/>
      <c r="C739" s="564"/>
      <c r="D739" s="565"/>
      <c r="E739" s="565"/>
      <c r="F739" s="565"/>
      <c r="G739" s="565"/>
      <c r="H739" s="565"/>
      <c r="I739" s="565"/>
      <c r="J739" s="565"/>
      <c r="K739" s="565"/>
      <c r="L739" s="565"/>
      <c r="M739" s="565"/>
      <c r="N739" s="565"/>
      <c r="O739" s="565"/>
      <c r="P739" s="565"/>
      <c r="Q739" s="565"/>
      <c r="R739" s="565"/>
      <c r="S739" s="566"/>
      <c r="T739" s="570"/>
      <c r="U739" s="571"/>
      <c r="V739" s="571"/>
      <c r="W739" s="572"/>
      <c r="X739" s="575"/>
      <c r="Y739" s="576"/>
    </row>
    <row r="740" spans="1:28" ht="18" customHeight="1" thickBot="1" x14ac:dyDescent="0.25">
      <c r="A740" s="337"/>
      <c r="B740" s="337"/>
      <c r="C740" s="345"/>
      <c r="D740" s="337"/>
      <c r="G740" s="337"/>
      <c r="H740" s="337"/>
      <c r="I740" s="337"/>
      <c r="J740" s="337"/>
      <c r="K740" s="337"/>
      <c r="L740" s="337"/>
      <c r="M740" s="337"/>
      <c r="N740" s="337"/>
      <c r="O740" s="337"/>
      <c r="T740" s="395"/>
      <c r="U740" s="396"/>
      <c r="V740" s="396"/>
      <c r="W740" s="397" t="str">
        <f>IF(SUM($T$732:$W$739)&lt;&gt;$T$726,"La somme des réponses données à cette question doit correspondre au linéaire total de berges (question 71).","")</f>
        <v/>
      </c>
    </row>
    <row r="741" spans="1:28" ht="18" customHeight="1" x14ac:dyDescent="0.2">
      <c r="A741" s="337"/>
      <c r="B741" s="337"/>
      <c r="C741" s="345"/>
      <c r="D741" s="337"/>
      <c r="G741" s="337"/>
      <c r="H741" s="337"/>
      <c r="I741" s="337"/>
      <c r="J741" s="337"/>
      <c r="K741" s="337"/>
      <c r="L741" s="337"/>
      <c r="M741" s="337"/>
      <c r="N741" s="337"/>
      <c r="O741" s="337"/>
    </row>
    <row r="742" spans="1:28" ht="33.75" customHeight="1" x14ac:dyDescent="0.2">
      <c r="A742" s="337"/>
      <c r="B742" s="337"/>
      <c r="C742" s="341" t="s">
        <v>391</v>
      </c>
      <c r="D742" s="695" t="s">
        <v>411</v>
      </c>
      <c r="E742" s="696"/>
      <c r="F742" s="696"/>
      <c r="G742" s="696"/>
      <c r="H742" s="696"/>
      <c r="I742" s="696"/>
      <c r="J742" s="696"/>
      <c r="K742" s="696"/>
      <c r="L742" s="696"/>
      <c r="M742" s="696"/>
      <c r="N742" s="696"/>
      <c r="O742" s="696"/>
      <c r="P742" s="696"/>
      <c r="Q742" s="696"/>
      <c r="R742" s="696"/>
      <c r="S742" s="696"/>
      <c r="T742" s="696"/>
      <c r="U742" s="696"/>
      <c r="V742" s="696"/>
      <c r="W742" s="696"/>
      <c r="X742" s="696"/>
      <c r="Y742" s="697"/>
    </row>
    <row r="743" spans="1:28" ht="18" customHeight="1" x14ac:dyDescent="0.2">
      <c r="A743" s="337"/>
      <c r="B743" s="337"/>
      <c r="C743" s="517"/>
      <c r="D743" s="517"/>
      <c r="E743" s="517"/>
      <c r="F743" s="517"/>
      <c r="G743" s="517"/>
      <c r="H743" s="517"/>
      <c r="I743" s="517"/>
      <c r="J743" s="517"/>
      <c r="K743" s="517"/>
      <c r="L743" s="517"/>
      <c r="M743" s="517"/>
      <c r="N743" s="517"/>
      <c r="O743" s="517"/>
      <c r="P743" s="517"/>
      <c r="Q743" s="517"/>
      <c r="R743" s="517"/>
      <c r="S743" s="517"/>
      <c r="T743" s="517"/>
      <c r="U743" s="517"/>
      <c r="V743" s="517"/>
      <c r="W743" s="517"/>
      <c r="X743" s="517"/>
      <c r="Y743" s="517"/>
    </row>
    <row r="744" spans="1:28" ht="17.25" customHeight="1" x14ac:dyDescent="0.2">
      <c r="A744" s="337"/>
      <c r="B744" s="337"/>
      <c r="C744" s="581" t="s">
        <v>339</v>
      </c>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row>
    <row r="745" spans="1:28" ht="33.75" customHeight="1" x14ac:dyDescent="0.2">
      <c r="A745" s="542" t="s">
        <v>466</v>
      </c>
      <c r="B745" s="543" t="s">
        <v>483</v>
      </c>
      <c r="C745" s="546" t="s">
        <v>87</v>
      </c>
      <c r="D745" s="546" t="s">
        <v>30</v>
      </c>
      <c r="E745" s="548" t="s">
        <v>31</v>
      </c>
      <c r="F745" s="549"/>
      <c r="G745" s="544" t="s">
        <v>32</v>
      </c>
      <c r="H745" s="552" t="s">
        <v>482</v>
      </c>
      <c r="I745" s="553"/>
      <c r="J745" s="553"/>
      <c r="K745" s="554"/>
      <c r="L745" s="544" t="s">
        <v>488</v>
      </c>
      <c r="M745" s="544" t="s">
        <v>487</v>
      </c>
      <c r="N745" s="743" t="s">
        <v>462</v>
      </c>
      <c r="O745" s="744"/>
      <c r="P745" s="744"/>
      <c r="Q745" s="744"/>
      <c r="R745" s="744"/>
      <c r="S745" s="744"/>
      <c r="T745" s="744"/>
      <c r="U745" s="744"/>
      <c r="V745" s="744"/>
      <c r="W745" s="744"/>
      <c r="X745" s="744"/>
      <c r="Y745" s="745"/>
      <c r="Z745" s="746" t="s">
        <v>216</v>
      </c>
      <c r="AA745" s="749" t="s">
        <v>215</v>
      </c>
      <c r="AB745" s="752" t="s">
        <v>105</v>
      </c>
    </row>
    <row r="746" spans="1:28" ht="54" customHeight="1" x14ac:dyDescent="0.2">
      <c r="A746" s="542"/>
      <c r="B746" s="544"/>
      <c r="C746" s="546"/>
      <c r="D746" s="546"/>
      <c r="E746" s="548"/>
      <c r="F746" s="549"/>
      <c r="G746" s="544"/>
      <c r="H746" s="753" t="s">
        <v>340</v>
      </c>
      <c r="I746" s="754"/>
      <c r="J746" s="754"/>
      <c r="K746" s="755"/>
      <c r="L746" s="544"/>
      <c r="M746" s="544"/>
      <c r="N746" s="756" t="s">
        <v>102</v>
      </c>
      <c r="O746" s="757"/>
      <c r="P746" s="757"/>
      <c r="Q746" s="757"/>
      <c r="R746" s="757"/>
      <c r="S746" s="758"/>
      <c r="T746" s="759" t="s">
        <v>103</v>
      </c>
      <c r="U746" s="757"/>
      <c r="V746" s="757"/>
      <c r="W746" s="757"/>
      <c r="X746" s="757"/>
      <c r="Y746" s="760"/>
      <c r="Z746" s="747"/>
      <c r="AA746" s="750"/>
      <c r="AB746" s="549"/>
    </row>
    <row r="747" spans="1:28" ht="32.25" customHeight="1" x14ac:dyDescent="0.2">
      <c r="A747" s="542"/>
      <c r="B747" s="544"/>
      <c r="C747" s="546"/>
      <c r="D747" s="546"/>
      <c r="E747" s="548"/>
      <c r="F747" s="549"/>
      <c r="G747" s="544"/>
      <c r="H747" s="543" t="s">
        <v>33</v>
      </c>
      <c r="I747" s="543" t="s">
        <v>34</v>
      </c>
      <c r="J747" s="543" t="s">
        <v>35</v>
      </c>
      <c r="K747" s="543" t="s">
        <v>109</v>
      </c>
      <c r="L747" s="544"/>
      <c r="M747" s="544"/>
      <c r="N747" s="555" t="s">
        <v>447</v>
      </c>
      <c r="O747" s="556"/>
      <c r="P747" s="556"/>
      <c r="Q747" s="556"/>
      <c r="R747" s="556"/>
      <c r="S747" s="557"/>
      <c r="T747" s="734" t="s">
        <v>441</v>
      </c>
      <c r="U747" s="735"/>
      <c r="V747" s="735"/>
      <c r="W747" s="735"/>
      <c r="X747" s="735"/>
      <c r="Y747" s="736"/>
      <c r="Z747" s="747"/>
      <c r="AA747" s="750"/>
      <c r="AB747" s="549"/>
    </row>
    <row r="748" spans="1:28" ht="32.25" customHeight="1" x14ac:dyDescent="0.2">
      <c r="A748" s="542"/>
      <c r="B748" s="544"/>
      <c r="C748" s="546"/>
      <c r="D748" s="546"/>
      <c r="E748" s="548"/>
      <c r="F748" s="549"/>
      <c r="G748" s="544"/>
      <c r="H748" s="544"/>
      <c r="I748" s="544"/>
      <c r="J748" s="544"/>
      <c r="K748" s="544"/>
      <c r="L748" s="544"/>
      <c r="M748" s="544"/>
      <c r="N748" s="555" t="s">
        <v>448</v>
      </c>
      <c r="O748" s="556"/>
      <c r="P748" s="556"/>
      <c r="Q748" s="556"/>
      <c r="R748" s="556"/>
      <c r="S748" s="557"/>
      <c r="T748" s="734" t="s">
        <v>442</v>
      </c>
      <c r="U748" s="735"/>
      <c r="V748" s="735"/>
      <c r="W748" s="735"/>
      <c r="X748" s="735"/>
      <c r="Y748" s="736"/>
      <c r="Z748" s="747"/>
      <c r="AA748" s="750"/>
      <c r="AB748" s="549"/>
    </row>
    <row r="749" spans="1:28" ht="32.25" customHeight="1" x14ac:dyDescent="0.2">
      <c r="A749" s="542"/>
      <c r="B749" s="544"/>
      <c r="C749" s="546"/>
      <c r="D749" s="546"/>
      <c r="E749" s="548"/>
      <c r="F749" s="549"/>
      <c r="G749" s="544"/>
      <c r="H749" s="544"/>
      <c r="I749" s="544"/>
      <c r="J749" s="544"/>
      <c r="K749" s="544"/>
      <c r="L749" s="544"/>
      <c r="M749" s="544"/>
      <c r="N749" s="555" t="s">
        <v>449</v>
      </c>
      <c r="O749" s="556"/>
      <c r="P749" s="556"/>
      <c r="Q749" s="556"/>
      <c r="R749" s="556"/>
      <c r="S749" s="557"/>
      <c r="T749" s="734" t="s">
        <v>443</v>
      </c>
      <c r="U749" s="735"/>
      <c r="V749" s="735"/>
      <c r="W749" s="735"/>
      <c r="X749" s="735"/>
      <c r="Y749" s="736"/>
      <c r="Z749" s="747"/>
      <c r="AA749" s="750"/>
      <c r="AB749" s="549"/>
    </row>
    <row r="750" spans="1:28" ht="32.25" customHeight="1" x14ac:dyDescent="0.2">
      <c r="A750" s="542"/>
      <c r="B750" s="544"/>
      <c r="C750" s="546"/>
      <c r="D750" s="546"/>
      <c r="E750" s="548"/>
      <c r="F750" s="549"/>
      <c r="G750" s="544"/>
      <c r="H750" s="544"/>
      <c r="I750" s="544"/>
      <c r="J750" s="544"/>
      <c r="K750" s="544"/>
      <c r="L750" s="544"/>
      <c r="M750" s="544"/>
      <c r="N750" s="555" t="s">
        <v>450</v>
      </c>
      <c r="O750" s="556"/>
      <c r="P750" s="556"/>
      <c r="Q750" s="556"/>
      <c r="R750" s="556"/>
      <c r="S750" s="557"/>
      <c r="T750" s="737" t="s">
        <v>104</v>
      </c>
      <c r="U750" s="738"/>
      <c r="V750" s="738"/>
      <c r="W750" s="738"/>
      <c r="X750" s="738"/>
      <c r="Y750" s="739"/>
      <c r="Z750" s="747"/>
      <c r="AA750" s="750"/>
      <c r="AB750" s="549"/>
    </row>
    <row r="751" spans="1:28" ht="32.25" customHeight="1" x14ac:dyDescent="0.2">
      <c r="A751" s="542"/>
      <c r="B751" s="544"/>
      <c r="C751" s="546"/>
      <c r="D751" s="546"/>
      <c r="E751" s="548"/>
      <c r="F751" s="549"/>
      <c r="G751" s="544"/>
      <c r="H751" s="544"/>
      <c r="I751" s="544"/>
      <c r="J751" s="544"/>
      <c r="K751" s="544"/>
      <c r="L751" s="544"/>
      <c r="M751" s="544"/>
      <c r="N751" s="555" t="s">
        <v>451</v>
      </c>
      <c r="O751" s="556"/>
      <c r="P751" s="556"/>
      <c r="Q751" s="556"/>
      <c r="R751" s="556"/>
      <c r="S751" s="557"/>
      <c r="T751" s="737"/>
      <c r="U751" s="738"/>
      <c r="V751" s="738"/>
      <c r="W751" s="738"/>
      <c r="X751" s="738"/>
      <c r="Y751" s="739"/>
      <c r="Z751" s="747"/>
      <c r="AA751" s="750"/>
      <c r="AB751" s="549"/>
    </row>
    <row r="752" spans="1:28" ht="32.25" customHeight="1" x14ac:dyDescent="0.2">
      <c r="A752" s="542"/>
      <c r="B752" s="544"/>
      <c r="C752" s="546"/>
      <c r="D752" s="546"/>
      <c r="E752" s="548"/>
      <c r="F752" s="549"/>
      <c r="G752" s="544"/>
      <c r="H752" s="544"/>
      <c r="I752" s="544"/>
      <c r="J752" s="544"/>
      <c r="K752" s="544"/>
      <c r="L752" s="544"/>
      <c r="M752" s="544"/>
      <c r="N752" s="555" t="s">
        <v>452</v>
      </c>
      <c r="O752" s="556"/>
      <c r="P752" s="556"/>
      <c r="Q752" s="556"/>
      <c r="R752" s="556"/>
      <c r="S752" s="557"/>
      <c r="T752" s="737"/>
      <c r="U752" s="738"/>
      <c r="V752" s="738"/>
      <c r="W752" s="738"/>
      <c r="X752" s="738"/>
      <c r="Y752" s="739"/>
      <c r="Z752" s="747"/>
      <c r="AA752" s="750"/>
      <c r="AB752" s="549"/>
    </row>
    <row r="753" spans="1:28" ht="32.25" customHeight="1" x14ac:dyDescent="0.2">
      <c r="A753" s="542"/>
      <c r="B753" s="544"/>
      <c r="C753" s="546"/>
      <c r="D753" s="546"/>
      <c r="E753" s="548"/>
      <c r="F753" s="549"/>
      <c r="G753" s="544"/>
      <c r="H753" s="544"/>
      <c r="I753" s="544"/>
      <c r="J753" s="544"/>
      <c r="K753" s="544"/>
      <c r="L753" s="544"/>
      <c r="M753" s="544"/>
      <c r="N753" s="558" t="s">
        <v>453</v>
      </c>
      <c r="O753" s="559"/>
      <c r="P753" s="559"/>
      <c r="Q753" s="559"/>
      <c r="R753" s="559"/>
      <c r="S753" s="560"/>
      <c r="T753" s="740"/>
      <c r="U753" s="741"/>
      <c r="V753" s="741"/>
      <c r="W753" s="741"/>
      <c r="X753" s="741"/>
      <c r="Y753" s="742"/>
      <c r="Z753" s="747"/>
      <c r="AA753" s="750"/>
      <c r="AB753" s="549"/>
    </row>
    <row r="754" spans="1:28" ht="84.75" customHeight="1" x14ac:dyDescent="0.2">
      <c r="A754" s="542"/>
      <c r="B754" s="545"/>
      <c r="C754" s="547"/>
      <c r="D754" s="547"/>
      <c r="E754" s="550"/>
      <c r="F754" s="551"/>
      <c r="G754" s="545"/>
      <c r="H754" s="545"/>
      <c r="I754" s="545"/>
      <c r="J754" s="545"/>
      <c r="K754" s="545"/>
      <c r="L754" s="545"/>
      <c r="M754" s="545"/>
      <c r="N754" s="474" t="s">
        <v>90</v>
      </c>
      <c r="O754" s="474" t="s">
        <v>91</v>
      </c>
      <c r="P754" s="474" t="s">
        <v>92</v>
      </c>
      <c r="Q754" s="474" t="s">
        <v>93</v>
      </c>
      <c r="R754" s="474" t="s">
        <v>94</v>
      </c>
      <c r="S754" s="474" t="s">
        <v>95</v>
      </c>
      <c r="T754" s="474" t="s">
        <v>96</v>
      </c>
      <c r="U754" s="474" t="s">
        <v>97</v>
      </c>
      <c r="V754" s="474" t="s">
        <v>98</v>
      </c>
      <c r="W754" s="474" t="s">
        <v>99</v>
      </c>
      <c r="X754" s="474" t="s">
        <v>100</v>
      </c>
      <c r="Y754" s="474" t="s">
        <v>101</v>
      </c>
      <c r="Z754" s="748"/>
      <c r="AA754" s="751"/>
      <c r="AB754" s="551"/>
    </row>
    <row r="755" spans="1:28" ht="39" customHeight="1" x14ac:dyDescent="0.2">
      <c r="A755" s="475"/>
      <c r="B755" s="522"/>
      <c r="C755" s="522"/>
      <c r="D755" s="730" t="s">
        <v>446</v>
      </c>
      <c r="E755" s="731"/>
      <c r="F755" s="731"/>
      <c r="G755" s="731"/>
      <c r="H755" s="731"/>
      <c r="I755" s="731"/>
      <c r="J755" s="731"/>
      <c r="K755" s="731"/>
      <c r="L755" s="731"/>
      <c r="M755" s="731"/>
      <c r="N755" s="731"/>
      <c r="O755" s="731"/>
      <c r="P755" s="731"/>
      <c r="Q755" s="731"/>
      <c r="R755" s="731"/>
      <c r="S755" s="731"/>
      <c r="T755" s="731"/>
      <c r="U755" s="731"/>
      <c r="V755" s="731"/>
      <c r="W755" s="731"/>
      <c r="X755" s="731"/>
      <c r="Y755" s="731"/>
      <c r="Z755" s="731"/>
      <c r="AA755" s="731"/>
      <c r="AB755" s="731"/>
    </row>
    <row r="756" spans="1:28" ht="15" x14ac:dyDescent="0.2">
      <c r="A756" s="732" t="s">
        <v>37</v>
      </c>
      <c r="B756" s="733"/>
      <c r="C756" s="733"/>
      <c r="D756" s="733"/>
      <c r="E756" s="733"/>
      <c r="F756" s="733"/>
      <c r="G756" s="733"/>
      <c r="H756" s="733"/>
      <c r="I756" s="733"/>
      <c r="J756" s="733"/>
      <c r="K756" s="733"/>
      <c r="L756" s="733"/>
      <c r="M756" s="733"/>
      <c r="N756" s="733"/>
      <c r="O756" s="733"/>
      <c r="P756" s="733"/>
      <c r="Q756" s="733"/>
      <c r="R756" s="733"/>
      <c r="S756" s="733"/>
      <c r="T756" s="733"/>
      <c r="U756" s="733"/>
      <c r="V756" s="733"/>
      <c r="W756" s="733"/>
      <c r="X756" s="733"/>
      <c r="Y756" s="733"/>
      <c r="Z756" s="733"/>
      <c r="AA756" s="733"/>
      <c r="AB756" s="733"/>
    </row>
    <row r="757" spans="1:28" ht="30" customHeight="1" x14ac:dyDescent="0.2">
      <c r="A757" s="476">
        <v>1</v>
      </c>
      <c r="B757" s="476">
        <v>30</v>
      </c>
      <c r="C757" s="476" t="s">
        <v>88</v>
      </c>
      <c r="D757" s="477">
        <v>1</v>
      </c>
      <c r="E757" s="539" t="s">
        <v>89</v>
      </c>
      <c r="F757" s="540"/>
      <c r="G757" s="478">
        <v>6</v>
      </c>
      <c r="H757" s="476" t="s">
        <v>7</v>
      </c>
      <c r="I757" s="476"/>
      <c r="J757" s="476"/>
      <c r="K757" s="476"/>
      <c r="L757" s="476">
        <v>0</v>
      </c>
      <c r="M757" s="479">
        <v>0</v>
      </c>
      <c r="N757" s="476" t="s">
        <v>106</v>
      </c>
      <c r="O757" s="476" t="s">
        <v>106</v>
      </c>
      <c r="P757" s="476" t="s">
        <v>106</v>
      </c>
      <c r="Q757" s="476" t="s">
        <v>107</v>
      </c>
      <c r="R757" s="476" t="s">
        <v>107</v>
      </c>
      <c r="S757" s="476" t="s">
        <v>55</v>
      </c>
      <c r="T757" s="476" t="s">
        <v>55</v>
      </c>
      <c r="U757" s="476" t="s">
        <v>55</v>
      </c>
      <c r="V757" s="476" t="s">
        <v>55</v>
      </c>
      <c r="W757" s="476" t="s">
        <v>55</v>
      </c>
      <c r="X757" s="476" t="s">
        <v>55</v>
      </c>
      <c r="Y757" s="476" t="s">
        <v>55</v>
      </c>
      <c r="Z757" s="541" t="s">
        <v>108</v>
      </c>
      <c r="AA757" s="541"/>
      <c r="AB757" s="541"/>
    </row>
    <row r="758" spans="1:28" ht="30" customHeight="1" x14ac:dyDescent="0.2">
      <c r="A758" s="480">
        <v>1</v>
      </c>
      <c r="B758" s="480">
        <v>30</v>
      </c>
      <c r="C758" s="480" t="s">
        <v>88</v>
      </c>
      <c r="D758" s="481">
        <v>2</v>
      </c>
      <c r="E758" s="539" t="s">
        <v>206</v>
      </c>
      <c r="F758" s="540"/>
      <c r="G758" s="482">
        <v>5</v>
      </c>
      <c r="H758" s="480" t="s">
        <v>7</v>
      </c>
      <c r="I758" s="480"/>
      <c r="J758" s="480"/>
      <c r="K758" s="480"/>
      <c r="L758" s="480">
        <v>0</v>
      </c>
      <c r="M758" s="483">
        <v>0</v>
      </c>
      <c r="N758" s="476" t="s">
        <v>106</v>
      </c>
      <c r="O758" s="476" t="s">
        <v>106</v>
      </c>
      <c r="P758" s="476" t="s">
        <v>107</v>
      </c>
      <c r="Q758" s="476" t="s">
        <v>107</v>
      </c>
      <c r="R758" s="476" t="s">
        <v>55</v>
      </c>
      <c r="S758" s="476" t="s">
        <v>55</v>
      </c>
      <c r="T758" s="476" t="s">
        <v>55</v>
      </c>
      <c r="U758" s="476" t="s">
        <v>55</v>
      </c>
      <c r="V758" s="476" t="s">
        <v>55</v>
      </c>
      <c r="W758" s="476" t="s">
        <v>55</v>
      </c>
      <c r="X758" s="476" t="s">
        <v>55</v>
      </c>
      <c r="Y758" s="476" t="s">
        <v>55</v>
      </c>
      <c r="Z758" s="541" t="s">
        <v>209</v>
      </c>
      <c r="AA758" s="541"/>
      <c r="AB758" s="540"/>
    </row>
    <row r="759" spans="1:28" ht="30" customHeight="1" x14ac:dyDescent="0.2">
      <c r="A759" s="480">
        <v>2</v>
      </c>
      <c r="B759" s="480">
        <v>70</v>
      </c>
      <c r="C759" s="480" t="s">
        <v>205</v>
      </c>
      <c r="D759" s="481">
        <v>3</v>
      </c>
      <c r="E759" s="539" t="s">
        <v>207</v>
      </c>
      <c r="F759" s="540"/>
      <c r="G759" s="482">
        <v>5</v>
      </c>
      <c r="H759" s="480"/>
      <c r="I759" s="480"/>
      <c r="J759" s="480" t="s">
        <v>7</v>
      </c>
      <c r="K759" s="480"/>
      <c r="L759" s="478">
        <v>22</v>
      </c>
      <c r="M759" s="512">
        <v>0</v>
      </c>
      <c r="N759" s="476" t="s">
        <v>212</v>
      </c>
      <c r="O759" s="476" t="s">
        <v>212</v>
      </c>
      <c r="P759" s="476" t="s">
        <v>212</v>
      </c>
      <c r="Q759" s="476" t="s">
        <v>210</v>
      </c>
      <c r="R759" s="476" t="s">
        <v>55</v>
      </c>
      <c r="S759" s="476" t="s">
        <v>55</v>
      </c>
      <c r="T759" s="476" t="s">
        <v>55</v>
      </c>
      <c r="U759" s="476" t="s">
        <v>55</v>
      </c>
      <c r="V759" s="476" t="s">
        <v>55</v>
      </c>
      <c r="W759" s="476" t="s">
        <v>57</v>
      </c>
      <c r="X759" s="476"/>
      <c r="Y759" s="476"/>
      <c r="Z759" s="541" t="s">
        <v>211</v>
      </c>
      <c r="AA759" s="541"/>
      <c r="AB759" s="540"/>
    </row>
    <row r="760" spans="1:28" ht="30" customHeight="1" x14ac:dyDescent="0.2">
      <c r="A760" s="480">
        <v>2</v>
      </c>
      <c r="B760" s="480">
        <v>70</v>
      </c>
      <c r="C760" s="480" t="s">
        <v>205</v>
      </c>
      <c r="D760" s="481">
        <v>4</v>
      </c>
      <c r="E760" s="539" t="s">
        <v>208</v>
      </c>
      <c r="F760" s="540"/>
      <c r="G760" s="482">
        <v>6</v>
      </c>
      <c r="H760" s="480"/>
      <c r="I760" s="480"/>
      <c r="J760" s="480" t="s">
        <v>7</v>
      </c>
      <c r="K760" s="480"/>
      <c r="L760" s="482">
        <v>35</v>
      </c>
      <c r="M760" s="485">
        <v>0</v>
      </c>
      <c r="N760" s="476" t="s">
        <v>212</v>
      </c>
      <c r="O760" s="476" t="s">
        <v>212</v>
      </c>
      <c r="P760" s="476" t="s">
        <v>55</v>
      </c>
      <c r="Q760" s="476" t="s">
        <v>55</v>
      </c>
      <c r="R760" s="476" t="s">
        <v>55</v>
      </c>
      <c r="S760" s="476" t="s">
        <v>55</v>
      </c>
      <c r="T760" s="476" t="s">
        <v>55</v>
      </c>
      <c r="U760" s="476" t="s">
        <v>55</v>
      </c>
      <c r="V760" s="476" t="s">
        <v>55</v>
      </c>
      <c r="W760" s="476" t="s">
        <v>55</v>
      </c>
      <c r="X760" s="476" t="s">
        <v>55</v>
      </c>
      <c r="Y760" s="476" t="s">
        <v>55</v>
      </c>
      <c r="Z760" s="541" t="s">
        <v>213</v>
      </c>
      <c r="AA760" s="541"/>
      <c r="AB760" s="540"/>
    </row>
    <row r="761" spans="1:28" ht="33" customHeight="1" x14ac:dyDescent="0.2">
      <c r="A761" s="522"/>
      <c r="B761" s="522"/>
      <c r="C761" s="522"/>
      <c r="D761" s="486">
        <v>1</v>
      </c>
      <c r="E761" s="529"/>
      <c r="F761" s="531"/>
      <c r="G761" s="522"/>
      <c r="H761" s="522"/>
      <c r="I761" s="522"/>
      <c r="J761" s="522"/>
      <c r="K761" s="522"/>
      <c r="L761" s="525"/>
      <c r="M761" s="525"/>
      <c r="N761" s="522"/>
      <c r="O761" s="522"/>
      <c r="P761" s="522"/>
      <c r="Q761" s="522"/>
      <c r="R761" s="522"/>
      <c r="S761" s="522"/>
      <c r="T761" s="522"/>
      <c r="U761" s="522"/>
      <c r="V761" s="522"/>
      <c r="W761" s="522"/>
      <c r="X761" s="522"/>
      <c r="Y761" s="522"/>
      <c r="Z761" s="529"/>
      <c r="AA761" s="530"/>
      <c r="AB761" s="531"/>
    </row>
    <row r="762" spans="1:28" ht="33" customHeight="1" x14ac:dyDescent="0.2">
      <c r="A762" s="523"/>
      <c r="B762" s="523"/>
      <c r="C762" s="523"/>
      <c r="D762" s="487">
        <v>2</v>
      </c>
      <c r="E762" s="529"/>
      <c r="F762" s="531"/>
      <c r="G762" s="522"/>
      <c r="H762" s="523"/>
      <c r="I762" s="523"/>
      <c r="J762" s="523"/>
      <c r="K762" s="523"/>
      <c r="L762" s="525"/>
      <c r="M762" s="525"/>
      <c r="N762" s="522"/>
      <c r="O762" s="522"/>
      <c r="P762" s="522"/>
      <c r="Q762" s="522"/>
      <c r="R762" s="522"/>
      <c r="S762" s="522"/>
      <c r="T762" s="522"/>
      <c r="U762" s="522"/>
      <c r="V762" s="522"/>
      <c r="W762" s="522"/>
      <c r="X762" s="522"/>
      <c r="Y762" s="522"/>
      <c r="Z762" s="529"/>
      <c r="AA762" s="530"/>
      <c r="AB762" s="531"/>
    </row>
    <row r="763" spans="1:28" ht="33" customHeight="1" x14ac:dyDescent="0.2">
      <c r="A763" s="523"/>
      <c r="B763" s="523"/>
      <c r="C763" s="523"/>
      <c r="D763" s="487">
        <v>3</v>
      </c>
      <c r="E763" s="529"/>
      <c r="F763" s="531"/>
      <c r="G763" s="522"/>
      <c r="H763" s="523"/>
      <c r="I763" s="523"/>
      <c r="J763" s="523"/>
      <c r="K763" s="523"/>
      <c r="L763" s="525"/>
      <c r="M763" s="525"/>
      <c r="N763" s="523"/>
      <c r="O763" s="523"/>
      <c r="P763" s="523"/>
      <c r="Q763" s="523"/>
      <c r="R763" s="523"/>
      <c r="S763" s="522"/>
      <c r="T763" s="522"/>
      <c r="U763" s="522"/>
      <c r="V763" s="522"/>
      <c r="W763" s="522"/>
      <c r="X763" s="522"/>
      <c r="Y763" s="522"/>
      <c r="Z763" s="529"/>
      <c r="AA763" s="530"/>
      <c r="AB763" s="531"/>
    </row>
    <row r="764" spans="1:28" ht="33" customHeight="1" x14ac:dyDescent="0.2">
      <c r="A764" s="523"/>
      <c r="B764" s="523"/>
      <c r="C764" s="523"/>
      <c r="D764" s="487">
        <v>4</v>
      </c>
      <c r="E764" s="529"/>
      <c r="F764" s="531"/>
      <c r="G764" s="522"/>
      <c r="H764" s="523"/>
      <c r="I764" s="523"/>
      <c r="J764" s="523"/>
      <c r="K764" s="523"/>
      <c r="L764" s="525"/>
      <c r="M764" s="525"/>
      <c r="N764" s="523"/>
      <c r="O764" s="523"/>
      <c r="P764" s="523"/>
      <c r="Q764" s="523"/>
      <c r="R764" s="523"/>
      <c r="S764" s="523"/>
      <c r="T764" s="523"/>
      <c r="U764" s="523"/>
      <c r="V764" s="523"/>
      <c r="W764" s="523"/>
      <c r="X764" s="523"/>
      <c r="Y764" s="523"/>
      <c r="Z764" s="529"/>
      <c r="AA764" s="530"/>
      <c r="AB764" s="531"/>
    </row>
    <row r="765" spans="1:28" ht="33" customHeight="1" x14ac:dyDescent="0.2">
      <c r="A765" s="523"/>
      <c r="B765" s="523"/>
      <c r="C765" s="523"/>
      <c r="D765" s="487">
        <v>5</v>
      </c>
      <c r="E765" s="532"/>
      <c r="F765" s="533"/>
      <c r="G765" s="522"/>
      <c r="H765" s="523"/>
      <c r="I765" s="523"/>
      <c r="J765" s="523"/>
      <c r="K765" s="523"/>
      <c r="L765" s="525"/>
      <c r="M765" s="525"/>
      <c r="N765" s="523"/>
      <c r="O765" s="523"/>
      <c r="P765" s="523"/>
      <c r="Q765" s="523"/>
      <c r="R765" s="523"/>
      <c r="S765" s="523"/>
      <c r="T765" s="523"/>
      <c r="U765" s="523"/>
      <c r="V765" s="523"/>
      <c r="W765" s="523"/>
      <c r="X765" s="523"/>
      <c r="Y765" s="523"/>
      <c r="Z765" s="529"/>
      <c r="AA765" s="530"/>
      <c r="AB765" s="531"/>
    </row>
    <row r="766" spans="1:28" ht="33" customHeight="1" x14ac:dyDescent="0.2">
      <c r="A766" s="523"/>
      <c r="B766" s="523"/>
      <c r="C766" s="523"/>
      <c r="D766" s="487">
        <v>6</v>
      </c>
      <c r="E766" s="532"/>
      <c r="F766" s="533"/>
      <c r="G766" s="522"/>
      <c r="H766" s="523"/>
      <c r="I766" s="523"/>
      <c r="J766" s="523"/>
      <c r="K766" s="523"/>
      <c r="L766" s="525"/>
      <c r="M766" s="525"/>
      <c r="N766" s="523"/>
      <c r="O766" s="523"/>
      <c r="P766" s="523"/>
      <c r="Q766" s="523"/>
      <c r="R766" s="523"/>
      <c r="S766" s="523"/>
      <c r="T766" s="523"/>
      <c r="U766" s="523"/>
      <c r="V766" s="523"/>
      <c r="W766" s="523"/>
      <c r="X766" s="523"/>
      <c r="Y766" s="523"/>
      <c r="Z766" s="529"/>
      <c r="AA766" s="530"/>
      <c r="AB766" s="531"/>
    </row>
    <row r="767" spans="1:28" ht="33" customHeight="1" x14ac:dyDescent="0.2">
      <c r="A767" s="523"/>
      <c r="B767" s="523"/>
      <c r="C767" s="523"/>
      <c r="D767" s="487">
        <v>7</v>
      </c>
      <c r="E767" s="532"/>
      <c r="F767" s="533"/>
      <c r="G767" s="522"/>
      <c r="H767" s="523"/>
      <c r="I767" s="523"/>
      <c r="J767" s="523"/>
      <c r="K767" s="523"/>
      <c r="L767" s="525"/>
      <c r="M767" s="525"/>
      <c r="N767" s="523"/>
      <c r="O767" s="523"/>
      <c r="P767" s="523"/>
      <c r="Q767" s="523"/>
      <c r="R767" s="523"/>
      <c r="S767" s="522"/>
      <c r="T767" s="522"/>
      <c r="U767" s="522"/>
      <c r="V767" s="522"/>
      <c r="W767" s="522"/>
      <c r="X767" s="522"/>
      <c r="Y767" s="522"/>
      <c r="Z767" s="529"/>
      <c r="AA767" s="530"/>
      <c r="AB767" s="531"/>
    </row>
    <row r="768" spans="1:28" ht="33" customHeight="1" x14ac:dyDescent="0.2">
      <c r="A768" s="523"/>
      <c r="B768" s="523"/>
      <c r="C768" s="523"/>
      <c r="D768" s="487">
        <v>8</v>
      </c>
      <c r="E768" s="532"/>
      <c r="F768" s="533"/>
      <c r="G768" s="522"/>
      <c r="H768" s="523"/>
      <c r="I768" s="523"/>
      <c r="J768" s="523"/>
      <c r="K768" s="523"/>
      <c r="L768" s="525"/>
      <c r="M768" s="525"/>
      <c r="N768" s="523"/>
      <c r="O768" s="523"/>
      <c r="P768" s="523"/>
      <c r="Q768" s="523"/>
      <c r="R768" s="523"/>
      <c r="S768" s="523"/>
      <c r="T768" s="523"/>
      <c r="U768" s="523"/>
      <c r="V768" s="523"/>
      <c r="W768" s="523"/>
      <c r="X768" s="523"/>
      <c r="Y768" s="523"/>
      <c r="Z768" s="529"/>
      <c r="AA768" s="530"/>
      <c r="AB768" s="531"/>
    </row>
    <row r="769" spans="1:28" ht="33" customHeight="1" x14ac:dyDescent="0.2">
      <c r="A769" s="523"/>
      <c r="B769" s="523"/>
      <c r="C769" s="523"/>
      <c r="D769" s="487">
        <v>9</v>
      </c>
      <c r="E769" s="532"/>
      <c r="F769" s="533"/>
      <c r="G769" s="522"/>
      <c r="H769" s="523"/>
      <c r="I769" s="523"/>
      <c r="J769" s="523"/>
      <c r="K769" s="523"/>
      <c r="L769" s="525"/>
      <c r="M769" s="525"/>
      <c r="N769" s="523"/>
      <c r="O769" s="523"/>
      <c r="P769" s="523"/>
      <c r="Q769" s="523"/>
      <c r="R769" s="523"/>
      <c r="S769" s="523"/>
      <c r="T769" s="523"/>
      <c r="U769" s="523"/>
      <c r="V769" s="523"/>
      <c r="W769" s="523"/>
      <c r="X769" s="523"/>
      <c r="Y769" s="523"/>
      <c r="Z769" s="529"/>
      <c r="AA769" s="530"/>
      <c r="AB769" s="531"/>
    </row>
    <row r="770" spans="1:28" ht="33" customHeight="1" x14ac:dyDescent="0.2">
      <c r="A770" s="523"/>
      <c r="B770" s="523"/>
      <c r="C770" s="523"/>
      <c r="D770" s="487">
        <v>10</v>
      </c>
      <c r="E770" s="532"/>
      <c r="F770" s="533"/>
      <c r="G770" s="522"/>
      <c r="H770" s="523"/>
      <c r="I770" s="523"/>
      <c r="J770" s="523"/>
      <c r="K770" s="523"/>
      <c r="L770" s="525"/>
      <c r="M770" s="525"/>
      <c r="N770" s="523"/>
      <c r="O770" s="523"/>
      <c r="P770" s="523"/>
      <c r="Q770" s="523"/>
      <c r="R770" s="523"/>
      <c r="S770" s="523"/>
      <c r="T770" s="523"/>
      <c r="U770" s="523"/>
      <c r="V770" s="523"/>
      <c r="W770" s="523"/>
      <c r="X770" s="523"/>
      <c r="Y770" s="523"/>
      <c r="Z770" s="529"/>
      <c r="AA770" s="530"/>
      <c r="AB770" s="531"/>
    </row>
    <row r="771" spans="1:28" ht="33" customHeight="1" x14ac:dyDescent="0.2">
      <c r="A771" s="523"/>
      <c r="B771" s="523"/>
      <c r="C771" s="523"/>
      <c r="D771" s="487">
        <v>11</v>
      </c>
      <c r="E771" s="532"/>
      <c r="F771" s="533"/>
      <c r="G771" s="522"/>
      <c r="H771" s="523"/>
      <c r="I771" s="523"/>
      <c r="J771" s="523"/>
      <c r="K771" s="523"/>
      <c r="L771" s="525"/>
      <c r="M771" s="525"/>
      <c r="N771" s="523"/>
      <c r="O771" s="523"/>
      <c r="P771" s="523"/>
      <c r="Q771" s="523"/>
      <c r="R771" s="523"/>
      <c r="S771" s="523"/>
      <c r="T771" s="523"/>
      <c r="U771" s="523"/>
      <c r="V771" s="523"/>
      <c r="W771" s="523"/>
      <c r="X771" s="523"/>
      <c r="Y771" s="523"/>
      <c r="Z771" s="529"/>
      <c r="AA771" s="530"/>
      <c r="AB771" s="531"/>
    </row>
    <row r="772" spans="1:28" ht="33" customHeight="1" x14ac:dyDescent="0.2">
      <c r="A772" s="523"/>
      <c r="B772" s="523"/>
      <c r="C772" s="523"/>
      <c r="D772" s="487">
        <v>12</v>
      </c>
      <c r="E772" s="532"/>
      <c r="F772" s="533"/>
      <c r="G772" s="522"/>
      <c r="H772" s="523"/>
      <c r="I772" s="523"/>
      <c r="J772" s="523"/>
      <c r="K772" s="523"/>
      <c r="L772" s="525"/>
      <c r="M772" s="525"/>
      <c r="N772" s="523"/>
      <c r="O772" s="523"/>
      <c r="P772" s="523"/>
      <c r="Q772" s="523"/>
      <c r="R772" s="523"/>
      <c r="S772" s="523"/>
      <c r="T772" s="523"/>
      <c r="U772" s="523"/>
      <c r="V772" s="523"/>
      <c r="W772" s="523"/>
      <c r="X772" s="523"/>
      <c r="Y772" s="523"/>
      <c r="Z772" s="529"/>
      <c r="AA772" s="530"/>
      <c r="AB772" s="531"/>
    </row>
    <row r="773" spans="1:28" ht="33" customHeight="1" x14ac:dyDescent="0.2">
      <c r="A773" s="523"/>
      <c r="B773" s="523"/>
      <c r="C773" s="523"/>
      <c r="D773" s="487">
        <v>13</v>
      </c>
      <c r="E773" s="532"/>
      <c r="F773" s="533"/>
      <c r="G773" s="522"/>
      <c r="H773" s="523"/>
      <c r="I773" s="523"/>
      <c r="J773" s="523"/>
      <c r="K773" s="523"/>
      <c r="L773" s="525"/>
      <c r="M773" s="525"/>
      <c r="N773" s="523"/>
      <c r="O773" s="523"/>
      <c r="P773" s="523"/>
      <c r="Q773" s="523"/>
      <c r="R773" s="523"/>
      <c r="S773" s="523"/>
      <c r="T773" s="523"/>
      <c r="U773" s="523"/>
      <c r="V773" s="523"/>
      <c r="W773" s="523"/>
      <c r="X773" s="523"/>
      <c r="Y773" s="523"/>
      <c r="Z773" s="529"/>
      <c r="AA773" s="530"/>
      <c r="AB773" s="531"/>
    </row>
    <row r="774" spans="1:28" ht="33" customHeight="1" x14ac:dyDescent="0.2">
      <c r="A774" s="523"/>
      <c r="B774" s="523"/>
      <c r="C774" s="523"/>
      <c r="D774" s="487">
        <v>14</v>
      </c>
      <c r="E774" s="532"/>
      <c r="F774" s="533"/>
      <c r="G774" s="522"/>
      <c r="H774" s="523"/>
      <c r="I774" s="523"/>
      <c r="J774" s="523"/>
      <c r="K774" s="523"/>
      <c r="L774" s="525"/>
      <c r="M774" s="525"/>
      <c r="N774" s="523"/>
      <c r="O774" s="523"/>
      <c r="P774" s="523"/>
      <c r="Q774" s="523"/>
      <c r="R774" s="523"/>
      <c r="S774" s="523"/>
      <c r="T774" s="523"/>
      <c r="U774" s="523"/>
      <c r="V774" s="523"/>
      <c r="W774" s="523"/>
      <c r="X774" s="523"/>
      <c r="Y774" s="523"/>
      <c r="Z774" s="529"/>
      <c r="AA774" s="530"/>
      <c r="AB774" s="531"/>
    </row>
    <row r="775" spans="1:28" ht="33" customHeight="1" x14ac:dyDescent="0.2">
      <c r="A775" s="523"/>
      <c r="B775" s="523"/>
      <c r="C775" s="523"/>
      <c r="D775" s="487">
        <v>15</v>
      </c>
      <c r="E775" s="532"/>
      <c r="F775" s="533"/>
      <c r="G775" s="523"/>
      <c r="H775" s="523"/>
      <c r="I775" s="523"/>
      <c r="J775" s="523"/>
      <c r="K775" s="523"/>
      <c r="L775" s="526"/>
      <c r="M775" s="526"/>
      <c r="N775" s="523"/>
      <c r="O775" s="523"/>
      <c r="P775" s="523"/>
      <c r="Q775" s="523"/>
      <c r="R775" s="523"/>
      <c r="S775" s="523"/>
      <c r="T775" s="523"/>
      <c r="U775" s="523"/>
      <c r="V775" s="523"/>
      <c r="W775" s="523"/>
      <c r="X775" s="523"/>
      <c r="Y775" s="523"/>
      <c r="Z775" s="529"/>
      <c r="AA775" s="530"/>
      <c r="AB775" s="531"/>
    </row>
    <row r="776" spans="1:28" ht="33" customHeight="1" x14ac:dyDescent="0.2">
      <c r="A776" s="523"/>
      <c r="B776" s="523"/>
      <c r="C776" s="523"/>
      <c r="D776" s="487">
        <v>16</v>
      </c>
      <c r="E776" s="532"/>
      <c r="F776" s="533"/>
      <c r="G776" s="523"/>
      <c r="H776" s="523"/>
      <c r="I776" s="523"/>
      <c r="J776" s="523"/>
      <c r="K776" s="523"/>
      <c r="L776" s="526"/>
      <c r="M776" s="526"/>
      <c r="N776" s="523"/>
      <c r="O776" s="523"/>
      <c r="P776" s="523"/>
      <c r="Q776" s="523"/>
      <c r="R776" s="523"/>
      <c r="S776" s="523"/>
      <c r="T776" s="523"/>
      <c r="U776" s="523"/>
      <c r="V776" s="523"/>
      <c r="W776" s="523"/>
      <c r="X776" s="523"/>
      <c r="Y776" s="523"/>
      <c r="Z776" s="529"/>
      <c r="AA776" s="530"/>
      <c r="AB776" s="531"/>
    </row>
    <row r="777" spans="1:28" ht="33" customHeight="1" x14ac:dyDescent="0.2">
      <c r="A777" s="523"/>
      <c r="B777" s="523"/>
      <c r="C777" s="523"/>
      <c r="D777" s="487">
        <v>17</v>
      </c>
      <c r="E777" s="532"/>
      <c r="F777" s="533"/>
      <c r="G777" s="523"/>
      <c r="H777" s="523"/>
      <c r="I777" s="523"/>
      <c r="J777" s="523"/>
      <c r="K777" s="523"/>
      <c r="L777" s="526"/>
      <c r="M777" s="526"/>
      <c r="N777" s="523"/>
      <c r="O777" s="523"/>
      <c r="P777" s="523"/>
      <c r="Q777" s="523"/>
      <c r="R777" s="523"/>
      <c r="S777" s="523"/>
      <c r="T777" s="523"/>
      <c r="U777" s="523"/>
      <c r="V777" s="523"/>
      <c r="W777" s="523"/>
      <c r="X777" s="523"/>
      <c r="Y777" s="523"/>
      <c r="Z777" s="529"/>
      <c r="AA777" s="530"/>
      <c r="AB777" s="531"/>
    </row>
    <row r="778" spans="1:28" ht="33" customHeight="1" x14ac:dyDescent="0.2">
      <c r="A778" s="523"/>
      <c r="B778" s="523"/>
      <c r="C778" s="523"/>
      <c r="D778" s="487">
        <v>18</v>
      </c>
      <c r="E778" s="532"/>
      <c r="F778" s="533"/>
      <c r="G778" s="523"/>
      <c r="H778" s="523"/>
      <c r="I778" s="523"/>
      <c r="J778" s="523"/>
      <c r="K778" s="523"/>
      <c r="L778" s="526"/>
      <c r="M778" s="526"/>
      <c r="N778" s="523"/>
      <c r="O778" s="523"/>
      <c r="P778" s="523"/>
      <c r="Q778" s="523"/>
      <c r="R778" s="523"/>
      <c r="S778" s="523"/>
      <c r="T778" s="523"/>
      <c r="U778" s="523"/>
      <c r="V778" s="523"/>
      <c r="W778" s="523"/>
      <c r="X778" s="523"/>
      <c r="Y778" s="523"/>
      <c r="Z778" s="529"/>
      <c r="AA778" s="530"/>
      <c r="AB778" s="531"/>
    </row>
    <row r="779" spans="1:28" ht="33" customHeight="1" x14ac:dyDescent="0.2">
      <c r="A779" s="523"/>
      <c r="B779" s="523"/>
      <c r="C779" s="523"/>
      <c r="D779" s="487">
        <v>19</v>
      </c>
      <c r="E779" s="532"/>
      <c r="F779" s="533"/>
      <c r="G779" s="523"/>
      <c r="H779" s="523"/>
      <c r="I779" s="523"/>
      <c r="J779" s="523"/>
      <c r="K779" s="523"/>
      <c r="L779" s="526"/>
      <c r="M779" s="526"/>
      <c r="N779" s="523"/>
      <c r="O779" s="523"/>
      <c r="P779" s="523"/>
      <c r="Q779" s="523"/>
      <c r="R779" s="523"/>
      <c r="S779" s="523"/>
      <c r="T779" s="523"/>
      <c r="U779" s="523"/>
      <c r="V779" s="523"/>
      <c r="W779" s="523"/>
      <c r="X779" s="523"/>
      <c r="Y779" s="523"/>
      <c r="Z779" s="529"/>
      <c r="AA779" s="530"/>
      <c r="AB779" s="531"/>
    </row>
    <row r="780" spans="1:28" ht="33" customHeight="1" x14ac:dyDescent="0.2">
      <c r="A780" s="523"/>
      <c r="B780" s="524"/>
      <c r="C780" s="524"/>
      <c r="D780" s="487">
        <v>20</v>
      </c>
      <c r="E780" s="532"/>
      <c r="F780" s="533"/>
      <c r="G780" s="523"/>
      <c r="H780" s="523"/>
      <c r="I780" s="523"/>
      <c r="J780" s="523"/>
      <c r="K780" s="523"/>
      <c r="L780" s="526"/>
      <c r="M780" s="526"/>
      <c r="N780" s="523"/>
      <c r="O780" s="523"/>
      <c r="P780" s="523"/>
      <c r="Q780" s="523"/>
      <c r="R780" s="523"/>
      <c r="S780" s="523"/>
      <c r="T780" s="523"/>
      <c r="U780" s="523"/>
      <c r="V780" s="523"/>
      <c r="W780" s="523"/>
      <c r="X780" s="523"/>
      <c r="Y780" s="523"/>
      <c r="Z780" s="529"/>
      <c r="AA780" s="530"/>
      <c r="AB780" s="531"/>
    </row>
    <row r="781" spans="1:28" ht="33" customHeight="1" x14ac:dyDescent="0.2">
      <c r="A781" s="488"/>
      <c r="B781" s="489" t="str">
        <f>IF(COUNTA(B761:B780,B755)=0,"",IF(COUNTIF($A$761:$A$780,1)=0,0,SUMIF($A$761:$A$780,"1",$B$761:$B$780)/COUNTIF($A$761:$A$780,1))+IF(COUNTIF($A$761:$A$780,2)=0,0,SUMIF($A$761:$A$780,"2",$B$761:$B$780)/COUNTIF($A$761:$A$780,2))+IF(COUNTIF($A$761:$A$780,3)=0,0,SUMIF($A$761:$A$780,"3",$B$761:$B$780)/COUNTIF($A$761:$A$780,3))+IF(COUNTIF($A$761:$A$780,4)=0,0,SUMIF($A$761:$A$780,"4",$B$761:$B$780)/COUNTIF($A$761:$A$780,4))+IF(COUNTIF($A$761:$A$780,5)=0,0,SUMIF($A$761:$A$780,"5",$B$761:$B$780)/COUNTIF($A$761:$A$780,5))+IF(COUNTIF($A$761:$A$780,6)=0,0,SUMIF($A$761:$A$780,"6",$B$761:$B$780)/COUNTIF($A$761:$A$780,6))+IF(COUNTIF($A$761:$A$780,7)=0,0,SUMIF($A$761:$A$780,"7",$B$761:$B$780)/COUNTIF($A$761:$A$780,7))+IF(COUNTIF($A$761:$A$780,8)=0,0,SUMIF($A$761:$A$780,"8",$B$761:$B$780)/COUNTIF($A$761:$A$780,8))+IF(COUNTIF($A$761:$A$780,9)=0,0,SUMIF($A$761:$A$780,"9",$B$761:$B$780)/COUNTIF($A$761:$A$780,9))+IF(COUNTIF($A$761:$A$780,10)=0,0,SUMIF($A$761:$A$780,"10",$B$761:$B$780)/COUNTIF($A$761:$A$780,10))+IF(COUNTIF($A$761:$A$780,11)=0,0,SUMIF($A$761:$A$780,"11",$B$761:$B$780)/COUNTIF($A$761:$A$780,11))+IF(COUNTIF($A$761:$A$780,12)=0,0,SUMIF($A$761:$A$780,"12",$B$761:$B$780)/COUNTIF($A$761:$A$780,12))+IF(COUNTIF($A$761:$A$780,13)=0,0,SUMIF($A$761:$A$780,"13",$B$761:$B$780)/COUNTIF($A$761:$A$780,13))+IF(COUNTIF($A$761:$A$780,14)=0,0,SUMIF($A$761:$A$780,"14",$B$761:$B$780)/COUNTIF($A$761:$A$780,14))+IF(COUNTIF($A$761:$A$780,15)=0,0,SUMIF($A$761:$A$780,"15",$B$761:$B$780)/COUNTIF($A$761:$A$780,15))+$B$755)</f>
        <v/>
      </c>
      <c r="C781" s="490" t="s">
        <v>5</v>
      </c>
      <c r="D781" s="491" t="s">
        <v>214</v>
      </c>
      <c r="E781" s="488"/>
      <c r="F781" s="488"/>
      <c r="G781" s="488"/>
      <c r="H781" s="488"/>
      <c r="I781" s="488"/>
      <c r="J781" s="488"/>
      <c r="K781" s="488"/>
      <c r="L781" s="492"/>
      <c r="M781" s="492"/>
      <c r="N781" s="488"/>
      <c r="O781" s="488"/>
      <c r="P781" s="488"/>
      <c r="Q781" s="488"/>
      <c r="R781" s="488"/>
      <c r="S781" s="488"/>
      <c r="T781" s="488"/>
      <c r="U781" s="488"/>
      <c r="V781" s="488"/>
      <c r="W781" s="488"/>
      <c r="X781" s="488"/>
      <c r="Y781" s="488"/>
      <c r="Z781" s="492"/>
      <c r="AA781" s="492"/>
      <c r="AB781" s="492"/>
    </row>
    <row r="782" spans="1:28" ht="17.25" customHeight="1" x14ac:dyDescent="0.2">
      <c r="A782" s="534" t="s">
        <v>484</v>
      </c>
      <c r="B782" s="535"/>
      <c r="C782" s="535"/>
      <c r="D782" s="534"/>
      <c r="E782" s="534"/>
      <c r="F782" s="534"/>
      <c r="G782" s="534"/>
      <c r="H782" s="534"/>
      <c r="I782" s="534"/>
      <c r="J782" s="534"/>
      <c r="K782" s="534"/>
      <c r="L782" s="534"/>
      <c r="M782" s="534"/>
      <c r="N782" s="534"/>
      <c r="O782" s="534"/>
      <c r="P782" s="534"/>
      <c r="Q782" s="534"/>
      <c r="R782" s="534"/>
      <c r="S782" s="534"/>
      <c r="T782" s="534"/>
      <c r="U782" s="534"/>
      <c r="V782" s="534"/>
      <c r="W782" s="534"/>
      <c r="X782" s="534"/>
      <c r="Y782" s="534"/>
      <c r="Z782" s="534"/>
      <c r="AA782" s="534"/>
      <c r="AB782" s="534"/>
    </row>
    <row r="783" spans="1:28" ht="17.25" customHeight="1" thickBot="1" x14ac:dyDescent="0.25">
      <c r="A783" s="535"/>
      <c r="B783" s="535"/>
      <c r="C783" s="535"/>
      <c r="D783" s="535"/>
      <c r="E783" s="535"/>
      <c r="F783" s="535"/>
      <c r="G783" s="535"/>
      <c r="H783" s="535"/>
      <c r="I783" s="535"/>
      <c r="J783" s="535"/>
      <c r="K783" s="535"/>
      <c r="L783" s="535"/>
      <c r="M783" s="535"/>
      <c r="N783" s="535"/>
      <c r="O783" s="535"/>
      <c r="P783" s="535"/>
      <c r="Q783" s="535"/>
      <c r="R783" s="535"/>
      <c r="S783" s="535"/>
      <c r="T783" s="535"/>
      <c r="U783" s="535"/>
      <c r="V783" s="535"/>
      <c r="W783" s="535"/>
      <c r="X783" s="535"/>
      <c r="Y783" s="535"/>
      <c r="Z783" s="535"/>
      <c r="AA783" s="535"/>
      <c r="AB783" s="535"/>
    </row>
    <row r="784" spans="1:28" ht="17.25" customHeight="1" thickBot="1" x14ac:dyDescent="0.25">
      <c r="A784" s="493"/>
      <c r="B784" s="493"/>
      <c r="C784" s="494"/>
      <c r="D784" s="521"/>
      <c r="E784" s="521"/>
      <c r="F784" s="521"/>
      <c r="G784" s="521"/>
      <c r="H784" s="521"/>
      <c r="I784" s="493"/>
      <c r="J784" s="493"/>
      <c r="K784" s="493"/>
      <c r="L784" s="493"/>
      <c r="M784" s="494"/>
      <c r="N784" s="493"/>
      <c r="O784" s="493"/>
      <c r="P784" s="493"/>
      <c r="Q784" s="493"/>
      <c r="R784" s="493"/>
      <c r="S784" s="493"/>
      <c r="T784" s="495"/>
      <c r="U784" s="396"/>
      <c r="V784" s="496" t="str">
        <f>IF(OR(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COUNTA(N779)-COUNTA(O779)&lt;0,COUNTA(O779)-COUNTA(P779)&lt;0,COUNTA(P779)-COUNTA(Q779)&lt;0,COUNTA(Q779)-COUNTA(R779)&lt;0,COUNTA(R779)-COUNTA(S779)&lt;0,COUNTA(S779)-COUNTA(T779)&lt;0,COUNTA(T779)-COUNTA(U779)&lt;0,COUNTA(U779)-COUNTA(V779)&lt;0,COUNTA(V779)-COUNTA(W779)&lt;0,COUNTA(W779)-COUNTA(X779)&lt;0,COUNTA(X779)-COUNTA(Y779)&lt;0,COUNTA(N780)-COUNTA(O780)&lt;0,COUNTA(O780)-COUNTA(P780)&lt;0,COUNTA(P780)-COUNTA(Q780)&lt;0,COUNTA(Q780)-COUNTA(R780)&lt;0,COUNTA(R780)-COUNTA(S780)&lt;0,COUNTA(S780)-COUNTA(T780)&lt;0,COUNTA(T780)-COUNTA(U780)&lt;0,COUNTA(U780)-COUNTA(V780)&lt;0,COUNTA(V780)-COUNTA(W780)&lt;0,COUNTA(W780)-COUNTA(X780)&lt;0,COUNTA(X780)-COUNTA(Y780)&lt;0),"Il ne peut pas y avoir de blancs entre deux valeurs renseignées dans les informations sur la texture et les horizons histiques dans un sondage.","")</f>
        <v/>
      </c>
      <c r="W784" s="497" t="str">
        <f>CONCATENATE(IF(AND($B$781&lt;&gt;"",$B$781&lt;&gt;100),"La somme des proportions des sous-ensembles homogènes dans le site n'est pas égale à 100%. ",""),IF(COUNTA($A$761:$A$780)&lt;&gt;COUNTA($M$761:$M$780),"L'horizon Ab doit être renseigné dans tous les sondages (valeur de 0 cm si absent). ",""),IF(COUNTA($A$761:$A$780)&lt;&gt;COUNTA($L$761:$L$780),"L'épisolum humifère doit être renseigné dans tous les sondages (valeur de 0 cm si absent). ",""),IF(MAX($L$761:$L$780)&gt;120,"La valeur maximale entrée pour l'épisolum humifère ne peut excéder 120 cm. ",""),IF(MAX($M$761:$M$780)&gt;120,"La valeur maximale entrée pour l'horizon Ab ne peut excéder 120 cm. ",""),IF(COUNTA($B$755,$B$761:$B$780)=0,"",IF(AND($J$456="X",MIN($B$761:$B$780,$B$755)*$T$107*100&lt;15625),"La part d'un sous-ensemble homogène est inférieure à la surface minimale cartographiable choisie (15 625 m²).",IF(AND($T$456="X",MIN($B$761:$B$780,$B$755)*$T$107*100&lt;2500),"La part d'un sous-ensemble homogène est inférieure à la surface minimale cartographiable choisie (2500 m²).",IF(AND($J$457="X",MIN($B$761:$B$780,$B$755)*$T$107*100&lt;625),"La part d'un sous-ensemble homogène est inférieure à la surface minimale cartographiable choisie (625 m²).",IF(AND($T$457="X",MIN($B$761:$B$780,$B$755)*$T$107*100&lt;156),"La part d'un sous-ensemble homogène est inférieure à la surface minimale cartographiable choisie (156 m²).",""))))),IF(OR(AND(MIN($G$761:$G$780)&gt;0,MIN($G$761:$G$780)&lt;4),MAX($G$761:$G$780)&gt;9),"Les valeurs de pH &gt; 9 ou &lt; 4 sont improbables. ",""),IF(OR(SUMIFS($L$761:$L$780,$H$761:$H$780,"x")&gt;0,SUMIFS($L$761:$L$780,$N$761:$N$780,{"TF";"TM";"TS"})&gt;0),"Il ne peut pas y avoir à la fois un épisolum humifère et un horizon histique ou de la tourbe en surface. ",""),IF(MAX($A$761:$A$780)&lt;16,"","Le n° des sous-ensembles homogènes doit être compris entre 0 et 15. "),IF(COUNTIF(N761:Y780,"A")+COUNTIF(N761:Y780,"AL")+COUNTIF(N761:Y780,"LA")+COUNTIF(N761:Y780,"L")+COUNTIF(N761:Y780,"LS")+COUNTIF(N761:Y780,"SL")+COUNTIF(N761:Y780,"S")+COUNTIF(N761:Y780,"TS")+COUNTIF(N761:Y780,"TM")+COUNTIF(N761:Y780,"TF")+COUNTIF(N761:Y780,"C")&lt;COUNTA(N761:Y780),"Erreur de saisie d'au moins une valeur renseignée dans les informations sur la texture et les horizons histiques.",""))</f>
        <v/>
      </c>
      <c r="X784" s="493"/>
      <c r="Y784" s="493"/>
      <c r="Z784" s="493"/>
      <c r="AA784" s="493"/>
      <c r="AB784" s="493"/>
    </row>
    <row r="785" spans="1:28" ht="17.25" customHeight="1" x14ac:dyDescent="0.2">
      <c r="A785" s="493"/>
      <c r="B785" s="493"/>
      <c r="C785" s="521"/>
      <c r="D785" s="494"/>
      <c r="E785" s="521"/>
      <c r="F785" s="521"/>
      <c r="G785" s="521"/>
      <c r="H785" s="521"/>
      <c r="I785" s="521"/>
      <c r="J785" s="493"/>
      <c r="K785" s="493"/>
      <c r="L785" s="493"/>
      <c r="M785" s="493"/>
      <c r="N785" s="493"/>
      <c r="O785" s="493"/>
      <c r="P785" s="493"/>
      <c r="Q785" s="493"/>
      <c r="R785" s="493"/>
      <c r="S785" s="493"/>
      <c r="T785" s="347"/>
      <c r="U785" s="347"/>
      <c r="V785" s="347"/>
      <c r="W785" s="398"/>
      <c r="X785" s="493"/>
      <c r="Y785" s="493"/>
      <c r="Z785" s="493"/>
      <c r="AA785" s="493"/>
      <c r="AB785" s="493"/>
    </row>
    <row r="786" spans="1:28" ht="18" customHeight="1" x14ac:dyDescent="0.2">
      <c r="A786" s="337"/>
      <c r="B786" s="337"/>
      <c r="C786" s="498" t="s">
        <v>272</v>
      </c>
      <c r="D786" s="337"/>
      <c r="E786" s="337"/>
      <c r="F786" s="337"/>
      <c r="G786" s="337"/>
      <c r="H786" s="337"/>
      <c r="I786" s="337"/>
      <c r="J786" s="337"/>
      <c r="K786" s="337"/>
      <c r="L786" s="337"/>
      <c r="M786" s="337"/>
      <c r="N786" s="337"/>
      <c r="O786" s="337"/>
      <c r="P786" s="337"/>
      <c r="Q786" s="337"/>
      <c r="R786" s="337"/>
      <c r="S786" s="337"/>
      <c r="T786" s="425"/>
      <c r="U786" s="425"/>
      <c r="V786" s="425"/>
      <c r="W786" s="425"/>
      <c r="X786" s="425"/>
      <c r="Y786" s="425"/>
      <c r="Z786" s="425"/>
      <c r="AA786" s="425"/>
    </row>
    <row r="787" spans="1:28" ht="18" customHeight="1" x14ac:dyDescent="0.2">
      <c r="A787" s="337"/>
      <c r="B787" s="337"/>
      <c r="C787" s="536"/>
      <c r="D787" s="537"/>
      <c r="E787" s="537"/>
      <c r="F787" s="537"/>
      <c r="G787" s="537"/>
      <c r="H787" s="537"/>
      <c r="I787" s="537"/>
      <c r="J787" s="537"/>
      <c r="K787" s="537"/>
      <c r="L787" s="537"/>
      <c r="M787" s="537"/>
      <c r="N787" s="537"/>
      <c r="O787" s="537"/>
      <c r="P787" s="537"/>
      <c r="Q787" s="537"/>
      <c r="R787" s="537"/>
      <c r="S787" s="537"/>
      <c r="T787" s="537"/>
      <c r="U787" s="537"/>
      <c r="V787" s="537"/>
      <c r="W787" s="538"/>
      <c r="X787" s="425"/>
      <c r="Y787" s="425"/>
      <c r="Z787" s="425"/>
      <c r="AA787" s="425"/>
    </row>
    <row r="788" spans="1:28" ht="17.25" customHeight="1" x14ac:dyDescent="0.2">
      <c r="A788" s="337"/>
      <c r="B788" s="337"/>
      <c r="C788" s="345"/>
      <c r="D788" s="337"/>
      <c r="E788" s="337"/>
      <c r="F788" s="337"/>
      <c r="G788" s="337"/>
      <c r="H788" s="337"/>
      <c r="I788" s="337"/>
      <c r="J788" s="337"/>
      <c r="K788" s="337"/>
      <c r="L788" s="337"/>
      <c r="M788" s="337"/>
      <c r="N788" s="337"/>
      <c r="O788" s="337"/>
    </row>
    <row r="789" spans="1:28" ht="17.25" customHeight="1" x14ac:dyDescent="0.2">
      <c r="A789" s="337"/>
      <c r="B789" s="337"/>
      <c r="C789" s="345"/>
      <c r="D789" s="337"/>
      <c r="E789" s="337"/>
      <c r="F789" s="337"/>
      <c r="G789" s="337"/>
      <c r="H789" s="337"/>
      <c r="I789" s="337"/>
      <c r="J789" s="337"/>
      <c r="K789" s="337"/>
      <c r="L789" s="337"/>
      <c r="M789" s="337"/>
      <c r="N789" s="337"/>
      <c r="O789" s="337"/>
    </row>
    <row r="790" spans="1:28" ht="33.75" customHeight="1" x14ac:dyDescent="0.2">
      <c r="A790" s="337"/>
      <c r="B790" s="337"/>
      <c r="C790" s="341" t="s">
        <v>390</v>
      </c>
      <c r="D790" s="695" t="s">
        <v>412</v>
      </c>
      <c r="E790" s="696"/>
      <c r="F790" s="696"/>
      <c r="G790" s="696"/>
      <c r="H790" s="696"/>
      <c r="I790" s="696"/>
      <c r="J790" s="696"/>
      <c r="K790" s="696"/>
      <c r="L790" s="696"/>
      <c r="M790" s="696"/>
      <c r="N790" s="696"/>
      <c r="O790" s="696"/>
      <c r="P790" s="696"/>
      <c r="Q790" s="696"/>
      <c r="R790" s="696"/>
      <c r="S790" s="696"/>
      <c r="T790" s="696"/>
      <c r="U790" s="696"/>
      <c r="V790" s="696"/>
      <c r="W790" s="696"/>
      <c r="X790" s="696"/>
      <c r="Y790" s="697"/>
    </row>
    <row r="791" spans="1:28" ht="16.5" customHeight="1" x14ac:dyDescent="0.2">
      <c r="A791" s="337"/>
      <c r="B791" s="337"/>
      <c r="C791" s="337"/>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row>
    <row r="792" spans="1:28" ht="18" customHeight="1" x14ac:dyDescent="0.2">
      <c r="A792" s="337"/>
      <c r="B792" s="337"/>
      <c r="C792" s="727" t="s">
        <v>121</v>
      </c>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row>
    <row r="793" spans="1:28" ht="18" customHeight="1" thickBot="1" x14ac:dyDescent="0.25">
      <c r="A793" s="337"/>
      <c r="B793" s="33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row>
    <row r="794" spans="1:28" ht="18" customHeight="1" thickBot="1" x14ac:dyDescent="0.25">
      <c r="A794" s="337"/>
      <c r="B794" s="337"/>
      <c r="C794" s="345"/>
      <c r="D794" s="337"/>
      <c r="E794" s="337"/>
      <c r="F794" s="337"/>
      <c r="G794" s="337"/>
      <c r="H794" s="337"/>
      <c r="I794" s="337"/>
      <c r="J794" s="337"/>
      <c r="K794" s="337"/>
      <c r="L794" s="337"/>
      <c r="M794" s="337"/>
      <c r="N794" s="337"/>
      <c r="O794" s="337"/>
      <c r="P794" s="337"/>
      <c r="Q794" s="337"/>
      <c r="R794" s="337"/>
      <c r="S794" s="337"/>
      <c r="T794" s="395"/>
      <c r="U794" s="396"/>
      <c r="V794" s="396"/>
      <c r="W794" s="397" t="str">
        <f>IF(AND(COUNTIF($H$761:$H$780,"X")=0,OR($J$797="X",$T$797="X")),"Il n'y a pas de traits d'hydromorphie histiques dans le site, la présence de fosses d'extraction de tourbe est donc peu probable.","")</f>
        <v/>
      </c>
      <c r="X794" s="425"/>
      <c r="Y794" s="425"/>
      <c r="Z794" s="425"/>
      <c r="AA794" s="425"/>
    </row>
    <row r="795" spans="1:28" ht="18" customHeight="1" x14ac:dyDescent="0.2">
      <c r="A795" s="337"/>
      <c r="B795" s="337"/>
      <c r="C795" s="583" t="s">
        <v>341</v>
      </c>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row>
    <row r="796" spans="1:28" ht="18" customHeight="1" x14ac:dyDescent="0.2">
      <c r="A796" s="337"/>
      <c r="B796" s="337"/>
      <c r="C796" s="592"/>
      <c r="D796" s="592"/>
      <c r="E796" s="592"/>
      <c r="F796" s="592"/>
      <c r="G796" s="592"/>
      <c r="H796" s="592"/>
      <c r="I796" s="592"/>
      <c r="J796" s="592"/>
      <c r="K796" s="592"/>
      <c r="L796" s="592"/>
      <c r="M796" s="592"/>
      <c r="N796" s="592"/>
      <c r="O796" s="592"/>
      <c r="P796" s="592"/>
      <c r="Q796" s="592"/>
      <c r="R796" s="592"/>
      <c r="S796" s="592"/>
      <c r="T796" s="592"/>
      <c r="U796" s="592"/>
      <c r="V796" s="592"/>
      <c r="W796" s="592"/>
      <c r="X796" s="592"/>
      <c r="Y796" s="592"/>
    </row>
    <row r="797" spans="1:28" ht="18" customHeight="1" x14ac:dyDescent="0.2">
      <c r="A797" s="337"/>
      <c r="B797" s="337"/>
      <c r="C797" s="354" t="s">
        <v>234</v>
      </c>
      <c r="D797" s="354"/>
      <c r="E797" s="337"/>
      <c r="H797" s="368"/>
      <c r="I797" s="353" t="s">
        <v>28</v>
      </c>
      <c r="J797" s="588"/>
      <c r="K797" s="588"/>
      <c r="P797" s="339"/>
      <c r="Q797" s="368"/>
      <c r="R797" s="368"/>
      <c r="S797" s="369" t="s">
        <v>29</v>
      </c>
      <c r="T797" s="588"/>
      <c r="U797" s="588"/>
      <c r="V797" s="588"/>
      <c r="W797" s="588"/>
    </row>
    <row r="798" spans="1:28" ht="18" customHeight="1" x14ac:dyDescent="0.2">
      <c r="A798" s="337"/>
      <c r="B798" s="337"/>
      <c r="C798" s="374"/>
      <c r="D798" s="374"/>
      <c r="E798" s="374"/>
      <c r="F798" s="374"/>
      <c r="G798" s="374"/>
      <c r="H798" s="374"/>
      <c r="I798" s="374"/>
      <c r="J798" s="374"/>
      <c r="K798" s="374"/>
      <c r="L798" s="374"/>
      <c r="M798" s="374"/>
      <c r="N798" s="374"/>
      <c r="O798" s="374"/>
      <c r="P798" s="374"/>
      <c r="Q798" s="374"/>
      <c r="R798" s="374"/>
      <c r="S798" s="374"/>
      <c r="T798" s="374"/>
      <c r="U798" s="374"/>
      <c r="V798" s="374"/>
      <c r="W798" s="374"/>
      <c r="X798" s="374"/>
      <c r="Y798" s="374"/>
    </row>
    <row r="799" spans="1:28" ht="18" customHeight="1" x14ac:dyDescent="0.2">
      <c r="A799" s="337"/>
      <c r="B799" s="337"/>
      <c r="C799" s="374"/>
      <c r="D799" s="374"/>
      <c r="E799" s="374"/>
      <c r="F799" s="374"/>
      <c r="G799" s="374"/>
      <c r="H799" s="374"/>
      <c r="I799" s="374"/>
      <c r="J799" s="374"/>
      <c r="K799" s="374"/>
      <c r="L799" s="374"/>
      <c r="M799" s="374"/>
      <c r="N799" s="374"/>
      <c r="O799" s="374"/>
      <c r="P799" s="374"/>
      <c r="Q799" s="374"/>
      <c r="R799" s="374"/>
      <c r="S799" s="374"/>
      <c r="T799" s="374"/>
      <c r="U799" s="374"/>
      <c r="V799" s="374"/>
      <c r="W799" s="374"/>
      <c r="X799" s="374"/>
      <c r="Y799" s="374"/>
    </row>
    <row r="800" spans="1:28" ht="35.25" customHeight="1" x14ac:dyDescent="0.2">
      <c r="A800" s="337"/>
      <c r="B800" s="337"/>
      <c r="C800" s="341">
        <v>3</v>
      </c>
      <c r="D800" s="695" t="s">
        <v>384</v>
      </c>
      <c r="E800" s="696"/>
      <c r="F800" s="696"/>
      <c r="G800" s="696"/>
      <c r="H800" s="696"/>
      <c r="I800" s="696"/>
      <c r="J800" s="696"/>
      <c r="K800" s="696"/>
      <c r="L800" s="696"/>
      <c r="M800" s="696"/>
      <c r="N800" s="696"/>
      <c r="O800" s="696"/>
      <c r="P800" s="696"/>
      <c r="Q800" s="696"/>
      <c r="R800" s="696"/>
      <c r="S800" s="696"/>
      <c r="T800" s="696"/>
      <c r="U800" s="696"/>
      <c r="V800" s="696"/>
      <c r="W800" s="696"/>
      <c r="X800" s="696"/>
      <c r="Y800" s="697"/>
    </row>
    <row r="801" spans="1:25" ht="18" customHeight="1" x14ac:dyDescent="0.2">
      <c r="A801" s="337"/>
      <c r="B801" s="337"/>
      <c r="C801" s="374"/>
      <c r="D801" s="374"/>
      <c r="E801" s="374"/>
      <c r="F801" s="374"/>
      <c r="G801" s="374"/>
      <c r="H801" s="374"/>
      <c r="I801" s="374"/>
      <c r="J801" s="374"/>
      <c r="K801" s="374"/>
      <c r="L801" s="374"/>
      <c r="M801" s="374"/>
      <c r="N801" s="374"/>
      <c r="O801" s="374"/>
      <c r="P801" s="374"/>
      <c r="Q801" s="374"/>
      <c r="R801" s="374"/>
      <c r="S801" s="374"/>
      <c r="T801" s="374"/>
      <c r="U801" s="374"/>
      <c r="V801" s="374"/>
      <c r="W801" s="374"/>
      <c r="X801" s="374"/>
      <c r="Y801" s="374"/>
    </row>
    <row r="802" spans="1:25" ht="18" customHeight="1" x14ac:dyDescent="0.2">
      <c r="A802" s="337"/>
      <c r="B802" s="337"/>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4"/>
    </row>
    <row r="803" spans="1:25" ht="33.75" customHeight="1" x14ac:dyDescent="0.2">
      <c r="A803" s="337"/>
      <c r="B803" s="337"/>
      <c r="C803" s="341" t="s">
        <v>389</v>
      </c>
      <c r="D803" s="695" t="s">
        <v>413</v>
      </c>
      <c r="E803" s="696"/>
      <c r="F803" s="696"/>
      <c r="G803" s="696"/>
      <c r="H803" s="696"/>
      <c r="I803" s="696"/>
      <c r="J803" s="696"/>
      <c r="K803" s="696"/>
      <c r="L803" s="696"/>
      <c r="M803" s="696"/>
      <c r="N803" s="696"/>
      <c r="O803" s="696"/>
      <c r="P803" s="696"/>
      <c r="Q803" s="696"/>
      <c r="R803" s="696"/>
      <c r="S803" s="696"/>
      <c r="T803" s="696"/>
      <c r="U803" s="696"/>
      <c r="V803" s="696"/>
      <c r="W803" s="696"/>
      <c r="X803" s="696"/>
      <c r="Y803" s="697"/>
    </row>
    <row r="804" spans="1:25" ht="18" customHeight="1" x14ac:dyDescent="0.2">
      <c r="A804" s="337"/>
      <c r="B804" s="337"/>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row>
    <row r="805" spans="1:25" ht="18" customHeight="1" x14ac:dyDescent="0.2">
      <c r="C805" s="581" t="s">
        <v>342</v>
      </c>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row>
    <row r="806" spans="1:25" ht="18" customHeight="1" x14ac:dyDescent="0.2">
      <c r="C806" s="337"/>
      <c r="D806" s="337"/>
      <c r="E806" s="337"/>
      <c r="F806" s="337"/>
      <c r="G806" s="337"/>
      <c r="H806" s="337"/>
      <c r="I806" s="337"/>
      <c r="J806" s="337"/>
      <c r="K806" s="394"/>
      <c r="L806" s="337"/>
      <c r="M806" s="337"/>
      <c r="N806" s="337"/>
      <c r="O806" s="337"/>
      <c r="S806" s="369" t="s">
        <v>343</v>
      </c>
      <c r="T806" s="590"/>
      <c r="U806" s="590"/>
      <c r="V806" s="590"/>
      <c r="W806" s="590"/>
      <c r="X806" s="591" t="s">
        <v>120</v>
      </c>
      <c r="Y806" s="591"/>
    </row>
    <row r="807" spans="1:25" ht="18" customHeight="1" x14ac:dyDescent="0.2">
      <c r="C807" s="337"/>
      <c r="D807" s="337"/>
      <c r="E807" s="337"/>
      <c r="F807" s="337"/>
      <c r="G807" s="337"/>
      <c r="H807" s="337"/>
      <c r="I807" s="411"/>
      <c r="J807" s="411"/>
      <c r="K807" s="394"/>
      <c r="L807" s="337"/>
      <c r="M807" s="337"/>
      <c r="N807" s="337"/>
      <c r="O807" s="337"/>
    </row>
    <row r="808" spans="1:25" ht="18" customHeight="1" x14ac:dyDescent="0.2">
      <c r="C808" s="337"/>
      <c r="D808" s="337"/>
      <c r="E808" s="337"/>
      <c r="F808" s="337"/>
      <c r="G808" s="337"/>
      <c r="H808" s="337"/>
      <c r="I808" s="501"/>
      <c r="J808" s="501"/>
      <c r="K808" s="394"/>
      <c r="L808" s="337"/>
      <c r="M808" s="337"/>
      <c r="N808" s="337"/>
      <c r="O808" s="337"/>
    </row>
    <row r="809" spans="1:25" ht="35.25" customHeight="1" x14ac:dyDescent="0.2">
      <c r="A809" s="337"/>
      <c r="B809" s="337"/>
      <c r="C809" s="341" t="s">
        <v>388</v>
      </c>
      <c r="D809" s="695" t="s">
        <v>414</v>
      </c>
      <c r="E809" s="696"/>
      <c r="F809" s="696"/>
      <c r="G809" s="696"/>
      <c r="H809" s="696"/>
      <c r="I809" s="696"/>
      <c r="J809" s="696"/>
      <c r="K809" s="696"/>
      <c r="L809" s="696"/>
      <c r="M809" s="696"/>
      <c r="N809" s="696"/>
      <c r="O809" s="696"/>
      <c r="P809" s="696"/>
      <c r="Q809" s="696"/>
      <c r="R809" s="696"/>
      <c r="S809" s="696"/>
      <c r="T809" s="696"/>
      <c r="U809" s="696"/>
      <c r="V809" s="696"/>
      <c r="W809" s="696"/>
      <c r="X809" s="696"/>
      <c r="Y809" s="697"/>
    </row>
    <row r="810" spans="1:25" ht="18" customHeight="1" x14ac:dyDescent="0.2">
      <c r="A810" s="337"/>
      <c r="B810" s="337"/>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row>
    <row r="811" spans="1:25" ht="18" customHeight="1" x14ac:dyDescent="0.2">
      <c r="C811" s="581" t="s">
        <v>344</v>
      </c>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row>
    <row r="812" spans="1:25" ht="18" customHeight="1" x14ac:dyDescent="0.2">
      <c r="C812" s="337"/>
      <c r="D812" s="337"/>
      <c r="E812" s="337"/>
      <c r="F812" s="337"/>
      <c r="G812" s="337"/>
      <c r="H812" s="337"/>
      <c r="I812" s="337"/>
      <c r="J812" s="337"/>
      <c r="K812" s="337"/>
      <c r="L812" s="337"/>
      <c r="M812" s="337"/>
      <c r="N812" s="337"/>
      <c r="O812" s="337"/>
      <c r="S812" s="369" t="s">
        <v>273</v>
      </c>
      <c r="T812" s="578"/>
      <c r="U812" s="578"/>
      <c r="V812" s="578"/>
      <c r="W812" s="578"/>
      <c r="X812" s="591" t="s">
        <v>112</v>
      </c>
      <c r="Y812" s="591"/>
    </row>
    <row r="813" spans="1:25" ht="18" customHeight="1" x14ac:dyDescent="0.2">
      <c r="C813" s="337"/>
      <c r="D813" s="337"/>
      <c r="E813" s="337"/>
      <c r="F813" s="337"/>
      <c r="G813" s="337"/>
      <c r="H813" s="337"/>
      <c r="I813" s="337"/>
      <c r="J813" s="337"/>
      <c r="K813" s="337"/>
      <c r="L813" s="337"/>
      <c r="M813" s="337"/>
      <c r="N813" s="337"/>
      <c r="O813" s="337"/>
    </row>
    <row r="814" spans="1:25" ht="18" customHeight="1" x14ac:dyDescent="0.2">
      <c r="C814" s="337"/>
      <c r="D814" s="337"/>
      <c r="E814" s="337"/>
      <c r="F814" s="337"/>
      <c r="G814" s="337"/>
      <c r="H814" s="337"/>
      <c r="I814" s="337"/>
      <c r="J814" s="337"/>
      <c r="K814" s="337"/>
      <c r="L814" s="337"/>
      <c r="M814" s="337"/>
      <c r="N814" s="337"/>
      <c r="O814" s="337"/>
    </row>
    <row r="815" spans="1:25" ht="18" customHeight="1" x14ac:dyDescent="0.2">
      <c r="C815" s="581" t="s">
        <v>345</v>
      </c>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row>
    <row r="816" spans="1:25" ht="18" customHeight="1" thickBot="1" x14ac:dyDescent="0.25">
      <c r="C816" s="337"/>
      <c r="D816" s="337"/>
      <c r="E816" s="337"/>
      <c r="F816" s="337"/>
      <c r="G816" s="337"/>
      <c r="H816" s="337"/>
      <c r="I816" s="337"/>
      <c r="J816" s="337"/>
      <c r="K816" s="337"/>
      <c r="L816" s="337"/>
      <c r="M816" s="337"/>
      <c r="N816" s="337"/>
      <c r="O816" s="337"/>
      <c r="S816" s="369" t="s">
        <v>274</v>
      </c>
      <c r="T816" s="701"/>
      <c r="U816" s="701"/>
      <c r="V816" s="701"/>
      <c r="W816" s="701"/>
      <c r="X816" s="703"/>
      <c r="Y816" s="703"/>
    </row>
    <row r="817" spans="1:25" ht="18" customHeight="1" thickBot="1" x14ac:dyDescent="0.25">
      <c r="C817" s="337"/>
      <c r="D817" s="337"/>
      <c r="E817" s="337"/>
      <c r="F817" s="337"/>
      <c r="G817" s="337"/>
      <c r="H817" s="337"/>
      <c r="I817" s="337"/>
      <c r="J817" s="337"/>
      <c r="K817" s="337"/>
      <c r="L817" s="337"/>
      <c r="M817" s="337"/>
      <c r="N817" s="337"/>
      <c r="O817" s="337"/>
      <c r="T817" s="502"/>
      <c r="U817" s="396"/>
      <c r="V817" s="396"/>
      <c r="W817" s="397" t="str">
        <f>IF(ISBLANK($T$816),"",CONCATENATE(IF($T$816&gt;0,"","Le nombre d'unités d'habitats EUNIS niveau 1 dans le site ne peut pas être égal à 0. "),IF($T$816&lt;SUM(IF(COUNTIF($C$465:$C$479,"A*")&gt;0,1,0),IF(COUNTIF($C$465:$C$479,"B*")&gt;0,1,0),IF(COUNTIF($C$465:$C$479,"C*")&gt;0,1,0),IF(COUNTIF($C$465:$C$479,"D*")&gt;0,1,0),IF(COUNTIF($C$465:$C$479,"E*")&gt;0,1,0),IF(COUNTIF($C$465:$C$479,"F*")&gt;0,1,0),IF(COUNTIF($C$465:$C$479,"G*")&gt;0,1,0),IF(COUNTIF($C$465:$C$479,"H*")&gt;0,1,0),IF(COUNTIF($C$465:$C$479,"I*")&gt;0,1,0),IF(COUNTIF($C$465:$C$479,"J*")&gt;0,1,0)),"La réponse donnée doit être supérieure ou égale au nombre d'habitats EUNIS niveau 1 détectés dans le site (question 39). ",""),IF(AND($T$816&gt;1,SUM(IF(COUNTIF($C$465:$C$479,"A*")&gt;0,1,0),IF(COUNTIF($C$465:$C$479,"B*")&gt;0,1,0),IF(COUNTIF($C$465:$C$479,"C*")&gt;0,1,0),IF(COUNTIF($C$465:$C$479,"D*")&gt;0,1,0),IF(COUNTIF($C$465:$C$479,"E*")&gt;0,1,0),IF(COUNTIF($C$465:$C$479,"F*")&gt;0,1,0),IF(COUNTIF($C$465:$C$479,"G*")&gt;0,1,0),IF(COUNTIF($C$465:$C$479,"H*")&gt;0,1,0),IF(COUNTIF($C$465:$C$479,"I*")&gt;0,1,0),IF(COUNTIF($C$465:$C$479,"J*")&gt;0,1,0))=1),"Il n’y a qu’un habitat EUNIS niveau 1 dans le site (question 39), il ne peut pas y avoir plusieurs unités d’habitats EUNIS niveau 1. ","")))</f>
        <v/>
      </c>
    </row>
    <row r="818" spans="1:25" ht="18" customHeight="1" x14ac:dyDescent="0.2">
      <c r="C818" s="337"/>
      <c r="D818" s="337"/>
      <c r="E818" s="337"/>
      <c r="F818" s="337"/>
      <c r="G818" s="337"/>
      <c r="H818" s="337"/>
      <c r="I818" s="337"/>
      <c r="J818" s="337"/>
      <c r="K818" s="337"/>
      <c r="L818" s="337"/>
      <c r="M818" s="337"/>
      <c r="N818" s="337"/>
      <c r="O818" s="337"/>
      <c r="T818" s="347"/>
      <c r="U818" s="347"/>
      <c r="V818" s="347"/>
      <c r="W818" s="398"/>
    </row>
    <row r="819" spans="1:25" ht="18" customHeight="1" x14ac:dyDescent="0.2">
      <c r="C819" s="583" t="s">
        <v>346</v>
      </c>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row>
    <row r="820" spans="1:25" ht="18" customHeight="1" x14ac:dyDescent="0.2">
      <c r="C820" s="592"/>
      <c r="D820" s="592"/>
      <c r="E820" s="592"/>
      <c r="F820" s="592"/>
      <c r="G820" s="592"/>
      <c r="H820" s="592"/>
      <c r="I820" s="592"/>
      <c r="J820" s="592"/>
      <c r="K820" s="592"/>
      <c r="L820" s="592"/>
      <c r="M820" s="592"/>
      <c r="N820" s="592"/>
      <c r="O820" s="592"/>
      <c r="P820" s="592"/>
      <c r="Q820" s="592"/>
      <c r="R820" s="592"/>
      <c r="S820" s="592"/>
      <c r="T820" s="592"/>
      <c r="U820" s="592"/>
      <c r="V820" s="592"/>
      <c r="W820" s="592"/>
      <c r="X820" s="592"/>
      <c r="Y820" s="592"/>
    </row>
    <row r="821" spans="1:25" ht="18" customHeight="1" x14ac:dyDescent="0.2">
      <c r="C821" s="728" t="s">
        <v>275</v>
      </c>
      <c r="D821" s="728"/>
      <c r="E821" s="728"/>
      <c r="F821" s="728"/>
      <c r="G821" s="728"/>
      <c r="H821" s="728"/>
      <c r="I821" s="728"/>
      <c r="J821" s="728"/>
      <c r="K821" s="728"/>
      <c r="L821" s="728"/>
      <c r="M821" s="728"/>
      <c r="N821" s="728"/>
      <c r="O821" s="728"/>
      <c r="P821" s="728"/>
      <c r="Q821" s="728"/>
      <c r="R821" s="728"/>
      <c r="S821" s="728"/>
      <c r="T821" s="514"/>
      <c r="U821" s="514"/>
      <c r="V821" s="514"/>
      <c r="W821" s="514"/>
      <c r="X821" s="513"/>
      <c r="Y821" s="513"/>
    </row>
    <row r="822" spans="1:25" ht="18" customHeight="1" thickBot="1" x14ac:dyDescent="0.25">
      <c r="C822" s="729"/>
      <c r="D822" s="729"/>
      <c r="E822" s="729"/>
      <c r="F822" s="729"/>
      <c r="G822" s="729"/>
      <c r="H822" s="729"/>
      <c r="I822" s="729"/>
      <c r="J822" s="729"/>
      <c r="K822" s="729"/>
      <c r="L822" s="729"/>
      <c r="M822" s="729"/>
      <c r="N822" s="729"/>
      <c r="O822" s="729"/>
      <c r="P822" s="729"/>
      <c r="Q822" s="729"/>
      <c r="R822" s="729"/>
      <c r="S822" s="729"/>
      <c r="T822" s="578"/>
      <c r="U822" s="578"/>
      <c r="V822" s="578"/>
      <c r="W822" s="578"/>
      <c r="X822" s="591" t="s">
        <v>112</v>
      </c>
      <c r="Y822" s="591"/>
    </row>
    <row r="823" spans="1:25" ht="18" customHeight="1" thickBot="1" x14ac:dyDescent="0.25">
      <c r="A823" s="337"/>
      <c r="B823" s="337"/>
      <c r="C823" s="337"/>
      <c r="D823" s="337"/>
      <c r="E823" s="337"/>
      <c r="F823" s="337"/>
      <c r="G823" s="337"/>
      <c r="H823" s="337"/>
      <c r="I823" s="337"/>
      <c r="J823" s="337"/>
      <c r="K823" s="337"/>
      <c r="L823" s="337"/>
      <c r="M823" s="337"/>
      <c r="N823" s="386"/>
      <c r="O823" s="380"/>
      <c r="T823" s="395"/>
      <c r="U823" s="396"/>
      <c r="V823" s="396"/>
      <c r="W823" s="397" t="str">
        <f>IF(OR($T$822="",$T$816=""),"",IF($T$822/$T$816&gt;1,"La distance maximale entre deux unités d'habitats est de 1 km.",""))</f>
        <v/>
      </c>
    </row>
    <row r="824" spans="1:25" ht="18" customHeight="1" x14ac:dyDescent="0.2">
      <c r="A824" s="337"/>
      <c r="B824" s="337"/>
      <c r="C824" s="337"/>
      <c r="D824" s="337"/>
      <c r="E824" s="337"/>
      <c r="F824" s="337"/>
      <c r="G824" s="337"/>
      <c r="H824" s="337"/>
      <c r="I824" s="337"/>
      <c r="J824" s="337"/>
      <c r="K824" s="337"/>
      <c r="L824" s="337"/>
      <c r="M824" s="337"/>
      <c r="N824" s="386"/>
      <c r="O824" s="380"/>
    </row>
    <row r="825" spans="1:25" ht="33.75" customHeight="1" x14ac:dyDescent="0.2">
      <c r="A825" s="337"/>
      <c r="B825" s="337"/>
      <c r="C825" s="341" t="s">
        <v>387</v>
      </c>
      <c r="D825" s="695" t="s">
        <v>412</v>
      </c>
      <c r="E825" s="696"/>
      <c r="F825" s="696"/>
      <c r="G825" s="696"/>
      <c r="H825" s="696"/>
      <c r="I825" s="696"/>
      <c r="J825" s="696"/>
      <c r="K825" s="696"/>
      <c r="L825" s="696"/>
      <c r="M825" s="696"/>
      <c r="N825" s="696"/>
      <c r="O825" s="696"/>
      <c r="P825" s="696"/>
      <c r="Q825" s="696"/>
      <c r="R825" s="696"/>
      <c r="S825" s="696"/>
      <c r="T825" s="696"/>
      <c r="U825" s="696"/>
      <c r="V825" s="696"/>
      <c r="W825" s="696"/>
      <c r="X825" s="696"/>
      <c r="Y825" s="697"/>
    </row>
    <row r="826" spans="1:25" ht="18" customHeight="1" x14ac:dyDescent="0.2">
      <c r="A826" s="337"/>
      <c r="B826" s="337"/>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row>
    <row r="827" spans="1:25" ht="18" customHeight="1" x14ac:dyDescent="0.2">
      <c r="A827" s="337"/>
      <c r="B827" s="337"/>
      <c r="C827" s="583" t="s">
        <v>347</v>
      </c>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row>
    <row r="828" spans="1:25" ht="18" customHeight="1" x14ac:dyDescent="0.2">
      <c r="A828" s="337"/>
      <c r="B828" s="337"/>
      <c r="C828" s="592"/>
      <c r="D828" s="592"/>
      <c r="E828" s="592"/>
      <c r="F828" s="592"/>
      <c r="G828" s="592"/>
      <c r="H828" s="592"/>
      <c r="I828" s="592"/>
      <c r="J828" s="592"/>
      <c r="K828" s="592"/>
      <c r="L828" s="592"/>
      <c r="M828" s="592"/>
      <c r="N828" s="592"/>
      <c r="O828" s="592"/>
      <c r="P828" s="592"/>
      <c r="Q828" s="592"/>
      <c r="R828" s="592"/>
      <c r="S828" s="592"/>
      <c r="T828" s="592"/>
      <c r="U828" s="592"/>
      <c r="V828" s="592"/>
      <c r="W828" s="592"/>
      <c r="X828" s="592"/>
      <c r="Y828" s="592"/>
    </row>
    <row r="829" spans="1:25" ht="18" customHeight="1" x14ac:dyDescent="0.2">
      <c r="A829" s="337"/>
      <c r="B829" s="337"/>
      <c r="C829" s="718"/>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20"/>
    </row>
    <row r="830" spans="1:25" ht="18" customHeight="1" x14ac:dyDescent="0.2">
      <c r="A830" s="337"/>
      <c r="B830" s="337"/>
      <c r="C830" s="721"/>
      <c r="D830" s="722"/>
      <c r="E830" s="722"/>
      <c r="F830" s="722"/>
      <c r="G830" s="722"/>
      <c r="H830" s="722"/>
      <c r="I830" s="722"/>
      <c r="J830" s="722"/>
      <c r="K830" s="722"/>
      <c r="L830" s="722"/>
      <c r="M830" s="722"/>
      <c r="N830" s="722"/>
      <c r="O830" s="722"/>
      <c r="P830" s="722"/>
      <c r="Q830" s="722"/>
      <c r="R830" s="722"/>
      <c r="S830" s="722"/>
      <c r="T830" s="722"/>
      <c r="U830" s="722"/>
      <c r="V830" s="722"/>
      <c r="W830" s="722"/>
      <c r="X830" s="722"/>
      <c r="Y830" s="723"/>
    </row>
    <row r="831" spans="1:25" ht="18" customHeight="1" x14ac:dyDescent="0.2">
      <c r="A831" s="337"/>
      <c r="B831" s="337"/>
      <c r="C831" s="721"/>
      <c r="D831" s="722"/>
      <c r="E831" s="722"/>
      <c r="F831" s="722"/>
      <c r="G831" s="722"/>
      <c r="H831" s="722"/>
      <c r="I831" s="722"/>
      <c r="J831" s="722"/>
      <c r="K831" s="722"/>
      <c r="L831" s="722"/>
      <c r="M831" s="722"/>
      <c r="N831" s="722"/>
      <c r="O831" s="722"/>
      <c r="P831" s="722"/>
      <c r="Q831" s="722"/>
      <c r="R831" s="722"/>
      <c r="S831" s="722"/>
      <c r="T831" s="722"/>
      <c r="U831" s="722"/>
      <c r="V831" s="722"/>
      <c r="W831" s="722"/>
      <c r="X831" s="722"/>
      <c r="Y831" s="723"/>
    </row>
    <row r="832" spans="1:25" ht="18" customHeight="1" x14ac:dyDescent="0.2">
      <c r="C832" s="721"/>
      <c r="D832" s="722"/>
      <c r="E832" s="722"/>
      <c r="F832" s="722"/>
      <c r="G832" s="722"/>
      <c r="H832" s="722"/>
      <c r="I832" s="722"/>
      <c r="J832" s="722"/>
      <c r="K832" s="722"/>
      <c r="L832" s="722"/>
      <c r="M832" s="722"/>
      <c r="N832" s="722"/>
      <c r="O832" s="722"/>
      <c r="P832" s="722"/>
      <c r="Q832" s="722"/>
      <c r="R832" s="722"/>
      <c r="S832" s="722"/>
      <c r="T832" s="722"/>
      <c r="U832" s="722"/>
      <c r="V832" s="722"/>
      <c r="W832" s="722"/>
      <c r="X832" s="722"/>
      <c r="Y832" s="723"/>
    </row>
    <row r="833" spans="3:25" ht="18" customHeight="1" x14ac:dyDescent="0.2">
      <c r="C833" s="721"/>
      <c r="D833" s="722"/>
      <c r="E833" s="722"/>
      <c r="F833" s="722"/>
      <c r="G833" s="722"/>
      <c r="H833" s="722"/>
      <c r="I833" s="722"/>
      <c r="J833" s="722"/>
      <c r="K833" s="722"/>
      <c r="L833" s="722"/>
      <c r="M833" s="722"/>
      <c r="N833" s="722"/>
      <c r="O833" s="722"/>
      <c r="P833" s="722"/>
      <c r="Q833" s="722"/>
      <c r="R833" s="722"/>
      <c r="S833" s="722"/>
      <c r="T833" s="722"/>
      <c r="U833" s="722"/>
      <c r="V833" s="722"/>
      <c r="W833" s="722"/>
      <c r="X833" s="722"/>
      <c r="Y833" s="723"/>
    </row>
    <row r="834" spans="3:25" ht="18" customHeight="1" x14ac:dyDescent="0.2">
      <c r="C834" s="721"/>
      <c r="D834" s="722"/>
      <c r="E834" s="722"/>
      <c r="F834" s="722"/>
      <c r="G834" s="722"/>
      <c r="H834" s="722"/>
      <c r="I834" s="722"/>
      <c r="J834" s="722"/>
      <c r="K834" s="722"/>
      <c r="L834" s="722"/>
      <c r="M834" s="722"/>
      <c r="N834" s="722"/>
      <c r="O834" s="722"/>
      <c r="P834" s="722"/>
      <c r="Q834" s="722"/>
      <c r="R834" s="722"/>
      <c r="S834" s="722"/>
      <c r="T834" s="722"/>
      <c r="U834" s="722"/>
      <c r="V834" s="722"/>
      <c r="W834" s="722"/>
      <c r="X834" s="722"/>
      <c r="Y834" s="723"/>
    </row>
    <row r="835" spans="3:25" ht="18" customHeight="1" x14ac:dyDescent="0.2">
      <c r="C835" s="721"/>
      <c r="D835" s="722"/>
      <c r="E835" s="722"/>
      <c r="F835" s="722"/>
      <c r="G835" s="722"/>
      <c r="H835" s="722"/>
      <c r="I835" s="722"/>
      <c r="J835" s="722"/>
      <c r="K835" s="722"/>
      <c r="L835" s="722"/>
      <c r="M835" s="722"/>
      <c r="N835" s="722"/>
      <c r="O835" s="722"/>
      <c r="P835" s="722"/>
      <c r="Q835" s="722"/>
      <c r="R835" s="722"/>
      <c r="S835" s="722"/>
      <c r="T835" s="722"/>
      <c r="U835" s="722"/>
      <c r="V835" s="722"/>
      <c r="W835" s="722"/>
      <c r="X835" s="722"/>
      <c r="Y835" s="723"/>
    </row>
    <row r="836" spans="3:25" ht="18" customHeight="1" x14ac:dyDescent="0.2">
      <c r="C836" s="721"/>
      <c r="D836" s="722"/>
      <c r="E836" s="722"/>
      <c r="F836" s="722"/>
      <c r="G836" s="722"/>
      <c r="H836" s="722"/>
      <c r="I836" s="722"/>
      <c r="J836" s="722"/>
      <c r="K836" s="722"/>
      <c r="L836" s="722"/>
      <c r="M836" s="722"/>
      <c r="N836" s="722"/>
      <c r="O836" s="722"/>
      <c r="P836" s="722"/>
      <c r="Q836" s="722"/>
      <c r="R836" s="722"/>
      <c r="S836" s="722"/>
      <c r="T836" s="722"/>
      <c r="U836" s="722"/>
      <c r="V836" s="722"/>
      <c r="W836" s="722"/>
      <c r="X836" s="722"/>
      <c r="Y836" s="723"/>
    </row>
    <row r="837" spans="3:25" ht="18" customHeight="1" x14ac:dyDescent="0.2">
      <c r="C837" s="721"/>
      <c r="D837" s="722"/>
      <c r="E837" s="722"/>
      <c r="F837" s="722"/>
      <c r="G837" s="722"/>
      <c r="H837" s="722"/>
      <c r="I837" s="722"/>
      <c r="J837" s="722"/>
      <c r="K837" s="722"/>
      <c r="L837" s="722"/>
      <c r="M837" s="722"/>
      <c r="N837" s="722"/>
      <c r="O837" s="722"/>
      <c r="P837" s="722"/>
      <c r="Q837" s="722"/>
      <c r="R837" s="722"/>
      <c r="S837" s="722"/>
      <c r="T837" s="722"/>
      <c r="U837" s="722"/>
      <c r="V837" s="722"/>
      <c r="W837" s="722"/>
      <c r="X837" s="722"/>
      <c r="Y837" s="723"/>
    </row>
    <row r="838" spans="3:25" ht="18" customHeight="1" x14ac:dyDescent="0.2">
      <c r="C838" s="721"/>
      <c r="D838" s="722"/>
      <c r="E838" s="722"/>
      <c r="F838" s="722"/>
      <c r="G838" s="722"/>
      <c r="H838" s="722"/>
      <c r="I838" s="722"/>
      <c r="J838" s="722"/>
      <c r="K838" s="722"/>
      <c r="L838" s="722"/>
      <c r="M838" s="722"/>
      <c r="N838" s="722"/>
      <c r="O838" s="722"/>
      <c r="P838" s="722"/>
      <c r="Q838" s="722"/>
      <c r="R838" s="722"/>
      <c r="S838" s="722"/>
      <c r="T838" s="722"/>
      <c r="U838" s="722"/>
      <c r="V838" s="722"/>
      <c r="W838" s="722"/>
      <c r="X838" s="722"/>
      <c r="Y838" s="723"/>
    </row>
    <row r="839" spans="3:25" ht="18" customHeight="1" x14ac:dyDescent="0.2">
      <c r="C839" s="721"/>
      <c r="D839" s="722"/>
      <c r="E839" s="722"/>
      <c r="F839" s="722"/>
      <c r="G839" s="722"/>
      <c r="H839" s="722"/>
      <c r="I839" s="722"/>
      <c r="J839" s="722"/>
      <c r="K839" s="722"/>
      <c r="L839" s="722"/>
      <c r="M839" s="722"/>
      <c r="N839" s="722"/>
      <c r="O839" s="722"/>
      <c r="P839" s="722"/>
      <c r="Q839" s="722"/>
      <c r="R839" s="722"/>
      <c r="S839" s="722"/>
      <c r="T839" s="722"/>
      <c r="U839" s="722"/>
      <c r="V839" s="722"/>
      <c r="W839" s="722"/>
      <c r="X839" s="722"/>
      <c r="Y839" s="723"/>
    </row>
    <row r="840" spans="3:25" ht="18" customHeight="1" x14ac:dyDescent="0.2">
      <c r="C840" s="721"/>
      <c r="D840" s="722"/>
      <c r="E840" s="722"/>
      <c r="F840" s="722"/>
      <c r="G840" s="722"/>
      <c r="H840" s="722"/>
      <c r="I840" s="722"/>
      <c r="J840" s="722"/>
      <c r="K840" s="722"/>
      <c r="L840" s="722"/>
      <c r="M840" s="722"/>
      <c r="N840" s="722"/>
      <c r="O840" s="722"/>
      <c r="P840" s="722"/>
      <c r="Q840" s="722"/>
      <c r="R840" s="722"/>
      <c r="S840" s="722"/>
      <c r="T840" s="722"/>
      <c r="U840" s="722"/>
      <c r="V840" s="722"/>
      <c r="W840" s="722"/>
      <c r="X840" s="722"/>
      <c r="Y840" s="723"/>
    </row>
    <row r="841" spans="3:25" ht="18" customHeight="1" x14ac:dyDescent="0.2">
      <c r="C841" s="721"/>
      <c r="D841" s="722"/>
      <c r="E841" s="722"/>
      <c r="F841" s="722"/>
      <c r="G841" s="722"/>
      <c r="H841" s="722"/>
      <c r="I841" s="722"/>
      <c r="J841" s="722"/>
      <c r="K841" s="722"/>
      <c r="L841" s="722"/>
      <c r="M841" s="722"/>
      <c r="N841" s="722"/>
      <c r="O841" s="722"/>
      <c r="P841" s="722"/>
      <c r="Q841" s="722"/>
      <c r="R841" s="722"/>
      <c r="S841" s="722"/>
      <c r="T841" s="722"/>
      <c r="U841" s="722"/>
      <c r="V841" s="722"/>
      <c r="W841" s="722"/>
      <c r="X841" s="722"/>
      <c r="Y841" s="723"/>
    </row>
    <row r="842" spans="3:25" ht="18" customHeight="1" x14ac:dyDescent="0.2">
      <c r="C842" s="721"/>
      <c r="D842" s="722"/>
      <c r="E842" s="722"/>
      <c r="F842" s="722"/>
      <c r="G842" s="722"/>
      <c r="H842" s="722"/>
      <c r="I842" s="722"/>
      <c r="J842" s="722"/>
      <c r="K842" s="722"/>
      <c r="L842" s="722"/>
      <c r="M842" s="722"/>
      <c r="N842" s="722"/>
      <c r="O842" s="722"/>
      <c r="P842" s="722"/>
      <c r="Q842" s="722"/>
      <c r="R842" s="722"/>
      <c r="S842" s="722"/>
      <c r="T842" s="722"/>
      <c r="U842" s="722"/>
      <c r="V842" s="722"/>
      <c r="W842" s="722"/>
      <c r="X842" s="722"/>
      <c r="Y842" s="723"/>
    </row>
    <row r="843" spans="3:25" ht="18" customHeight="1" x14ac:dyDescent="0.2">
      <c r="C843" s="721"/>
      <c r="D843" s="722"/>
      <c r="E843" s="722"/>
      <c r="F843" s="722"/>
      <c r="G843" s="722"/>
      <c r="H843" s="722"/>
      <c r="I843" s="722"/>
      <c r="J843" s="722"/>
      <c r="K843" s="722"/>
      <c r="L843" s="722"/>
      <c r="M843" s="722"/>
      <c r="N843" s="722"/>
      <c r="O843" s="722"/>
      <c r="P843" s="722"/>
      <c r="Q843" s="722"/>
      <c r="R843" s="722"/>
      <c r="S843" s="722"/>
      <c r="T843" s="722"/>
      <c r="U843" s="722"/>
      <c r="V843" s="722"/>
      <c r="W843" s="722"/>
      <c r="X843" s="722"/>
      <c r="Y843" s="723"/>
    </row>
    <row r="844" spans="3:25" ht="18" customHeight="1" x14ac:dyDescent="0.2">
      <c r="C844" s="721"/>
      <c r="D844" s="722"/>
      <c r="E844" s="722"/>
      <c r="F844" s="722"/>
      <c r="G844" s="722"/>
      <c r="H844" s="722"/>
      <c r="I844" s="722"/>
      <c r="J844" s="722"/>
      <c r="K844" s="722"/>
      <c r="L844" s="722"/>
      <c r="M844" s="722"/>
      <c r="N844" s="722"/>
      <c r="O844" s="722"/>
      <c r="P844" s="722"/>
      <c r="Q844" s="722"/>
      <c r="R844" s="722"/>
      <c r="S844" s="722"/>
      <c r="T844" s="722"/>
      <c r="U844" s="722"/>
      <c r="V844" s="722"/>
      <c r="W844" s="722"/>
      <c r="X844" s="722"/>
      <c r="Y844" s="723"/>
    </row>
    <row r="845" spans="3:25" ht="18" customHeight="1" x14ac:dyDescent="0.2">
      <c r="C845" s="721"/>
      <c r="D845" s="722"/>
      <c r="E845" s="722"/>
      <c r="F845" s="722"/>
      <c r="G845" s="722"/>
      <c r="H845" s="722"/>
      <c r="I845" s="722"/>
      <c r="J845" s="722"/>
      <c r="K845" s="722"/>
      <c r="L845" s="722"/>
      <c r="M845" s="722"/>
      <c r="N845" s="722"/>
      <c r="O845" s="722"/>
      <c r="P845" s="722"/>
      <c r="Q845" s="722"/>
      <c r="R845" s="722"/>
      <c r="S845" s="722"/>
      <c r="T845" s="722"/>
      <c r="U845" s="722"/>
      <c r="V845" s="722"/>
      <c r="W845" s="722"/>
      <c r="X845" s="722"/>
      <c r="Y845" s="723"/>
    </row>
    <row r="846" spans="3:25" ht="18" customHeight="1" x14ac:dyDescent="0.2">
      <c r="C846" s="721"/>
      <c r="D846" s="722"/>
      <c r="E846" s="722"/>
      <c r="F846" s="722"/>
      <c r="G846" s="722"/>
      <c r="H846" s="722"/>
      <c r="I846" s="722"/>
      <c r="J846" s="722"/>
      <c r="K846" s="722"/>
      <c r="L846" s="722"/>
      <c r="M846" s="722"/>
      <c r="N846" s="722"/>
      <c r="O846" s="722"/>
      <c r="P846" s="722"/>
      <c r="Q846" s="722"/>
      <c r="R846" s="722"/>
      <c r="S846" s="722"/>
      <c r="T846" s="722"/>
      <c r="U846" s="722"/>
      <c r="V846" s="722"/>
      <c r="W846" s="722"/>
      <c r="X846" s="722"/>
      <c r="Y846" s="723"/>
    </row>
    <row r="847" spans="3:25" ht="18" customHeight="1" x14ac:dyDescent="0.2">
      <c r="C847" s="721"/>
      <c r="D847" s="722"/>
      <c r="E847" s="722"/>
      <c r="F847" s="722"/>
      <c r="G847" s="722"/>
      <c r="H847" s="722"/>
      <c r="I847" s="722"/>
      <c r="J847" s="722"/>
      <c r="K847" s="722"/>
      <c r="L847" s="722"/>
      <c r="M847" s="722"/>
      <c r="N847" s="722"/>
      <c r="O847" s="722"/>
      <c r="P847" s="722"/>
      <c r="Q847" s="722"/>
      <c r="R847" s="722"/>
      <c r="S847" s="722"/>
      <c r="T847" s="722"/>
      <c r="U847" s="722"/>
      <c r="V847" s="722"/>
      <c r="W847" s="722"/>
      <c r="X847" s="722"/>
      <c r="Y847" s="723"/>
    </row>
    <row r="848" spans="3:25" ht="18" customHeight="1" x14ac:dyDescent="0.2">
      <c r="C848" s="721"/>
      <c r="D848" s="722"/>
      <c r="E848" s="722"/>
      <c r="F848" s="722"/>
      <c r="G848" s="722"/>
      <c r="H848" s="722"/>
      <c r="I848" s="722"/>
      <c r="J848" s="722"/>
      <c r="K848" s="722"/>
      <c r="L848" s="722"/>
      <c r="M848" s="722"/>
      <c r="N848" s="722"/>
      <c r="O848" s="722"/>
      <c r="P848" s="722"/>
      <c r="Q848" s="722"/>
      <c r="R848" s="722"/>
      <c r="S848" s="722"/>
      <c r="T848" s="722"/>
      <c r="U848" s="722"/>
      <c r="V848" s="722"/>
      <c r="W848" s="722"/>
      <c r="X848" s="722"/>
      <c r="Y848" s="723"/>
    </row>
    <row r="849" spans="3:25" ht="18" customHeight="1" x14ac:dyDescent="0.2">
      <c r="C849" s="721"/>
      <c r="D849" s="722"/>
      <c r="E849" s="722"/>
      <c r="F849" s="722"/>
      <c r="G849" s="722"/>
      <c r="H849" s="722"/>
      <c r="I849" s="722"/>
      <c r="J849" s="722"/>
      <c r="K849" s="722"/>
      <c r="L849" s="722"/>
      <c r="M849" s="722"/>
      <c r="N849" s="722"/>
      <c r="O849" s="722"/>
      <c r="P849" s="722"/>
      <c r="Q849" s="722"/>
      <c r="R849" s="722"/>
      <c r="S849" s="722"/>
      <c r="T849" s="722"/>
      <c r="U849" s="722"/>
      <c r="V849" s="722"/>
      <c r="W849" s="722"/>
      <c r="X849" s="722"/>
      <c r="Y849" s="723"/>
    </row>
    <row r="850" spans="3:25" ht="18" customHeight="1" x14ac:dyDescent="0.2">
      <c r="C850" s="721"/>
      <c r="D850" s="722"/>
      <c r="E850" s="722"/>
      <c r="F850" s="722"/>
      <c r="G850" s="722"/>
      <c r="H850" s="722"/>
      <c r="I850" s="722"/>
      <c r="J850" s="722"/>
      <c r="K850" s="722"/>
      <c r="L850" s="722"/>
      <c r="M850" s="722"/>
      <c r="N850" s="722"/>
      <c r="O850" s="722"/>
      <c r="P850" s="722"/>
      <c r="Q850" s="722"/>
      <c r="R850" s="722"/>
      <c r="S850" s="722"/>
      <c r="T850" s="722"/>
      <c r="U850" s="722"/>
      <c r="V850" s="722"/>
      <c r="W850" s="722"/>
      <c r="X850" s="722"/>
      <c r="Y850" s="723"/>
    </row>
    <row r="851" spans="3:25" ht="18" customHeight="1" x14ac:dyDescent="0.2">
      <c r="C851" s="721"/>
      <c r="D851" s="722"/>
      <c r="E851" s="722"/>
      <c r="F851" s="722"/>
      <c r="G851" s="722"/>
      <c r="H851" s="722"/>
      <c r="I851" s="722"/>
      <c r="J851" s="722"/>
      <c r="K851" s="722"/>
      <c r="L851" s="722"/>
      <c r="M851" s="722"/>
      <c r="N851" s="722"/>
      <c r="O851" s="722"/>
      <c r="P851" s="722"/>
      <c r="Q851" s="722"/>
      <c r="R851" s="722"/>
      <c r="S851" s="722"/>
      <c r="T851" s="722"/>
      <c r="U851" s="722"/>
      <c r="V851" s="722"/>
      <c r="W851" s="722"/>
      <c r="X851" s="722"/>
      <c r="Y851" s="723"/>
    </row>
    <row r="852" spans="3:25" ht="18" customHeight="1" x14ac:dyDescent="0.2">
      <c r="C852" s="721"/>
      <c r="D852" s="722"/>
      <c r="E852" s="722"/>
      <c r="F852" s="722"/>
      <c r="G852" s="722"/>
      <c r="H852" s="722"/>
      <c r="I852" s="722"/>
      <c r="J852" s="722"/>
      <c r="K852" s="722"/>
      <c r="L852" s="722"/>
      <c r="M852" s="722"/>
      <c r="N852" s="722"/>
      <c r="O852" s="722"/>
      <c r="P852" s="722"/>
      <c r="Q852" s="722"/>
      <c r="R852" s="722"/>
      <c r="S852" s="722"/>
      <c r="T852" s="722"/>
      <c r="U852" s="722"/>
      <c r="V852" s="722"/>
      <c r="W852" s="722"/>
      <c r="X852" s="722"/>
      <c r="Y852" s="723"/>
    </row>
    <row r="853" spans="3:25" ht="18" customHeight="1" x14ac:dyDescent="0.2">
      <c r="C853" s="721"/>
      <c r="D853" s="722"/>
      <c r="E853" s="722"/>
      <c r="F853" s="722"/>
      <c r="G853" s="722"/>
      <c r="H853" s="722"/>
      <c r="I853" s="722"/>
      <c r="J853" s="722"/>
      <c r="K853" s="722"/>
      <c r="L853" s="722"/>
      <c r="M853" s="722"/>
      <c r="N853" s="722"/>
      <c r="O853" s="722"/>
      <c r="P853" s="722"/>
      <c r="Q853" s="722"/>
      <c r="R853" s="722"/>
      <c r="S853" s="722"/>
      <c r="T853" s="722"/>
      <c r="U853" s="722"/>
      <c r="V853" s="722"/>
      <c r="W853" s="722"/>
      <c r="X853" s="722"/>
      <c r="Y853" s="723"/>
    </row>
    <row r="854" spans="3:25" ht="18" customHeight="1" x14ac:dyDescent="0.2">
      <c r="C854" s="721"/>
      <c r="D854" s="722"/>
      <c r="E854" s="722"/>
      <c r="F854" s="722"/>
      <c r="G854" s="722"/>
      <c r="H854" s="722"/>
      <c r="I854" s="722"/>
      <c r="J854" s="722"/>
      <c r="K854" s="722"/>
      <c r="L854" s="722"/>
      <c r="M854" s="722"/>
      <c r="N854" s="722"/>
      <c r="O854" s="722"/>
      <c r="P854" s="722"/>
      <c r="Q854" s="722"/>
      <c r="R854" s="722"/>
      <c r="S854" s="722"/>
      <c r="T854" s="722"/>
      <c r="U854" s="722"/>
      <c r="V854" s="722"/>
      <c r="W854" s="722"/>
      <c r="X854" s="722"/>
      <c r="Y854" s="723"/>
    </row>
    <row r="855" spans="3:25" ht="18" customHeight="1" x14ac:dyDescent="0.2">
      <c r="C855" s="721"/>
      <c r="D855" s="722"/>
      <c r="E855" s="722"/>
      <c r="F855" s="722"/>
      <c r="G855" s="722"/>
      <c r="H855" s="722"/>
      <c r="I855" s="722"/>
      <c r="J855" s="722"/>
      <c r="K855" s="722"/>
      <c r="L855" s="722"/>
      <c r="M855" s="722"/>
      <c r="N855" s="722"/>
      <c r="O855" s="722"/>
      <c r="P855" s="722"/>
      <c r="Q855" s="722"/>
      <c r="R855" s="722"/>
      <c r="S855" s="722"/>
      <c r="T855" s="722"/>
      <c r="U855" s="722"/>
      <c r="V855" s="722"/>
      <c r="W855" s="722"/>
      <c r="X855" s="722"/>
      <c r="Y855" s="723"/>
    </row>
    <row r="856" spans="3:25" ht="18" customHeight="1" x14ac:dyDescent="0.2">
      <c r="C856" s="721"/>
      <c r="D856" s="722"/>
      <c r="E856" s="722"/>
      <c r="F856" s="722"/>
      <c r="G856" s="722"/>
      <c r="H856" s="722"/>
      <c r="I856" s="722"/>
      <c r="J856" s="722"/>
      <c r="K856" s="722"/>
      <c r="L856" s="722"/>
      <c r="M856" s="722"/>
      <c r="N856" s="722"/>
      <c r="O856" s="722"/>
      <c r="P856" s="722"/>
      <c r="Q856" s="722"/>
      <c r="R856" s="722"/>
      <c r="S856" s="722"/>
      <c r="T856" s="722"/>
      <c r="U856" s="722"/>
      <c r="V856" s="722"/>
      <c r="W856" s="722"/>
      <c r="X856" s="722"/>
      <c r="Y856" s="723"/>
    </row>
    <row r="857" spans="3:25" ht="18" customHeight="1" x14ac:dyDescent="0.2">
      <c r="C857" s="721"/>
      <c r="D857" s="722"/>
      <c r="E857" s="722"/>
      <c r="F857" s="722"/>
      <c r="G857" s="722"/>
      <c r="H857" s="722"/>
      <c r="I857" s="722"/>
      <c r="J857" s="722"/>
      <c r="K857" s="722"/>
      <c r="L857" s="722"/>
      <c r="M857" s="722"/>
      <c r="N857" s="722"/>
      <c r="O857" s="722"/>
      <c r="P857" s="722"/>
      <c r="Q857" s="722"/>
      <c r="R857" s="722"/>
      <c r="S857" s="722"/>
      <c r="T857" s="722"/>
      <c r="U857" s="722"/>
      <c r="V857" s="722"/>
      <c r="W857" s="722"/>
      <c r="X857" s="722"/>
      <c r="Y857" s="723"/>
    </row>
    <row r="858" spans="3:25" ht="18" customHeight="1" x14ac:dyDescent="0.2">
      <c r="C858" s="721"/>
      <c r="D858" s="722"/>
      <c r="E858" s="722"/>
      <c r="F858" s="722"/>
      <c r="G858" s="722"/>
      <c r="H858" s="722"/>
      <c r="I858" s="722"/>
      <c r="J858" s="722"/>
      <c r="K858" s="722"/>
      <c r="L858" s="722"/>
      <c r="M858" s="722"/>
      <c r="N858" s="722"/>
      <c r="O858" s="722"/>
      <c r="P858" s="722"/>
      <c r="Q858" s="722"/>
      <c r="R858" s="722"/>
      <c r="S858" s="722"/>
      <c r="T858" s="722"/>
      <c r="U858" s="722"/>
      <c r="V858" s="722"/>
      <c r="W858" s="722"/>
      <c r="X858" s="722"/>
      <c r="Y858" s="723"/>
    </row>
    <row r="859" spans="3:25" ht="18" customHeight="1" x14ac:dyDescent="0.2">
      <c r="C859" s="721"/>
      <c r="D859" s="722"/>
      <c r="E859" s="722"/>
      <c r="F859" s="722"/>
      <c r="G859" s="722"/>
      <c r="H859" s="722"/>
      <c r="I859" s="722"/>
      <c r="J859" s="722"/>
      <c r="K859" s="722"/>
      <c r="L859" s="722"/>
      <c r="M859" s="722"/>
      <c r="N859" s="722"/>
      <c r="O859" s="722"/>
      <c r="P859" s="722"/>
      <c r="Q859" s="722"/>
      <c r="R859" s="722"/>
      <c r="S859" s="722"/>
      <c r="T859" s="722"/>
      <c r="U859" s="722"/>
      <c r="V859" s="722"/>
      <c r="W859" s="722"/>
      <c r="X859" s="722"/>
      <c r="Y859" s="723"/>
    </row>
    <row r="860" spans="3:25" ht="18" customHeight="1" x14ac:dyDescent="0.2">
      <c r="C860" s="721"/>
      <c r="D860" s="722"/>
      <c r="E860" s="722"/>
      <c r="F860" s="722"/>
      <c r="G860" s="722"/>
      <c r="H860" s="722"/>
      <c r="I860" s="722"/>
      <c r="J860" s="722"/>
      <c r="K860" s="722"/>
      <c r="L860" s="722"/>
      <c r="M860" s="722"/>
      <c r="N860" s="722"/>
      <c r="O860" s="722"/>
      <c r="P860" s="722"/>
      <c r="Q860" s="722"/>
      <c r="R860" s="722"/>
      <c r="S860" s="722"/>
      <c r="T860" s="722"/>
      <c r="U860" s="722"/>
      <c r="V860" s="722"/>
      <c r="W860" s="722"/>
      <c r="X860" s="722"/>
      <c r="Y860" s="723"/>
    </row>
    <row r="861" spans="3:25" ht="18" customHeight="1" x14ac:dyDescent="0.2">
      <c r="C861" s="721"/>
      <c r="D861" s="722"/>
      <c r="E861" s="722"/>
      <c r="F861" s="722"/>
      <c r="G861" s="722"/>
      <c r="H861" s="722"/>
      <c r="I861" s="722"/>
      <c r="J861" s="722"/>
      <c r="K861" s="722"/>
      <c r="L861" s="722"/>
      <c r="M861" s="722"/>
      <c r="N861" s="722"/>
      <c r="O861" s="722"/>
      <c r="P861" s="722"/>
      <c r="Q861" s="722"/>
      <c r="R861" s="722"/>
      <c r="S861" s="722"/>
      <c r="T861" s="722"/>
      <c r="U861" s="722"/>
      <c r="V861" s="722"/>
      <c r="W861" s="722"/>
      <c r="X861" s="722"/>
      <c r="Y861" s="723"/>
    </row>
    <row r="862" spans="3:25" ht="18" customHeight="1" x14ac:dyDescent="0.2">
      <c r="C862" s="721"/>
      <c r="D862" s="722"/>
      <c r="E862" s="722"/>
      <c r="F862" s="722"/>
      <c r="G862" s="722"/>
      <c r="H862" s="722"/>
      <c r="I862" s="722"/>
      <c r="J862" s="722"/>
      <c r="K862" s="722"/>
      <c r="L862" s="722"/>
      <c r="M862" s="722"/>
      <c r="N862" s="722"/>
      <c r="O862" s="722"/>
      <c r="P862" s="722"/>
      <c r="Q862" s="722"/>
      <c r="R862" s="722"/>
      <c r="S862" s="722"/>
      <c r="T862" s="722"/>
      <c r="U862" s="722"/>
      <c r="V862" s="722"/>
      <c r="W862" s="722"/>
      <c r="X862" s="722"/>
      <c r="Y862" s="723"/>
    </row>
    <row r="863" spans="3:25" ht="18" customHeight="1" x14ac:dyDescent="0.2">
      <c r="C863" s="721"/>
      <c r="D863" s="722"/>
      <c r="E863" s="722"/>
      <c r="F863" s="722"/>
      <c r="G863" s="722"/>
      <c r="H863" s="722"/>
      <c r="I863" s="722"/>
      <c r="J863" s="722"/>
      <c r="K863" s="722"/>
      <c r="L863" s="722"/>
      <c r="M863" s="722"/>
      <c r="N863" s="722"/>
      <c r="O863" s="722"/>
      <c r="P863" s="722"/>
      <c r="Q863" s="722"/>
      <c r="R863" s="722"/>
      <c r="S863" s="722"/>
      <c r="T863" s="722"/>
      <c r="U863" s="722"/>
      <c r="V863" s="722"/>
      <c r="W863" s="722"/>
      <c r="X863" s="722"/>
      <c r="Y863" s="723"/>
    </row>
    <row r="864" spans="3:25" ht="18" customHeight="1" x14ac:dyDescent="0.2">
      <c r="C864" s="721"/>
      <c r="D864" s="722"/>
      <c r="E864" s="722"/>
      <c r="F864" s="722"/>
      <c r="G864" s="722"/>
      <c r="H864" s="722"/>
      <c r="I864" s="722"/>
      <c r="J864" s="722"/>
      <c r="K864" s="722"/>
      <c r="L864" s="722"/>
      <c r="M864" s="722"/>
      <c r="N864" s="722"/>
      <c r="O864" s="722"/>
      <c r="P864" s="722"/>
      <c r="Q864" s="722"/>
      <c r="R864" s="722"/>
      <c r="S864" s="722"/>
      <c r="T864" s="722"/>
      <c r="U864" s="722"/>
      <c r="V864" s="722"/>
      <c r="W864" s="722"/>
      <c r="X864" s="722"/>
      <c r="Y864" s="723"/>
    </row>
    <row r="865" spans="3:25" ht="18" customHeight="1" x14ac:dyDescent="0.2">
      <c r="C865" s="721"/>
      <c r="D865" s="722"/>
      <c r="E865" s="722"/>
      <c r="F865" s="722"/>
      <c r="G865" s="722"/>
      <c r="H865" s="722"/>
      <c r="I865" s="722"/>
      <c r="J865" s="722"/>
      <c r="K865" s="722"/>
      <c r="L865" s="722"/>
      <c r="M865" s="722"/>
      <c r="N865" s="722"/>
      <c r="O865" s="722"/>
      <c r="P865" s="722"/>
      <c r="Q865" s="722"/>
      <c r="R865" s="722"/>
      <c r="S865" s="722"/>
      <c r="T865" s="722"/>
      <c r="U865" s="722"/>
      <c r="V865" s="722"/>
      <c r="W865" s="722"/>
      <c r="X865" s="722"/>
      <c r="Y865" s="723"/>
    </row>
    <row r="866" spans="3:25" ht="18" customHeight="1" x14ac:dyDescent="0.2">
      <c r="C866" s="721"/>
      <c r="D866" s="722"/>
      <c r="E866" s="722"/>
      <c r="F866" s="722"/>
      <c r="G866" s="722"/>
      <c r="H866" s="722"/>
      <c r="I866" s="722"/>
      <c r="J866" s="722"/>
      <c r="K866" s="722"/>
      <c r="L866" s="722"/>
      <c r="M866" s="722"/>
      <c r="N866" s="722"/>
      <c r="O866" s="722"/>
      <c r="P866" s="722"/>
      <c r="Q866" s="722"/>
      <c r="R866" s="722"/>
      <c r="S866" s="722"/>
      <c r="T866" s="722"/>
      <c r="U866" s="722"/>
      <c r="V866" s="722"/>
      <c r="W866" s="722"/>
      <c r="X866" s="722"/>
      <c r="Y866" s="723"/>
    </row>
    <row r="867" spans="3:25" ht="18" customHeight="1" x14ac:dyDescent="0.2">
      <c r="C867" s="721"/>
      <c r="D867" s="722"/>
      <c r="E867" s="722"/>
      <c r="F867" s="722"/>
      <c r="G867" s="722"/>
      <c r="H867" s="722"/>
      <c r="I867" s="722"/>
      <c r="J867" s="722"/>
      <c r="K867" s="722"/>
      <c r="L867" s="722"/>
      <c r="M867" s="722"/>
      <c r="N867" s="722"/>
      <c r="O867" s="722"/>
      <c r="P867" s="722"/>
      <c r="Q867" s="722"/>
      <c r="R867" s="722"/>
      <c r="S867" s="722"/>
      <c r="T867" s="722"/>
      <c r="U867" s="722"/>
      <c r="V867" s="722"/>
      <c r="W867" s="722"/>
      <c r="X867" s="722"/>
      <c r="Y867" s="723"/>
    </row>
    <row r="868" spans="3:25" ht="18" customHeight="1" x14ac:dyDescent="0.2">
      <c r="C868" s="721"/>
      <c r="D868" s="722"/>
      <c r="E868" s="722"/>
      <c r="F868" s="722"/>
      <c r="G868" s="722"/>
      <c r="H868" s="722"/>
      <c r="I868" s="722"/>
      <c r="J868" s="722"/>
      <c r="K868" s="722"/>
      <c r="L868" s="722"/>
      <c r="M868" s="722"/>
      <c r="N868" s="722"/>
      <c r="O868" s="722"/>
      <c r="P868" s="722"/>
      <c r="Q868" s="722"/>
      <c r="R868" s="722"/>
      <c r="S868" s="722"/>
      <c r="T868" s="722"/>
      <c r="U868" s="722"/>
      <c r="V868" s="722"/>
      <c r="W868" s="722"/>
      <c r="X868" s="722"/>
      <c r="Y868" s="723"/>
    </row>
    <row r="869" spans="3:25" ht="18" customHeight="1" x14ac:dyDescent="0.2">
      <c r="C869" s="721"/>
      <c r="D869" s="722"/>
      <c r="E869" s="722"/>
      <c r="F869" s="722"/>
      <c r="G869" s="722"/>
      <c r="H869" s="722"/>
      <c r="I869" s="722"/>
      <c r="J869" s="722"/>
      <c r="K869" s="722"/>
      <c r="L869" s="722"/>
      <c r="M869" s="722"/>
      <c r="N869" s="722"/>
      <c r="O869" s="722"/>
      <c r="P869" s="722"/>
      <c r="Q869" s="722"/>
      <c r="R869" s="722"/>
      <c r="S869" s="722"/>
      <c r="T869" s="722"/>
      <c r="U869" s="722"/>
      <c r="V869" s="722"/>
      <c r="W869" s="722"/>
      <c r="X869" s="722"/>
      <c r="Y869" s="723"/>
    </row>
    <row r="870" spans="3:25" ht="18" customHeight="1" x14ac:dyDescent="0.2">
      <c r="C870" s="721"/>
      <c r="D870" s="722"/>
      <c r="E870" s="722"/>
      <c r="F870" s="722"/>
      <c r="G870" s="722"/>
      <c r="H870" s="722"/>
      <c r="I870" s="722"/>
      <c r="J870" s="722"/>
      <c r="K870" s="722"/>
      <c r="L870" s="722"/>
      <c r="M870" s="722"/>
      <c r="N870" s="722"/>
      <c r="O870" s="722"/>
      <c r="P870" s="722"/>
      <c r="Q870" s="722"/>
      <c r="R870" s="722"/>
      <c r="S870" s="722"/>
      <c r="T870" s="722"/>
      <c r="U870" s="722"/>
      <c r="V870" s="722"/>
      <c r="W870" s="722"/>
      <c r="X870" s="722"/>
      <c r="Y870" s="723"/>
    </row>
    <row r="871" spans="3:25" ht="18" customHeight="1" x14ac:dyDescent="0.2">
      <c r="C871" s="721"/>
      <c r="D871" s="722"/>
      <c r="E871" s="722"/>
      <c r="F871" s="722"/>
      <c r="G871" s="722"/>
      <c r="H871" s="722"/>
      <c r="I871" s="722"/>
      <c r="J871" s="722"/>
      <c r="K871" s="722"/>
      <c r="L871" s="722"/>
      <c r="M871" s="722"/>
      <c r="N871" s="722"/>
      <c r="O871" s="722"/>
      <c r="P871" s="722"/>
      <c r="Q871" s="722"/>
      <c r="R871" s="722"/>
      <c r="S871" s="722"/>
      <c r="T871" s="722"/>
      <c r="U871" s="722"/>
      <c r="V871" s="722"/>
      <c r="W871" s="722"/>
      <c r="X871" s="722"/>
      <c r="Y871" s="723"/>
    </row>
    <row r="872" spans="3:25" ht="18" customHeight="1" x14ac:dyDescent="0.2">
      <c r="C872" s="721"/>
      <c r="D872" s="722"/>
      <c r="E872" s="722"/>
      <c r="F872" s="722"/>
      <c r="G872" s="722"/>
      <c r="H872" s="722"/>
      <c r="I872" s="722"/>
      <c r="J872" s="722"/>
      <c r="K872" s="722"/>
      <c r="L872" s="722"/>
      <c r="M872" s="722"/>
      <c r="N872" s="722"/>
      <c r="O872" s="722"/>
      <c r="P872" s="722"/>
      <c r="Q872" s="722"/>
      <c r="R872" s="722"/>
      <c r="S872" s="722"/>
      <c r="T872" s="722"/>
      <c r="U872" s="722"/>
      <c r="V872" s="722"/>
      <c r="W872" s="722"/>
      <c r="X872" s="722"/>
      <c r="Y872" s="723"/>
    </row>
    <row r="873" spans="3:25" ht="18" customHeight="1" x14ac:dyDescent="0.2">
      <c r="C873" s="721"/>
      <c r="D873" s="722"/>
      <c r="E873" s="722"/>
      <c r="F873" s="722"/>
      <c r="G873" s="722"/>
      <c r="H873" s="722"/>
      <c r="I873" s="722"/>
      <c r="J873" s="722"/>
      <c r="K873" s="722"/>
      <c r="L873" s="722"/>
      <c r="M873" s="722"/>
      <c r="N873" s="722"/>
      <c r="O873" s="722"/>
      <c r="P873" s="722"/>
      <c r="Q873" s="722"/>
      <c r="R873" s="722"/>
      <c r="S873" s="722"/>
      <c r="T873" s="722"/>
      <c r="U873" s="722"/>
      <c r="V873" s="722"/>
      <c r="W873" s="722"/>
      <c r="X873" s="722"/>
      <c r="Y873" s="723"/>
    </row>
    <row r="874" spans="3:25" ht="18" customHeight="1" x14ac:dyDescent="0.2">
      <c r="C874" s="721"/>
      <c r="D874" s="722"/>
      <c r="E874" s="722"/>
      <c r="F874" s="722"/>
      <c r="G874" s="722"/>
      <c r="H874" s="722"/>
      <c r="I874" s="722"/>
      <c r="J874" s="722"/>
      <c r="K874" s="722"/>
      <c r="L874" s="722"/>
      <c r="M874" s="722"/>
      <c r="N874" s="722"/>
      <c r="O874" s="722"/>
      <c r="P874" s="722"/>
      <c r="Q874" s="722"/>
      <c r="R874" s="722"/>
      <c r="S874" s="722"/>
      <c r="T874" s="722"/>
      <c r="U874" s="722"/>
      <c r="V874" s="722"/>
      <c r="W874" s="722"/>
      <c r="X874" s="722"/>
      <c r="Y874" s="723"/>
    </row>
    <row r="875" spans="3:25" ht="18" customHeight="1" x14ac:dyDescent="0.2">
      <c r="C875" s="721"/>
      <c r="D875" s="722"/>
      <c r="E875" s="722"/>
      <c r="F875" s="722"/>
      <c r="G875" s="722"/>
      <c r="H875" s="722"/>
      <c r="I875" s="722"/>
      <c r="J875" s="722"/>
      <c r="K875" s="722"/>
      <c r="L875" s="722"/>
      <c r="M875" s="722"/>
      <c r="N875" s="722"/>
      <c r="O875" s="722"/>
      <c r="P875" s="722"/>
      <c r="Q875" s="722"/>
      <c r="R875" s="722"/>
      <c r="S875" s="722"/>
      <c r="T875" s="722"/>
      <c r="U875" s="722"/>
      <c r="V875" s="722"/>
      <c r="W875" s="722"/>
      <c r="X875" s="722"/>
      <c r="Y875" s="723"/>
    </row>
    <row r="876" spans="3:25" ht="18" customHeight="1" x14ac:dyDescent="0.2">
      <c r="C876" s="721"/>
      <c r="D876" s="722"/>
      <c r="E876" s="722"/>
      <c r="F876" s="722"/>
      <c r="G876" s="722"/>
      <c r="H876" s="722"/>
      <c r="I876" s="722"/>
      <c r="J876" s="722"/>
      <c r="K876" s="722"/>
      <c r="L876" s="722"/>
      <c r="M876" s="722"/>
      <c r="N876" s="722"/>
      <c r="O876" s="722"/>
      <c r="P876" s="722"/>
      <c r="Q876" s="722"/>
      <c r="R876" s="722"/>
      <c r="S876" s="722"/>
      <c r="T876" s="722"/>
      <c r="U876" s="722"/>
      <c r="V876" s="722"/>
      <c r="W876" s="722"/>
      <c r="X876" s="722"/>
      <c r="Y876" s="723"/>
    </row>
    <row r="877" spans="3:25" ht="18" customHeight="1" x14ac:dyDescent="0.2">
      <c r="C877" s="721"/>
      <c r="D877" s="722"/>
      <c r="E877" s="722"/>
      <c r="F877" s="722"/>
      <c r="G877" s="722"/>
      <c r="H877" s="722"/>
      <c r="I877" s="722"/>
      <c r="J877" s="722"/>
      <c r="K877" s="722"/>
      <c r="L877" s="722"/>
      <c r="M877" s="722"/>
      <c r="N877" s="722"/>
      <c r="O877" s="722"/>
      <c r="P877" s="722"/>
      <c r="Q877" s="722"/>
      <c r="R877" s="722"/>
      <c r="S877" s="722"/>
      <c r="T877" s="722"/>
      <c r="U877" s="722"/>
      <c r="V877" s="722"/>
      <c r="W877" s="722"/>
      <c r="X877" s="722"/>
      <c r="Y877" s="723"/>
    </row>
    <row r="878" spans="3:25" ht="18" customHeight="1" x14ac:dyDescent="0.2">
      <c r="C878" s="721"/>
      <c r="D878" s="722"/>
      <c r="E878" s="722"/>
      <c r="F878" s="722"/>
      <c r="G878" s="722"/>
      <c r="H878" s="722"/>
      <c r="I878" s="722"/>
      <c r="J878" s="722"/>
      <c r="K878" s="722"/>
      <c r="L878" s="722"/>
      <c r="M878" s="722"/>
      <c r="N878" s="722"/>
      <c r="O878" s="722"/>
      <c r="P878" s="722"/>
      <c r="Q878" s="722"/>
      <c r="R878" s="722"/>
      <c r="S878" s="722"/>
      <c r="T878" s="722"/>
      <c r="U878" s="722"/>
      <c r="V878" s="722"/>
      <c r="W878" s="722"/>
      <c r="X878" s="722"/>
      <c r="Y878" s="723"/>
    </row>
    <row r="879" spans="3:25" ht="18" customHeight="1" x14ac:dyDescent="0.2">
      <c r="C879" s="721"/>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3"/>
    </row>
    <row r="880" spans="3:25" ht="18" customHeight="1" x14ac:dyDescent="0.2">
      <c r="C880" s="721"/>
      <c r="D880" s="722"/>
      <c r="E880" s="722"/>
      <c r="F880" s="722"/>
      <c r="G880" s="722"/>
      <c r="H880" s="722"/>
      <c r="I880" s="722"/>
      <c r="J880" s="722"/>
      <c r="K880" s="722"/>
      <c r="L880" s="722"/>
      <c r="M880" s="722"/>
      <c r="N880" s="722"/>
      <c r="O880" s="722"/>
      <c r="P880" s="722"/>
      <c r="Q880" s="722"/>
      <c r="R880" s="722"/>
      <c r="S880" s="722"/>
      <c r="T880" s="722"/>
      <c r="U880" s="722"/>
      <c r="V880" s="722"/>
      <c r="W880" s="722"/>
      <c r="X880" s="722"/>
      <c r="Y880" s="723"/>
    </row>
    <row r="881" spans="3:25" ht="18" customHeight="1" x14ac:dyDescent="0.2">
      <c r="C881" s="721"/>
      <c r="D881" s="722"/>
      <c r="E881" s="722"/>
      <c r="F881" s="722"/>
      <c r="G881" s="722"/>
      <c r="H881" s="722"/>
      <c r="I881" s="722"/>
      <c r="J881" s="722"/>
      <c r="K881" s="722"/>
      <c r="L881" s="722"/>
      <c r="M881" s="722"/>
      <c r="N881" s="722"/>
      <c r="O881" s="722"/>
      <c r="P881" s="722"/>
      <c r="Q881" s="722"/>
      <c r="R881" s="722"/>
      <c r="S881" s="722"/>
      <c r="T881" s="722"/>
      <c r="U881" s="722"/>
      <c r="V881" s="722"/>
      <c r="W881" s="722"/>
      <c r="X881" s="722"/>
      <c r="Y881" s="723"/>
    </row>
    <row r="882" spans="3:25" ht="18" customHeight="1" x14ac:dyDescent="0.2">
      <c r="C882" s="721"/>
      <c r="D882" s="722"/>
      <c r="E882" s="722"/>
      <c r="F882" s="722"/>
      <c r="G882" s="722"/>
      <c r="H882" s="722"/>
      <c r="I882" s="722"/>
      <c r="J882" s="722"/>
      <c r="K882" s="722"/>
      <c r="L882" s="722"/>
      <c r="M882" s="722"/>
      <c r="N882" s="722"/>
      <c r="O882" s="722"/>
      <c r="P882" s="722"/>
      <c r="Q882" s="722"/>
      <c r="R882" s="722"/>
      <c r="S882" s="722"/>
      <c r="T882" s="722"/>
      <c r="U882" s="722"/>
      <c r="V882" s="722"/>
      <c r="W882" s="722"/>
      <c r="X882" s="722"/>
      <c r="Y882" s="723"/>
    </row>
    <row r="883" spans="3:25" ht="18" customHeight="1" x14ac:dyDescent="0.2">
      <c r="C883" s="721"/>
      <c r="D883" s="722"/>
      <c r="E883" s="722"/>
      <c r="F883" s="722"/>
      <c r="G883" s="722"/>
      <c r="H883" s="722"/>
      <c r="I883" s="722"/>
      <c r="J883" s="722"/>
      <c r="K883" s="722"/>
      <c r="L883" s="722"/>
      <c r="M883" s="722"/>
      <c r="N883" s="722"/>
      <c r="O883" s="722"/>
      <c r="P883" s="722"/>
      <c r="Q883" s="722"/>
      <c r="R883" s="722"/>
      <c r="S883" s="722"/>
      <c r="T883" s="722"/>
      <c r="U883" s="722"/>
      <c r="V883" s="722"/>
      <c r="W883" s="722"/>
      <c r="X883" s="722"/>
      <c r="Y883" s="723"/>
    </row>
    <row r="884" spans="3:25" ht="18" customHeight="1" x14ac:dyDescent="0.2">
      <c r="C884" s="721"/>
      <c r="D884" s="722"/>
      <c r="E884" s="722"/>
      <c r="F884" s="722"/>
      <c r="G884" s="722"/>
      <c r="H884" s="722"/>
      <c r="I884" s="722"/>
      <c r="J884" s="722"/>
      <c r="K884" s="722"/>
      <c r="L884" s="722"/>
      <c r="M884" s="722"/>
      <c r="N884" s="722"/>
      <c r="O884" s="722"/>
      <c r="P884" s="722"/>
      <c r="Q884" s="722"/>
      <c r="R884" s="722"/>
      <c r="S884" s="722"/>
      <c r="T884" s="722"/>
      <c r="U884" s="722"/>
      <c r="V884" s="722"/>
      <c r="W884" s="722"/>
      <c r="X884" s="722"/>
      <c r="Y884" s="723"/>
    </row>
    <row r="885" spans="3:25" ht="18" customHeight="1" x14ac:dyDescent="0.2">
      <c r="C885" s="721"/>
      <c r="D885" s="722"/>
      <c r="E885" s="722"/>
      <c r="F885" s="722"/>
      <c r="G885" s="722"/>
      <c r="H885" s="722"/>
      <c r="I885" s="722"/>
      <c r="J885" s="722"/>
      <c r="K885" s="722"/>
      <c r="L885" s="722"/>
      <c r="M885" s="722"/>
      <c r="N885" s="722"/>
      <c r="O885" s="722"/>
      <c r="P885" s="722"/>
      <c r="Q885" s="722"/>
      <c r="R885" s="722"/>
      <c r="S885" s="722"/>
      <c r="T885" s="722"/>
      <c r="U885" s="722"/>
      <c r="V885" s="722"/>
      <c r="W885" s="722"/>
      <c r="X885" s="722"/>
      <c r="Y885" s="723"/>
    </row>
    <row r="886" spans="3:25" ht="18" customHeight="1" x14ac:dyDescent="0.2">
      <c r="C886" s="721"/>
      <c r="D886" s="722"/>
      <c r="E886" s="722"/>
      <c r="F886" s="722"/>
      <c r="G886" s="722"/>
      <c r="H886" s="722"/>
      <c r="I886" s="722"/>
      <c r="J886" s="722"/>
      <c r="K886" s="722"/>
      <c r="L886" s="722"/>
      <c r="M886" s="722"/>
      <c r="N886" s="722"/>
      <c r="O886" s="722"/>
      <c r="P886" s="722"/>
      <c r="Q886" s="722"/>
      <c r="R886" s="722"/>
      <c r="S886" s="722"/>
      <c r="T886" s="722"/>
      <c r="U886" s="722"/>
      <c r="V886" s="722"/>
      <c r="W886" s="722"/>
      <c r="X886" s="722"/>
      <c r="Y886" s="723"/>
    </row>
    <row r="887" spans="3:25" ht="18" customHeight="1" x14ac:dyDescent="0.2">
      <c r="C887" s="721"/>
      <c r="D887" s="722"/>
      <c r="E887" s="722"/>
      <c r="F887" s="722"/>
      <c r="G887" s="722"/>
      <c r="H887" s="722"/>
      <c r="I887" s="722"/>
      <c r="J887" s="722"/>
      <c r="K887" s="722"/>
      <c r="L887" s="722"/>
      <c r="M887" s="722"/>
      <c r="N887" s="722"/>
      <c r="O887" s="722"/>
      <c r="P887" s="722"/>
      <c r="Q887" s="722"/>
      <c r="R887" s="722"/>
      <c r="S887" s="722"/>
      <c r="T887" s="722"/>
      <c r="U887" s="722"/>
      <c r="V887" s="722"/>
      <c r="W887" s="722"/>
      <c r="X887" s="722"/>
      <c r="Y887" s="723"/>
    </row>
    <row r="888" spans="3:25" ht="18" customHeight="1" x14ac:dyDescent="0.2">
      <c r="C888" s="721"/>
      <c r="D888" s="722"/>
      <c r="E888" s="722"/>
      <c r="F888" s="722"/>
      <c r="G888" s="722"/>
      <c r="H888" s="722"/>
      <c r="I888" s="722"/>
      <c r="J888" s="722"/>
      <c r="K888" s="722"/>
      <c r="L888" s="722"/>
      <c r="M888" s="722"/>
      <c r="N888" s="722"/>
      <c r="O888" s="722"/>
      <c r="P888" s="722"/>
      <c r="Q888" s="722"/>
      <c r="R888" s="722"/>
      <c r="S888" s="722"/>
      <c r="T888" s="722"/>
      <c r="U888" s="722"/>
      <c r="V888" s="722"/>
      <c r="W888" s="722"/>
      <c r="X888" s="722"/>
      <c r="Y888" s="723"/>
    </row>
    <row r="889" spans="3:25" ht="18" customHeight="1" x14ac:dyDescent="0.2">
      <c r="C889" s="721"/>
      <c r="D889" s="722"/>
      <c r="E889" s="722"/>
      <c r="F889" s="722"/>
      <c r="G889" s="722"/>
      <c r="H889" s="722"/>
      <c r="I889" s="722"/>
      <c r="J889" s="722"/>
      <c r="K889" s="722"/>
      <c r="L889" s="722"/>
      <c r="M889" s="722"/>
      <c r="N889" s="722"/>
      <c r="O889" s="722"/>
      <c r="P889" s="722"/>
      <c r="Q889" s="722"/>
      <c r="R889" s="722"/>
      <c r="S889" s="722"/>
      <c r="T889" s="722"/>
      <c r="U889" s="722"/>
      <c r="V889" s="722"/>
      <c r="W889" s="722"/>
      <c r="X889" s="722"/>
      <c r="Y889" s="723"/>
    </row>
    <row r="890" spans="3:25" ht="18" customHeight="1" x14ac:dyDescent="0.2">
      <c r="C890" s="721"/>
      <c r="D890" s="722"/>
      <c r="E890" s="722"/>
      <c r="F890" s="722"/>
      <c r="G890" s="722"/>
      <c r="H890" s="722"/>
      <c r="I890" s="722"/>
      <c r="J890" s="722"/>
      <c r="K890" s="722"/>
      <c r="L890" s="722"/>
      <c r="M890" s="722"/>
      <c r="N890" s="722"/>
      <c r="O890" s="722"/>
      <c r="P890" s="722"/>
      <c r="Q890" s="722"/>
      <c r="R890" s="722"/>
      <c r="S890" s="722"/>
      <c r="T890" s="722"/>
      <c r="U890" s="722"/>
      <c r="V890" s="722"/>
      <c r="W890" s="722"/>
      <c r="X890" s="722"/>
      <c r="Y890" s="723"/>
    </row>
    <row r="891" spans="3:25" ht="18" customHeight="1" x14ac:dyDescent="0.2">
      <c r="C891" s="721"/>
      <c r="D891" s="722"/>
      <c r="E891" s="722"/>
      <c r="F891" s="722"/>
      <c r="G891" s="722"/>
      <c r="H891" s="722"/>
      <c r="I891" s="722"/>
      <c r="J891" s="722"/>
      <c r="K891" s="722"/>
      <c r="L891" s="722"/>
      <c r="M891" s="722"/>
      <c r="N891" s="722"/>
      <c r="O891" s="722"/>
      <c r="P891" s="722"/>
      <c r="Q891" s="722"/>
      <c r="R891" s="722"/>
      <c r="S891" s="722"/>
      <c r="T891" s="722"/>
      <c r="U891" s="722"/>
      <c r="V891" s="722"/>
      <c r="W891" s="722"/>
      <c r="X891" s="722"/>
      <c r="Y891" s="723"/>
    </row>
    <row r="892" spans="3:25" ht="18" customHeight="1" x14ac:dyDescent="0.2">
      <c r="C892" s="721"/>
      <c r="D892" s="722"/>
      <c r="E892" s="722"/>
      <c r="F892" s="722"/>
      <c r="G892" s="722"/>
      <c r="H892" s="722"/>
      <c r="I892" s="722"/>
      <c r="J892" s="722"/>
      <c r="K892" s="722"/>
      <c r="L892" s="722"/>
      <c r="M892" s="722"/>
      <c r="N892" s="722"/>
      <c r="O892" s="722"/>
      <c r="P892" s="722"/>
      <c r="Q892" s="722"/>
      <c r="R892" s="722"/>
      <c r="S892" s="722"/>
      <c r="T892" s="722"/>
      <c r="U892" s="722"/>
      <c r="V892" s="722"/>
      <c r="W892" s="722"/>
      <c r="X892" s="722"/>
      <c r="Y892" s="723"/>
    </row>
    <row r="893" spans="3:25" ht="18" customHeight="1" x14ac:dyDescent="0.2">
      <c r="C893" s="721"/>
      <c r="D893" s="722"/>
      <c r="E893" s="722"/>
      <c r="F893" s="722"/>
      <c r="G893" s="722"/>
      <c r="H893" s="722"/>
      <c r="I893" s="722"/>
      <c r="J893" s="722"/>
      <c r="K893" s="722"/>
      <c r="L893" s="722"/>
      <c r="M893" s="722"/>
      <c r="N893" s="722"/>
      <c r="O893" s="722"/>
      <c r="P893" s="722"/>
      <c r="Q893" s="722"/>
      <c r="R893" s="722"/>
      <c r="S893" s="722"/>
      <c r="T893" s="722"/>
      <c r="U893" s="722"/>
      <c r="V893" s="722"/>
      <c r="W893" s="722"/>
      <c r="X893" s="722"/>
      <c r="Y893" s="723"/>
    </row>
    <row r="894" spans="3:25" ht="18" customHeight="1" x14ac:dyDescent="0.2">
      <c r="C894" s="721"/>
      <c r="D894" s="722"/>
      <c r="E894" s="722"/>
      <c r="F894" s="722"/>
      <c r="G894" s="722"/>
      <c r="H894" s="722"/>
      <c r="I894" s="722"/>
      <c r="J894" s="722"/>
      <c r="K894" s="722"/>
      <c r="L894" s="722"/>
      <c r="M894" s="722"/>
      <c r="N894" s="722"/>
      <c r="O894" s="722"/>
      <c r="P894" s="722"/>
      <c r="Q894" s="722"/>
      <c r="R894" s="722"/>
      <c r="S894" s="722"/>
      <c r="T894" s="722"/>
      <c r="U894" s="722"/>
      <c r="V894" s="722"/>
      <c r="W894" s="722"/>
      <c r="X894" s="722"/>
      <c r="Y894" s="723"/>
    </row>
    <row r="895" spans="3:25" ht="18" customHeight="1" x14ac:dyDescent="0.2">
      <c r="C895" s="721"/>
      <c r="D895" s="722"/>
      <c r="E895" s="722"/>
      <c r="F895" s="722"/>
      <c r="G895" s="722"/>
      <c r="H895" s="722"/>
      <c r="I895" s="722"/>
      <c r="J895" s="722"/>
      <c r="K895" s="722"/>
      <c r="L895" s="722"/>
      <c r="M895" s="722"/>
      <c r="N895" s="722"/>
      <c r="O895" s="722"/>
      <c r="P895" s="722"/>
      <c r="Q895" s="722"/>
      <c r="R895" s="722"/>
      <c r="S895" s="722"/>
      <c r="T895" s="722"/>
      <c r="U895" s="722"/>
      <c r="V895" s="722"/>
      <c r="W895" s="722"/>
      <c r="X895" s="722"/>
      <c r="Y895" s="723"/>
    </row>
    <row r="896" spans="3:25" ht="18" customHeight="1" x14ac:dyDescent="0.2">
      <c r="C896" s="721"/>
      <c r="D896" s="722"/>
      <c r="E896" s="722"/>
      <c r="F896" s="722"/>
      <c r="G896" s="722"/>
      <c r="H896" s="722"/>
      <c r="I896" s="722"/>
      <c r="J896" s="722"/>
      <c r="K896" s="722"/>
      <c r="L896" s="722"/>
      <c r="M896" s="722"/>
      <c r="N896" s="722"/>
      <c r="O896" s="722"/>
      <c r="P896" s="722"/>
      <c r="Q896" s="722"/>
      <c r="R896" s="722"/>
      <c r="S896" s="722"/>
      <c r="T896" s="722"/>
      <c r="U896" s="722"/>
      <c r="V896" s="722"/>
      <c r="W896" s="722"/>
      <c r="X896" s="722"/>
      <c r="Y896" s="723"/>
    </row>
    <row r="897" spans="3:25" ht="18" customHeight="1" x14ac:dyDescent="0.2">
      <c r="C897" s="721"/>
      <c r="D897" s="722"/>
      <c r="E897" s="722"/>
      <c r="F897" s="722"/>
      <c r="G897" s="722"/>
      <c r="H897" s="722"/>
      <c r="I897" s="722"/>
      <c r="J897" s="722"/>
      <c r="K897" s="722"/>
      <c r="L897" s="722"/>
      <c r="M897" s="722"/>
      <c r="N897" s="722"/>
      <c r="O897" s="722"/>
      <c r="P897" s="722"/>
      <c r="Q897" s="722"/>
      <c r="R897" s="722"/>
      <c r="S897" s="722"/>
      <c r="T897" s="722"/>
      <c r="U897" s="722"/>
      <c r="V897" s="722"/>
      <c r="W897" s="722"/>
      <c r="X897" s="722"/>
      <c r="Y897" s="723"/>
    </row>
    <row r="898" spans="3:25" ht="18" customHeight="1" x14ac:dyDescent="0.2">
      <c r="C898" s="721"/>
      <c r="D898" s="722"/>
      <c r="E898" s="722"/>
      <c r="F898" s="722"/>
      <c r="G898" s="722"/>
      <c r="H898" s="722"/>
      <c r="I898" s="722"/>
      <c r="J898" s="722"/>
      <c r="K898" s="722"/>
      <c r="L898" s="722"/>
      <c r="M898" s="722"/>
      <c r="N898" s="722"/>
      <c r="O898" s="722"/>
      <c r="P898" s="722"/>
      <c r="Q898" s="722"/>
      <c r="R898" s="722"/>
      <c r="S898" s="722"/>
      <c r="T898" s="722"/>
      <c r="U898" s="722"/>
      <c r="V898" s="722"/>
      <c r="W898" s="722"/>
      <c r="X898" s="722"/>
      <c r="Y898" s="723"/>
    </row>
    <row r="899" spans="3:25" ht="18" customHeight="1" x14ac:dyDescent="0.2">
      <c r="C899" s="721"/>
      <c r="D899" s="722"/>
      <c r="E899" s="722"/>
      <c r="F899" s="722"/>
      <c r="G899" s="722"/>
      <c r="H899" s="722"/>
      <c r="I899" s="722"/>
      <c r="J899" s="722"/>
      <c r="K899" s="722"/>
      <c r="L899" s="722"/>
      <c r="M899" s="722"/>
      <c r="N899" s="722"/>
      <c r="O899" s="722"/>
      <c r="P899" s="722"/>
      <c r="Q899" s="722"/>
      <c r="R899" s="722"/>
      <c r="S899" s="722"/>
      <c r="T899" s="722"/>
      <c r="U899" s="722"/>
      <c r="V899" s="722"/>
      <c r="W899" s="722"/>
      <c r="X899" s="722"/>
      <c r="Y899" s="723"/>
    </row>
    <row r="900" spans="3:25" ht="18" customHeight="1" x14ac:dyDescent="0.2">
      <c r="C900" s="724"/>
      <c r="D900" s="725"/>
      <c r="E900" s="725"/>
      <c r="F900" s="725"/>
      <c r="G900" s="725"/>
      <c r="H900" s="725"/>
      <c r="I900" s="725"/>
      <c r="J900" s="725"/>
      <c r="K900" s="725"/>
      <c r="L900" s="725"/>
      <c r="M900" s="725"/>
      <c r="N900" s="725"/>
      <c r="O900" s="725"/>
      <c r="P900" s="725"/>
      <c r="Q900" s="725"/>
      <c r="R900" s="725"/>
      <c r="S900" s="725"/>
      <c r="T900" s="725"/>
      <c r="U900" s="725"/>
      <c r="V900" s="725"/>
      <c r="W900" s="725"/>
      <c r="X900" s="725"/>
      <c r="Y900" s="726"/>
    </row>
  </sheetData>
  <mergeCells count="624">
    <mergeCell ref="C35:Y38"/>
    <mergeCell ref="C655:S655"/>
    <mergeCell ref="D41:Y41"/>
    <mergeCell ref="C744:Y744"/>
    <mergeCell ref="C198:Y200"/>
    <mergeCell ref="C203:Y204"/>
    <mergeCell ref="C205:Y207"/>
    <mergeCell ref="C210:Y210"/>
    <mergeCell ref="T213:W213"/>
    <mergeCell ref="X213:Y213"/>
    <mergeCell ref="D494:Y494"/>
    <mergeCell ref="D511:Y511"/>
    <mergeCell ref="D517:Y517"/>
    <mergeCell ref="D529:Y529"/>
    <mergeCell ref="D572:Y572"/>
    <mergeCell ref="D615:Y615"/>
    <mergeCell ref="D658:Y658"/>
    <mergeCell ref="D706:Y706"/>
    <mergeCell ref="D742:Y742"/>
    <mergeCell ref="C242:Y287"/>
    <mergeCell ref="C233:Y233"/>
    <mergeCell ref="X356:Y356"/>
    <mergeCell ref="C359:Y359"/>
    <mergeCell ref="C295:Y295"/>
    <mergeCell ref="T292:W292"/>
    <mergeCell ref="X292:Y292"/>
    <mergeCell ref="J197:K197"/>
    <mergeCell ref="C225:Y225"/>
    <mergeCell ref="J226:K226"/>
    <mergeCell ref="T226:W226"/>
    <mergeCell ref="C229:Y229"/>
    <mergeCell ref="T230:W230"/>
    <mergeCell ref="X230:Y230"/>
    <mergeCell ref="C216:Y216"/>
    <mergeCell ref="T217:W217"/>
    <mergeCell ref="C220:Y220"/>
    <mergeCell ref="T221:W221"/>
    <mergeCell ref="X221:Y221"/>
    <mergeCell ref="T222:W222"/>
    <mergeCell ref="X222:Y222"/>
    <mergeCell ref="C240:Y241"/>
    <mergeCell ref="T234:W234"/>
    <mergeCell ref="G288:H288"/>
    <mergeCell ref="C291:Y291"/>
    <mergeCell ref="G197:I197"/>
    <mergeCell ref="B211:Z212"/>
    <mergeCell ref="C407:Y407"/>
    <mergeCell ref="T408:W408"/>
    <mergeCell ref="X408:Y408"/>
    <mergeCell ref="C411:Y412"/>
    <mergeCell ref="J413:K413"/>
    <mergeCell ref="T413:W413"/>
    <mergeCell ref="T398:W398"/>
    <mergeCell ref="X398:Y398"/>
    <mergeCell ref="T399:W399"/>
    <mergeCell ref="X399:Y399"/>
    <mergeCell ref="C402:Y403"/>
    <mergeCell ref="J404:K404"/>
    <mergeCell ref="T404:W404"/>
    <mergeCell ref="T462:Y462"/>
    <mergeCell ref="C463:Y463"/>
    <mergeCell ref="C464:E464"/>
    <mergeCell ref="F464:S464"/>
    <mergeCell ref="X424:Y424"/>
    <mergeCell ref="C427:Y428"/>
    <mergeCell ref="C453:Y454"/>
    <mergeCell ref="J456:K456"/>
    <mergeCell ref="T456:W456"/>
    <mergeCell ref="J457:K457"/>
    <mergeCell ref="T457:W457"/>
    <mergeCell ref="C443:Y443"/>
    <mergeCell ref="J444:K444"/>
    <mergeCell ref="T444:W444"/>
    <mergeCell ref="C447:Y448"/>
    <mergeCell ref="J449:K449"/>
    <mergeCell ref="T449:W449"/>
    <mergeCell ref="D452:Y452"/>
    <mergeCell ref="J429:K429"/>
    <mergeCell ref="T429:W429"/>
    <mergeCell ref="C432:Y434"/>
    <mergeCell ref="B455:AA455"/>
    <mergeCell ref="B461:AA461"/>
    <mergeCell ref="F472:S472"/>
    <mergeCell ref="T472:W472"/>
    <mergeCell ref="X472:Y472"/>
    <mergeCell ref="C465:E465"/>
    <mergeCell ref="F465:S465"/>
    <mergeCell ref="T465:W465"/>
    <mergeCell ref="X465:Y465"/>
    <mergeCell ref="C466:E466"/>
    <mergeCell ref="F466:S466"/>
    <mergeCell ref="T466:W466"/>
    <mergeCell ref="X466:Y466"/>
    <mergeCell ref="C550:Y551"/>
    <mergeCell ref="C552:Y553"/>
    <mergeCell ref="C484:Y485"/>
    <mergeCell ref="C486:Y487"/>
    <mergeCell ref="C490:Y490"/>
    <mergeCell ref="T491:W491"/>
    <mergeCell ref="X491:Y491"/>
    <mergeCell ref="C479:E479"/>
    <mergeCell ref="F479:S479"/>
    <mergeCell ref="T479:W479"/>
    <mergeCell ref="X479:Y479"/>
    <mergeCell ref="C480:S480"/>
    <mergeCell ref="T480:W480"/>
    <mergeCell ref="X480:Y480"/>
    <mergeCell ref="C501:Y502"/>
    <mergeCell ref="C525:Y525"/>
    <mergeCell ref="C526:Y526"/>
    <mergeCell ref="C531:Y532"/>
    <mergeCell ref="C533:Y533"/>
    <mergeCell ref="C534:Y535"/>
    <mergeCell ref="C513:Y513"/>
    <mergeCell ref="C514:Y514"/>
    <mergeCell ref="C518:Y519"/>
    <mergeCell ref="C521:Y521"/>
    <mergeCell ref="J522:K522"/>
    <mergeCell ref="T522:W522"/>
    <mergeCell ref="C617:Y617"/>
    <mergeCell ref="C618:S618"/>
    <mergeCell ref="C619:S620"/>
    <mergeCell ref="T619:W620"/>
    <mergeCell ref="X619:Y620"/>
    <mergeCell ref="C592:Y593"/>
    <mergeCell ref="J594:K594"/>
    <mergeCell ref="T594:W594"/>
    <mergeCell ref="C565:Y566"/>
    <mergeCell ref="C567:Y567"/>
    <mergeCell ref="C568:Y569"/>
    <mergeCell ref="C574:Y575"/>
    <mergeCell ref="C576:Y577"/>
    <mergeCell ref="F608:H608"/>
    <mergeCell ref="I608:K608"/>
    <mergeCell ref="L608:N608"/>
    <mergeCell ref="O608:T608"/>
    <mergeCell ref="F609:H609"/>
    <mergeCell ref="I609:K609"/>
    <mergeCell ref="L609:N609"/>
    <mergeCell ref="O609:T609"/>
    <mergeCell ref="F610:H610"/>
    <mergeCell ref="I610:K610"/>
    <mergeCell ref="L610:N610"/>
    <mergeCell ref="J669:K669"/>
    <mergeCell ref="N669:P669"/>
    <mergeCell ref="Q669:R669"/>
    <mergeCell ref="T669:W669"/>
    <mergeCell ref="X669:Y669"/>
    <mergeCell ref="J670:K670"/>
    <mergeCell ref="N670:P670"/>
    <mergeCell ref="Q670:R670"/>
    <mergeCell ref="T670:W670"/>
    <mergeCell ref="X670:Y670"/>
    <mergeCell ref="O610:T610"/>
    <mergeCell ref="X626:Y626"/>
    <mergeCell ref="D627:S627"/>
    <mergeCell ref="T627:W627"/>
    <mergeCell ref="X627:Y627"/>
    <mergeCell ref="D628:S628"/>
    <mergeCell ref="T628:W628"/>
    <mergeCell ref="X628:Y628"/>
    <mergeCell ref="D639:S639"/>
    <mergeCell ref="T639:W639"/>
    <mergeCell ref="X639:Y639"/>
    <mergeCell ref="C634:Y635"/>
    <mergeCell ref="D755:AB755"/>
    <mergeCell ref="A756:AB756"/>
    <mergeCell ref="E757:F757"/>
    <mergeCell ref="Z757:AB757"/>
    <mergeCell ref="J747:J754"/>
    <mergeCell ref="K747:K754"/>
    <mergeCell ref="N747:S747"/>
    <mergeCell ref="T747:Y747"/>
    <mergeCell ref="N748:S748"/>
    <mergeCell ref="T748:Y748"/>
    <mergeCell ref="N749:S749"/>
    <mergeCell ref="T749:Y749"/>
    <mergeCell ref="N750:S750"/>
    <mergeCell ref="T750:Y753"/>
    <mergeCell ref="M745:M754"/>
    <mergeCell ref="N745:Y745"/>
    <mergeCell ref="Z745:Z754"/>
    <mergeCell ref="AA745:AA754"/>
    <mergeCell ref="AB745:AB754"/>
    <mergeCell ref="H746:K746"/>
    <mergeCell ref="N746:S746"/>
    <mergeCell ref="T746:Y746"/>
    <mergeCell ref="H747:H754"/>
    <mergeCell ref="I747:I754"/>
    <mergeCell ref="B1:Z3"/>
    <mergeCell ref="B4:Z14"/>
    <mergeCell ref="C17:Y20"/>
    <mergeCell ref="D23:Y23"/>
    <mergeCell ref="K26:L26"/>
    <mergeCell ref="F28:H28"/>
    <mergeCell ref="I28:K28"/>
    <mergeCell ref="L28:N28"/>
    <mergeCell ref="O28:T28"/>
    <mergeCell ref="F31:H31"/>
    <mergeCell ref="I31:K31"/>
    <mergeCell ref="L31:N31"/>
    <mergeCell ref="O31:T31"/>
    <mergeCell ref="F29:H29"/>
    <mergeCell ref="I29:K29"/>
    <mergeCell ref="L29:N29"/>
    <mergeCell ref="O29:T29"/>
    <mergeCell ref="C105:Y105"/>
    <mergeCell ref="F30:H30"/>
    <mergeCell ref="I30:K30"/>
    <mergeCell ref="L30:N30"/>
    <mergeCell ref="O30:T30"/>
    <mergeCell ref="C44:Y44"/>
    <mergeCell ref="C47:Y47"/>
    <mergeCell ref="C50:Y50"/>
    <mergeCell ref="C53:Y53"/>
    <mergeCell ref="C54:Y102"/>
    <mergeCell ref="G103:H103"/>
    <mergeCell ref="F32:H32"/>
    <mergeCell ref="I32:K32"/>
    <mergeCell ref="L32:N32"/>
    <mergeCell ref="O32:T32"/>
    <mergeCell ref="C34:Y34"/>
    <mergeCell ref="T107:W107"/>
    <mergeCell ref="X107:Y107"/>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C194:G196"/>
    <mergeCell ref="J194:K194"/>
    <mergeCell ref="T194:W194"/>
    <mergeCell ref="J195:K195"/>
    <mergeCell ref="T195:W195"/>
    <mergeCell ref="J196:K196"/>
    <mergeCell ref="X234:Y234"/>
    <mergeCell ref="D237:Y237"/>
    <mergeCell ref="C239:Y239"/>
    <mergeCell ref="G352:H352"/>
    <mergeCell ref="C355:Y355"/>
    <mergeCell ref="T356:W356"/>
    <mergeCell ref="C360:S360"/>
    <mergeCell ref="T360:Y360"/>
    <mergeCell ref="T296:W296"/>
    <mergeCell ref="X296:Y296"/>
    <mergeCell ref="D300:Y300"/>
    <mergeCell ref="C302:Y302"/>
    <mergeCell ref="C303:Y304"/>
    <mergeCell ref="C305:Y351"/>
    <mergeCell ref="E363:S363"/>
    <mergeCell ref="T363:W363"/>
    <mergeCell ref="X363:Y363"/>
    <mergeCell ref="E364:S364"/>
    <mergeCell ref="T364:W364"/>
    <mergeCell ref="X364:Y364"/>
    <mergeCell ref="E361:S361"/>
    <mergeCell ref="T361:W361"/>
    <mergeCell ref="X361:Y361"/>
    <mergeCell ref="E362:S362"/>
    <mergeCell ref="T362:W362"/>
    <mergeCell ref="X362:Y362"/>
    <mergeCell ref="E369:S369"/>
    <mergeCell ref="T369:W369"/>
    <mergeCell ref="C390:Y392"/>
    <mergeCell ref="T393:W393"/>
    <mergeCell ref="X393:Y393"/>
    <mergeCell ref="E365:S365"/>
    <mergeCell ref="T365:W365"/>
    <mergeCell ref="X365:Y365"/>
    <mergeCell ref="E366:S366"/>
    <mergeCell ref="T366:W366"/>
    <mergeCell ref="X366:Y366"/>
    <mergeCell ref="D371:S371"/>
    <mergeCell ref="T371:W371"/>
    <mergeCell ref="X371:Y371"/>
    <mergeCell ref="X369:Y369"/>
    <mergeCell ref="E370:S370"/>
    <mergeCell ref="T370:W370"/>
    <mergeCell ref="X370:Y370"/>
    <mergeCell ref="E367:S367"/>
    <mergeCell ref="T367:W367"/>
    <mergeCell ref="X367:Y367"/>
    <mergeCell ref="E368:S368"/>
    <mergeCell ref="T368:W368"/>
    <mergeCell ref="X368:Y368"/>
    <mergeCell ref="C380:Y381"/>
    <mergeCell ref="T382:W382"/>
    <mergeCell ref="X382:Y382"/>
    <mergeCell ref="C385:Y386"/>
    <mergeCell ref="T387:W387"/>
    <mergeCell ref="X387:Y387"/>
    <mergeCell ref="C375:Y375"/>
    <mergeCell ref="C376:G377"/>
    <mergeCell ref="J376:K376"/>
    <mergeCell ref="T376:W376"/>
    <mergeCell ref="J377:K377"/>
    <mergeCell ref="C416:Y418"/>
    <mergeCell ref="C419:Y420"/>
    <mergeCell ref="C423:Y423"/>
    <mergeCell ref="T424:W424"/>
    <mergeCell ref="C469:E469"/>
    <mergeCell ref="F469:S469"/>
    <mergeCell ref="T469:W469"/>
    <mergeCell ref="X469:Y469"/>
    <mergeCell ref="T394:W394"/>
    <mergeCell ref="X394:Y394"/>
    <mergeCell ref="C397:Y397"/>
    <mergeCell ref="C467:E467"/>
    <mergeCell ref="F467:S467"/>
    <mergeCell ref="T467:W467"/>
    <mergeCell ref="X467:Y467"/>
    <mergeCell ref="C468:E468"/>
    <mergeCell ref="F468:S468"/>
    <mergeCell ref="T468:W468"/>
    <mergeCell ref="X468:Y468"/>
    <mergeCell ref="T464:W464"/>
    <mergeCell ref="X464:Y464"/>
    <mergeCell ref="C459:Y460"/>
    <mergeCell ref="C462:E462"/>
    <mergeCell ref="F462:S462"/>
    <mergeCell ref="F475:S475"/>
    <mergeCell ref="T475:W475"/>
    <mergeCell ref="X475:Y475"/>
    <mergeCell ref="C476:E476"/>
    <mergeCell ref="F476:S476"/>
    <mergeCell ref="T476:W476"/>
    <mergeCell ref="X476:Y476"/>
    <mergeCell ref="C435:Y436"/>
    <mergeCell ref="C439:Y439"/>
    <mergeCell ref="J440:K440"/>
    <mergeCell ref="T440:W440"/>
    <mergeCell ref="C474:E474"/>
    <mergeCell ref="F474:S474"/>
    <mergeCell ref="T474:W474"/>
    <mergeCell ref="X474:Y474"/>
    <mergeCell ref="C470:E470"/>
    <mergeCell ref="F470:S470"/>
    <mergeCell ref="T470:W470"/>
    <mergeCell ref="X470:Y470"/>
    <mergeCell ref="C471:E471"/>
    <mergeCell ref="F471:S471"/>
    <mergeCell ref="T471:W471"/>
    <mergeCell ref="X471:Y471"/>
    <mergeCell ref="C472:E472"/>
    <mergeCell ref="C473:E473"/>
    <mergeCell ref="F473:S473"/>
    <mergeCell ref="T473:W473"/>
    <mergeCell ref="X473:Y473"/>
    <mergeCell ref="T504:W504"/>
    <mergeCell ref="X504:Y504"/>
    <mergeCell ref="C507:Y507"/>
    <mergeCell ref="J508:K508"/>
    <mergeCell ref="T508:W508"/>
    <mergeCell ref="C495:Y495"/>
    <mergeCell ref="C497:Y497"/>
    <mergeCell ref="T498:W498"/>
    <mergeCell ref="X498:Y498"/>
    <mergeCell ref="T503:W503"/>
    <mergeCell ref="X503:Y503"/>
    <mergeCell ref="C477:E477"/>
    <mergeCell ref="F477:S477"/>
    <mergeCell ref="T477:W477"/>
    <mergeCell ref="X477:Y477"/>
    <mergeCell ref="C478:E478"/>
    <mergeCell ref="F478:S478"/>
    <mergeCell ref="T478:W478"/>
    <mergeCell ref="X478:Y478"/>
    <mergeCell ref="C475:E475"/>
    <mergeCell ref="C536:Y536"/>
    <mergeCell ref="C537:Y538"/>
    <mergeCell ref="C539:Y539"/>
    <mergeCell ref="C540:Y541"/>
    <mergeCell ref="C542:Y542"/>
    <mergeCell ref="C543:Y544"/>
    <mergeCell ref="X600:Y600"/>
    <mergeCell ref="D603:Y603"/>
    <mergeCell ref="J605:K605"/>
    <mergeCell ref="C586:Y587"/>
    <mergeCell ref="C588:Y589"/>
    <mergeCell ref="C597:Y598"/>
    <mergeCell ref="G599:S600"/>
    <mergeCell ref="T600:W600"/>
    <mergeCell ref="C556:Y557"/>
    <mergeCell ref="C558:Y558"/>
    <mergeCell ref="C559:Y560"/>
    <mergeCell ref="C561:Y561"/>
    <mergeCell ref="C562:Y563"/>
    <mergeCell ref="C564:Y564"/>
    <mergeCell ref="C580:Y581"/>
    <mergeCell ref="C582:Y583"/>
    <mergeCell ref="C545:Y545"/>
    <mergeCell ref="C546:Y547"/>
    <mergeCell ref="F611:H611"/>
    <mergeCell ref="I611:K611"/>
    <mergeCell ref="L611:N611"/>
    <mergeCell ref="O611:T611"/>
    <mergeCell ref="D626:S626"/>
    <mergeCell ref="T626:W626"/>
    <mergeCell ref="C621:Y621"/>
    <mergeCell ref="D622:S622"/>
    <mergeCell ref="T622:W622"/>
    <mergeCell ref="X622:Y622"/>
    <mergeCell ref="D623:S623"/>
    <mergeCell ref="T623:W623"/>
    <mergeCell ref="X623:Y623"/>
    <mergeCell ref="D624:S624"/>
    <mergeCell ref="T624:W624"/>
    <mergeCell ref="X624:Y624"/>
    <mergeCell ref="C625:Y625"/>
    <mergeCell ref="C629:S629"/>
    <mergeCell ref="T629:W629"/>
    <mergeCell ref="X629:Y629"/>
    <mergeCell ref="C630:S630"/>
    <mergeCell ref="T630:W630"/>
    <mergeCell ref="X630:Y630"/>
    <mergeCell ref="F612:H612"/>
    <mergeCell ref="I612:K612"/>
    <mergeCell ref="L612:N612"/>
    <mergeCell ref="O612:T612"/>
    <mergeCell ref="C638:S638"/>
    <mergeCell ref="D640:S640"/>
    <mergeCell ref="T640:W640"/>
    <mergeCell ref="X640:Y640"/>
    <mergeCell ref="C631:S631"/>
    <mergeCell ref="T631:W631"/>
    <mergeCell ref="X631:Y631"/>
    <mergeCell ref="D648:S648"/>
    <mergeCell ref="T648:W648"/>
    <mergeCell ref="X648:Y648"/>
    <mergeCell ref="C636:S636"/>
    <mergeCell ref="C637:S637"/>
    <mergeCell ref="T637:W637"/>
    <mergeCell ref="X637:Y637"/>
    <mergeCell ref="D649:S649"/>
    <mergeCell ref="T649:W649"/>
    <mergeCell ref="X649:Y649"/>
    <mergeCell ref="C641:S641"/>
    <mergeCell ref="T641:W641"/>
    <mergeCell ref="X641:Y641"/>
    <mergeCell ref="C644:Y645"/>
    <mergeCell ref="C646:S646"/>
    <mergeCell ref="C647:Y647"/>
    <mergeCell ref="C653:Y653"/>
    <mergeCell ref="T654:W654"/>
    <mergeCell ref="X654:Y654"/>
    <mergeCell ref="C650:Y650"/>
    <mergeCell ref="D651:S651"/>
    <mergeCell ref="T651:W651"/>
    <mergeCell ref="X651:Y651"/>
    <mergeCell ref="D652:S652"/>
    <mergeCell ref="C665:Y666"/>
    <mergeCell ref="X655:Y655"/>
    <mergeCell ref="T655:W655"/>
    <mergeCell ref="X652:Y652"/>
    <mergeCell ref="T652:W652"/>
    <mergeCell ref="C654:S654"/>
    <mergeCell ref="J667:L667"/>
    <mergeCell ref="N667:R668"/>
    <mergeCell ref="T667:Y667"/>
    <mergeCell ref="J668:L668"/>
    <mergeCell ref="T668:Y668"/>
    <mergeCell ref="C660:Y660"/>
    <mergeCell ref="J661:K661"/>
    <mergeCell ref="T661:W661"/>
    <mergeCell ref="J662:K662"/>
    <mergeCell ref="T662:W662"/>
    <mergeCell ref="C674:Y674"/>
    <mergeCell ref="C676:Y676"/>
    <mergeCell ref="J677:K677"/>
    <mergeCell ref="T677:W677"/>
    <mergeCell ref="C680:Y681"/>
    <mergeCell ref="J682:K682"/>
    <mergeCell ref="T682:W682"/>
    <mergeCell ref="J711:K711"/>
    <mergeCell ref="T711:W711"/>
    <mergeCell ref="C710:Y710"/>
    <mergeCell ref="C694:Y694"/>
    <mergeCell ref="J695:K695"/>
    <mergeCell ref="T695:W695"/>
    <mergeCell ref="C698:Y698"/>
    <mergeCell ref="T699:W699"/>
    <mergeCell ref="X699:Y699"/>
    <mergeCell ref="C685:Y685"/>
    <mergeCell ref="J686:K686"/>
    <mergeCell ref="T686:W686"/>
    <mergeCell ref="C689:Y690"/>
    <mergeCell ref="T691:W691"/>
    <mergeCell ref="X691:Y691"/>
    <mergeCell ref="C714:Y714"/>
    <mergeCell ref="J715:K715"/>
    <mergeCell ref="T715:W715"/>
    <mergeCell ref="J716:K716"/>
    <mergeCell ref="T716:W716"/>
    <mergeCell ref="C702:Y702"/>
    <mergeCell ref="J703:K703"/>
    <mergeCell ref="T703:W703"/>
    <mergeCell ref="C708:Y708"/>
    <mergeCell ref="C725:Y725"/>
    <mergeCell ref="T726:W726"/>
    <mergeCell ref="X726:Y726"/>
    <mergeCell ref="C729:Y730"/>
    <mergeCell ref="C731:S731"/>
    <mergeCell ref="T731:Y731"/>
    <mergeCell ref="J717:K717"/>
    <mergeCell ref="T717:W717"/>
    <mergeCell ref="J718:K718"/>
    <mergeCell ref="C721:Y721"/>
    <mergeCell ref="J722:K722"/>
    <mergeCell ref="T722:W722"/>
    <mergeCell ref="C736:S737"/>
    <mergeCell ref="T736:W737"/>
    <mergeCell ref="X736:Y737"/>
    <mergeCell ref="C738:S739"/>
    <mergeCell ref="T738:W739"/>
    <mergeCell ref="X738:Y739"/>
    <mergeCell ref="C732:S733"/>
    <mergeCell ref="T732:W733"/>
    <mergeCell ref="X732:Y733"/>
    <mergeCell ref="C734:S735"/>
    <mergeCell ref="T734:W735"/>
    <mergeCell ref="X734:Y735"/>
    <mergeCell ref="A745:A754"/>
    <mergeCell ref="B745:B754"/>
    <mergeCell ref="C745:C754"/>
    <mergeCell ref="D745:D754"/>
    <mergeCell ref="E745:F754"/>
    <mergeCell ref="G745:G754"/>
    <mergeCell ref="H745:K745"/>
    <mergeCell ref="L745:L754"/>
    <mergeCell ref="N751:S751"/>
    <mergeCell ref="N752:S752"/>
    <mergeCell ref="N753:S753"/>
    <mergeCell ref="E761:F761"/>
    <mergeCell ref="Z761:AB761"/>
    <mergeCell ref="E762:F762"/>
    <mergeCell ref="Z762:AB762"/>
    <mergeCell ref="E763:F763"/>
    <mergeCell ref="Z763:AB763"/>
    <mergeCell ref="E758:F758"/>
    <mergeCell ref="Z758:AB758"/>
    <mergeCell ref="E759:F759"/>
    <mergeCell ref="Z759:AB759"/>
    <mergeCell ref="E760:F760"/>
    <mergeCell ref="Z760:AB760"/>
    <mergeCell ref="E767:F767"/>
    <mergeCell ref="Z767:AB767"/>
    <mergeCell ref="E768:F768"/>
    <mergeCell ref="Z768:AB768"/>
    <mergeCell ref="E769:F769"/>
    <mergeCell ref="Z769:AB769"/>
    <mergeCell ref="E764:F764"/>
    <mergeCell ref="Z764:AB764"/>
    <mergeCell ref="E765:F765"/>
    <mergeCell ref="Z765:AB765"/>
    <mergeCell ref="E766:F766"/>
    <mergeCell ref="Z766:AB766"/>
    <mergeCell ref="E773:F773"/>
    <mergeCell ref="Z773:AB773"/>
    <mergeCell ref="E774:F774"/>
    <mergeCell ref="Z774:AB774"/>
    <mergeCell ref="E775:F775"/>
    <mergeCell ref="Z775:AB775"/>
    <mergeCell ref="E770:F770"/>
    <mergeCell ref="Z770:AB770"/>
    <mergeCell ref="E771:F771"/>
    <mergeCell ref="Z771:AB771"/>
    <mergeCell ref="E772:F772"/>
    <mergeCell ref="Z772:AB772"/>
    <mergeCell ref="D800:Y800"/>
    <mergeCell ref="E779:F779"/>
    <mergeCell ref="Z779:AB779"/>
    <mergeCell ref="E780:F780"/>
    <mergeCell ref="Z780:AB780"/>
    <mergeCell ref="A782:AB783"/>
    <mergeCell ref="C787:W787"/>
    <mergeCell ref="E776:F776"/>
    <mergeCell ref="Z776:AB776"/>
    <mergeCell ref="E777:F777"/>
    <mergeCell ref="Z777:AB777"/>
    <mergeCell ref="E778:F778"/>
    <mergeCell ref="Z778:AB778"/>
    <mergeCell ref="B106:AA106"/>
    <mergeCell ref="C821:S822"/>
    <mergeCell ref="T822:W822"/>
    <mergeCell ref="X822:Y822"/>
    <mergeCell ref="D825:Y825"/>
    <mergeCell ref="C827:Y828"/>
    <mergeCell ref="C829:Y900"/>
    <mergeCell ref="T812:W812"/>
    <mergeCell ref="X812:Y812"/>
    <mergeCell ref="C815:Y815"/>
    <mergeCell ref="T816:W816"/>
    <mergeCell ref="X816:Y816"/>
    <mergeCell ref="C819:Y820"/>
    <mergeCell ref="D803:Y803"/>
    <mergeCell ref="C805:Y805"/>
    <mergeCell ref="T806:W806"/>
    <mergeCell ref="X806:Y806"/>
    <mergeCell ref="D809:Y809"/>
    <mergeCell ref="C811:Y811"/>
    <mergeCell ref="D790:Y790"/>
    <mergeCell ref="C792:Y793"/>
    <mergeCell ref="C795:Y796"/>
    <mergeCell ref="J797:K797"/>
    <mergeCell ref="T797:W797"/>
  </mergeCells>
  <conditionalFormatting sqref="B198">
    <cfRule type="expression" dxfId="4"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60" fitToHeight="0" pageOrder="overThenDown" orientation="portrait" r:id="rId1"/>
  <headerFooter>
    <oddHeader>&amp;C&amp;A</oddHeader>
    <oddFooter>&amp;CPage &amp;P</oddFooter>
  </headerFooter>
  <rowBreaks count="18" manualBreakCount="18">
    <brk id="52" max="28" man="1"/>
    <brk id="104" max="27" man="1"/>
    <brk id="141" max="28" man="1"/>
    <brk id="192" max="27" man="1"/>
    <brk id="236" max="28" man="1"/>
    <brk id="299" max="27" man="1"/>
    <brk id="358" max="27" man="1"/>
    <brk id="374" max="27" man="1"/>
    <brk id="431" max="27" man="1"/>
    <brk id="493" max="27" man="1"/>
    <brk id="528" max="27" man="1"/>
    <brk id="602" max="27" man="1"/>
    <brk id="657" max="27" man="1"/>
    <brk id="705" max="27" man="1"/>
    <brk id="741" max="16383" man="1"/>
    <brk id="785" max="27" man="1"/>
    <brk id="799" max="27" man="1"/>
    <brk id="824" max="2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AB900"/>
  <sheetViews>
    <sheetView showGridLines="0" showRowColHeaders="0" view="pageBreakPreview" zoomScale="70" zoomScaleNormal="100" zoomScaleSheetLayoutView="70" workbookViewId="0">
      <selection activeCell="B1" sqref="B1:Z3"/>
    </sheetView>
  </sheetViews>
  <sheetFormatPr baseColWidth="10" defaultColWidth="11" defaultRowHeight="18" customHeight="1" x14ac:dyDescent="0.2"/>
  <cols>
    <col min="1" max="4" width="7.5" style="339" customWidth="1"/>
    <col min="5" max="5" width="6.75" style="339" customWidth="1"/>
    <col min="6" max="6" width="7" style="339" customWidth="1"/>
    <col min="7" max="13" width="7.5" style="339" customWidth="1"/>
    <col min="14" max="15" width="4.25" style="339" customWidth="1"/>
    <col min="16" max="16" width="4.5" style="338" customWidth="1"/>
    <col min="17" max="25" width="4.25" style="339" customWidth="1"/>
    <col min="26" max="26" width="4.5" style="339" customWidth="1"/>
    <col min="27" max="28" width="4.375" style="339" customWidth="1"/>
    <col min="29" max="16384" width="11" style="339"/>
  </cols>
  <sheetData>
    <row r="1" spans="1:28" ht="18" customHeight="1" x14ac:dyDescent="0.2">
      <c r="A1" s="333"/>
      <c r="B1" s="707" t="s">
        <v>386</v>
      </c>
      <c r="C1" s="707"/>
      <c r="D1" s="707"/>
      <c r="E1" s="707"/>
      <c r="F1" s="707"/>
      <c r="G1" s="707"/>
      <c r="H1" s="707"/>
      <c r="I1" s="707"/>
      <c r="J1" s="707"/>
      <c r="K1" s="707"/>
      <c r="L1" s="707"/>
      <c r="M1" s="707"/>
      <c r="N1" s="707"/>
      <c r="O1" s="707"/>
      <c r="P1" s="707"/>
      <c r="Q1" s="707"/>
      <c r="R1" s="707"/>
      <c r="S1" s="707"/>
      <c r="T1" s="707"/>
      <c r="U1" s="707"/>
      <c r="V1" s="707"/>
      <c r="W1" s="707"/>
      <c r="X1" s="707"/>
      <c r="Y1" s="707"/>
      <c r="Z1" s="707"/>
      <c r="AA1" s="334"/>
      <c r="AB1" s="334"/>
    </row>
    <row r="2" spans="1:28" ht="18" customHeight="1" x14ac:dyDescent="0.2">
      <c r="A2" s="333"/>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334"/>
      <c r="AB2" s="334"/>
    </row>
    <row r="3" spans="1:28" ht="18" customHeight="1" x14ac:dyDescent="0.2">
      <c r="A3" s="333"/>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334"/>
      <c r="AB3" s="334"/>
    </row>
    <row r="4" spans="1:28" ht="18" customHeight="1" x14ac:dyDescent="0.2">
      <c r="A4" s="333"/>
      <c r="B4" s="706" t="s">
        <v>502</v>
      </c>
      <c r="C4" s="706"/>
      <c r="D4" s="706"/>
      <c r="E4" s="706"/>
      <c r="F4" s="706"/>
      <c r="G4" s="706"/>
      <c r="H4" s="706"/>
      <c r="I4" s="706"/>
      <c r="J4" s="706"/>
      <c r="K4" s="706"/>
      <c r="L4" s="706"/>
      <c r="M4" s="706"/>
      <c r="N4" s="706"/>
      <c r="O4" s="706"/>
      <c r="P4" s="706"/>
      <c r="Q4" s="706"/>
      <c r="R4" s="706"/>
      <c r="S4" s="706"/>
      <c r="T4" s="706"/>
      <c r="U4" s="706"/>
      <c r="V4" s="706"/>
      <c r="W4" s="706"/>
      <c r="X4" s="706"/>
      <c r="Y4" s="706"/>
      <c r="Z4" s="706"/>
      <c r="AA4" s="335"/>
      <c r="AB4" s="335"/>
    </row>
    <row r="5" spans="1:28" ht="18" customHeight="1" x14ac:dyDescent="0.2">
      <c r="A5" s="333"/>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335"/>
      <c r="AB5" s="335"/>
    </row>
    <row r="6" spans="1:28" ht="18" customHeight="1" x14ac:dyDescent="0.2">
      <c r="A6" s="333"/>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335"/>
      <c r="AB6" s="335"/>
    </row>
    <row r="7" spans="1:28" ht="18" customHeight="1" x14ac:dyDescent="0.2">
      <c r="A7" s="333"/>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335"/>
      <c r="AB7" s="335"/>
    </row>
    <row r="8" spans="1:28" ht="18" customHeight="1" x14ac:dyDescent="0.2">
      <c r="A8" s="333"/>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335"/>
      <c r="AB8" s="335"/>
    </row>
    <row r="9" spans="1:28" ht="18" customHeight="1" x14ac:dyDescent="0.2">
      <c r="A9" s="333"/>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335"/>
      <c r="AB9" s="335"/>
    </row>
    <row r="10" spans="1:28" ht="18" customHeight="1" x14ac:dyDescent="0.2">
      <c r="A10" s="333"/>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335"/>
      <c r="AB10" s="335"/>
    </row>
    <row r="11" spans="1:28" ht="18" customHeight="1" x14ac:dyDescent="0.2">
      <c r="A11" s="333"/>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335"/>
      <c r="AB11" s="335"/>
    </row>
    <row r="12" spans="1:28" ht="18" customHeight="1" x14ac:dyDescent="0.2">
      <c r="A12" s="333"/>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335"/>
      <c r="AB12" s="335"/>
    </row>
    <row r="13" spans="1:28" ht="18" customHeight="1" x14ac:dyDescent="0.2">
      <c r="A13" s="333"/>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335"/>
      <c r="AB13" s="335"/>
    </row>
    <row r="14" spans="1:28" ht="18" customHeight="1" x14ac:dyDescent="0.2">
      <c r="A14" s="333"/>
      <c r="B14" s="706"/>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335"/>
      <c r="AB14" s="335"/>
    </row>
    <row r="15" spans="1:28" ht="18" customHeight="1" x14ac:dyDescent="0.2">
      <c r="A15" s="333"/>
      <c r="B15" s="336" t="s">
        <v>1527</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2">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2">
      <c r="A17" s="333"/>
      <c r="B17" s="333"/>
      <c r="C17" s="708" t="s">
        <v>544</v>
      </c>
      <c r="D17" s="709"/>
      <c r="E17" s="709"/>
      <c r="F17" s="709"/>
      <c r="G17" s="709"/>
      <c r="H17" s="709"/>
      <c r="I17" s="709"/>
      <c r="J17" s="709"/>
      <c r="K17" s="709"/>
      <c r="L17" s="709"/>
      <c r="M17" s="709"/>
      <c r="N17" s="709"/>
      <c r="O17" s="709"/>
      <c r="P17" s="709"/>
      <c r="Q17" s="709"/>
      <c r="R17" s="709"/>
      <c r="S17" s="709"/>
      <c r="T17" s="709"/>
      <c r="U17" s="709"/>
      <c r="V17" s="709"/>
      <c r="W17" s="709"/>
      <c r="X17" s="709"/>
      <c r="Y17" s="710"/>
      <c r="Z17" s="333"/>
      <c r="AA17" s="333"/>
      <c r="AB17" s="333"/>
    </row>
    <row r="18" spans="1:28" ht="18" customHeight="1" x14ac:dyDescent="0.2">
      <c r="A18" s="333"/>
      <c r="B18" s="333"/>
      <c r="C18" s="711"/>
      <c r="D18" s="712"/>
      <c r="E18" s="712"/>
      <c r="F18" s="712"/>
      <c r="G18" s="712"/>
      <c r="H18" s="712"/>
      <c r="I18" s="712"/>
      <c r="J18" s="712"/>
      <c r="K18" s="712"/>
      <c r="L18" s="712"/>
      <c r="M18" s="712"/>
      <c r="N18" s="712"/>
      <c r="O18" s="712"/>
      <c r="P18" s="712"/>
      <c r="Q18" s="712"/>
      <c r="R18" s="712"/>
      <c r="S18" s="712"/>
      <c r="T18" s="712"/>
      <c r="U18" s="712"/>
      <c r="V18" s="712"/>
      <c r="W18" s="712"/>
      <c r="X18" s="712"/>
      <c r="Y18" s="713"/>
      <c r="Z18" s="333"/>
      <c r="AA18" s="333"/>
      <c r="AB18" s="333"/>
    </row>
    <row r="19" spans="1:28" ht="18" customHeight="1" x14ac:dyDescent="0.2">
      <c r="A19" s="333"/>
      <c r="B19" s="333"/>
      <c r="C19" s="711"/>
      <c r="D19" s="712"/>
      <c r="E19" s="712"/>
      <c r="F19" s="712"/>
      <c r="G19" s="712"/>
      <c r="H19" s="712"/>
      <c r="I19" s="712"/>
      <c r="J19" s="712"/>
      <c r="K19" s="712"/>
      <c r="L19" s="712"/>
      <c r="M19" s="712"/>
      <c r="N19" s="712"/>
      <c r="O19" s="712"/>
      <c r="P19" s="712"/>
      <c r="Q19" s="712"/>
      <c r="R19" s="712"/>
      <c r="S19" s="712"/>
      <c r="T19" s="712"/>
      <c r="U19" s="712"/>
      <c r="V19" s="712"/>
      <c r="W19" s="712"/>
      <c r="X19" s="712"/>
      <c r="Y19" s="713"/>
      <c r="Z19" s="333"/>
      <c r="AA19" s="333"/>
      <c r="AB19" s="333"/>
    </row>
    <row r="20" spans="1:28" ht="18" customHeight="1" x14ac:dyDescent="0.2">
      <c r="A20" s="333"/>
      <c r="B20" s="333"/>
      <c r="C20" s="714"/>
      <c r="D20" s="715"/>
      <c r="E20" s="715"/>
      <c r="F20" s="715"/>
      <c r="G20" s="715"/>
      <c r="H20" s="715"/>
      <c r="I20" s="715"/>
      <c r="J20" s="715"/>
      <c r="K20" s="715"/>
      <c r="L20" s="715"/>
      <c r="M20" s="715"/>
      <c r="N20" s="715"/>
      <c r="O20" s="715"/>
      <c r="P20" s="715"/>
      <c r="Q20" s="715"/>
      <c r="R20" s="715"/>
      <c r="S20" s="715"/>
      <c r="T20" s="715"/>
      <c r="U20" s="715"/>
      <c r="V20" s="715"/>
      <c r="W20" s="715"/>
      <c r="X20" s="715"/>
      <c r="Y20" s="716"/>
      <c r="Z20" s="333"/>
      <c r="AA20" s="333"/>
      <c r="AB20" s="333"/>
    </row>
    <row r="21" spans="1:28" ht="18" customHeight="1" x14ac:dyDescent="0.2">
      <c r="A21" s="337"/>
      <c r="B21" s="337"/>
      <c r="C21" s="337"/>
      <c r="D21" s="337"/>
      <c r="E21" s="337"/>
      <c r="F21" s="337"/>
      <c r="G21" s="337"/>
      <c r="H21" s="337"/>
      <c r="I21" s="337"/>
      <c r="J21" s="337"/>
      <c r="K21" s="337"/>
      <c r="L21" s="337"/>
      <c r="M21" s="337"/>
      <c r="N21" s="337"/>
      <c r="O21" s="337"/>
    </row>
    <row r="22" spans="1:28" ht="18" customHeight="1" x14ac:dyDescent="0.2">
      <c r="A22" s="337"/>
      <c r="B22" s="337"/>
      <c r="C22" s="337"/>
      <c r="D22" s="337"/>
      <c r="E22" s="337"/>
      <c r="F22" s="337"/>
      <c r="G22" s="337"/>
      <c r="H22" s="337"/>
      <c r="I22" s="337"/>
      <c r="J22" s="337"/>
      <c r="K22" s="337"/>
      <c r="L22" s="337"/>
      <c r="M22" s="337"/>
      <c r="N22" s="337"/>
      <c r="O22" s="337"/>
    </row>
    <row r="23" spans="1:28" s="342" customFormat="1" ht="36" customHeight="1" x14ac:dyDescent="0.2">
      <c r="A23" s="340"/>
      <c r="B23" s="340"/>
      <c r="C23" s="341">
        <v>1</v>
      </c>
      <c r="D23" s="695" t="s">
        <v>381</v>
      </c>
      <c r="E23" s="696"/>
      <c r="F23" s="696"/>
      <c r="G23" s="696"/>
      <c r="H23" s="696"/>
      <c r="I23" s="696"/>
      <c r="J23" s="696"/>
      <c r="K23" s="696"/>
      <c r="L23" s="696"/>
      <c r="M23" s="696"/>
      <c r="N23" s="696"/>
      <c r="O23" s="696"/>
      <c r="P23" s="696"/>
      <c r="Q23" s="696"/>
      <c r="R23" s="696"/>
      <c r="S23" s="696"/>
      <c r="T23" s="696"/>
      <c r="U23" s="696"/>
      <c r="V23" s="696"/>
      <c r="W23" s="696"/>
      <c r="X23" s="696"/>
      <c r="Y23" s="697"/>
    </row>
    <row r="24" spans="1:28" ht="18" customHeight="1" x14ac:dyDescent="0.2">
      <c r="A24" s="337"/>
      <c r="B24" s="337"/>
      <c r="C24" s="337"/>
      <c r="D24" s="337"/>
      <c r="E24" s="337"/>
      <c r="F24" s="337"/>
      <c r="G24" s="337"/>
      <c r="H24" s="337"/>
      <c r="I24" s="337"/>
      <c r="J24" s="337"/>
      <c r="K24" s="337"/>
      <c r="L24" s="337"/>
      <c r="M24" s="337"/>
      <c r="N24" s="337"/>
      <c r="O24" s="337"/>
    </row>
    <row r="25" spans="1:28" ht="18" customHeight="1" x14ac:dyDescent="0.2">
      <c r="A25" s="337"/>
      <c r="B25" s="337"/>
      <c r="C25" s="337"/>
      <c r="D25" s="337"/>
      <c r="E25" s="337"/>
      <c r="F25" s="337"/>
      <c r="G25" s="337"/>
      <c r="H25" s="337"/>
      <c r="I25" s="337"/>
      <c r="J25" s="337"/>
      <c r="K25" s="337"/>
      <c r="L25" s="337"/>
      <c r="M25" s="337"/>
      <c r="N25" s="337"/>
      <c r="O25" s="337"/>
    </row>
    <row r="26" spans="1:28" ht="18" customHeight="1" x14ac:dyDescent="0.2">
      <c r="A26" s="337"/>
      <c r="B26" s="337"/>
      <c r="C26" s="340"/>
      <c r="D26" s="340"/>
      <c r="E26" s="340"/>
      <c r="F26" s="340"/>
      <c r="G26" s="340"/>
      <c r="H26" s="340"/>
      <c r="I26" s="340"/>
      <c r="J26" s="343" t="s">
        <v>266</v>
      </c>
      <c r="K26" s="717"/>
      <c r="L26" s="717"/>
      <c r="M26" s="340"/>
      <c r="N26" s="337"/>
      <c r="O26" s="337"/>
    </row>
    <row r="27" spans="1:28" ht="18" customHeight="1" x14ac:dyDescent="0.2">
      <c r="A27" s="337"/>
      <c r="B27" s="337"/>
      <c r="C27" s="344" t="s">
        <v>230</v>
      </c>
      <c r="D27" s="340"/>
      <c r="E27" s="340"/>
      <c r="F27" s="340"/>
      <c r="G27" s="340"/>
      <c r="H27" s="340"/>
      <c r="I27" s="340"/>
      <c r="J27" s="340"/>
      <c r="K27" s="345"/>
      <c r="L27" s="340"/>
      <c r="M27" s="340"/>
      <c r="N27" s="337"/>
      <c r="O27" s="337"/>
    </row>
    <row r="28" spans="1:28" ht="18" customHeight="1" x14ac:dyDescent="0.2">
      <c r="A28" s="337"/>
      <c r="B28" s="337"/>
      <c r="C28" s="337"/>
      <c r="D28" s="337"/>
      <c r="E28" s="337"/>
      <c r="F28" s="640" t="s">
        <v>0</v>
      </c>
      <c r="G28" s="640"/>
      <c r="H28" s="640"/>
      <c r="I28" s="640" t="s">
        <v>1</v>
      </c>
      <c r="J28" s="640"/>
      <c r="K28" s="640"/>
      <c r="L28" s="640" t="s">
        <v>2</v>
      </c>
      <c r="M28" s="640"/>
      <c r="N28" s="640"/>
      <c r="O28" s="640" t="s">
        <v>3</v>
      </c>
      <c r="P28" s="640"/>
      <c r="Q28" s="640"/>
      <c r="R28" s="640"/>
      <c r="S28" s="640"/>
      <c r="T28" s="640"/>
    </row>
    <row r="29" spans="1:28" ht="18" customHeight="1" x14ac:dyDescent="0.2">
      <c r="A29" s="337"/>
      <c r="B29" s="337"/>
      <c r="C29" s="337"/>
      <c r="D29" s="337"/>
      <c r="E29" s="337"/>
      <c r="F29" s="638"/>
      <c r="G29" s="638"/>
      <c r="H29" s="638"/>
      <c r="I29" s="638"/>
      <c r="J29" s="638"/>
      <c r="K29" s="638"/>
      <c r="L29" s="638"/>
      <c r="M29" s="638"/>
      <c r="N29" s="638"/>
      <c r="O29" s="638"/>
      <c r="P29" s="638"/>
      <c r="Q29" s="638"/>
      <c r="R29" s="638"/>
      <c r="S29" s="638"/>
      <c r="T29" s="638"/>
    </row>
    <row r="30" spans="1:28" ht="18" customHeight="1" x14ac:dyDescent="0.2">
      <c r="A30" s="337"/>
      <c r="B30" s="337"/>
      <c r="C30" s="337"/>
      <c r="D30" s="337"/>
      <c r="E30" s="337"/>
      <c r="F30" s="638"/>
      <c r="G30" s="638"/>
      <c r="H30" s="638"/>
      <c r="I30" s="638"/>
      <c r="J30" s="638"/>
      <c r="K30" s="638"/>
      <c r="L30" s="638"/>
      <c r="M30" s="638"/>
      <c r="N30" s="638"/>
      <c r="O30" s="638"/>
      <c r="P30" s="638"/>
      <c r="Q30" s="638"/>
      <c r="R30" s="638"/>
      <c r="S30" s="638"/>
      <c r="T30" s="638"/>
    </row>
    <row r="31" spans="1:28" ht="18" customHeight="1" x14ac:dyDescent="0.2">
      <c r="A31" s="337"/>
      <c r="B31" s="337"/>
      <c r="C31" s="337"/>
      <c r="D31" s="337"/>
      <c r="E31" s="337"/>
      <c r="F31" s="638"/>
      <c r="G31" s="638"/>
      <c r="H31" s="638"/>
      <c r="I31" s="638"/>
      <c r="J31" s="638"/>
      <c r="K31" s="638"/>
      <c r="L31" s="638"/>
      <c r="M31" s="638"/>
      <c r="N31" s="638"/>
      <c r="O31" s="638"/>
      <c r="P31" s="638"/>
      <c r="Q31" s="638"/>
      <c r="R31" s="638"/>
      <c r="S31" s="638"/>
      <c r="T31" s="638"/>
    </row>
    <row r="32" spans="1:28" ht="18" customHeight="1" x14ac:dyDescent="0.2">
      <c r="A32" s="337"/>
      <c r="B32" s="337"/>
      <c r="C32" s="337"/>
      <c r="D32" s="337"/>
      <c r="E32" s="337"/>
      <c r="F32" s="638"/>
      <c r="G32" s="638"/>
      <c r="H32" s="638"/>
      <c r="I32" s="638"/>
      <c r="J32" s="638"/>
      <c r="K32" s="638"/>
      <c r="L32" s="638"/>
      <c r="M32" s="638"/>
      <c r="N32" s="638"/>
      <c r="O32" s="638"/>
      <c r="P32" s="638"/>
      <c r="Q32" s="638"/>
      <c r="R32" s="638"/>
      <c r="S32" s="638"/>
      <c r="T32" s="638"/>
    </row>
    <row r="33" spans="1:25" ht="18" customHeight="1" x14ac:dyDescent="0.2">
      <c r="C33" s="31"/>
      <c r="D33" s="31"/>
      <c r="E33" s="31"/>
      <c r="F33" s="345"/>
      <c r="G33" s="31"/>
      <c r="H33" s="31"/>
    </row>
    <row r="34" spans="1:25" ht="18" customHeight="1" x14ac:dyDescent="0.2">
      <c r="C34" s="685" t="s">
        <v>277</v>
      </c>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1:25" ht="18" customHeight="1" x14ac:dyDescent="0.2">
      <c r="C35" s="792"/>
      <c r="D35" s="792"/>
      <c r="E35" s="792"/>
      <c r="F35" s="792"/>
      <c r="G35" s="792"/>
      <c r="H35" s="792"/>
      <c r="I35" s="792"/>
      <c r="J35" s="792"/>
      <c r="K35" s="792"/>
      <c r="L35" s="792"/>
      <c r="M35" s="792"/>
      <c r="N35" s="792"/>
      <c r="O35" s="792"/>
      <c r="P35" s="792"/>
      <c r="Q35" s="792"/>
      <c r="R35" s="792"/>
      <c r="S35" s="792"/>
      <c r="T35" s="792"/>
      <c r="U35" s="792"/>
      <c r="V35" s="792"/>
      <c r="W35" s="792"/>
      <c r="X35" s="792"/>
      <c r="Y35" s="792"/>
    </row>
    <row r="36" spans="1:25" ht="18" customHeight="1" x14ac:dyDescent="0.2">
      <c r="C36" s="792"/>
      <c r="D36" s="792"/>
      <c r="E36" s="792"/>
      <c r="F36" s="792"/>
      <c r="G36" s="792"/>
      <c r="H36" s="792"/>
      <c r="I36" s="792"/>
      <c r="J36" s="792"/>
      <c r="K36" s="792"/>
      <c r="L36" s="792"/>
      <c r="M36" s="792"/>
      <c r="N36" s="792"/>
      <c r="O36" s="792"/>
      <c r="P36" s="792"/>
      <c r="Q36" s="792"/>
      <c r="R36" s="792"/>
      <c r="S36" s="792"/>
      <c r="T36" s="792"/>
      <c r="U36" s="792"/>
      <c r="V36" s="792"/>
      <c r="W36" s="792"/>
      <c r="X36" s="792"/>
      <c r="Y36" s="792"/>
    </row>
    <row r="37" spans="1:25" ht="18" customHeight="1" x14ac:dyDescent="0.2">
      <c r="C37" s="792"/>
      <c r="D37" s="792"/>
      <c r="E37" s="792"/>
      <c r="F37" s="792"/>
      <c r="G37" s="792"/>
      <c r="H37" s="792"/>
      <c r="I37" s="792"/>
      <c r="J37" s="792"/>
      <c r="K37" s="792"/>
      <c r="L37" s="792"/>
      <c r="M37" s="792"/>
      <c r="N37" s="792"/>
      <c r="O37" s="792"/>
      <c r="P37" s="792"/>
      <c r="Q37" s="792"/>
      <c r="R37" s="792"/>
      <c r="S37" s="792"/>
      <c r="T37" s="792"/>
      <c r="U37" s="792"/>
      <c r="V37" s="792"/>
      <c r="W37" s="792"/>
      <c r="X37" s="792"/>
      <c r="Y37" s="792"/>
    </row>
    <row r="38" spans="1:25" ht="18" customHeight="1" x14ac:dyDescent="0.2">
      <c r="C38" s="792"/>
      <c r="D38" s="792"/>
      <c r="E38" s="792"/>
      <c r="F38" s="792"/>
      <c r="G38" s="792"/>
      <c r="H38" s="792"/>
      <c r="I38" s="792"/>
      <c r="J38" s="792"/>
      <c r="K38" s="792"/>
      <c r="L38" s="792"/>
      <c r="M38" s="792"/>
      <c r="N38" s="792"/>
      <c r="O38" s="792"/>
      <c r="P38" s="792"/>
      <c r="Q38" s="792"/>
      <c r="R38" s="792"/>
      <c r="S38" s="792"/>
      <c r="T38" s="792"/>
      <c r="U38" s="792"/>
      <c r="V38" s="792"/>
      <c r="W38" s="792"/>
      <c r="X38" s="792"/>
      <c r="Y38" s="792"/>
    </row>
    <row r="39" spans="1:25" ht="18" customHeight="1" x14ac:dyDescent="0.2">
      <c r="C39" s="31"/>
      <c r="D39" s="31"/>
      <c r="E39" s="31"/>
      <c r="F39" s="345"/>
      <c r="G39" s="31"/>
      <c r="H39" s="31"/>
    </row>
    <row r="40" spans="1:25" ht="18" customHeight="1" x14ac:dyDescent="0.2">
      <c r="C40" s="31"/>
      <c r="D40" s="31"/>
      <c r="E40" s="31"/>
      <c r="F40" s="345"/>
      <c r="G40" s="31"/>
      <c r="H40" s="31"/>
    </row>
    <row r="41" spans="1:25" ht="36" customHeight="1" x14ac:dyDescent="0.2">
      <c r="A41" s="337"/>
      <c r="B41" s="337"/>
      <c r="C41" s="341" t="s">
        <v>382</v>
      </c>
      <c r="D41" s="695" t="s">
        <v>383</v>
      </c>
      <c r="E41" s="696"/>
      <c r="F41" s="696"/>
      <c r="G41" s="696"/>
      <c r="H41" s="696"/>
      <c r="I41" s="696"/>
      <c r="J41" s="696"/>
      <c r="K41" s="696"/>
      <c r="L41" s="696"/>
      <c r="M41" s="696"/>
      <c r="N41" s="696"/>
      <c r="O41" s="696"/>
      <c r="P41" s="696"/>
      <c r="Q41" s="696"/>
      <c r="R41" s="696"/>
      <c r="S41" s="696"/>
      <c r="T41" s="696"/>
      <c r="U41" s="696"/>
      <c r="V41" s="696"/>
      <c r="W41" s="696"/>
      <c r="X41" s="696"/>
      <c r="Y41" s="697"/>
    </row>
    <row r="42" spans="1:25" s="347" customFormat="1" ht="18" customHeight="1" x14ac:dyDescent="0.2">
      <c r="A42" s="346"/>
      <c r="B42" s="346"/>
      <c r="C42" s="517"/>
      <c r="D42" s="517"/>
      <c r="E42" s="517"/>
      <c r="F42" s="517"/>
      <c r="G42" s="517"/>
      <c r="H42" s="517"/>
      <c r="I42" s="517"/>
      <c r="J42" s="517"/>
      <c r="K42" s="517"/>
      <c r="L42" s="517"/>
      <c r="M42" s="517"/>
      <c r="N42" s="517"/>
      <c r="O42" s="517"/>
      <c r="P42" s="517"/>
      <c r="Q42" s="517"/>
      <c r="R42" s="517"/>
      <c r="S42" s="517"/>
      <c r="T42" s="517"/>
      <c r="U42" s="517"/>
      <c r="V42" s="517"/>
      <c r="W42" s="517"/>
      <c r="X42" s="517"/>
      <c r="Y42" s="517"/>
    </row>
    <row r="43" spans="1:25" ht="18" customHeight="1" x14ac:dyDescent="0.2">
      <c r="A43" s="337"/>
      <c r="B43" s="337"/>
      <c r="C43" s="348" t="s">
        <v>278</v>
      </c>
      <c r="D43" s="348"/>
      <c r="E43" s="348"/>
      <c r="F43" s="349"/>
      <c r="G43" s="349"/>
      <c r="H43" s="349"/>
      <c r="I43" s="349"/>
      <c r="J43" s="349"/>
      <c r="K43" s="349"/>
      <c r="L43" s="349"/>
      <c r="M43" s="349"/>
      <c r="N43" s="349"/>
      <c r="O43" s="349"/>
      <c r="P43" s="349"/>
      <c r="Q43" s="349"/>
      <c r="R43" s="349"/>
      <c r="S43" s="349"/>
      <c r="T43" s="349"/>
      <c r="U43" s="349"/>
      <c r="V43" s="349"/>
      <c r="W43" s="349"/>
      <c r="X43" s="349"/>
      <c r="Y43" s="349"/>
    </row>
    <row r="44" spans="1:25" ht="18" customHeight="1" x14ac:dyDescent="0.2">
      <c r="C44" s="536"/>
      <c r="D44" s="537"/>
      <c r="E44" s="537"/>
      <c r="F44" s="537"/>
      <c r="G44" s="537"/>
      <c r="H44" s="537"/>
      <c r="I44" s="537"/>
      <c r="J44" s="537"/>
      <c r="K44" s="537"/>
      <c r="L44" s="537"/>
      <c r="M44" s="537"/>
      <c r="N44" s="537"/>
      <c r="O44" s="537"/>
      <c r="P44" s="537"/>
      <c r="Q44" s="537"/>
      <c r="R44" s="537"/>
      <c r="S44" s="537"/>
      <c r="T44" s="537"/>
      <c r="U44" s="537"/>
      <c r="V44" s="537"/>
      <c r="W44" s="537"/>
      <c r="X44" s="537"/>
      <c r="Y44" s="538"/>
    </row>
    <row r="45" spans="1:25" ht="18" customHeight="1" x14ac:dyDescent="0.2">
      <c r="C45" s="345"/>
      <c r="P45" s="339"/>
    </row>
    <row r="46" spans="1:25" ht="18" customHeight="1" x14ac:dyDescent="0.2">
      <c r="A46" s="337"/>
      <c r="B46" s="337"/>
      <c r="C46" s="344" t="s">
        <v>279</v>
      </c>
      <c r="D46" s="340"/>
      <c r="E46" s="349"/>
      <c r="F46" s="349"/>
      <c r="G46" s="349"/>
      <c r="H46" s="349"/>
      <c r="I46" s="349"/>
      <c r="J46" s="349"/>
      <c r="K46" s="349"/>
      <c r="L46" s="349"/>
      <c r="M46" s="349"/>
      <c r="N46" s="349"/>
      <c r="O46" s="349"/>
      <c r="P46" s="349"/>
      <c r="Q46" s="349"/>
      <c r="R46" s="349"/>
      <c r="S46" s="349"/>
      <c r="T46" s="349"/>
      <c r="U46" s="349"/>
      <c r="V46" s="349"/>
      <c r="W46" s="349"/>
      <c r="X46" s="349"/>
      <c r="Y46" s="349"/>
    </row>
    <row r="47" spans="1:25" ht="18" customHeight="1" x14ac:dyDescent="0.2">
      <c r="C47" s="536"/>
      <c r="D47" s="537"/>
      <c r="E47" s="537"/>
      <c r="F47" s="537"/>
      <c r="G47" s="537"/>
      <c r="H47" s="537"/>
      <c r="I47" s="537"/>
      <c r="J47" s="537"/>
      <c r="K47" s="537"/>
      <c r="L47" s="537"/>
      <c r="M47" s="537"/>
      <c r="N47" s="537"/>
      <c r="O47" s="537"/>
      <c r="P47" s="537"/>
      <c r="Q47" s="537"/>
      <c r="R47" s="537"/>
      <c r="S47" s="537"/>
      <c r="T47" s="537"/>
      <c r="U47" s="537"/>
      <c r="V47" s="537"/>
      <c r="W47" s="537"/>
      <c r="X47" s="537"/>
      <c r="Y47" s="538"/>
    </row>
    <row r="48" spans="1:25" ht="18" customHeight="1" x14ac:dyDescent="0.2">
      <c r="C48" s="345"/>
      <c r="P48" s="339"/>
    </row>
    <row r="49" spans="1:25" ht="18" customHeight="1" x14ac:dyDescent="0.2">
      <c r="A49" s="337"/>
      <c r="B49" s="337"/>
      <c r="C49" s="344" t="s">
        <v>280</v>
      </c>
      <c r="D49" s="340"/>
      <c r="E49" s="349"/>
      <c r="F49" s="349"/>
      <c r="G49" s="349"/>
      <c r="H49" s="349"/>
      <c r="I49" s="349"/>
      <c r="J49" s="349"/>
      <c r="K49" s="349"/>
      <c r="L49" s="349"/>
      <c r="M49" s="349"/>
      <c r="N49" s="349"/>
      <c r="O49" s="349"/>
      <c r="P49" s="349"/>
      <c r="Q49" s="349"/>
      <c r="R49" s="349"/>
      <c r="S49" s="349"/>
      <c r="T49" s="349"/>
      <c r="U49" s="349"/>
      <c r="V49" s="349"/>
      <c r="W49" s="349"/>
      <c r="X49" s="349"/>
      <c r="Y49" s="349"/>
    </row>
    <row r="50" spans="1:25" ht="18" customHeight="1" x14ac:dyDescent="0.2">
      <c r="A50" s="337"/>
      <c r="B50" s="337"/>
      <c r="C50" s="536"/>
      <c r="D50" s="537"/>
      <c r="E50" s="537"/>
      <c r="F50" s="537"/>
      <c r="G50" s="537"/>
      <c r="H50" s="537"/>
      <c r="I50" s="537"/>
      <c r="J50" s="537"/>
      <c r="K50" s="537"/>
      <c r="L50" s="537"/>
      <c r="M50" s="537"/>
      <c r="N50" s="537"/>
      <c r="O50" s="537"/>
      <c r="P50" s="537"/>
      <c r="Q50" s="537"/>
      <c r="R50" s="537"/>
      <c r="S50" s="537"/>
      <c r="T50" s="537"/>
      <c r="U50" s="537"/>
      <c r="V50" s="537"/>
      <c r="W50" s="537"/>
      <c r="X50" s="537"/>
      <c r="Y50" s="538"/>
    </row>
    <row r="51" spans="1:25" ht="18" customHeight="1" x14ac:dyDescent="0.2">
      <c r="A51" s="337"/>
      <c r="B51" s="337"/>
      <c r="C51" s="345"/>
      <c r="D51" s="337"/>
      <c r="E51" s="337"/>
      <c r="F51" s="337"/>
      <c r="G51" s="337"/>
      <c r="H51" s="337"/>
      <c r="I51" s="337"/>
      <c r="J51" s="337"/>
      <c r="K51" s="337"/>
      <c r="L51" s="337"/>
      <c r="M51" s="337"/>
      <c r="N51" s="337"/>
      <c r="O51" s="337"/>
    </row>
    <row r="52" spans="1:25" ht="18" customHeight="1" x14ac:dyDescent="0.2">
      <c r="A52" s="337"/>
      <c r="B52" s="337"/>
      <c r="C52" s="345"/>
      <c r="D52" s="337"/>
      <c r="E52" s="337"/>
      <c r="F52" s="337"/>
      <c r="G52" s="337"/>
      <c r="H52" s="337"/>
      <c r="I52" s="337"/>
      <c r="J52" s="337"/>
      <c r="K52" s="337"/>
      <c r="L52" s="337"/>
      <c r="M52" s="337"/>
      <c r="N52" s="337"/>
      <c r="O52" s="337"/>
    </row>
    <row r="53" spans="1:25" ht="18" customHeight="1" x14ac:dyDescent="0.2">
      <c r="A53" s="337"/>
      <c r="B53" s="337"/>
      <c r="C53" s="791" t="s">
        <v>231</v>
      </c>
      <c r="D53" s="791"/>
      <c r="E53" s="791"/>
      <c r="F53" s="791"/>
      <c r="G53" s="791"/>
      <c r="H53" s="791"/>
      <c r="I53" s="791"/>
      <c r="J53" s="791"/>
      <c r="K53" s="791"/>
      <c r="L53" s="791"/>
      <c r="M53" s="791"/>
      <c r="N53" s="791"/>
      <c r="O53" s="791"/>
      <c r="P53" s="791"/>
      <c r="Q53" s="791"/>
      <c r="R53" s="791"/>
      <c r="S53" s="791"/>
      <c r="T53" s="791"/>
      <c r="U53" s="791"/>
      <c r="V53" s="791"/>
      <c r="W53" s="791"/>
      <c r="X53" s="791"/>
      <c r="Y53" s="791"/>
    </row>
    <row r="54" spans="1:25" ht="18" customHeight="1" x14ac:dyDescent="0.2">
      <c r="A54" s="337"/>
      <c r="B54" s="337"/>
      <c r="C54" s="686"/>
      <c r="D54" s="687"/>
      <c r="E54" s="687"/>
      <c r="F54" s="687"/>
      <c r="G54" s="687"/>
      <c r="H54" s="687"/>
      <c r="I54" s="687"/>
      <c r="J54" s="687"/>
      <c r="K54" s="687"/>
      <c r="L54" s="687"/>
      <c r="M54" s="687"/>
      <c r="N54" s="687"/>
      <c r="O54" s="687"/>
      <c r="P54" s="687"/>
      <c r="Q54" s="687"/>
      <c r="R54" s="687"/>
      <c r="S54" s="687"/>
      <c r="T54" s="687"/>
      <c r="U54" s="687"/>
      <c r="V54" s="687"/>
      <c r="W54" s="687"/>
      <c r="X54" s="687"/>
      <c r="Y54" s="688"/>
    </row>
    <row r="55" spans="1:25" ht="18" customHeight="1" x14ac:dyDescent="0.2">
      <c r="A55" s="337"/>
      <c r="B55" s="337"/>
      <c r="C55" s="689"/>
      <c r="D55" s="690"/>
      <c r="E55" s="690"/>
      <c r="F55" s="690"/>
      <c r="G55" s="690"/>
      <c r="H55" s="690"/>
      <c r="I55" s="690"/>
      <c r="J55" s="690"/>
      <c r="K55" s="690"/>
      <c r="L55" s="690"/>
      <c r="M55" s="690"/>
      <c r="N55" s="690"/>
      <c r="O55" s="690"/>
      <c r="P55" s="690"/>
      <c r="Q55" s="690"/>
      <c r="R55" s="690"/>
      <c r="S55" s="690"/>
      <c r="T55" s="690"/>
      <c r="U55" s="690"/>
      <c r="V55" s="690"/>
      <c r="W55" s="690"/>
      <c r="X55" s="690"/>
      <c r="Y55" s="691"/>
    </row>
    <row r="56" spans="1:25" ht="18" customHeight="1" x14ac:dyDescent="0.2">
      <c r="A56" s="337"/>
      <c r="B56" s="337"/>
      <c r="C56" s="689"/>
      <c r="D56" s="690"/>
      <c r="E56" s="690"/>
      <c r="F56" s="690"/>
      <c r="G56" s="690"/>
      <c r="H56" s="690"/>
      <c r="I56" s="690"/>
      <c r="J56" s="690"/>
      <c r="K56" s="690"/>
      <c r="L56" s="690"/>
      <c r="M56" s="690"/>
      <c r="N56" s="690"/>
      <c r="O56" s="690"/>
      <c r="P56" s="690"/>
      <c r="Q56" s="690"/>
      <c r="R56" s="690"/>
      <c r="S56" s="690"/>
      <c r="T56" s="690"/>
      <c r="U56" s="690"/>
      <c r="V56" s="690"/>
      <c r="W56" s="690"/>
      <c r="X56" s="690"/>
      <c r="Y56" s="691"/>
    </row>
    <row r="57" spans="1:25" ht="18" customHeight="1" x14ac:dyDescent="0.2">
      <c r="A57" s="337"/>
      <c r="B57" s="337"/>
      <c r="C57" s="689"/>
      <c r="D57" s="690"/>
      <c r="E57" s="690"/>
      <c r="F57" s="690"/>
      <c r="G57" s="690"/>
      <c r="H57" s="690"/>
      <c r="I57" s="690"/>
      <c r="J57" s="690"/>
      <c r="K57" s="690"/>
      <c r="L57" s="690"/>
      <c r="M57" s="690"/>
      <c r="N57" s="690"/>
      <c r="O57" s="690"/>
      <c r="P57" s="690"/>
      <c r="Q57" s="690"/>
      <c r="R57" s="690"/>
      <c r="S57" s="690"/>
      <c r="T57" s="690"/>
      <c r="U57" s="690"/>
      <c r="V57" s="690"/>
      <c r="W57" s="690"/>
      <c r="X57" s="690"/>
      <c r="Y57" s="691"/>
    </row>
    <row r="58" spans="1:25" ht="18" customHeight="1" x14ac:dyDescent="0.2">
      <c r="A58" s="337"/>
      <c r="B58" s="337"/>
      <c r="C58" s="689"/>
      <c r="D58" s="690"/>
      <c r="E58" s="690"/>
      <c r="F58" s="690"/>
      <c r="G58" s="690"/>
      <c r="H58" s="690"/>
      <c r="I58" s="690"/>
      <c r="J58" s="690"/>
      <c r="K58" s="690"/>
      <c r="L58" s="690"/>
      <c r="M58" s="690"/>
      <c r="N58" s="690"/>
      <c r="O58" s="690"/>
      <c r="P58" s="690"/>
      <c r="Q58" s="690"/>
      <c r="R58" s="690"/>
      <c r="S58" s="690"/>
      <c r="T58" s="690"/>
      <c r="U58" s="690"/>
      <c r="V58" s="690"/>
      <c r="W58" s="690"/>
      <c r="X58" s="690"/>
      <c r="Y58" s="691"/>
    </row>
    <row r="59" spans="1:25" ht="18" customHeight="1" x14ac:dyDescent="0.2">
      <c r="A59" s="337"/>
      <c r="B59" s="337"/>
      <c r="C59" s="689"/>
      <c r="D59" s="690"/>
      <c r="E59" s="690"/>
      <c r="F59" s="690"/>
      <c r="G59" s="690"/>
      <c r="H59" s="690"/>
      <c r="I59" s="690"/>
      <c r="J59" s="690"/>
      <c r="K59" s="690"/>
      <c r="L59" s="690"/>
      <c r="M59" s="690"/>
      <c r="N59" s="690"/>
      <c r="O59" s="690"/>
      <c r="P59" s="690"/>
      <c r="Q59" s="690"/>
      <c r="R59" s="690"/>
      <c r="S59" s="690"/>
      <c r="T59" s="690"/>
      <c r="U59" s="690"/>
      <c r="V59" s="690"/>
      <c r="W59" s="690"/>
      <c r="X59" s="690"/>
      <c r="Y59" s="691"/>
    </row>
    <row r="60" spans="1:25" ht="18" customHeight="1" x14ac:dyDescent="0.2">
      <c r="A60" s="337"/>
      <c r="B60" s="337"/>
      <c r="C60" s="689"/>
      <c r="D60" s="690"/>
      <c r="E60" s="690"/>
      <c r="F60" s="690"/>
      <c r="G60" s="690"/>
      <c r="H60" s="690"/>
      <c r="I60" s="690"/>
      <c r="J60" s="690"/>
      <c r="K60" s="690"/>
      <c r="L60" s="690"/>
      <c r="M60" s="690"/>
      <c r="N60" s="690"/>
      <c r="O60" s="690"/>
      <c r="P60" s="690"/>
      <c r="Q60" s="690"/>
      <c r="R60" s="690"/>
      <c r="S60" s="690"/>
      <c r="T60" s="690"/>
      <c r="U60" s="690"/>
      <c r="V60" s="690"/>
      <c r="W60" s="690"/>
      <c r="X60" s="690"/>
      <c r="Y60" s="691"/>
    </row>
    <row r="61" spans="1:25" ht="18" customHeight="1" x14ac:dyDescent="0.2">
      <c r="A61" s="337"/>
      <c r="B61" s="337"/>
      <c r="C61" s="689"/>
      <c r="D61" s="690"/>
      <c r="E61" s="690"/>
      <c r="F61" s="690"/>
      <c r="G61" s="690"/>
      <c r="H61" s="690"/>
      <c r="I61" s="690"/>
      <c r="J61" s="690"/>
      <c r="K61" s="690"/>
      <c r="L61" s="690"/>
      <c r="M61" s="690"/>
      <c r="N61" s="690"/>
      <c r="O61" s="690"/>
      <c r="P61" s="690"/>
      <c r="Q61" s="690"/>
      <c r="R61" s="690"/>
      <c r="S61" s="690"/>
      <c r="T61" s="690"/>
      <c r="U61" s="690"/>
      <c r="V61" s="690"/>
      <c r="W61" s="690"/>
      <c r="X61" s="690"/>
      <c r="Y61" s="691"/>
    </row>
    <row r="62" spans="1:25" ht="18" customHeight="1" x14ac:dyDescent="0.2">
      <c r="A62" s="337"/>
      <c r="B62" s="337"/>
      <c r="C62" s="689"/>
      <c r="D62" s="690"/>
      <c r="E62" s="690"/>
      <c r="F62" s="690"/>
      <c r="G62" s="690"/>
      <c r="H62" s="690"/>
      <c r="I62" s="690"/>
      <c r="J62" s="690"/>
      <c r="K62" s="690"/>
      <c r="L62" s="690"/>
      <c r="M62" s="690"/>
      <c r="N62" s="690"/>
      <c r="O62" s="690"/>
      <c r="P62" s="690"/>
      <c r="Q62" s="690"/>
      <c r="R62" s="690"/>
      <c r="S62" s="690"/>
      <c r="T62" s="690"/>
      <c r="U62" s="690"/>
      <c r="V62" s="690"/>
      <c r="W62" s="690"/>
      <c r="X62" s="690"/>
      <c r="Y62" s="691"/>
    </row>
    <row r="63" spans="1:25" ht="18" customHeight="1" x14ac:dyDescent="0.2">
      <c r="A63" s="337"/>
      <c r="B63" s="337"/>
      <c r="C63" s="689"/>
      <c r="D63" s="690"/>
      <c r="E63" s="690"/>
      <c r="F63" s="690"/>
      <c r="G63" s="690"/>
      <c r="H63" s="690"/>
      <c r="I63" s="690"/>
      <c r="J63" s="690"/>
      <c r="K63" s="690"/>
      <c r="L63" s="690"/>
      <c r="M63" s="690"/>
      <c r="N63" s="690"/>
      <c r="O63" s="690"/>
      <c r="P63" s="690"/>
      <c r="Q63" s="690"/>
      <c r="R63" s="690"/>
      <c r="S63" s="690"/>
      <c r="T63" s="690"/>
      <c r="U63" s="690"/>
      <c r="V63" s="690"/>
      <c r="W63" s="690"/>
      <c r="X63" s="690"/>
      <c r="Y63" s="691"/>
    </row>
    <row r="64" spans="1:25" ht="18" customHeight="1" x14ac:dyDescent="0.2">
      <c r="A64" s="337"/>
      <c r="B64" s="337"/>
      <c r="C64" s="689"/>
      <c r="D64" s="690"/>
      <c r="E64" s="690"/>
      <c r="F64" s="690"/>
      <c r="G64" s="690"/>
      <c r="H64" s="690"/>
      <c r="I64" s="690"/>
      <c r="J64" s="690"/>
      <c r="K64" s="690"/>
      <c r="L64" s="690"/>
      <c r="M64" s="690"/>
      <c r="N64" s="690"/>
      <c r="O64" s="690"/>
      <c r="P64" s="690"/>
      <c r="Q64" s="690"/>
      <c r="R64" s="690"/>
      <c r="S64" s="690"/>
      <c r="T64" s="690"/>
      <c r="U64" s="690"/>
      <c r="V64" s="690"/>
      <c r="W64" s="690"/>
      <c r="X64" s="690"/>
      <c r="Y64" s="691"/>
    </row>
    <row r="65" spans="1:25" ht="18" customHeight="1" x14ac:dyDescent="0.2">
      <c r="A65" s="337"/>
      <c r="B65" s="337"/>
      <c r="C65" s="689"/>
      <c r="D65" s="690"/>
      <c r="E65" s="690"/>
      <c r="F65" s="690"/>
      <c r="G65" s="690"/>
      <c r="H65" s="690"/>
      <c r="I65" s="690"/>
      <c r="J65" s="690"/>
      <c r="K65" s="690"/>
      <c r="L65" s="690"/>
      <c r="M65" s="690"/>
      <c r="N65" s="690"/>
      <c r="O65" s="690"/>
      <c r="P65" s="690"/>
      <c r="Q65" s="690"/>
      <c r="R65" s="690"/>
      <c r="S65" s="690"/>
      <c r="T65" s="690"/>
      <c r="U65" s="690"/>
      <c r="V65" s="690"/>
      <c r="W65" s="690"/>
      <c r="X65" s="690"/>
      <c r="Y65" s="691"/>
    </row>
    <row r="66" spans="1:25" ht="18" customHeight="1" x14ac:dyDescent="0.2">
      <c r="A66" s="337"/>
      <c r="B66" s="337"/>
      <c r="C66" s="689"/>
      <c r="D66" s="690"/>
      <c r="E66" s="690"/>
      <c r="F66" s="690"/>
      <c r="G66" s="690"/>
      <c r="H66" s="690"/>
      <c r="I66" s="690"/>
      <c r="J66" s="690"/>
      <c r="K66" s="690"/>
      <c r="L66" s="690"/>
      <c r="M66" s="690"/>
      <c r="N66" s="690"/>
      <c r="O66" s="690"/>
      <c r="P66" s="690"/>
      <c r="Q66" s="690"/>
      <c r="R66" s="690"/>
      <c r="S66" s="690"/>
      <c r="T66" s="690"/>
      <c r="U66" s="690"/>
      <c r="V66" s="690"/>
      <c r="W66" s="690"/>
      <c r="X66" s="690"/>
      <c r="Y66" s="691"/>
    </row>
    <row r="67" spans="1:25" ht="18" customHeight="1" x14ac:dyDescent="0.2">
      <c r="A67" s="337"/>
      <c r="B67" s="337"/>
      <c r="C67" s="689"/>
      <c r="D67" s="690"/>
      <c r="E67" s="690"/>
      <c r="F67" s="690"/>
      <c r="G67" s="690"/>
      <c r="H67" s="690"/>
      <c r="I67" s="690"/>
      <c r="J67" s="690"/>
      <c r="K67" s="690"/>
      <c r="L67" s="690"/>
      <c r="M67" s="690"/>
      <c r="N67" s="690"/>
      <c r="O67" s="690"/>
      <c r="P67" s="690"/>
      <c r="Q67" s="690"/>
      <c r="R67" s="690"/>
      <c r="S67" s="690"/>
      <c r="T67" s="690"/>
      <c r="U67" s="690"/>
      <c r="V67" s="690"/>
      <c r="W67" s="690"/>
      <c r="X67" s="690"/>
      <c r="Y67" s="691"/>
    </row>
    <row r="68" spans="1:25" ht="18" customHeight="1" x14ac:dyDescent="0.2">
      <c r="A68" s="337"/>
      <c r="B68" s="337"/>
      <c r="C68" s="689"/>
      <c r="D68" s="690"/>
      <c r="E68" s="690"/>
      <c r="F68" s="690"/>
      <c r="G68" s="690"/>
      <c r="H68" s="690"/>
      <c r="I68" s="690"/>
      <c r="J68" s="690"/>
      <c r="K68" s="690"/>
      <c r="L68" s="690"/>
      <c r="M68" s="690"/>
      <c r="N68" s="690"/>
      <c r="O68" s="690"/>
      <c r="P68" s="690"/>
      <c r="Q68" s="690"/>
      <c r="R68" s="690"/>
      <c r="S68" s="690"/>
      <c r="T68" s="690"/>
      <c r="U68" s="690"/>
      <c r="V68" s="690"/>
      <c r="W68" s="690"/>
      <c r="X68" s="690"/>
      <c r="Y68" s="691"/>
    </row>
    <row r="69" spans="1:25" ht="18" customHeight="1" x14ac:dyDescent="0.2">
      <c r="A69" s="337"/>
      <c r="B69" s="337"/>
      <c r="C69" s="689"/>
      <c r="D69" s="690"/>
      <c r="E69" s="690"/>
      <c r="F69" s="690"/>
      <c r="G69" s="690"/>
      <c r="H69" s="690"/>
      <c r="I69" s="690"/>
      <c r="J69" s="690"/>
      <c r="K69" s="690"/>
      <c r="L69" s="690"/>
      <c r="M69" s="690"/>
      <c r="N69" s="690"/>
      <c r="O69" s="690"/>
      <c r="P69" s="690"/>
      <c r="Q69" s="690"/>
      <c r="R69" s="690"/>
      <c r="S69" s="690"/>
      <c r="T69" s="690"/>
      <c r="U69" s="690"/>
      <c r="V69" s="690"/>
      <c r="W69" s="690"/>
      <c r="X69" s="690"/>
      <c r="Y69" s="691"/>
    </row>
    <row r="70" spans="1:25" ht="18" customHeight="1" x14ac:dyDescent="0.2">
      <c r="A70" s="337"/>
      <c r="B70" s="337"/>
      <c r="C70" s="689"/>
      <c r="D70" s="690"/>
      <c r="E70" s="690"/>
      <c r="F70" s="690"/>
      <c r="G70" s="690"/>
      <c r="H70" s="690"/>
      <c r="I70" s="690"/>
      <c r="J70" s="690"/>
      <c r="K70" s="690"/>
      <c r="L70" s="690"/>
      <c r="M70" s="690"/>
      <c r="N70" s="690"/>
      <c r="O70" s="690"/>
      <c r="P70" s="690"/>
      <c r="Q70" s="690"/>
      <c r="R70" s="690"/>
      <c r="S70" s="690"/>
      <c r="T70" s="690"/>
      <c r="U70" s="690"/>
      <c r="V70" s="690"/>
      <c r="W70" s="690"/>
      <c r="X70" s="690"/>
      <c r="Y70" s="691"/>
    </row>
    <row r="71" spans="1:25" ht="18" customHeight="1" x14ac:dyDescent="0.2">
      <c r="A71" s="337"/>
      <c r="B71" s="337"/>
      <c r="C71" s="689"/>
      <c r="D71" s="690"/>
      <c r="E71" s="690"/>
      <c r="F71" s="690"/>
      <c r="G71" s="690"/>
      <c r="H71" s="690"/>
      <c r="I71" s="690"/>
      <c r="J71" s="690"/>
      <c r="K71" s="690"/>
      <c r="L71" s="690"/>
      <c r="M71" s="690"/>
      <c r="N71" s="690"/>
      <c r="O71" s="690"/>
      <c r="P71" s="690"/>
      <c r="Q71" s="690"/>
      <c r="R71" s="690"/>
      <c r="S71" s="690"/>
      <c r="T71" s="690"/>
      <c r="U71" s="690"/>
      <c r="V71" s="690"/>
      <c r="W71" s="690"/>
      <c r="X71" s="690"/>
      <c r="Y71" s="691"/>
    </row>
    <row r="72" spans="1:25" ht="18" customHeight="1" x14ac:dyDescent="0.2">
      <c r="A72" s="337"/>
      <c r="B72" s="337"/>
      <c r="C72" s="689"/>
      <c r="D72" s="690"/>
      <c r="E72" s="690"/>
      <c r="F72" s="690"/>
      <c r="G72" s="690"/>
      <c r="H72" s="690"/>
      <c r="I72" s="690"/>
      <c r="J72" s="690"/>
      <c r="K72" s="690"/>
      <c r="L72" s="690"/>
      <c r="M72" s="690"/>
      <c r="N72" s="690"/>
      <c r="O72" s="690"/>
      <c r="P72" s="690"/>
      <c r="Q72" s="690"/>
      <c r="R72" s="690"/>
      <c r="S72" s="690"/>
      <c r="T72" s="690"/>
      <c r="U72" s="690"/>
      <c r="V72" s="690"/>
      <c r="W72" s="690"/>
      <c r="X72" s="690"/>
      <c r="Y72" s="691"/>
    </row>
    <row r="73" spans="1:25" ht="18" customHeight="1" x14ac:dyDescent="0.2">
      <c r="A73" s="337"/>
      <c r="B73" s="337"/>
      <c r="C73" s="689"/>
      <c r="D73" s="690"/>
      <c r="E73" s="690"/>
      <c r="F73" s="690"/>
      <c r="G73" s="690"/>
      <c r="H73" s="690"/>
      <c r="I73" s="690"/>
      <c r="J73" s="690"/>
      <c r="K73" s="690"/>
      <c r="L73" s="690"/>
      <c r="M73" s="690"/>
      <c r="N73" s="690"/>
      <c r="O73" s="690"/>
      <c r="P73" s="690"/>
      <c r="Q73" s="690"/>
      <c r="R73" s="690"/>
      <c r="S73" s="690"/>
      <c r="T73" s="690"/>
      <c r="U73" s="690"/>
      <c r="V73" s="690"/>
      <c r="W73" s="690"/>
      <c r="X73" s="690"/>
      <c r="Y73" s="691"/>
    </row>
    <row r="74" spans="1:25" ht="18" customHeight="1" x14ac:dyDescent="0.2">
      <c r="A74" s="337"/>
      <c r="B74" s="337"/>
      <c r="C74" s="689"/>
      <c r="D74" s="690"/>
      <c r="E74" s="690"/>
      <c r="F74" s="690"/>
      <c r="G74" s="690"/>
      <c r="H74" s="690"/>
      <c r="I74" s="690"/>
      <c r="J74" s="690"/>
      <c r="K74" s="690"/>
      <c r="L74" s="690"/>
      <c r="M74" s="690"/>
      <c r="N74" s="690"/>
      <c r="O74" s="690"/>
      <c r="P74" s="690"/>
      <c r="Q74" s="690"/>
      <c r="R74" s="690"/>
      <c r="S74" s="690"/>
      <c r="T74" s="690"/>
      <c r="U74" s="690"/>
      <c r="V74" s="690"/>
      <c r="W74" s="690"/>
      <c r="X74" s="690"/>
      <c r="Y74" s="691"/>
    </row>
    <row r="75" spans="1:25" ht="18" customHeight="1" x14ac:dyDescent="0.2">
      <c r="A75" s="337"/>
      <c r="B75" s="337"/>
      <c r="C75" s="689"/>
      <c r="D75" s="690"/>
      <c r="E75" s="690"/>
      <c r="F75" s="690"/>
      <c r="G75" s="690"/>
      <c r="H75" s="690"/>
      <c r="I75" s="690"/>
      <c r="J75" s="690"/>
      <c r="K75" s="690"/>
      <c r="L75" s="690"/>
      <c r="M75" s="690"/>
      <c r="N75" s="690"/>
      <c r="O75" s="690"/>
      <c r="P75" s="690"/>
      <c r="Q75" s="690"/>
      <c r="R75" s="690"/>
      <c r="S75" s="690"/>
      <c r="T75" s="690"/>
      <c r="U75" s="690"/>
      <c r="V75" s="690"/>
      <c r="W75" s="690"/>
      <c r="X75" s="690"/>
      <c r="Y75" s="691"/>
    </row>
    <row r="76" spans="1:25" ht="18" customHeight="1" x14ac:dyDescent="0.2">
      <c r="A76" s="337"/>
      <c r="B76" s="337"/>
      <c r="C76" s="689"/>
      <c r="D76" s="690"/>
      <c r="E76" s="690"/>
      <c r="F76" s="690"/>
      <c r="G76" s="690"/>
      <c r="H76" s="690"/>
      <c r="I76" s="690"/>
      <c r="J76" s="690"/>
      <c r="K76" s="690"/>
      <c r="L76" s="690"/>
      <c r="M76" s="690"/>
      <c r="N76" s="690"/>
      <c r="O76" s="690"/>
      <c r="P76" s="690"/>
      <c r="Q76" s="690"/>
      <c r="R76" s="690"/>
      <c r="S76" s="690"/>
      <c r="T76" s="690"/>
      <c r="U76" s="690"/>
      <c r="V76" s="690"/>
      <c r="W76" s="690"/>
      <c r="X76" s="690"/>
      <c r="Y76" s="691"/>
    </row>
    <row r="77" spans="1:25" ht="18" customHeight="1" x14ac:dyDescent="0.2">
      <c r="A77" s="337"/>
      <c r="B77" s="337"/>
      <c r="C77" s="689"/>
      <c r="D77" s="690"/>
      <c r="E77" s="690"/>
      <c r="F77" s="690"/>
      <c r="G77" s="690"/>
      <c r="H77" s="690"/>
      <c r="I77" s="690"/>
      <c r="J77" s="690"/>
      <c r="K77" s="690"/>
      <c r="L77" s="690"/>
      <c r="M77" s="690"/>
      <c r="N77" s="690"/>
      <c r="O77" s="690"/>
      <c r="P77" s="690"/>
      <c r="Q77" s="690"/>
      <c r="R77" s="690"/>
      <c r="S77" s="690"/>
      <c r="T77" s="690"/>
      <c r="U77" s="690"/>
      <c r="V77" s="690"/>
      <c r="W77" s="690"/>
      <c r="X77" s="690"/>
      <c r="Y77" s="691"/>
    </row>
    <row r="78" spans="1:25" ht="18" customHeight="1" x14ac:dyDescent="0.2">
      <c r="A78" s="337"/>
      <c r="B78" s="337"/>
      <c r="C78" s="689"/>
      <c r="D78" s="690"/>
      <c r="E78" s="690"/>
      <c r="F78" s="690"/>
      <c r="G78" s="690"/>
      <c r="H78" s="690"/>
      <c r="I78" s="690"/>
      <c r="J78" s="690"/>
      <c r="K78" s="690"/>
      <c r="L78" s="690"/>
      <c r="M78" s="690"/>
      <c r="N78" s="690"/>
      <c r="O78" s="690"/>
      <c r="P78" s="690"/>
      <c r="Q78" s="690"/>
      <c r="R78" s="690"/>
      <c r="S78" s="690"/>
      <c r="T78" s="690"/>
      <c r="U78" s="690"/>
      <c r="V78" s="690"/>
      <c r="W78" s="690"/>
      <c r="X78" s="690"/>
      <c r="Y78" s="691"/>
    </row>
    <row r="79" spans="1:25" ht="18" customHeight="1" x14ac:dyDescent="0.2">
      <c r="A79" s="337"/>
      <c r="B79" s="337"/>
      <c r="C79" s="689"/>
      <c r="D79" s="690"/>
      <c r="E79" s="690"/>
      <c r="F79" s="690"/>
      <c r="G79" s="690"/>
      <c r="H79" s="690"/>
      <c r="I79" s="690"/>
      <c r="J79" s="690"/>
      <c r="K79" s="690"/>
      <c r="L79" s="690"/>
      <c r="M79" s="690"/>
      <c r="N79" s="690"/>
      <c r="O79" s="690"/>
      <c r="P79" s="690"/>
      <c r="Q79" s="690"/>
      <c r="R79" s="690"/>
      <c r="S79" s="690"/>
      <c r="T79" s="690"/>
      <c r="U79" s="690"/>
      <c r="V79" s="690"/>
      <c r="W79" s="690"/>
      <c r="X79" s="690"/>
      <c r="Y79" s="691"/>
    </row>
    <row r="80" spans="1:25" ht="18" customHeight="1" x14ac:dyDescent="0.2">
      <c r="A80" s="337"/>
      <c r="B80" s="337"/>
      <c r="C80" s="689"/>
      <c r="D80" s="690"/>
      <c r="E80" s="690"/>
      <c r="F80" s="690"/>
      <c r="G80" s="690"/>
      <c r="H80" s="690"/>
      <c r="I80" s="690"/>
      <c r="J80" s="690"/>
      <c r="K80" s="690"/>
      <c r="L80" s="690"/>
      <c r="M80" s="690"/>
      <c r="N80" s="690"/>
      <c r="O80" s="690"/>
      <c r="P80" s="690"/>
      <c r="Q80" s="690"/>
      <c r="R80" s="690"/>
      <c r="S80" s="690"/>
      <c r="T80" s="690"/>
      <c r="U80" s="690"/>
      <c r="V80" s="690"/>
      <c r="W80" s="690"/>
      <c r="X80" s="690"/>
      <c r="Y80" s="691"/>
    </row>
    <row r="81" spans="1:25" ht="18" customHeight="1" x14ac:dyDescent="0.2">
      <c r="A81" s="337"/>
      <c r="B81" s="337"/>
      <c r="C81" s="689"/>
      <c r="D81" s="690"/>
      <c r="E81" s="690"/>
      <c r="F81" s="690"/>
      <c r="G81" s="690"/>
      <c r="H81" s="690"/>
      <c r="I81" s="690"/>
      <c r="J81" s="690"/>
      <c r="K81" s="690"/>
      <c r="L81" s="690"/>
      <c r="M81" s="690"/>
      <c r="N81" s="690"/>
      <c r="O81" s="690"/>
      <c r="P81" s="690"/>
      <c r="Q81" s="690"/>
      <c r="R81" s="690"/>
      <c r="S81" s="690"/>
      <c r="T81" s="690"/>
      <c r="U81" s="690"/>
      <c r="V81" s="690"/>
      <c r="W81" s="690"/>
      <c r="X81" s="690"/>
      <c r="Y81" s="691"/>
    </row>
    <row r="82" spans="1:25" ht="18" customHeight="1" x14ac:dyDescent="0.2">
      <c r="A82" s="337"/>
      <c r="B82" s="337"/>
      <c r="C82" s="689"/>
      <c r="D82" s="690"/>
      <c r="E82" s="690"/>
      <c r="F82" s="690"/>
      <c r="G82" s="690"/>
      <c r="H82" s="690"/>
      <c r="I82" s="690"/>
      <c r="J82" s="690"/>
      <c r="K82" s="690"/>
      <c r="L82" s="690"/>
      <c r="M82" s="690"/>
      <c r="N82" s="690"/>
      <c r="O82" s="690"/>
      <c r="P82" s="690"/>
      <c r="Q82" s="690"/>
      <c r="R82" s="690"/>
      <c r="S82" s="690"/>
      <c r="T82" s="690"/>
      <c r="U82" s="690"/>
      <c r="V82" s="690"/>
      <c r="W82" s="690"/>
      <c r="X82" s="690"/>
      <c r="Y82" s="691"/>
    </row>
    <row r="83" spans="1:25" ht="18" customHeight="1" x14ac:dyDescent="0.2">
      <c r="A83" s="337"/>
      <c r="B83" s="337"/>
      <c r="C83" s="689"/>
      <c r="D83" s="690"/>
      <c r="E83" s="690"/>
      <c r="F83" s="690"/>
      <c r="G83" s="690"/>
      <c r="H83" s="690"/>
      <c r="I83" s="690"/>
      <c r="J83" s="690"/>
      <c r="K83" s="690"/>
      <c r="L83" s="690"/>
      <c r="M83" s="690"/>
      <c r="N83" s="690"/>
      <c r="O83" s="690"/>
      <c r="P83" s="690"/>
      <c r="Q83" s="690"/>
      <c r="R83" s="690"/>
      <c r="S83" s="690"/>
      <c r="T83" s="690"/>
      <c r="U83" s="690"/>
      <c r="V83" s="690"/>
      <c r="W83" s="690"/>
      <c r="X83" s="690"/>
      <c r="Y83" s="691"/>
    </row>
    <row r="84" spans="1:25" ht="18" customHeight="1" x14ac:dyDescent="0.2">
      <c r="A84" s="337"/>
      <c r="B84" s="337"/>
      <c r="C84" s="689"/>
      <c r="D84" s="690"/>
      <c r="E84" s="690"/>
      <c r="F84" s="690"/>
      <c r="G84" s="690"/>
      <c r="H84" s="690"/>
      <c r="I84" s="690"/>
      <c r="J84" s="690"/>
      <c r="K84" s="690"/>
      <c r="L84" s="690"/>
      <c r="M84" s="690"/>
      <c r="N84" s="690"/>
      <c r="O84" s="690"/>
      <c r="P84" s="690"/>
      <c r="Q84" s="690"/>
      <c r="R84" s="690"/>
      <c r="S84" s="690"/>
      <c r="T84" s="690"/>
      <c r="U84" s="690"/>
      <c r="V84" s="690"/>
      <c r="W84" s="690"/>
      <c r="X84" s="690"/>
      <c r="Y84" s="691"/>
    </row>
    <row r="85" spans="1:25" ht="18" customHeight="1" x14ac:dyDescent="0.2">
      <c r="A85" s="337"/>
      <c r="B85" s="337"/>
      <c r="C85" s="689"/>
      <c r="D85" s="690"/>
      <c r="E85" s="690"/>
      <c r="F85" s="690"/>
      <c r="G85" s="690"/>
      <c r="H85" s="690"/>
      <c r="I85" s="690"/>
      <c r="J85" s="690"/>
      <c r="K85" s="690"/>
      <c r="L85" s="690"/>
      <c r="M85" s="690"/>
      <c r="N85" s="690"/>
      <c r="O85" s="690"/>
      <c r="P85" s="690"/>
      <c r="Q85" s="690"/>
      <c r="R85" s="690"/>
      <c r="S85" s="690"/>
      <c r="T85" s="690"/>
      <c r="U85" s="690"/>
      <c r="V85" s="690"/>
      <c r="W85" s="690"/>
      <c r="X85" s="690"/>
      <c r="Y85" s="691"/>
    </row>
    <row r="86" spans="1:25" ht="18" customHeight="1" x14ac:dyDescent="0.2">
      <c r="A86" s="337"/>
      <c r="B86" s="337"/>
      <c r="C86" s="689"/>
      <c r="D86" s="690"/>
      <c r="E86" s="690"/>
      <c r="F86" s="690"/>
      <c r="G86" s="690"/>
      <c r="H86" s="690"/>
      <c r="I86" s="690"/>
      <c r="J86" s="690"/>
      <c r="K86" s="690"/>
      <c r="L86" s="690"/>
      <c r="M86" s="690"/>
      <c r="N86" s="690"/>
      <c r="O86" s="690"/>
      <c r="P86" s="690"/>
      <c r="Q86" s="690"/>
      <c r="R86" s="690"/>
      <c r="S86" s="690"/>
      <c r="T86" s="690"/>
      <c r="U86" s="690"/>
      <c r="V86" s="690"/>
      <c r="W86" s="690"/>
      <c r="X86" s="690"/>
      <c r="Y86" s="691"/>
    </row>
    <row r="87" spans="1:25" ht="18" customHeight="1" x14ac:dyDescent="0.2">
      <c r="A87" s="337"/>
      <c r="B87" s="337"/>
      <c r="C87" s="689"/>
      <c r="D87" s="690"/>
      <c r="E87" s="690"/>
      <c r="F87" s="690"/>
      <c r="G87" s="690"/>
      <c r="H87" s="690"/>
      <c r="I87" s="690"/>
      <c r="J87" s="690"/>
      <c r="K87" s="690"/>
      <c r="L87" s="690"/>
      <c r="M87" s="690"/>
      <c r="N87" s="690"/>
      <c r="O87" s="690"/>
      <c r="P87" s="690"/>
      <c r="Q87" s="690"/>
      <c r="R87" s="690"/>
      <c r="S87" s="690"/>
      <c r="T87" s="690"/>
      <c r="U87" s="690"/>
      <c r="V87" s="690"/>
      <c r="W87" s="690"/>
      <c r="X87" s="690"/>
      <c r="Y87" s="691"/>
    </row>
    <row r="88" spans="1:25" ht="18" customHeight="1" x14ac:dyDescent="0.2">
      <c r="A88" s="337"/>
      <c r="B88" s="337"/>
      <c r="C88" s="689"/>
      <c r="D88" s="690"/>
      <c r="E88" s="690"/>
      <c r="F88" s="690"/>
      <c r="G88" s="690"/>
      <c r="H88" s="690"/>
      <c r="I88" s="690"/>
      <c r="J88" s="690"/>
      <c r="K88" s="690"/>
      <c r="L88" s="690"/>
      <c r="M88" s="690"/>
      <c r="N88" s="690"/>
      <c r="O88" s="690"/>
      <c r="P88" s="690"/>
      <c r="Q88" s="690"/>
      <c r="R88" s="690"/>
      <c r="S88" s="690"/>
      <c r="T88" s="690"/>
      <c r="U88" s="690"/>
      <c r="V88" s="690"/>
      <c r="W88" s="690"/>
      <c r="X88" s="690"/>
      <c r="Y88" s="691"/>
    </row>
    <row r="89" spans="1:25" ht="18" customHeight="1" x14ac:dyDescent="0.2">
      <c r="A89" s="337"/>
      <c r="B89" s="337"/>
      <c r="C89" s="689"/>
      <c r="D89" s="690"/>
      <c r="E89" s="690"/>
      <c r="F89" s="690"/>
      <c r="G89" s="690"/>
      <c r="H89" s="690"/>
      <c r="I89" s="690"/>
      <c r="J89" s="690"/>
      <c r="K89" s="690"/>
      <c r="L89" s="690"/>
      <c r="M89" s="690"/>
      <c r="N89" s="690"/>
      <c r="O89" s="690"/>
      <c r="P89" s="690"/>
      <c r="Q89" s="690"/>
      <c r="R89" s="690"/>
      <c r="S89" s="690"/>
      <c r="T89" s="690"/>
      <c r="U89" s="690"/>
      <c r="V89" s="690"/>
      <c r="W89" s="690"/>
      <c r="X89" s="690"/>
      <c r="Y89" s="691"/>
    </row>
    <row r="90" spans="1:25" ht="18" customHeight="1" x14ac:dyDescent="0.2">
      <c r="A90" s="337"/>
      <c r="B90" s="337"/>
      <c r="C90" s="689"/>
      <c r="D90" s="690"/>
      <c r="E90" s="690"/>
      <c r="F90" s="690"/>
      <c r="G90" s="690"/>
      <c r="H90" s="690"/>
      <c r="I90" s="690"/>
      <c r="J90" s="690"/>
      <c r="K90" s="690"/>
      <c r="L90" s="690"/>
      <c r="M90" s="690"/>
      <c r="N90" s="690"/>
      <c r="O90" s="690"/>
      <c r="P90" s="690"/>
      <c r="Q90" s="690"/>
      <c r="R90" s="690"/>
      <c r="S90" s="690"/>
      <c r="T90" s="690"/>
      <c r="U90" s="690"/>
      <c r="V90" s="690"/>
      <c r="W90" s="690"/>
      <c r="X90" s="690"/>
      <c r="Y90" s="691"/>
    </row>
    <row r="91" spans="1:25" ht="18" customHeight="1" x14ac:dyDescent="0.2">
      <c r="A91" s="337"/>
      <c r="B91" s="337"/>
      <c r="C91" s="689"/>
      <c r="D91" s="690"/>
      <c r="E91" s="690"/>
      <c r="F91" s="690"/>
      <c r="G91" s="690"/>
      <c r="H91" s="690"/>
      <c r="I91" s="690"/>
      <c r="J91" s="690"/>
      <c r="K91" s="690"/>
      <c r="L91" s="690"/>
      <c r="M91" s="690"/>
      <c r="N91" s="690"/>
      <c r="O91" s="690"/>
      <c r="P91" s="690"/>
      <c r="Q91" s="690"/>
      <c r="R91" s="690"/>
      <c r="S91" s="690"/>
      <c r="T91" s="690"/>
      <c r="U91" s="690"/>
      <c r="V91" s="690"/>
      <c r="W91" s="690"/>
      <c r="X91" s="690"/>
      <c r="Y91" s="691"/>
    </row>
    <row r="92" spans="1:25" ht="18" customHeight="1" x14ac:dyDescent="0.2">
      <c r="A92" s="337"/>
      <c r="B92" s="337"/>
      <c r="C92" s="689"/>
      <c r="D92" s="690"/>
      <c r="E92" s="690"/>
      <c r="F92" s="690"/>
      <c r="G92" s="690"/>
      <c r="H92" s="690"/>
      <c r="I92" s="690"/>
      <c r="J92" s="690"/>
      <c r="K92" s="690"/>
      <c r="L92" s="690"/>
      <c r="M92" s="690"/>
      <c r="N92" s="690"/>
      <c r="O92" s="690"/>
      <c r="P92" s="690"/>
      <c r="Q92" s="690"/>
      <c r="R92" s="690"/>
      <c r="S92" s="690"/>
      <c r="T92" s="690"/>
      <c r="U92" s="690"/>
      <c r="V92" s="690"/>
      <c r="W92" s="690"/>
      <c r="X92" s="690"/>
      <c r="Y92" s="691"/>
    </row>
    <row r="93" spans="1:25" ht="18" customHeight="1" x14ac:dyDescent="0.2">
      <c r="A93" s="337"/>
      <c r="B93" s="337"/>
      <c r="C93" s="689"/>
      <c r="D93" s="690"/>
      <c r="E93" s="690"/>
      <c r="F93" s="690"/>
      <c r="G93" s="690"/>
      <c r="H93" s="690"/>
      <c r="I93" s="690"/>
      <c r="J93" s="690"/>
      <c r="K93" s="690"/>
      <c r="L93" s="690"/>
      <c r="M93" s="690"/>
      <c r="N93" s="690"/>
      <c r="O93" s="690"/>
      <c r="P93" s="690"/>
      <c r="Q93" s="690"/>
      <c r="R93" s="690"/>
      <c r="S93" s="690"/>
      <c r="T93" s="690"/>
      <c r="U93" s="690"/>
      <c r="V93" s="690"/>
      <c r="W93" s="690"/>
      <c r="X93" s="690"/>
      <c r="Y93" s="691"/>
    </row>
    <row r="94" spans="1:25" ht="18" customHeight="1" x14ac:dyDescent="0.2">
      <c r="A94" s="337"/>
      <c r="B94" s="337"/>
      <c r="C94" s="689"/>
      <c r="D94" s="690"/>
      <c r="E94" s="690"/>
      <c r="F94" s="690"/>
      <c r="G94" s="690"/>
      <c r="H94" s="690"/>
      <c r="I94" s="690"/>
      <c r="J94" s="690"/>
      <c r="K94" s="690"/>
      <c r="L94" s="690"/>
      <c r="M94" s="690"/>
      <c r="N94" s="690"/>
      <c r="O94" s="690"/>
      <c r="P94" s="690"/>
      <c r="Q94" s="690"/>
      <c r="R94" s="690"/>
      <c r="S94" s="690"/>
      <c r="T94" s="690"/>
      <c r="U94" s="690"/>
      <c r="V94" s="690"/>
      <c r="W94" s="690"/>
      <c r="X94" s="690"/>
      <c r="Y94" s="691"/>
    </row>
    <row r="95" spans="1:25" ht="18" customHeight="1" x14ac:dyDescent="0.2">
      <c r="A95" s="337"/>
      <c r="B95" s="337"/>
      <c r="C95" s="689"/>
      <c r="D95" s="690"/>
      <c r="E95" s="690"/>
      <c r="F95" s="690"/>
      <c r="G95" s="690"/>
      <c r="H95" s="690"/>
      <c r="I95" s="690"/>
      <c r="J95" s="690"/>
      <c r="K95" s="690"/>
      <c r="L95" s="690"/>
      <c r="M95" s="690"/>
      <c r="N95" s="690"/>
      <c r="O95" s="690"/>
      <c r="P95" s="690"/>
      <c r="Q95" s="690"/>
      <c r="R95" s="690"/>
      <c r="S95" s="690"/>
      <c r="T95" s="690"/>
      <c r="U95" s="690"/>
      <c r="V95" s="690"/>
      <c r="W95" s="690"/>
      <c r="X95" s="690"/>
      <c r="Y95" s="691"/>
    </row>
    <row r="96" spans="1:25" ht="18" customHeight="1" x14ac:dyDescent="0.2">
      <c r="A96" s="337"/>
      <c r="B96" s="337"/>
      <c r="C96" s="689"/>
      <c r="D96" s="690"/>
      <c r="E96" s="690"/>
      <c r="F96" s="690"/>
      <c r="G96" s="690"/>
      <c r="H96" s="690"/>
      <c r="I96" s="690"/>
      <c r="J96" s="690"/>
      <c r="K96" s="690"/>
      <c r="L96" s="690"/>
      <c r="M96" s="690"/>
      <c r="N96" s="690"/>
      <c r="O96" s="690"/>
      <c r="P96" s="690"/>
      <c r="Q96" s="690"/>
      <c r="R96" s="690"/>
      <c r="S96" s="690"/>
      <c r="T96" s="690"/>
      <c r="U96" s="690"/>
      <c r="V96" s="690"/>
      <c r="W96" s="690"/>
      <c r="X96" s="690"/>
      <c r="Y96" s="691"/>
    </row>
    <row r="97" spans="1:27" ht="18" customHeight="1" x14ac:dyDescent="0.2">
      <c r="A97" s="337"/>
      <c r="B97" s="337"/>
      <c r="C97" s="689"/>
      <c r="D97" s="690"/>
      <c r="E97" s="690"/>
      <c r="F97" s="690"/>
      <c r="G97" s="690"/>
      <c r="H97" s="690"/>
      <c r="I97" s="690"/>
      <c r="J97" s="690"/>
      <c r="K97" s="690"/>
      <c r="L97" s="690"/>
      <c r="M97" s="690"/>
      <c r="N97" s="690"/>
      <c r="O97" s="690"/>
      <c r="P97" s="690"/>
      <c r="Q97" s="690"/>
      <c r="R97" s="690"/>
      <c r="S97" s="690"/>
      <c r="T97" s="690"/>
      <c r="U97" s="690"/>
      <c r="V97" s="690"/>
      <c r="W97" s="690"/>
      <c r="X97" s="690"/>
      <c r="Y97" s="691"/>
    </row>
    <row r="98" spans="1:27" ht="18" customHeight="1" x14ac:dyDescent="0.2">
      <c r="A98" s="337"/>
      <c r="B98" s="337"/>
      <c r="C98" s="689"/>
      <c r="D98" s="690"/>
      <c r="E98" s="690"/>
      <c r="F98" s="690"/>
      <c r="G98" s="690"/>
      <c r="H98" s="690"/>
      <c r="I98" s="690"/>
      <c r="J98" s="690"/>
      <c r="K98" s="690"/>
      <c r="L98" s="690"/>
      <c r="M98" s="690"/>
      <c r="N98" s="690"/>
      <c r="O98" s="690"/>
      <c r="P98" s="690"/>
      <c r="Q98" s="690"/>
      <c r="R98" s="690"/>
      <c r="S98" s="690"/>
      <c r="T98" s="690"/>
      <c r="U98" s="690"/>
      <c r="V98" s="690"/>
      <c r="W98" s="690"/>
      <c r="X98" s="690"/>
      <c r="Y98" s="691"/>
    </row>
    <row r="99" spans="1:27" ht="18" customHeight="1" x14ac:dyDescent="0.2">
      <c r="A99" s="337"/>
      <c r="B99" s="337"/>
      <c r="C99" s="689"/>
      <c r="D99" s="690"/>
      <c r="E99" s="690"/>
      <c r="F99" s="690"/>
      <c r="G99" s="690"/>
      <c r="H99" s="690"/>
      <c r="I99" s="690"/>
      <c r="J99" s="690"/>
      <c r="K99" s="690"/>
      <c r="L99" s="690"/>
      <c r="M99" s="690"/>
      <c r="N99" s="690"/>
      <c r="O99" s="690"/>
      <c r="P99" s="690"/>
      <c r="Q99" s="690"/>
      <c r="R99" s="690"/>
      <c r="S99" s="690"/>
      <c r="T99" s="690"/>
      <c r="U99" s="690"/>
      <c r="V99" s="690"/>
      <c r="W99" s="690"/>
      <c r="X99" s="690"/>
      <c r="Y99" s="691"/>
    </row>
    <row r="100" spans="1:27" ht="18" customHeight="1" x14ac:dyDescent="0.2">
      <c r="A100" s="337"/>
      <c r="B100" s="337"/>
      <c r="C100" s="689"/>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1"/>
    </row>
    <row r="101" spans="1:27" ht="18" customHeight="1" x14ac:dyDescent="0.2">
      <c r="A101" s="337"/>
      <c r="B101" s="337"/>
      <c r="C101" s="689"/>
      <c r="D101" s="690"/>
      <c r="E101" s="690"/>
      <c r="F101" s="690"/>
      <c r="G101" s="690"/>
      <c r="H101" s="690"/>
      <c r="I101" s="690"/>
      <c r="J101" s="690"/>
      <c r="K101" s="690"/>
      <c r="L101" s="690"/>
      <c r="M101" s="690"/>
      <c r="N101" s="690"/>
      <c r="O101" s="690"/>
      <c r="P101" s="690"/>
      <c r="Q101" s="690"/>
      <c r="R101" s="690"/>
      <c r="S101" s="690"/>
      <c r="T101" s="690"/>
      <c r="U101" s="690"/>
      <c r="V101" s="690"/>
      <c r="W101" s="690"/>
      <c r="X101" s="690"/>
      <c r="Y101" s="691"/>
    </row>
    <row r="102" spans="1:27" ht="18" customHeight="1" x14ac:dyDescent="0.2">
      <c r="A102" s="337"/>
      <c r="B102" s="337"/>
      <c r="C102" s="692"/>
      <c r="D102" s="693"/>
      <c r="E102" s="693"/>
      <c r="F102" s="693"/>
      <c r="G102" s="693"/>
      <c r="H102" s="693"/>
      <c r="I102" s="693"/>
      <c r="J102" s="693"/>
      <c r="K102" s="693"/>
      <c r="L102" s="693"/>
      <c r="M102" s="693"/>
      <c r="N102" s="693"/>
      <c r="O102" s="693"/>
      <c r="P102" s="693"/>
      <c r="Q102" s="693"/>
      <c r="R102" s="693"/>
      <c r="S102" s="693"/>
      <c r="T102" s="693"/>
      <c r="U102" s="693"/>
      <c r="V102" s="693"/>
      <c r="W102" s="693"/>
      <c r="X102" s="693"/>
      <c r="Y102" s="694"/>
    </row>
    <row r="103" spans="1:27" ht="18" customHeight="1" x14ac:dyDescent="0.2">
      <c r="A103" s="337"/>
      <c r="B103" s="337"/>
      <c r="C103" s="350"/>
      <c r="D103" s="350"/>
      <c r="E103" s="350"/>
      <c r="F103" s="351" t="s">
        <v>363</v>
      </c>
      <c r="G103" s="536"/>
      <c r="H103" s="538"/>
      <c r="I103" s="345"/>
      <c r="J103" s="337"/>
      <c r="K103" s="337"/>
      <c r="L103" s="337"/>
      <c r="M103" s="337"/>
      <c r="N103" s="337"/>
      <c r="O103" s="337"/>
    </row>
    <row r="104" spans="1:27" ht="18" customHeight="1" x14ac:dyDescent="0.2">
      <c r="A104" s="337"/>
      <c r="B104" s="337"/>
      <c r="C104" s="515"/>
      <c r="D104" s="515"/>
      <c r="E104" s="515"/>
      <c r="F104" s="515"/>
      <c r="G104" s="352"/>
      <c r="H104" s="352"/>
      <c r="I104" s="337"/>
      <c r="J104" s="337"/>
      <c r="K104" s="337"/>
      <c r="L104" s="337"/>
      <c r="M104" s="337"/>
      <c r="N104" s="337"/>
      <c r="O104" s="337"/>
    </row>
    <row r="105" spans="1:27" ht="18" customHeight="1" x14ac:dyDescent="0.2">
      <c r="A105" s="337"/>
      <c r="B105" s="337"/>
      <c r="C105" s="581" t="s">
        <v>232</v>
      </c>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row>
    <row r="106" spans="1:27" ht="18" customHeight="1" x14ac:dyDescent="0.2">
      <c r="A106" s="337"/>
      <c r="B106" s="705" t="str">
        <f>IF(OR(C17="SITE IMPACTE - AVEC IMPACT ENVISAGE
(SIMULATION)",C17="SITE IMPACTE - APRES IMPACT"),"L'aire qui n'est plus en zone humide (par ex. bâti, route) dans le site du fait de l'aménagement n'apparaît pas dans l'état avec impact envisagé ou après impact.","")</f>
        <v>L'aire qui n'est plus en zone humide (par ex. bâti, route) dans le site du fait de l'aménagement n'apparaît pas dans l'état avec impact envisagé ou après impact.</v>
      </c>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row>
    <row r="107" spans="1:27" ht="18" customHeight="1" x14ac:dyDescent="0.2">
      <c r="A107" s="337"/>
      <c r="B107" s="337"/>
      <c r="C107" s="337"/>
      <c r="D107" s="337"/>
      <c r="E107" s="337"/>
      <c r="F107" s="337"/>
      <c r="G107" s="337"/>
      <c r="H107" s="337"/>
      <c r="I107" s="337"/>
      <c r="J107" s="337"/>
      <c r="K107" s="337"/>
      <c r="L107" s="337"/>
      <c r="M107" s="337"/>
      <c r="N107" s="337"/>
      <c r="O107" s="337"/>
      <c r="S107" s="353" t="s">
        <v>233</v>
      </c>
      <c r="T107" s="578"/>
      <c r="U107" s="578"/>
      <c r="V107" s="578"/>
      <c r="W107" s="578"/>
      <c r="X107" s="591" t="s">
        <v>111</v>
      </c>
      <c r="Y107" s="591"/>
    </row>
    <row r="108" spans="1:27" ht="18" customHeight="1" x14ac:dyDescent="0.2">
      <c r="A108" s="337"/>
      <c r="B108" s="337"/>
      <c r="C108" s="345"/>
      <c r="D108" s="337"/>
      <c r="E108" s="337"/>
      <c r="F108" s="337"/>
      <c r="G108" s="337"/>
      <c r="H108" s="337"/>
      <c r="I108" s="337"/>
      <c r="J108" s="337"/>
      <c r="K108" s="337"/>
      <c r="L108" s="337"/>
      <c r="M108" s="337"/>
      <c r="N108" s="337"/>
      <c r="O108" s="337"/>
    </row>
    <row r="109" spans="1:27" ht="18" customHeight="1" x14ac:dyDescent="0.2">
      <c r="A109" s="337"/>
      <c r="B109" s="337"/>
      <c r="C109" s="345"/>
      <c r="D109" s="337"/>
      <c r="E109" s="337"/>
      <c r="F109" s="337"/>
      <c r="G109" s="337"/>
      <c r="H109" s="337"/>
      <c r="I109" s="337"/>
      <c r="J109" s="337"/>
      <c r="K109" s="337"/>
      <c r="L109" s="337"/>
      <c r="M109" s="337"/>
      <c r="N109" s="337"/>
      <c r="O109" s="337"/>
    </row>
    <row r="110" spans="1:27" ht="18" customHeight="1" x14ac:dyDescent="0.2">
      <c r="A110" s="337"/>
      <c r="B110" s="337"/>
      <c r="C110" s="581" t="s">
        <v>281</v>
      </c>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row>
    <row r="111" spans="1:27" ht="18" customHeight="1" x14ac:dyDescent="0.2">
      <c r="A111" s="337"/>
      <c r="B111" s="337"/>
      <c r="C111" s="354" t="s">
        <v>234</v>
      </c>
      <c r="D111" s="354"/>
      <c r="E111" s="354"/>
      <c r="F111" s="355"/>
      <c r="G111" s="354"/>
      <c r="H111" s="355"/>
      <c r="I111" s="355"/>
      <c r="J111" s="356"/>
      <c r="K111" s="356"/>
      <c r="L111" s="356"/>
      <c r="M111" s="356"/>
      <c r="N111" s="356"/>
      <c r="O111" s="356"/>
      <c r="P111" s="356"/>
      <c r="Q111" s="356"/>
      <c r="R111" s="356"/>
      <c r="S111" s="357" t="s">
        <v>50</v>
      </c>
      <c r="T111" s="665"/>
      <c r="U111" s="666"/>
      <c r="V111" s="666"/>
      <c r="W111" s="667"/>
      <c r="X111" s="358"/>
      <c r="Y111" s="359"/>
    </row>
    <row r="112" spans="1:27" ht="18" customHeight="1" x14ac:dyDescent="0.2">
      <c r="A112" s="337"/>
      <c r="B112" s="337"/>
      <c r="C112" s="360"/>
      <c r="D112" s="32"/>
      <c r="E112" s="32"/>
      <c r="F112" s="361"/>
      <c r="G112" s="361"/>
      <c r="H112" s="361"/>
      <c r="I112" s="361"/>
      <c r="J112" s="361"/>
      <c r="K112" s="346"/>
      <c r="L112" s="346"/>
      <c r="M112" s="346"/>
      <c r="N112" s="346"/>
      <c r="O112" s="346"/>
      <c r="P112" s="346"/>
      <c r="Q112" s="346"/>
      <c r="R112" s="346"/>
      <c r="S112" s="362" t="s">
        <v>51</v>
      </c>
      <c r="T112" s="638"/>
      <c r="U112" s="638"/>
      <c r="V112" s="638"/>
      <c r="W112" s="638"/>
      <c r="X112" s="363"/>
      <c r="Y112" s="364"/>
    </row>
    <row r="113" spans="1:25" ht="18" customHeight="1" x14ac:dyDescent="0.2">
      <c r="A113" s="337"/>
      <c r="B113" s="337"/>
      <c r="C113" s="365"/>
      <c r="D113" s="32"/>
      <c r="E113" s="32"/>
      <c r="F113" s="361"/>
      <c r="G113" s="361"/>
      <c r="H113" s="361"/>
      <c r="I113" s="361"/>
      <c r="J113" s="361"/>
      <c r="K113" s="346"/>
      <c r="L113" s="346"/>
      <c r="M113" s="346"/>
      <c r="N113" s="346"/>
      <c r="O113" s="346"/>
      <c r="P113" s="346"/>
      <c r="Q113" s="346"/>
      <c r="R113" s="346"/>
      <c r="S113" s="362" t="s">
        <v>276</v>
      </c>
      <c r="T113" s="638"/>
      <c r="U113" s="638"/>
      <c r="V113" s="638"/>
      <c r="W113" s="638"/>
      <c r="X113" s="363"/>
      <c r="Y113" s="364"/>
    </row>
    <row r="114" spans="1:25" ht="18" customHeight="1" x14ac:dyDescent="0.2">
      <c r="A114" s="337"/>
      <c r="B114" s="337"/>
      <c r="C114" s="345"/>
      <c r="D114" s="337"/>
      <c r="E114" s="337"/>
      <c r="F114" s="361"/>
      <c r="G114" s="337"/>
      <c r="H114" s="337"/>
      <c r="I114" s="337"/>
      <c r="J114" s="337"/>
      <c r="K114" s="337"/>
      <c r="L114" s="337"/>
      <c r="M114" s="337"/>
      <c r="N114" s="337"/>
      <c r="O114" s="337"/>
    </row>
    <row r="115" spans="1:25" ht="18" customHeight="1" x14ac:dyDescent="0.2">
      <c r="A115" s="337"/>
      <c r="B115" s="337"/>
      <c r="C115" s="345"/>
      <c r="D115" s="337"/>
      <c r="E115" s="337"/>
      <c r="F115" s="361"/>
      <c r="G115" s="337"/>
      <c r="H115" s="337"/>
      <c r="I115" s="337"/>
      <c r="J115" s="337"/>
      <c r="K115" s="337"/>
      <c r="L115" s="337"/>
      <c r="M115" s="337"/>
      <c r="N115" s="337"/>
      <c r="O115" s="337"/>
    </row>
    <row r="116" spans="1:25" ht="18" customHeight="1" x14ac:dyDescent="0.2">
      <c r="A116" s="337"/>
      <c r="B116" s="337"/>
      <c r="C116" s="581" t="s">
        <v>757</v>
      </c>
      <c r="D116" s="581"/>
      <c r="E116" s="581"/>
      <c r="F116" s="581"/>
      <c r="G116" s="704"/>
      <c r="H116" s="704"/>
      <c r="I116" s="704"/>
      <c r="J116" s="704"/>
      <c r="K116" s="704"/>
      <c r="L116" s="704"/>
      <c r="M116" s="704"/>
      <c r="N116" s="704"/>
      <c r="O116" s="704"/>
      <c r="P116" s="704"/>
      <c r="Q116" s="704"/>
      <c r="R116" s="704"/>
      <c r="S116" s="704"/>
      <c r="T116" s="704"/>
      <c r="U116" s="704"/>
      <c r="V116" s="704"/>
      <c r="W116" s="704"/>
      <c r="X116" s="704"/>
      <c r="Y116" s="704"/>
    </row>
    <row r="117" spans="1:25" ht="18" customHeight="1" x14ac:dyDescent="0.2">
      <c r="A117" s="337"/>
      <c r="B117" s="337"/>
      <c r="D117" s="367"/>
      <c r="F117" s="362" t="s">
        <v>235</v>
      </c>
      <c r="G117" s="536"/>
      <c r="H117" s="537"/>
      <c r="I117" s="537"/>
      <c r="J117" s="537"/>
      <c r="K117" s="537"/>
      <c r="L117" s="537"/>
      <c r="M117" s="537"/>
      <c r="N117" s="537"/>
      <c r="O117" s="537"/>
      <c r="P117" s="537"/>
      <c r="Q117" s="537"/>
      <c r="R117" s="537"/>
      <c r="S117" s="537"/>
      <c r="T117" s="537"/>
      <c r="U117" s="537"/>
      <c r="V117" s="537"/>
      <c r="W117" s="537"/>
      <c r="X117" s="537"/>
      <c r="Y117" s="538"/>
    </row>
    <row r="118" spans="1:25" ht="18" customHeight="1" x14ac:dyDescent="0.2">
      <c r="C118" s="345"/>
      <c r="D118" s="367"/>
    </row>
    <row r="119" spans="1:25" ht="18" customHeight="1" x14ac:dyDescent="0.2">
      <c r="C119" s="345"/>
      <c r="D119" s="367"/>
    </row>
    <row r="120" spans="1:25" ht="18" customHeight="1" x14ac:dyDescent="0.2">
      <c r="A120" s="337"/>
      <c r="B120" s="337"/>
      <c r="C120" s="581" t="s">
        <v>282</v>
      </c>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row>
    <row r="121" spans="1:25" ht="18" customHeight="1" x14ac:dyDescent="0.2">
      <c r="A121" s="337"/>
      <c r="B121" s="337"/>
      <c r="C121" s="354" t="s">
        <v>236</v>
      </c>
      <c r="D121" s="354"/>
      <c r="E121" s="337"/>
      <c r="F121" s="368"/>
      <c r="G121" s="368"/>
      <c r="H121" s="368"/>
      <c r="I121" s="353" t="s">
        <v>21</v>
      </c>
      <c r="J121" s="588"/>
      <c r="K121" s="588"/>
      <c r="P121" s="368"/>
      <c r="Q121" s="368"/>
      <c r="S121" s="353" t="s">
        <v>53</v>
      </c>
      <c r="T121" s="588"/>
      <c r="U121" s="588"/>
      <c r="V121" s="588"/>
      <c r="W121" s="588"/>
    </row>
    <row r="122" spans="1:25" ht="18" customHeight="1" x14ac:dyDescent="0.2">
      <c r="A122" s="337"/>
      <c r="B122" s="337"/>
      <c r="C122" s="354"/>
      <c r="D122" s="354"/>
      <c r="E122" s="337"/>
      <c r="F122" s="367"/>
      <c r="G122" s="367"/>
      <c r="H122" s="367"/>
      <c r="I122" s="369" t="s">
        <v>52</v>
      </c>
      <c r="J122" s="588"/>
      <c r="K122" s="588"/>
      <c r="P122" s="367"/>
      <c r="Q122" s="368"/>
      <c r="S122" s="353" t="s">
        <v>23</v>
      </c>
      <c r="T122" s="588"/>
      <c r="U122" s="588"/>
      <c r="V122" s="588"/>
      <c r="W122" s="588"/>
    </row>
    <row r="123" spans="1:25" ht="18" customHeight="1" x14ac:dyDescent="0.2">
      <c r="A123" s="337"/>
      <c r="B123" s="337"/>
      <c r="C123" s="337"/>
      <c r="D123" s="337"/>
      <c r="E123" s="337"/>
      <c r="F123" s="368"/>
      <c r="G123" s="368"/>
      <c r="H123" s="367"/>
      <c r="I123" s="353" t="s">
        <v>22</v>
      </c>
      <c r="J123" s="588"/>
      <c r="K123" s="588"/>
      <c r="P123" s="367"/>
      <c r="Q123" s="367"/>
    </row>
    <row r="124" spans="1:25" ht="18" customHeight="1" x14ac:dyDescent="0.2">
      <c r="A124" s="337"/>
      <c r="B124" s="337"/>
      <c r="C124" s="345"/>
      <c r="D124" s="337"/>
      <c r="E124" s="337"/>
      <c r="F124" s="337"/>
      <c r="G124" s="337"/>
      <c r="H124" s="337"/>
      <c r="I124" s="337"/>
      <c r="J124" s="337"/>
      <c r="K124" s="337"/>
      <c r="L124" s="337"/>
      <c r="M124" s="337"/>
      <c r="N124" s="337"/>
      <c r="O124" s="337"/>
    </row>
    <row r="125" spans="1:25" ht="18" customHeight="1" x14ac:dyDescent="0.2">
      <c r="A125" s="337"/>
      <c r="B125" s="337"/>
      <c r="C125" s="345"/>
      <c r="D125" s="337"/>
      <c r="E125" s="337"/>
      <c r="F125" s="337"/>
      <c r="G125" s="337"/>
      <c r="H125" s="337"/>
      <c r="I125" s="337"/>
      <c r="J125" s="337"/>
      <c r="K125" s="337"/>
      <c r="L125" s="337"/>
      <c r="M125" s="337"/>
      <c r="N125" s="337"/>
      <c r="O125" s="337"/>
    </row>
    <row r="126" spans="1:25" ht="18" customHeight="1" x14ac:dyDescent="0.2">
      <c r="A126" s="337"/>
      <c r="B126" s="337"/>
      <c r="C126" s="583" t="s">
        <v>283</v>
      </c>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row>
    <row r="127" spans="1:25" ht="18" customHeight="1" x14ac:dyDescent="0.2">
      <c r="A127" s="337"/>
      <c r="B127" s="337"/>
      <c r="C127" s="592"/>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row>
    <row r="128" spans="1:25" ht="18" customHeight="1" x14ac:dyDescent="0.2">
      <c r="A128" s="337"/>
      <c r="B128" s="337"/>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row>
    <row r="129" spans="1:25" ht="18" customHeight="1" x14ac:dyDescent="0.2">
      <c r="C129" s="345"/>
      <c r="D129" s="520"/>
      <c r="E129" s="370"/>
      <c r="F129" s="370"/>
      <c r="G129" s="370"/>
      <c r="H129" s="370"/>
      <c r="I129" s="370"/>
      <c r="J129" s="370"/>
      <c r="K129" s="370"/>
      <c r="L129" s="370"/>
    </row>
    <row r="130" spans="1:25" ht="18" customHeight="1" x14ac:dyDescent="0.2">
      <c r="C130" s="345"/>
      <c r="D130" s="520"/>
      <c r="E130" s="370"/>
      <c r="F130" s="370"/>
      <c r="G130" s="370"/>
      <c r="H130" s="370"/>
      <c r="I130" s="370"/>
      <c r="J130" s="370"/>
      <c r="K130" s="370"/>
      <c r="L130" s="370"/>
    </row>
    <row r="131" spans="1:25" ht="18" customHeight="1" x14ac:dyDescent="0.2">
      <c r="C131" s="581" t="s">
        <v>284</v>
      </c>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row>
    <row r="132" spans="1:25" ht="18" customHeight="1" x14ac:dyDescent="0.2">
      <c r="C132" s="365"/>
      <c r="D132" s="365"/>
      <c r="S132" s="369" t="s">
        <v>237</v>
      </c>
      <c r="T132" s="701"/>
      <c r="U132" s="701"/>
      <c r="V132" s="701"/>
      <c r="W132" s="701"/>
      <c r="X132" s="371"/>
      <c r="Y132" s="372"/>
    </row>
    <row r="133" spans="1:25" ht="18" customHeight="1" x14ac:dyDescent="0.2">
      <c r="C133" s="345"/>
      <c r="D133" s="520"/>
      <c r="E133" s="370"/>
      <c r="F133" s="370"/>
      <c r="G133" s="370"/>
      <c r="H133" s="370"/>
      <c r="I133" s="370"/>
      <c r="J133" s="370"/>
      <c r="K133" s="370"/>
      <c r="L133" s="370"/>
    </row>
    <row r="134" spans="1:25" ht="18" customHeight="1" x14ac:dyDescent="0.2">
      <c r="C134" s="345"/>
      <c r="D134" s="520"/>
      <c r="E134" s="370"/>
      <c r="F134" s="370"/>
      <c r="G134" s="370"/>
      <c r="H134" s="370"/>
      <c r="I134" s="370"/>
      <c r="J134" s="370"/>
      <c r="K134" s="370"/>
      <c r="L134" s="370"/>
    </row>
    <row r="135" spans="1:25" ht="33.75" customHeight="1" x14ac:dyDescent="0.2">
      <c r="A135" s="337"/>
      <c r="B135" s="337"/>
      <c r="C135" s="341" t="s">
        <v>403</v>
      </c>
      <c r="D135" s="695" t="s">
        <v>44</v>
      </c>
      <c r="E135" s="696"/>
      <c r="F135" s="696"/>
      <c r="G135" s="696"/>
      <c r="H135" s="696"/>
      <c r="I135" s="696"/>
      <c r="J135" s="696"/>
      <c r="K135" s="696"/>
      <c r="L135" s="696"/>
      <c r="M135" s="696"/>
      <c r="N135" s="696"/>
      <c r="O135" s="696"/>
      <c r="P135" s="696"/>
      <c r="Q135" s="696"/>
      <c r="R135" s="696"/>
      <c r="S135" s="696"/>
      <c r="T135" s="696"/>
      <c r="U135" s="696"/>
      <c r="V135" s="696"/>
      <c r="W135" s="696"/>
      <c r="X135" s="696"/>
      <c r="Y135" s="697"/>
    </row>
    <row r="136" spans="1:25" ht="18" customHeight="1" x14ac:dyDescent="0.2">
      <c r="A136" s="337"/>
      <c r="B136" s="337"/>
      <c r="C136" s="517"/>
      <c r="D136" s="517"/>
      <c r="E136" s="517"/>
      <c r="F136" s="517"/>
      <c r="G136" s="517"/>
      <c r="H136" s="517"/>
      <c r="I136" s="517"/>
      <c r="J136" s="517"/>
      <c r="K136" s="517"/>
      <c r="L136" s="517"/>
      <c r="M136" s="517"/>
      <c r="N136" s="517"/>
      <c r="O136" s="517"/>
      <c r="P136" s="517"/>
      <c r="Q136" s="517"/>
      <c r="R136" s="517"/>
      <c r="S136" s="517"/>
      <c r="T136" s="517"/>
      <c r="U136" s="517"/>
      <c r="V136" s="517"/>
      <c r="W136" s="517"/>
      <c r="X136" s="517"/>
      <c r="Y136" s="517"/>
    </row>
    <row r="137" spans="1:25" ht="18" customHeight="1" x14ac:dyDescent="0.2">
      <c r="A137" s="337"/>
      <c r="B137" s="337"/>
      <c r="C137" s="583" t="s">
        <v>364</v>
      </c>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row>
    <row r="138" spans="1:25" ht="18" customHeight="1" x14ac:dyDescent="0.2">
      <c r="A138" s="337"/>
      <c r="B138" s="337"/>
      <c r="C138" s="592"/>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row>
    <row r="139" spans="1:25" ht="18" customHeight="1" thickBot="1" x14ac:dyDescent="0.25">
      <c r="A139" s="337"/>
      <c r="B139" s="337"/>
      <c r="C139" s="373"/>
      <c r="D139" s="373"/>
      <c r="E139" s="374"/>
      <c r="F139" s="374"/>
      <c r="G139" s="374"/>
      <c r="H139" s="374"/>
      <c r="I139" s="374"/>
      <c r="J139" s="374"/>
      <c r="K139" s="373"/>
      <c r="L139" s="373"/>
      <c r="M139" s="374"/>
      <c r="N139" s="374"/>
      <c r="O139" s="374"/>
      <c r="P139" s="374"/>
      <c r="Q139" s="374"/>
      <c r="R139" s="374"/>
      <c r="S139" s="362" t="s">
        <v>238</v>
      </c>
      <c r="T139" s="702"/>
      <c r="U139" s="702"/>
      <c r="V139" s="702"/>
      <c r="W139" s="702"/>
      <c r="X139" s="703"/>
      <c r="Y139" s="703"/>
    </row>
    <row r="140" spans="1:25" ht="18" customHeight="1" thickBot="1" x14ac:dyDescent="0.25">
      <c r="A140" s="337"/>
      <c r="B140" s="337"/>
      <c r="C140" s="345"/>
      <c r="D140" s="517"/>
      <c r="E140" s="517"/>
      <c r="F140" s="517"/>
      <c r="G140" s="517"/>
      <c r="H140" s="517"/>
      <c r="I140" s="517"/>
      <c r="J140" s="517"/>
      <c r="K140" s="517"/>
      <c r="L140" s="517"/>
      <c r="M140" s="517"/>
      <c r="N140" s="517"/>
      <c r="O140" s="517"/>
      <c r="P140" s="517"/>
      <c r="Q140" s="517"/>
      <c r="R140" s="517"/>
      <c r="S140" s="517"/>
      <c r="T140" s="375"/>
      <c r="U140" s="376"/>
      <c r="V140" s="376"/>
      <c r="W140" s="377" t="str">
        <f>CONCATENATE(IF($T$139="","",IF($T$139&gt;8,"Le rang de Strahler maximal est de 8 dans la BD CARTHAGE","")),IF(AND(OR($J$121="X",$J$122="X"),$T$139=""),"Site alluvial ou riverain des étendues d'eau, renseignez un rang de Strahler.",""))</f>
        <v/>
      </c>
      <c r="X140" s="517"/>
      <c r="Y140" s="517"/>
    </row>
    <row r="141" spans="1:25" ht="18" customHeight="1" x14ac:dyDescent="0.2">
      <c r="A141" s="337"/>
      <c r="B141" s="337"/>
      <c r="C141" s="345"/>
      <c r="D141" s="517"/>
      <c r="E141" s="517"/>
      <c r="F141" s="517"/>
      <c r="G141" s="517"/>
      <c r="H141" s="517"/>
      <c r="I141" s="517"/>
      <c r="J141" s="517"/>
      <c r="K141" s="517"/>
      <c r="L141" s="517"/>
      <c r="M141" s="517"/>
      <c r="N141" s="517"/>
      <c r="O141" s="517"/>
      <c r="P141" s="517"/>
      <c r="Q141" s="517"/>
      <c r="R141" s="517"/>
      <c r="S141" s="517"/>
      <c r="T141" s="517"/>
      <c r="U141" s="517"/>
      <c r="V141" s="517"/>
      <c r="W141" s="378"/>
      <c r="X141" s="517"/>
      <c r="Y141" s="517"/>
    </row>
    <row r="142" spans="1:25" ht="18" customHeight="1" x14ac:dyDescent="0.2">
      <c r="A142" s="337"/>
      <c r="B142" s="337"/>
      <c r="C142" s="581" t="s">
        <v>777</v>
      </c>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row>
    <row r="143" spans="1:25" ht="18" customHeight="1" x14ac:dyDescent="0.2">
      <c r="A143" s="337"/>
      <c r="B143" s="337"/>
      <c r="C143" s="684" t="s">
        <v>365</v>
      </c>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row>
    <row r="144" spans="1:25" ht="18" customHeight="1" x14ac:dyDescent="0.2">
      <c r="A144" s="337"/>
      <c r="B144" s="337"/>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row>
    <row r="145" spans="1:25" ht="18" customHeight="1" x14ac:dyDescent="0.2">
      <c r="A145" s="337"/>
      <c r="B145" s="337"/>
      <c r="C145" s="686"/>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8"/>
    </row>
    <row r="146" spans="1:25" ht="18" customHeight="1" x14ac:dyDescent="0.2">
      <c r="A146" s="337"/>
      <c r="B146" s="337"/>
      <c r="C146" s="689"/>
      <c r="D146" s="690"/>
      <c r="E146" s="690"/>
      <c r="F146" s="690"/>
      <c r="G146" s="690"/>
      <c r="H146" s="690"/>
      <c r="I146" s="690"/>
      <c r="J146" s="690"/>
      <c r="K146" s="690"/>
      <c r="L146" s="690"/>
      <c r="M146" s="690"/>
      <c r="N146" s="690"/>
      <c r="O146" s="690"/>
      <c r="P146" s="690"/>
      <c r="Q146" s="690"/>
      <c r="R146" s="690"/>
      <c r="S146" s="690"/>
      <c r="T146" s="690"/>
      <c r="U146" s="690"/>
      <c r="V146" s="690"/>
      <c r="W146" s="690"/>
      <c r="X146" s="690"/>
      <c r="Y146" s="691"/>
    </row>
    <row r="147" spans="1:25" ht="18" customHeight="1" x14ac:dyDescent="0.2">
      <c r="A147" s="337"/>
      <c r="B147" s="337"/>
      <c r="C147" s="689"/>
      <c r="D147" s="690"/>
      <c r="E147" s="690"/>
      <c r="F147" s="690"/>
      <c r="G147" s="690"/>
      <c r="H147" s="690"/>
      <c r="I147" s="690"/>
      <c r="J147" s="690"/>
      <c r="K147" s="690"/>
      <c r="L147" s="690"/>
      <c r="M147" s="690"/>
      <c r="N147" s="690"/>
      <c r="O147" s="690"/>
      <c r="P147" s="690"/>
      <c r="Q147" s="690"/>
      <c r="R147" s="690"/>
      <c r="S147" s="690"/>
      <c r="T147" s="690"/>
      <c r="U147" s="690"/>
      <c r="V147" s="690"/>
      <c r="W147" s="690"/>
      <c r="X147" s="690"/>
      <c r="Y147" s="691"/>
    </row>
    <row r="148" spans="1:25" ht="18" customHeight="1" x14ac:dyDescent="0.2">
      <c r="A148" s="337"/>
      <c r="B148" s="337"/>
      <c r="C148" s="689"/>
      <c r="D148" s="690"/>
      <c r="E148" s="690"/>
      <c r="F148" s="690"/>
      <c r="G148" s="690"/>
      <c r="H148" s="690"/>
      <c r="I148" s="690"/>
      <c r="J148" s="690"/>
      <c r="K148" s="690"/>
      <c r="L148" s="690"/>
      <c r="M148" s="690"/>
      <c r="N148" s="690"/>
      <c r="O148" s="690"/>
      <c r="P148" s="690"/>
      <c r="Q148" s="690"/>
      <c r="R148" s="690"/>
      <c r="S148" s="690"/>
      <c r="T148" s="690"/>
      <c r="U148" s="690"/>
      <c r="V148" s="690"/>
      <c r="W148" s="690"/>
      <c r="X148" s="690"/>
      <c r="Y148" s="691"/>
    </row>
    <row r="149" spans="1:25" ht="18" customHeight="1" x14ac:dyDescent="0.2">
      <c r="A149" s="337"/>
      <c r="B149" s="337"/>
      <c r="C149" s="689"/>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1"/>
    </row>
    <row r="150" spans="1:25" ht="18" customHeight="1" x14ac:dyDescent="0.2">
      <c r="A150" s="337"/>
      <c r="B150" s="337"/>
      <c r="C150" s="689"/>
      <c r="D150" s="690"/>
      <c r="E150" s="690"/>
      <c r="F150" s="690"/>
      <c r="G150" s="690"/>
      <c r="H150" s="690"/>
      <c r="I150" s="690"/>
      <c r="J150" s="690"/>
      <c r="K150" s="690"/>
      <c r="L150" s="690"/>
      <c r="M150" s="690"/>
      <c r="N150" s="690"/>
      <c r="O150" s="690"/>
      <c r="P150" s="690"/>
      <c r="Q150" s="690"/>
      <c r="R150" s="690"/>
      <c r="S150" s="690"/>
      <c r="T150" s="690"/>
      <c r="U150" s="690"/>
      <c r="V150" s="690"/>
      <c r="W150" s="690"/>
      <c r="X150" s="690"/>
      <c r="Y150" s="691"/>
    </row>
    <row r="151" spans="1:25" ht="18" customHeight="1" x14ac:dyDescent="0.2">
      <c r="A151" s="337"/>
      <c r="B151" s="337"/>
      <c r="C151" s="689"/>
      <c r="D151" s="690"/>
      <c r="E151" s="690"/>
      <c r="F151" s="690"/>
      <c r="G151" s="690"/>
      <c r="H151" s="690"/>
      <c r="I151" s="690"/>
      <c r="J151" s="690"/>
      <c r="K151" s="690"/>
      <c r="L151" s="690"/>
      <c r="M151" s="690"/>
      <c r="N151" s="690"/>
      <c r="O151" s="690"/>
      <c r="P151" s="690"/>
      <c r="Q151" s="690"/>
      <c r="R151" s="690"/>
      <c r="S151" s="690"/>
      <c r="T151" s="690"/>
      <c r="U151" s="690"/>
      <c r="V151" s="690"/>
      <c r="W151" s="690"/>
      <c r="X151" s="690"/>
      <c r="Y151" s="691"/>
    </row>
    <row r="152" spans="1:25" ht="18" customHeight="1" x14ac:dyDescent="0.2">
      <c r="A152" s="337"/>
      <c r="B152" s="337"/>
      <c r="C152" s="689"/>
      <c r="D152" s="690"/>
      <c r="E152" s="690"/>
      <c r="F152" s="690"/>
      <c r="G152" s="690"/>
      <c r="H152" s="690"/>
      <c r="I152" s="690"/>
      <c r="J152" s="690"/>
      <c r="K152" s="690"/>
      <c r="L152" s="690"/>
      <c r="M152" s="690"/>
      <c r="N152" s="690"/>
      <c r="O152" s="690"/>
      <c r="P152" s="690"/>
      <c r="Q152" s="690"/>
      <c r="R152" s="690"/>
      <c r="S152" s="690"/>
      <c r="T152" s="690"/>
      <c r="U152" s="690"/>
      <c r="V152" s="690"/>
      <c r="W152" s="690"/>
      <c r="X152" s="690"/>
      <c r="Y152" s="691"/>
    </row>
    <row r="153" spans="1:25" ht="18" customHeight="1" x14ac:dyDescent="0.2">
      <c r="A153" s="337"/>
      <c r="B153" s="337"/>
      <c r="C153" s="689"/>
      <c r="D153" s="690"/>
      <c r="E153" s="690"/>
      <c r="F153" s="690"/>
      <c r="G153" s="690"/>
      <c r="H153" s="690"/>
      <c r="I153" s="690"/>
      <c r="J153" s="690"/>
      <c r="K153" s="690"/>
      <c r="L153" s="690"/>
      <c r="M153" s="690"/>
      <c r="N153" s="690"/>
      <c r="O153" s="690"/>
      <c r="P153" s="690"/>
      <c r="Q153" s="690"/>
      <c r="R153" s="690"/>
      <c r="S153" s="690"/>
      <c r="T153" s="690"/>
      <c r="U153" s="690"/>
      <c r="V153" s="690"/>
      <c r="W153" s="690"/>
      <c r="X153" s="690"/>
      <c r="Y153" s="691"/>
    </row>
    <row r="154" spans="1:25" ht="18" customHeight="1" x14ac:dyDescent="0.2">
      <c r="A154" s="337"/>
      <c r="B154" s="337"/>
      <c r="C154" s="689"/>
      <c r="D154" s="690"/>
      <c r="E154" s="690"/>
      <c r="F154" s="690"/>
      <c r="G154" s="690"/>
      <c r="H154" s="690"/>
      <c r="I154" s="690"/>
      <c r="J154" s="690"/>
      <c r="K154" s="690"/>
      <c r="L154" s="690"/>
      <c r="M154" s="690"/>
      <c r="N154" s="690"/>
      <c r="O154" s="690"/>
      <c r="P154" s="690"/>
      <c r="Q154" s="690"/>
      <c r="R154" s="690"/>
      <c r="S154" s="690"/>
      <c r="T154" s="690"/>
      <c r="U154" s="690"/>
      <c r="V154" s="690"/>
      <c r="W154" s="690"/>
      <c r="X154" s="690"/>
      <c r="Y154" s="691"/>
    </row>
    <row r="155" spans="1:25" ht="18" customHeight="1" x14ac:dyDescent="0.2">
      <c r="A155" s="337"/>
      <c r="B155" s="337"/>
      <c r="C155" s="689"/>
      <c r="D155" s="690"/>
      <c r="E155" s="690"/>
      <c r="F155" s="690"/>
      <c r="G155" s="690"/>
      <c r="H155" s="690"/>
      <c r="I155" s="690"/>
      <c r="J155" s="690"/>
      <c r="K155" s="690"/>
      <c r="L155" s="690"/>
      <c r="M155" s="690"/>
      <c r="N155" s="690"/>
      <c r="O155" s="690"/>
      <c r="P155" s="690"/>
      <c r="Q155" s="690"/>
      <c r="R155" s="690"/>
      <c r="S155" s="690"/>
      <c r="T155" s="690"/>
      <c r="U155" s="690"/>
      <c r="V155" s="690"/>
      <c r="W155" s="690"/>
      <c r="X155" s="690"/>
      <c r="Y155" s="691"/>
    </row>
    <row r="156" spans="1:25" ht="18" customHeight="1" x14ac:dyDescent="0.2">
      <c r="A156" s="337"/>
      <c r="B156" s="337"/>
      <c r="C156" s="689"/>
      <c r="D156" s="690"/>
      <c r="E156" s="690"/>
      <c r="F156" s="690"/>
      <c r="G156" s="690"/>
      <c r="H156" s="690"/>
      <c r="I156" s="690"/>
      <c r="J156" s="690"/>
      <c r="K156" s="690"/>
      <c r="L156" s="690"/>
      <c r="M156" s="690"/>
      <c r="N156" s="690"/>
      <c r="O156" s="690"/>
      <c r="P156" s="690"/>
      <c r="Q156" s="690"/>
      <c r="R156" s="690"/>
      <c r="S156" s="690"/>
      <c r="T156" s="690"/>
      <c r="U156" s="690"/>
      <c r="V156" s="690"/>
      <c r="W156" s="690"/>
      <c r="X156" s="690"/>
      <c r="Y156" s="691"/>
    </row>
    <row r="157" spans="1:25" ht="18" customHeight="1" x14ac:dyDescent="0.2">
      <c r="A157" s="337"/>
      <c r="B157" s="337"/>
      <c r="C157" s="689"/>
      <c r="D157" s="690"/>
      <c r="E157" s="690"/>
      <c r="F157" s="690"/>
      <c r="G157" s="690"/>
      <c r="H157" s="690"/>
      <c r="I157" s="690"/>
      <c r="J157" s="690"/>
      <c r="K157" s="690"/>
      <c r="L157" s="690"/>
      <c r="M157" s="690"/>
      <c r="N157" s="690"/>
      <c r="O157" s="690"/>
      <c r="P157" s="690"/>
      <c r="Q157" s="690"/>
      <c r="R157" s="690"/>
      <c r="S157" s="690"/>
      <c r="T157" s="690"/>
      <c r="U157" s="690"/>
      <c r="V157" s="690"/>
      <c r="W157" s="690"/>
      <c r="X157" s="690"/>
      <c r="Y157" s="691"/>
    </row>
    <row r="158" spans="1:25" ht="18" customHeight="1" x14ac:dyDescent="0.2">
      <c r="A158" s="337"/>
      <c r="B158" s="337"/>
      <c r="C158" s="689"/>
      <c r="D158" s="690"/>
      <c r="E158" s="690"/>
      <c r="F158" s="690"/>
      <c r="G158" s="690"/>
      <c r="H158" s="690"/>
      <c r="I158" s="690"/>
      <c r="J158" s="690"/>
      <c r="K158" s="690"/>
      <c r="L158" s="690"/>
      <c r="M158" s="690"/>
      <c r="N158" s="690"/>
      <c r="O158" s="690"/>
      <c r="P158" s="690"/>
      <c r="Q158" s="690"/>
      <c r="R158" s="690"/>
      <c r="S158" s="690"/>
      <c r="T158" s="690"/>
      <c r="U158" s="690"/>
      <c r="V158" s="690"/>
      <c r="W158" s="690"/>
      <c r="X158" s="690"/>
      <c r="Y158" s="691"/>
    </row>
    <row r="159" spans="1:25" ht="18" customHeight="1" x14ac:dyDescent="0.2">
      <c r="A159" s="337"/>
      <c r="B159" s="337"/>
      <c r="C159" s="689"/>
      <c r="D159" s="690"/>
      <c r="E159" s="690"/>
      <c r="F159" s="690"/>
      <c r="G159" s="690"/>
      <c r="H159" s="690"/>
      <c r="I159" s="690"/>
      <c r="J159" s="690"/>
      <c r="K159" s="690"/>
      <c r="L159" s="690"/>
      <c r="M159" s="690"/>
      <c r="N159" s="690"/>
      <c r="O159" s="690"/>
      <c r="P159" s="690"/>
      <c r="Q159" s="690"/>
      <c r="R159" s="690"/>
      <c r="S159" s="690"/>
      <c r="T159" s="690"/>
      <c r="U159" s="690"/>
      <c r="V159" s="690"/>
      <c r="W159" s="690"/>
      <c r="X159" s="690"/>
      <c r="Y159" s="691"/>
    </row>
    <row r="160" spans="1:25" ht="18" customHeight="1" x14ac:dyDescent="0.2">
      <c r="A160" s="337"/>
      <c r="B160" s="337"/>
      <c r="C160" s="689"/>
      <c r="D160" s="690"/>
      <c r="E160" s="690"/>
      <c r="F160" s="690"/>
      <c r="G160" s="690"/>
      <c r="H160" s="690"/>
      <c r="I160" s="690"/>
      <c r="J160" s="690"/>
      <c r="K160" s="690"/>
      <c r="L160" s="690"/>
      <c r="M160" s="690"/>
      <c r="N160" s="690"/>
      <c r="O160" s="690"/>
      <c r="P160" s="690"/>
      <c r="Q160" s="690"/>
      <c r="R160" s="690"/>
      <c r="S160" s="690"/>
      <c r="T160" s="690"/>
      <c r="U160" s="690"/>
      <c r="V160" s="690"/>
      <c r="W160" s="690"/>
      <c r="X160" s="690"/>
      <c r="Y160" s="691"/>
    </row>
    <row r="161" spans="1:25" ht="18" customHeight="1" x14ac:dyDescent="0.2">
      <c r="A161" s="337"/>
      <c r="B161" s="337"/>
      <c r="C161" s="689"/>
      <c r="D161" s="690"/>
      <c r="E161" s="690"/>
      <c r="F161" s="690"/>
      <c r="G161" s="690"/>
      <c r="H161" s="690"/>
      <c r="I161" s="690"/>
      <c r="J161" s="690"/>
      <c r="K161" s="690"/>
      <c r="L161" s="690"/>
      <c r="M161" s="690"/>
      <c r="N161" s="690"/>
      <c r="O161" s="690"/>
      <c r="P161" s="690"/>
      <c r="Q161" s="690"/>
      <c r="R161" s="690"/>
      <c r="S161" s="690"/>
      <c r="T161" s="690"/>
      <c r="U161" s="690"/>
      <c r="V161" s="690"/>
      <c r="W161" s="690"/>
      <c r="X161" s="690"/>
      <c r="Y161" s="691"/>
    </row>
    <row r="162" spans="1:25" ht="18" customHeight="1" x14ac:dyDescent="0.2">
      <c r="A162" s="337"/>
      <c r="B162" s="337"/>
      <c r="C162" s="689"/>
      <c r="D162" s="690"/>
      <c r="E162" s="690"/>
      <c r="F162" s="690"/>
      <c r="G162" s="690"/>
      <c r="H162" s="690"/>
      <c r="I162" s="690"/>
      <c r="J162" s="690"/>
      <c r="K162" s="690"/>
      <c r="L162" s="690"/>
      <c r="M162" s="690"/>
      <c r="N162" s="690"/>
      <c r="O162" s="690"/>
      <c r="P162" s="690"/>
      <c r="Q162" s="690"/>
      <c r="R162" s="690"/>
      <c r="S162" s="690"/>
      <c r="T162" s="690"/>
      <c r="U162" s="690"/>
      <c r="V162" s="690"/>
      <c r="W162" s="690"/>
      <c r="X162" s="690"/>
      <c r="Y162" s="691"/>
    </row>
    <row r="163" spans="1:25" ht="18" customHeight="1" x14ac:dyDescent="0.2">
      <c r="A163" s="337"/>
      <c r="B163" s="337"/>
      <c r="C163" s="689"/>
      <c r="D163" s="690"/>
      <c r="E163" s="690"/>
      <c r="F163" s="690"/>
      <c r="G163" s="690"/>
      <c r="H163" s="690"/>
      <c r="I163" s="690"/>
      <c r="J163" s="690"/>
      <c r="K163" s="690"/>
      <c r="L163" s="690"/>
      <c r="M163" s="690"/>
      <c r="N163" s="690"/>
      <c r="O163" s="690"/>
      <c r="P163" s="690"/>
      <c r="Q163" s="690"/>
      <c r="R163" s="690"/>
      <c r="S163" s="690"/>
      <c r="T163" s="690"/>
      <c r="U163" s="690"/>
      <c r="V163" s="690"/>
      <c r="W163" s="690"/>
      <c r="X163" s="690"/>
      <c r="Y163" s="691"/>
    </row>
    <row r="164" spans="1:25" ht="18" customHeight="1" x14ac:dyDescent="0.2">
      <c r="A164" s="337"/>
      <c r="B164" s="337"/>
      <c r="C164" s="689"/>
      <c r="D164" s="690"/>
      <c r="E164" s="690"/>
      <c r="F164" s="690"/>
      <c r="G164" s="690"/>
      <c r="H164" s="690"/>
      <c r="I164" s="690"/>
      <c r="J164" s="690"/>
      <c r="K164" s="690"/>
      <c r="L164" s="690"/>
      <c r="M164" s="690"/>
      <c r="N164" s="690"/>
      <c r="O164" s="690"/>
      <c r="P164" s="690"/>
      <c r="Q164" s="690"/>
      <c r="R164" s="690"/>
      <c r="S164" s="690"/>
      <c r="T164" s="690"/>
      <c r="U164" s="690"/>
      <c r="V164" s="690"/>
      <c r="W164" s="690"/>
      <c r="X164" s="690"/>
      <c r="Y164" s="691"/>
    </row>
    <row r="165" spans="1:25" ht="18" customHeight="1" x14ac:dyDescent="0.2">
      <c r="A165" s="337"/>
      <c r="B165" s="337"/>
      <c r="C165" s="689"/>
      <c r="D165" s="690"/>
      <c r="E165" s="690"/>
      <c r="F165" s="690"/>
      <c r="G165" s="690"/>
      <c r="H165" s="690"/>
      <c r="I165" s="690"/>
      <c r="J165" s="690"/>
      <c r="K165" s="690"/>
      <c r="L165" s="690"/>
      <c r="M165" s="690"/>
      <c r="N165" s="690"/>
      <c r="O165" s="690"/>
      <c r="P165" s="690"/>
      <c r="Q165" s="690"/>
      <c r="R165" s="690"/>
      <c r="S165" s="690"/>
      <c r="T165" s="690"/>
      <c r="U165" s="690"/>
      <c r="V165" s="690"/>
      <c r="W165" s="690"/>
      <c r="X165" s="690"/>
      <c r="Y165" s="691"/>
    </row>
    <row r="166" spans="1:25" ht="18" customHeight="1" x14ac:dyDescent="0.2">
      <c r="A166" s="337"/>
      <c r="B166" s="337"/>
      <c r="C166" s="689"/>
      <c r="D166" s="690"/>
      <c r="E166" s="690"/>
      <c r="F166" s="690"/>
      <c r="G166" s="690"/>
      <c r="H166" s="690"/>
      <c r="I166" s="690"/>
      <c r="J166" s="690"/>
      <c r="K166" s="690"/>
      <c r="L166" s="690"/>
      <c r="M166" s="690"/>
      <c r="N166" s="690"/>
      <c r="O166" s="690"/>
      <c r="P166" s="690"/>
      <c r="Q166" s="690"/>
      <c r="R166" s="690"/>
      <c r="S166" s="690"/>
      <c r="T166" s="690"/>
      <c r="U166" s="690"/>
      <c r="V166" s="690"/>
      <c r="W166" s="690"/>
      <c r="X166" s="690"/>
      <c r="Y166" s="691"/>
    </row>
    <row r="167" spans="1:25" ht="18" customHeight="1" x14ac:dyDescent="0.2">
      <c r="A167" s="337"/>
      <c r="B167" s="337"/>
      <c r="C167" s="689"/>
      <c r="D167" s="690"/>
      <c r="E167" s="690"/>
      <c r="F167" s="690"/>
      <c r="G167" s="690"/>
      <c r="H167" s="690"/>
      <c r="I167" s="690"/>
      <c r="J167" s="690"/>
      <c r="K167" s="690"/>
      <c r="L167" s="690"/>
      <c r="M167" s="690"/>
      <c r="N167" s="690"/>
      <c r="O167" s="690"/>
      <c r="P167" s="690"/>
      <c r="Q167" s="690"/>
      <c r="R167" s="690"/>
      <c r="S167" s="690"/>
      <c r="T167" s="690"/>
      <c r="U167" s="690"/>
      <c r="V167" s="690"/>
      <c r="W167" s="690"/>
      <c r="X167" s="690"/>
      <c r="Y167" s="691"/>
    </row>
    <row r="168" spans="1:25" ht="18" customHeight="1" x14ac:dyDescent="0.2">
      <c r="A168" s="337"/>
      <c r="B168" s="337"/>
      <c r="C168" s="689"/>
      <c r="D168" s="690"/>
      <c r="E168" s="690"/>
      <c r="F168" s="690"/>
      <c r="G168" s="690"/>
      <c r="H168" s="690"/>
      <c r="I168" s="690"/>
      <c r="J168" s="690"/>
      <c r="K168" s="690"/>
      <c r="L168" s="690"/>
      <c r="M168" s="690"/>
      <c r="N168" s="690"/>
      <c r="O168" s="690"/>
      <c r="P168" s="690"/>
      <c r="Q168" s="690"/>
      <c r="R168" s="690"/>
      <c r="S168" s="690"/>
      <c r="T168" s="690"/>
      <c r="U168" s="690"/>
      <c r="V168" s="690"/>
      <c r="W168" s="690"/>
      <c r="X168" s="690"/>
      <c r="Y168" s="691"/>
    </row>
    <row r="169" spans="1:25" ht="18" customHeight="1" x14ac:dyDescent="0.2">
      <c r="A169" s="337"/>
      <c r="B169" s="337"/>
      <c r="C169" s="689"/>
      <c r="D169" s="690"/>
      <c r="E169" s="690"/>
      <c r="F169" s="690"/>
      <c r="G169" s="690"/>
      <c r="H169" s="690"/>
      <c r="I169" s="690"/>
      <c r="J169" s="690"/>
      <c r="K169" s="690"/>
      <c r="L169" s="690"/>
      <c r="M169" s="690"/>
      <c r="N169" s="690"/>
      <c r="O169" s="690"/>
      <c r="P169" s="690"/>
      <c r="Q169" s="690"/>
      <c r="R169" s="690"/>
      <c r="S169" s="690"/>
      <c r="T169" s="690"/>
      <c r="U169" s="690"/>
      <c r="V169" s="690"/>
      <c r="W169" s="690"/>
      <c r="X169" s="690"/>
      <c r="Y169" s="691"/>
    </row>
    <row r="170" spans="1:25" ht="18" customHeight="1" x14ac:dyDescent="0.2">
      <c r="A170" s="337"/>
      <c r="B170" s="337"/>
      <c r="C170" s="689"/>
      <c r="D170" s="690"/>
      <c r="E170" s="690"/>
      <c r="F170" s="690"/>
      <c r="G170" s="690"/>
      <c r="H170" s="690"/>
      <c r="I170" s="690"/>
      <c r="J170" s="690"/>
      <c r="K170" s="690"/>
      <c r="L170" s="690"/>
      <c r="M170" s="690"/>
      <c r="N170" s="690"/>
      <c r="O170" s="690"/>
      <c r="P170" s="690"/>
      <c r="Q170" s="690"/>
      <c r="R170" s="690"/>
      <c r="S170" s="690"/>
      <c r="T170" s="690"/>
      <c r="U170" s="690"/>
      <c r="V170" s="690"/>
      <c r="W170" s="690"/>
      <c r="X170" s="690"/>
      <c r="Y170" s="691"/>
    </row>
    <row r="171" spans="1:25" ht="18" customHeight="1" x14ac:dyDescent="0.2">
      <c r="A171" s="337"/>
      <c r="B171" s="337"/>
      <c r="C171" s="689"/>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1"/>
    </row>
    <row r="172" spans="1:25" ht="18" customHeight="1" x14ac:dyDescent="0.2">
      <c r="A172" s="337"/>
      <c r="B172" s="337"/>
      <c r="C172" s="689"/>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1"/>
    </row>
    <row r="173" spans="1:25" ht="18" customHeight="1" x14ac:dyDescent="0.2">
      <c r="A173" s="337"/>
      <c r="B173" s="337"/>
      <c r="C173" s="689"/>
      <c r="D173" s="690"/>
      <c r="E173" s="690"/>
      <c r="F173" s="690"/>
      <c r="G173" s="690"/>
      <c r="H173" s="690"/>
      <c r="I173" s="690"/>
      <c r="J173" s="690"/>
      <c r="K173" s="690"/>
      <c r="L173" s="690"/>
      <c r="M173" s="690"/>
      <c r="N173" s="690"/>
      <c r="O173" s="690"/>
      <c r="P173" s="690"/>
      <c r="Q173" s="690"/>
      <c r="R173" s="690"/>
      <c r="S173" s="690"/>
      <c r="T173" s="690"/>
      <c r="U173" s="690"/>
      <c r="V173" s="690"/>
      <c r="W173" s="690"/>
      <c r="X173" s="690"/>
      <c r="Y173" s="691"/>
    </row>
    <row r="174" spans="1:25" ht="18" customHeight="1" x14ac:dyDescent="0.2">
      <c r="A174" s="337"/>
      <c r="B174" s="337"/>
      <c r="C174" s="689"/>
      <c r="D174" s="690"/>
      <c r="E174" s="690"/>
      <c r="F174" s="690"/>
      <c r="G174" s="690"/>
      <c r="H174" s="690"/>
      <c r="I174" s="690"/>
      <c r="J174" s="690"/>
      <c r="K174" s="690"/>
      <c r="L174" s="690"/>
      <c r="M174" s="690"/>
      <c r="N174" s="690"/>
      <c r="O174" s="690"/>
      <c r="P174" s="690"/>
      <c r="Q174" s="690"/>
      <c r="R174" s="690"/>
      <c r="S174" s="690"/>
      <c r="T174" s="690"/>
      <c r="U174" s="690"/>
      <c r="V174" s="690"/>
      <c r="W174" s="690"/>
      <c r="X174" s="690"/>
      <c r="Y174" s="691"/>
    </row>
    <row r="175" spans="1:25" ht="18" customHeight="1" x14ac:dyDescent="0.2">
      <c r="A175" s="337"/>
      <c r="B175" s="337"/>
      <c r="C175" s="689"/>
      <c r="D175" s="690"/>
      <c r="E175" s="690"/>
      <c r="F175" s="690"/>
      <c r="G175" s="690"/>
      <c r="H175" s="690"/>
      <c r="I175" s="690"/>
      <c r="J175" s="690"/>
      <c r="K175" s="690"/>
      <c r="L175" s="690"/>
      <c r="M175" s="690"/>
      <c r="N175" s="690"/>
      <c r="O175" s="690"/>
      <c r="P175" s="690"/>
      <c r="Q175" s="690"/>
      <c r="R175" s="690"/>
      <c r="S175" s="690"/>
      <c r="T175" s="690"/>
      <c r="U175" s="690"/>
      <c r="V175" s="690"/>
      <c r="W175" s="690"/>
      <c r="X175" s="690"/>
      <c r="Y175" s="691"/>
    </row>
    <row r="176" spans="1:25" ht="18" customHeight="1" x14ac:dyDescent="0.2">
      <c r="A176" s="337"/>
      <c r="B176" s="337"/>
      <c r="C176" s="689"/>
      <c r="D176" s="690"/>
      <c r="E176" s="690"/>
      <c r="F176" s="690"/>
      <c r="G176" s="690"/>
      <c r="H176" s="690"/>
      <c r="I176" s="690"/>
      <c r="J176" s="690"/>
      <c r="K176" s="690"/>
      <c r="L176" s="690"/>
      <c r="M176" s="690"/>
      <c r="N176" s="690"/>
      <c r="O176" s="690"/>
      <c r="P176" s="690"/>
      <c r="Q176" s="690"/>
      <c r="R176" s="690"/>
      <c r="S176" s="690"/>
      <c r="T176" s="690"/>
      <c r="U176" s="690"/>
      <c r="V176" s="690"/>
      <c r="W176" s="690"/>
      <c r="X176" s="690"/>
      <c r="Y176" s="691"/>
    </row>
    <row r="177" spans="1:25" ht="18" customHeight="1" x14ac:dyDescent="0.2">
      <c r="A177" s="337"/>
      <c r="B177" s="337"/>
      <c r="C177" s="689"/>
      <c r="D177" s="690"/>
      <c r="E177" s="690"/>
      <c r="F177" s="690"/>
      <c r="G177" s="690"/>
      <c r="H177" s="690"/>
      <c r="I177" s="690"/>
      <c r="J177" s="690"/>
      <c r="K177" s="690"/>
      <c r="L177" s="690"/>
      <c r="M177" s="690"/>
      <c r="N177" s="690"/>
      <c r="O177" s="690"/>
      <c r="P177" s="690"/>
      <c r="Q177" s="690"/>
      <c r="R177" s="690"/>
      <c r="S177" s="690"/>
      <c r="T177" s="690"/>
      <c r="U177" s="690"/>
      <c r="V177" s="690"/>
      <c r="W177" s="690"/>
      <c r="X177" s="690"/>
      <c r="Y177" s="691"/>
    </row>
    <row r="178" spans="1:25" ht="18" customHeight="1" x14ac:dyDescent="0.2">
      <c r="A178" s="337"/>
      <c r="B178" s="337"/>
      <c r="C178" s="689"/>
      <c r="D178" s="690"/>
      <c r="E178" s="690"/>
      <c r="F178" s="690"/>
      <c r="G178" s="690"/>
      <c r="H178" s="690"/>
      <c r="I178" s="690"/>
      <c r="J178" s="690"/>
      <c r="K178" s="690"/>
      <c r="L178" s="690"/>
      <c r="M178" s="690"/>
      <c r="N178" s="690"/>
      <c r="O178" s="690"/>
      <c r="P178" s="690"/>
      <c r="Q178" s="690"/>
      <c r="R178" s="690"/>
      <c r="S178" s="690"/>
      <c r="T178" s="690"/>
      <c r="U178" s="690"/>
      <c r="V178" s="690"/>
      <c r="W178" s="690"/>
      <c r="X178" s="690"/>
      <c r="Y178" s="691"/>
    </row>
    <row r="179" spans="1:25" ht="18" customHeight="1" x14ac:dyDescent="0.2">
      <c r="A179" s="337"/>
      <c r="B179" s="337"/>
      <c r="C179" s="689"/>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1"/>
    </row>
    <row r="180" spans="1:25" ht="18" customHeight="1" x14ac:dyDescent="0.2">
      <c r="A180" s="337"/>
      <c r="B180" s="337"/>
      <c r="C180" s="689"/>
      <c r="D180" s="690"/>
      <c r="E180" s="690"/>
      <c r="F180" s="690"/>
      <c r="G180" s="690"/>
      <c r="H180" s="690"/>
      <c r="I180" s="690"/>
      <c r="J180" s="690"/>
      <c r="K180" s="690"/>
      <c r="L180" s="690"/>
      <c r="M180" s="690"/>
      <c r="N180" s="690"/>
      <c r="O180" s="690"/>
      <c r="P180" s="690"/>
      <c r="Q180" s="690"/>
      <c r="R180" s="690"/>
      <c r="S180" s="690"/>
      <c r="T180" s="690"/>
      <c r="U180" s="690"/>
      <c r="V180" s="690"/>
      <c r="W180" s="690"/>
      <c r="X180" s="690"/>
      <c r="Y180" s="691"/>
    </row>
    <row r="181" spans="1:25" ht="18" customHeight="1" x14ac:dyDescent="0.2">
      <c r="A181" s="337"/>
      <c r="B181" s="337"/>
      <c r="C181" s="689"/>
      <c r="D181" s="690"/>
      <c r="E181" s="690"/>
      <c r="F181" s="690"/>
      <c r="G181" s="690"/>
      <c r="H181" s="690"/>
      <c r="I181" s="690"/>
      <c r="J181" s="690"/>
      <c r="K181" s="690"/>
      <c r="L181" s="690"/>
      <c r="M181" s="690"/>
      <c r="N181" s="690"/>
      <c r="O181" s="690"/>
      <c r="P181" s="690"/>
      <c r="Q181" s="690"/>
      <c r="R181" s="690"/>
      <c r="S181" s="690"/>
      <c r="T181" s="690"/>
      <c r="U181" s="690"/>
      <c r="V181" s="690"/>
      <c r="W181" s="690"/>
      <c r="X181" s="690"/>
      <c r="Y181" s="691"/>
    </row>
    <row r="182" spans="1:25" ht="18" customHeight="1" x14ac:dyDescent="0.2">
      <c r="A182" s="337"/>
      <c r="B182" s="337"/>
      <c r="C182" s="689"/>
      <c r="D182" s="690"/>
      <c r="E182" s="690"/>
      <c r="F182" s="690"/>
      <c r="G182" s="690"/>
      <c r="H182" s="690"/>
      <c r="I182" s="690"/>
      <c r="J182" s="690"/>
      <c r="K182" s="690"/>
      <c r="L182" s="690"/>
      <c r="M182" s="690"/>
      <c r="N182" s="690"/>
      <c r="O182" s="690"/>
      <c r="P182" s="690"/>
      <c r="Q182" s="690"/>
      <c r="R182" s="690"/>
      <c r="S182" s="690"/>
      <c r="T182" s="690"/>
      <c r="U182" s="690"/>
      <c r="V182" s="690"/>
      <c r="W182" s="690"/>
      <c r="X182" s="690"/>
      <c r="Y182" s="691"/>
    </row>
    <row r="183" spans="1:25" ht="18" customHeight="1" x14ac:dyDescent="0.2">
      <c r="A183" s="337"/>
      <c r="B183" s="337"/>
      <c r="C183" s="689"/>
      <c r="D183" s="690"/>
      <c r="E183" s="690"/>
      <c r="F183" s="690"/>
      <c r="G183" s="690"/>
      <c r="H183" s="690"/>
      <c r="I183" s="690"/>
      <c r="J183" s="690"/>
      <c r="K183" s="690"/>
      <c r="L183" s="690"/>
      <c r="M183" s="690"/>
      <c r="N183" s="690"/>
      <c r="O183" s="690"/>
      <c r="P183" s="690"/>
      <c r="Q183" s="690"/>
      <c r="R183" s="690"/>
      <c r="S183" s="690"/>
      <c r="T183" s="690"/>
      <c r="U183" s="690"/>
      <c r="V183" s="690"/>
      <c r="W183" s="690"/>
      <c r="X183" s="690"/>
      <c r="Y183" s="691"/>
    </row>
    <row r="184" spans="1:25" ht="18" customHeight="1" x14ac:dyDescent="0.2">
      <c r="A184" s="337"/>
      <c r="B184" s="337"/>
      <c r="C184" s="689"/>
      <c r="D184" s="690"/>
      <c r="E184" s="690"/>
      <c r="F184" s="690"/>
      <c r="G184" s="690"/>
      <c r="H184" s="690"/>
      <c r="I184" s="690"/>
      <c r="J184" s="690"/>
      <c r="K184" s="690"/>
      <c r="L184" s="690"/>
      <c r="M184" s="690"/>
      <c r="N184" s="690"/>
      <c r="O184" s="690"/>
      <c r="P184" s="690"/>
      <c r="Q184" s="690"/>
      <c r="R184" s="690"/>
      <c r="S184" s="690"/>
      <c r="T184" s="690"/>
      <c r="U184" s="690"/>
      <c r="V184" s="690"/>
      <c r="W184" s="690"/>
      <c r="X184" s="690"/>
      <c r="Y184" s="691"/>
    </row>
    <row r="185" spans="1:25" ht="18" customHeight="1" x14ac:dyDescent="0.2">
      <c r="A185" s="337"/>
      <c r="B185" s="337"/>
      <c r="C185" s="689"/>
      <c r="D185" s="690"/>
      <c r="E185" s="690"/>
      <c r="F185" s="690"/>
      <c r="G185" s="690"/>
      <c r="H185" s="690"/>
      <c r="I185" s="690"/>
      <c r="J185" s="690"/>
      <c r="K185" s="690"/>
      <c r="L185" s="690"/>
      <c r="M185" s="690"/>
      <c r="N185" s="690"/>
      <c r="O185" s="690"/>
      <c r="P185" s="690"/>
      <c r="Q185" s="690"/>
      <c r="R185" s="690"/>
      <c r="S185" s="690"/>
      <c r="T185" s="690"/>
      <c r="U185" s="690"/>
      <c r="V185" s="690"/>
      <c r="W185" s="690"/>
      <c r="X185" s="690"/>
      <c r="Y185" s="691"/>
    </row>
    <row r="186" spans="1:25" ht="18" customHeight="1" x14ac:dyDescent="0.2">
      <c r="A186" s="337"/>
      <c r="B186" s="337"/>
      <c r="C186" s="689"/>
      <c r="D186" s="690"/>
      <c r="E186" s="690"/>
      <c r="F186" s="690"/>
      <c r="G186" s="690"/>
      <c r="H186" s="690"/>
      <c r="I186" s="690"/>
      <c r="J186" s="690"/>
      <c r="K186" s="690"/>
      <c r="L186" s="690"/>
      <c r="M186" s="690"/>
      <c r="N186" s="690"/>
      <c r="O186" s="690"/>
      <c r="P186" s="690"/>
      <c r="Q186" s="690"/>
      <c r="R186" s="690"/>
      <c r="S186" s="690"/>
      <c r="T186" s="690"/>
      <c r="U186" s="690"/>
      <c r="V186" s="690"/>
      <c r="W186" s="690"/>
      <c r="X186" s="690"/>
      <c r="Y186" s="691"/>
    </row>
    <row r="187" spans="1:25" ht="18" customHeight="1" x14ac:dyDescent="0.2">
      <c r="A187" s="337"/>
      <c r="B187" s="337"/>
      <c r="C187" s="689"/>
      <c r="D187" s="690"/>
      <c r="E187" s="690"/>
      <c r="F187" s="690"/>
      <c r="G187" s="690"/>
      <c r="H187" s="690"/>
      <c r="I187" s="690"/>
      <c r="J187" s="690"/>
      <c r="K187" s="690"/>
      <c r="L187" s="690"/>
      <c r="M187" s="690"/>
      <c r="N187" s="690"/>
      <c r="O187" s="690"/>
      <c r="P187" s="690"/>
      <c r="Q187" s="690"/>
      <c r="R187" s="690"/>
      <c r="S187" s="690"/>
      <c r="T187" s="690"/>
      <c r="U187" s="690"/>
      <c r="V187" s="690"/>
      <c r="W187" s="690"/>
      <c r="X187" s="690"/>
      <c r="Y187" s="691"/>
    </row>
    <row r="188" spans="1:25" ht="18" customHeight="1" x14ac:dyDescent="0.2">
      <c r="A188" s="337"/>
      <c r="B188" s="337"/>
      <c r="C188" s="689"/>
      <c r="D188" s="690"/>
      <c r="E188" s="690"/>
      <c r="F188" s="690"/>
      <c r="G188" s="690"/>
      <c r="H188" s="690"/>
      <c r="I188" s="690"/>
      <c r="J188" s="690"/>
      <c r="K188" s="690"/>
      <c r="L188" s="690"/>
      <c r="M188" s="690"/>
      <c r="N188" s="690"/>
      <c r="O188" s="690"/>
      <c r="P188" s="690"/>
      <c r="Q188" s="690"/>
      <c r="R188" s="690"/>
      <c r="S188" s="690"/>
      <c r="T188" s="690"/>
      <c r="U188" s="690"/>
      <c r="V188" s="690"/>
      <c r="W188" s="690"/>
      <c r="X188" s="690"/>
      <c r="Y188" s="691"/>
    </row>
    <row r="189" spans="1:25" ht="18" customHeight="1" x14ac:dyDescent="0.2">
      <c r="A189" s="337"/>
      <c r="B189" s="337"/>
      <c r="C189" s="689"/>
      <c r="D189" s="690"/>
      <c r="E189" s="690"/>
      <c r="F189" s="690"/>
      <c r="G189" s="690"/>
      <c r="H189" s="690"/>
      <c r="I189" s="690"/>
      <c r="J189" s="690"/>
      <c r="K189" s="690"/>
      <c r="L189" s="690"/>
      <c r="M189" s="690"/>
      <c r="N189" s="690"/>
      <c r="O189" s="690"/>
      <c r="P189" s="690"/>
      <c r="Q189" s="690"/>
      <c r="R189" s="690"/>
      <c r="S189" s="690"/>
      <c r="T189" s="690"/>
      <c r="U189" s="690"/>
      <c r="V189" s="690"/>
      <c r="W189" s="690"/>
      <c r="X189" s="690"/>
      <c r="Y189" s="691"/>
    </row>
    <row r="190" spans="1:25" ht="18" customHeight="1" x14ac:dyDescent="0.2">
      <c r="A190" s="337"/>
      <c r="B190" s="337"/>
      <c r="C190" s="692"/>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4"/>
    </row>
    <row r="191" spans="1:25" ht="18" customHeight="1" x14ac:dyDescent="0.2">
      <c r="A191" s="337"/>
      <c r="B191" s="337"/>
      <c r="C191" s="379"/>
      <c r="D191" s="379"/>
      <c r="E191" s="379"/>
      <c r="F191" s="379"/>
      <c r="G191" s="379"/>
      <c r="H191" s="379"/>
      <c r="I191" s="379"/>
      <c r="J191" s="379"/>
      <c r="K191" s="379"/>
      <c r="L191" s="379"/>
      <c r="M191" s="379"/>
      <c r="N191" s="379"/>
      <c r="O191" s="380"/>
    </row>
    <row r="192" spans="1:25" ht="18" customHeight="1" x14ac:dyDescent="0.2">
      <c r="A192" s="337"/>
      <c r="B192" s="337"/>
      <c r="C192" s="379"/>
      <c r="D192" s="379"/>
      <c r="E192" s="379"/>
      <c r="F192" s="379"/>
      <c r="G192" s="379"/>
      <c r="H192" s="379"/>
      <c r="I192" s="379"/>
      <c r="J192" s="379"/>
      <c r="K192" s="379"/>
      <c r="L192" s="379"/>
      <c r="M192" s="379"/>
      <c r="N192" s="379"/>
      <c r="O192" s="380"/>
    </row>
    <row r="193" spans="1:25" ht="18" customHeight="1" x14ac:dyDescent="0.2">
      <c r="A193" s="337"/>
      <c r="B193" s="337"/>
      <c r="C193" s="581" t="s">
        <v>285</v>
      </c>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row>
    <row r="194" spans="1:25" ht="18" customHeight="1" x14ac:dyDescent="0.2">
      <c r="A194" s="337"/>
      <c r="B194" s="337"/>
      <c r="C194" s="783" t="s">
        <v>234</v>
      </c>
      <c r="D194" s="783"/>
      <c r="E194" s="783"/>
      <c r="F194" s="783"/>
      <c r="G194" s="783"/>
      <c r="I194" s="353" t="s">
        <v>24</v>
      </c>
      <c r="J194" s="588"/>
      <c r="K194" s="588"/>
      <c r="P194" s="339"/>
      <c r="S194" s="353" t="s">
        <v>25</v>
      </c>
      <c r="T194" s="588"/>
      <c r="U194" s="588"/>
      <c r="V194" s="588"/>
      <c r="W194" s="588"/>
    </row>
    <row r="195" spans="1:25" ht="18" customHeight="1" x14ac:dyDescent="0.2">
      <c r="A195" s="337"/>
      <c r="B195" s="337"/>
      <c r="C195" s="784"/>
      <c r="D195" s="784"/>
      <c r="E195" s="784"/>
      <c r="F195" s="784"/>
      <c r="G195" s="784"/>
      <c r="H195" s="337"/>
      <c r="I195" s="369" t="s">
        <v>26</v>
      </c>
      <c r="J195" s="588"/>
      <c r="K195" s="588"/>
      <c r="P195" s="339"/>
      <c r="S195" s="353" t="s">
        <v>27</v>
      </c>
      <c r="T195" s="588"/>
      <c r="U195" s="588"/>
      <c r="V195" s="588"/>
      <c r="W195" s="588"/>
    </row>
    <row r="196" spans="1:25" ht="18" customHeight="1" x14ac:dyDescent="0.2">
      <c r="A196" s="337"/>
      <c r="B196" s="337"/>
      <c r="C196" s="784"/>
      <c r="D196" s="784"/>
      <c r="E196" s="784"/>
      <c r="F196" s="784"/>
      <c r="G196" s="784"/>
      <c r="H196" s="337"/>
      <c r="I196" s="353" t="s">
        <v>54</v>
      </c>
      <c r="J196" s="588"/>
      <c r="K196" s="588"/>
      <c r="P196" s="367"/>
      <c r="Q196" s="367"/>
    </row>
    <row r="197" spans="1:25" ht="18" customHeight="1" x14ac:dyDescent="0.2">
      <c r="A197" s="337"/>
      <c r="B197" s="337"/>
      <c r="C197" s="381"/>
      <c r="D197" s="381"/>
      <c r="E197" s="381"/>
      <c r="F197" s="381"/>
      <c r="G197" s="786" t="s">
        <v>239</v>
      </c>
      <c r="H197" s="786"/>
      <c r="I197" s="787"/>
      <c r="J197" s="588"/>
      <c r="K197" s="588"/>
      <c r="L197" s="381"/>
      <c r="M197" s="381"/>
      <c r="N197" s="381"/>
      <c r="O197" s="381"/>
      <c r="P197" s="381"/>
      <c r="Q197" s="381"/>
      <c r="R197" s="381"/>
      <c r="S197" s="381"/>
      <c r="T197" s="381"/>
      <c r="U197" s="381"/>
      <c r="V197" s="381"/>
      <c r="W197" s="381"/>
      <c r="X197" s="381"/>
      <c r="Y197" s="381"/>
    </row>
    <row r="198" spans="1:25" ht="18" customHeight="1" x14ac:dyDescent="0.2">
      <c r="A198" s="337"/>
      <c r="B198" s="337"/>
      <c r="C198" s="793"/>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5"/>
    </row>
    <row r="199" spans="1:25" ht="18" customHeight="1" x14ac:dyDescent="0.2">
      <c r="A199" s="337"/>
      <c r="B199" s="337"/>
      <c r="C199" s="796"/>
      <c r="D199" s="797"/>
      <c r="E199" s="797"/>
      <c r="F199" s="797"/>
      <c r="G199" s="797"/>
      <c r="H199" s="797"/>
      <c r="I199" s="797"/>
      <c r="J199" s="797"/>
      <c r="K199" s="797"/>
      <c r="L199" s="797"/>
      <c r="M199" s="797"/>
      <c r="N199" s="797"/>
      <c r="O199" s="797"/>
      <c r="P199" s="797"/>
      <c r="Q199" s="797"/>
      <c r="R199" s="797"/>
      <c r="S199" s="797"/>
      <c r="T199" s="797"/>
      <c r="U199" s="797"/>
      <c r="V199" s="797"/>
      <c r="W199" s="797"/>
      <c r="X199" s="797"/>
      <c r="Y199" s="798"/>
    </row>
    <row r="200" spans="1:25" ht="18" customHeight="1" x14ac:dyDescent="0.2">
      <c r="A200" s="337"/>
      <c r="B200" s="337"/>
      <c r="C200" s="799"/>
      <c r="D200" s="800"/>
      <c r="E200" s="800"/>
      <c r="F200" s="800"/>
      <c r="G200" s="800"/>
      <c r="H200" s="800"/>
      <c r="I200" s="800"/>
      <c r="J200" s="800"/>
      <c r="K200" s="800"/>
      <c r="L200" s="800"/>
      <c r="M200" s="800"/>
      <c r="N200" s="800"/>
      <c r="O200" s="800"/>
      <c r="P200" s="800"/>
      <c r="Q200" s="800"/>
      <c r="R200" s="800"/>
      <c r="S200" s="800"/>
      <c r="T200" s="800"/>
      <c r="U200" s="800"/>
      <c r="V200" s="800"/>
      <c r="W200" s="800"/>
      <c r="X200" s="800"/>
      <c r="Y200" s="801"/>
    </row>
    <row r="201" spans="1:25" ht="18" customHeight="1" x14ac:dyDescent="0.2">
      <c r="A201" s="337"/>
      <c r="B201" s="337"/>
      <c r="C201" s="345"/>
      <c r="D201" s="379"/>
      <c r="E201" s="379"/>
      <c r="F201" s="379"/>
      <c r="G201" s="379"/>
      <c r="H201" s="379"/>
      <c r="I201" s="379"/>
      <c r="J201" s="379"/>
      <c r="K201" s="379"/>
      <c r="L201" s="379"/>
      <c r="M201" s="379"/>
      <c r="N201" s="379"/>
      <c r="O201" s="380"/>
    </row>
    <row r="202" spans="1:25" ht="18" customHeight="1" x14ac:dyDescent="0.2">
      <c r="A202" s="337"/>
      <c r="B202" s="337"/>
      <c r="C202" s="345"/>
      <c r="D202" s="379"/>
      <c r="E202" s="379"/>
      <c r="F202" s="379"/>
      <c r="G202" s="379"/>
      <c r="H202" s="379"/>
      <c r="I202" s="379"/>
      <c r="J202" s="379"/>
      <c r="K202" s="379"/>
      <c r="L202" s="379"/>
      <c r="M202" s="379"/>
      <c r="N202" s="379"/>
      <c r="O202" s="380"/>
    </row>
    <row r="203" spans="1:25" ht="18" customHeight="1" x14ac:dyDescent="0.2">
      <c r="A203" s="337"/>
      <c r="B203" s="337"/>
      <c r="C203" s="583" t="s">
        <v>286</v>
      </c>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row>
    <row r="204" spans="1:25" ht="18" customHeight="1" x14ac:dyDescent="0.2">
      <c r="A204" s="337"/>
      <c r="B204" s="337"/>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row>
    <row r="205" spans="1:25" ht="18" customHeight="1" x14ac:dyDescent="0.2">
      <c r="A205" s="337"/>
      <c r="B205" s="337"/>
      <c r="C205" s="669"/>
      <c r="D205" s="670"/>
      <c r="E205" s="670"/>
      <c r="F205" s="670"/>
      <c r="G205" s="670"/>
      <c r="H205" s="670"/>
      <c r="I205" s="670"/>
      <c r="J205" s="670"/>
      <c r="K205" s="670"/>
      <c r="L205" s="670"/>
      <c r="M205" s="670"/>
      <c r="N205" s="670"/>
      <c r="O205" s="670"/>
      <c r="P205" s="670"/>
      <c r="Q205" s="670"/>
      <c r="R205" s="670"/>
      <c r="S205" s="670"/>
      <c r="T205" s="670"/>
      <c r="U205" s="670"/>
      <c r="V205" s="670"/>
      <c r="W205" s="670"/>
      <c r="X205" s="670"/>
      <c r="Y205" s="671"/>
    </row>
    <row r="206" spans="1:25" ht="18" customHeight="1" x14ac:dyDescent="0.2">
      <c r="A206" s="337"/>
      <c r="B206" s="337"/>
      <c r="C206" s="802"/>
      <c r="D206" s="803"/>
      <c r="E206" s="803"/>
      <c r="F206" s="803"/>
      <c r="G206" s="803"/>
      <c r="H206" s="803"/>
      <c r="I206" s="803"/>
      <c r="J206" s="803"/>
      <c r="K206" s="803"/>
      <c r="L206" s="803"/>
      <c r="M206" s="803"/>
      <c r="N206" s="803"/>
      <c r="O206" s="803"/>
      <c r="P206" s="803"/>
      <c r="Q206" s="803"/>
      <c r="R206" s="803"/>
      <c r="S206" s="803"/>
      <c r="T206" s="803"/>
      <c r="U206" s="803"/>
      <c r="V206" s="803"/>
      <c r="W206" s="803"/>
      <c r="X206" s="803"/>
      <c r="Y206" s="804"/>
    </row>
    <row r="207" spans="1:25" ht="18" customHeight="1" x14ac:dyDescent="0.2">
      <c r="A207" s="337"/>
      <c r="B207" s="337"/>
      <c r="C207" s="672"/>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4"/>
    </row>
    <row r="208" spans="1:25" ht="18" customHeight="1" x14ac:dyDescent="0.2">
      <c r="A208" s="337"/>
      <c r="B208" s="337"/>
      <c r="C208" s="379"/>
      <c r="D208" s="379"/>
      <c r="E208" s="379"/>
      <c r="F208" s="379"/>
      <c r="G208" s="379"/>
      <c r="H208" s="379"/>
      <c r="I208" s="379"/>
      <c r="J208" s="379"/>
      <c r="K208" s="379"/>
      <c r="L208" s="379"/>
      <c r="M208" s="379"/>
      <c r="N208" s="379"/>
      <c r="O208" s="380"/>
    </row>
    <row r="209" spans="1:26" ht="18" customHeight="1" x14ac:dyDescent="0.2">
      <c r="A209" s="337"/>
      <c r="B209" s="337"/>
      <c r="C209" s="379"/>
      <c r="D209" s="379"/>
      <c r="E209" s="379"/>
      <c r="F209" s="379"/>
      <c r="G209" s="379"/>
      <c r="H209" s="379"/>
      <c r="I209" s="379"/>
      <c r="J209" s="379"/>
      <c r="K209" s="379"/>
      <c r="L209" s="379"/>
      <c r="M209" s="379"/>
      <c r="N209" s="379"/>
      <c r="O209" s="380"/>
    </row>
    <row r="210" spans="1:26" ht="18" customHeight="1" x14ac:dyDescent="0.2">
      <c r="A210" s="337"/>
      <c r="B210" s="337"/>
      <c r="C210" s="581" t="s">
        <v>287</v>
      </c>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row>
    <row r="211" spans="1:26" ht="18" customHeight="1" x14ac:dyDescent="0.2">
      <c r="A211" s="337"/>
      <c r="B211" s="788" t="s">
        <v>1528</v>
      </c>
      <c r="C211" s="789"/>
      <c r="D211" s="789"/>
      <c r="E211" s="789"/>
      <c r="F211" s="789"/>
      <c r="G211" s="789"/>
      <c r="H211" s="789"/>
      <c r="I211" s="789"/>
      <c r="J211" s="789"/>
      <c r="K211" s="789"/>
      <c r="L211" s="789"/>
      <c r="M211" s="789"/>
      <c r="N211" s="789"/>
      <c r="O211" s="789"/>
      <c r="P211" s="789"/>
      <c r="Q211" s="789"/>
      <c r="R211" s="789"/>
      <c r="S211" s="789"/>
      <c r="T211" s="789"/>
      <c r="U211" s="789"/>
      <c r="V211" s="789"/>
      <c r="W211" s="789"/>
      <c r="X211" s="789"/>
      <c r="Y211" s="789"/>
      <c r="Z211" s="789"/>
    </row>
    <row r="212" spans="1:26" ht="18" customHeight="1" x14ac:dyDescent="0.2">
      <c r="A212" s="337"/>
      <c r="B212" s="789"/>
      <c r="C212" s="789"/>
      <c r="D212" s="789"/>
      <c r="E212" s="789"/>
      <c r="F212" s="789"/>
      <c r="G212" s="789"/>
      <c r="H212" s="789"/>
      <c r="I212" s="789"/>
      <c r="J212" s="789"/>
      <c r="K212" s="789"/>
      <c r="L212" s="789"/>
      <c r="M212" s="789"/>
      <c r="N212" s="789"/>
      <c r="O212" s="789"/>
      <c r="P212" s="789"/>
      <c r="Q212" s="789"/>
      <c r="R212" s="789"/>
      <c r="S212" s="789"/>
      <c r="T212" s="789"/>
      <c r="U212" s="789"/>
      <c r="V212" s="789"/>
      <c r="W212" s="789"/>
      <c r="X212" s="789"/>
      <c r="Y212" s="789"/>
      <c r="Z212" s="789"/>
    </row>
    <row r="213" spans="1:26" ht="18" customHeight="1" thickBot="1" x14ac:dyDescent="0.25">
      <c r="A213" s="337"/>
      <c r="B213" s="337"/>
      <c r="C213" s="337"/>
      <c r="D213" s="337"/>
      <c r="E213" s="337"/>
      <c r="F213" s="337"/>
      <c r="G213" s="337"/>
      <c r="H213" s="337"/>
      <c r="I213" s="337"/>
      <c r="J213" s="337"/>
      <c r="K213" s="368"/>
      <c r="L213" s="368"/>
      <c r="M213" s="337"/>
      <c r="N213" s="337"/>
      <c r="O213" s="380"/>
      <c r="S213" s="353" t="s">
        <v>240</v>
      </c>
      <c r="T213" s="785"/>
      <c r="U213" s="785"/>
      <c r="V213" s="785"/>
      <c r="W213" s="785"/>
      <c r="X213" s="591" t="s">
        <v>111</v>
      </c>
      <c r="Y213" s="591"/>
    </row>
    <row r="214" spans="1:26" ht="18" customHeight="1" thickBot="1" x14ac:dyDescent="0.25">
      <c r="A214" s="337"/>
      <c r="B214" s="337"/>
      <c r="C214" s="345"/>
      <c r="D214" s="382"/>
      <c r="E214" s="382"/>
      <c r="F214" s="382"/>
      <c r="G214" s="382"/>
      <c r="H214" s="382"/>
      <c r="I214" s="382"/>
      <c r="J214" s="382"/>
      <c r="K214" s="382"/>
      <c r="L214" s="382"/>
      <c r="M214" s="383"/>
      <c r="N214" s="382"/>
      <c r="O214" s="382"/>
      <c r="P214" s="382"/>
      <c r="Q214" s="382"/>
      <c r="R214" s="382"/>
      <c r="S214" s="384"/>
      <c r="T214" s="375"/>
      <c r="U214" s="385"/>
      <c r="V214" s="385"/>
      <c r="W214" s="377" t="str">
        <f>IF($T$213="","",IF($T$213&lt;$T$107,"La superficie de la zone contributive ne peut pas être inférieure à la superficie du site",""))</f>
        <v/>
      </c>
      <c r="X214" s="382"/>
      <c r="Y214" s="382"/>
    </row>
    <row r="215" spans="1:26" ht="18" customHeight="1" x14ac:dyDescent="0.2">
      <c r="A215" s="337"/>
      <c r="B215" s="337"/>
      <c r="C215" s="345"/>
      <c r="D215" s="382"/>
      <c r="E215" s="382"/>
      <c r="F215" s="382"/>
      <c r="G215" s="382"/>
      <c r="H215" s="382"/>
      <c r="I215" s="382"/>
      <c r="J215" s="382"/>
      <c r="K215" s="382"/>
      <c r="L215" s="382"/>
      <c r="M215" s="383"/>
      <c r="N215" s="382"/>
      <c r="O215" s="382"/>
      <c r="P215" s="382"/>
      <c r="Q215" s="382"/>
      <c r="R215" s="382"/>
      <c r="S215" s="384"/>
      <c r="T215" s="382"/>
      <c r="U215" s="382"/>
      <c r="V215" s="382"/>
      <c r="W215" s="378"/>
      <c r="X215" s="382"/>
      <c r="Y215" s="382"/>
    </row>
    <row r="216" spans="1:26" ht="18" customHeight="1" x14ac:dyDescent="0.2">
      <c r="A216" s="337"/>
      <c r="B216" s="337"/>
      <c r="C216" s="592" t="s">
        <v>288</v>
      </c>
      <c r="D216" s="592"/>
      <c r="E216" s="592"/>
      <c r="F216" s="592"/>
      <c r="G216" s="592"/>
      <c r="H216" s="592"/>
      <c r="I216" s="592"/>
      <c r="J216" s="592"/>
      <c r="K216" s="592"/>
      <c r="L216" s="592"/>
      <c r="M216" s="592"/>
      <c r="N216" s="592"/>
      <c r="O216" s="592"/>
      <c r="P216" s="592"/>
      <c r="Q216" s="592"/>
      <c r="R216" s="592"/>
      <c r="S216" s="592"/>
      <c r="T216" s="592"/>
      <c r="U216" s="592"/>
      <c r="V216" s="592"/>
      <c r="W216" s="592"/>
      <c r="X216" s="592"/>
      <c r="Y216" s="592"/>
    </row>
    <row r="217" spans="1:26" ht="18" customHeight="1" x14ac:dyDescent="0.2">
      <c r="A217" s="337"/>
      <c r="B217" s="337"/>
      <c r="C217" s="337"/>
      <c r="D217" s="337"/>
      <c r="E217" s="337"/>
      <c r="F217" s="337"/>
      <c r="G217" s="337"/>
      <c r="H217" s="337"/>
      <c r="I217" s="337"/>
      <c r="J217" s="337"/>
      <c r="K217" s="337"/>
      <c r="L217" s="337"/>
      <c r="M217" s="337"/>
      <c r="N217" s="337"/>
      <c r="O217" s="337"/>
      <c r="P217" s="337"/>
      <c r="S217" s="353" t="s">
        <v>241</v>
      </c>
      <c r="T217" s="701"/>
      <c r="U217" s="701"/>
      <c r="V217" s="701"/>
      <c r="W217" s="701"/>
      <c r="X217" s="371"/>
      <c r="Y217" s="372"/>
    </row>
    <row r="218" spans="1:26" ht="18" customHeight="1" x14ac:dyDescent="0.2">
      <c r="A218" s="337"/>
      <c r="B218" s="337"/>
      <c r="C218" s="345"/>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row>
    <row r="219" spans="1:26" ht="18" customHeight="1" x14ac:dyDescent="0.2">
      <c r="A219" s="337"/>
      <c r="B219" s="337"/>
      <c r="C219" s="345"/>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row>
    <row r="220" spans="1:26" ht="18" customHeight="1" x14ac:dyDescent="0.2">
      <c r="A220" s="337"/>
      <c r="B220" s="337"/>
      <c r="C220" s="592" t="s">
        <v>289</v>
      </c>
      <c r="D220" s="592"/>
      <c r="E220" s="592"/>
      <c r="F220" s="592"/>
      <c r="G220" s="592"/>
      <c r="H220" s="592"/>
      <c r="I220" s="592"/>
      <c r="J220" s="592"/>
      <c r="K220" s="592"/>
      <c r="L220" s="592"/>
      <c r="M220" s="592"/>
      <c r="N220" s="592"/>
      <c r="O220" s="592"/>
      <c r="P220" s="592"/>
      <c r="Q220" s="592"/>
      <c r="R220" s="592"/>
      <c r="S220" s="592"/>
      <c r="T220" s="592"/>
      <c r="U220" s="592"/>
      <c r="V220" s="592"/>
      <c r="W220" s="592"/>
      <c r="X220" s="592"/>
      <c r="Y220" s="592"/>
    </row>
    <row r="221" spans="1:26" ht="18" customHeight="1" x14ac:dyDescent="0.2">
      <c r="A221" s="337"/>
      <c r="B221" s="337"/>
      <c r="C221" s="356"/>
      <c r="D221" s="356"/>
      <c r="E221" s="356"/>
      <c r="F221" s="356"/>
      <c r="G221" s="356"/>
      <c r="H221" s="356"/>
      <c r="I221" s="362"/>
      <c r="J221" s="356"/>
      <c r="K221" s="379"/>
      <c r="L221" s="379"/>
      <c r="M221" s="379"/>
      <c r="N221" s="379"/>
      <c r="O221" s="380"/>
      <c r="S221" s="357" t="s">
        <v>242</v>
      </c>
      <c r="T221" s="578"/>
      <c r="U221" s="578"/>
      <c r="V221" s="578"/>
      <c r="W221" s="578"/>
      <c r="X221" s="591" t="s">
        <v>111</v>
      </c>
      <c r="Y221" s="591"/>
    </row>
    <row r="222" spans="1:26" ht="18" customHeight="1" thickBot="1" x14ac:dyDescent="0.25">
      <c r="A222" s="337"/>
      <c r="B222" s="337"/>
      <c r="C222" s="346"/>
      <c r="D222" s="346"/>
      <c r="E222" s="346"/>
      <c r="F222" s="346"/>
      <c r="G222" s="346"/>
      <c r="H222" s="346"/>
      <c r="I222" s="362"/>
      <c r="J222" s="346"/>
      <c r="K222" s="379"/>
      <c r="L222" s="379"/>
      <c r="M222" s="379"/>
      <c r="N222" s="379"/>
      <c r="O222" s="380"/>
      <c r="S222" s="362" t="s">
        <v>243</v>
      </c>
      <c r="T222" s="785"/>
      <c r="U222" s="785"/>
      <c r="V222" s="785"/>
      <c r="W222" s="785"/>
      <c r="X222" s="591" t="s">
        <v>111</v>
      </c>
      <c r="Y222" s="591"/>
    </row>
    <row r="223" spans="1:26" ht="18" customHeight="1" thickBot="1" x14ac:dyDescent="0.25">
      <c r="A223" s="337"/>
      <c r="B223" s="337"/>
      <c r="C223" s="345"/>
      <c r="D223" s="382"/>
      <c r="E223" s="382"/>
      <c r="F223" s="382"/>
      <c r="G223" s="382"/>
      <c r="H223" s="382"/>
      <c r="I223" s="382"/>
      <c r="J223" s="382"/>
      <c r="K223" s="382"/>
      <c r="L223" s="382"/>
      <c r="M223" s="382"/>
      <c r="N223" s="382"/>
      <c r="O223" s="382"/>
      <c r="P223" s="382"/>
      <c r="Q223" s="382"/>
      <c r="R223" s="382"/>
      <c r="S223" s="382"/>
      <c r="T223" s="375"/>
      <c r="U223" s="385"/>
      <c r="V223" s="385"/>
      <c r="W223" s="377" t="str">
        <f>IF(AND(ISBLANK($T$221),ISBLANK($T$222)),"",IF(SUM($T$221,$T$222)&gt;$T$213,"La somme des superficies des surfaces enherbées et cultivées ne peut pas être supérieure à la superficie de la zone contributive.",""))</f>
        <v/>
      </c>
      <c r="X223" s="382"/>
      <c r="Y223" s="382"/>
    </row>
    <row r="224" spans="1:26" ht="18" customHeight="1" x14ac:dyDescent="0.2">
      <c r="A224" s="337"/>
      <c r="B224" s="337"/>
      <c r="C224" s="345"/>
      <c r="D224" s="382"/>
      <c r="E224" s="382"/>
      <c r="F224" s="382"/>
      <c r="G224" s="382"/>
      <c r="H224" s="382"/>
      <c r="I224" s="382"/>
      <c r="J224" s="382"/>
      <c r="K224" s="382"/>
      <c r="L224" s="382"/>
      <c r="M224" s="382"/>
      <c r="N224" s="382"/>
      <c r="O224" s="382"/>
      <c r="P224" s="382"/>
      <c r="Q224" s="382"/>
      <c r="R224" s="382"/>
      <c r="S224" s="382"/>
      <c r="T224" s="382"/>
      <c r="U224" s="382"/>
      <c r="V224" s="382"/>
      <c r="W224" s="378"/>
      <c r="X224" s="382"/>
      <c r="Y224" s="382"/>
    </row>
    <row r="225" spans="1:25" ht="18" customHeight="1" x14ac:dyDescent="0.2">
      <c r="A225" s="337"/>
      <c r="B225" s="337"/>
      <c r="C225" s="592" t="s">
        <v>290</v>
      </c>
      <c r="D225" s="592"/>
      <c r="E225" s="592"/>
      <c r="F225" s="592"/>
      <c r="G225" s="592"/>
      <c r="H225" s="592"/>
      <c r="I225" s="592"/>
      <c r="J225" s="592"/>
      <c r="K225" s="592"/>
      <c r="L225" s="592"/>
      <c r="M225" s="592"/>
      <c r="N225" s="592"/>
      <c r="O225" s="592"/>
      <c r="P225" s="592"/>
      <c r="Q225" s="592"/>
      <c r="R225" s="592"/>
      <c r="S225" s="592"/>
      <c r="T225" s="592"/>
      <c r="U225" s="592"/>
      <c r="V225" s="592"/>
      <c r="W225" s="592"/>
      <c r="X225" s="592"/>
      <c r="Y225" s="592"/>
    </row>
    <row r="226" spans="1:25" ht="18" customHeight="1" x14ac:dyDescent="0.2">
      <c r="A226" s="337"/>
      <c r="B226" s="337"/>
      <c r="C226" s="354" t="s">
        <v>234</v>
      </c>
      <c r="D226" s="354"/>
      <c r="E226" s="337"/>
      <c r="F226" s="368"/>
      <c r="G226" s="368"/>
      <c r="H226" s="368"/>
      <c r="I226" s="353" t="s">
        <v>28</v>
      </c>
      <c r="J226" s="588"/>
      <c r="K226" s="588"/>
      <c r="N226" s="368"/>
      <c r="P226" s="368"/>
      <c r="Q226" s="368"/>
      <c r="S226" s="369" t="s">
        <v>29</v>
      </c>
      <c r="T226" s="588"/>
      <c r="U226" s="588"/>
      <c r="V226" s="588"/>
      <c r="W226" s="588"/>
    </row>
    <row r="227" spans="1:25" ht="18" customHeight="1" x14ac:dyDescent="0.2">
      <c r="A227" s="337"/>
      <c r="B227" s="337"/>
      <c r="C227" s="345"/>
      <c r="D227" s="337"/>
      <c r="E227" s="337"/>
      <c r="F227" s="337"/>
      <c r="G227" s="337"/>
      <c r="H227" s="337"/>
      <c r="I227" s="337"/>
      <c r="J227" s="337"/>
      <c r="K227" s="337"/>
      <c r="L227" s="337"/>
      <c r="M227" s="337"/>
      <c r="N227" s="386"/>
      <c r="O227" s="380"/>
    </row>
    <row r="228" spans="1:25" ht="18" customHeight="1" x14ac:dyDescent="0.2">
      <c r="A228" s="337"/>
      <c r="B228" s="337"/>
      <c r="C228" s="345"/>
      <c r="D228" s="337"/>
      <c r="E228" s="337"/>
      <c r="F228" s="337"/>
      <c r="G228" s="337"/>
      <c r="H228" s="337"/>
      <c r="I228" s="337"/>
      <c r="J228" s="337"/>
      <c r="K228" s="337"/>
      <c r="L228" s="337"/>
      <c r="M228" s="337"/>
      <c r="N228" s="386"/>
      <c r="O228" s="380"/>
    </row>
    <row r="229" spans="1:25" ht="18" customHeight="1" x14ac:dyDescent="0.2">
      <c r="A229" s="337"/>
      <c r="B229" s="337"/>
      <c r="C229" s="581" t="s">
        <v>291</v>
      </c>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row>
    <row r="230" spans="1:25" ht="18" customHeight="1" thickBot="1" x14ac:dyDescent="0.25">
      <c r="A230" s="337"/>
      <c r="B230" s="337"/>
      <c r="C230" s="337"/>
      <c r="D230" s="337"/>
      <c r="E230" s="337"/>
      <c r="F230" s="337"/>
      <c r="G230" s="337"/>
      <c r="H230" s="337"/>
      <c r="I230" s="337"/>
      <c r="J230" s="337"/>
      <c r="K230" s="386"/>
      <c r="L230" s="386"/>
      <c r="M230" s="386"/>
      <c r="N230" s="386"/>
      <c r="O230" s="380"/>
      <c r="S230" s="353" t="s">
        <v>244</v>
      </c>
      <c r="T230" s="578"/>
      <c r="U230" s="578"/>
      <c r="V230" s="578"/>
      <c r="W230" s="578"/>
      <c r="X230" s="591" t="s">
        <v>111</v>
      </c>
      <c r="Y230" s="591"/>
    </row>
    <row r="231" spans="1:25" ht="18" customHeight="1" thickBot="1" x14ac:dyDescent="0.25">
      <c r="A231" s="337"/>
      <c r="B231" s="337"/>
      <c r="C231" s="345"/>
      <c r="D231" s="337"/>
      <c r="E231" s="337"/>
      <c r="F231" s="337"/>
      <c r="G231" s="337"/>
      <c r="H231" s="337"/>
      <c r="I231" s="337"/>
      <c r="J231" s="337"/>
      <c r="K231" s="337"/>
      <c r="L231" s="337"/>
      <c r="M231" s="337"/>
      <c r="N231" s="386"/>
      <c r="O231" s="380"/>
      <c r="T231" s="375"/>
      <c r="U231" s="385"/>
      <c r="V231" s="385"/>
      <c r="W231" s="377" t="str">
        <f>IF($T$230="","",IF($T$230&gt;$T$213,"La superficie des surfaces construites ne peut pas être supérieure à la superficie de la zone contributive",""))</f>
        <v/>
      </c>
    </row>
    <row r="232" spans="1:25" ht="18" customHeight="1" x14ac:dyDescent="0.2">
      <c r="A232" s="337"/>
      <c r="B232" s="337"/>
      <c r="C232" s="345"/>
      <c r="D232" s="337"/>
      <c r="E232" s="337"/>
      <c r="F232" s="337"/>
      <c r="G232" s="337"/>
      <c r="H232" s="337"/>
      <c r="I232" s="337"/>
      <c r="J232" s="337"/>
      <c r="K232" s="337"/>
      <c r="L232" s="337"/>
      <c r="M232" s="337"/>
      <c r="N232" s="386"/>
      <c r="O232" s="380"/>
      <c r="W232" s="387"/>
    </row>
    <row r="233" spans="1:25" ht="18" customHeight="1" x14ac:dyDescent="0.2">
      <c r="A233" s="337"/>
      <c r="B233" s="337"/>
      <c r="C233" s="581" t="s">
        <v>292</v>
      </c>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row>
    <row r="234" spans="1:25" ht="18" customHeight="1" x14ac:dyDescent="0.2">
      <c r="A234" s="337"/>
      <c r="B234" s="337"/>
      <c r="C234" s="388"/>
      <c r="D234" s="388"/>
      <c r="E234" s="388"/>
      <c r="F234" s="388"/>
      <c r="G234" s="388"/>
      <c r="H234" s="388"/>
      <c r="I234" s="356"/>
      <c r="J234" s="346"/>
      <c r="K234" s="389"/>
      <c r="L234" s="389"/>
      <c r="M234" s="373"/>
      <c r="N234" s="386"/>
      <c r="O234" s="380"/>
      <c r="S234" s="357" t="s">
        <v>245</v>
      </c>
      <c r="T234" s="578"/>
      <c r="U234" s="578"/>
      <c r="V234" s="578"/>
      <c r="W234" s="578"/>
      <c r="X234" s="591" t="s">
        <v>112</v>
      </c>
      <c r="Y234" s="591"/>
    </row>
    <row r="235" spans="1:25" ht="18" customHeight="1" x14ac:dyDescent="0.2">
      <c r="A235" s="337"/>
      <c r="B235" s="337"/>
      <c r="C235" s="345"/>
      <c r="D235" s="337"/>
      <c r="E235" s="337"/>
      <c r="F235" s="337"/>
      <c r="G235" s="337"/>
      <c r="H235" s="337"/>
      <c r="I235" s="337"/>
      <c r="J235" s="337"/>
      <c r="K235" s="337"/>
      <c r="L235" s="337"/>
      <c r="M235" s="337"/>
      <c r="N235" s="386"/>
      <c r="O235" s="380"/>
    </row>
    <row r="236" spans="1:25" ht="18" customHeight="1" x14ac:dyDescent="0.2">
      <c r="A236" s="337"/>
      <c r="B236" s="337"/>
      <c r="C236" s="345"/>
      <c r="D236" s="337"/>
      <c r="E236" s="337"/>
      <c r="F236" s="337"/>
      <c r="G236" s="337"/>
      <c r="H236" s="337"/>
      <c r="I236" s="337"/>
      <c r="J236" s="337"/>
      <c r="K236" s="337"/>
      <c r="L236" s="337"/>
      <c r="M236" s="337"/>
      <c r="N236" s="386"/>
      <c r="O236" s="380"/>
    </row>
    <row r="237" spans="1:25" ht="35.25" customHeight="1" x14ac:dyDescent="0.2">
      <c r="A237" s="337"/>
      <c r="B237" s="337"/>
      <c r="C237" s="341" t="s">
        <v>402</v>
      </c>
      <c r="D237" s="695" t="s">
        <v>404</v>
      </c>
      <c r="E237" s="696"/>
      <c r="F237" s="696"/>
      <c r="G237" s="696"/>
      <c r="H237" s="696"/>
      <c r="I237" s="696"/>
      <c r="J237" s="696"/>
      <c r="K237" s="696"/>
      <c r="L237" s="696"/>
      <c r="M237" s="696"/>
      <c r="N237" s="696"/>
      <c r="O237" s="696"/>
      <c r="P237" s="696"/>
      <c r="Q237" s="696"/>
      <c r="R237" s="696"/>
      <c r="S237" s="696"/>
      <c r="T237" s="696"/>
      <c r="U237" s="696"/>
      <c r="V237" s="696"/>
      <c r="W237" s="696"/>
      <c r="X237" s="696"/>
      <c r="Y237" s="697"/>
    </row>
    <row r="238" spans="1:25" ht="18" customHeight="1" x14ac:dyDescent="0.2">
      <c r="A238" s="337"/>
      <c r="B238" s="337"/>
      <c r="C238" s="517"/>
      <c r="D238" s="517"/>
      <c r="E238" s="517"/>
      <c r="F238" s="517"/>
      <c r="G238" s="517"/>
      <c r="H238" s="517"/>
      <c r="I238" s="517"/>
      <c r="J238" s="517"/>
      <c r="K238" s="517"/>
      <c r="L238" s="517"/>
      <c r="M238" s="517"/>
      <c r="N238" s="517"/>
      <c r="O238" s="517"/>
      <c r="P238" s="517"/>
      <c r="Q238" s="517"/>
      <c r="R238" s="517"/>
      <c r="S238" s="517"/>
      <c r="T238" s="517"/>
      <c r="U238" s="517"/>
      <c r="V238" s="517"/>
      <c r="W238" s="517"/>
      <c r="X238" s="517"/>
      <c r="Y238" s="517"/>
    </row>
    <row r="239" spans="1:25" ht="18" customHeight="1" x14ac:dyDescent="0.2">
      <c r="A239" s="337"/>
      <c r="B239" s="337"/>
      <c r="C239" s="581" t="s">
        <v>366</v>
      </c>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row>
    <row r="240" spans="1:25" ht="18" customHeight="1" x14ac:dyDescent="0.2">
      <c r="A240" s="337"/>
      <c r="B240" s="337"/>
      <c r="C240" s="684" t="s">
        <v>246</v>
      </c>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row>
    <row r="241" spans="1:25" ht="18" customHeight="1" x14ac:dyDescent="0.2">
      <c r="A241" s="337"/>
      <c r="B241" s="337"/>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row>
    <row r="242" spans="1:25" ht="18" customHeight="1" x14ac:dyDescent="0.2">
      <c r="A242" s="337"/>
      <c r="B242" s="337"/>
      <c r="C242" s="686"/>
      <c r="D242" s="687"/>
      <c r="E242" s="687"/>
      <c r="F242" s="687"/>
      <c r="G242" s="687"/>
      <c r="H242" s="687"/>
      <c r="I242" s="687"/>
      <c r="J242" s="687"/>
      <c r="K242" s="687"/>
      <c r="L242" s="687"/>
      <c r="M242" s="687"/>
      <c r="N242" s="687"/>
      <c r="O242" s="687"/>
      <c r="P242" s="687"/>
      <c r="Q242" s="687"/>
      <c r="R242" s="687"/>
      <c r="S242" s="687"/>
      <c r="T242" s="687"/>
      <c r="U242" s="687"/>
      <c r="V242" s="687"/>
      <c r="W242" s="687"/>
      <c r="X242" s="687"/>
      <c r="Y242" s="688"/>
    </row>
    <row r="243" spans="1:25" ht="18" customHeight="1" x14ac:dyDescent="0.2">
      <c r="A243" s="337"/>
      <c r="B243" s="337"/>
      <c r="C243" s="689"/>
      <c r="D243" s="690"/>
      <c r="E243" s="690"/>
      <c r="F243" s="690"/>
      <c r="G243" s="690"/>
      <c r="H243" s="690"/>
      <c r="I243" s="690"/>
      <c r="J243" s="690"/>
      <c r="K243" s="690"/>
      <c r="L243" s="690"/>
      <c r="M243" s="690"/>
      <c r="N243" s="690"/>
      <c r="O243" s="690"/>
      <c r="P243" s="690"/>
      <c r="Q243" s="690"/>
      <c r="R243" s="690"/>
      <c r="S243" s="690"/>
      <c r="T243" s="690"/>
      <c r="U243" s="690"/>
      <c r="V243" s="690"/>
      <c r="W243" s="690"/>
      <c r="X243" s="690"/>
      <c r="Y243" s="691"/>
    </row>
    <row r="244" spans="1:25" ht="18" customHeight="1" x14ac:dyDescent="0.2">
      <c r="A244" s="337"/>
      <c r="B244" s="337"/>
      <c r="C244" s="689"/>
      <c r="D244" s="690"/>
      <c r="E244" s="690"/>
      <c r="F244" s="690"/>
      <c r="G244" s="690"/>
      <c r="H244" s="690"/>
      <c r="I244" s="690"/>
      <c r="J244" s="690"/>
      <c r="K244" s="690"/>
      <c r="L244" s="690"/>
      <c r="M244" s="690"/>
      <c r="N244" s="690"/>
      <c r="O244" s="690"/>
      <c r="P244" s="690"/>
      <c r="Q244" s="690"/>
      <c r="R244" s="690"/>
      <c r="S244" s="690"/>
      <c r="T244" s="690"/>
      <c r="U244" s="690"/>
      <c r="V244" s="690"/>
      <c r="W244" s="690"/>
      <c r="X244" s="690"/>
      <c r="Y244" s="691"/>
    </row>
    <row r="245" spans="1:25" ht="18" customHeight="1" x14ac:dyDescent="0.2">
      <c r="A245" s="337"/>
      <c r="B245" s="337"/>
      <c r="C245" s="689"/>
      <c r="D245" s="690"/>
      <c r="E245" s="690"/>
      <c r="F245" s="690"/>
      <c r="G245" s="690"/>
      <c r="H245" s="690"/>
      <c r="I245" s="690"/>
      <c r="J245" s="690"/>
      <c r="K245" s="690"/>
      <c r="L245" s="690"/>
      <c r="M245" s="690"/>
      <c r="N245" s="690"/>
      <c r="O245" s="690"/>
      <c r="P245" s="690"/>
      <c r="Q245" s="690"/>
      <c r="R245" s="690"/>
      <c r="S245" s="690"/>
      <c r="T245" s="690"/>
      <c r="U245" s="690"/>
      <c r="V245" s="690"/>
      <c r="W245" s="690"/>
      <c r="X245" s="690"/>
      <c r="Y245" s="691"/>
    </row>
    <row r="246" spans="1:25" ht="18" customHeight="1" x14ac:dyDescent="0.2">
      <c r="A246" s="337"/>
      <c r="B246" s="337"/>
      <c r="C246" s="689"/>
      <c r="D246" s="690"/>
      <c r="E246" s="690"/>
      <c r="F246" s="690"/>
      <c r="G246" s="690"/>
      <c r="H246" s="690"/>
      <c r="I246" s="690"/>
      <c r="J246" s="690"/>
      <c r="K246" s="690"/>
      <c r="L246" s="690"/>
      <c r="M246" s="690"/>
      <c r="N246" s="690"/>
      <c r="O246" s="690"/>
      <c r="P246" s="690"/>
      <c r="Q246" s="690"/>
      <c r="R246" s="690"/>
      <c r="S246" s="690"/>
      <c r="T246" s="690"/>
      <c r="U246" s="690"/>
      <c r="V246" s="690"/>
      <c r="W246" s="690"/>
      <c r="X246" s="690"/>
      <c r="Y246" s="691"/>
    </row>
    <row r="247" spans="1:25" ht="18" customHeight="1" x14ac:dyDescent="0.2">
      <c r="A247" s="337"/>
      <c r="B247" s="337"/>
      <c r="C247" s="689"/>
      <c r="D247" s="690"/>
      <c r="E247" s="690"/>
      <c r="F247" s="690"/>
      <c r="G247" s="690"/>
      <c r="H247" s="690"/>
      <c r="I247" s="690"/>
      <c r="J247" s="690"/>
      <c r="K247" s="690"/>
      <c r="L247" s="690"/>
      <c r="M247" s="690"/>
      <c r="N247" s="690"/>
      <c r="O247" s="690"/>
      <c r="P247" s="690"/>
      <c r="Q247" s="690"/>
      <c r="R247" s="690"/>
      <c r="S247" s="690"/>
      <c r="T247" s="690"/>
      <c r="U247" s="690"/>
      <c r="V247" s="690"/>
      <c r="W247" s="690"/>
      <c r="X247" s="690"/>
      <c r="Y247" s="691"/>
    </row>
    <row r="248" spans="1:25" ht="18" customHeight="1" x14ac:dyDescent="0.2">
      <c r="A248" s="337"/>
      <c r="B248" s="337"/>
      <c r="C248" s="689"/>
      <c r="D248" s="690"/>
      <c r="E248" s="690"/>
      <c r="F248" s="690"/>
      <c r="G248" s="690"/>
      <c r="H248" s="690"/>
      <c r="I248" s="690"/>
      <c r="J248" s="690"/>
      <c r="K248" s="690"/>
      <c r="L248" s="690"/>
      <c r="M248" s="690"/>
      <c r="N248" s="690"/>
      <c r="O248" s="690"/>
      <c r="P248" s="690"/>
      <c r="Q248" s="690"/>
      <c r="R248" s="690"/>
      <c r="S248" s="690"/>
      <c r="T248" s="690"/>
      <c r="U248" s="690"/>
      <c r="V248" s="690"/>
      <c r="W248" s="690"/>
      <c r="X248" s="690"/>
      <c r="Y248" s="691"/>
    </row>
    <row r="249" spans="1:25" ht="18" customHeight="1" x14ac:dyDescent="0.2">
      <c r="A249" s="337"/>
      <c r="B249" s="337"/>
      <c r="C249" s="689"/>
      <c r="D249" s="690"/>
      <c r="E249" s="690"/>
      <c r="F249" s="690"/>
      <c r="G249" s="690"/>
      <c r="H249" s="690"/>
      <c r="I249" s="690"/>
      <c r="J249" s="690"/>
      <c r="K249" s="690"/>
      <c r="L249" s="690"/>
      <c r="M249" s="690"/>
      <c r="N249" s="690"/>
      <c r="O249" s="690"/>
      <c r="P249" s="690"/>
      <c r="Q249" s="690"/>
      <c r="R249" s="690"/>
      <c r="S249" s="690"/>
      <c r="T249" s="690"/>
      <c r="U249" s="690"/>
      <c r="V249" s="690"/>
      <c r="W249" s="690"/>
      <c r="X249" s="690"/>
      <c r="Y249" s="691"/>
    </row>
    <row r="250" spans="1:25" ht="18" customHeight="1" x14ac:dyDescent="0.2">
      <c r="A250" s="337"/>
      <c r="B250" s="337"/>
      <c r="C250" s="689"/>
      <c r="D250" s="690"/>
      <c r="E250" s="690"/>
      <c r="F250" s="690"/>
      <c r="G250" s="690"/>
      <c r="H250" s="690"/>
      <c r="I250" s="690"/>
      <c r="J250" s="690"/>
      <c r="K250" s="690"/>
      <c r="L250" s="690"/>
      <c r="M250" s="690"/>
      <c r="N250" s="690"/>
      <c r="O250" s="690"/>
      <c r="P250" s="690"/>
      <c r="Q250" s="690"/>
      <c r="R250" s="690"/>
      <c r="S250" s="690"/>
      <c r="T250" s="690"/>
      <c r="U250" s="690"/>
      <c r="V250" s="690"/>
      <c r="W250" s="690"/>
      <c r="X250" s="690"/>
      <c r="Y250" s="691"/>
    </row>
    <row r="251" spans="1:25" ht="18" customHeight="1" x14ac:dyDescent="0.2">
      <c r="A251" s="337"/>
      <c r="B251" s="337"/>
      <c r="C251" s="689"/>
      <c r="D251" s="690"/>
      <c r="E251" s="690"/>
      <c r="F251" s="690"/>
      <c r="G251" s="690"/>
      <c r="H251" s="690"/>
      <c r="I251" s="690"/>
      <c r="J251" s="690"/>
      <c r="K251" s="690"/>
      <c r="L251" s="690"/>
      <c r="M251" s="690"/>
      <c r="N251" s="690"/>
      <c r="O251" s="690"/>
      <c r="P251" s="690"/>
      <c r="Q251" s="690"/>
      <c r="R251" s="690"/>
      <c r="S251" s="690"/>
      <c r="T251" s="690"/>
      <c r="U251" s="690"/>
      <c r="V251" s="690"/>
      <c r="W251" s="690"/>
      <c r="X251" s="690"/>
      <c r="Y251" s="691"/>
    </row>
    <row r="252" spans="1:25" ht="18" customHeight="1" x14ac:dyDescent="0.2">
      <c r="A252" s="337"/>
      <c r="B252" s="337"/>
      <c r="C252" s="689"/>
      <c r="D252" s="690"/>
      <c r="E252" s="690"/>
      <c r="F252" s="690"/>
      <c r="G252" s="690"/>
      <c r="H252" s="690"/>
      <c r="I252" s="690"/>
      <c r="J252" s="690"/>
      <c r="K252" s="690"/>
      <c r="L252" s="690"/>
      <c r="M252" s="690"/>
      <c r="N252" s="690"/>
      <c r="O252" s="690"/>
      <c r="P252" s="690"/>
      <c r="Q252" s="690"/>
      <c r="R252" s="690"/>
      <c r="S252" s="690"/>
      <c r="T252" s="690"/>
      <c r="U252" s="690"/>
      <c r="V252" s="690"/>
      <c r="W252" s="690"/>
      <c r="X252" s="690"/>
      <c r="Y252" s="691"/>
    </row>
    <row r="253" spans="1:25" ht="18" customHeight="1" x14ac:dyDescent="0.2">
      <c r="A253" s="337"/>
      <c r="B253" s="337"/>
      <c r="C253" s="689"/>
      <c r="D253" s="690"/>
      <c r="E253" s="690"/>
      <c r="F253" s="690"/>
      <c r="G253" s="690"/>
      <c r="H253" s="690"/>
      <c r="I253" s="690"/>
      <c r="J253" s="690"/>
      <c r="K253" s="690"/>
      <c r="L253" s="690"/>
      <c r="M253" s="690"/>
      <c r="N253" s="690"/>
      <c r="O253" s="690"/>
      <c r="P253" s="690"/>
      <c r="Q253" s="690"/>
      <c r="R253" s="690"/>
      <c r="S253" s="690"/>
      <c r="T253" s="690"/>
      <c r="U253" s="690"/>
      <c r="V253" s="690"/>
      <c r="W253" s="690"/>
      <c r="X253" s="690"/>
      <c r="Y253" s="691"/>
    </row>
    <row r="254" spans="1:25" ht="18" customHeight="1" x14ac:dyDescent="0.2">
      <c r="A254" s="337"/>
      <c r="B254" s="337"/>
      <c r="C254" s="689"/>
      <c r="D254" s="690"/>
      <c r="E254" s="690"/>
      <c r="F254" s="690"/>
      <c r="G254" s="690"/>
      <c r="H254" s="690"/>
      <c r="I254" s="690"/>
      <c r="J254" s="690"/>
      <c r="K254" s="690"/>
      <c r="L254" s="690"/>
      <c r="M254" s="690"/>
      <c r="N254" s="690"/>
      <c r="O254" s="690"/>
      <c r="P254" s="690"/>
      <c r="Q254" s="690"/>
      <c r="R254" s="690"/>
      <c r="S254" s="690"/>
      <c r="T254" s="690"/>
      <c r="U254" s="690"/>
      <c r="V254" s="690"/>
      <c r="W254" s="690"/>
      <c r="X254" s="690"/>
      <c r="Y254" s="691"/>
    </row>
    <row r="255" spans="1:25" ht="18" customHeight="1" x14ac:dyDescent="0.2">
      <c r="A255" s="337"/>
      <c r="B255" s="337"/>
      <c r="C255" s="689"/>
      <c r="D255" s="690"/>
      <c r="E255" s="690"/>
      <c r="F255" s="690"/>
      <c r="G255" s="690"/>
      <c r="H255" s="690"/>
      <c r="I255" s="690"/>
      <c r="J255" s="690"/>
      <c r="K255" s="690"/>
      <c r="L255" s="690"/>
      <c r="M255" s="690"/>
      <c r="N255" s="690"/>
      <c r="O255" s="690"/>
      <c r="P255" s="690"/>
      <c r="Q255" s="690"/>
      <c r="R255" s="690"/>
      <c r="S255" s="690"/>
      <c r="T255" s="690"/>
      <c r="U255" s="690"/>
      <c r="V255" s="690"/>
      <c r="W255" s="690"/>
      <c r="X255" s="690"/>
      <c r="Y255" s="691"/>
    </row>
    <row r="256" spans="1:25" ht="18" customHeight="1" x14ac:dyDescent="0.2">
      <c r="A256" s="337"/>
      <c r="B256" s="337"/>
      <c r="C256" s="689"/>
      <c r="D256" s="690"/>
      <c r="E256" s="690"/>
      <c r="F256" s="690"/>
      <c r="G256" s="690"/>
      <c r="H256" s="690"/>
      <c r="I256" s="690"/>
      <c r="J256" s="690"/>
      <c r="K256" s="690"/>
      <c r="L256" s="690"/>
      <c r="M256" s="690"/>
      <c r="N256" s="690"/>
      <c r="O256" s="690"/>
      <c r="P256" s="690"/>
      <c r="Q256" s="690"/>
      <c r="R256" s="690"/>
      <c r="S256" s="690"/>
      <c r="T256" s="690"/>
      <c r="U256" s="690"/>
      <c r="V256" s="690"/>
      <c r="W256" s="690"/>
      <c r="X256" s="690"/>
      <c r="Y256" s="691"/>
    </row>
    <row r="257" spans="1:25" ht="18" customHeight="1" x14ac:dyDescent="0.2">
      <c r="A257" s="337"/>
      <c r="B257" s="337"/>
      <c r="C257" s="689"/>
      <c r="D257" s="690"/>
      <c r="E257" s="690"/>
      <c r="F257" s="690"/>
      <c r="G257" s="690"/>
      <c r="H257" s="690"/>
      <c r="I257" s="690"/>
      <c r="J257" s="690"/>
      <c r="K257" s="690"/>
      <c r="L257" s="690"/>
      <c r="M257" s="690"/>
      <c r="N257" s="690"/>
      <c r="O257" s="690"/>
      <c r="P257" s="690"/>
      <c r="Q257" s="690"/>
      <c r="R257" s="690"/>
      <c r="S257" s="690"/>
      <c r="T257" s="690"/>
      <c r="U257" s="690"/>
      <c r="V257" s="690"/>
      <c r="W257" s="690"/>
      <c r="X257" s="690"/>
      <c r="Y257" s="691"/>
    </row>
    <row r="258" spans="1:25" ht="18" customHeight="1" x14ac:dyDescent="0.2">
      <c r="A258" s="337"/>
      <c r="B258" s="337"/>
      <c r="C258" s="689"/>
      <c r="D258" s="690"/>
      <c r="E258" s="690"/>
      <c r="F258" s="690"/>
      <c r="G258" s="690"/>
      <c r="H258" s="690"/>
      <c r="I258" s="690"/>
      <c r="J258" s="690"/>
      <c r="K258" s="690"/>
      <c r="L258" s="690"/>
      <c r="M258" s="690"/>
      <c r="N258" s="690"/>
      <c r="O258" s="690"/>
      <c r="P258" s="690"/>
      <c r="Q258" s="690"/>
      <c r="R258" s="690"/>
      <c r="S258" s="690"/>
      <c r="T258" s="690"/>
      <c r="U258" s="690"/>
      <c r="V258" s="690"/>
      <c r="W258" s="690"/>
      <c r="X258" s="690"/>
      <c r="Y258" s="691"/>
    </row>
    <row r="259" spans="1:25" ht="18" customHeight="1" x14ac:dyDescent="0.2">
      <c r="A259" s="337"/>
      <c r="B259" s="337"/>
      <c r="C259" s="689"/>
      <c r="D259" s="690"/>
      <c r="E259" s="690"/>
      <c r="F259" s="690"/>
      <c r="G259" s="690"/>
      <c r="H259" s="690"/>
      <c r="I259" s="690"/>
      <c r="J259" s="690"/>
      <c r="K259" s="690"/>
      <c r="L259" s="690"/>
      <c r="M259" s="690"/>
      <c r="N259" s="690"/>
      <c r="O259" s="690"/>
      <c r="P259" s="690"/>
      <c r="Q259" s="690"/>
      <c r="R259" s="690"/>
      <c r="S259" s="690"/>
      <c r="T259" s="690"/>
      <c r="U259" s="690"/>
      <c r="V259" s="690"/>
      <c r="W259" s="690"/>
      <c r="X259" s="690"/>
      <c r="Y259" s="691"/>
    </row>
    <row r="260" spans="1:25" ht="18" customHeight="1" x14ac:dyDescent="0.2">
      <c r="A260" s="337"/>
      <c r="B260" s="337"/>
      <c r="C260" s="689"/>
      <c r="D260" s="690"/>
      <c r="E260" s="690"/>
      <c r="F260" s="690"/>
      <c r="G260" s="690"/>
      <c r="H260" s="690"/>
      <c r="I260" s="690"/>
      <c r="J260" s="690"/>
      <c r="K260" s="690"/>
      <c r="L260" s="690"/>
      <c r="M260" s="690"/>
      <c r="N260" s="690"/>
      <c r="O260" s="690"/>
      <c r="P260" s="690"/>
      <c r="Q260" s="690"/>
      <c r="R260" s="690"/>
      <c r="S260" s="690"/>
      <c r="T260" s="690"/>
      <c r="U260" s="690"/>
      <c r="V260" s="690"/>
      <c r="W260" s="690"/>
      <c r="X260" s="690"/>
      <c r="Y260" s="691"/>
    </row>
    <row r="261" spans="1:25" ht="18" customHeight="1" x14ac:dyDescent="0.2">
      <c r="A261" s="337"/>
      <c r="B261" s="337"/>
      <c r="C261" s="689"/>
      <c r="D261" s="690"/>
      <c r="E261" s="690"/>
      <c r="F261" s="690"/>
      <c r="G261" s="690"/>
      <c r="H261" s="690"/>
      <c r="I261" s="690"/>
      <c r="J261" s="690"/>
      <c r="K261" s="690"/>
      <c r="L261" s="690"/>
      <c r="M261" s="690"/>
      <c r="N261" s="690"/>
      <c r="O261" s="690"/>
      <c r="P261" s="690"/>
      <c r="Q261" s="690"/>
      <c r="R261" s="690"/>
      <c r="S261" s="690"/>
      <c r="T261" s="690"/>
      <c r="U261" s="690"/>
      <c r="V261" s="690"/>
      <c r="W261" s="690"/>
      <c r="X261" s="690"/>
      <c r="Y261" s="691"/>
    </row>
    <row r="262" spans="1:25" ht="18" customHeight="1" x14ac:dyDescent="0.2">
      <c r="A262" s="337"/>
      <c r="B262" s="337"/>
      <c r="C262" s="689"/>
      <c r="D262" s="690"/>
      <c r="E262" s="690"/>
      <c r="F262" s="690"/>
      <c r="G262" s="690"/>
      <c r="H262" s="690"/>
      <c r="I262" s="690"/>
      <c r="J262" s="690"/>
      <c r="K262" s="690"/>
      <c r="L262" s="690"/>
      <c r="M262" s="690"/>
      <c r="N262" s="690"/>
      <c r="O262" s="690"/>
      <c r="P262" s="690"/>
      <c r="Q262" s="690"/>
      <c r="R262" s="690"/>
      <c r="S262" s="690"/>
      <c r="T262" s="690"/>
      <c r="U262" s="690"/>
      <c r="V262" s="690"/>
      <c r="W262" s="690"/>
      <c r="X262" s="690"/>
      <c r="Y262" s="691"/>
    </row>
    <row r="263" spans="1:25" ht="18" customHeight="1" x14ac:dyDescent="0.2">
      <c r="A263" s="337"/>
      <c r="B263" s="337"/>
      <c r="C263" s="689"/>
      <c r="D263" s="690"/>
      <c r="E263" s="690"/>
      <c r="F263" s="690"/>
      <c r="G263" s="690"/>
      <c r="H263" s="690"/>
      <c r="I263" s="690"/>
      <c r="J263" s="690"/>
      <c r="K263" s="690"/>
      <c r="L263" s="690"/>
      <c r="M263" s="690"/>
      <c r="N263" s="690"/>
      <c r="O263" s="690"/>
      <c r="P263" s="690"/>
      <c r="Q263" s="690"/>
      <c r="R263" s="690"/>
      <c r="S263" s="690"/>
      <c r="T263" s="690"/>
      <c r="U263" s="690"/>
      <c r="V263" s="690"/>
      <c r="W263" s="690"/>
      <c r="X263" s="690"/>
      <c r="Y263" s="691"/>
    </row>
    <row r="264" spans="1:25" ht="18" customHeight="1" x14ac:dyDescent="0.2">
      <c r="A264" s="337"/>
      <c r="B264" s="337"/>
      <c r="C264" s="689"/>
      <c r="D264" s="690"/>
      <c r="E264" s="690"/>
      <c r="F264" s="690"/>
      <c r="G264" s="690"/>
      <c r="H264" s="690"/>
      <c r="I264" s="690"/>
      <c r="J264" s="690"/>
      <c r="K264" s="690"/>
      <c r="L264" s="690"/>
      <c r="M264" s="690"/>
      <c r="N264" s="690"/>
      <c r="O264" s="690"/>
      <c r="P264" s="690"/>
      <c r="Q264" s="690"/>
      <c r="R264" s="690"/>
      <c r="S264" s="690"/>
      <c r="T264" s="690"/>
      <c r="U264" s="690"/>
      <c r="V264" s="690"/>
      <c r="W264" s="690"/>
      <c r="X264" s="690"/>
      <c r="Y264" s="691"/>
    </row>
    <row r="265" spans="1:25" ht="18" customHeight="1" x14ac:dyDescent="0.2">
      <c r="A265" s="337"/>
      <c r="B265" s="337"/>
      <c r="C265" s="689"/>
      <c r="D265" s="690"/>
      <c r="E265" s="690"/>
      <c r="F265" s="690"/>
      <c r="G265" s="690"/>
      <c r="H265" s="690"/>
      <c r="I265" s="690"/>
      <c r="J265" s="690"/>
      <c r="K265" s="690"/>
      <c r="L265" s="690"/>
      <c r="M265" s="690"/>
      <c r="N265" s="690"/>
      <c r="O265" s="690"/>
      <c r="P265" s="690"/>
      <c r="Q265" s="690"/>
      <c r="R265" s="690"/>
      <c r="S265" s="690"/>
      <c r="T265" s="690"/>
      <c r="U265" s="690"/>
      <c r="V265" s="690"/>
      <c r="W265" s="690"/>
      <c r="X265" s="690"/>
      <c r="Y265" s="691"/>
    </row>
    <row r="266" spans="1:25" ht="18" customHeight="1" x14ac:dyDescent="0.2">
      <c r="A266" s="337"/>
      <c r="B266" s="337"/>
      <c r="C266" s="689"/>
      <c r="D266" s="690"/>
      <c r="E266" s="690"/>
      <c r="F266" s="690"/>
      <c r="G266" s="690"/>
      <c r="H266" s="690"/>
      <c r="I266" s="690"/>
      <c r="J266" s="690"/>
      <c r="K266" s="690"/>
      <c r="L266" s="690"/>
      <c r="M266" s="690"/>
      <c r="N266" s="690"/>
      <c r="O266" s="690"/>
      <c r="P266" s="690"/>
      <c r="Q266" s="690"/>
      <c r="R266" s="690"/>
      <c r="S266" s="690"/>
      <c r="T266" s="690"/>
      <c r="U266" s="690"/>
      <c r="V266" s="690"/>
      <c r="W266" s="690"/>
      <c r="X266" s="690"/>
      <c r="Y266" s="691"/>
    </row>
    <row r="267" spans="1:25" ht="18" customHeight="1" x14ac:dyDescent="0.2">
      <c r="A267" s="337"/>
      <c r="B267" s="337"/>
      <c r="C267" s="689"/>
      <c r="D267" s="690"/>
      <c r="E267" s="690"/>
      <c r="F267" s="690"/>
      <c r="G267" s="690"/>
      <c r="H267" s="690"/>
      <c r="I267" s="690"/>
      <c r="J267" s="690"/>
      <c r="K267" s="690"/>
      <c r="L267" s="690"/>
      <c r="M267" s="690"/>
      <c r="N267" s="690"/>
      <c r="O267" s="690"/>
      <c r="P267" s="690"/>
      <c r="Q267" s="690"/>
      <c r="R267" s="690"/>
      <c r="S267" s="690"/>
      <c r="T267" s="690"/>
      <c r="U267" s="690"/>
      <c r="V267" s="690"/>
      <c r="W267" s="690"/>
      <c r="X267" s="690"/>
      <c r="Y267" s="691"/>
    </row>
    <row r="268" spans="1:25" ht="18" customHeight="1" x14ac:dyDescent="0.2">
      <c r="A268" s="337"/>
      <c r="B268" s="337"/>
      <c r="C268" s="689"/>
      <c r="D268" s="690"/>
      <c r="E268" s="690"/>
      <c r="F268" s="690"/>
      <c r="G268" s="690"/>
      <c r="H268" s="690"/>
      <c r="I268" s="690"/>
      <c r="J268" s="690"/>
      <c r="K268" s="690"/>
      <c r="L268" s="690"/>
      <c r="M268" s="690"/>
      <c r="N268" s="690"/>
      <c r="O268" s="690"/>
      <c r="P268" s="690"/>
      <c r="Q268" s="690"/>
      <c r="R268" s="690"/>
      <c r="S268" s="690"/>
      <c r="T268" s="690"/>
      <c r="U268" s="690"/>
      <c r="V268" s="690"/>
      <c r="W268" s="690"/>
      <c r="X268" s="690"/>
      <c r="Y268" s="691"/>
    </row>
    <row r="269" spans="1:25" ht="18" customHeight="1" x14ac:dyDescent="0.2">
      <c r="A269" s="337"/>
      <c r="B269" s="337"/>
      <c r="C269" s="689"/>
      <c r="D269" s="690"/>
      <c r="E269" s="690"/>
      <c r="F269" s="690"/>
      <c r="G269" s="690"/>
      <c r="H269" s="690"/>
      <c r="I269" s="690"/>
      <c r="J269" s="690"/>
      <c r="K269" s="690"/>
      <c r="L269" s="690"/>
      <c r="M269" s="690"/>
      <c r="N269" s="690"/>
      <c r="O269" s="690"/>
      <c r="P269" s="690"/>
      <c r="Q269" s="690"/>
      <c r="R269" s="690"/>
      <c r="S269" s="690"/>
      <c r="T269" s="690"/>
      <c r="U269" s="690"/>
      <c r="V269" s="690"/>
      <c r="W269" s="690"/>
      <c r="X269" s="690"/>
      <c r="Y269" s="691"/>
    </row>
    <row r="270" spans="1:25" ht="18" customHeight="1" x14ac:dyDescent="0.2">
      <c r="A270" s="337"/>
      <c r="B270" s="337"/>
      <c r="C270" s="689"/>
      <c r="D270" s="690"/>
      <c r="E270" s="690"/>
      <c r="F270" s="690"/>
      <c r="G270" s="690"/>
      <c r="H270" s="690"/>
      <c r="I270" s="690"/>
      <c r="J270" s="690"/>
      <c r="K270" s="690"/>
      <c r="L270" s="690"/>
      <c r="M270" s="690"/>
      <c r="N270" s="690"/>
      <c r="O270" s="690"/>
      <c r="P270" s="690"/>
      <c r="Q270" s="690"/>
      <c r="R270" s="690"/>
      <c r="S270" s="690"/>
      <c r="T270" s="690"/>
      <c r="U270" s="690"/>
      <c r="V270" s="690"/>
      <c r="W270" s="690"/>
      <c r="X270" s="690"/>
      <c r="Y270" s="691"/>
    </row>
    <row r="271" spans="1:25" ht="18" customHeight="1" x14ac:dyDescent="0.2">
      <c r="A271" s="337"/>
      <c r="B271" s="337"/>
      <c r="C271" s="689"/>
      <c r="D271" s="690"/>
      <c r="E271" s="690"/>
      <c r="F271" s="690"/>
      <c r="G271" s="690"/>
      <c r="H271" s="690"/>
      <c r="I271" s="690"/>
      <c r="J271" s="690"/>
      <c r="K271" s="690"/>
      <c r="L271" s="690"/>
      <c r="M271" s="690"/>
      <c r="N271" s="690"/>
      <c r="O271" s="690"/>
      <c r="P271" s="690"/>
      <c r="Q271" s="690"/>
      <c r="R271" s="690"/>
      <c r="S271" s="690"/>
      <c r="T271" s="690"/>
      <c r="U271" s="690"/>
      <c r="V271" s="690"/>
      <c r="W271" s="690"/>
      <c r="X271" s="690"/>
      <c r="Y271" s="691"/>
    </row>
    <row r="272" spans="1:25" ht="18" customHeight="1" x14ac:dyDescent="0.2">
      <c r="A272" s="337"/>
      <c r="B272" s="337"/>
      <c r="C272" s="689"/>
      <c r="D272" s="690"/>
      <c r="E272" s="690"/>
      <c r="F272" s="690"/>
      <c r="G272" s="690"/>
      <c r="H272" s="690"/>
      <c r="I272" s="690"/>
      <c r="J272" s="690"/>
      <c r="K272" s="690"/>
      <c r="L272" s="690"/>
      <c r="M272" s="690"/>
      <c r="N272" s="690"/>
      <c r="O272" s="690"/>
      <c r="P272" s="690"/>
      <c r="Q272" s="690"/>
      <c r="R272" s="690"/>
      <c r="S272" s="690"/>
      <c r="T272" s="690"/>
      <c r="U272" s="690"/>
      <c r="V272" s="690"/>
      <c r="W272" s="690"/>
      <c r="X272" s="690"/>
      <c r="Y272" s="691"/>
    </row>
    <row r="273" spans="1:25" ht="18" customHeight="1" x14ac:dyDescent="0.2">
      <c r="A273" s="337"/>
      <c r="B273" s="337"/>
      <c r="C273" s="689"/>
      <c r="D273" s="690"/>
      <c r="E273" s="690"/>
      <c r="F273" s="690"/>
      <c r="G273" s="690"/>
      <c r="H273" s="690"/>
      <c r="I273" s="690"/>
      <c r="J273" s="690"/>
      <c r="K273" s="690"/>
      <c r="L273" s="690"/>
      <c r="M273" s="690"/>
      <c r="N273" s="690"/>
      <c r="O273" s="690"/>
      <c r="P273" s="690"/>
      <c r="Q273" s="690"/>
      <c r="R273" s="690"/>
      <c r="S273" s="690"/>
      <c r="T273" s="690"/>
      <c r="U273" s="690"/>
      <c r="V273" s="690"/>
      <c r="W273" s="690"/>
      <c r="X273" s="690"/>
      <c r="Y273" s="691"/>
    </row>
    <row r="274" spans="1:25" ht="18" customHeight="1" x14ac:dyDescent="0.2">
      <c r="A274" s="337"/>
      <c r="B274" s="337"/>
      <c r="C274" s="689"/>
      <c r="D274" s="690"/>
      <c r="E274" s="690"/>
      <c r="F274" s="690"/>
      <c r="G274" s="690"/>
      <c r="H274" s="690"/>
      <c r="I274" s="690"/>
      <c r="J274" s="690"/>
      <c r="K274" s="690"/>
      <c r="L274" s="690"/>
      <c r="M274" s="690"/>
      <c r="N274" s="690"/>
      <c r="O274" s="690"/>
      <c r="P274" s="690"/>
      <c r="Q274" s="690"/>
      <c r="R274" s="690"/>
      <c r="S274" s="690"/>
      <c r="T274" s="690"/>
      <c r="U274" s="690"/>
      <c r="V274" s="690"/>
      <c r="W274" s="690"/>
      <c r="X274" s="690"/>
      <c r="Y274" s="691"/>
    </row>
    <row r="275" spans="1:25" ht="18" customHeight="1" x14ac:dyDescent="0.2">
      <c r="A275" s="337"/>
      <c r="B275" s="337"/>
      <c r="C275" s="689"/>
      <c r="D275" s="690"/>
      <c r="E275" s="690"/>
      <c r="F275" s="690"/>
      <c r="G275" s="690"/>
      <c r="H275" s="690"/>
      <c r="I275" s="690"/>
      <c r="J275" s="690"/>
      <c r="K275" s="690"/>
      <c r="L275" s="690"/>
      <c r="M275" s="690"/>
      <c r="N275" s="690"/>
      <c r="O275" s="690"/>
      <c r="P275" s="690"/>
      <c r="Q275" s="690"/>
      <c r="R275" s="690"/>
      <c r="S275" s="690"/>
      <c r="T275" s="690"/>
      <c r="U275" s="690"/>
      <c r="V275" s="690"/>
      <c r="W275" s="690"/>
      <c r="X275" s="690"/>
      <c r="Y275" s="691"/>
    </row>
    <row r="276" spans="1:25" ht="18" customHeight="1" x14ac:dyDescent="0.2">
      <c r="A276" s="337"/>
      <c r="B276" s="337"/>
      <c r="C276" s="689"/>
      <c r="D276" s="690"/>
      <c r="E276" s="690"/>
      <c r="F276" s="690"/>
      <c r="G276" s="690"/>
      <c r="H276" s="690"/>
      <c r="I276" s="690"/>
      <c r="J276" s="690"/>
      <c r="K276" s="690"/>
      <c r="L276" s="690"/>
      <c r="M276" s="690"/>
      <c r="N276" s="690"/>
      <c r="O276" s="690"/>
      <c r="P276" s="690"/>
      <c r="Q276" s="690"/>
      <c r="R276" s="690"/>
      <c r="S276" s="690"/>
      <c r="T276" s="690"/>
      <c r="U276" s="690"/>
      <c r="V276" s="690"/>
      <c r="W276" s="690"/>
      <c r="X276" s="690"/>
      <c r="Y276" s="691"/>
    </row>
    <row r="277" spans="1:25" ht="18" customHeight="1" x14ac:dyDescent="0.2">
      <c r="A277" s="337"/>
      <c r="B277" s="337"/>
      <c r="C277" s="689"/>
      <c r="D277" s="690"/>
      <c r="E277" s="690"/>
      <c r="F277" s="690"/>
      <c r="G277" s="690"/>
      <c r="H277" s="690"/>
      <c r="I277" s="690"/>
      <c r="J277" s="690"/>
      <c r="K277" s="690"/>
      <c r="L277" s="690"/>
      <c r="M277" s="690"/>
      <c r="N277" s="690"/>
      <c r="O277" s="690"/>
      <c r="P277" s="690"/>
      <c r="Q277" s="690"/>
      <c r="R277" s="690"/>
      <c r="S277" s="690"/>
      <c r="T277" s="690"/>
      <c r="U277" s="690"/>
      <c r="V277" s="690"/>
      <c r="W277" s="690"/>
      <c r="X277" s="690"/>
      <c r="Y277" s="691"/>
    </row>
    <row r="278" spans="1:25" ht="18" customHeight="1" x14ac:dyDescent="0.2">
      <c r="A278" s="337"/>
      <c r="B278" s="337"/>
      <c r="C278" s="689"/>
      <c r="D278" s="690"/>
      <c r="E278" s="690"/>
      <c r="F278" s="690"/>
      <c r="G278" s="690"/>
      <c r="H278" s="690"/>
      <c r="I278" s="690"/>
      <c r="J278" s="690"/>
      <c r="K278" s="690"/>
      <c r="L278" s="690"/>
      <c r="M278" s="690"/>
      <c r="N278" s="690"/>
      <c r="O278" s="690"/>
      <c r="P278" s="690"/>
      <c r="Q278" s="690"/>
      <c r="R278" s="690"/>
      <c r="S278" s="690"/>
      <c r="T278" s="690"/>
      <c r="U278" s="690"/>
      <c r="V278" s="690"/>
      <c r="W278" s="690"/>
      <c r="X278" s="690"/>
      <c r="Y278" s="691"/>
    </row>
    <row r="279" spans="1:25" ht="18" customHeight="1" x14ac:dyDescent="0.2">
      <c r="A279" s="337"/>
      <c r="B279" s="337"/>
      <c r="C279" s="689"/>
      <c r="D279" s="690"/>
      <c r="E279" s="690"/>
      <c r="F279" s="690"/>
      <c r="G279" s="690"/>
      <c r="H279" s="690"/>
      <c r="I279" s="690"/>
      <c r="J279" s="690"/>
      <c r="K279" s="690"/>
      <c r="L279" s="690"/>
      <c r="M279" s="690"/>
      <c r="N279" s="690"/>
      <c r="O279" s="690"/>
      <c r="P279" s="690"/>
      <c r="Q279" s="690"/>
      <c r="R279" s="690"/>
      <c r="S279" s="690"/>
      <c r="T279" s="690"/>
      <c r="U279" s="690"/>
      <c r="V279" s="690"/>
      <c r="W279" s="690"/>
      <c r="X279" s="690"/>
      <c r="Y279" s="691"/>
    </row>
    <row r="280" spans="1:25" ht="18" customHeight="1" x14ac:dyDescent="0.2">
      <c r="A280" s="337"/>
      <c r="B280" s="337"/>
      <c r="C280" s="689"/>
      <c r="D280" s="690"/>
      <c r="E280" s="690"/>
      <c r="F280" s="690"/>
      <c r="G280" s="690"/>
      <c r="H280" s="690"/>
      <c r="I280" s="690"/>
      <c r="J280" s="690"/>
      <c r="K280" s="690"/>
      <c r="L280" s="690"/>
      <c r="M280" s="690"/>
      <c r="N280" s="690"/>
      <c r="O280" s="690"/>
      <c r="P280" s="690"/>
      <c r="Q280" s="690"/>
      <c r="R280" s="690"/>
      <c r="S280" s="690"/>
      <c r="T280" s="690"/>
      <c r="U280" s="690"/>
      <c r="V280" s="690"/>
      <c r="W280" s="690"/>
      <c r="X280" s="690"/>
      <c r="Y280" s="691"/>
    </row>
    <row r="281" spans="1:25" ht="18" customHeight="1" x14ac:dyDescent="0.2">
      <c r="A281" s="337"/>
      <c r="B281" s="337"/>
      <c r="C281" s="689"/>
      <c r="D281" s="690"/>
      <c r="E281" s="690"/>
      <c r="F281" s="690"/>
      <c r="G281" s="690"/>
      <c r="H281" s="690"/>
      <c r="I281" s="690"/>
      <c r="J281" s="690"/>
      <c r="K281" s="690"/>
      <c r="L281" s="690"/>
      <c r="M281" s="690"/>
      <c r="N281" s="690"/>
      <c r="O281" s="690"/>
      <c r="P281" s="690"/>
      <c r="Q281" s="690"/>
      <c r="R281" s="690"/>
      <c r="S281" s="690"/>
      <c r="T281" s="690"/>
      <c r="U281" s="690"/>
      <c r="V281" s="690"/>
      <c r="W281" s="690"/>
      <c r="X281" s="690"/>
      <c r="Y281" s="691"/>
    </row>
    <row r="282" spans="1:25" ht="18" customHeight="1" x14ac:dyDescent="0.2">
      <c r="A282" s="337"/>
      <c r="B282" s="337"/>
      <c r="C282" s="689"/>
      <c r="D282" s="690"/>
      <c r="E282" s="690"/>
      <c r="F282" s="690"/>
      <c r="G282" s="690"/>
      <c r="H282" s="690"/>
      <c r="I282" s="690"/>
      <c r="J282" s="690"/>
      <c r="K282" s="690"/>
      <c r="L282" s="690"/>
      <c r="M282" s="690"/>
      <c r="N282" s="690"/>
      <c r="O282" s="690"/>
      <c r="P282" s="690"/>
      <c r="Q282" s="690"/>
      <c r="R282" s="690"/>
      <c r="S282" s="690"/>
      <c r="T282" s="690"/>
      <c r="U282" s="690"/>
      <c r="V282" s="690"/>
      <c r="W282" s="690"/>
      <c r="X282" s="690"/>
      <c r="Y282" s="691"/>
    </row>
    <row r="283" spans="1:25" ht="18" customHeight="1" x14ac:dyDescent="0.2">
      <c r="A283" s="337"/>
      <c r="B283" s="337"/>
      <c r="C283" s="689"/>
      <c r="D283" s="690"/>
      <c r="E283" s="690"/>
      <c r="F283" s="690"/>
      <c r="G283" s="690"/>
      <c r="H283" s="690"/>
      <c r="I283" s="690"/>
      <c r="J283" s="690"/>
      <c r="K283" s="690"/>
      <c r="L283" s="690"/>
      <c r="M283" s="690"/>
      <c r="N283" s="690"/>
      <c r="O283" s="690"/>
      <c r="P283" s="690"/>
      <c r="Q283" s="690"/>
      <c r="R283" s="690"/>
      <c r="S283" s="690"/>
      <c r="T283" s="690"/>
      <c r="U283" s="690"/>
      <c r="V283" s="690"/>
      <c r="W283" s="690"/>
      <c r="X283" s="690"/>
      <c r="Y283" s="691"/>
    </row>
    <row r="284" spans="1:25" ht="18" customHeight="1" x14ac:dyDescent="0.2">
      <c r="A284" s="337"/>
      <c r="B284" s="337"/>
      <c r="C284" s="689"/>
      <c r="D284" s="690"/>
      <c r="E284" s="690"/>
      <c r="F284" s="690"/>
      <c r="G284" s="690"/>
      <c r="H284" s="690"/>
      <c r="I284" s="690"/>
      <c r="J284" s="690"/>
      <c r="K284" s="690"/>
      <c r="L284" s="690"/>
      <c r="M284" s="690"/>
      <c r="N284" s="690"/>
      <c r="O284" s="690"/>
      <c r="P284" s="690"/>
      <c r="Q284" s="690"/>
      <c r="R284" s="690"/>
      <c r="S284" s="690"/>
      <c r="T284" s="690"/>
      <c r="U284" s="690"/>
      <c r="V284" s="690"/>
      <c r="W284" s="690"/>
      <c r="X284" s="690"/>
      <c r="Y284" s="691"/>
    </row>
    <row r="285" spans="1:25" ht="18" customHeight="1" x14ac:dyDescent="0.2">
      <c r="A285" s="337"/>
      <c r="B285" s="337"/>
      <c r="C285" s="689"/>
      <c r="D285" s="690"/>
      <c r="E285" s="690"/>
      <c r="F285" s="690"/>
      <c r="G285" s="690"/>
      <c r="H285" s="690"/>
      <c r="I285" s="690"/>
      <c r="J285" s="690"/>
      <c r="K285" s="690"/>
      <c r="L285" s="690"/>
      <c r="M285" s="690"/>
      <c r="N285" s="690"/>
      <c r="O285" s="690"/>
      <c r="P285" s="690"/>
      <c r="Q285" s="690"/>
      <c r="R285" s="690"/>
      <c r="S285" s="690"/>
      <c r="T285" s="690"/>
      <c r="U285" s="690"/>
      <c r="V285" s="690"/>
      <c r="W285" s="690"/>
      <c r="X285" s="690"/>
      <c r="Y285" s="691"/>
    </row>
    <row r="286" spans="1:25" ht="18" customHeight="1" x14ac:dyDescent="0.2">
      <c r="A286" s="337"/>
      <c r="B286" s="337"/>
      <c r="C286" s="689"/>
      <c r="D286" s="690"/>
      <c r="E286" s="690"/>
      <c r="F286" s="690"/>
      <c r="G286" s="690"/>
      <c r="H286" s="690"/>
      <c r="I286" s="690"/>
      <c r="J286" s="690"/>
      <c r="K286" s="690"/>
      <c r="L286" s="690"/>
      <c r="M286" s="690"/>
      <c r="N286" s="690"/>
      <c r="O286" s="690"/>
      <c r="P286" s="690"/>
      <c r="Q286" s="690"/>
      <c r="R286" s="690"/>
      <c r="S286" s="690"/>
      <c r="T286" s="690"/>
      <c r="U286" s="690"/>
      <c r="V286" s="690"/>
      <c r="W286" s="690"/>
      <c r="X286" s="690"/>
      <c r="Y286" s="691"/>
    </row>
    <row r="287" spans="1:25" ht="18" customHeight="1" x14ac:dyDescent="0.2">
      <c r="A287" s="337"/>
      <c r="B287" s="337"/>
      <c r="C287" s="692"/>
      <c r="D287" s="693"/>
      <c r="E287" s="693"/>
      <c r="F287" s="693"/>
      <c r="G287" s="693"/>
      <c r="H287" s="693"/>
      <c r="I287" s="693"/>
      <c r="J287" s="693"/>
      <c r="K287" s="693"/>
      <c r="L287" s="693"/>
      <c r="M287" s="693"/>
      <c r="N287" s="693"/>
      <c r="O287" s="693"/>
      <c r="P287" s="693"/>
      <c r="Q287" s="693"/>
      <c r="R287" s="693"/>
      <c r="S287" s="693"/>
      <c r="T287" s="693"/>
      <c r="U287" s="693"/>
      <c r="V287" s="693"/>
      <c r="W287" s="693"/>
      <c r="X287" s="693"/>
      <c r="Y287" s="694"/>
    </row>
    <row r="288" spans="1:25" ht="18" customHeight="1" x14ac:dyDescent="0.2">
      <c r="A288" s="337"/>
      <c r="B288" s="337"/>
      <c r="C288" s="356"/>
      <c r="D288" s="373"/>
      <c r="E288" s="390"/>
      <c r="F288" s="357" t="s">
        <v>367</v>
      </c>
      <c r="G288" s="536"/>
      <c r="H288" s="538"/>
      <c r="I288" s="337"/>
      <c r="J288" s="337"/>
      <c r="K288" s="337"/>
      <c r="L288" s="337"/>
      <c r="M288" s="337"/>
      <c r="N288" s="337"/>
      <c r="O288" s="337"/>
    </row>
    <row r="289" spans="1:25" ht="18" customHeight="1" x14ac:dyDescent="0.2">
      <c r="A289" s="337"/>
      <c r="B289" s="337"/>
      <c r="C289" s="345"/>
      <c r="D289" s="391"/>
      <c r="E289" s="391"/>
      <c r="F289" s="391"/>
      <c r="G289" s="347"/>
      <c r="H289" s="347"/>
      <c r="O289" s="337"/>
    </row>
    <row r="290" spans="1:25" ht="18" customHeight="1" x14ac:dyDescent="0.2">
      <c r="A290" s="337"/>
      <c r="B290" s="337"/>
      <c r="C290" s="345"/>
      <c r="D290" s="391"/>
      <c r="E290" s="391"/>
      <c r="F290" s="391"/>
      <c r="G290" s="347"/>
      <c r="H290" s="347"/>
      <c r="O290" s="337"/>
    </row>
    <row r="291" spans="1:25" ht="18" customHeight="1" x14ac:dyDescent="0.2">
      <c r="A291" s="337"/>
      <c r="B291" s="337"/>
      <c r="C291" s="581" t="s">
        <v>293</v>
      </c>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row>
    <row r="292" spans="1:25" ht="18" customHeight="1" x14ac:dyDescent="0.2">
      <c r="A292" s="337"/>
      <c r="B292" s="337"/>
      <c r="C292" s="337"/>
      <c r="D292" s="337"/>
      <c r="E292" s="337"/>
      <c r="F292" s="337"/>
      <c r="G292" s="337"/>
      <c r="H292" s="337"/>
      <c r="I292" s="337"/>
      <c r="J292" s="337"/>
      <c r="K292" s="386"/>
      <c r="L292" s="386"/>
      <c r="M292" s="337"/>
      <c r="N292" s="386"/>
      <c r="O292" s="380"/>
      <c r="S292" s="353" t="s">
        <v>247</v>
      </c>
      <c r="T292" s="578"/>
      <c r="U292" s="578"/>
      <c r="V292" s="578"/>
      <c r="W292" s="578"/>
      <c r="X292" s="591" t="s">
        <v>111</v>
      </c>
      <c r="Y292" s="591"/>
    </row>
    <row r="293" spans="1:25" ht="18" customHeight="1" x14ac:dyDescent="0.2">
      <c r="A293" s="337"/>
      <c r="B293" s="337"/>
      <c r="C293" s="345"/>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row>
    <row r="294" spans="1:25" ht="18" customHeight="1" x14ac:dyDescent="0.2">
      <c r="A294" s="337"/>
      <c r="B294" s="337"/>
      <c r="C294" s="345"/>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row>
    <row r="295" spans="1:25" ht="18" customHeight="1" x14ac:dyDescent="0.2">
      <c r="A295" s="337"/>
      <c r="B295" s="337"/>
      <c r="C295" s="592" t="s">
        <v>294</v>
      </c>
      <c r="D295" s="592"/>
      <c r="E295" s="592"/>
      <c r="F295" s="592"/>
      <c r="G295" s="592"/>
      <c r="H295" s="592"/>
      <c r="I295" s="592"/>
      <c r="J295" s="592"/>
      <c r="K295" s="592"/>
      <c r="L295" s="592"/>
      <c r="M295" s="592"/>
      <c r="N295" s="592"/>
      <c r="O295" s="592"/>
      <c r="P295" s="592"/>
      <c r="Q295" s="592"/>
      <c r="R295" s="592"/>
      <c r="S295" s="592"/>
      <c r="T295" s="592"/>
      <c r="U295" s="592"/>
      <c r="V295" s="592"/>
      <c r="W295" s="592"/>
      <c r="X295" s="592"/>
      <c r="Y295" s="592"/>
    </row>
    <row r="296" spans="1:25" ht="18" customHeight="1" thickBot="1" x14ac:dyDescent="0.25">
      <c r="A296" s="337"/>
      <c r="B296" s="337"/>
      <c r="C296" s="337"/>
      <c r="D296" s="337"/>
      <c r="E296" s="337"/>
      <c r="F296" s="337"/>
      <c r="G296" s="337"/>
      <c r="H296" s="337"/>
      <c r="I296" s="337"/>
      <c r="J296" s="337"/>
      <c r="K296" s="368"/>
      <c r="L296" s="368"/>
      <c r="M296" s="368"/>
      <c r="N296" s="386"/>
      <c r="O296" s="380"/>
      <c r="S296" s="353" t="s">
        <v>248</v>
      </c>
      <c r="T296" s="590"/>
      <c r="U296" s="590"/>
      <c r="V296" s="590"/>
      <c r="W296" s="590"/>
      <c r="X296" s="591" t="s">
        <v>118</v>
      </c>
      <c r="Y296" s="591"/>
    </row>
    <row r="297" spans="1:25" ht="18" customHeight="1" thickBot="1" x14ac:dyDescent="0.25">
      <c r="A297" s="337"/>
      <c r="B297" s="337"/>
      <c r="C297" s="345"/>
      <c r="D297" s="391"/>
      <c r="E297" s="391"/>
      <c r="F297" s="391"/>
      <c r="G297" s="347"/>
      <c r="H297" s="347"/>
      <c r="O297" s="337"/>
      <c r="T297" s="392"/>
      <c r="U297" s="393"/>
      <c r="V297" s="393"/>
      <c r="W297" s="377" t="str">
        <f>CONCATENATE(IF($T$296&gt;100,"La proportion de la zone tampon occupée par un couvert végétal permanent ne peut pas être supérieure à 100%. ",""),IF(AND($T$292=0,$T$296&lt;&gt;""),"En l'absence de zone tampon, aucune valeur à octroyer en réponse à cette question.",""))</f>
        <v/>
      </c>
    </row>
    <row r="298" spans="1:25" ht="18" customHeight="1" x14ac:dyDescent="0.2">
      <c r="A298" s="337"/>
      <c r="B298" s="337"/>
      <c r="C298" s="345"/>
      <c r="D298" s="391"/>
      <c r="E298" s="391"/>
      <c r="F298" s="391"/>
      <c r="G298" s="347"/>
      <c r="H298" s="347"/>
      <c r="O298" s="337"/>
      <c r="T298" s="382"/>
      <c r="U298" s="382"/>
      <c r="V298" s="382"/>
      <c r="W298" s="378"/>
    </row>
    <row r="299" spans="1:25" ht="18" customHeight="1" x14ac:dyDescent="0.2">
      <c r="A299" s="337"/>
      <c r="B299" s="337"/>
      <c r="C299" s="345"/>
      <c r="D299" s="391"/>
      <c r="E299" s="391"/>
      <c r="F299" s="391"/>
      <c r="G299" s="347"/>
      <c r="H299" s="347"/>
      <c r="O299" s="337"/>
      <c r="T299" s="382"/>
      <c r="U299" s="382"/>
      <c r="V299" s="382"/>
      <c r="W299" s="378"/>
    </row>
    <row r="300" spans="1:25" ht="33.75" customHeight="1" x14ac:dyDescent="0.2">
      <c r="A300" s="337"/>
      <c r="B300" s="337"/>
      <c r="C300" s="341" t="s">
        <v>401</v>
      </c>
      <c r="D300" s="695" t="s">
        <v>49</v>
      </c>
      <c r="E300" s="696"/>
      <c r="F300" s="696"/>
      <c r="G300" s="696"/>
      <c r="H300" s="696"/>
      <c r="I300" s="696"/>
      <c r="J300" s="696"/>
      <c r="K300" s="696"/>
      <c r="L300" s="696"/>
      <c r="M300" s="696"/>
      <c r="N300" s="696"/>
      <c r="O300" s="696"/>
      <c r="P300" s="696"/>
      <c r="Q300" s="696"/>
      <c r="R300" s="696"/>
      <c r="S300" s="696"/>
      <c r="T300" s="696"/>
      <c r="U300" s="696"/>
      <c r="V300" s="696"/>
      <c r="W300" s="696"/>
      <c r="X300" s="696"/>
      <c r="Y300" s="697"/>
    </row>
    <row r="301" spans="1:25" s="347" customFormat="1" ht="18" customHeight="1" x14ac:dyDescent="0.2">
      <c r="A301" s="346"/>
      <c r="B301" s="346"/>
      <c r="C301" s="517"/>
      <c r="D301" s="517"/>
      <c r="E301" s="517"/>
      <c r="F301" s="517"/>
      <c r="G301" s="517"/>
      <c r="H301" s="517"/>
      <c r="I301" s="517"/>
      <c r="J301" s="517"/>
      <c r="K301" s="517"/>
      <c r="L301" s="517"/>
      <c r="M301" s="517"/>
      <c r="N301" s="517"/>
      <c r="O301" s="517"/>
      <c r="P301" s="517"/>
      <c r="Q301" s="517"/>
      <c r="R301" s="517"/>
      <c r="S301" s="517"/>
      <c r="T301" s="517"/>
      <c r="U301" s="517"/>
      <c r="V301" s="517"/>
      <c r="W301" s="517"/>
      <c r="X301" s="517"/>
      <c r="Y301" s="517"/>
    </row>
    <row r="302" spans="1:25" ht="18" customHeight="1" x14ac:dyDescent="0.2">
      <c r="A302" s="337"/>
      <c r="B302" s="337"/>
      <c r="C302" s="581" t="s">
        <v>295</v>
      </c>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row>
    <row r="303" spans="1:25" ht="18" customHeight="1" x14ac:dyDescent="0.2">
      <c r="A303" s="337"/>
      <c r="B303" s="337"/>
      <c r="C303" s="684" t="s">
        <v>249</v>
      </c>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row>
    <row r="304" spans="1:25" ht="18" customHeight="1" x14ac:dyDescent="0.2">
      <c r="A304" s="337"/>
      <c r="B304" s="337"/>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row>
    <row r="305" spans="1:25" ht="18" customHeight="1" x14ac:dyDescent="0.2">
      <c r="A305" s="337"/>
      <c r="B305" s="337"/>
      <c r="C305" s="686"/>
      <c r="D305" s="687"/>
      <c r="E305" s="687"/>
      <c r="F305" s="687"/>
      <c r="G305" s="687"/>
      <c r="H305" s="687"/>
      <c r="I305" s="687"/>
      <c r="J305" s="687"/>
      <c r="K305" s="687"/>
      <c r="L305" s="687"/>
      <c r="M305" s="687"/>
      <c r="N305" s="687"/>
      <c r="O305" s="687"/>
      <c r="P305" s="687"/>
      <c r="Q305" s="687"/>
      <c r="R305" s="687"/>
      <c r="S305" s="687"/>
      <c r="T305" s="687"/>
      <c r="U305" s="687"/>
      <c r="V305" s="687"/>
      <c r="W305" s="687"/>
      <c r="X305" s="687"/>
      <c r="Y305" s="688"/>
    </row>
    <row r="306" spans="1:25" ht="18" customHeight="1" x14ac:dyDescent="0.2">
      <c r="A306" s="337"/>
      <c r="B306" s="337"/>
      <c r="C306" s="689"/>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1"/>
    </row>
    <row r="307" spans="1:25" ht="18" customHeight="1" x14ac:dyDescent="0.2">
      <c r="A307" s="337"/>
      <c r="B307" s="337"/>
      <c r="C307" s="689"/>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1"/>
    </row>
    <row r="308" spans="1:25" ht="18" customHeight="1" x14ac:dyDescent="0.2">
      <c r="A308" s="337"/>
      <c r="B308" s="337"/>
      <c r="C308" s="689"/>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1"/>
    </row>
    <row r="309" spans="1:25" ht="18" customHeight="1" x14ac:dyDescent="0.2">
      <c r="A309" s="337"/>
      <c r="B309" s="337"/>
      <c r="C309" s="689"/>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1"/>
    </row>
    <row r="310" spans="1:25" ht="18" customHeight="1" x14ac:dyDescent="0.2">
      <c r="A310" s="337"/>
      <c r="B310" s="337"/>
      <c r="C310" s="689"/>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1"/>
    </row>
    <row r="311" spans="1:25" ht="18" customHeight="1" x14ac:dyDescent="0.2">
      <c r="A311" s="337"/>
      <c r="B311" s="337"/>
      <c r="C311" s="689"/>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1"/>
    </row>
    <row r="312" spans="1:25" ht="18" customHeight="1" x14ac:dyDescent="0.2">
      <c r="A312" s="337"/>
      <c r="B312" s="337"/>
      <c r="C312" s="689"/>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1"/>
    </row>
    <row r="313" spans="1:25" ht="18" customHeight="1" x14ac:dyDescent="0.2">
      <c r="A313" s="337"/>
      <c r="B313" s="337"/>
      <c r="C313" s="689"/>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1"/>
    </row>
    <row r="314" spans="1:25" ht="18" customHeight="1" x14ac:dyDescent="0.2">
      <c r="A314" s="337"/>
      <c r="B314" s="337"/>
      <c r="C314" s="689"/>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1"/>
    </row>
    <row r="315" spans="1:25" ht="18" customHeight="1" x14ac:dyDescent="0.2">
      <c r="A315" s="337"/>
      <c r="B315" s="337"/>
      <c r="C315" s="689"/>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1"/>
    </row>
    <row r="316" spans="1:25" ht="18" customHeight="1" x14ac:dyDescent="0.2">
      <c r="A316" s="337"/>
      <c r="B316" s="337"/>
      <c r="C316" s="689"/>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1"/>
    </row>
    <row r="317" spans="1:25" ht="18" customHeight="1" x14ac:dyDescent="0.2">
      <c r="A317" s="337"/>
      <c r="B317" s="337"/>
      <c r="C317" s="689"/>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1"/>
    </row>
    <row r="318" spans="1:25" ht="18" customHeight="1" x14ac:dyDescent="0.2">
      <c r="A318" s="337"/>
      <c r="B318" s="337"/>
      <c r="C318" s="689"/>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1"/>
    </row>
    <row r="319" spans="1:25" ht="18" customHeight="1" x14ac:dyDescent="0.2">
      <c r="A319" s="337"/>
      <c r="B319" s="337"/>
      <c r="C319" s="689"/>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1"/>
    </row>
    <row r="320" spans="1:25" ht="18" customHeight="1" x14ac:dyDescent="0.2">
      <c r="A320" s="337"/>
      <c r="B320" s="337"/>
      <c r="C320" s="689"/>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1"/>
    </row>
    <row r="321" spans="1:25" ht="18" customHeight="1" x14ac:dyDescent="0.2">
      <c r="A321" s="337"/>
      <c r="B321" s="337"/>
      <c r="C321" s="689"/>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1"/>
    </row>
    <row r="322" spans="1:25" ht="18" customHeight="1" x14ac:dyDescent="0.2">
      <c r="A322" s="337"/>
      <c r="B322" s="337"/>
      <c r="C322" s="689"/>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1"/>
    </row>
    <row r="323" spans="1:25" ht="18" customHeight="1" x14ac:dyDescent="0.2">
      <c r="A323" s="337"/>
      <c r="B323" s="337"/>
      <c r="C323" s="689"/>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1"/>
    </row>
    <row r="324" spans="1:25" ht="18" customHeight="1" x14ac:dyDescent="0.2">
      <c r="A324" s="337"/>
      <c r="B324" s="337"/>
      <c r="C324" s="689"/>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1"/>
    </row>
    <row r="325" spans="1:25" ht="18" customHeight="1" x14ac:dyDescent="0.2">
      <c r="A325" s="337"/>
      <c r="B325" s="337"/>
      <c r="C325" s="689"/>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1"/>
    </row>
    <row r="326" spans="1:25" ht="18" customHeight="1" x14ac:dyDescent="0.2">
      <c r="A326" s="337"/>
      <c r="B326" s="337"/>
      <c r="C326" s="689"/>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1"/>
    </row>
    <row r="327" spans="1:25" ht="18" customHeight="1" x14ac:dyDescent="0.2">
      <c r="A327" s="337"/>
      <c r="B327" s="337"/>
      <c r="C327" s="689"/>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1"/>
    </row>
    <row r="328" spans="1:25" ht="18" customHeight="1" x14ac:dyDescent="0.2">
      <c r="A328" s="337"/>
      <c r="B328" s="337"/>
      <c r="C328" s="689"/>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1"/>
    </row>
    <row r="329" spans="1:25" ht="18" customHeight="1" x14ac:dyDescent="0.2">
      <c r="A329" s="337"/>
      <c r="B329" s="337"/>
      <c r="C329" s="689"/>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1"/>
    </row>
    <row r="330" spans="1:25" ht="18" customHeight="1" x14ac:dyDescent="0.2">
      <c r="A330" s="337"/>
      <c r="B330" s="337"/>
      <c r="C330" s="689"/>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1"/>
    </row>
    <row r="331" spans="1:25" ht="18" customHeight="1" x14ac:dyDescent="0.2">
      <c r="A331" s="337"/>
      <c r="B331" s="337"/>
      <c r="C331" s="689"/>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1"/>
    </row>
    <row r="332" spans="1:25" ht="18" customHeight="1" x14ac:dyDescent="0.2">
      <c r="A332" s="337"/>
      <c r="B332" s="337"/>
      <c r="C332" s="689"/>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1"/>
    </row>
    <row r="333" spans="1:25" ht="18" customHeight="1" x14ac:dyDescent="0.2">
      <c r="A333" s="337"/>
      <c r="B333" s="337"/>
      <c r="C333" s="689"/>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1"/>
    </row>
    <row r="334" spans="1:25" ht="18" customHeight="1" x14ac:dyDescent="0.2">
      <c r="A334" s="337"/>
      <c r="B334" s="337"/>
      <c r="C334" s="689"/>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1"/>
    </row>
    <row r="335" spans="1:25" ht="18" customHeight="1" x14ac:dyDescent="0.2">
      <c r="A335" s="337"/>
      <c r="B335" s="337"/>
      <c r="C335" s="689"/>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1"/>
    </row>
    <row r="336" spans="1:25" ht="18" customHeight="1" x14ac:dyDescent="0.2">
      <c r="A336" s="337"/>
      <c r="B336" s="337"/>
      <c r="C336" s="689"/>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1"/>
    </row>
    <row r="337" spans="1:25" ht="18" customHeight="1" x14ac:dyDescent="0.2">
      <c r="A337" s="337"/>
      <c r="B337" s="337"/>
      <c r="C337" s="689"/>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1"/>
    </row>
    <row r="338" spans="1:25" ht="18" customHeight="1" x14ac:dyDescent="0.2">
      <c r="A338" s="337"/>
      <c r="B338" s="337"/>
      <c r="C338" s="689"/>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1"/>
    </row>
    <row r="339" spans="1:25" ht="18" customHeight="1" x14ac:dyDescent="0.2">
      <c r="A339" s="337"/>
      <c r="B339" s="337"/>
      <c r="C339" s="689"/>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1"/>
    </row>
    <row r="340" spans="1:25" ht="18" customHeight="1" x14ac:dyDescent="0.2">
      <c r="A340" s="337"/>
      <c r="B340" s="337"/>
      <c r="C340" s="689"/>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1"/>
    </row>
    <row r="341" spans="1:25" ht="18" customHeight="1" x14ac:dyDescent="0.2">
      <c r="A341" s="337"/>
      <c r="B341" s="337"/>
      <c r="C341" s="689"/>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1"/>
    </row>
    <row r="342" spans="1:25" ht="18" customHeight="1" x14ac:dyDescent="0.2">
      <c r="A342" s="337"/>
      <c r="B342" s="337"/>
      <c r="C342" s="689"/>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1"/>
    </row>
    <row r="343" spans="1:25" ht="18" customHeight="1" x14ac:dyDescent="0.2">
      <c r="A343" s="337"/>
      <c r="B343" s="337"/>
      <c r="C343" s="689"/>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1"/>
    </row>
    <row r="344" spans="1:25" ht="18" customHeight="1" x14ac:dyDescent="0.2">
      <c r="A344" s="337"/>
      <c r="B344" s="337"/>
      <c r="C344" s="689"/>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1"/>
    </row>
    <row r="345" spans="1:25" ht="18" customHeight="1" x14ac:dyDescent="0.2">
      <c r="A345" s="337"/>
      <c r="B345" s="337"/>
      <c r="C345" s="689"/>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1"/>
    </row>
    <row r="346" spans="1:25" ht="18" customHeight="1" x14ac:dyDescent="0.2">
      <c r="A346" s="337"/>
      <c r="B346" s="337"/>
      <c r="C346" s="689"/>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1"/>
    </row>
    <row r="347" spans="1:25" ht="18" customHeight="1" x14ac:dyDescent="0.2">
      <c r="A347" s="337"/>
      <c r="B347" s="337"/>
      <c r="C347" s="689"/>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1"/>
    </row>
    <row r="348" spans="1:25" ht="18" customHeight="1" x14ac:dyDescent="0.2">
      <c r="A348" s="337"/>
      <c r="B348" s="337"/>
      <c r="C348" s="689"/>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1"/>
    </row>
    <row r="349" spans="1:25" ht="18" customHeight="1" x14ac:dyDescent="0.2">
      <c r="A349" s="337"/>
      <c r="B349" s="337"/>
      <c r="C349" s="689"/>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1"/>
    </row>
    <row r="350" spans="1:25" ht="18" customHeight="1" x14ac:dyDescent="0.2">
      <c r="A350" s="337"/>
      <c r="B350" s="337"/>
      <c r="C350" s="689"/>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1"/>
    </row>
    <row r="351" spans="1:25" ht="18" customHeight="1" x14ac:dyDescent="0.2">
      <c r="A351" s="337"/>
      <c r="B351" s="337"/>
      <c r="C351" s="692"/>
      <c r="D351" s="693"/>
      <c r="E351" s="693"/>
      <c r="F351" s="693"/>
      <c r="G351" s="693"/>
      <c r="H351" s="693"/>
      <c r="I351" s="693"/>
      <c r="J351" s="693"/>
      <c r="K351" s="693"/>
      <c r="L351" s="693"/>
      <c r="M351" s="693"/>
      <c r="N351" s="693"/>
      <c r="O351" s="693"/>
      <c r="P351" s="693"/>
      <c r="Q351" s="693"/>
      <c r="R351" s="693"/>
      <c r="S351" s="693"/>
      <c r="T351" s="693"/>
      <c r="U351" s="693"/>
      <c r="V351" s="693"/>
      <c r="W351" s="693"/>
      <c r="X351" s="693"/>
      <c r="Y351" s="694"/>
    </row>
    <row r="352" spans="1:25" ht="18" customHeight="1" x14ac:dyDescent="0.2">
      <c r="A352" s="337"/>
      <c r="B352" s="337"/>
      <c r="C352" s="346"/>
      <c r="D352" s="373"/>
      <c r="E352" s="365"/>
      <c r="F352" s="362" t="s">
        <v>363</v>
      </c>
      <c r="G352" s="536"/>
      <c r="H352" s="538"/>
      <c r="I352" s="337"/>
      <c r="J352" s="337"/>
      <c r="K352" s="337"/>
      <c r="L352" s="337"/>
      <c r="M352" s="337"/>
      <c r="N352" s="337"/>
      <c r="O352" s="337"/>
    </row>
    <row r="353" spans="1:25" ht="18" customHeight="1" x14ac:dyDescent="0.2">
      <c r="A353" s="337"/>
      <c r="B353" s="337"/>
      <c r="C353" s="345"/>
      <c r="D353" s="337"/>
      <c r="E353" s="337"/>
      <c r="F353" s="337"/>
      <c r="G353" s="337"/>
      <c r="H353" s="337"/>
      <c r="I353" s="337"/>
      <c r="J353" s="337"/>
      <c r="K353" s="337"/>
      <c r="L353" s="337"/>
      <c r="M353" s="337"/>
      <c r="N353" s="337"/>
      <c r="O353" s="337"/>
    </row>
    <row r="354" spans="1:25" ht="18" customHeight="1" x14ac:dyDescent="0.2">
      <c r="A354" s="337"/>
      <c r="B354" s="337"/>
      <c r="C354" s="345"/>
      <c r="D354" s="337"/>
      <c r="E354" s="337"/>
      <c r="F354" s="337"/>
      <c r="G354" s="337"/>
      <c r="H354" s="337"/>
      <c r="I354" s="337"/>
      <c r="J354" s="337"/>
      <c r="K354" s="337"/>
      <c r="L354" s="337"/>
      <c r="M354" s="337"/>
      <c r="N354" s="337"/>
      <c r="O354" s="337"/>
    </row>
    <row r="355" spans="1:25" ht="18" customHeight="1" x14ac:dyDescent="0.2">
      <c r="A355" s="337"/>
      <c r="B355" s="337"/>
      <c r="C355" s="581" t="s">
        <v>296</v>
      </c>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row>
    <row r="356" spans="1:25" ht="18" customHeight="1" thickBot="1" x14ac:dyDescent="0.25">
      <c r="A356" s="337"/>
      <c r="B356" s="337"/>
      <c r="C356" s="337"/>
      <c r="D356" s="337"/>
      <c r="E356" s="337"/>
      <c r="F356" s="337"/>
      <c r="G356" s="337"/>
      <c r="H356" s="337"/>
      <c r="I356" s="337"/>
      <c r="J356" s="337"/>
      <c r="K356" s="337"/>
      <c r="L356" s="337"/>
      <c r="M356" s="394"/>
      <c r="N356" s="337"/>
      <c r="O356" s="337"/>
      <c r="P356" s="339"/>
      <c r="S356" s="353" t="s">
        <v>250</v>
      </c>
      <c r="T356" s="785"/>
      <c r="U356" s="785"/>
      <c r="V356" s="785"/>
      <c r="W356" s="785"/>
      <c r="X356" s="591" t="s">
        <v>111</v>
      </c>
      <c r="Y356" s="591"/>
    </row>
    <row r="357" spans="1:25" ht="18" customHeight="1" thickBot="1" x14ac:dyDescent="0.25">
      <c r="A357" s="337"/>
      <c r="B357" s="337"/>
      <c r="C357" s="345"/>
      <c r="D357" s="337"/>
      <c r="E357" s="337"/>
      <c r="F357" s="337"/>
      <c r="G357" s="337"/>
      <c r="H357" s="337"/>
      <c r="I357" s="337"/>
      <c r="J357" s="337"/>
      <c r="K357" s="337"/>
      <c r="L357" s="337"/>
      <c r="M357" s="337"/>
      <c r="N357" s="337"/>
      <c r="O357" s="337"/>
      <c r="T357" s="395"/>
      <c r="U357" s="396"/>
      <c r="V357" s="396"/>
      <c r="W357" s="397" t="str">
        <f>IF($T$356="","",IF($T$356&lt;$T$107,"La superficie du paysage ne peut pas être inférieure à la superficie du site.",""))</f>
        <v/>
      </c>
    </row>
    <row r="358" spans="1:25" ht="18" customHeight="1" x14ac:dyDescent="0.2">
      <c r="A358" s="337"/>
      <c r="B358" s="337"/>
      <c r="C358" s="345"/>
      <c r="D358" s="337"/>
      <c r="E358" s="337"/>
      <c r="F358" s="337"/>
      <c r="G358" s="337"/>
      <c r="H358" s="337"/>
      <c r="I358" s="337"/>
      <c r="J358" s="337"/>
      <c r="K358" s="337"/>
      <c r="L358" s="337"/>
      <c r="M358" s="337"/>
      <c r="N358" s="337"/>
      <c r="O358" s="337"/>
      <c r="T358" s="347"/>
      <c r="U358" s="347"/>
      <c r="V358" s="347"/>
      <c r="W358" s="398"/>
    </row>
    <row r="359" spans="1:25" ht="18" customHeight="1" x14ac:dyDescent="0.2">
      <c r="A359" s="337"/>
      <c r="B359" s="337"/>
      <c r="C359" s="581" t="s">
        <v>368</v>
      </c>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row>
    <row r="360" spans="1:25" ht="36" customHeight="1" x14ac:dyDescent="0.2">
      <c r="A360" s="337"/>
      <c r="B360" s="337"/>
      <c r="C360" s="698" t="s">
        <v>4</v>
      </c>
      <c r="D360" s="699"/>
      <c r="E360" s="699"/>
      <c r="F360" s="699"/>
      <c r="G360" s="699"/>
      <c r="H360" s="699"/>
      <c r="I360" s="699"/>
      <c r="J360" s="699"/>
      <c r="K360" s="699"/>
      <c r="L360" s="699"/>
      <c r="M360" s="699"/>
      <c r="N360" s="699"/>
      <c r="O360" s="699"/>
      <c r="P360" s="699"/>
      <c r="Q360" s="699"/>
      <c r="R360" s="699"/>
      <c r="S360" s="699"/>
      <c r="T360" s="700" t="s">
        <v>42</v>
      </c>
      <c r="U360" s="700"/>
      <c r="V360" s="700"/>
      <c r="W360" s="700"/>
      <c r="X360" s="700"/>
      <c r="Y360" s="700"/>
    </row>
    <row r="361" spans="1:25" ht="26.25" customHeight="1" x14ac:dyDescent="0.2">
      <c r="A361" s="337"/>
      <c r="B361" s="337"/>
      <c r="C361" s="399"/>
      <c r="D361" s="400" t="s">
        <v>55</v>
      </c>
      <c r="E361" s="677" t="s">
        <v>65</v>
      </c>
      <c r="F361" s="678"/>
      <c r="G361" s="678"/>
      <c r="H361" s="678"/>
      <c r="I361" s="678"/>
      <c r="J361" s="678"/>
      <c r="K361" s="678"/>
      <c r="L361" s="678"/>
      <c r="M361" s="678"/>
      <c r="N361" s="678"/>
      <c r="O361" s="678"/>
      <c r="P361" s="678"/>
      <c r="Q361" s="678"/>
      <c r="R361" s="678"/>
      <c r="S361" s="678"/>
      <c r="T361" s="679"/>
      <c r="U361" s="679"/>
      <c r="V361" s="679"/>
      <c r="W361" s="679"/>
      <c r="X361" s="634" t="s">
        <v>5</v>
      </c>
      <c r="Y361" s="635"/>
    </row>
    <row r="362" spans="1:25" ht="26.25" customHeight="1" x14ac:dyDescent="0.2">
      <c r="A362" s="337"/>
      <c r="B362" s="337"/>
      <c r="C362" s="401"/>
      <c r="D362" s="400" t="s">
        <v>56</v>
      </c>
      <c r="E362" s="677" t="s">
        <v>66</v>
      </c>
      <c r="F362" s="678"/>
      <c r="G362" s="678"/>
      <c r="H362" s="678"/>
      <c r="I362" s="678"/>
      <c r="J362" s="678"/>
      <c r="K362" s="678"/>
      <c r="L362" s="678"/>
      <c r="M362" s="678"/>
      <c r="N362" s="678"/>
      <c r="O362" s="678"/>
      <c r="P362" s="678"/>
      <c r="Q362" s="678"/>
      <c r="R362" s="678"/>
      <c r="S362" s="678"/>
      <c r="T362" s="679"/>
      <c r="U362" s="679"/>
      <c r="V362" s="679"/>
      <c r="W362" s="679"/>
      <c r="X362" s="634" t="s">
        <v>5</v>
      </c>
      <c r="Y362" s="635"/>
    </row>
    <row r="363" spans="1:25" ht="26.25" customHeight="1" x14ac:dyDescent="0.2">
      <c r="A363" s="337"/>
      <c r="B363" s="337"/>
      <c r="C363" s="402"/>
      <c r="D363" s="400" t="s">
        <v>57</v>
      </c>
      <c r="E363" s="677" t="s">
        <v>369</v>
      </c>
      <c r="F363" s="678"/>
      <c r="G363" s="678"/>
      <c r="H363" s="678"/>
      <c r="I363" s="678"/>
      <c r="J363" s="678"/>
      <c r="K363" s="678"/>
      <c r="L363" s="678"/>
      <c r="M363" s="678"/>
      <c r="N363" s="678"/>
      <c r="O363" s="678"/>
      <c r="P363" s="678"/>
      <c r="Q363" s="678"/>
      <c r="R363" s="678"/>
      <c r="S363" s="678"/>
      <c r="T363" s="679"/>
      <c r="U363" s="679"/>
      <c r="V363" s="679"/>
      <c r="W363" s="679"/>
      <c r="X363" s="634" t="s">
        <v>5</v>
      </c>
      <c r="Y363" s="635"/>
    </row>
    <row r="364" spans="1:25" ht="26.25" customHeight="1" x14ac:dyDescent="0.2">
      <c r="A364" s="337"/>
      <c r="B364" s="337"/>
      <c r="C364" s="403"/>
      <c r="D364" s="400" t="s">
        <v>58</v>
      </c>
      <c r="E364" s="677" t="s">
        <v>67</v>
      </c>
      <c r="F364" s="678"/>
      <c r="G364" s="678"/>
      <c r="H364" s="678"/>
      <c r="I364" s="678"/>
      <c r="J364" s="678"/>
      <c r="K364" s="678"/>
      <c r="L364" s="678"/>
      <c r="M364" s="678"/>
      <c r="N364" s="678"/>
      <c r="O364" s="678"/>
      <c r="P364" s="678"/>
      <c r="Q364" s="678"/>
      <c r="R364" s="678"/>
      <c r="S364" s="678"/>
      <c r="T364" s="679"/>
      <c r="U364" s="679"/>
      <c r="V364" s="679"/>
      <c r="W364" s="679"/>
      <c r="X364" s="634" t="s">
        <v>5</v>
      </c>
      <c r="Y364" s="635"/>
    </row>
    <row r="365" spans="1:25" ht="26.25" customHeight="1" x14ac:dyDescent="0.2">
      <c r="A365" s="337"/>
      <c r="B365" s="337"/>
      <c r="C365" s="404"/>
      <c r="D365" s="400" t="s">
        <v>59</v>
      </c>
      <c r="E365" s="677" t="s">
        <v>68</v>
      </c>
      <c r="F365" s="678"/>
      <c r="G365" s="678"/>
      <c r="H365" s="678"/>
      <c r="I365" s="678"/>
      <c r="J365" s="678"/>
      <c r="K365" s="678"/>
      <c r="L365" s="678"/>
      <c r="M365" s="678"/>
      <c r="N365" s="678"/>
      <c r="O365" s="678"/>
      <c r="P365" s="678"/>
      <c r="Q365" s="678"/>
      <c r="R365" s="678"/>
      <c r="S365" s="678"/>
      <c r="T365" s="679"/>
      <c r="U365" s="679"/>
      <c r="V365" s="679"/>
      <c r="W365" s="679"/>
      <c r="X365" s="634" t="s">
        <v>5</v>
      </c>
      <c r="Y365" s="635"/>
    </row>
    <row r="366" spans="1:25" ht="26.25" customHeight="1" x14ac:dyDescent="0.2">
      <c r="A366" s="337"/>
      <c r="B366" s="337"/>
      <c r="C366" s="405"/>
      <c r="D366" s="400" t="s">
        <v>60</v>
      </c>
      <c r="E366" s="677" t="s">
        <v>69</v>
      </c>
      <c r="F366" s="678"/>
      <c r="G366" s="678"/>
      <c r="H366" s="678"/>
      <c r="I366" s="678"/>
      <c r="J366" s="678"/>
      <c r="K366" s="678"/>
      <c r="L366" s="678"/>
      <c r="M366" s="678"/>
      <c r="N366" s="678"/>
      <c r="O366" s="678"/>
      <c r="P366" s="678"/>
      <c r="Q366" s="678"/>
      <c r="R366" s="678"/>
      <c r="S366" s="678"/>
      <c r="T366" s="679"/>
      <c r="U366" s="679"/>
      <c r="V366" s="679"/>
      <c r="W366" s="679"/>
      <c r="X366" s="634" t="s">
        <v>5</v>
      </c>
      <c r="Y366" s="635"/>
    </row>
    <row r="367" spans="1:25" ht="26.25" customHeight="1" x14ac:dyDescent="0.2">
      <c r="A367" s="337"/>
      <c r="B367" s="337"/>
      <c r="C367" s="406"/>
      <c r="D367" s="400" t="s">
        <v>61</v>
      </c>
      <c r="E367" s="677" t="s">
        <v>370</v>
      </c>
      <c r="F367" s="678"/>
      <c r="G367" s="678"/>
      <c r="H367" s="678"/>
      <c r="I367" s="678"/>
      <c r="J367" s="678"/>
      <c r="K367" s="678"/>
      <c r="L367" s="678"/>
      <c r="M367" s="678"/>
      <c r="N367" s="678"/>
      <c r="O367" s="678"/>
      <c r="P367" s="678"/>
      <c r="Q367" s="678"/>
      <c r="R367" s="678"/>
      <c r="S367" s="678"/>
      <c r="T367" s="679"/>
      <c r="U367" s="679"/>
      <c r="V367" s="679"/>
      <c r="W367" s="679"/>
      <c r="X367" s="634" t="s">
        <v>5</v>
      </c>
      <c r="Y367" s="635"/>
    </row>
    <row r="368" spans="1:25" ht="26.25" customHeight="1" x14ac:dyDescent="0.2">
      <c r="A368" s="337"/>
      <c r="B368" s="337"/>
      <c r="C368" s="407"/>
      <c r="D368" s="400" t="s">
        <v>62</v>
      </c>
      <c r="E368" s="677" t="s">
        <v>70</v>
      </c>
      <c r="F368" s="678"/>
      <c r="G368" s="678"/>
      <c r="H368" s="678"/>
      <c r="I368" s="678"/>
      <c r="J368" s="678"/>
      <c r="K368" s="678"/>
      <c r="L368" s="678"/>
      <c r="M368" s="678"/>
      <c r="N368" s="678"/>
      <c r="O368" s="678"/>
      <c r="P368" s="678"/>
      <c r="Q368" s="678"/>
      <c r="R368" s="678"/>
      <c r="S368" s="678"/>
      <c r="T368" s="679"/>
      <c r="U368" s="679"/>
      <c r="V368" s="679"/>
      <c r="W368" s="679"/>
      <c r="X368" s="634" t="s">
        <v>5</v>
      </c>
      <c r="Y368" s="635"/>
    </row>
    <row r="369" spans="1:25" ht="26.25" customHeight="1" x14ac:dyDescent="0.2">
      <c r="A369" s="337"/>
      <c r="B369" s="337"/>
      <c r="C369" s="408"/>
      <c r="D369" s="400" t="s">
        <v>63</v>
      </c>
      <c r="E369" s="677" t="s">
        <v>71</v>
      </c>
      <c r="F369" s="678"/>
      <c r="G369" s="678"/>
      <c r="H369" s="678"/>
      <c r="I369" s="678"/>
      <c r="J369" s="678"/>
      <c r="K369" s="678"/>
      <c r="L369" s="678"/>
      <c r="M369" s="678"/>
      <c r="N369" s="678"/>
      <c r="O369" s="678"/>
      <c r="P369" s="678"/>
      <c r="Q369" s="678"/>
      <c r="R369" s="678"/>
      <c r="S369" s="678"/>
      <c r="T369" s="679"/>
      <c r="U369" s="679"/>
      <c r="V369" s="679"/>
      <c r="W369" s="679"/>
      <c r="X369" s="634" t="s">
        <v>5</v>
      </c>
      <c r="Y369" s="635"/>
    </row>
    <row r="370" spans="1:25" ht="26.25" customHeight="1" x14ac:dyDescent="0.2">
      <c r="A370" s="337"/>
      <c r="B370" s="337"/>
      <c r="C370" s="409"/>
      <c r="D370" s="400" t="s">
        <v>64</v>
      </c>
      <c r="E370" s="677" t="s">
        <v>72</v>
      </c>
      <c r="F370" s="678"/>
      <c r="G370" s="678"/>
      <c r="H370" s="678"/>
      <c r="I370" s="678"/>
      <c r="J370" s="678"/>
      <c r="K370" s="678"/>
      <c r="L370" s="678"/>
      <c r="M370" s="678"/>
      <c r="N370" s="678"/>
      <c r="O370" s="678"/>
      <c r="P370" s="678"/>
      <c r="Q370" s="678"/>
      <c r="R370" s="678"/>
      <c r="S370" s="678"/>
      <c r="T370" s="679"/>
      <c r="U370" s="679"/>
      <c r="V370" s="679"/>
      <c r="W370" s="679"/>
      <c r="X370" s="634" t="s">
        <v>5</v>
      </c>
      <c r="Y370" s="635"/>
    </row>
    <row r="371" spans="1:25" ht="26.25" customHeight="1" thickBot="1" x14ac:dyDescent="0.25">
      <c r="A371" s="337"/>
      <c r="B371" s="337"/>
      <c r="C371" s="410"/>
      <c r="D371" s="680" t="s">
        <v>214</v>
      </c>
      <c r="E371" s="680"/>
      <c r="F371" s="680"/>
      <c r="G371" s="680"/>
      <c r="H371" s="680"/>
      <c r="I371" s="680"/>
      <c r="J371" s="680"/>
      <c r="K371" s="680"/>
      <c r="L371" s="680"/>
      <c r="M371" s="680"/>
      <c r="N371" s="680"/>
      <c r="O371" s="680"/>
      <c r="P371" s="680"/>
      <c r="Q371" s="680"/>
      <c r="R371" s="680"/>
      <c r="S371" s="680"/>
      <c r="T371" s="681">
        <f>SUM($T$361:$W$370)</f>
        <v>0</v>
      </c>
      <c r="U371" s="681"/>
      <c r="V371" s="681"/>
      <c r="W371" s="681"/>
      <c r="X371" s="682" t="s">
        <v>5</v>
      </c>
      <c r="Y371" s="683"/>
    </row>
    <row r="372" spans="1:25" ht="18" customHeight="1" thickBot="1" x14ac:dyDescent="0.25">
      <c r="A372" s="337"/>
      <c r="B372" s="337"/>
      <c r="C372" s="345"/>
      <c r="D372" s="337"/>
      <c r="E372" s="337"/>
      <c r="F372" s="337"/>
      <c r="G372" s="337"/>
      <c r="H372" s="337"/>
      <c r="I372" s="337"/>
      <c r="J372" s="337"/>
      <c r="K372" s="337"/>
      <c r="L372" s="337"/>
      <c r="M372" s="337"/>
      <c r="N372" s="337"/>
      <c r="O372" s="337"/>
      <c r="T372" s="395"/>
      <c r="U372" s="396"/>
      <c r="V372" s="396"/>
      <c r="W372" s="397" t="str">
        <f>IF(AND(SUM($T$361:$W$370)&lt;&gt;0,$T$371&lt;&gt;100),"La somme de la proportion des différents habitats dans le paysage doit être égale à 100. ","")</f>
        <v/>
      </c>
    </row>
    <row r="373" spans="1:25" ht="18" customHeight="1" x14ac:dyDescent="0.2">
      <c r="A373" s="337"/>
      <c r="B373" s="337"/>
      <c r="C373" s="345"/>
      <c r="D373" s="337"/>
      <c r="E373" s="337"/>
      <c r="F373" s="337"/>
      <c r="G373" s="337"/>
      <c r="H373" s="337"/>
      <c r="I373" s="337"/>
      <c r="J373" s="337"/>
      <c r="K373" s="337"/>
      <c r="L373" s="337"/>
      <c r="M373" s="337"/>
      <c r="N373" s="337"/>
      <c r="O373" s="337"/>
    </row>
    <row r="374" spans="1:25" ht="18" customHeight="1" x14ac:dyDescent="0.2">
      <c r="A374" s="337"/>
      <c r="B374" s="337"/>
      <c r="C374" s="345"/>
      <c r="D374" s="337"/>
      <c r="E374" s="337"/>
      <c r="F374" s="337"/>
      <c r="G374" s="337"/>
      <c r="H374" s="337"/>
      <c r="I374" s="337"/>
      <c r="J374" s="337"/>
      <c r="K374" s="337"/>
      <c r="L374" s="337"/>
      <c r="M374" s="337"/>
      <c r="N374" s="337"/>
      <c r="O374" s="337"/>
    </row>
    <row r="375" spans="1:25" ht="18" customHeight="1" x14ac:dyDescent="0.2">
      <c r="A375" s="337"/>
      <c r="B375" s="337"/>
      <c r="C375" s="581" t="s">
        <v>297</v>
      </c>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row>
    <row r="376" spans="1:25" ht="18" customHeight="1" x14ac:dyDescent="0.2">
      <c r="A376" s="337"/>
      <c r="B376" s="337"/>
      <c r="C376" s="675" t="s">
        <v>234</v>
      </c>
      <c r="D376" s="675"/>
      <c r="E376" s="675"/>
      <c r="F376" s="675"/>
      <c r="G376" s="675"/>
      <c r="H376" s="368"/>
      <c r="I376" s="353" t="s">
        <v>24</v>
      </c>
      <c r="J376" s="588"/>
      <c r="K376" s="588"/>
      <c r="P376" s="339"/>
      <c r="Q376" s="368"/>
      <c r="S376" s="353" t="s">
        <v>25</v>
      </c>
      <c r="T376" s="588"/>
      <c r="U376" s="588"/>
      <c r="V376" s="588"/>
      <c r="W376" s="588"/>
    </row>
    <row r="377" spans="1:25" ht="18" customHeight="1" x14ac:dyDescent="0.2">
      <c r="A377" s="337"/>
      <c r="B377" s="337"/>
      <c r="C377" s="676"/>
      <c r="D377" s="676"/>
      <c r="E377" s="676"/>
      <c r="F377" s="676"/>
      <c r="G377" s="676"/>
      <c r="H377" s="367"/>
      <c r="I377" s="369" t="s">
        <v>26</v>
      </c>
      <c r="J377" s="588"/>
      <c r="K377" s="588"/>
      <c r="P377" s="339"/>
      <c r="Q377" s="368"/>
      <c r="T377" s="347"/>
      <c r="U377" s="347"/>
      <c r="V377" s="347"/>
      <c r="W377" s="347"/>
    </row>
    <row r="378" spans="1:25" ht="18" customHeight="1" x14ac:dyDescent="0.2">
      <c r="A378" s="337"/>
      <c r="B378" s="337"/>
      <c r="C378" s="345"/>
      <c r="D378" s="337"/>
      <c r="E378" s="337"/>
      <c r="F378" s="337"/>
      <c r="G378" s="337"/>
      <c r="H378" s="337"/>
      <c r="I378" s="337"/>
      <c r="J378" s="337"/>
      <c r="K378" s="337"/>
      <c r="L378" s="337"/>
      <c r="M378" s="337"/>
      <c r="N378" s="337"/>
      <c r="O378" s="337"/>
    </row>
    <row r="379" spans="1:25" ht="18" customHeight="1" x14ac:dyDescent="0.2">
      <c r="A379" s="337"/>
      <c r="B379" s="337"/>
      <c r="C379" s="345"/>
      <c r="D379" s="337"/>
      <c r="E379" s="337"/>
      <c r="F379" s="337"/>
      <c r="G379" s="337"/>
      <c r="H379" s="337"/>
      <c r="I379" s="337"/>
      <c r="J379" s="337"/>
      <c r="K379" s="337"/>
      <c r="L379" s="337"/>
      <c r="M379" s="337"/>
      <c r="N379" s="337"/>
      <c r="O379" s="337"/>
    </row>
    <row r="380" spans="1:25" ht="18" customHeight="1" x14ac:dyDescent="0.2">
      <c r="A380" s="337"/>
      <c r="B380" s="337"/>
      <c r="C380" s="583" t="s">
        <v>371</v>
      </c>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row>
    <row r="381" spans="1:25" ht="18" customHeight="1" x14ac:dyDescent="0.2">
      <c r="A381" s="337"/>
      <c r="B381" s="337"/>
      <c r="C381" s="592"/>
      <c r="D381" s="592"/>
      <c r="E381" s="592"/>
      <c r="F381" s="592"/>
      <c r="G381" s="592"/>
      <c r="H381" s="592"/>
      <c r="I381" s="592"/>
      <c r="J381" s="592"/>
      <c r="K381" s="592"/>
      <c r="L381" s="592"/>
      <c r="M381" s="592"/>
      <c r="N381" s="592"/>
      <c r="O381" s="592"/>
      <c r="P381" s="592"/>
      <c r="Q381" s="592"/>
      <c r="R381" s="592"/>
      <c r="S381" s="592"/>
      <c r="T381" s="592"/>
      <c r="U381" s="592"/>
      <c r="V381" s="592"/>
      <c r="W381" s="592"/>
      <c r="X381" s="592"/>
      <c r="Y381" s="592"/>
    </row>
    <row r="382" spans="1:25" ht="18" customHeight="1" x14ac:dyDescent="0.2">
      <c r="A382" s="337"/>
      <c r="B382" s="337"/>
      <c r="C382" s="337"/>
      <c r="D382" s="337"/>
      <c r="E382" s="337"/>
      <c r="F382" s="337"/>
      <c r="G382" s="337"/>
      <c r="H382" s="337"/>
      <c r="I382" s="337"/>
      <c r="J382" s="337"/>
      <c r="K382" s="386"/>
      <c r="L382" s="337"/>
      <c r="M382" s="386"/>
      <c r="N382" s="386"/>
      <c r="O382" s="380"/>
      <c r="S382" s="353" t="s">
        <v>251</v>
      </c>
      <c r="T382" s="578"/>
      <c r="U382" s="578"/>
      <c r="V382" s="578"/>
      <c r="W382" s="578"/>
      <c r="X382" s="591" t="s">
        <v>111</v>
      </c>
      <c r="Y382" s="591"/>
    </row>
    <row r="383" spans="1:25" ht="18" customHeight="1" x14ac:dyDescent="0.2">
      <c r="A383" s="337"/>
      <c r="B383" s="337"/>
      <c r="C383" s="345"/>
      <c r="D383" s="337"/>
      <c r="E383" s="337"/>
      <c r="F383" s="337"/>
      <c r="G383" s="337"/>
      <c r="H383" s="337"/>
      <c r="I383" s="337"/>
      <c r="J383" s="337"/>
      <c r="K383" s="337"/>
      <c r="L383" s="337"/>
      <c r="M383" s="337"/>
      <c r="N383" s="337"/>
      <c r="O383" s="337"/>
    </row>
    <row r="384" spans="1:25" ht="18" customHeight="1" x14ac:dyDescent="0.2">
      <c r="A384" s="337"/>
      <c r="B384" s="337"/>
      <c r="C384" s="345"/>
      <c r="D384" s="337"/>
      <c r="E384" s="337"/>
      <c r="F384" s="337"/>
      <c r="G384" s="337"/>
      <c r="H384" s="337"/>
      <c r="I384" s="337"/>
      <c r="J384" s="337"/>
      <c r="K384" s="337"/>
      <c r="L384" s="337"/>
      <c r="M384" s="337"/>
      <c r="N384" s="337"/>
      <c r="O384" s="337"/>
    </row>
    <row r="385" spans="1:25" ht="18" customHeight="1" x14ac:dyDescent="0.2">
      <c r="A385" s="337"/>
      <c r="B385" s="337"/>
      <c r="C385" s="583" t="s">
        <v>372</v>
      </c>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row>
    <row r="386" spans="1:25" ht="18" customHeight="1" x14ac:dyDescent="0.2">
      <c r="A386" s="337"/>
      <c r="B386" s="337"/>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row>
    <row r="387" spans="1:25" ht="18" customHeight="1" x14ac:dyDescent="0.2">
      <c r="A387" s="337"/>
      <c r="B387" s="337"/>
      <c r="C387" s="337"/>
      <c r="D387" s="337"/>
      <c r="E387" s="337"/>
      <c r="F387" s="337"/>
      <c r="G387" s="337"/>
      <c r="H387" s="337"/>
      <c r="I387" s="337"/>
      <c r="J387" s="337"/>
      <c r="K387" s="337"/>
      <c r="L387" s="368"/>
      <c r="M387" s="368"/>
      <c r="N387" s="386"/>
      <c r="O387" s="380"/>
      <c r="S387" s="353" t="s">
        <v>252</v>
      </c>
      <c r="T387" s="578"/>
      <c r="U387" s="578"/>
      <c r="V387" s="578"/>
      <c r="W387" s="578"/>
      <c r="X387" s="591" t="s">
        <v>112</v>
      </c>
      <c r="Y387" s="591"/>
    </row>
    <row r="388" spans="1:25" ht="18" customHeight="1" x14ac:dyDescent="0.2">
      <c r="C388" s="345"/>
      <c r="I388" s="411"/>
      <c r="J388" s="411"/>
      <c r="K388" s="412"/>
      <c r="N388" s="413"/>
      <c r="O388" s="414"/>
    </row>
    <row r="389" spans="1:25" ht="18" customHeight="1" x14ac:dyDescent="0.2">
      <c r="C389" s="345"/>
      <c r="I389" s="411"/>
      <c r="J389" s="411"/>
      <c r="K389" s="412"/>
      <c r="N389" s="413"/>
      <c r="O389" s="414"/>
    </row>
    <row r="390" spans="1:25" ht="18" customHeight="1" x14ac:dyDescent="0.2">
      <c r="A390" s="337"/>
      <c r="B390" s="337"/>
      <c r="C390" s="583" t="s">
        <v>373</v>
      </c>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row>
    <row r="391" spans="1:25" ht="18" customHeight="1" x14ac:dyDescent="0.2">
      <c r="A391" s="337"/>
      <c r="B391" s="337"/>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row>
    <row r="392" spans="1:25" ht="18" customHeight="1" x14ac:dyDescent="0.2">
      <c r="A392" s="337"/>
      <c r="B392" s="337"/>
      <c r="C392" s="592"/>
      <c r="D392" s="592"/>
      <c r="E392" s="592"/>
      <c r="F392" s="592"/>
      <c r="G392" s="592"/>
      <c r="H392" s="592"/>
      <c r="I392" s="592"/>
      <c r="J392" s="592"/>
      <c r="K392" s="592"/>
      <c r="L392" s="592"/>
      <c r="M392" s="592"/>
      <c r="N392" s="592"/>
      <c r="O392" s="592"/>
      <c r="P392" s="592"/>
      <c r="Q392" s="592"/>
      <c r="R392" s="592"/>
      <c r="S392" s="592"/>
      <c r="T392" s="592"/>
      <c r="U392" s="592"/>
      <c r="V392" s="592"/>
      <c r="W392" s="592"/>
      <c r="X392" s="592"/>
      <c r="Y392" s="592"/>
    </row>
    <row r="393" spans="1:25" ht="18" customHeight="1" x14ac:dyDescent="0.2">
      <c r="A393" s="337"/>
      <c r="B393" s="337"/>
      <c r="C393" s="337"/>
      <c r="D393" s="337"/>
      <c r="E393" s="337"/>
      <c r="F393" s="337"/>
      <c r="G393" s="337"/>
      <c r="H393" s="337"/>
      <c r="I393" s="389"/>
      <c r="J393" s="337"/>
      <c r="K393" s="368"/>
      <c r="L393" s="368"/>
      <c r="M393" s="368"/>
      <c r="N393" s="386"/>
      <c r="O393" s="380"/>
      <c r="S393" s="353" t="s">
        <v>253</v>
      </c>
      <c r="T393" s="578"/>
      <c r="U393" s="578"/>
      <c r="V393" s="578"/>
      <c r="W393" s="578"/>
      <c r="X393" s="591" t="s">
        <v>111</v>
      </c>
      <c r="Y393" s="591"/>
    </row>
    <row r="394" spans="1:25" ht="18" customHeight="1" x14ac:dyDescent="0.2">
      <c r="A394" s="337"/>
      <c r="B394" s="337"/>
      <c r="C394" s="337"/>
      <c r="D394" s="415"/>
      <c r="E394" s="415"/>
      <c r="F394" s="337"/>
      <c r="G394" s="337"/>
      <c r="H394" s="337"/>
      <c r="I394" s="415"/>
      <c r="J394" s="416"/>
      <c r="K394" s="417"/>
      <c r="L394" s="417"/>
      <c r="M394" s="368"/>
      <c r="N394" s="386"/>
      <c r="O394" s="380"/>
      <c r="S394" s="353" t="s">
        <v>254</v>
      </c>
      <c r="T394" s="578"/>
      <c r="U394" s="578"/>
      <c r="V394" s="578"/>
      <c r="W394" s="578"/>
      <c r="X394" s="591" t="s">
        <v>112</v>
      </c>
      <c r="Y394" s="591"/>
    </row>
    <row r="395" spans="1:25" ht="18" customHeight="1" x14ac:dyDescent="0.2">
      <c r="A395" s="337"/>
      <c r="B395" s="337"/>
      <c r="C395" s="345"/>
      <c r="D395" s="337"/>
      <c r="E395" s="337"/>
      <c r="F395" s="337"/>
      <c r="G395" s="337"/>
      <c r="H395" s="337"/>
      <c r="I395" s="337"/>
      <c r="J395" s="337"/>
      <c r="K395" s="337"/>
      <c r="L395" s="337"/>
      <c r="M395" s="337"/>
      <c r="N395" s="337"/>
      <c r="O395" s="337"/>
    </row>
    <row r="396" spans="1:25" ht="18" customHeight="1" x14ac:dyDescent="0.2">
      <c r="A396" s="337"/>
      <c r="B396" s="337"/>
      <c r="C396" s="345"/>
      <c r="D396" s="337"/>
      <c r="E396" s="337"/>
      <c r="F396" s="337"/>
      <c r="G396" s="337"/>
      <c r="H396" s="337"/>
      <c r="I396" s="337"/>
      <c r="J396" s="337"/>
      <c r="K396" s="337"/>
      <c r="L396" s="337"/>
      <c r="M396" s="337"/>
      <c r="N396" s="337"/>
      <c r="O396" s="337"/>
    </row>
    <row r="397" spans="1:25" ht="18" customHeight="1" x14ac:dyDescent="0.2">
      <c r="A397" s="337"/>
      <c r="B397" s="337"/>
      <c r="C397" s="581" t="s">
        <v>298</v>
      </c>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row>
    <row r="398" spans="1:25" ht="18" customHeight="1" x14ac:dyDescent="0.2">
      <c r="A398" s="337"/>
      <c r="B398" s="337"/>
      <c r="C398" s="346"/>
      <c r="D398" s="346"/>
      <c r="E398" s="346"/>
      <c r="F398" s="346"/>
      <c r="G398" s="346"/>
      <c r="H398" s="362"/>
      <c r="I398" s="346"/>
      <c r="J398" s="346"/>
      <c r="K398" s="368"/>
      <c r="L398" s="368"/>
      <c r="M398" s="368"/>
      <c r="N398" s="374"/>
      <c r="O398" s="337"/>
      <c r="S398" s="362" t="s">
        <v>374</v>
      </c>
      <c r="T398" s="782"/>
      <c r="U398" s="782"/>
      <c r="V398" s="782"/>
      <c r="W398" s="782"/>
      <c r="X398" s="591" t="s">
        <v>112</v>
      </c>
      <c r="Y398" s="591"/>
    </row>
    <row r="399" spans="1:25" ht="18" customHeight="1" x14ac:dyDescent="0.2">
      <c r="A399" s="337"/>
      <c r="B399" s="337"/>
      <c r="C399" s="346"/>
      <c r="D399" s="346"/>
      <c r="E399" s="346"/>
      <c r="F399" s="346"/>
      <c r="G399" s="346"/>
      <c r="H399" s="362"/>
      <c r="I399" s="346"/>
      <c r="J399" s="346"/>
      <c r="K399" s="368"/>
      <c r="L399" s="368"/>
      <c r="M399" s="368"/>
      <c r="N399" s="386"/>
      <c r="O399" s="380"/>
      <c r="S399" s="362" t="s">
        <v>255</v>
      </c>
      <c r="T399" s="578"/>
      <c r="U399" s="578"/>
      <c r="V399" s="578"/>
      <c r="W399" s="578"/>
      <c r="X399" s="591" t="s">
        <v>112</v>
      </c>
      <c r="Y399" s="591"/>
    </row>
    <row r="400" spans="1:25" ht="18" customHeight="1" x14ac:dyDescent="0.2">
      <c r="A400" s="337"/>
      <c r="B400" s="337"/>
      <c r="C400" s="345"/>
      <c r="D400" s="337"/>
      <c r="E400" s="337"/>
      <c r="F400" s="337"/>
      <c r="G400" s="337"/>
      <c r="H400" s="337"/>
      <c r="I400" s="337"/>
      <c r="J400" s="337"/>
      <c r="K400" s="337"/>
      <c r="L400" s="337"/>
      <c r="M400" s="337"/>
      <c r="N400" s="337"/>
      <c r="O400" s="337"/>
    </row>
    <row r="401" spans="1:25" ht="18" customHeight="1" x14ac:dyDescent="0.2">
      <c r="A401" s="337"/>
      <c r="B401" s="337"/>
      <c r="C401" s="345"/>
      <c r="D401" s="337"/>
      <c r="E401" s="337"/>
      <c r="F401" s="337"/>
      <c r="G401" s="337"/>
      <c r="H401" s="337"/>
      <c r="I401" s="337"/>
      <c r="J401" s="337"/>
      <c r="K401" s="337"/>
      <c r="L401" s="337"/>
      <c r="M401" s="337"/>
      <c r="N401" s="337"/>
      <c r="O401" s="337"/>
    </row>
    <row r="402" spans="1:25" ht="18" customHeight="1" x14ac:dyDescent="0.2">
      <c r="A402" s="337"/>
      <c r="B402" s="337"/>
      <c r="C402" s="583" t="s">
        <v>299</v>
      </c>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row>
    <row r="403" spans="1:25" ht="18" customHeight="1" x14ac:dyDescent="0.2">
      <c r="A403" s="337"/>
      <c r="B403" s="337"/>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row>
    <row r="404" spans="1:25" ht="18" customHeight="1" x14ac:dyDescent="0.2">
      <c r="A404" s="337"/>
      <c r="B404" s="337"/>
      <c r="C404" s="354" t="s">
        <v>234</v>
      </c>
      <c r="D404" s="354"/>
      <c r="E404" s="337"/>
      <c r="H404" s="368"/>
      <c r="I404" s="353" t="s">
        <v>28</v>
      </c>
      <c r="J404" s="588"/>
      <c r="K404" s="588"/>
      <c r="P404" s="339"/>
      <c r="Q404" s="368"/>
      <c r="R404" s="368"/>
      <c r="S404" s="369" t="s">
        <v>29</v>
      </c>
      <c r="T404" s="588"/>
      <c r="U404" s="588"/>
      <c r="V404" s="588"/>
      <c r="W404" s="588"/>
    </row>
    <row r="405" spans="1:25" ht="18" customHeight="1" x14ac:dyDescent="0.2">
      <c r="A405" s="337"/>
      <c r="B405" s="337"/>
      <c r="C405" s="345"/>
      <c r="D405" s="337"/>
      <c r="E405" s="337"/>
      <c r="F405" s="337"/>
      <c r="G405" s="337"/>
      <c r="H405" s="337"/>
      <c r="I405" s="337"/>
      <c r="J405" s="337"/>
      <c r="K405" s="337"/>
      <c r="L405" s="337"/>
      <c r="M405" s="337"/>
      <c r="N405" s="337"/>
      <c r="O405" s="337"/>
    </row>
    <row r="406" spans="1:25" ht="18" customHeight="1" x14ac:dyDescent="0.2">
      <c r="A406" s="337"/>
      <c r="B406" s="337"/>
      <c r="C406" s="345"/>
      <c r="D406" s="337"/>
      <c r="E406" s="337"/>
      <c r="F406" s="337"/>
      <c r="G406" s="337"/>
      <c r="H406" s="337"/>
      <c r="I406" s="337"/>
      <c r="J406" s="337"/>
      <c r="K406" s="337"/>
      <c r="L406" s="337"/>
      <c r="M406" s="337"/>
      <c r="N406" s="337"/>
      <c r="O406" s="337"/>
    </row>
    <row r="407" spans="1:25" ht="18" customHeight="1" x14ac:dyDescent="0.2">
      <c r="A407" s="337"/>
      <c r="B407" s="337"/>
      <c r="C407" s="581" t="s">
        <v>300</v>
      </c>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row>
    <row r="408" spans="1:25" ht="18" customHeight="1" x14ac:dyDescent="0.2">
      <c r="A408" s="337"/>
      <c r="B408" s="337"/>
      <c r="C408" s="337"/>
      <c r="D408" s="337"/>
      <c r="E408" s="337"/>
      <c r="F408" s="337"/>
      <c r="G408" s="337"/>
      <c r="H408" s="337"/>
      <c r="I408" s="337"/>
      <c r="J408" s="337"/>
      <c r="K408" s="353"/>
      <c r="L408" s="368"/>
      <c r="M408" s="368"/>
      <c r="N408" s="386"/>
      <c r="O408" s="380"/>
      <c r="S408" s="353" t="s">
        <v>256</v>
      </c>
      <c r="T408" s="578"/>
      <c r="U408" s="578"/>
      <c r="V408" s="578"/>
      <c r="W408" s="578"/>
      <c r="X408" s="591" t="s">
        <v>112</v>
      </c>
      <c r="Y408" s="591"/>
    </row>
    <row r="409" spans="1:25" ht="18" customHeight="1" x14ac:dyDescent="0.2">
      <c r="A409" s="337"/>
      <c r="B409" s="337"/>
      <c r="C409" s="345"/>
      <c r="D409" s="337"/>
      <c r="E409" s="337"/>
      <c r="F409" s="337"/>
      <c r="G409" s="337"/>
      <c r="H409" s="337"/>
      <c r="I409" s="337"/>
      <c r="J409" s="337"/>
      <c r="K409" s="337"/>
      <c r="L409" s="337"/>
      <c r="M409" s="337"/>
      <c r="N409" s="337"/>
      <c r="O409" s="337"/>
    </row>
    <row r="410" spans="1:25" ht="18" customHeight="1" x14ac:dyDescent="0.2">
      <c r="A410" s="337"/>
      <c r="B410" s="337"/>
      <c r="C410" s="345"/>
      <c r="D410" s="337"/>
      <c r="E410" s="337"/>
      <c r="F410" s="337"/>
      <c r="G410" s="337"/>
      <c r="H410" s="337"/>
      <c r="I410" s="337"/>
      <c r="J410" s="337"/>
      <c r="K410" s="337"/>
      <c r="L410" s="337"/>
      <c r="M410" s="337"/>
      <c r="N410" s="337"/>
      <c r="O410" s="337"/>
    </row>
    <row r="411" spans="1:25" ht="18" customHeight="1" x14ac:dyDescent="0.2">
      <c r="A411" s="337"/>
      <c r="B411" s="337"/>
      <c r="C411" s="583" t="s">
        <v>301</v>
      </c>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row>
    <row r="412" spans="1:25" ht="18" customHeight="1" x14ac:dyDescent="0.2">
      <c r="A412" s="337"/>
      <c r="B412" s="337"/>
      <c r="C412" s="592"/>
      <c r="D412" s="592"/>
      <c r="E412" s="592"/>
      <c r="F412" s="592"/>
      <c r="G412" s="592"/>
      <c r="H412" s="592"/>
      <c r="I412" s="592"/>
      <c r="J412" s="592"/>
      <c r="K412" s="592"/>
      <c r="L412" s="592"/>
      <c r="M412" s="592"/>
      <c r="N412" s="592"/>
      <c r="O412" s="592"/>
      <c r="P412" s="592"/>
      <c r="Q412" s="592"/>
      <c r="R412" s="592"/>
      <c r="S412" s="592"/>
      <c r="T412" s="592"/>
      <c r="U412" s="592"/>
      <c r="V412" s="592"/>
      <c r="W412" s="592"/>
      <c r="X412" s="592"/>
      <c r="Y412" s="592"/>
    </row>
    <row r="413" spans="1:25" ht="18" customHeight="1" x14ac:dyDescent="0.2">
      <c r="A413" s="337"/>
      <c r="B413" s="337"/>
      <c r="C413" s="354" t="s">
        <v>234</v>
      </c>
      <c r="D413" s="354"/>
      <c r="E413" s="337"/>
      <c r="H413" s="368"/>
      <c r="I413" s="353" t="s">
        <v>28</v>
      </c>
      <c r="J413" s="588"/>
      <c r="K413" s="588"/>
      <c r="P413" s="339"/>
      <c r="Q413" s="368"/>
      <c r="R413" s="368"/>
      <c r="S413" s="369" t="s">
        <v>29</v>
      </c>
      <c r="T413" s="588"/>
      <c r="U413" s="588"/>
      <c r="V413" s="588"/>
      <c r="W413" s="588"/>
    </row>
    <row r="414" spans="1:25" ht="18" customHeight="1" x14ac:dyDescent="0.2">
      <c r="A414" s="337"/>
      <c r="B414" s="337"/>
      <c r="C414" s="345"/>
      <c r="D414" s="337"/>
      <c r="E414" s="337"/>
      <c r="F414" s="337"/>
      <c r="G414" s="337"/>
      <c r="H414" s="337"/>
      <c r="I414" s="337"/>
      <c r="J414" s="337"/>
      <c r="K414" s="337"/>
      <c r="L414" s="337"/>
      <c r="M414" s="337"/>
      <c r="N414" s="337"/>
      <c r="O414" s="337"/>
    </row>
    <row r="415" spans="1:25" ht="18" customHeight="1" x14ac:dyDescent="0.2">
      <c r="A415" s="337"/>
      <c r="B415" s="337"/>
      <c r="C415" s="345"/>
      <c r="D415" s="337"/>
      <c r="E415" s="337"/>
      <c r="F415" s="337"/>
      <c r="G415" s="337"/>
      <c r="H415" s="337"/>
      <c r="I415" s="337"/>
      <c r="J415" s="337"/>
      <c r="K415" s="337"/>
      <c r="L415" s="337"/>
      <c r="M415" s="337"/>
      <c r="N415" s="337"/>
      <c r="O415" s="337"/>
    </row>
    <row r="416" spans="1:25" ht="18" customHeight="1" x14ac:dyDescent="0.2">
      <c r="A416" s="337"/>
      <c r="B416" s="337"/>
      <c r="C416" s="583" t="s">
        <v>302</v>
      </c>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row>
    <row r="417" spans="1:25" ht="18" customHeight="1" x14ac:dyDescent="0.2">
      <c r="A417" s="337"/>
      <c r="B417" s="337"/>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row>
    <row r="418" spans="1:25" ht="18" customHeight="1" x14ac:dyDescent="0.2">
      <c r="A418" s="337"/>
      <c r="B418" s="337"/>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row>
    <row r="419" spans="1:25" ht="18" customHeight="1" x14ac:dyDescent="0.2">
      <c r="A419" s="337"/>
      <c r="B419" s="337"/>
      <c r="C419" s="669"/>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1"/>
    </row>
    <row r="420" spans="1:25" ht="18" customHeight="1" x14ac:dyDescent="0.2">
      <c r="A420" s="337"/>
      <c r="B420" s="337"/>
      <c r="C420" s="672"/>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4"/>
    </row>
    <row r="421" spans="1:25" ht="18" customHeight="1" x14ac:dyDescent="0.2">
      <c r="A421" s="337"/>
      <c r="B421" s="337"/>
      <c r="C421" s="337"/>
      <c r="D421" s="337"/>
      <c r="E421" s="337"/>
      <c r="F421" s="337"/>
      <c r="G421" s="337"/>
      <c r="H421" s="337"/>
      <c r="I421" s="337"/>
      <c r="J421" s="337"/>
      <c r="K421" s="337"/>
      <c r="L421" s="337"/>
      <c r="M421" s="337"/>
      <c r="N421" s="337"/>
      <c r="O421" s="337"/>
    </row>
    <row r="422" spans="1:25" ht="18" customHeight="1" x14ac:dyDescent="0.2">
      <c r="A422" s="337"/>
      <c r="B422" s="337"/>
      <c r="C422" s="337"/>
      <c r="D422" s="337"/>
      <c r="E422" s="337"/>
      <c r="F422" s="337"/>
      <c r="G422" s="337"/>
      <c r="H422" s="337"/>
      <c r="I422" s="337"/>
      <c r="J422" s="337"/>
      <c r="K422" s="337"/>
      <c r="L422" s="337"/>
      <c r="M422" s="337"/>
      <c r="N422" s="337"/>
      <c r="O422" s="337"/>
    </row>
    <row r="423" spans="1:25" ht="18" customHeight="1" x14ac:dyDescent="0.2">
      <c r="A423" s="337"/>
      <c r="B423" s="337"/>
      <c r="C423" s="581" t="s">
        <v>303</v>
      </c>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row>
    <row r="424" spans="1:25" ht="18" customHeight="1" x14ac:dyDescent="0.2">
      <c r="A424" s="337"/>
      <c r="B424" s="337"/>
      <c r="C424" s="337"/>
      <c r="D424" s="337"/>
      <c r="E424" s="337"/>
      <c r="F424" s="337"/>
      <c r="G424" s="337"/>
      <c r="H424" s="337"/>
      <c r="I424" s="337"/>
      <c r="J424" s="337"/>
      <c r="K424" s="337"/>
      <c r="L424" s="386"/>
      <c r="M424" s="386"/>
      <c r="N424" s="386"/>
      <c r="O424" s="380"/>
      <c r="S424" s="353" t="s">
        <v>257</v>
      </c>
      <c r="T424" s="578"/>
      <c r="U424" s="578"/>
      <c r="V424" s="578"/>
      <c r="W424" s="578"/>
      <c r="X424" s="591" t="s">
        <v>112</v>
      </c>
      <c r="Y424" s="591"/>
    </row>
    <row r="425" spans="1:25" ht="18" customHeight="1" x14ac:dyDescent="0.2">
      <c r="A425" s="337"/>
      <c r="B425" s="337"/>
      <c r="C425" s="345"/>
      <c r="D425" s="337"/>
      <c r="E425" s="337"/>
      <c r="F425" s="337"/>
      <c r="G425" s="337"/>
      <c r="H425" s="337"/>
      <c r="I425" s="337"/>
      <c r="J425" s="337"/>
      <c r="K425" s="337"/>
      <c r="L425" s="337"/>
      <c r="M425" s="337"/>
      <c r="N425" s="337"/>
      <c r="O425" s="337"/>
    </row>
    <row r="426" spans="1:25" ht="18" customHeight="1" x14ac:dyDescent="0.2">
      <c r="A426" s="337"/>
      <c r="B426" s="337"/>
      <c r="C426" s="345"/>
      <c r="D426" s="337"/>
      <c r="E426" s="337"/>
      <c r="F426" s="337"/>
      <c r="G426" s="337"/>
      <c r="H426" s="337"/>
      <c r="I426" s="337"/>
      <c r="J426" s="337"/>
      <c r="K426" s="337"/>
      <c r="L426" s="337"/>
      <c r="M426" s="337"/>
      <c r="N426" s="337"/>
      <c r="O426" s="337"/>
    </row>
    <row r="427" spans="1:25" ht="23.1" customHeight="1" x14ac:dyDescent="0.2">
      <c r="A427" s="337"/>
      <c r="B427" s="337"/>
      <c r="C427" s="583" t="s">
        <v>304</v>
      </c>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row>
    <row r="428" spans="1:25" ht="23.1" customHeight="1" x14ac:dyDescent="0.2">
      <c r="A428" s="337"/>
      <c r="B428" s="337"/>
      <c r="C428" s="592"/>
      <c r="D428" s="592"/>
      <c r="E428" s="592"/>
      <c r="F428" s="592"/>
      <c r="G428" s="592"/>
      <c r="H428" s="592"/>
      <c r="I428" s="592"/>
      <c r="J428" s="592"/>
      <c r="K428" s="592"/>
      <c r="L428" s="592"/>
      <c r="M428" s="592"/>
      <c r="N428" s="592"/>
      <c r="O428" s="592"/>
      <c r="P428" s="592"/>
      <c r="Q428" s="592"/>
      <c r="R428" s="592"/>
      <c r="S428" s="592"/>
      <c r="T428" s="592"/>
      <c r="U428" s="592"/>
      <c r="V428" s="592"/>
      <c r="W428" s="592"/>
      <c r="X428" s="592"/>
      <c r="Y428" s="592"/>
    </row>
    <row r="429" spans="1:25" ht="18" customHeight="1" x14ac:dyDescent="0.2">
      <c r="A429" s="337"/>
      <c r="B429" s="337"/>
      <c r="C429" s="354" t="s">
        <v>234</v>
      </c>
      <c r="D429" s="354"/>
      <c r="E429" s="337"/>
      <c r="H429" s="368"/>
      <c r="I429" s="353" t="s">
        <v>28</v>
      </c>
      <c r="J429" s="588"/>
      <c r="K429" s="588"/>
      <c r="P429" s="339"/>
      <c r="Q429" s="368"/>
      <c r="R429" s="368"/>
      <c r="S429" s="369" t="s">
        <v>29</v>
      </c>
      <c r="T429" s="588"/>
      <c r="U429" s="588"/>
      <c r="V429" s="588"/>
      <c r="W429" s="588"/>
    </row>
    <row r="430" spans="1:25" ht="18" customHeight="1" x14ac:dyDescent="0.2">
      <c r="A430" s="337"/>
      <c r="B430" s="337"/>
      <c r="C430" s="345"/>
      <c r="D430" s="337"/>
      <c r="E430" s="337"/>
      <c r="F430" s="337"/>
      <c r="G430" s="337"/>
      <c r="H430" s="337"/>
      <c r="I430" s="337"/>
      <c r="J430" s="337"/>
      <c r="K430" s="337"/>
      <c r="L430" s="337"/>
      <c r="M430" s="337"/>
      <c r="N430" s="337"/>
      <c r="O430" s="337"/>
    </row>
    <row r="431" spans="1:25" ht="18" customHeight="1" x14ac:dyDescent="0.2">
      <c r="A431" s="337"/>
      <c r="B431" s="337"/>
      <c r="C431" s="345"/>
      <c r="D431" s="337"/>
      <c r="E431" s="337"/>
      <c r="F431" s="337"/>
      <c r="G431" s="337"/>
      <c r="H431" s="337"/>
      <c r="I431" s="337"/>
      <c r="J431" s="337"/>
      <c r="K431" s="337"/>
      <c r="L431" s="337"/>
      <c r="M431" s="337"/>
      <c r="N431" s="337"/>
      <c r="O431" s="337"/>
    </row>
    <row r="432" spans="1:25" ht="18" customHeight="1" x14ac:dyDescent="0.2">
      <c r="A432" s="337"/>
      <c r="B432" s="337"/>
      <c r="C432" s="583" t="s">
        <v>305</v>
      </c>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row>
    <row r="433" spans="1:25" ht="18" customHeight="1" x14ac:dyDescent="0.2">
      <c r="A433" s="337"/>
      <c r="B433" s="337"/>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row>
    <row r="434" spans="1:25" ht="18" customHeight="1" x14ac:dyDescent="0.2">
      <c r="A434" s="337"/>
      <c r="B434" s="337"/>
      <c r="C434" s="592"/>
      <c r="D434" s="592"/>
      <c r="E434" s="592"/>
      <c r="F434" s="592"/>
      <c r="G434" s="592"/>
      <c r="H434" s="592"/>
      <c r="I434" s="592"/>
      <c r="J434" s="592"/>
      <c r="K434" s="592"/>
      <c r="L434" s="592"/>
      <c r="M434" s="592"/>
      <c r="N434" s="592"/>
      <c r="O434" s="592"/>
      <c r="P434" s="592"/>
      <c r="Q434" s="592"/>
      <c r="R434" s="592"/>
      <c r="S434" s="592"/>
      <c r="T434" s="592"/>
      <c r="U434" s="592"/>
      <c r="V434" s="592"/>
      <c r="W434" s="592"/>
      <c r="X434" s="592"/>
      <c r="Y434" s="592"/>
    </row>
    <row r="435" spans="1:25" ht="18" customHeight="1" x14ac:dyDescent="0.2">
      <c r="A435" s="337"/>
      <c r="B435" s="337"/>
      <c r="C435" s="669"/>
      <c r="D435" s="670"/>
      <c r="E435" s="670"/>
      <c r="F435" s="670"/>
      <c r="G435" s="670"/>
      <c r="H435" s="670"/>
      <c r="I435" s="670"/>
      <c r="J435" s="670"/>
      <c r="K435" s="670"/>
      <c r="L435" s="670"/>
      <c r="M435" s="670"/>
      <c r="N435" s="670"/>
      <c r="O435" s="670"/>
      <c r="P435" s="670"/>
      <c r="Q435" s="670"/>
      <c r="R435" s="670"/>
      <c r="S435" s="670"/>
      <c r="T435" s="670"/>
      <c r="U435" s="670"/>
      <c r="V435" s="670"/>
      <c r="W435" s="670"/>
      <c r="X435" s="670"/>
      <c r="Y435" s="671"/>
    </row>
    <row r="436" spans="1:25" ht="18" customHeight="1" x14ac:dyDescent="0.2">
      <c r="A436" s="337"/>
      <c r="B436" s="337"/>
      <c r="C436" s="672"/>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4"/>
    </row>
    <row r="437" spans="1:25" ht="18" customHeight="1" x14ac:dyDescent="0.2">
      <c r="A437" s="337"/>
      <c r="B437" s="337"/>
      <c r="C437" s="337"/>
      <c r="D437" s="337"/>
      <c r="E437" s="337"/>
      <c r="F437" s="337"/>
      <c r="G437" s="337"/>
      <c r="H437" s="337"/>
      <c r="I437" s="337"/>
      <c r="J437" s="337"/>
      <c r="K437" s="337"/>
      <c r="L437" s="337"/>
      <c r="M437" s="337"/>
      <c r="N437" s="337"/>
      <c r="O437" s="337"/>
    </row>
    <row r="438" spans="1:25" ht="18" customHeight="1" x14ac:dyDescent="0.2">
      <c r="A438" s="337"/>
      <c r="B438" s="337"/>
      <c r="C438" s="337"/>
      <c r="D438" s="337"/>
      <c r="E438" s="337"/>
      <c r="F438" s="337"/>
      <c r="G438" s="337"/>
      <c r="H438" s="337"/>
      <c r="I438" s="337"/>
      <c r="J438" s="337"/>
      <c r="K438" s="337"/>
      <c r="L438" s="337"/>
      <c r="M438" s="337"/>
      <c r="N438" s="337"/>
      <c r="O438" s="337"/>
    </row>
    <row r="439" spans="1:25" ht="18" customHeight="1" x14ac:dyDescent="0.2">
      <c r="A439" s="337"/>
      <c r="B439" s="337"/>
      <c r="C439" s="581" t="s">
        <v>306</v>
      </c>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row>
    <row r="440" spans="1:25" ht="18" customHeight="1" x14ac:dyDescent="0.2">
      <c r="A440" s="337"/>
      <c r="B440" s="337"/>
      <c r="C440" s="354" t="s">
        <v>234</v>
      </c>
      <c r="D440" s="354"/>
      <c r="E440" s="337"/>
      <c r="H440" s="368"/>
      <c r="I440" s="353" t="s">
        <v>28</v>
      </c>
      <c r="J440" s="588"/>
      <c r="K440" s="588"/>
      <c r="P440" s="339"/>
      <c r="Q440" s="368"/>
      <c r="R440" s="368"/>
      <c r="S440" s="369" t="s">
        <v>29</v>
      </c>
      <c r="T440" s="588"/>
      <c r="U440" s="588"/>
      <c r="V440" s="588"/>
      <c r="W440" s="588"/>
    </row>
    <row r="441" spans="1:25" ht="18" customHeight="1" x14ac:dyDescent="0.2">
      <c r="A441" s="337"/>
      <c r="B441" s="337"/>
      <c r="C441" s="345"/>
      <c r="D441" s="337"/>
      <c r="E441" s="337"/>
      <c r="F441" s="337"/>
      <c r="G441" s="337"/>
      <c r="H441" s="337"/>
      <c r="I441" s="337"/>
      <c r="J441" s="337"/>
      <c r="K441" s="337"/>
      <c r="L441" s="337"/>
      <c r="M441" s="337"/>
      <c r="N441" s="337"/>
      <c r="O441" s="337"/>
    </row>
    <row r="442" spans="1:25" ht="18" customHeight="1" x14ac:dyDescent="0.2">
      <c r="A442" s="337"/>
      <c r="B442" s="337"/>
      <c r="C442" s="345"/>
      <c r="D442" s="337"/>
      <c r="E442" s="337"/>
      <c r="F442" s="337"/>
      <c r="G442" s="337"/>
      <c r="H442" s="337"/>
      <c r="I442" s="337"/>
      <c r="J442" s="337"/>
      <c r="K442" s="337"/>
      <c r="L442" s="337"/>
      <c r="M442" s="337"/>
      <c r="N442" s="337"/>
      <c r="O442" s="337"/>
    </row>
    <row r="443" spans="1:25" ht="18" customHeight="1" x14ac:dyDescent="0.2">
      <c r="A443" s="337"/>
      <c r="B443" s="337"/>
      <c r="C443" s="592" t="s">
        <v>307</v>
      </c>
      <c r="D443" s="592"/>
      <c r="E443" s="592"/>
      <c r="F443" s="592"/>
      <c r="G443" s="592"/>
      <c r="H443" s="592"/>
      <c r="I443" s="592"/>
      <c r="J443" s="592"/>
      <c r="K443" s="592"/>
      <c r="L443" s="592"/>
      <c r="M443" s="592"/>
      <c r="N443" s="592"/>
      <c r="O443" s="592"/>
      <c r="P443" s="592"/>
      <c r="Q443" s="592"/>
      <c r="R443" s="592"/>
      <c r="S443" s="592"/>
      <c r="T443" s="592"/>
      <c r="U443" s="592"/>
      <c r="V443" s="592"/>
      <c r="W443" s="592"/>
      <c r="X443" s="592"/>
      <c r="Y443" s="592"/>
    </row>
    <row r="444" spans="1:25" ht="18" customHeight="1" x14ac:dyDescent="0.2">
      <c r="A444" s="337"/>
      <c r="B444" s="337"/>
      <c r="C444" s="354" t="s">
        <v>234</v>
      </c>
      <c r="D444" s="354"/>
      <c r="E444" s="337"/>
      <c r="H444" s="368"/>
      <c r="I444" s="353" t="s">
        <v>28</v>
      </c>
      <c r="J444" s="771"/>
      <c r="K444" s="771"/>
      <c r="P444" s="339"/>
      <c r="Q444" s="368"/>
      <c r="R444" s="368"/>
      <c r="S444" s="369" t="s">
        <v>29</v>
      </c>
      <c r="T444" s="771"/>
      <c r="U444" s="771"/>
      <c r="V444" s="771"/>
      <c r="W444" s="771"/>
    </row>
    <row r="445" spans="1:25" ht="18" customHeight="1" x14ac:dyDescent="0.2">
      <c r="A445" s="337"/>
      <c r="B445" s="337"/>
      <c r="C445" s="345"/>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row>
    <row r="446" spans="1:25" ht="18" customHeight="1" x14ac:dyDescent="0.2">
      <c r="A446" s="337"/>
      <c r="B446" s="337"/>
      <c r="C446" s="345"/>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row>
    <row r="447" spans="1:25" ht="18" customHeight="1" x14ac:dyDescent="0.2">
      <c r="A447" s="337"/>
      <c r="B447" s="337"/>
      <c r="C447" s="583" t="s">
        <v>308</v>
      </c>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row>
    <row r="448" spans="1:25" ht="18" customHeight="1" x14ac:dyDescent="0.2">
      <c r="A448" s="337"/>
      <c r="B448" s="337"/>
      <c r="C448" s="592"/>
      <c r="D448" s="592"/>
      <c r="E448" s="592"/>
      <c r="F448" s="592"/>
      <c r="G448" s="592"/>
      <c r="H448" s="592"/>
      <c r="I448" s="592"/>
      <c r="J448" s="592"/>
      <c r="K448" s="592"/>
      <c r="L448" s="592"/>
      <c r="M448" s="592"/>
      <c r="N448" s="592"/>
      <c r="O448" s="592"/>
      <c r="P448" s="592"/>
      <c r="Q448" s="592"/>
      <c r="R448" s="592"/>
      <c r="S448" s="592"/>
      <c r="T448" s="592"/>
      <c r="U448" s="592"/>
      <c r="V448" s="592"/>
      <c r="W448" s="592"/>
      <c r="X448" s="592"/>
      <c r="Y448" s="592"/>
    </row>
    <row r="449" spans="1:27" ht="18" customHeight="1" x14ac:dyDescent="0.2">
      <c r="A449" s="337"/>
      <c r="B449" s="337"/>
      <c r="C449" s="354" t="s">
        <v>234</v>
      </c>
      <c r="D449" s="354"/>
      <c r="E449" s="337"/>
      <c r="H449" s="368"/>
      <c r="I449" s="353" t="s">
        <v>28</v>
      </c>
      <c r="J449" s="588"/>
      <c r="K449" s="588"/>
      <c r="P449" s="339"/>
      <c r="Q449" s="368"/>
      <c r="R449" s="368"/>
      <c r="S449" s="369" t="s">
        <v>29</v>
      </c>
      <c r="T449" s="588"/>
      <c r="U449" s="588"/>
      <c r="V449" s="588"/>
      <c r="W449" s="588"/>
    </row>
    <row r="450" spans="1:27" ht="18" customHeight="1" x14ac:dyDescent="0.2">
      <c r="A450" s="337"/>
      <c r="B450" s="337"/>
      <c r="C450" s="345"/>
      <c r="D450" s="337"/>
      <c r="E450" s="337"/>
      <c r="F450" s="337"/>
      <c r="G450" s="337"/>
      <c r="H450" s="337"/>
      <c r="I450" s="337"/>
      <c r="J450" s="337"/>
      <c r="K450" s="337"/>
      <c r="L450" s="337"/>
      <c r="M450" s="337"/>
      <c r="N450" s="337"/>
      <c r="O450" s="337"/>
    </row>
    <row r="451" spans="1:27" ht="18" customHeight="1" x14ac:dyDescent="0.2">
      <c r="A451" s="337"/>
      <c r="B451" s="337"/>
      <c r="C451" s="345"/>
      <c r="D451" s="337"/>
      <c r="E451" s="337"/>
      <c r="F451" s="337"/>
      <c r="G451" s="337"/>
      <c r="H451" s="337"/>
      <c r="I451" s="337"/>
      <c r="J451" s="337"/>
      <c r="K451" s="337"/>
      <c r="L451" s="337"/>
      <c r="M451" s="337"/>
      <c r="N451" s="337"/>
      <c r="O451" s="337"/>
    </row>
    <row r="452" spans="1:27" ht="33.75" customHeight="1" x14ac:dyDescent="0.2">
      <c r="A452" s="337"/>
      <c r="B452" s="337"/>
      <c r="C452" s="341" t="s">
        <v>400</v>
      </c>
      <c r="D452" s="695" t="s">
        <v>405</v>
      </c>
      <c r="E452" s="696"/>
      <c r="F452" s="696"/>
      <c r="G452" s="696"/>
      <c r="H452" s="696"/>
      <c r="I452" s="696"/>
      <c r="J452" s="696"/>
      <c r="K452" s="696"/>
      <c r="L452" s="696"/>
      <c r="M452" s="696"/>
      <c r="N452" s="696"/>
      <c r="O452" s="696"/>
      <c r="P452" s="696"/>
      <c r="Q452" s="696"/>
      <c r="R452" s="696"/>
      <c r="S452" s="696"/>
      <c r="T452" s="696"/>
      <c r="U452" s="696"/>
      <c r="V452" s="696"/>
      <c r="W452" s="696"/>
      <c r="X452" s="696"/>
      <c r="Y452" s="697"/>
    </row>
    <row r="453" spans="1:27" ht="18" customHeight="1" x14ac:dyDescent="0.2">
      <c r="A453" s="337"/>
      <c r="B453" s="337"/>
      <c r="C453" s="583" t="s">
        <v>309</v>
      </c>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row>
    <row r="454" spans="1:27" s="367" customFormat="1" ht="18" customHeight="1" x14ac:dyDescent="0.2">
      <c r="A454" s="368"/>
      <c r="B454" s="368"/>
      <c r="C454" s="592"/>
      <c r="D454" s="592"/>
      <c r="E454" s="592"/>
      <c r="F454" s="592"/>
      <c r="G454" s="592"/>
      <c r="H454" s="592"/>
      <c r="I454" s="592"/>
      <c r="J454" s="592"/>
      <c r="K454" s="592"/>
      <c r="L454" s="592"/>
      <c r="M454" s="592"/>
      <c r="N454" s="592"/>
      <c r="O454" s="592"/>
      <c r="P454" s="592"/>
      <c r="Q454" s="592"/>
      <c r="R454" s="592"/>
      <c r="S454" s="592"/>
      <c r="T454" s="592"/>
      <c r="U454" s="592"/>
      <c r="V454" s="592"/>
      <c r="W454" s="592"/>
      <c r="X454" s="592"/>
      <c r="Y454" s="592"/>
    </row>
    <row r="455" spans="1:27" s="367" customFormat="1" ht="18" customHeight="1" x14ac:dyDescent="0.2">
      <c r="A455" s="368"/>
      <c r="B455" s="781" t="s">
        <v>1522</v>
      </c>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c r="AA455" s="781"/>
    </row>
    <row r="456" spans="1:27" ht="18" customHeight="1" x14ac:dyDescent="0.2">
      <c r="A456" s="337"/>
      <c r="B456" s="337"/>
      <c r="C456" s="354" t="s">
        <v>234</v>
      </c>
      <c r="D456" s="354"/>
      <c r="E456" s="337"/>
      <c r="I456" s="362" t="s">
        <v>8</v>
      </c>
      <c r="J456" s="588"/>
      <c r="K456" s="588"/>
      <c r="N456" s="346"/>
      <c r="P456" s="339"/>
      <c r="S456" s="362" t="s">
        <v>9</v>
      </c>
      <c r="T456" s="588"/>
      <c r="U456" s="588"/>
      <c r="V456" s="588"/>
      <c r="W456" s="588"/>
    </row>
    <row r="457" spans="1:27" ht="18" customHeight="1" x14ac:dyDescent="0.2">
      <c r="A457" s="337"/>
      <c r="B457" s="337"/>
      <c r="C457" s="354"/>
      <c r="D457" s="354"/>
      <c r="E457" s="337"/>
      <c r="F457" s="337"/>
      <c r="G457" s="337"/>
      <c r="H457" s="337"/>
      <c r="I457" s="362" t="s">
        <v>10</v>
      </c>
      <c r="J457" s="588"/>
      <c r="K457" s="588"/>
      <c r="P457" s="339"/>
      <c r="S457" s="362" t="s">
        <v>11</v>
      </c>
      <c r="T457" s="588"/>
      <c r="U457" s="588"/>
      <c r="V457" s="588"/>
      <c r="W457" s="588"/>
    </row>
    <row r="458" spans="1:27" s="347" customFormat="1" ht="18" customHeight="1" x14ac:dyDescent="0.2">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row>
    <row r="459" spans="1:27" s="347" customFormat="1" ht="18" customHeight="1" x14ac:dyDescent="0.2">
      <c r="A459" s="346"/>
      <c r="B459" s="346"/>
      <c r="C459" s="583" t="s">
        <v>310</v>
      </c>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row>
    <row r="460" spans="1:27" s="347" customFormat="1" ht="18" customHeight="1" x14ac:dyDescent="0.2">
      <c r="A460" s="346"/>
      <c r="B460" s="346"/>
      <c r="C460" s="583"/>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row>
    <row r="461" spans="1:27" ht="18" customHeight="1" x14ac:dyDescent="0.2">
      <c r="A461" s="337"/>
      <c r="B461" s="705" t="s">
        <v>1525</v>
      </c>
      <c r="C461" s="705"/>
      <c r="D461" s="705"/>
      <c r="E461" s="705"/>
      <c r="F461" s="705"/>
      <c r="G461" s="705"/>
      <c r="H461" s="705"/>
      <c r="I461" s="705"/>
      <c r="J461" s="705"/>
      <c r="K461" s="705"/>
      <c r="L461" s="705"/>
      <c r="M461" s="705"/>
      <c r="N461" s="705"/>
      <c r="O461" s="705"/>
      <c r="P461" s="705"/>
      <c r="Q461" s="705"/>
      <c r="R461" s="705"/>
      <c r="S461" s="705"/>
      <c r="T461" s="705"/>
      <c r="U461" s="705"/>
      <c r="V461" s="705"/>
      <c r="W461" s="705"/>
      <c r="X461" s="705"/>
      <c r="Y461" s="705"/>
      <c r="Z461" s="705"/>
      <c r="AA461" s="705"/>
    </row>
    <row r="462" spans="1:27" ht="39.75" customHeight="1" x14ac:dyDescent="0.2">
      <c r="A462" s="337"/>
      <c r="B462" s="337"/>
      <c r="C462" s="640" t="s">
        <v>85</v>
      </c>
      <c r="D462" s="640"/>
      <c r="E462" s="640"/>
      <c r="F462" s="772" t="s">
        <v>86</v>
      </c>
      <c r="G462" s="773"/>
      <c r="H462" s="773"/>
      <c r="I462" s="773"/>
      <c r="J462" s="773"/>
      <c r="K462" s="773"/>
      <c r="L462" s="773"/>
      <c r="M462" s="773"/>
      <c r="N462" s="773"/>
      <c r="O462" s="773"/>
      <c r="P462" s="773"/>
      <c r="Q462" s="773"/>
      <c r="R462" s="773"/>
      <c r="S462" s="774"/>
      <c r="T462" s="772" t="s">
        <v>12</v>
      </c>
      <c r="U462" s="773"/>
      <c r="V462" s="773"/>
      <c r="W462" s="773"/>
      <c r="X462" s="773"/>
      <c r="Y462" s="774"/>
      <c r="Z462" s="419"/>
      <c r="AA462" s="419"/>
    </row>
    <row r="463" spans="1:27" ht="23.1" customHeight="1" x14ac:dyDescent="0.2">
      <c r="A463" s="337"/>
      <c r="B463" s="337"/>
      <c r="C463" s="775" t="s">
        <v>37</v>
      </c>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7"/>
      <c r="Z463" s="419"/>
      <c r="AA463" s="419"/>
    </row>
    <row r="464" spans="1:27" ht="26.25" customHeight="1" x14ac:dyDescent="0.2">
      <c r="A464" s="337"/>
      <c r="B464" s="337"/>
      <c r="C464" s="770" t="s">
        <v>113</v>
      </c>
      <c r="D464" s="770"/>
      <c r="E464" s="770"/>
      <c r="F464" s="778" t="s">
        <v>114</v>
      </c>
      <c r="G464" s="779"/>
      <c r="H464" s="779"/>
      <c r="I464" s="779"/>
      <c r="J464" s="779"/>
      <c r="K464" s="779"/>
      <c r="L464" s="779"/>
      <c r="M464" s="779"/>
      <c r="N464" s="779"/>
      <c r="O464" s="779"/>
      <c r="P464" s="779"/>
      <c r="Q464" s="779"/>
      <c r="R464" s="779"/>
      <c r="S464" s="780"/>
      <c r="T464" s="770">
        <v>35</v>
      </c>
      <c r="U464" s="770"/>
      <c r="V464" s="770"/>
      <c r="W464" s="770"/>
      <c r="X464" s="770" t="s">
        <v>5</v>
      </c>
      <c r="Y464" s="770"/>
      <c r="Z464" s="419"/>
      <c r="AA464" s="419"/>
    </row>
    <row r="465" spans="1:28" ht="26.25" customHeight="1" x14ac:dyDescent="0.2">
      <c r="A465" s="337"/>
      <c r="B465" s="337"/>
      <c r="C465" s="638"/>
      <c r="D465" s="638"/>
      <c r="E465" s="638"/>
      <c r="F465" s="665"/>
      <c r="G465" s="666"/>
      <c r="H465" s="666"/>
      <c r="I465" s="666"/>
      <c r="J465" s="666"/>
      <c r="K465" s="666"/>
      <c r="L465" s="666"/>
      <c r="M465" s="666"/>
      <c r="N465" s="666"/>
      <c r="O465" s="666"/>
      <c r="P465" s="666"/>
      <c r="Q465" s="666"/>
      <c r="R465" s="666"/>
      <c r="S465" s="667"/>
      <c r="T465" s="590"/>
      <c r="U465" s="590"/>
      <c r="V465" s="590"/>
      <c r="W465" s="590"/>
      <c r="X465" s="668" t="s">
        <v>5</v>
      </c>
      <c r="Y465" s="668"/>
      <c r="Z465" s="420"/>
      <c r="AA465" s="420"/>
    </row>
    <row r="466" spans="1:28" ht="26.25" customHeight="1" x14ac:dyDescent="0.2">
      <c r="A466" s="337"/>
      <c r="B466" s="337"/>
      <c r="C466" s="638"/>
      <c r="D466" s="638"/>
      <c r="E466" s="638"/>
      <c r="F466" s="665"/>
      <c r="G466" s="666"/>
      <c r="H466" s="666"/>
      <c r="I466" s="666"/>
      <c r="J466" s="666"/>
      <c r="K466" s="666"/>
      <c r="L466" s="666"/>
      <c r="M466" s="666"/>
      <c r="N466" s="666"/>
      <c r="O466" s="666"/>
      <c r="P466" s="666"/>
      <c r="Q466" s="666"/>
      <c r="R466" s="666"/>
      <c r="S466" s="667"/>
      <c r="T466" s="590"/>
      <c r="U466" s="590"/>
      <c r="V466" s="590"/>
      <c r="W466" s="590"/>
      <c r="X466" s="668" t="s">
        <v>5</v>
      </c>
      <c r="Y466" s="668"/>
    </row>
    <row r="467" spans="1:28" ht="26.25" customHeight="1" x14ac:dyDescent="0.2">
      <c r="A467" s="337"/>
      <c r="B467" s="337"/>
      <c r="C467" s="638"/>
      <c r="D467" s="638"/>
      <c r="E467" s="638"/>
      <c r="F467" s="665"/>
      <c r="G467" s="666"/>
      <c r="H467" s="666"/>
      <c r="I467" s="666"/>
      <c r="J467" s="666"/>
      <c r="K467" s="666"/>
      <c r="L467" s="666"/>
      <c r="M467" s="666"/>
      <c r="N467" s="666"/>
      <c r="O467" s="666"/>
      <c r="P467" s="666"/>
      <c r="Q467" s="666"/>
      <c r="R467" s="666"/>
      <c r="S467" s="667"/>
      <c r="T467" s="590"/>
      <c r="U467" s="590"/>
      <c r="V467" s="590"/>
      <c r="W467" s="590"/>
      <c r="X467" s="668" t="s">
        <v>5</v>
      </c>
      <c r="Y467" s="668"/>
    </row>
    <row r="468" spans="1:28" ht="26.25" customHeight="1" x14ac:dyDescent="0.2">
      <c r="A468" s="337"/>
      <c r="B468" s="337"/>
      <c r="C468" s="638"/>
      <c r="D468" s="638"/>
      <c r="E468" s="638"/>
      <c r="F468" s="665"/>
      <c r="G468" s="666"/>
      <c r="H468" s="666"/>
      <c r="I468" s="666"/>
      <c r="J468" s="666"/>
      <c r="K468" s="666"/>
      <c r="L468" s="666"/>
      <c r="M468" s="666"/>
      <c r="N468" s="666"/>
      <c r="O468" s="666"/>
      <c r="P468" s="666"/>
      <c r="Q468" s="666"/>
      <c r="R468" s="666"/>
      <c r="S468" s="667"/>
      <c r="T468" s="590"/>
      <c r="U468" s="590"/>
      <c r="V468" s="590"/>
      <c r="W468" s="590"/>
      <c r="X468" s="668" t="s">
        <v>5</v>
      </c>
      <c r="Y468" s="668"/>
    </row>
    <row r="469" spans="1:28" ht="26.25" customHeight="1" x14ac:dyDescent="0.2">
      <c r="A469" s="337"/>
      <c r="B469" s="337"/>
      <c r="C469" s="638"/>
      <c r="D469" s="638"/>
      <c r="E469" s="638"/>
      <c r="F469" s="665"/>
      <c r="G469" s="666"/>
      <c r="H469" s="666"/>
      <c r="I469" s="666"/>
      <c r="J469" s="666"/>
      <c r="K469" s="666"/>
      <c r="L469" s="666"/>
      <c r="M469" s="666"/>
      <c r="N469" s="666"/>
      <c r="O469" s="666"/>
      <c r="P469" s="666"/>
      <c r="Q469" s="666"/>
      <c r="R469" s="666"/>
      <c r="S469" s="667"/>
      <c r="T469" s="590"/>
      <c r="U469" s="590"/>
      <c r="V469" s="590"/>
      <c r="W469" s="590"/>
      <c r="X469" s="668" t="s">
        <v>5</v>
      </c>
      <c r="Y469" s="668"/>
    </row>
    <row r="470" spans="1:28" ht="26.25" customHeight="1" x14ac:dyDescent="0.2">
      <c r="A470" s="337"/>
      <c r="B470" s="337"/>
      <c r="C470" s="638"/>
      <c r="D470" s="638"/>
      <c r="E470" s="638"/>
      <c r="F470" s="665"/>
      <c r="G470" s="666"/>
      <c r="H470" s="666"/>
      <c r="I470" s="666"/>
      <c r="J470" s="666"/>
      <c r="K470" s="666"/>
      <c r="L470" s="666"/>
      <c r="M470" s="666"/>
      <c r="N470" s="666"/>
      <c r="O470" s="666"/>
      <c r="P470" s="666"/>
      <c r="Q470" s="666"/>
      <c r="R470" s="666"/>
      <c r="S470" s="667"/>
      <c r="T470" s="590"/>
      <c r="U470" s="590"/>
      <c r="V470" s="590"/>
      <c r="W470" s="590"/>
      <c r="X470" s="668" t="s">
        <v>5</v>
      </c>
      <c r="Y470" s="668"/>
    </row>
    <row r="471" spans="1:28" ht="26.25" customHeight="1" x14ac:dyDescent="0.2">
      <c r="A471" s="337"/>
      <c r="B471" s="337"/>
      <c r="C471" s="638"/>
      <c r="D471" s="638"/>
      <c r="E471" s="638"/>
      <c r="F471" s="665"/>
      <c r="G471" s="666"/>
      <c r="H471" s="666"/>
      <c r="I471" s="666"/>
      <c r="J471" s="666"/>
      <c r="K471" s="666"/>
      <c r="L471" s="666"/>
      <c r="M471" s="666"/>
      <c r="N471" s="666"/>
      <c r="O471" s="666"/>
      <c r="P471" s="666"/>
      <c r="Q471" s="666"/>
      <c r="R471" s="666"/>
      <c r="S471" s="667"/>
      <c r="T471" s="590"/>
      <c r="U471" s="590"/>
      <c r="V471" s="590"/>
      <c r="W471" s="590"/>
      <c r="X471" s="668" t="s">
        <v>5</v>
      </c>
      <c r="Y471" s="668"/>
    </row>
    <row r="472" spans="1:28" ht="26.25" customHeight="1" x14ac:dyDescent="0.2">
      <c r="A472" s="337"/>
      <c r="B472" s="337"/>
      <c r="C472" s="638"/>
      <c r="D472" s="638"/>
      <c r="E472" s="638"/>
      <c r="F472" s="665"/>
      <c r="G472" s="666"/>
      <c r="H472" s="666"/>
      <c r="I472" s="666"/>
      <c r="J472" s="666"/>
      <c r="K472" s="666"/>
      <c r="L472" s="666"/>
      <c r="M472" s="666"/>
      <c r="N472" s="666"/>
      <c r="O472" s="666"/>
      <c r="P472" s="666"/>
      <c r="Q472" s="666"/>
      <c r="R472" s="666"/>
      <c r="S472" s="667"/>
      <c r="T472" s="590"/>
      <c r="U472" s="590"/>
      <c r="V472" s="590"/>
      <c r="W472" s="590"/>
      <c r="X472" s="668" t="s">
        <v>5</v>
      </c>
      <c r="Y472" s="668"/>
    </row>
    <row r="473" spans="1:28" ht="26.25" customHeight="1" x14ac:dyDescent="0.2">
      <c r="A473" s="337"/>
      <c r="B473" s="337"/>
      <c r="C473" s="638"/>
      <c r="D473" s="638"/>
      <c r="E473" s="638"/>
      <c r="F473" s="665"/>
      <c r="G473" s="666"/>
      <c r="H473" s="666"/>
      <c r="I473" s="666"/>
      <c r="J473" s="666"/>
      <c r="K473" s="666"/>
      <c r="L473" s="666"/>
      <c r="M473" s="666"/>
      <c r="N473" s="666"/>
      <c r="O473" s="666"/>
      <c r="P473" s="666"/>
      <c r="Q473" s="666"/>
      <c r="R473" s="666"/>
      <c r="S473" s="667"/>
      <c r="T473" s="590"/>
      <c r="U473" s="590"/>
      <c r="V473" s="590"/>
      <c r="W473" s="590"/>
      <c r="X473" s="668" t="s">
        <v>5</v>
      </c>
      <c r="Y473" s="668"/>
    </row>
    <row r="474" spans="1:28" ht="26.25" customHeight="1" x14ac:dyDescent="0.2">
      <c r="A474" s="337"/>
      <c r="B474" s="337"/>
      <c r="C474" s="638"/>
      <c r="D474" s="638"/>
      <c r="E474" s="638"/>
      <c r="F474" s="665"/>
      <c r="G474" s="666"/>
      <c r="H474" s="666"/>
      <c r="I474" s="666"/>
      <c r="J474" s="666"/>
      <c r="K474" s="666"/>
      <c r="L474" s="666"/>
      <c r="M474" s="666"/>
      <c r="N474" s="666"/>
      <c r="O474" s="666"/>
      <c r="P474" s="666"/>
      <c r="Q474" s="666"/>
      <c r="R474" s="666"/>
      <c r="S474" s="667"/>
      <c r="T474" s="590"/>
      <c r="U474" s="590"/>
      <c r="V474" s="590"/>
      <c r="W474" s="590"/>
      <c r="X474" s="668" t="s">
        <v>5</v>
      </c>
      <c r="Y474" s="668"/>
    </row>
    <row r="475" spans="1:28" ht="26.25" customHeight="1" x14ac:dyDescent="0.2">
      <c r="A475" s="337"/>
      <c r="B475" s="337"/>
      <c r="C475" s="638"/>
      <c r="D475" s="638"/>
      <c r="E475" s="638"/>
      <c r="F475" s="665"/>
      <c r="G475" s="666"/>
      <c r="H475" s="666"/>
      <c r="I475" s="666"/>
      <c r="J475" s="666"/>
      <c r="K475" s="666"/>
      <c r="L475" s="666"/>
      <c r="M475" s="666"/>
      <c r="N475" s="666"/>
      <c r="O475" s="666"/>
      <c r="P475" s="666"/>
      <c r="Q475" s="666"/>
      <c r="R475" s="666"/>
      <c r="S475" s="667"/>
      <c r="T475" s="590"/>
      <c r="U475" s="590"/>
      <c r="V475" s="590"/>
      <c r="W475" s="590"/>
      <c r="X475" s="668" t="s">
        <v>5</v>
      </c>
      <c r="Y475" s="668"/>
    </row>
    <row r="476" spans="1:28" ht="26.25" customHeight="1" x14ac:dyDescent="0.2">
      <c r="A476" s="337"/>
      <c r="B476" s="337"/>
      <c r="C476" s="638"/>
      <c r="D476" s="638"/>
      <c r="E476" s="638"/>
      <c r="F476" s="665"/>
      <c r="G476" s="666"/>
      <c r="H476" s="666"/>
      <c r="I476" s="666"/>
      <c r="J476" s="666"/>
      <c r="K476" s="666"/>
      <c r="L476" s="666"/>
      <c r="M476" s="666"/>
      <c r="N476" s="666"/>
      <c r="O476" s="666"/>
      <c r="P476" s="666"/>
      <c r="Q476" s="666"/>
      <c r="R476" s="666"/>
      <c r="S476" s="667"/>
      <c r="T476" s="590"/>
      <c r="U476" s="590"/>
      <c r="V476" s="590"/>
      <c r="W476" s="590"/>
      <c r="X476" s="668" t="s">
        <v>5</v>
      </c>
      <c r="Y476" s="668"/>
    </row>
    <row r="477" spans="1:28" ht="26.25" customHeight="1" x14ac:dyDescent="0.2">
      <c r="A477" s="337"/>
      <c r="B477" s="337"/>
      <c r="C477" s="638"/>
      <c r="D477" s="638"/>
      <c r="E477" s="638"/>
      <c r="F477" s="665"/>
      <c r="G477" s="666"/>
      <c r="H477" s="666"/>
      <c r="I477" s="666"/>
      <c r="J477" s="666"/>
      <c r="K477" s="666"/>
      <c r="L477" s="666"/>
      <c r="M477" s="666"/>
      <c r="N477" s="666"/>
      <c r="O477" s="666"/>
      <c r="P477" s="666"/>
      <c r="Q477" s="666"/>
      <c r="R477" s="666"/>
      <c r="S477" s="667"/>
      <c r="T477" s="590"/>
      <c r="U477" s="590"/>
      <c r="V477" s="590"/>
      <c r="W477" s="590"/>
      <c r="X477" s="668" t="s">
        <v>5</v>
      </c>
      <c r="Y477" s="668"/>
    </row>
    <row r="478" spans="1:28" ht="26.25" customHeight="1" x14ac:dyDescent="0.2">
      <c r="A478" s="337"/>
      <c r="B478" s="337"/>
      <c r="C478" s="638"/>
      <c r="D478" s="638"/>
      <c r="E478" s="638"/>
      <c r="F478" s="665"/>
      <c r="G478" s="666"/>
      <c r="H478" s="666"/>
      <c r="I478" s="666"/>
      <c r="J478" s="666"/>
      <c r="K478" s="666"/>
      <c r="L478" s="666"/>
      <c r="M478" s="666"/>
      <c r="N478" s="666"/>
      <c r="O478" s="666"/>
      <c r="P478" s="666"/>
      <c r="Q478" s="666"/>
      <c r="R478" s="666"/>
      <c r="S478" s="667"/>
      <c r="T478" s="590"/>
      <c r="U478" s="590"/>
      <c r="V478" s="590"/>
      <c r="W478" s="590"/>
      <c r="X478" s="668" t="s">
        <v>5</v>
      </c>
      <c r="Y478" s="668"/>
    </row>
    <row r="479" spans="1:28" ht="26.25" customHeight="1" x14ac:dyDescent="0.2">
      <c r="C479" s="638"/>
      <c r="D479" s="638"/>
      <c r="E479" s="638"/>
      <c r="F479" s="665"/>
      <c r="G479" s="666"/>
      <c r="H479" s="666"/>
      <c r="I479" s="666"/>
      <c r="J479" s="666"/>
      <c r="K479" s="666"/>
      <c r="L479" s="666"/>
      <c r="M479" s="666"/>
      <c r="N479" s="666"/>
      <c r="O479" s="666"/>
      <c r="P479" s="666"/>
      <c r="Q479" s="666"/>
      <c r="R479" s="666"/>
      <c r="S479" s="667"/>
      <c r="T479" s="590"/>
      <c r="U479" s="590"/>
      <c r="V479" s="590"/>
      <c r="W479" s="590"/>
      <c r="X479" s="668" t="s">
        <v>5</v>
      </c>
      <c r="Y479" s="668"/>
      <c r="Z479" s="421"/>
      <c r="AA479" s="421"/>
      <c r="AB479" s="421"/>
    </row>
    <row r="480" spans="1:28" ht="18" customHeight="1" thickBot="1" x14ac:dyDescent="0.25">
      <c r="A480" s="337"/>
      <c r="B480" s="337"/>
      <c r="C480" s="625" t="s">
        <v>258</v>
      </c>
      <c r="D480" s="626"/>
      <c r="E480" s="626"/>
      <c r="F480" s="626"/>
      <c r="G480" s="626"/>
      <c r="H480" s="626"/>
      <c r="I480" s="626"/>
      <c r="J480" s="626"/>
      <c r="K480" s="626"/>
      <c r="L480" s="626"/>
      <c r="M480" s="626"/>
      <c r="N480" s="626"/>
      <c r="O480" s="626"/>
      <c r="P480" s="626"/>
      <c r="Q480" s="626"/>
      <c r="R480" s="626"/>
      <c r="S480" s="627"/>
      <c r="T480" s="662" t="str">
        <f>IF(COUNTA($T$465:$W$479)=0,"",SUM($T$465:$W$479))</f>
        <v/>
      </c>
      <c r="U480" s="662"/>
      <c r="V480" s="662"/>
      <c r="W480" s="662"/>
      <c r="X480" s="663" t="s">
        <v>5</v>
      </c>
      <c r="Y480" s="663"/>
      <c r="Z480" s="422"/>
      <c r="AA480" s="422"/>
      <c r="AB480" s="423"/>
    </row>
    <row r="481" spans="1:27" ht="18" customHeight="1" thickBot="1" x14ac:dyDescent="0.25">
      <c r="A481" s="337"/>
      <c r="B481" s="337"/>
      <c r="C481" s="337"/>
      <c r="D481" s="337"/>
      <c r="E481" s="337"/>
      <c r="F481" s="337"/>
      <c r="I481" s="424"/>
      <c r="J481" s="424"/>
      <c r="K481" s="337"/>
      <c r="L481" s="337"/>
      <c r="M481" s="369"/>
      <c r="N481" s="337"/>
      <c r="O481" s="337"/>
      <c r="P481" s="337"/>
      <c r="Q481" s="337"/>
      <c r="R481" s="337"/>
      <c r="S481" s="337"/>
      <c r="T481" s="528">
        <f t="array" ref="T481">SUM(IF(COUNTIF(C465:E479,C465:E479)&lt;&gt;0,1/COUNTIF(C465:E479,C465:E479),""))</f>
        <v>0</v>
      </c>
      <c r="U481" s="396"/>
      <c r="V481" s="396"/>
      <c r="W481" s="397" t="str">
        <f>IF($T$480="","",IF($T$480&lt;&gt;100,"La somme des proportions du site occupée par les différents types d'habitats EUNIS niveau 3 doit être égale à 100%. ",""))</f>
        <v/>
      </c>
      <c r="X481" s="425"/>
      <c r="Y481" s="425"/>
      <c r="Z481" s="425"/>
      <c r="AA481" s="425"/>
    </row>
    <row r="482" spans="1:27" ht="18" customHeight="1" thickBot="1" x14ac:dyDescent="0.25">
      <c r="A482" s="337"/>
      <c r="B482" s="337"/>
      <c r="C482" s="423"/>
      <c r="D482" s="337"/>
      <c r="E482" s="337"/>
      <c r="F482" s="337"/>
      <c r="G482" s="337"/>
      <c r="H482" s="337"/>
      <c r="I482" s="337"/>
      <c r="J482" s="337"/>
      <c r="K482" s="337"/>
      <c r="L482" s="337"/>
      <c r="M482" s="337"/>
      <c r="N482" s="337"/>
      <c r="O482" s="337"/>
      <c r="P482" s="337"/>
      <c r="Q482" s="337"/>
      <c r="R482" s="337"/>
      <c r="S482" s="337"/>
      <c r="T482" s="426" t="str">
        <f>CONCATENATE(IF(SUM(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IF(AND(LEN(C478)&lt;&gt;4,C478&lt;&gt;""),1,0),IF(AND(LEN(C479)&lt;&gt;4,C479&lt;&gt;""),1,0))&gt;0,"Au moins un code EUNIS niveau 3 est mal renseigné (voir les instructions dans le guide page 106).",""),IF(SUM(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IF(AND(LEFT(RIGHT(C478,2),1)&lt;&gt;".",LEFT(RIGHT(C478,2),1)&lt;&gt;""),1,0),IF(AND(LEFT(RIGHT(C479,2),1)&lt;&gt;".",LEFT(RIGHT(C479,2),1)&lt;&gt;""),1,0))&gt;0,"Au moins un code EUNIS niveau 3 est mal renseigné (voir instructions du guide page 106).",""),IF(SUM(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IF(OR(LEFT(C478,2)="C1",LEFT(C478,2)="C2",LEFT(C478,2)="J5",LEFT(C478,2)="J1",LEFT(C478,2)="J2",LEFT(C478,2)="J4"),1,0),IF(OR(LEFT(C479,2)="C1",LEFT(C479,2)="C2",LEFT(C479,2)="J5",LEFT(C479,2)="J1",LEFT(C479,2)="J2",LEFT(C479,2)="J4"),1,0))&gt;0,"C1, C2, J1, J2, J4 et J5 ne peuvent pas figurer ici (non humide). Avec impact envisagé ou après impact, réduisez l'emprise sur site impacté (question 1) pour les exclure et ne pas les noter ici.",""),IF(COUNTA(C465:E479)-T481&gt;0,"Un code EUNIS apparaît en doublon et ce n'est pas logique.",""),IF(COUNTA(C465:E479)&gt;COUNTIF(T465:W479,"&gt;0"),"La part de chaque habitat indiqué dans la colonne de gauche, doit être renseignée dans la colonne de droite.",""),IF(COUNTIF(T465:W479,"&gt;0")&gt;COUNTA(C465:E479),"Le code de chaque habitat doit être indiqué dans la colonne de gauche.",""))</f>
        <v/>
      </c>
      <c r="U482" s="427"/>
      <c r="V482" s="427"/>
      <c r="W482" s="397" t="str">
        <f>IF(COUNTA($T$465:$W$479)=0,"",CONCATENATE(IF(AND($J$456="X",MIN($T$465:$T$479)*$T$107*100&lt;15625),"La part d'un des habitats est inférieure à la surface minimale cartographiable choisie (15 625 m²).",IF(AND($T$456="X",MIN($T$465:$T$479)*$T$107*100&lt;2500),"La part d'un des habitats est inférieure à la surface minimale cartographiable choisie (2500 m²).",IF(AND($J$457="X",MIN($T$465:$T$479)*$T$107*100&lt;625),"La part d'un des habitats est inférieure à la surface minimale cartographiable choisie (625 m²).",IF(AND($T$457="X",MIN($T$465:$T$479)*$T$107*100&lt;156),"La part d'un des habitats est inférieure à la surface minimale cartographiable choisie (156 m²).","")))),CONCATENATE(IF(SUMIF($C$465:$E$479,"A*",$T$465:$W$479)*$T$107*100&gt;$T$361*$T$356*100,"La superficie de l’habitat A dans le paysage ne peut pas être inférieure à celle de l’habitat A dans le site. ",""),IF(SUMIF($C$465:$E$479,"B*",$T$465:$W$479)*$T$107*100&gt;$T$362*$T$356*100,"La superficie de l’habitat B dans le paysage ne peut pas être inférieure à celle de l’habitat B dans le site. ",""),IF(SUMIF($C$465:$E$479,"C*",$T$465:$W$479)*$T$107*100&gt;$T$363*$T$356*100,"La superficie de l’habitat C dans le paysage ne peut pas être inférieure à celle de l’habitat C dans le site. ",""),IF(SUMIF($C$465:$E$479,"D*",$T$465:$W$479)*$T$107*100&gt;$T$364*$T$356*100,"La superficie de l’habitat D dans le paysage ne peut pas être inférieure à celle de l’habitat D dans le site. ",""),IF(SUMIF($C$465:$E$479,"E*",$T$465:$W$479)*$T$107*100&gt;$T$365*$T$356*100,"La superficie de l’habitat E dans le paysage ne peut pas être inférieure à celle de l’habitat E dans le site. ",""),IF(SUMIF($C$465:$E$479,"F*",$T$465:$W$479)*$T$107*100&gt;$T$366*$T$356*100,"La superficie de l’habitat F dans le paysage ne peut pas être inférieure à celle de l’habitat F dans le site. ",""),IF(SUMIF($C$465:$E$479,"G*",$T$465:$W$479)*$T$107*100&gt;$T$367*$T$356*100,"La superficie de l’habitat G dans le paysage ne peut pas être inférieure à celle de l’habitat G dans le site. ",""),IF(SUMIF($C$465:$E$479,"H*",$T$465:$W$479)*$T$107*100&gt;$T$368*$T$356*100,"La superficie de l’habitat H dans le paysage ne peut pas être inférieure à celle de l’habitat H dans le site. ",""),IF(SUMIF($C$465:$E$479,"I*",$T$465:$W$479)*$T$107*100&gt;$T$369*$T$356*100,"La superficie de l’habitat I dans le paysage ne peut pas être inférieure à celle de l’habitat I dans le site. ",""),IF(SUMIF($C$465:$E$479,"J*",$T$465:$W$479)*$T$107*100&gt;$T$370*$T$356*100,"La superficie de l’habitat J dans le paysage ne peut pas être inférieure à celle de l’habitat J dans le site.",""))))</f>
        <v/>
      </c>
      <c r="X482" s="428"/>
      <c r="Y482" s="428"/>
      <c r="Z482" s="428"/>
      <c r="AA482" s="428"/>
    </row>
    <row r="483" spans="1:27" ht="18" customHeight="1" x14ac:dyDescent="0.2">
      <c r="A483" s="337"/>
      <c r="B483" s="337"/>
      <c r="C483" s="345"/>
      <c r="D483" s="337"/>
      <c r="E483" s="337"/>
      <c r="F483" s="337"/>
      <c r="G483" s="337"/>
      <c r="H483" s="337"/>
      <c r="I483" s="337"/>
      <c r="J483" s="337"/>
      <c r="K483" s="337"/>
      <c r="L483" s="337"/>
      <c r="M483" s="337"/>
      <c r="N483" s="337"/>
      <c r="O483" s="337"/>
      <c r="P483" s="337"/>
      <c r="Q483" s="337"/>
      <c r="R483" s="337"/>
      <c r="S483" s="337"/>
      <c r="T483" s="429"/>
      <c r="U483" s="429"/>
      <c r="V483" s="429"/>
      <c r="W483" s="398"/>
      <c r="X483" s="428"/>
      <c r="Y483" s="428"/>
      <c r="Z483" s="428"/>
      <c r="AA483" s="428"/>
    </row>
    <row r="484" spans="1:27" ht="23.1" customHeight="1" x14ac:dyDescent="0.2">
      <c r="A484" s="337"/>
      <c r="B484" s="337"/>
      <c r="C484" s="583" t="s">
        <v>311</v>
      </c>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row>
    <row r="485" spans="1:27" ht="23.1" customHeight="1" x14ac:dyDescent="0.2">
      <c r="A485" s="337"/>
      <c r="B485" s="337"/>
      <c r="C485" s="592"/>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row>
    <row r="486" spans="1:27" ht="18" customHeight="1" x14ac:dyDescent="0.2">
      <c r="A486" s="337"/>
      <c r="B486" s="337"/>
      <c r="C486" s="669"/>
      <c r="D486" s="670"/>
      <c r="E486" s="670"/>
      <c r="F486" s="670"/>
      <c r="G486" s="670"/>
      <c r="H486" s="670"/>
      <c r="I486" s="670"/>
      <c r="J486" s="670"/>
      <c r="K486" s="670"/>
      <c r="L486" s="670"/>
      <c r="M486" s="670"/>
      <c r="N486" s="670"/>
      <c r="O486" s="670"/>
      <c r="P486" s="670"/>
      <c r="Q486" s="670"/>
      <c r="R486" s="670"/>
      <c r="S486" s="670"/>
      <c r="T486" s="670"/>
      <c r="U486" s="670"/>
      <c r="V486" s="670"/>
      <c r="W486" s="670"/>
      <c r="X486" s="670"/>
      <c r="Y486" s="671"/>
    </row>
    <row r="487" spans="1:27" ht="18" customHeight="1" x14ac:dyDescent="0.2">
      <c r="A487" s="337"/>
      <c r="B487" s="337"/>
      <c r="C487" s="672"/>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4"/>
    </row>
    <row r="488" spans="1:27" s="347" customFormat="1" ht="18" customHeight="1" x14ac:dyDescent="0.2">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row>
    <row r="489" spans="1:27" s="347" customFormat="1" ht="18" customHeight="1" x14ac:dyDescent="0.2">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row>
    <row r="490" spans="1:27" ht="18" customHeight="1" x14ac:dyDescent="0.2">
      <c r="A490" s="337"/>
      <c r="B490" s="337"/>
      <c r="C490" s="581" t="s">
        <v>312</v>
      </c>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row>
    <row r="491" spans="1:27" ht="18" customHeight="1" thickBot="1" x14ac:dyDescent="0.25">
      <c r="A491" s="337"/>
      <c r="B491" s="337"/>
      <c r="C491" s="337"/>
      <c r="D491" s="337"/>
      <c r="E491" s="337"/>
      <c r="F491" s="337"/>
      <c r="G491" s="337"/>
      <c r="H491" s="337"/>
      <c r="I491" s="337"/>
      <c r="J491" s="337"/>
      <c r="K491" s="337"/>
      <c r="L491" s="337"/>
      <c r="M491" s="337"/>
      <c r="N491" s="337"/>
      <c r="O491" s="337"/>
      <c r="S491" s="353" t="s">
        <v>259</v>
      </c>
      <c r="T491" s="769"/>
      <c r="U491" s="769"/>
      <c r="V491" s="769"/>
      <c r="W491" s="769"/>
      <c r="X491" s="591" t="s">
        <v>118</v>
      </c>
      <c r="Y491" s="591"/>
    </row>
    <row r="492" spans="1:27" ht="18" customHeight="1" thickBot="1" x14ac:dyDescent="0.25">
      <c r="A492" s="337"/>
      <c r="B492" s="337"/>
      <c r="C492" s="345"/>
      <c r="D492" s="337"/>
      <c r="E492" s="337"/>
      <c r="F492" s="337"/>
      <c r="G492" s="337"/>
      <c r="H492" s="337"/>
      <c r="I492" s="337"/>
      <c r="J492" s="337"/>
      <c r="K492" s="337"/>
      <c r="L492" s="337"/>
      <c r="M492" s="337"/>
      <c r="N492" s="337"/>
      <c r="O492" s="337"/>
      <c r="T492" s="395"/>
      <c r="U492" s="396"/>
      <c r="V492" s="396"/>
      <c r="W492" s="397" t="str">
        <f>IF($T$491="","",IF($T$491&gt;100,"La proportion du site occupée par un couvert végétal permanent ne peut pas être supérieure à 100%",""))</f>
        <v/>
      </c>
    </row>
    <row r="493" spans="1:27" ht="18" customHeight="1" x14ac:dyDescent="0.2">
      <c r="A493" s="337"/>
      <c r="B493" s="337"/>
      <c r="C493" s="345"/>
      <c r="D493" s="337"/>
      <c r="E493" s="337"/>
      <c r="F493" s="337"/>
      <c r="G493" s="337"/>
      <c r="H493" s="337"/>
      <c r="I493" s="337"/>
      <c r="J493" s="337"/>
      <c r="K493" s="337"/>
      <c r="L493" s="337"/>
      <c r="M493" s="337"/>
      <c r="N493" s="337"/>
      <c r="O493" s="337"/>
      <c r="T493" s="347"/>
      <c r="U493" s="347"/>
      <c r="V493" s="347"/>
      <c r="W493" s="398"/>
    </row>
    <row r="494" spans="1:27" ht="33.75" customHeight="1" x14ac:dyDescent="0.2">
      <c r="A494" s="337"/>
      <c r="B494" s="337"/>
      <c r="C494" s="341" t="s">
        <v>399</v>
      </c>
      <c r="D494" s="695" t="s">
        <v>406</v>
      </c>
      <c r="E494" s="696"/>
      <c r="F494" s="696"/>
      <c r="G494" s="696"/>
      <c r="H494" s="696"/>
      <c r="I494" s="696"/>
      <c r="J494" s="696"/>
      <c r="K494" s="696"/>
      <c r="L494" s="696"/>
      <c r="M494" s="696"/>
      <c r="N494" s="696"/>
      <c r="O494" s="696"/>
      <c r="P494" s="696"/>
      <c r="Q494" s="696"/>
      <c r="R494" s="696"/>
      <c r="S494" s="696"/>
      <c r="T494" s="696"/>
      <c r="U494" s="696"/>
      <c r="V494" s="696"/>
      <c r="W494" s="696"/>
      <c r="X494" s="696"/>
      <c r="Y494" s="697"/>
    </row>
    <row r="495" spans="1:27" s="432" customFormat="1" ht="18" customHeight="1" thickBot="1" x14ac:dyDescent="0.25">
      <c r="A495" s="431"/>
      <c r="B495" s="431"/>
      <c r="C495" s="664" t="s">
        <v>115</v>
      </c>
      <c r="D495" s="664"/>
      <c r="E495" s="664"/>
      <c r="F495" s="664"/>
      <c r="G495" s="664"/>
      <c r="H495" s="664"/>
      <c r="I495" s="664"/>
      <c r="J495" s="664"/>
      <c r="K495" s="664"/>
      <c r="L495" s="664"/>
      <c r="M495" s="664"/>
      <c r="N495" s="664"/>
      <c r="O495" s="664"/>
      <c r="P495" s="664"/>
      <c r="Q495" s="664"/>
      <c r="R495" s="664"/>
      <c r="S495" s="664"/>
      <c r="T495" s="664"/>
      <c r="U495" s="664"/>
      <c r="V495" s="664"/>
      <c r="W495" s="664"/>
      <c r="X495" s="664"/>
      <c r="Y495" s="664"/>
    </row>
    <row r="496" spans="1:27" ht="18" customHeight="1" thickBot="1" x14ac:dyDescent="0.25">
      <c r="A496" s="337"/>
      <c r="B496" s="337"/>
      <c r="C496" s="433"/>
      <c r="D496" s="433"/>
      <c r="E496" s="433"/>
      <c r="F496" s="433"/>
      <c r="G496" s="433"/>
      <c r="H496" s="433"/>
      <c r="I496" s="433"/>
      <c r="J496" s="433"/>
      <c r="K496" s="433"/>
      <c r="L496" s="433"/>
      <c r="M496" s="433"/>
      <c r="N496" s="433"/>
      <c r="O496" s="433"/>
      <c r="P496" s="433"/>
      <c r="Q496" s="433"/>
      <c r="R496" s="433"/>
      <c r="S496" s="433"/>
      <c r="T496" s="434"/>
      <c r="U496" s="435"/>
      <c r="V496" s="435"/>
      <c r="W496" s="377" t="str">
        <f>IF(AND($J$121="X",COUNTA($T$503,$T$504,$J$508,$T$508)&lt;3),"Le site est dans un système hydrogéomorphologique alluvial, la sous-partie 1.6 doit être renseignée. ",IF(AND(COUNTA($J$121)=0,COUNTA($T$498,$T$503,$T$504,$J$508,$T$508)&gt;0),"Le système n'est pas dans un système hydromorphologique alluvial, ne répondez pas aux 3 questions suivantes.",""))</f>
        <v/>
      </c>
      <c r="X496" s="433"/>
      <c r="Y496" s="433"/>
    </row>
    <row r="497" spans="1:25" ht="18" customHeight="1" x14ac:dyDescent="0.2">
      <c r="A497" s="337"/>
      <c r="B497" s="337"/>
      <c r="C497" s="581" t="s">
        <v>313</v>
      </c>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row>
    <row r="498" spans="1:25" ht="18" customHeight="1" x14ac:dyDescent="0.2">
      <c r="A498" s="337"/>
      <c r="B498" s="337"/>
      <c r="C498" s="337"/>
      <c r="D498" s="337"/>
      <c r="E498" s="337"/>
      <c r="F498" s="337"/>
      <c r="G498" s="337"/>
      <c r="H498" s="337"/>
      <c r="I498" s="337"/>
      <c r="J498" s="337"/>
      <c r="K498" s="394"/>
      <c r="L498" s="394"/>
      <c r="M498" s="394"/>
      <c r="N498" s="337"/>
      <c r="O498" s="337"/>
      <c r="S498" s="353" t="s">
        <v>260</v>
      </c>
      <c r="T498" s="578"/>
      <c r="U498" s="578"/>
      <c r="V498" s="578"/>
      <c r="W498" s="578"/>
      <c r="X498" s="591" t="s">
        <v>112</v>
      </c>
      <c r="Y498" s="591"/>
    </row>
    <row r="499" spans="1:25" ht="18" customHeight="1" x14ac:dyDescent="0.2">
      <c r="A499" s="337"/>
      <c r="B499" s="337"/>
      <c r="C499" s="337"/>
      <c r="D499" s="337"/>
      <c r="E499" s="337"/>
      <c r="F499" s="337"/>
      <c r="G499" s="337"/>
      <c r="H499" s="337"/>
      <c r="I499" s="337"/>
      <c r="J499" s="337"/>
      <c r="K499" s="337"/>
      <c r="L499" s="337"/>
      <c r="M499" s="337"/>
      <c r="N499" s="337"/>
      <c r="O499" s="337"/>
    </row>
    <row r="500" spans="1:25" ht="18" customHeight="1" x14ac:dyDescent="0.2">
      <c r="A500" s="337"/>
      <c r="B500" s="337"/>
      <c r="C500" s="337"/>
      <c r="D500" s="337"/>
      <c r="E500" s="337"/>
      <c r="F500" s="337"/>
      <c r="G500" s="337"/>
      <c r="H500" s="337"/>
      <c r="I500" s="337"/>
      <c r="J500" s="337"/>
      <c r="K500" s="337"/>
      <c r="L500" s="337"/>
      <c r="M500" s="337"/>
      <c r="N500" s="337"/>
      <c r="O500" s="337"/>
    </row>
    <row r="501" spans="1:25" ht="18" customHeight="1" x14ac:dyDescent="0.2">
      <c r="A501" s="337"/>
      <c r="B501" s="337"/>
      <c r="C501" s="583" t="s">
        <v>314</v>
      </c>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row>
    <row r="502" spans="1:25" ht="18" customHeight="1" x14ac:dyDescent="0.2">
      <c r="A502" s="337"/>
      <c r="B502" s="337"/>
      <c r="C502" s="592"/>
      <c r="D502" s="592"/>
      <c r="E502" s="592"/>
      <c r="F502" s="592"/>
      <c r="G502" s="592"/>
      <c r="H502" s="592"/>
      <c r="I502" s="592"/>
      <c r="J502" s="592"/>
      <c r="K502" s="592"/>
      <c r="L502" s="592"/>
      <c r="M502" s="592"/>
      <c r="N502" s="592"/>
      <c r="O502" s="592"/>
      <c r="P502" s="592"/>
      <c r="Q502" s="592"/>
      <c r="R502" s="592"/>
      <c r="S502" s="592"/>
      <c r="T502" s="592"/>
      <c r="U502" s="592"/>
      <c r="V502" s="592"/>
      <c r="W502" s="592"/>
      <c r="X502" s="592"/>
      <c r="Y502" s="592"/>
    </row>
    <row r="503" spans="1:25" ht="18" customHeight="1" x14ac:dyDescent="0.2">
      <c r="A503" s="337"/>
      <c r="B503" s="337"/>
      <c r="C503" s="436"/>
      <c r="D503" s="436"/>
      <c r="E503" s="436"/>
      <c r="F503" s="436"/>
      <c r="G503" s="436"/>
      <c r="H503" s="353"/>
      <c r="I503" s="353"/>
      <c r="J503" s="353"/>
      <c r="K503" s="337"/>
      <c r="L503" s="337"/>
      <c r="M503" s="337"/>
      <c r="N503" s="337"/>
      <c r="O503" s="337"/>
      <c r="S503" s="437" t="s">
        <v>261</v>
      </c>
      <c r="T503" s="578"/>
      <c r="U503" s="578"/>
      <c r="V503" s="578"/>
      <c r="W503" s="578"/>
      <c r="X503" s="591" t="s">
        <v>112</v>
      </c>
      <c r="Y503" s="591"/>
    </row>
    <row r="504" spans="1:25" ht="17.25" customHeight="1" thickBot="1" x14ac:dyDescent="0.25">
      <c r="A504" s="337"/>
      <c r="B504" s="337"/>
      <c r="C504" s="438"/>
      <c r="D504" s="439"/>
      <c r="E504" s="439"/>
      <c r="F504" s="439"/>
      <c r="G504" s="439"/>
      <c r="H504" s="439"/>
      <c r="I504" s="439"/>
      <c r="J504" s="439"/>
      <c r="K504" s="337"/>
      <c r="L504" s="337"/>
      <c r="M504" s="337"/>
      <c r="N504" s="337"/>
      <c r="O504" s="337"/>
      <c r="S504" s="440" t="s">
        <v>262</v>
      </c>
      <c r="T504" s="578"/>
      <c r="U504" s="578"/>
      <c r="V504" s="578"/>
      <c r="W504" s="578"/>
      <c r="X504" s="591" t="s">
        <v>112</v>
      </c>
      <c r="Y504" s="591"/>
    </row>
    <row r="505" spans="1:25" ht="18" customHeight="1" thickBot="1" x14ac:dyDescent="0.25">
      <c r="A505" s="337"/>
      <c r="B505" s="337"/>
      <c r="C505" s="337"/>
      <c r="D505" s="337"/>
      <c r="E505" s="337"/>
      <c r="F505" s="337"/>
      <c r="G505" s="337"/>
      <c r="H505" s="337"/>
      <c r="I505" s="337"/>
      <c r="J505" s="337"/>
      <c r="K505" s="337"/>
      <c r="L505" s="337"/>
      <c r="M505" s="337"/>
      <c r="N505" s="337"/>
      <c r="O505" s="337"/>
      <c r="T505" s="395"/>
      <c r="U505" s="396"/>
      <c r="V505" s="396"/>
      <c r="W505" s="397" t="str">
        <f>CONCATENATE(IF(AND($J$121="X",COUNTBLANK($T$503:$T$504)&gt;0),"Le site est dans un système hydrogéomorphologique alluvial, répondez à cette question.",""),(IF($T$503&lt;$T$504,CONCATENATE("La longueur développée doit être supérieure ou égale à la longueur de l'enveloppe de méandrage en passant par les points d'inflexion des sinuosités."),"")))</f>
        <v/>
      </c>
    </row>
    <row r="506" spans="1:25" ht="18" customHeight="1" x14ac:dyDescent="0.2">
      <c r="A506" s="337"/>
      <c r="B506" s="337"/>
      <c r="C506" s="337"/>
      <c r="D506" s="337"/>
      <c r="E506" s="337"/>
      <c r="F506" s="337"/>
      <c r="G506" s="337"/>
      <c r="H506" s="337"/>
      <c r="I506" s="337"/>
      <c r="J506" s="337"/>
      <c r="K506" s="337"/>
      <c r="L506" s="337"/>
      <c r="M506" s="337"/>
      <c r="N506" s="337"/>
      <c r="O506" s="337"/>
    </row>
    <row r="507" spans="1:25" ht="18" customHeight="1" x14ac:dyDescent="0.2">
      <c r="A507" s="337"/>
      <c r="B507" s="337"/>
      <c r="C507" s="581" t="s">
        <v>375</v>
      </c>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row>
    <row r="508" spans="1:25" ht="18" customHeight="1" x14ac:dyDescent="0.2">
      <c r="A508" s="337"/>
      <c r="B508" s="337"/>
      <c r="C508" s="354" t="s">
        <v>234</v>
      </c>
      <c r="D508" s="354"/>
      <c r="E508" s="337"/>
      <c r="H508" s="368"/>
      <c r="I508" s="353" t="s">
        <v>28</v>
      </c>
      <c r="J508" s="588"/>
      <c r="K508" s="588"/>
      <c r="P508" s="339"/>
      <c r="Q508" s="368"/>
      <c r="R508" s="368"/>
      <c r="S508" s="369" t="s">
        <v>29</v>
      </c>
      <c r="T508" s="588"/>
      <c r="U508" s="588"/>
      <c r="V508" s="588"/>
      <c r="W508" s="588"/>
    </row>
    <row r="509" spans="1:25" ht="18" customHeight="1" x14ac:dyDescent="0.2">
      <c r="A509" s="337"/>
      <c r="B509" s="337"/>
      <c r="C509" s="345"/>
      <c r="D509" s="337"/>
      <c r="E509" s="337"/>
      <c r="F509" s="337"/>
      <c r="G509" s="337"/>
      <c r="H509" s="337"/>
      <c r="I509" s="337"/>
      <c r="J509" s="337"/>
      <c r="K509" s="337"/>
      <c r="L509" s="337"/>
      <c r="M509" s="337"/>
      <c r="N509" s="337"/>
      <c r="O509" s="337"/>
    </row>
    <row r="510" spans="1:25" ht="18" customHeight="1" x14ac:dyDescent="0.2">
      <c r="A510" s="337"/>
      <c r="B510" s="337"/>
      <c r="C510" s="345"/>
      <c r="D510" s="337"/>
      <c r="E510" s="337"/>
      <c r="F510" s="337"/>
      <c r="G510" s="337"/>
      <c r="H510" s="337"/>
      <c r="I510" s="337"/>
      <c r="J510" s="337"/>
      <c r="K510" s="337"/>
      <c r="L510" s="337"/>
      <c r="M510" s="337"/>
      <c r="N510" s="337"/>
      <c r="O510" s="337"/>
    </row>
    <row r="511" spans="1:25" ht="35.25" customHeight="1" x14ac:dyDescent="0.2">
      <c r="A511" s="337"/>
      <c r="B511" s="337"/>
      <c r="C511" s="341" t="s">
        <v>398</v>
      </c>
      <c r="D511" s="695" t="s">
        <v>407</v>
      </c>
      <c r="E511" s="696"/>
      <c r="F511" s="696"/>
      <c r="G511" s="696"/>
      <c r="H511" s="696"/>
      <c r="I511" s="696"/>
      <c r="J511" s="696"/>
      <c r="K511" s="696"/>
      <c r="L511" s="696"/>
      <c r="M511" s="696"/>
      <c r="N511" s="696"/>
      <c r="O511" s="696"/>
      <c r="P511" s="696"/>
      <c r="Q511" s="696"/>
      <c r="R511" s="696"/>
      <c r="S511" s="696"/>
      <c r="T511" s="696"/>
      <c r="U511" s="696"/>
      <c r="V511" s="696"/>
      <c r="W511" s="696"/>
      <c r="X511" s="696"/>
      <c r="Y511" s="697"/>
    </row>
    <row r="512" spans="1:25" ht="18" customHeight="1" x14ac:dyDescent="0.2">
      <c r="A512" s="337"/>
      <c r="B512" s="337"/>
      <c r="C512" s="517"/>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row>
    <row r="513" spans="1:25" ht="18" customHeight="1" x14ac:dyDescent="0.2">
      <c r="A513" s="337"/>
      <c r="B513" s="337"/>
      <c r="C513" s="581" t="s">
        <v>315</v>
      </c>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row>
    <row r="514" spans="1:25" ht="18" customHeight="1" x14ac:dyDescent="0.2">
      <c r="A514" s="337"/>
      <c r="B514" s="337"/>
      <c r="C514" s="536"/>
      <c r="D514" s="537"/>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1:25" s="347" customFormat="1" ht="18" customHeight="1" x14ac:dyDescent="0.2">
      <c r="C515" s="345"/>
      <c r="D515" s="520"/>
      <c r="E515" s="352"/>
      <c r="F515" s="352"/>
      <c r="G515" s="352"/>
      <c r="H515" s="352"/>
      <c r="I515" s="352"/>
      <c r="J515" s="352"/>
      <c r="K515" s="352"/>
      <c r="L515" s="352"/>
      <c r="M515" s="352"/>
      <c r="N515" s="352"/>
      <c r="O515" s="352"/>
      <c r="P515" s="352"/>
      <c r="Q515" s="352"/>
      <c r="R515" s="352"/>
      <c r="S515" s="352"/>
      <c r="T515" s="352"/>
      <c r="U515" s="352"/>
      <c r="V515" s="352"/>
      <c r="W515" s="352"/>
      <c r="X515" s="352"/>
      <c r="Y515" s="352"/>
    </row>
    <row r="516" spans="1:25" s="347" customFormat="1" ht="18" customHeight="1" x14ac:dyDescent="0.2">
      <c r="C516" s="345"/>
      <c r="D516" s="520"/>
      <c r="E516" s="352"/>
      <c r="F516" s="352"/>
      <c r="G516" s="352"/>
      <c r="H516" s="352"/>
      <c r="I516" s="352"/>
      <c r="J516" s="352"/>
      <c r="K516" s="352"/>
      <c r="L516" s="352"/>
      <c r="M516" s="352"/>
      <c r="N516" s="352"/>
      <c r="O516" s="352"/>
      <c r="P516" s="352"/>
      <c r="Q516" s="352"/>
      <c r="R516" s="352"/>
      <c r="S516" s="352"/>
      <c r="T516" s="352"/>
      <c r="U516" s="352"/>
      <c r="V516" s="352"/>
      <c r="W516" s="352"/>
      <c r="X516" s="352"/>
      <c r="Y516" s="352"/>
    </row>
    <row r="517" spans="1:25" ht="33.75" customHeight="1" x14ac:dyDescent="0.2">
      <c r="A517" s="337"/>
      <c r="B517" s="337"/>
      <c r="C517" s="341" t="s">
        <v>397</v>
      </c>
      <c r="D517" s="695" t="s">
        <v>408</v>
      </c>
      <c r="E517" s="696"/>
      <c r="F517" s="696"/>
      <c r="G517" s="696"/>
      <c r="H517" s="696"/>
      <c r="I517" s="696"/>
      <c r="J517" s="696"/>
      <c r="K517" s="696"/>
      <c r="L517" s="696"/>
      <c r="M517" s="696"/>
      <c r="N517" s="696"/>
      <c r="O517" s="696"/>
      <c r="P517" s="696"/>
      <c r="Q517" s="696"/>
      <c r="R517" s="696"/>
      <c r="S517" s="696"/>
      <c r="T517" s="696"/>
      <c r="U517" s="696"/>
      <c r="V517" s="696"/>
      <c r="W517" s="696"/>
      <c r="X517" s="696"/>
      <c r="Y517" s="697"/>
    </row>
    <row r="518" spans="1:25" ht="18" customHeight="1" x14ac:dyDescent="0.2">
      <c r="A518" s="337"/>
      <c r="B518" s="337"/>
      <c r="C518" s="660" t="s">
        <v>116</v>
      </c>
      <c r="D518" s="660"/>
      <c r="E518" s="660"/>
      <c r="F518" s="660"/>
      <c r="G518" s="660"/>
      <c r="H518" s="660"/>
      <c r="I518" s="660"/>
      <c r="J518" s="660"/>
      <c r="K518" s="660"/>
      <c r="L518" s="660"/>
      <c r="M518" s="660"/>
      <c r="N518" s="660"/>
      <c r="O518" s="660"/>
      <c r="P518" s="660"/>
      <c r="Q518" s="660"/>
      <c r="R518" s="660"/>
      <c r="S518" s="660"/>
      <c r="T518" s="660"/>
      <c r="U518" s="660"/>
      <c r="V518" s="660"/>
      <c r="W518" s="660"/>
      <c r="X518" s="660"/>
      <c r="Y518" s="660"/>
    </row>
    <row r="519" spans="1:25" ht="18" customHeight="1" x14ac:dyDescent="0.2">
      <c r="A519" s="337"/>
      <c r="B519" s="337"/>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row>
    <row r="520" spans="1:25" ht="18" customHeight="1" x14ac:dyDescent="0.2">
      <c r="A520" s="337"/>
      <c r="B520" s="337"/>
      <c r="C520" s="516"/>
      <c r="D520" s="516"/>
      <c r="E520" s="516"/>
      <c r="F520" s="516"/>
      <c r="G520" s="516"/>
      <c r="H520" s="516"/>
      <c r="I520" s="516"/>
      <c r="J520" s="516"/>
      <c r="K520" s="516"/>
      <c r="L520" s="516"/>
      <c r="M520" s="516"/>
      <c r="N520" s="516"/>
      <c r="O520" s="516"/>
      <c r="P520" s="516"/>
      <c r="Q520" s="516"/>
      <c r="R520" s="516"/>
      <c r="S520" s="516"/>
      <c r="T520" s="516"/>
      <c r="U520" s="516"/>
      <c r="V520" s="516"/>
      <c r="W520" s="516"/>
      <c r="X520" s="516"/>
      <c r="Y520" s="516"/>
    </row>
    <row r="521" spans="1:25" ht="18" customHeight="1" x14ac:dyDescent="0.2">
      <c r="A521" s="337"/>
      <c r="B521" s="337"/>
      <c r="C521" s="581" t="s">
        <v>316</v>
      </c>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row>
    <row r="522" spans="1:25" ht="18" customHeight="1" x14ac:dyDescent="0.2">
      <c r="A522" s="337"/>
      <c r="B522" s="337"/>
      <c r="C522" s="354" t="s">
        <v>234</v>
      </c>
      <c r="D522" s="354"/>
      <c r="E522" s="337"/>
      <c r="H522" s="368"/>
      <c r="I522" s="353" t="s">
        <v>28</v>
      </c>
      <c r="J522" s="588"/>
      <c r="K522" s="588"/>
      <c r="P522" s="339"/>
      <c r="Q522" s="368"/>
      <c r="R522" s="368"/>
      <c r="S522" s="369" t="s">
        <v>29</v>
      </c>
      <c r="T522" s="588"/>
      <c r="U522" s="588"/>
      <c r="V522" s="588"/>
      <c r="W522" s="588"/>
    </row>
    <row r="523" spans="1:25" ht="18" customHeight="1" x14ac:dyDescent="0.2">
      <c r="A523" s="337"/>
      <c r="B523" s="337"/>
      <c r="C523" s="345"/>
      <c r="D523" s="337"/>
    </row>
    <row r="524" spans="1:25" ht="18" customHeight="1" x14ac:dyDescent="0.2">
      <c r="A524" s="337"/>
      <c r="B524" s="337"/>
      <c r="C524" s="345"/>
      <c r="D524" s="337"/>
    </row>
    <row r="525" spans="1:25" ht="18" customHeight="1" x14ac:dyDescent="0.2">
      <c r="A525" s="337"/>
      <c r="B525" s="337"/>
      <c r="C525" s="581" t="s">
        <v>317</v>
      </c>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row>
    <row r="526" spans="1:25" ht="18" customHeight="1" x14ac:dyDescent="0.2">
      <c r="A526" s="337"/>
      <c r="B526" s="337"/>
      <c r="C526" s="536"/>
      <c r="D526" s="537"/>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1:25" ht="18" customHeight="1" x14ac:dyDescent="0.2">
      <c r="A527" s="337"/>
      <c r="B527" s="337"/>
      <c r="C527" s="345"/>
      <c r="D527" s="337"/>
    </row>
    <row r="528" spans="1:25" ht="18" customHeight="1" x14ac:dyDescent="0.2">
      <c r="A528" s="337"/>
      <c r="B528" s="337"/>
      <c r="C528" s="345"/>
      <c r="D528" s="337"/>
    </row>
    <row r="529" spans="1:25" ht="35.25" customHeight="1" x14ac:dyDescent="0.2">
      <c r="A529" s="337"/>
      <c r="B529" s="337"/>
      <c r="C529" s="341" t="s">
        <v>396</v>
      </c>
      <c r="D529" s="695" t="s">
        <v>748</v>
      </c>
      <c r="E529" s="696"/>
      <c r="F529" s="696"/>
      <c r="G529" s="696"/>
      <c r="H529" s="696"/>
      <c r="I529" s="696"/>
      <c r="J529" s="696"/>
      <c r="K529" s="696"/>
      <c r="L529" s="696"/>
      <c r="M529" s="696"/>
      <c r="N529" s="696"/>
      <c r="O529" s="696"/>
      <c r="P529" s="696"/>
      <c r="Q529" s="696"/>
      <c r="R529" s="696"/>
      <c r="S529" s="696"/>
      <c r="T529" s="696"/>
      <c r="U529" s="696"/>
      <c r="V529" s="696"/>
      <c r="W529" s="696"/>
      <c r="X529" s="696"/>
      <c r="Y529" s="697"/>
    </row>
    <row r="530" spans="1:25" ht="18" customHeight="1" x14ac:dyDescent="0.2">
      <c r="A530" s="337"/>
      <c r="B530" s="337"/>
      <c r="C530" s="517"/>
      <c r="D530" s="517"/>
      <c r="E530" s="517"/>
      <c r="F530" s="517"/>
      <c r="G530" s="517"/>
      <c r="H530" s="517"/>
      <c r="I530" s="517"/>
      <c r="J530" s="517"/>
      <c r="K530" s="517"/>
      <c r="L530" s="517"/>
      <c r="M530" s="517"/>
      <c r="N530" s="517"/>
      <c r="O530" s="517"/>
      <c r="P530" s="517"/>
      <c r="Q530" s="517"/>
      <c r="R530" s="517"/>
      <c r="S530" s="517"/>
      <c r="T530" s="517"/>
      <c r="U530" s="517"/>
      <c r="V530" s="517"/>
      <c r="W530" s="517"/>
      <c r="X530" s="517"/>
      <c r="Y530" s="517"/>
    </row>
    <row r="531" spans="1:25" ht="18" customHeight="1" x14ac:dyDescent="0.2">
      <c r="A531" s="337"/>
      <c r="B531" s="337"/>
      <c r="C531" s="583" t="s">
        <v>318</v>
      </c>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row>
    <row r="532" spans="1:25" ht="18" customHeight="1" x14ac:dyDescent="0.2">
      <c r="A532" s="337"/>
      <c r="B532" s="337"/>
      <c r="C532" s="592"/>
      <c r="D532" s="592"/>
      <c r="E532" s="592"/>
      <c r="F532" s="592"/>
      <c r="G532" s="592"/>
      <c r="H532" s="592"/>
      <c r="I532" s="592"/>
      <c r="J532" s="592"/>
      <c r="K532" s="592"/>
      <c r="L532" s="592"/>
      <c r="M532" s="592"/>
      <c r="N532" s="592"/>
      <c r="O532" s="592"/>
      <c r="P532" s="592"/>
      <c r="Q532" s="592"/>
      <c r="R532" s="592"/>
      <c r="S532" s="592"/>
      <c r="T532" s="592"/>
      <c r="U532" s="592"/>
      <c r="V532" s="592"/>
      <c r="W532" s="592"/>
      <c r="X532" s="592"/>
      <c r="Y532" s="592"/>
    </row>
    <row r="533" spans="1:25" ht="18" customHeight="1" x14ac:dyDescent="0.2">
      <c r="A533" s="337"/>
      <c r="B533" s="337"/>
      <c r="C533" s="652" t="s">
        <v>749</v>
      </c>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row>
    <row r="534" spans="1:25" ht="18" customHeight="1" x14ac:dyDescent="0.2">
      <c r="A534" s="337"/>
      <c r="B534" s="337"/>
      <c r="C534" s="645"/>
      <c r="D534" s="646"/>
      <c r="E534" s="646"/>
      <c r="F534" s="646"/>
      <c r="G534" s="646"/>
      <c r="H534" s="646"/>
      <c r="I534" s="646"/>
      <c r="J534" s="646"/>
      <c r="K534" s="646"/>
      <c r="L534" s="646"/>
      <c r="M534" s="646"/>
      <c r="N534" s="646"/>
      <c r="O534" s="646"/>
      <c r="P534" s="646"/>
      <c r="Q534" s="646"/>
      <c r="R534" s="646"/>
      <c r="S534" s="646"/>
      <c r="T534" s="646"/>
      <c r="U534" s="646"/>
      <c r="V534" s="646"/>
      <c r="W534" s="646"/>
      <c r="X534" s="646"/>
      <c r="Y534" s="647"/>
    </row>
    <row r="535" spans="1:25" ht="18" customHeight="1" x14ac:dyDescent="0.2">
      <c r="A535" s="337"/>
      <c r="B535" s="337"/>
      <c r="C535" s="648"/>
      <c r="D535" s="649"/>
      <c r="E535" s="649"/>
      <c r="F535" s="649"/>
      <c r="G535" s="649"/>
      <c r="H535" s="649"/>
      <c r="I535" s="649"/>
      <c r="J535" s="649"/>
      <c r="K535" s="649"/>
      <c r="L535" s="649"/>
      <c r="M535" s="649"/>
      <c r="N535" s="649"/>
      <c r="O535" s="649"/>
      <c r="P535" s="649"/>
      <c r="Q535" s="649"/>
      <c r="R535" s="649"/>
      <c r="S535" s="649"/>
      <c r="T535" s="649"/>
      <c r="U535" s="649"/>
      <c r="V535" s="649"/>
      <c r="W535" s="649"/>
      <c r="X535" s="649"/>
      <c r="Y535" s="650"/>
    </row>
    <row r="536" spans="1:25" ht="18" customHeight="1" x14ac:dyDescent="0.2">
      <c r="A536" s="337"/>
      <c r="B536" s="337"/>
      <c r="C536" s="652" t="s">
        <v>752</v>
      </c>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row>
    <row r="537" spans="1:25" ht="18" customHeight="1" x14ac:dyDescent="0.2">
      <c r="A537" s="337"/>
      <c r="B537" s="337"/>
      <c r="C537" s="645"/>
      <c r="D537" s="646"/>
      <c r="E537" s="646"/>
      <c r="F537" s="646"/>
      <c r="G537" s="646"/>
      <c r="H537" s="646"/>
      <c r="I537" s="646"/>
      <c r="J537" s="646"/>
      <c r="K537" s="646"/>
      <c r="L537" s="646"/>
      <c r="M537" s="646"/>
      <c r="N537" s="646"/>
      <c r="O537" s="646"/>
      <c r="P537" s="646"/>
      <c r="Q537" s="646"/>
      <c r="R537" s="646"/>
      <c r="S537" s="646"/>
      <c r="T537" s="646"/>
      <c r="U537" s="646"/>
      <c r="V537" s="646"/>
      <c r="W537" s="646"/>
      <c r="X537" s="646"/>
      <c r="Y537" s="647"/>
    </row>
    <row r="538" spans="1:25" ht="18" customHeight="1" x14ac:dyDescent="0.2">
      <c r="A538" s="337"/>
      <c r="B538" s="337"/>
      <c r="C538" s="648"/>
      <c r="D538" s="649"/>
      <c r="E538" s="649"/>
      <c r="F538" s="649"/>
      <c r="G538" s="649"/>
      <c r="H538" s="649"/>
      <c r="I538" s="649"/>
      <c r="J538" s="649"/>
      <c r="K538" s="649"/>
      <c r="L538" s="649"/>
      <c r="M538" s="649"/>
      <c r="N538" s="649"/>
      <c r="O538" s="649"/>
      <c r="P538" s="649"/>
      <c r="Q538" s="649"/>
      <c r="R538" s="649"/>
      <c r="S538" s="649"/>
      <c r="T538" s="649"/>
      <c r="U538" s="649"/>
      <c r="V538" s="649"/>
      <c r="W538" s="649"/>
      <c r="X538" s="649"/>
      <c r="Y538" s="650"/>
    </row>
    <row r="539" spans="1:25" ht="18" customHeight="1" x14ac:dyDescent="0.2">
      <c r="A539" s="337"/>
      <c r="B539" s="337"/>
      <c r="C539" s="652" t="s">
        <v>264</v>
      </c>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row>
    <row r="540" spans="1:25" ht="18" customHeight="1" x14ac:dyDescent="0.2">
      <c r="A540" s="337"/>
      <c r="B540" s="337"/>
      <c r="C540" s="645"/>
      <c r="D540" s="646"/>
      <c r="E540" s="646"/>
      <c r="F540" s="646"/>
      <c r="G540" s="646"/>
      <c r="H540" s="646"/>
      <c r="I540" s="646"/>
      <c r="J540" s="646"/>
      <c r="K540" s="646"/>
      <c r="L540" s="646"/>
      <c r="M540" s="646"/>
      <c r="N540" s="646"/>
      <c r="O540" s="646"/>
      <c r="P540" s="646"/>
      <c r="Q540" s="646"/>
      <c r="R540" s="646"/>
      <c r="S540" s="646"/>
      <c r="T540" s="646"/>
      <c r="U540" s="646"/>
      <c r="V540" s="646"/>
      <c r="W540" s="646"/>
      <c r="X540" s="646"/>
      <c r="Y540" s="647"/>
    </row>
    <row r="541" spans="1:25" ht="18" customHeight="1" x14ac:dyDescent="0.2">
      <c r="A541" s="337"/>
      <c r="B541" s="337"/>
      <c r="C541" s="648"/>
      <c r="D541" s="649"/>
      <c r="E541" s="649"/>
      <c r="F541" s="649"/>
      <c r="G541" s="649"/>
      <c r="H541" s="649"/>
      <c r="I541" s="649"/>
      <c r="J541" s="649"/>
      <c r="K541" s="649"/>
      <c r="L541" s="649"/>
      <c r="M541" s="649"/>
      <c r="N541" s="649"/>
      <c r="O541" s="649"/>
      <c r="P541" s="649"/>
      <c r="Q541" s="649"/>
      <c r="R541" s="649"/>
      <c r="S541" s="649"/>
      <c r="T541" s="649"/>
      <c r="U541" s="649"/>
      <c r="V541" s="649"/>
      <c r="W541" s="649"/>
      <c r="X541" s="649"/>
      <c r="Y541" s="650"/>
    </row>
    <row r="542" spans="1:25" ht="18" customHeight="1" x14ac:dyDescent="0.2">
      <c r="A542" s="337"/>
      <c r="B542" s="337"/>
      <c r="C542" s="651" t="s">
        <v>750</v>
      </c>
      <c r="D542" s="651"/>
      <c r="E542" s="651"/>
      <c r="F542" s="651"/>
      <c r="G542" s="651"/>
      <c r="H542" s="651"/>
      <c r="I542" s="651"/>
      <c r="J542" s="651"/>
      <c r="K542" s="651"/>
      <c r="L542" s="651"/>
      <c r="M542" s="651"/>
      <c r="N542" s="651"/>
      <c r="O542" s="651"/>
      <c r="P542" s="651"/>
      <c r="Q542" s="651"/>
      <c r="R542" s="651"/>
      <c r="S542" s="651"/>
      <c r="T542" s="651"/>
      <c r="U542" s="651"/>
      <c r="V542" s="651"/>
      <c r="W542" s="651"/>
      <c r="X542" s="651"/>
      <c r="Y542" s="651"/>
    </row>
    <row r="543" spans="1:25" ht="18" customHeight="1" x14ac:dyDescent="0.2">
      <c r="A543" s="337"/>
      <c r="B543" s="337"/>
      <c r="C543" s="645"/>
      <c r="D543" s="646"/>
      <c r="E543" s="646"/>
      <c r="F543" s="646"/>
      <c r="G543" s="646"/>
      <c r="H543" s="646"/>
      <c r="I543" s="646"/>
      <c r="J543" s="646"/>
      <c r="K543" s="646"/>
      <c r="L543" s="646"/>
      <c r="M543" s="646"/>
      <c r="N543" s="646"/>
      <c r="O543" s="646"/>
      <c r="P543" s="646"/>
      <c r="Q543" s="646"/>
      <c r="R543" s="646"/>
      <c r="S543" s="646"/>
      <c r="T543" s="646"/>
      <c r="U543" s="646"/>
      <c r="V543" s="646"/>
      <c r="W543" s="646"/>
      <c r="X543" s="646"/>
      <c r="Y543" s="647"/>
    </row>
    <row r="544" spans="1:25" ht="18" customHeight="1" x14ac:dyDescent="0.2">
      <c r="A544" s="337"/>
      <c r="B544" s="337"/>
      <c r="C544" s="648"/>
      <c r="D544" s="649"/>
      <c r="E544" s="649"/>
      <c r="F544" s="649"/>
      <c r="G544" s="649"/>
      <c r="H544" s="649"/>
      <c r="I544" s="649"/>
      <c r="J544" s="649"/>
      <c r="K544" s="649"/>
      <c r="L544" s="649"/>
      <c r="M544" s="649"/>
      <c r="N544" s="649"/>
      <c r="O544" s="649"/>
      <c r="P544" s="649"/>
      <c r="Q544" s="649"/>
      <c r="R544" s="649"/>
      <c r="S544" s="649"/>
      <c r="T544" s="649"/>
      <c r="U544" s="649"/>
      <c r="V544" s="649"/>
      <c r="W544" s="649"/>
      <c r="X544" s="649"/>
      <c r="Y544" s="650"/>
    </row>
    <row r="545" spans="1:25" ht="18" customHeight="1" x14ac:dyDescent="0.2">
      <c r="A545" s="337"/>
      <c r="B545" s="337"/>
      <c r="C545" s="651" t="s">
        <v>263</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row>
    <row r="546" spans="1:25" ht="18" customHeight="1" x14ac:dyDescent="0.2">
      <c r="A546" s="337"/>
      <c r="B546" s="337"/>
      <c r="C546" s="645"/>
      <c r="D546" s="646"/>
      <c r="E546" s="646"/>
      <c r="F546" s="646"/>
      <c r="G546" s="646"/>
      <c r="H546" s="646"/>
      <c r="I546" s="646"/>
      <c r="J546" s="646"/>
      <c r="K546" s="646"/>
      <c r="L546" s="646"/>
      <c r="M546" s="646"/>
      <c r="N546" s="646"/>
      <c r="O546" s="646"/>
      <c r="P546" s="646"/>
      <c r="Q546" s="646"/>
      <c r="R546" s="646"/>
      <c r="S546" s="646"/>
      <c r="T546" s="646"/>
      <c r="U546" s="646"/>
      <c r="V546" s="646"/>
      <c r="W546" s="646"/>
      <c r="X546" s="646"/>
      <c r="Y546" s="647"/>
    </row>
    <row r="547" spans="1:25" ht="18" customHeight="1" x14ac:dyDescent="0.2">
      <c r="A547" s="337"/>
      <c r="B547" s="337"/>
      <c r="C547" s="648"/>
      <c r="D547" s="649"/>
      <c r="E547" s="649"/>
      <c r="F547" s="649"/>
      <c r="G547" s="649"/>
      <c r="H547" s="649"/>
      <c r="I547" s="649"/>
      <c r="J547" s="649"/>
      <c r="K547" s="649"/>
      <c r="L547" s="649"/>
      <c r="M547" s="649"/>
      <c r="N547" s="649"/>
      <c r="O547" s="649"/>
      <c r="P547" s="649"/>
      <c r="Q547" s="649"/>
      <c r="R547" s="649"/>
      <c r="S547" s="649"/>
      <c r="T547" s="649"/>
      <c r="U547" s="649"/>
      <c r="V547" s="649"/>
      <c r="W547" s="649"/>
      <c r="X547" s="649"/>
      <c r="Y547" s="650"/>
    </row>
    <row r="548" spans="1:25" ht="18" customHeight="1" x14ac:dyDescent="0.2">
      <c r="A548" s="337"/>
      <c r="B548" s="337"/>
      <c r="C548" s="337"/>
      <c r="D548" s="337"/>
      <c r="E548" s="337"/>
      <c r="F548" s="337"/>
      <c r="G548" s="337"/>
      <c r="H548" s="337"/>
      <c r="I548" s="337"/>
      <c r="J548" s="337"/>
      <c r="K548" s="337"/>
      <c r="L548" s="337"/>
      <c r="M548" s="337"/>
      <c r="N548" s="337"/>
      <c r="O548" s="337"/>
    </row>
    <row r="549" spans="1:25" ht="18" customHeight="1" x14ac:dyDescent="0.2">
      <c r="A549" s="337"/>
      <c r="B549" s="337"/>
      <c r="C549" s="337"/>
      <c r="D549" s="337"/>
      <c r="E549" s="337"/>
      <c r="F549" s="337"/>
      <c r="G549" s="337"/>
      <c r="H549" s="337"/>
      <c r="I549" s="337"/>
      <c r="J549" s="337"/>
      <c r="K549" s="337"/>
      <c r="L549" s="337"/>
      <c r="M549" s="337"/>
      <c r="N549" s="337"/>
      <c r="O549" s="337"/>
    </row>
    <row r="550" spans="1:25" ht="18" customHeight="1" x14ac:dyDescent="0.2">
      <c r="A550" s="337"/>
      <c r="B550" s="337"/>
      <c r="C550" s="583" t="s">
        <v>751</v>
      </c>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row>
    <row r="551" spans="1:25" ht="18" customHeight="1" x14ac:dyDescent="0.2">
      <c r="A551" s="337"/>
      <c r="B551" s="337"/>
      <c r="C551" s="583"/>
      <c r="D551" s="583"/>
      <c r="E551" s="583"/>
      <c r="F551" s="583"/>
      <c r="G551" s="583"/>
      <c r="H551" s="583"/>
      <c r="I551" s="583"/>
      <c r="J551" s="583"/>
      <c r="K551" s="583"/>
      <c r="L551" s="583"/>
      <c r="M551" s="583"/>
      <c r="N551" s="583"/>
      <c r="O551" s="583"/>
      <c r="P551" s="583"/>
      <c r="Q551" s="583"/>
      <c r="R551" s="583"/>
      <c r="S551" s="583"/>
      <c r="T551" s="583"/>
      <c r="U551" s="583"/>
      <c r="V551" s="583"/>
      <c r="W551" s="583"/>
      <c r="X551" s="583"/>
      <c r="Y551" s="583"/>
    </row>
    <row r="552" spans="1:25" ht="18" customHeight="1" x14ac:dyDescent="0.2">
      <c r="A552" s="337"/>
      <c r="B552" s="337"/>
      <c r="C552" s="654"/>
      <c r="D552" s="655"/>
      <c r="E552" s="655"/>
      <c r="F552" s="655"/>
      <c r="G552" s="655"/>
      <c r="H552" s="655"/>
      <c r="I552" s="655"/>
      <c r="J552" s="655"/>
      <c r="K552" s="655"/>
      <c r="L552" s="655"/>
      <c r="M552" s="655"/>
      <c r="N552" s="655"/>
      <c r="O552" s="655"/>
      <c r="P552" s="655"/>
      <c r="Q552" s="655"/>
      <c r="R552" s="655"/>
      <c r="S552" s="655"/>
      <c r="T552" s="655"/>
      <c r="U552" s="655"/>
      <c r="V552" s="655"/>
      <c r="W552" s="655"/>
      <c r="X552" s="655"/>
      <c r="Y552" s="656"/>
    </row>
    <row r="553" spans="1:25" ht="18" customHeight="1" x14ac:dyDescent="0.2">
      <c r="A553" s="337"/>
      <c r="B553" s="337"/>
      <c r="C553" s="657"/>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9"/>
    </row>
    <row r="554" spans="1:25" ht="18" customHeight="1" x14ac:dyDescent="0.2">
      <c r="A554" s="337"/>
      <c r="B554" s="337"/>
      <c r="C554" s="337"/>
      <c r="D554" s="337"/>
      <c r="E554" s="337"/>
      <c r="F554" s="337"/>
      <c r="G554" s="337"/>
      <c r="H554" s="337"/>
      <c r="I554" s="337"/>
      <c r="J554" s="337"/>
      <c r="K554" s="337"/>
      <c r="L554" s="337"/>
      <c r="M554" s="337"/>
      <c r="N554" s="337"/>
      <c r="O554" s="337"/>
    </row>
    <row r="555" spans="1:25" ht="18" customHeight="1" x14ac:dyDescent="0.2">
      <c r="A555" s="337"/>
      <c r="B555" s="337"/>
      <c r="C555" s="337"/>
      <c r="D555" s="337"/>
      <c r="E555" s="337"/>
      <c r="F555" s="337"/>
      <c r="G555" s="337"/>
      <c r="H555" s="337"/>
      <c r="I555" s="337"/>
      <c r="J555" s="337"/>
      <c r="K555" s="337"/>
      <c r="L555" s="337"/>
      <c r="M555" s="337"/>
      <c r="N555" s="337"/>
      <c r="O555" s="337"/>
    </row>
    <row r="556" spans="1:25" ht="18" customHeight="1" x14ac:dyDescent="0.2">
      <c r="A556" s="337"/>
      <c r="B556" s="337"/>
      <c r="C556" s="583" t="s">
        <v>319</v>
      </c>
      <c r="D556" s="583"/>
      <c r="E556" s="583"/>
      <c r="F556" s="583"/>
      <c r="G556" s="583"/>
      <c r="H556" s="583"/>
      <c r="I556" s="583"/>
      <c r="J556" s="583"/>
      <c r="K556" s="583"/>
      <c r="L556" s="583"/>
      <c r="M556" s="583"/>
      <c r="N556" s="583"/>
      <c r="O556" s="583"/>
      <c r="P556" s="583"/>
      <c r="Q556" s="583"/>
      <c r="R556" s="583"/>
      <c r="S556" s="583"/>
      <c r="T556" s="583"/>
      <c r="U556" s="583"/>
      <c r="V556" s="583"/>
      <c r="W556" s="583"/>
      <c r="X556" s="583"/>
      <c r="Y556" s="583"/>
    </row>
    <row r="557" spans="1:25" ht="18" customHeight="1" x14ac:dyDescent="0.2">
      <c r="A557" s="337"/>
      <c r="B557" s="337"/>
      <c r="C557" s="592"/>
      <c r="D557" s="592"/>
      <c r="E557" s="592"/>
      <c r="F557" s="592"/>
      <c r="G557" s="592"/>
      <c r="H557" s="592"/>
      <c r="I557" s="592"/>
      <c r="J557" s="592"/>
      <c r="K557" s="592"/>
      <c r="L557" s="592"/>
      <c r="M557" s="592"/>
      <c r="N557" s="592"/>
      <c r="O557" s="592"/>
      <c r="P557" s="592"/>
      <c r="Q557" s="592"/>
      <c r="R557" s="592"/>
      <c r="S557" s="592"/>
      <c r="T557" s="592"/>
      <c r="U557" s="592"/>
      <c r="V557" s="592"/>
      <c r="W557" s="592"/>
      <c r="X557" s="592"/>
      <c r="Y557" s="592"/>
    </row>
    <row r="558" spans="1:25" ht="18" customHeight="1" x14ac:dyDescent="0.2">
      <c r="A558" s="337"/>
      <c r="B558" s="337"/>
      <c r="C558" s="652" t="s">
        <v>749</v>
      </c>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row>
    <row r="559" spans="1:25" ht="18" customHeight="1" x14ac:dyDescent="0.2">
      <c r="A559" s="337"/>
      <c r="B559" s="337"/>
      <c r="C559" s="645"/>
      <c r="D559" s="646"/>
      <c r="E559" s="646"/>
      <c r="F559" s="646"/>
      <c r="G559" s="646"/>
      <c r="H559" s="646"/>
      <c r="I559" s="646"/>
      <c r="J559" s="646"/>
      <c r="K559" s="646"/>
      <c r="L559" s="646"/>
      <c r="M559" s="646"/>
      <c r="N559" s="646"/>
      <c r="O559" s="646"/>
      <c r="P559" s="646"/>
      <c r="Q559" s="646"/>
      <c r="R559" s="646"/>
      <c r="S559" s="646"/>
      <c r="T559" s="646"/>
      <c r="U559" s="646"/>
      <c r="V559" s="646"/>
      <c r="W559" s="646"/>
      <c r="X559" s="646"/>
      <c r="Y559" s="647"/>
    </row>
    <row r="560" spans="1:25" ht="18" customHeight="1" x14ac:dyDescent="0.2">
      <c r="A560" s="337"/>
      <c r="B560" s="337"/>
      <c r="C560" s="648"/>
      <c r="D560" s="649"/>
      <c r="E560" s="649"/>
      <c r="F560" s="649"/>
      <c r="G560" s="649"/>
      <c r="H560" s="649"/>
      <c r="I560" s="649"/>
      <c r="J560" s="649"/>
      <c r="K560" s="649"/>
      <c r="L560" s="649"/>
      <c r="M560" s="649"/>
      <c r="N560" s="649"/>
      <c r="O560" s="649"/>
      <c r="P560" s="649"/>
      <c r="Q560" s="649"/>
      <c r="R560" s="649"/>
      <c r="S560" s="649"/>
      <c r="T560" s="649"/>
      <c r="U560" s="649"/>
      <c r="V560" s="649"/>
      <c r="W560" s="649"/>
      <c r="X560" s="649"/>
      <c r="Y560" s="650"/>
    </row>
    <row r="561" spans="1:25" ht="18" customHeight="1" x14ac:dyDescent="0.2">
      <c r="A561" s="337"/>
      <c r="B561" s="337"/>
      <c r="C561" s="652" t="s">
        <v>752</v>
      </c>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row>
    <row r="562" spans="1:25" ht="18" customHeight="1" x14ac:dyDescent="0.2">
      <c r="A562" s="337"/>
      <c r="B562" s="337"/>
      <c r="C562" s="645"/>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7"/>
    </row>
    <row r="563" spans="1:25" ht="18" customHeight="1" x14ac:dyDescent="0.2">
      <c r="A563" s="337"/>
      <c r="B563" s="337"/>
      <c r="C563" s="648"/>
      <c r="D563" s="649"/>
      <c r="E563" s="649"/>
      <c r="F563" s="649"/>
      <c r="G563" s="649"/>
      <c r="H563" s="649"/>
      <c r="I563" s="649"/>
      <c r="J563" s="649"/>
      <c r="K563" s="649"/>
      <c r="L563" s="649"/>
      <c r="M563" s="649"/>
      <c r="N563" s="649"/>
      <c r="O563" s="649"/>
      <c r="P563" s="649"/>
      <c r="Q563" s="649"/>
      <c r="R563" s="649"/>
      <c r="S563" s="649"/>
      <c r="T563" s="649"/>
      <c r="U563" s="649"/>
      <c r="V563" s="649"/>
      <c r="W563" s="649"/>
      <c r="X563" s="649"/>
      <c r="Y563" s="650"/>
    </row>
    <row r="564" spans="1:25" ht="18" customHeight="1" x14ac:dyDescent="0.2">
      <c r="A564" s="337"/>
      <c r="B564" s="337"/>
      <c r="C564" s="653" t="s">
        <v>264</v>
      </c>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row>
    <row r="565" spans="1:25" ht="18" customHeight="1" x14ac:dyDescent="0.2">
      <c r="A565" s="337"/>
      <c r="B565" s="337"/>
      <c r="C565" s="645"/>
      <c r="D565" s="646"/>
      <c r="E565" s="646"/>
      <c r="F565" s="646"/>
      <c r="G565" s="646"/>
      <c r="H565" s="646"/>
      <c r="I565" s="646"/>
      <c r="J565" s="646"/>
      <c r="K565" s="646"/>
      <c r="L565" s="646"/>
      <c r="M565" s="646"/>
      <c r="N565" s="646"/>
      <c r="O565" s="646"/>
      <c r="P565" s="646"/>
      <c r="Q565" s="646"/>
      <c r="R565" s="646"/>
      <c r="S565" s="646"/>
      <c r="T565" s="646"/>
      <c r="U565" s="646"/>
      <c r="V565" s="646"/>
      <c r="W565" s="646"/>
      <c r="X565" s="646"/>
      <c r="Y565" s="647"/>
    </row>
    <row r="566" spans="1:25" ht="18" customHeight="1" x14ac:dyDescent="0.2">
      <c r="A566" s="337"/>
      <c r="B566" s="337"/>
      <c r="C566" s="648"/>
      <c r="D566" s="649"/>
      <c r="E566" s="649"/>
      <c r="F566" s="649"/>
      <c r="G566" s="649"/>
      <c r="H566" s="649"/>
      <c r="I566" s="649"/>
      <c r="J566" s="649"/>
      <c r="K566" s="649"/>
      <c r="L566" s="649"/>
      <c r="M566" s="649"/>
      <c r="N566" s="649"/>
      <c r="O566" s="649"/>
      <c r="P566" s="649"/>
      <c r="Q566" s="649"/>
      <c r="R566" s="649"/>
      <c r="S566" s="649"/>
      <c r="T566" s="649"/>
      <c r="U566" s="649"/>
      <c r="V566" s="649"/>
      <c r="W566" s="649"/>
      <c r="X566" s="649"/>
      <c r="Y566" s="650"/>
    </row>
    <row r="567" spans="1:25" ht="18" customHeight="1" x14ac:dyDescent="0.2">
      <c r="A567" s="337"/>
      <c r="B567" s="337"/>
      <c r="C567" s="651" t="s">
        <v>753</v>
      </c>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row>
    <row r="568" spans="1:25" ht="18" customHeight="1" x14ac:dyDescent="0.2">
      <c r="A568" s="337"/>
      <c r="B568" s="337"/>
      <c r="C568" s="645"/>
      <c r="D568" s="646"/>
      <c r="E568" s="646"/>
      <c r="F568" s="646"/>
      <c r="G568" s="646"/>
      <c r="H568" s="646"/>
      <c r="I568" s="646"/>
      <c r="J568" s="646"/>
      <c r="K568" s="646"/>
      <c r="L568" s="646"/>
      <c r="M568" s="646"/>
      <c r="N568" s="646"/>
      <c r="O568" s="646"/>
      <c r="P568" s="646"/>
      <c r="Q568" s="646"/>
      <c r="R568" s="646"/>
      <c r="S568" s="646"/>
      <c r="T568" s="646"/>
      <c r="U568" s="646"/>
      <c r="V568" s="646"/>
      <c r="W568" s="646"/>
      <c r="X568" s="646"/>
      <c r="Y568" s="647"/>
    </row>
    <row r="569" spans="1:25" ht="18" customHeight="1" x14ac:dyDescent="0.2">
      <c r="A569" s="337"/>
      <c r="B569" s="337"/>
      <c r="C569" s="648"/>
      <c r="D569" s="649"/>
      <c r="E569" s="649"/>
      <c r="F569" s="649"/>
      <c r="G569" s="649"/>
      <c r="H569" s="649"/>
      <c r="I569" s="649"/>
      <c r="J569" s="649"/>
      <c r="K569" s="649"/>
      <c r="L569" s="649"/>
      <c r="M569" s="649"/>
      <c r="N569" s="649"/>
      <c r="O569" s="649"/>
      <c r="P569" s="649"/>
      <c r="Q569" s="649"/>
      <c r="R569" s="649"/>
      <c r="S569" s="649"/>
      <c r="T569" s="649"/>
      <c r="U569" s="649"/>
      <c r="V569" s="649"/>
      <c r="W569" s="649"/>
      <c r="X569" s="649"/>
      <c r="Y569" s="650"/>
    </row>
    <row r="570" spans="1:25" ht="18" customHeight="1" x14ac:dyDescent="0.2">
      <c r="A570" s="337"/>
      <c r="B570" s="337"/>
      <c r="C570" s="337"/>
      <c r="D570" s="337"/>
      <c r="E570" s="337"/>
      <c r="F570" s="337"/>
      <c r="G570" s="337"/>
      <c r="H570" s="337"/>
      <c r="I570" s="337"/>
      <c r="J570" s="337"/>
      <c r="K570" s="337"/>
      <c r="L570" s="337"/>
      <c r="M570" s="337"/>
      <c r="N570" s="337"/>
      <c r="O570" s="337"/>
    </row>
    <row r="571" spans="1:25" ht="18" customHeight="1" x14ac:dyDescent="0.2">
      <c r="A571" s="337"/>
      <c r="B571" s="337"/>
      <c r="C571" s="337"/>
      <c r="D571" s="337"/>
      <c r="E571" s="337"/>
      <c r="F571" s="337"/>
      <c r="G571" s="337"/>
      <c r="H571" s="337"/>
      <c r="I571" s="337"/>
      <c r="J571" s="337"/>
      <c r="K571" s="337"/>
      <c r="L571" s="337"/>
      <c r="M571" s="337"/>
      <c r="N571" s="337"/>
      <c r="O571" s="337"/>
    </row>
    <row r="572" spans="1:25" ht="33.75" customHeight="1" x14ac:dyDescent="0.2">
      <c r="A572" s="337"/>
      <c r="B572" s="337"/>
      <c r="C572" s="341" t="s">
        <v>395</v>
      </c>
      <c r="D572" s="695" t="s">
        <v>754</v>
      </c>
      <c r="E572" s="696"/>
      <c r="F572" s="696"/>
      <c r="G572" s="696"/>
      <c r="H572" s="696"/>
      <c r="I572" s="696"/>
      <c r="J572" s="696"/>
      <c r="K572" s="696"/>
      <c r="L572" s="696"/>
      <c r="M572" s="696"/>
      <c r="N572" s="696"/>
      <c r="O572" s="696"/>
      <c r="P572" s="696"/>
      <c r="Q572" s="696"/>
      <c r="R572" s="696"/>
      <c r="S572" s="696"/>
      <c r="T572" s="696"/>
      <c r="U572" s="696"/>
      <c r="V572" s="696"/>
      <c r="W572" s="696"/>
      <c r="X572" s="696"/>
      <c r="Y572" s="697"/>
    </row>
    <row r="573" spans="1:25" ht="18" customHeight="1" x14ac:dyDescent="0.2">
      <c r="A573" s="337"/>
      <c r="B573" s="337"/>
      <c r="C573" s="517"/>
      <c r="D573" s="517"/>
      <c r="E573" s="517"/>
      <c r="F573" s="517"/>
      <c r="G573" s="517"/>
      <c r="H573" s="517"/>
      <c r="I573" s="517"/>
      <c r="J573" s="517"/>
      <c r="K573" s="517"/>
      <c r="L573" s="517"/>
      <c r="M573" s="517"/>
      <c r="N573" s="517"/>
      <c r="O573" s="517"/>
      <c r="P573" s="517"/>
      <c r="Q573" s="517"/>
      <c r="R573" s="517"/>
      <c r="S573" s="517"/>
      <c r="T573" s="517"/>
      <c r="U573" s="517"/>
      <c r="V573" s="517"/>
      <c r="W573" s="517"/>
      <c r="X573" s="517"/>
      <c r="Y573" s="517"/>
    </row>
    <row r="574" spans="1:25" ht="18" customHeight="1" x14ac:dyDescent="0.2">
      <c r="A574" s="337"/>
      <c r="B574" s="337"/>
      <c r="C574" s="583" t="s">
        <v>320</v>
      </c>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row>
    <row r="575" spans="1:25" ht="18" customHeight="1" x14ac:dyDescent="0.2">
      <c r="A575" s="337"/>
      <c r="B575" s="337"/>
      <c r="C575" s="583"/>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row>
    <row r="576" spans="1:25" ht="18" customHeight="1" x14ac:dyDescent="0.2">
      <c r="A576" s="337"/>
      <c r="B576" s="337"/>
      <c r="C576" s="645"/>
      <c r="D576" s="646"/>
      <c r="E576" s="646"/>
      <c r="F576" s="646"/>
      <c r="G576" s="646"/>
      <c r="H576" s="646"/>
      <c r="I576" s="646"/>
      <c r="J576" s="646"/>
      <c r="K576" s="646"/>
      <c r="L576" s="646"/>
      <c r="M576" s="646"/>
      <c r="N576" s="646"/>
      <c r="O576" s="646"/>
      <c r="P576" s="646"/>
      <c r="Q576" s="646"/>
      <c r="R576" s="646"/>
      <c r="S576" s="646"/>
      <c r="T576" s="646"/>
      <c r="U576" s="646"/>
      <c r="V576" s="646"/>
      <c r="W576" s="646"/>
      <c r="X576" s="646"/>
      <c r="Y576" s="647"/>
    </row>
    <row r="577" spans="1:25" ht="18" customHeight="1" x14ac:dyDescent="0.2">
      <c r="A577" s="337"/>
      <c r="B577" s="337"/>
      <c r="C577" s="648"/>
      <c r="D577" s="649"/>
      <c r="E577" s="649"/>
      <c r="F577" s="649"/>
      <c r="G577" s="649"/>
      <c r="H577" s="649"/>
      <c r="I577" s="649"/>
      <c r="J577" s="649"/>
      <c r="K577" s="649"/>
      <c r="L577" s="649"/>
      <c r="M577" s="649"/>
      <c r="N577" s="649"/>
      <c r="O577" s="649"/>
      <c r="P577" s="649"/>
      <c r="Q577" s="649"/>
      <c r="R577" s="649"/>
      <c r="S577" s="649"/>
      <c r="T577" s="649"/>
      <c r="U577" s="649"/>
      <c r="V577" s="649"/>
      <c r="W577" s="649"/>
      <c r="X577" s="649"/>
      <c r="Y577" s="650"/>
    </row>
    <row r="578" spans="1:25" ht="18" customHeight="1" x14ac:dyDescent="0.2">
      <c r="A578" s="337"/>
      <c r="B578" s="337"/>
      <c r="C578" s="345"/>
      <c r="D578" s="337"/>
      <c r="E578" s="337"/>
      <c r="F578" s="337"/>
      <c r="G578" s="337"/>
      <c r="H578" s="337"/>
      <c r="I578" s="337"/>
      <c r="J578" s="337"/>
      <c r="K578" s="337"/>
      <c r="L578" s="337"/>
      <c r="M578" s="337"/>
      <c r="N578" s="337"/>
      <c r="O578" s="337"/>
    </row>
    <row r="579" spans="1:25" ht="18" customHeight="1" x14ac:dyDescent="0.2">
      <c r="A579" s="337"/>
      <c r="B579" s="337"/>
      <c r="C579" s="345"/>
      <c r="D579" s="337"/>
      <c r="E579" s="337"/>
      <c r="F579" s="337"/>
      <c r="G579" s="337"/>
      <c r="H579" s="337"/>
      <c r="I579" s="337"/>
      <c r="J579" s="337"/>
      <c r="K579" s="337"/>
      <c r="L579" s="337"/>
      <c r="M579" s="337"/>
      <c r="N579" s="337"/>
      <c r="O579" s="337"/>
    </row>
    <row r="580" spans="1:25" ht="18" customHeight="1" x14ac:dyDescent="0.2">
      <c r="A580" s="337"/>
      <c r="B580" s="337"/>
      <c r="C580" s="583" t="s">
        <v>321</v>
      </c>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row>
    <row r="581" spans="1:25" ht="18" customHeight="1" x14ac:dyDescent="0.2">
      <c r="A581" s="337"/>
      <c r="B581" s="337"/>
      <c r="C581" s="583"/>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row>
    <row r="582" spans="1:25" ht="18" customHeight="1" x14ac:dyDescent="0.2">
      <c r="A582" s="337"/>
      <c r="B582" s="337"/>
      <c r="C582" s="645"/>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7"/>
    </row>
    <row r="583" spans="1:25" ht="18" customHeight="1" x14ac:dyDescent="0.2">
      <c r="A583" s="337"/>
      <c r="B583" s="337"/>
      <c r="C583" s="648"/>
      <c r="D583" s="649"/>
      <c r="E583" s="649"/>
      <c r="F583" s="649"/>
      <c r="G583" s="649"/>
      <c r="H583" s="649"/>
      <c r="I583" s="649"/>
      <c r="J583" s="649"/>
      <c r="K583" s="649"/>
      <c r="L583" s="649"/>
      <c r="M583" s="649"/>
      <c r="N583" s="649"/>
      <c r="O583" s="649"/>
      <c r="P583" s="649"/>
      <c r="Q583" s="649"/>
      <c r="R583" s="649"/>
      <c r="S583" s="649"/>
      <c r="T583" s="649"/>
      <c r="U583" s="649"/>
      <c r="V583" s="649"/>
      <c r="W583" s="649"/>
      <c r="X583" s="649"/>
      <c r="Y583" s="650"/>
    </row>
    <row r="584" spans="1:25" ht="18" customHeight="1" x14ac:dyDescent="0.2">
      <c r="A584" s="337"/>
      <c r="B584" s="337"/>
      <c r="C584" s="345"/>
      <c r="D584" s="337"/>
      <c r="E584" s="337"/>
      <c r="F584" s="337"/>
      <c r="G584" s="337"/>
      <c r="H584" s="337"/>
      <c r="I584" s="337"/>
      <c r="J584" s="337"/>
      <c r="K584" s="337"/>
      <c r="L584" s="337"/>
      <c r="M584" s="337"/>
      <c r="N584" s="337"/>
      <c r="O584" s="337"/>
    </row>
    <row r="585" spans="1:25" ht="18" customHeight="1" x14ac:dyDescent="0.2">
      <c r="A585" s="337"/>
      <c r="B585" s="337"/>
      <c r="C585" s="345"/>
      <c r="D585" s="337"/>
      <c r="E585" s="337"/>
      <c r="F585" s="337"/>
      <c r="G585" s="337"/>
      <c r="H585" s="337"/>
      <c r="I585" s="337"/>
      <c r="J585" s="337"/>
      <c r="K585" s="337"/>
      <c r="L585" s="337"/>
      <c r="M585" s="337"/>
      <c r="N585" s="337"/>
      <c r="O585" s="337"/>
    </row>
    <row r="586" spans="1:25" ht="18" customHeight="1" x14ac:dyDescent="0.2">
      <c r="A586" s="337"/>
      <c r="B586" s="337"/>
      <c r="C586" s="583" t="s">
        <v>322</v>
      </c>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row>
    <row r="587" spans="1:25" ht="18" customHeight="1" x14ac:dyDescent="0.2">
      <c r="A587" s="337"/>
      <c r="B587" s="337"/>
      <c r="C587" s="583"/>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row>
    <row r="588" spans="1:25" ht="18" customHeight="1" x14ac:dyDescent="0.2">
      <c r="A588" s="337"/>
      <c r="B588" s="337"/>
      <c r="C588" s="645"/>
      <c r="D588" s="646"/>
      <c r="E588" s="646"/>
      <c r="F588" s="646"/>
      <c r="G588" s="646"/>
      <c r="H588" s="646"/>
      <c r="I588" s="646"/>
      <c r="J588" s="646"/>
      <c r="K588" s="646"/>
      <c r="L588" s="646"/>
      <c r="M588" s="646"/>
      <c r="N588" s="646"/>
      <c r="O588" s="646"/>
      <c r="P588" s="646"/>
      <c r="Q588" s="646"/>
      <c r="R588" s="646"/>
      <c r="S588" s="646"/>
      <c r="T588" s="646"/>
      <c r="U588" s="646"/>
      <c r="V588" s="646"/>
      <c r="W588" s="646"/>
      <c r="X588" s="646"/>
      <c r="Y588" s="647"/>
    </row>
    <row r="589" spans="1:25" ht="18" customHeight="1" x14ac:dyDescent="0.2">
      <c r="A589" s="337"/>
      <c r="B589" s="337"/>
      <c r="C589" s="648"/>
      <c r="D589" s="649"/>
      <c r="E589" s="649"/>
      <c r="F589" s="649"/>
      <c r="G589" s="649"/>
      <c r="H589" s="649"/>
      <c r="I589" s="649"/>
      <c r="J589" s="649"/>
      <c r="K589" s="649"/>
      <c r="L589" s="649"/>
      <c r="M589" s="649"/>
      <c r="N589" s="649"/>
      <c r="O589" s="649"/>
      <c r="P589" s="649"/>
      <c r="Q589" s="649"/>
      <c r="R589" s="649"/>
      <c r="S589" s="649"/>
      <c r="T589" s="649"/>
      <c r="U589" s="649"/>
      <c r="V589" s="649"/>
      <c r="W589" s="649"/>
      <c r="X589" s="649"/>
      <c r="Y589" s="650"/>
    </row>
    <row r="590" spans="1:25" ht="18" customHeight="1" x14ac:dyDescent="0.2">
      <c r="A590" s="337"/>
      <c r="B590" s="337"/>
      <c r="C590" s="345"/>
      <c r="D590" s="337"/>
      <c r="E590" s="337"/>
      <c r="F590" s="337"/>
      <c r="G590" s="337"/>
      <c r="H590" s="337"/>
      <c r="I590" s="337"/>
      <c r="J590" s="337"/>
      <c r="K590" s="337"/>
      <c r="L590" s="337"/>
      <c r="M590" s="337"/>
      <c r="N590" s="386"/>
      <c r="O590" s="380"/>
    </row>
    <row r="591" spans="1:25" ht="18" customHeight="1" x14ac:dyDescent="0.2">
      <c r="A591" s="337"/>
      <c r="B591" s="337"/>
      <c r="C591" s="345"/>
      <c r="D591" s="337"/>
      <c r="E591" s="337"/>
      <c r="F591" s="337"/>
      <c r="G591" s="337"/>
      <c r="H591" s="337"/>
      <c r="I591" s="337"/>
      <c r="J591" s="337"/>
      <c r="K591" s="337"/>
      <c r="L591" s="337"/>
      <c r="M591" s="337"/>
      <c r="N591" s="386"/>
      <c r="O591" s="380"/>
    </row>
    <row r="592" spans="1:25" ht="18" customHeight="1" x14ac:dyDescent="0.2">
      <c r="A592" s="337"/>
      <c r="B592" s="337"/>
      <c r="C592" s="583" t="s">
        <v>323</v>
      </c>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row>
    <row r="593" spans="1:25" ht="18" customHeight="1" x14ac:dyDescent="0.2">
      <c r="A593" s="337"/>
      <c r="B593" s="337"/>
      <c r="C593" s="592"/>
      <c r="D593" s="592"/>
      <c r="E593" s="592"/>
      <c r="F593" s="592"/>
      <c r="G593" s="592"/>
      <c r="H593" s="592"/>
      <c r="I593" s="592"/>
      <c r="J593" s="592"/>
      <c r="K593" s="592"/>
      <c r="L593" s="592"/>
      <c r="M593" s="592"/>
      <c r="N593" s="592"/>
      <c r="O593" s="592"/>
      <c r="P593" s="592"/>
      <c r="Q593" s="592"/>
      <c r="R593" s="592"/>
      <c r="S593" s="592"/>
      <c r="T593" s="592"/>
      <c r="U593" s="592"/>
      <c r="V593" s="592"/>
      <c r="W593" s="592"/>
      <c r="X593" s="592"/>
      <c r="Y593" s="592"/>
    </row>
    <row r="594" spans="1:25" ht="18" customHeight="1" x14ac:dyDescent="0.2">
      <c r="A594" s="337"/>
      <c r="B594" s="337"/>
      <c r="C594" s="354" t="s">
        <v>234</v>
      </c>
      <c r="D594" s="354"/>
      <c r="E594" s="337"/>
      <c r="H594" s="368"/>
      <c r="I594" s="353" t="s">
        <v>28</v>
      </c>
      <c r="J594" s="588"/>
      <c r="K594" s="588"/>
      <c r="P594" s="339"/>
      <c r="Q594" s="368"/>
      <c r="R594" s="368"/>
      <c r="S594" s="369" t="s">
        <v>29</v>
      </c>
      <c r="T594" s="588"/>
      <c r="U594" s="588"/>
      <c r="V594" s="588"/>
      <c r="W594" s="588"/>
    </row>
    <row r="595" spans="1:25" ht="18" customHeight="1" x14ac:dyDescent="0.2">
      <c r="A595" s="337"/>
      <c r="B595" s="337"/>
      <c r="C595" s="345"/>
      <c r="D595" s="337"/>
      <c r="E595" s="337"/>
      <c r="F595" s="337"/>
      <c r="G595" s="337"/>
      <c r="H595" s="337"/>
      <c r="I595" s="337"/>
      <c r="J595" s="337"/>
      <c r="K595" s="337"/>
      <c r="L595" s="337"/>
      <c r="M595" s="337"/>
      <c r="N595" s="337"/>
      <c r="O595" s="337"/>
    </row>
    <row r="596" spans="1:25" ht="18" customHeight="1" x14ac:dyDescent="0.2">
      <c r="A596" s="337"/>
      <c r="B596" s="337"/>
      <c r="C596" s="345"/>
      <c r="D596" s="337"/>
      <c r="E596" s="337"/>
      <c r="F596" s="337"/>
      <c r="G596" s="337"/>
      <c r="H596" s="337"/>
      <c r="I596" s="337"/>
      <c r="J596" s="337"/>
      <c r="K596" s="337"/>
      <c r="L596" s="337"/>
      <c r="M596" s="337"/>
      <c r="N596" s="337"/>
      <c r="O596" s="337"/>
    </row>
    <row r="597" spans="1:25" ht="18" customHeight="1" x14ac:dyDescent="0.2">
      <c r="A597" s="337"/>
      <c r="B597" s="337"/>
      <c r="C597" s="583" t="s">
        <v>376</v>
      </c>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row>
    <row r="598" spans="1:25" ht="18" customHeight="1" x14ac:dyDescent="0.2">
      <c r="A598" s="337"/>
      <c r="B598" s="337"/>
      <c r="C598" s="592"/>
      <c r="D598" s="592"/>
      <c r="E598" s="592"/>
      <c r="F598" s="592"/>
      <c r="G598" s="592"/>
      <c r="H598" s="592"/>
      <c r="I598" s="592"/>
      <c r="J598" s="592"/>
      <c r="K598" s="592"/>
      <c r="L598" s="592"/>
      <c r="M598" s="592"/>
      <c r="N598" s="592"/>
      <c r="O598" s="592"/>
      <c r="P598" s="592"/>
      <c r="Q598" s="592"/>
      <c r="R598" s="592"/>
      <c r="S598" s="592"/>
      <c r="T598" s="592"/>
      <c r="U598" s="592"/>
      <c r="V598" s="592"/>
      <c r="W598" s="592"/>
      <c r="X598" s="592"/>
      <c r="Y598" s="592"/>
    </row>
    <row r="599" spans="1:25" ht="18" customHeight="1" x14ac:dyDescent="0.2">
      <c r="A599" s="337"/>
      <c r="B599" s="337"/>
      <c r="C599" s="356"/>
      <c r="D599" s="443"/>
      <c r="E599" s="443"/>
      <c r="F599" s="443"/>
      <c r="G599" s="641" t="s">
        <v>265</v>
      </c>
      <c r="H599" s="641"/>
      <c r="I599" s="641"/>
      <c r="J599" s="641"/>
      <c r="K599" s="641"/>
      <c r="L599" s="641"/>
      <c r="M599" s="641"/>
      <c r="N599" s="641"/>
      <c r="O599" s="641"/>
      <c r="P599" s="641"/>
      <c r="Q599" s="641"/>
      <c r="R599" s="641"/>
      <c r="S599" s="641"/>
    </row>
    <row r="600" spans="1:25" ht="18" customHeight="1" x14ac:dyDescent="0.2">
      <c r="A600" s="337"/>
      <c r="B600" s="337"/>
      <c r="C600" s="419"/>
      <c r="D600" s="419"/>
      <c r="E600" s="419"/>
      <c r="F600" s="419"/>
      <c r="G600" s="642"/>
      <c r="H600" s="642"/>
      <c r="I600" s="642"/>
      <c r="J600" s="642"/>
      <c r="K600" s="642"/>
      <c r="L600" s="642"/>
      <c r="M600" s="642"/>
      <c r="N600" s="642"/>
      <c r="O600" s="642"/>
      <c r="P600" s="642"/>
      <c r="Q600" s="642"/>
      <c r="R600" s="642"/>
      <c r="S600" s="642"/>
      <c r="T600" s="590"/>
      <c r="U600" s="590"/>
      <c r="V600" s="590"/>
      <c r="W600" s="590"/>
      <c r="X600" s="591" t="s">
        <v>118</v>
      </c>
      <c r="Y600" s="591"/>
    </row>
    <row r="601" spans="1:25" ht="18" customHeight="1" x14ac:dyDescent="0.2">
      <c r="A601" s="337"/>
      <c r="B601" s="337"/>
      <c r="C601" s="345"/>
      <c r="D601" s="419"/>
      <c r="E601" s="419"/>
      <c r="F601" s="419"/>
      <c r="G601" s="419"/>
      <c r="H601" s="419"/>
      <c r="I601" s="419"/>
      <c r="J601" s="419"/>
      <c r="K601" s="337"/>
      <c r="L601" s="337"/>
      <c r="M601" s="337"/>
      <c r="N601" s="337"/>
      <c r="O601" s="337"/>
    </row>
    <row r="602" spans="1:25" ht="18" customHeight="1" x14ac:dyDescent="0.2">
      <c r="A602" s="337"/>
      <c r="B602" s="337"/>
      <c r="C602" s="337"/>
      <c r="D602" s="337"/>
      <c r="E602" s="337"/>
      <c r="F602" s="337"/>
      <c r="G602" s="337"/>
      <c r="H602" s="337"/>
      <c r="I602" s="337"/>
      <c r="J602" s="337"/>
      <c r="K602" s="444"/>
      <c r="L602" s="337"/>
      <c r="M602" s="337"/>
      <c r="N602" s="337"/>
      <c r="O602" s="337"/>
    </row>
    <row r="603" spans="1:25" ht="35.25" customHeight="1" x14ac:dyDescent="0.2">
      <c r="A603" s="337"/>
      <c r="B603" s="337"/>
      <c r="C603" s="341">
        <v>2</v>
      </c>
      <c r="D603" s="695" t="s">
        <v>385</v>
      </c>
      <c r="E603" s="696"/>
      <c r="F603" s="696"/>
      <c r="G603" s="696"/>
      <c r="H603" s="696"/>
      <c r="I603" s="696"/>
      <c r="J603" s="696"/>
      <c r="K603" s="696"/>
      <c r="L603" s="696"/>
      <c r="M603" s="696"/>
      <c r="N603" s="696"/>
      <c r="O603" s="696"/>
      <c r="P603" s="696"/>
      <c r="Q603" s="696"/>
      <c r="R603" s="696"/>
      <c r="S603" s="696"/>
      <c r="T603" s="696"/>
      <c r="U603" s="696"/>
      <c r="V603" s="696"/>
      <c r="W603" s="696"/>
      <c r="X603" s="696"/>
      <c r="Y603" s="697"/>
    </row>
    <row r="604" spans="1:25" ht="18" customHeight="1" x14ac:dyDescent="0.2">
      <c r="A604" s="337"/>
      <c r="B604" s="337"/>
      <c r="C604" s="337"/>
      <c r="D604" s="337"/>
      <c r="E604" s="337"/>
      <c r="F604" s="337"/>
      <c r="G604" s="337"/>
      <c r="H604" s="337"/>
      <c r="I604" s="337"/>
      <c r="J604" s="337"/>
      <c r="K604" s="337"/>
      <c r="L604" s="337"/>
      <c r="M604" s="337"/>
      <c r="N604" s="337"/>
      <c r="O604" s="337"/>
    </row>
    <row r="605" spans="1:25" ht="18" customHeight="1" x14ac:dyDescent="0.2">
      <c r="A605" s="337"/>
      <c r="B605" s="337"/>
      <c r="C605" s="337"/>
      <c r="D605" s="337"/>
      <c r="E605" s="337"/>
      <c r="F605" s="337"/>
      <c r="G605" s="337"/>
      <c r="H605" s="337"/>
      <c r="I605" s="343" t="s">
        <v>266</v>
      </c>
      <c r="J605" s="643"/>
      <c r="K605" s="644"/>
      <c r="L605" s="337"/>
      <c r="M605" s="337"/>
      <c r="N605" s="337"/>
      <c r="O605" s="337"/>
    </row>
    <row r="606" spans="1:25" ht="18" customHeight="1" x14ac:dyDescent="0.2">
      <c r="A606" s="337"/>
      <c r="B606" s="337"/>
      <c r="C606" s="345"/>
      <c r="D606" s="337"/>
      <c r="E606" s="337"/>
      <c r="F606" s="337"/>
      <c r="G606" s="337"/>
      <c r="H606" s="337"/>
      <c r="I606" s="445"/>
      <c r="J606" s="337"/>
      <c r="K606" s="337"/>
      <c r="L606" s="337"/>
      <c r="M606" s="337"/>
      <c r="N606" s="337"/>
      <c r="O606" s="337"/>
    </row>
    <row r="607" spans="1:25" ht="18" customHeight="1" x14ac:dyDescent="0.2">
      <c r="A607" s="337"/>
      <c r="B607" s="337"/>
      <c r="C607" s="344" t="s">
        <v>267</v>
      </c>
      <c r="D607" s="344"/>
      <c r="E607" s="344"/>
      <c r="F607" s="344"/>
      <c r="G607" s="344"/>
      <c r="H607" s="344"/>
      <c r="I607" s="344"/>
      <c r="J607" s="344"/>
      <c r="K607" s="344"/>
      <c r="L607" s="344"/>
      <c r="M607" s="344"/>
      <c r="N607" s="337"/>
      <c r="O607" s="337"/>
    </row>
    <row r="608" spans="1:25" ht="18" customHeight="1" x14ac:dyDescent="0.2">
      <c r="A608" s="337"/>
      <c r="B608" s="337"/>
      <c r="C608" s="344"/>
      <c r="D608" s="446"/>
      <c r="E608" s="447"/>
      <c r="F608" s="640" t="s">
        <v>0</v>
      </c>
      <c r="G608" s="640"/>
      <c r="H608" s="640"/>
      <c r="I608" s="640" t="s">
        <v>1</v>
      </c>
      <c r="J608" s="640"/>
      <c r="K608" s="640"/>
      <c r="L608" s="640" t="s">
        <v>2</v>
      </c>
      <c r="M608" s="640"/>
      <c r="N608" s="640"/>
      <c r="O608" s="640" t="s">
        <v>3</v>
      </c>
      <c r="P608" s="640"/>
      <c r="Q608" s="640"/>
      <c r="R608" s="640"/>
      <c r="S608" s="640"/>
      <c r="T608" s="640"/>
    </row>
    <row r="609" spans="1:25" ht="18" customHeight="1" x14ac:dyDescent="0.2">
      <c r="A609" s="337"/>
      <c r="B609" s="337"/>
      <c r="C609" s="344"/>
      <c r="D609" s="446"/>
      <c r="E609" s="447"/>
      <c r="F609" s="638"/>
      <c r="G609" s="638"/>
      <c r="H609" s="638"/>
      <c r="I609" s="638"/>
      <c r="J609" s="638"/>
      <c r="K609" s="638"/>
      <c r="L609" s="638"/>
      <c r="M609" s="638"/>
      <c r="N609" s="638"/>
      <c r="O609" s="638"/>
      <c r="P609" s="638"/>
      <c r="Q609" s="638"/>
      <c r="R609" s="638"/>
      <c r="S609" s="638"/>
      <c r="T609" s="638"/>
    </row>
    <row r="610" spans="1:25" ht="18" customHeight="1" x14ac:dyDescent="0.2">
      <c r="A610" s="337"/>
      <c r="B610" s="337"/>
      <c r="C610" s="344"/>
      <c r="D610" s="446"/>
      <c r="E610" s="447"/>
      <c r="F610" s="638"/>
      <c r="G610" s="638"/>
      <c r="H610" s="638"/>
      <c r="I610" s="638"/>
      <c r="J610" s="638"/>
      <c r="K610" s="638"/>
      <c r="L610" s="638"/>
      <c r="M610" s="638"/>
      <c r="N610" s="638"/>
      <c r="O610" s="638"/>
      <c r="P610" s="638"/>
      <c r="Q610" s="638"/>
      <c r="R610" s="638"/>
      <c r="S610" s="638"/>
      <c r="T610" s="638"/>
    </row>
    <row r="611" spans="1:25" ht="18" customHeight="1" x14ac:dyDescent="0.2">
      <c r="A611" s="337"/>
      <c r="B611" s="337"/>
      <c r="C611" s="344"/>
      <c r="D611" s="446"/>
      <c r="E611" s="447"/>
      <c r="F611" s="638"/>
      <c r="G611" s="638"/>
      <c r="H611" s="638"/>
      <c r="I611" s="638"/>
      <c r="J611" s="638"/>
      <c r="K611" s="638"/>
      <c r="L611" s="638"/>
      <c r="M611" s="638"/>
      <c r="N611" s="638"/>
      <c r="O611" s="638"/>
      <c r="P611" s="638"/>
      <c r="Q611" s="638"/>
      <c r="R611" s="638"/>
      <c r="S611" s="638"/>
      <c r="T611" s="638"/>
    </row>
    <row r="612" spans="1:25" ht="18" customHeight="1" x14ac:dyDescent="0.2">
      <c r="A612" s="337"/>
      <c r="B612" s="337"/>
      <c r="C612" s="344"/>
      <c r="D612" s="446"/>
      <c r="E612" s="447"/>
      <c r="F612" s="638"/>
      <c r="G612" s="638"/>
      <c r="H612" s="638"/>
      <c r="I612" s="638"/>
      <c r="J612" s="638"/>
      <c r="K612" s="638"/>
      <c r="L612" s="638"/>
      <c r="M612" s="638"/>
      <c r="N612" s="638"/>
      <c r="O612" s="638"/>
      <c r="P612" s="638"/>
      <c r="Q612" s="638"/>
      <c r="R612" s="638"/>
      <c r="S612" s="638"/>
      <c r="T612" s="638"/>
    </row>
    <row r="613" spans="1:25" ht="18" customHeight="1" x14ac:dyDescent="0.2">
      <c r="A613" s="337"/>
      <c r="B613" s="337"/>
      <c r="C613" s="345"/>
      <c r="D613" s="337"/>
      <c r="E613" s="337"/>
      <c r="F613" s="337"/>
      <c r="G613" s="337"/>
      <c r="H613" s="337"/>
      <c r="I613" s="337"/>
      <c r="J613" s="337"/>
      <c r="K613" s="337"/>
      <c r="L613" s="337"/>
      <c r="M613" s="337"/>
      <c r="N613" s="337"/>
      <c r="O613" s="337"/>
    </row>
    <row r="614" spans="1:25" ht="18" customHeight="1" x14ac:dyDescent="0.2">
      <c r="A614" s="337"/>
      <c r="B614" s="337"/>
      <c r="C614" s="345"/>
      <c r="D614" s="337"/>
      <c r="E614" s="337"/>
      <c r="F614" s="337"/>
      <c r="G614" s="337"/>
      <c r="H614" s="337"/>
      <c r="I614" s="337"/>
      <c r="J614" s="337"/>
      <c r="K614" s="337"/>
      <c r="L614" s="337"/>
      <c r="M614" s="337"/>
      <c r="N614" s="337"/>
      <c r="O614" s="337"/>
    </row>
    <row r="615" spans="1:25" ht="33.75" customHeight="1" x14ac:dyDescent="0.2">
      <c r="A615" s="337"/>
      <c r="B615" s="337"/>
      <c r="C615" s="341" t="s">
        <v>394</v>
      </c>
      <c r="D615" s="695" t="s">
        <v>409</v>
      </c>
      <c r="E615" s="696"/>
      <c r="F615" s="696"/>
      <c r="G615" s="696"/>
      <c r="H615" s="696"/>
      <c r="I615" s="696"/>
      <c r="J615" s="696"/>
      <c r="K615" s="696"/>
      <c r="L615" s="696"/>
      <c r="M615" s="696"/>
      <c r="N615" s="696"/>
      <c r="O615" s="696"/>
      <c r="P615" s="696"/>
      <c r="Q615" s="696"/>
      <c r="R615" s="696"/>
      <c r="S615" s="696"/>
      <c r="T615" s="696"/>
      <c r="U615" s="696"/>
      <c r="V615" s="696"/>
      <c r="W615" s="696"/>
      <c r="X615" s="696"/>
      <c r="Y615" s="697"/>
    </row>
    <row r="616" spans="1:25" ht="18" customHeight="1" x14ac:dyDescent="0.2">
      <c r="A616" s="337"/>
      <c r="B616" s="337"/>
      <c r="C616" s="517"/>
      <c r="D616" s="517"/>
      <c r="E616" s="517"/>
      <c r="F616" s="517"/>
      <c r="G616" s="517"/>
      <c r="H616" s="517"/>
      <c r="I616" s="517"/>
      <c r="J616" s="517"/>
      <c r="K616" s="517"/>
      <c r="L616" s="517"/>
      <c r="M616" s="517"/>
      <c r="N616" s="517"/>
      <c r="O616" s="517"/>
      <c r="P616" s="517"/>
      <c r="Q616" s="517"/>
      <c r="R616" s="517"/>
      <c r="S616" s="517"/>
      <c r="T616" s="517"/>
      <c r="U616" s="517"/>
      <c r="V616" s="517"/>
      <c r="W616" s="517"/>
      <c r="X616" s="517"/>
      <c r="Y616" s="517"/>
    </row>
    <row r="617" spans="1:25" ht="18" customHeight="1" x14ac:dyDescent="0.2">
      <c r="A617" s="337"/>
      <c r="B617" s="337"/>
      <c r="C617" s="581" t="s">
        <v>324</v>
      </c>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row>
    <row r="618" spans="1:25" ht="18" customHeight="1" x14ac:dyDescent="0.2">
      <c r="A618" s="346"/>
      <c r="B618" s="346"/>
      <c r="C618" s="619" t="s">
        <v>74</v>
      </c>
      <c r="D618" s="619"/>
      <c r="E618" s="619"/>
      <c r="F618" s="619"/>
      <c r="G618" s="619"/>
      <c r="H618" s="619"/>
      <c r="I618" s="619"/>
      <c r="J618" s="619"/>
      <c r="K618" s="619"/>
      <c r="L618" s="619"/>
      <c r="M618" s="619"/>
      <c r="N618" s="619"/>
      <c r="O618" s="619"/>
      <c r="P618" s="619"/>
      <c r="Q618" s="619"/>
      <c r="R618" s="619"/>
      <c r="S618" s="619"/>
      <c r="T618" s="448" t="s">
        <v>73</v>
      </c>
      <c r="U618" s="347"/>
      <c r="V618" s="347"/>
      <c r="W618" s="347"/>
      <c r="X618" s="347"/>
      <c r="Y618" s="347"/>
    </row>
    <row r="619" spans="1:25" ht="18" customHeight="1" x14ac:dyDescent="0.2">
      <c r="A619" s="346"/>
      <c r="B619" s="346"/>
      <c r="C619" s="639" t="s">
        <v>377</v>
      </c>
      <c r="D619" s="639"/>
      <c r="E619" s="639"/>
      <c r="F619" s="639"/>
      <c r="G619" s="639"/>
      <c r="H619" s="639"/>
      <c r="I619" s="639"/>
      <c r="J619" s="639"/>
      <c r="K619" s="639"/>
      <c r="L619" s="639"/>
      <c r="M619" s="639"/>
      <c r="N619" s="639"/>
      <c r="O619" s="639"/>
      <c r="P619" s="639"/>
      <c r="Q619" s="639"/>
      <c r="R619" s="639"/>
      <c r="S619" s="639"/>
      <c r="T619" s="590"/>
      <c r="U619" s="590"/>
      <c r="V619" s="590"/>
      <c r="W619" s="590"/>
      <c r="X619" s="579" t="s">
        <v>5</v>
      </c>
      <c r="Y619" s="579"/>
    </row>
    <row r="620" spans="1:25" ht="18" customHeight="1" x14ac:dyDescent="0.2">
      <c r="A620" s="346"/>
      <c r="B620" s="346"/>
      <c r="C620" s="639"/>
      <c r="D620" s="639"/>
      <c r="E620" s="639"/>
      <c r="F620" s="639"/>
      <c r="G620" s="639"/>
      <c r="H620" s="639"/>
      <c r="I620" s="639"/>
      <c r="J620" s="639"/>
      <c r="K620" s="639"/>
      <c r="L620" s="639"/>
      <c r="M620" s="639"/>
      <c r="N620" s="639"/>
      <c r="O620" s="639"/>
      <c r="P620" s="639"/>
      <c r="Q620" s="639"/>
      <c r="R620" s="639"/>
      <c r="S620" s="639"/>
      <c r="T620" s="590"/>
      <c r="U620" s="590"/>
      <c r="V620" s="590"/>
      <c r="W620" s="590"/>
      <c r="X620" s="579"/>
      <c r="Y620" s="579"/>
    </row>
    <row r="621" spans="1:25" ht="18" customHeight="1" x14ac:dyDescent="0.2">
      <c r="A621" s="346"/>
      <c r="B621" s="346"/>
      <c r="C621" s="600" t="s">
        <v>498</v>
      </c>
      <c r="D621" s="601"/>
      <c r="E621" s="601"/>
      <c r="F621" s="601"/>
      <c r="G621" s="601"/>
      <c r="H621" s="601"/>
      <c r="I621" s="601"/>
      <c r="J621" s="601"/>
      <c r="K621" s="601"/>
      <c r="L621" s="601"/>
      <c r="M621" s="601"/>
      <c r="N621" s="601"/>
      <c r="O621" s="601"/>
      <c r="P621" s="601"/>
      <c r="Q621" s="601"/>
      <c r="R621" s="601"/>
      <c r="S621" s="601"/>
      <c r="T621" s="601"/>
      <c r="U621" s="601"/>
      <c r="V621" s="601"/>
      <c r="W621" s="601"/>
      <c r="X621" s="601"/>
      <c r="Y621" s="602"/>
    </row>
    <row r="622" spans="1:25" ht="18" customHeight="1" x14ac:dyDescent="0.2">
      <c r="A622" s="346"/>
      <c r="B622" s="346"/>
      <c r="C622" s="449"/>
      <c r="D622" s="620" t="s">
        <v>1518</v>
      </c>
      <c r="E622" s="620"/>
      <c r="F622" s="620"/>
      <c r="G622" s="620"/>
      <c r="H622" s="620"/>
      <c r="I622" s="620"/>
      <c r="J622" s="620"/>
      <c r="K622" s="620"/>
      <c r="L622" s="620"/>
      <c r="M622" s="620"/>
      <c r="N622" s="620"/>
      <c r="O622" s="620"/>
      <c r="P622" s="620"/>
      <c r="Q622" s="620"/>
      <c r="R622" s="620"/>
      <c r="S622" s="620"/>
      <c r="T622" s="590"/>
      <c r="U622" s="590"/>
      <c r="V622" s="590"/>
      <c r="W622" s="590"/>
      <c r="X622" s="622" t="s">
        <v>5</v>
      </c>
      <c r="Y622" s="623"/>
    </row>
    <row r="623" spans="1:25" ht="18" customHeight="1" x14ac:dyDescent="0.2">
      <c r="A623" s="346"/>
      <c r="B623" s="346"/>
      <c r="C623" s="450"/>
      <c r="D623" s="620" t="s">
        <v>439</v>
      </c>
      <c r="E623" s="620"/>
      <c r="F623" s="620"/>
      <c r="G623" s="620"/>
      <c r="H623" s="620"/>
      <c r="I623" s="620"/>
      <c r="J623" s="620"/>
      <c r="K623" s="620"/>
      <c r="L623" s="620"/>
      <c r="M623" s="620"/>
      <c r="N623" s="620"/>
      <c r="O623" s="620"/>
      <c r="P623" s="620"/>
      <c r="Q623" s="620"/>
      <c r="R623" s="620"/>
      <c r="S623" s="620"/>
      <c r="T623" s="590"/>
      <c r="U623" s="590"/>
      <c r="V623" s="590"/>
      <c r="W623" s="590"/>
      <c r="X623" s="622" t="s">
        <v>5</v>
      </c>
      <c r="Y623" s="623"/>
    </row>
    <row r="624" spans="1:25" ht="18" customHeight="1" x14ac:dyDescent="0.2">
      <c r="A624" s="346"/>
      <c r="B624" s="346"/>
      <c r="C624" s="451"/>
      <c r="D624" s="633" t="s">
        <v>75</v>
      </c>
      <c r="E624" s="633"/>
      <c r="F624" s="633"/>
      <c r="G624" s="633"/>
      <c r="H624" s="633"/>
      <c r="I624" s="633"/>
      <c r="J624" s="633"/>
      <c r="K624" s="633"/>
      <c r="L624" s="633"/>
      <c r="M624" s="633"/>
      <c r="N624" s="633"/>
      <c r="O624" s="633"/>
      <c r="P624" s="633"/>
      <c r="Q624" s="633"/>
      <c r="R624" s="633"/>
      <c r="S624" s="633"/>
      <c r="T624" s="590"/>
      <c r="U624" s="590"/>
      <c r="V624" s="590"/>
      <c r="W624" s="590"/>
      <c r="X624" s="634" t="s">
        <v>5</v>
      </c>
      <c r="Y624" s="635"/>
    </row>
    <row r="625" spans="1:25" ht="18" customHeight="1" x14ac:dyDescent="0.2">
      <c r="A625" s="346"/>
      <c r="B625" s="346"/>
      <c r="C625" s="600" t="s">
        <v>499</v>
      </c>
      <c r="D625" s="601"/>
      <c r="E625" s="601"/>
      <c r="F625" s="601"/>
      <c r="G625" s="601"/>
      <c r="H625" s="601"/>
      <c r="I625" s="601"/>
      <c r="J625" s="601"/>
      <c r="K625" s="601"/>
      <c r="L625" s="601"/>
      <c r="M625" s="601"/>
      <c r="N625" s="601"/>
      <c r="O625" s="601"/>
      <c r="P625" s="601"/>
      <c r="Q625" s="601"/>
      <c r="R625" s="601"/>
      <c r="S625" s="601"/>
      <c r="T625" s="601"/>
      <c r="U625" s="601"/>
      <c r="V625" s="601"/>
      <c r="W625" s="601"/>
      <c r="X625" s="601"/>
      <c r="Y625" s="602"/>
    </row>
    <row r="626" spans="1:25" ht="18" customHeight="1" x14ac:dyDescent="0.2">
      <c r="A626" s="346"/>
      <c r="B626" s="346"/>
      <c r="C626" s="449"/>
      <c r="D626" s="633" t="s">
        <v>1519</v>
      </c>
      <c r="E626" s="633"/>
      <c r="F626" s="633"/>
      <c r="G626" s="633"/>
      <c r="H626" s="633"/>
      <c r="I626" s="633"/>
      <c r="J626" s="633"/>
      <c r="K626" s="633"/>
      <c r="L626" s="633"/>
      <c r="M626" s="633"/>
      <c r="N626" s="633"/>
      <c r="O626" s="633"/>
      <c r="P626" s="633"/>
      <c r="Q626" s="633"/>
      <c r="R626" s="633"/>
      <c r="S626" s="633"/>
      <c r="T626" s="590"/>
      <c r="U626" s="590"/>
      <c r="V626" s="590"/>
      <c r="W626" s="590"/>
      <c r="X626" s="634" t="s">
        <v>5</v>
      </c>
      <c r="Y626" s="635"/>
    </row>
    <row r="627" spans="1:25" ht="18" customHeight="1" x14ac:dyDescent="0.2">
      <c r="A627" s="346"/>
      <c r="B627" s="346"/>
      <c r="C627" s="449"/>
      <c r="D627" s="633" t="s">
        <v>440</v>
      </c>
      <c r="E627" s="633"/>
      <c r="F627" s="633"/>
      <c r="G627" s="633"/>
      <c r="H627" s="633"/>
      <c r="I627" s="633"/>
      <c r="J627" s="633"/>
      <c r="K627" s="633"/>
      <c r="L627" s="633"/>
      <c r="M627" s="633"/>
      <c r="N627" s="633"/>
      <c r="O627" s="633"/>
      <c r="P627" s="633"/>
      <c r="Q627" s="633"/>
      <c r="R627" s="633"/>
      <c r="S627" s="633"/>
      <c r="T627" s="590"/>
      <c r="U627" s="590"/>
      <c r="V627" s="590"/>
      <c r="W627" s="590"/>
      <c r="X627" s="634" t="s">
        <v>5</v>
      </c>
      <c r="Y627" s="635"/>
    </row>
    <row r="628" spans="1:25" ht="18" customHeight="1" x14ac:dyDescent="0.2">
      <c r="A628" s="346"/>
      <c r="B628" s="346"/>
      <c r="C628" s="452"/>
      <c r="D628" s="636" t="s">
        <v>75</v>
      </c>
      <c r="E628" s="636"/>
      <c r="F628" s="636"/>
      <c r="G628" s="636"/>
      <c r="H628" s="636"/>
      <c r="I628" s="636"/>
      <c r="J628" s="636"/>
      <c r="K628" s="636"/>
      <c r="L628" s="636"/>
      <c r="M628" s="636"/>
      <c r="N628" s="636"/>
      <c r="O628" s="636"/>
      <c r="P628" s="636"/>
      <c r="Q628" s="636"/>
      <c r="R628" s="636"/>
      <c r="S628" s="636"/>
      <c r="T628" s="590"/>
      <c r="U628" s="590"/>
      <c r="V628" s="590"/>
      <c r="W628" s="590"/>
      <c r="X628" s="637" t="s">
        <v>5</v>
      </c>
      <c r="Y628" s="604"/>
    </row>
    <row r="629" spans="1:25" ht="18" customHeight="1" x14ac:dyDescent="0.2">
      <c r="A629" s="346"/>
      <c r="B629" s="346"/>
      <c r="C629" s="767" t="s">
        <v>500</v>
      </c>
      <c r="D629" s="768"/>
      <c r="E629" s="768"/>
      <c r="F629" s="768"/>
      <c r="G629" s="768"/>
      <c r="H629" s="768"/>
      <c r="I629" s="768"/>
      <c r="J629" s="768"/>
      <c r="K629" s="768"/>
      <c r="L629" s="768"/>
      <c r="M629" s="768"/>
      <c r="N629" s="768"/>
      <c r="O629" s="768"/>
      <c r="P629" s="768"/>
      <c r="Q629" s="768"/>
      <c r="R629" s="768"/>
      <c r="S629" s="768"/>
      <c r="T629" s="590"/>
      <c r="U629" s="590"/>
      <c r="V629" s="590"/>
      <c r="W629" s="590"/>
      <c r="X629" s="634" t="s">
        <v>5</v>
      </c>
      <c r="Y629" s="635"/>
    </row>
    <row r="630" spans="1:25" ht="18" customHeight="1" x14ac:dyDescent="0.2">
      <c r="A630" s="346"/>
      <c r="B630" s="346"/>
      <c r="C630" s="767" t="s">
        <v>501</v>
      </c>
      <c r="D630" s="768"/>
      <c r="E630" s="768"/>
      <c r="F630" s="768"/>
      <c r="G630" s="768"/>
      <c r="H630" s="768"/>
      <c r="I630" s="768"/>
      <c r="J630" s="768"/>
      <c r="K630" s="768"/>
      <c r="L630" s="768"/>
      <c r="M630" s="768"/>
      <c r="N630" s="768"/>
      <c r="O630" s="768"/>
      <c r="P630" s="768"/>
      <c r="Q630" s="768"/>
      <c r="R630" s="768"/>
      <c r="S630" s="768"/>
      <c r="T630" s="590"/>
      <c r="U630" s="590"/>
      <c r="V630" s="590"/>
      <c r="W630" s="590"/>
      <c r="X630" s="634" t="s">
        <v>5</v>
      </c>
      <c r="Y630" s="635"/>
    </row>
    <row r="631" spans="1:25" ht="18" customHeight="1" thickBot="1" x14ac:dyDescent="0.25">
      <c r="A631" s="346"/>
      <c r="B631" s="346"/>
      <c r="C631" s="625" t="s">
        <v>258</v>
      </c>
      <c r="D631" s="626"/>
      <c r="E631" s="626"/>
      <c r="F631" s="626"/>
      <c r="G631" s="626"/>
      <c r="H631" s="626"/>
      <c r="I631" s="626"/>
      <c r="J631" s="626"/>
      <c r="K631" s="626"/>
      <c r="L631" s="626"/>
      <c r="M631" s="626"/>
      <c r="N631" s="626"/>
      <c r="O631" s="626"/>
      <c r="P631" s="626"/>
      <c r="Q631" s="626"/>
      <c r="R631" s="626"/>
      <c r="S631" s="627"/>
      <c r="T631" s="628" t="str">
        <f>IF(COUNTA($T$626:$W$630,$T$622:$W$624,$T$619)=0,"",SUM($T$626:$W$630,$T$622:$W$624,$T$619))</f>
        <v/>
      </c>
      <c r="U631" s="628"/>
      <c r="V631" s="628"/>
      <c r="W631" s="628"/>
      <c r="X631" s="579" t="s">
        <v>5</v>
      </c>
      <c r="Y631" s="579"/>
    </row>
    <row r="632" spans="1:25" ht="18" customHeight="1" thickBot="1" x14ac:dyDescent="0.25">
      <c r="A632" s="346"/>
      <c r="B632" s="346"/>
      <c r="C632" s="345"/>
      <c r="D632" s="453"/>
      <c r="E632" s="453"/>
      <c r="F632" s="453"/>
      <c r="G632" s="453"/>
      <c r="H632" s="453"/>
      <c r="I632" s="453"/>
      <c r="J632" s="453"/>
      <c r="K632" s="454"/>
      <c r="L632" s="455"/>
      <c r="M632" s="455"/>
      <c r="N632" s="455"/>
      <c r="O632" s="346"/>
      <c r="P632" s="346"/>
      <c r="Q632" s="347"/>
      <c r="R632" s="347"/>
      <c r="S632" s="347"/>
      <c r="T632" s="395"/>
      <c r="U632" s="396"/>
      <c r="V632" s="396"/>
      <c r="W632" s="397" t="str">
        <f>IF(COUNTIF($T$626:$T$630,0)+COUNTIF($T$622:$T$624,0)+COUNTIF($T$619,0)&gt;0,"Supprimez les valeurs nulles.",IF(COUNTA($T$619,$T$622:$W$624,$T$626:$W$630)=0,"",CONCATENATE(CONCATENATE(IF(AND($J$456="X",MIN($T$619,$T$622:$W$624,$T$626:$W$630)*$T$107*100&lt;15625),"La part d'un type de couvert végétal est inférieure à la surface minimale cartographiable choisie (15 625 m²). ",IF(AND($T$456="X",MIN($T$619,$T$622:$W$624,$T$626:$W$630)*$T$107*100&lt;2500)," La part d'un type de couvert végétal est inférieure à la surface minimale cartographiable choisie (2500 m²). ",IF(AND($J$457="X",MIN($T$619,$T$622:$W$624,$T$626:$W$630)*$T$107*100&lt;625)," La part d'un type de couvert végétal est inférieure à la surface minimale cartographiable choisie (625 m²). ",IF(AND($T$457="X",MIN($T$619,$T$622:$W$624,$T$626:$W$630)*$T$107*100&lt;156)," La part d'un type de couvert végétal est inférieure à la surface minimale cartographiable choisie (156 m²). ",""))))),IF($T$631="","",IF(COUNTA($T$619,$T$622:$T$624,$T$626:$T$630)=0,"Renseignez la proportion du site occupée par les différents types de couverts végétaux. ",IF($T$631&lt;&gt;100,"La somme des proportions du site occupée par les différents types de couverts végétaux doit être égale à 100%. ",""))))))</f>
        <v/>
      </c>
      <c r="X632" s="347"/>
      <c r="Y632" s="347"/>
    </row>
    <row r="633" spans="1:25" ht="18" customHeight="1" x14ac:dyDescent="0.2">
      <c r="A633" s="346"/>
      <c r="B633" s="346"/>
      <c r="C633" s="345"/>
      <c r="D633" s="453"/>
      <c r="E633" s="453"/>
      <c r="F633" s="453"/>
      <c r="G633" s="453"/>
      <c r="H633" s="453"/>
      <c r="I633" s="453"/>
      <c r="J633" s="453"/>
      <c r="K633" s="453"/>
      <c r="L633" s="456"/>
      <c r="M633" s="455"/>
      <c r="N633" s="455"/>
      <c r="O633" s="346"/>
      <c r="P633" s="346"/>
      <c r="Q633" s="347"/>
      <c r="R633" s="347"/>
      <c r="S633" s="347"/>
      <c r="T633" s="457"/>
      <c r="U633" s="457"/>
      <c r="V633" s="347"/>
      <c r="W633" s="398"/>
      <c r="X633" s="347"/>
      <c r="Y633" s="347"/>
    </row>
    <row r="634" spans="1:25" ht="18" customHeight="1" x14ac:dyDescent="0.2">
      <c r="A634" s="337"/>
      <c r="B634" s="337"/>
      <c r="C634" s="583" t="s">
        <v>755</v>
      </c>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row>
    <row r="635" spans="1:25" ht="18" customHeight="1" x14ac:dyDescent="0.2">
      <c r="A635" s="337"/>
      <c r="B635" s="337"/>
      <c r="C635" s="592"/>
      <c r="D635" s="592"/>
      <c r="E635" s="592"/>
      <c r="F635" s="592"/>
      <c r="G635" s="592"/>
      <c r="H635" s="592"/>
      <c r="I635" s="592"/>
      <c r="J635" s="592"/>
      <c r="K635" s="592"/>
      <c r="L635" s="592"/>
      <c r="M635" s="592"/>
      <c r="N635" s="592"/>
      <c r="O635" s="592"/>
      <c r="P635" s="592"/>
      <c r="Q635" s="592"/>
      <c r="R635" s="592"/>
      <c r="S635" s="592"/>
      <c r="T635" s="592"/>
      <c r="U635" s="592"/>
      <c r="V635" s="592"/>
      <c r="W635" s="592"/>
      <c r="X635" s="592"/>
      <c r="Y635" s="592"/>
    </row>
    <row r="636" spans="1:25" ht="18" customHeight="1" x14ac:dyDescent="0.2">
      <c r="A636" s="337"/>
      <c r="B636" s="337"/>
      <c r="C636" s="619" t="s">
        <v>225</v>
      </c>
      <c r="D636" s="619"/>
      <c r="E636" s="619"/>
      <c r="F636" s="619"/>
      <c r="G636" s="619"/>
      <c r="H636" s="619"/>
      <c r="I636" s="619"/>
      <c r="J636" s="619"/>
      <c r="K636" s="619"/>
      <c r="L636" s="619"/>
      <c r="M636" s="619"/>
      <c r="N636" s="619"/>
      <c r="O636" s="619"/>
      <c r="P636" s="619"/>
      <c r="Q636" s="619"/>
      <c r="R636" s="619"/>
      <c r="S636" s="619"/>
      <c r="T636" s="448" t="s">
        <v>73</v>
      </c>
      <c r="U636" s="347"/>
      <c r="V636" s="347"/>
      <c r="W636" s="347"/>
      <c r="X636" s="347"/>
      <c r="Y636" s="347"/>
    </row>
    <row r="637" spans="1:25" ht="18" customHeight="1" x14ac:dyDescent="0.2">
      <c r="A637" s="337"/>
      <c r="B637" s="337"/>
      <c r="C637" s="600" t="s">
        <v>220</v>
      </c>
      <c r="D637" s="601"/>
      <c r="E637" s="601"/>
      <c r="F637" s="601"/>
      <c r="G637" s="601"/>
      <c r="H637" s="601"/>
      <c r="I637" s="601"/>
      <c r="J637" s="601"/>
      <c r="K637" s="601"/>
      <c r="L637" s="601"/>
      <c r="M637" s="601"/>
      <c r="N637" s="601"/>
      <c r="O637" s="601"/>
      <c r="P637" s="601"/>
      <c r="Q637" s="601"/>
      <c r="R637" s="601"/>
      <c r="S637" s="602"/>
      <c r="T637" s="629"/>
      <c r="U637" s="630"/>
      <c r="V637" s="630"/>
      <c r="W637" s="631"/>
      <c r="X637" s="632" t="s">
        <v>5</v>
      </c>
      <c r="Y637" s="623"/>
    </row>
    <row r="638" spans="1:25" ht="18" customHeight="1" x14ac:dyDescent="0.2">
      <c r="A638" s="337"/>
      <c r="B638" s="337"/>
      <c r="C638" s="600" t="s">
        <v>227</v>
      </c>
      <c r="D638" s="601"/>
      <c r="E638" s="601"/>
      <c r="F638" s="601"/>
      <c r="G638" s="601"/>
      <c r="H638" s="601"/>
      <c r="I638" s="601"/>
      <c r="J638" s="601"/>
      <c r="K638" s="601"/>
      <c r="L638" s="601"/>
      <c r="M638" s="601"/>
      <c r="N638" s="601"/>
      <c r="O638" s="601"/>
      <c r="P638" s="601"/>
      <c r="Q638" s="601"/>
      <c r="R638" s="601"/>
      <c r="S638" s="601"/>
      <c r="T638" s="458"/>
      <c r="U638" s="458"/>
      <c r="V638" s="458"/>
      <c r="W638" s="458"/>
      <c r="X638" s="458"/>
      <c r="Y638" s="459"/>
    </row>
    <row r="639" spans="1:25" ht="18" customHeight="1" x14ac:dyDescent="0.2">
      <c r="A639" s="337"/>
      <c r="B639" s="337"/>
      <c r="C639" s="449"/>
      <c r="D639" s="620" t="s">
        <v>221</v>
      </c>
      <c r="E639" s="620"/>
      <c r="F639" s="620"/>
      <c r="G639" s="620"/>
      <c r="H639" s="620"/>
      <c r="I639" s="620"/>
      <c r="J639" s="620"/>
      <c r="K639" s="620"/>
      <c r="L639" s="620"/>
      <c r="M639" s="620"/>
      <c r="N639" s="620"/>
      <c r="O639" s="620"/>
      <c r="P639" s="620"/>
      <c r="Q639" s="620"/>
      <c r="R639" s="620"/>
      <c r="S639" s="620"/>
      <c r="T639" s="621"/>
      <c r="U639" s="621"/>
      <c r="V639" s="621"/>
      <c r="W639" s="621"/>
      <c r="X639" s="622" t="s">
        <v>5</v>
      </c>
      <c r="Y639" s="623"/>
    </row>
    <row r="640" spans="1:25" ht="18" customHeight="1" x14ac:dyDescent="0.2">
      <c r="A640" s="337"/>
      <c r="B640" s="337"/>
      <c r="C640" s="451"/>
      <c r="D640" s="624" t="s">
        <v>222</v>
      </c>
      <c r="E640" s="577"/>
      <c r="F640" s="577"/>
      <c r="G640" s="577"/>
      <c r="H640" s="577"/>
      <c r="I640" s="577"/>
      <c r="J640" s="577"/>
      <c r="K640" s="577"/>
      <c r="L640" s="577"/>
      <c r="M640" s="577"/>
      <c r="N640" s="577"/>
      <c r="O640" s="577"/>
      <c r="P640" s="577"/>
      <c r="Q640" s="577"/>
      <c r="R640" s="577"/>
      <c r="S640" s="577"/>
      <c r="T640" s="588"/>
      <c r="U640" s="588"/>
      <c r="V640" s="588"/>
      <c r="W640" s="588"/>
      <c r="X640" s="579" t="s">
        <v>5</v>
      </c>
      <c r="Y640" s="579"/>
    </row>
    <row r="641" spans="1:25" ht="18" customHeight="1" thickBot="1" x14ac:dyDescent="0.25">
      <c r="C641" s="611" t="s">
        <v>486</v>
      </c>
      <c r="D641" s="612"/>
      <c r="E641" s="612"/>
      <c r="F641" s="612"/>
      <c r="G641" s="612"/>
      <c r="H641" s="612"/>
      <c r="I641" s="612"/>
      <c r="J641" s="612"/>
      <c r="K641" s="612"/>
      <c r="L641" s="612"/>
      <c r="M641" s="612"/>
      <c r="N641" s="612"/>
      <c r="O641" s="612"/>
      <c r="P641" s="612"/>
      <c r="Q641" s="612"/>
      <c r="R641" s="612"/>
      <c r="S641" s="613"/>
      <c r="T641" s="614" t="str">
        <f>IF(COUNTA($T$639:$W$640,$T$637)=0,"",SUM($T$639:$W$640,$T$637))</f>
        <v/>
      </c>
      <c r="U641" s="615"/>
      <c r="V641" s="615"/>
      <c r="W641" s="616"/>
      <c r="X641" s="617" t="s">
        <v>5</v>
      </c>
      <c r="Y641" s="618"/>
    </row>
    <row r="642" spans="1:25" ht="18" customHeight="1" thickBot="1" x14ac:dyDescent="0.25">
      <c r="A642" s="337"/>
      <c r="B642" s="337"/>
      <c r="C642" s="345"/>
      <c r="D642" s="382"/>
      <c r="E642" s="382"/>
      <c r="F642" s="382"/>
      <c r="G642" s="382"/>
      <c r="H642" s="382"/>
      <c r="I642" s="382"/>
      <c r="J642" s="382"/>
      <c r="K642" s="460"/>
      <c r="L642" s="382"/>
      <c r="M642" s="382"/>
      <c r="N642" s="382"/>
      <c r="O642" s="382"/>
      <c r="P642" s="382"/>
      <c r="Q642" s="382"/>
      <c r="R642" s="382"/>
      <c r="S642" s="382"/>
      <c r="T642" s="395"/>
      <c r="U642" s="396"/>
      <c r="V642" s="396"/>
      <c r="W642" s="397" t="str">
        <f>CONCATENATE(IF(COUNTIF($C$465:$C$479,"FA.1")+COUNTIF($C$465:$C$479,"FB.1")+COUNTIF($C$465:$C$479,"FB.2")+COUNTIF($C$465:$C$479,"FB.3")+COUNTIF($C$465:$C$479,"FB.4")=0,"",IF(AND(OR(COUNTIF($C$465:$C$479,"FA.1")&gt;0,COUNTIF($C$465:$C$479,"FB.1")&gt;0,COUNTIF($C$465:$C$479,"FB.2")&gt;0,COUNTIF($C$465:$C$479,"FB.3")&gt;0,COUNTIF($C$465:$C$479,"FB.4")&gt;0),COUNTA($T$637,$T$639:$T$640)=0),"Les habitats mentionnés ici ont été observés dans le site (voir question 39), renseignez les types de couverts herbacés.",IF($T$641&lt;&gt;(SUMIF($C$465:$C$479,"FA.1",$T$465:$T$479)+SUMIF($C$465:$C$479,"FB.1",$T$465:$T$479)+SUMIF($C$465:$C$479,"FB.2",$T$465:$T$479)+SUMIF($C$465:$C$479,"FB.3",$T$465:$T$479)+SUMIF($C$465:$C$479,"FB.4",$T$465:$T$479)),"La somme renseignée ici doit être égale à la somme des proportions des habitats FA.1, FB.1, FB.2, FB.3, FB.4 dans le site. ",""))),IF(AND(COUNTIF($C$465:$C$479,"FA.1")+COUNTIF($C$465:$C$479,"FB.1")+COUNTIF($C$465:$C$479,"FB.2")+COUNTIF($C$465:$C$479,"FB.3")+COUNTIF($C$465:$C$479,"FB.4")=0,SUM($T$637,$T$639:$T$640)&gt;0),"Les habitats mentionnés ici n’ont pas été détectés dans la question 39, ne répondez pas à la question. ",""))</f>
        <v/>
      </c>
      <c r="X642" s="382"/>
      <c r="Y642" s="382"/>
    </row>
    <row r="643" spans="1:25" ht="18" customHeight="1" x14ac:dyDescent="0.2">
      <c r="A643" s="337"/>
      <c r="B643" s="337"/>
      <c r="C643" s="345"/>
      <c r="D643" s="382"/>
      <c r="E643" s="382"/>
      <c r="F643" s="382"/>
      <c r="G643" s="382"/>
      <c r="H643" s="382"/>
      <c r="I643" s="382"/>
      <c r="J643" s="382"/>
      <c r="K643" s="382"/>
      <c r="L643" s="382"/>
      <c r="M643" s="382"/>
      <c r="N643" s="382"/>
      <c r="O643" s="382"/>
      <c r="P643" s="382"/>
      <c r="Q643" s="382"/>
      <c r="R643" s="382"/>
      <c r="S643" s="382"/>
      <c r="T643" s="347"/>
      <c r="U643" s="347"/>
      <c r="V643" s="347"/>
      <c r="W643" s="382"/>
      <c r="X643" s="382"/>
      <c r="Y643" s="382"/>
    </row>
    <row r="644" spans="1:25" ht="18" customHeight="1" x14ac:dyDescent="0.2">
      <c r="A644" s="337"/>
      <c r="B644" s="337"/>
      <c r="C644" s="583" t="s">
        <v>756</v>
      </c>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row>
    <row r="645" spans="1:25" ht="18" customHeight="1" x14ac:dyDescent="0.2">
      <c r="A645" s="337"/>
      <c r="B645" s="337"/>
      <c r="C645" s="592"/>
      <c r="D645" s="592"/>
      <c r="E645" s="592"/>
      <c r="F645" s="592"/>
      <c r="G645" s="592"/>
      <c r="H645" s="592"/>
      <c r="I645" s="592"/>
      <c r="J645" s="592"/>
      <c r="K645" s="592"/>
      <c r="L645" s="592"/>
      <c r="M645" s="592"/>
      <c r="N645" s="592"/>
      <c r="O645" s="592"/>
      <c r="P645" s="592"/>
      <c r="Q645" s="592"/>
      <c r="R645" s="592"/>
      <c r="S645" s="592"/>
      <c r="T645" s="592"/>
      <c r="U645" s="592"/>
      <c r="V645" s="592"/>
      <c r="W645" s="592"/>
      <c r="X645" s="592"/>
      <c r="Y645" s="592"/>
    </row>
    <row r="646" spans="1:25" ht="18" customHeight="1" x14ac:dyDescent="0.2">
      <c r="A646" s="337"/>
      <c r="B646" s="337"/>
      <c r="C646" s="619" t="s">
        <v>226</v>
      </c>
      <c r="D646" s="619"/>
      <c r="E646" s="619"/>
      <c r="F646" s="619"/>
      <c r="G646" s="619"/>
      <c r="H646" s="619"/>
      <c r="I646" s="619"/>
      <c r="J646" s="619"/>
      <c r="K646" s="619"/>
      <c r="L646" s="619"/>
      <c r="M646" s="619"/>
      <c r="N646" s="619"/>
      <c r="O646" s="619"/>
      <c r="P646" s="619"/>
      <c r="Q646" s="619"/>
      <c r="R646" s="619"/>
      <c r="S646" s="619"/>
      <c r="T646" s="461" t="s">
        <v>73</v>
      </c>
      <c r="U646" s="462"/>
      <c r="V646" s="462"/>
      <c r="W646" s="462"/>
      <c r="X646" s="462"/>
      <c r="Y646" s="462"/>
    </row>
    <row r="647" spans="1:25" ht="18" customHeight="1" x14ac:dyDescent="0.2">
      <c r="A647" s="337"/>
      <c r="B647" s="337"/>
      <c r="C647" s="600" t="s">
        <v>220</v>
      </c>
      <c r="D647" s="601"/>
      <c r="E647" s="601"/>
      <c r="F647" s="601"/>
      <c r="G647" s="601"/>
      <c r="H647" s="601"/>
      <c r="I647" s="601"/>
      <c r="J647" s="601"/>
      <c r="K647" s="601"/>
      <c r="L647" s="601"/>
      <c r="M647" s="601"/>
      <c r="N647" s="601"/>
      <c r="O647" s="601"/>
      <c r="P647" s="601"/>
      <c r="Q647" s="601"/>
      <c r="R647" s="601"/>
      <c r="S647" s="601"/>
      <c r="T647" s="601"/>
      <c r="U647" s="601"/>
      <c r="V647" s="601"/>
      <c r="W647" s="601"/>
      <c r="X647" s="601"/>
      <c r="Y647" s="602"/>
    </row>
    <row r="648" spans="1:25" ht="18" customHeight="1" x14ac:dyDescent="0.2">
      <c r="A648" s="337"/>
      <c r="C648" s="463"/>
      <c r="D648" s="562" t="s">
        <v>517</v>
      </c>
      <c r="E648" s="562"/>
      <c r="F648" s="562"/>
      <c r="G648" s="562"/>
      <c r="H648" s="562"/>
      <c r="I648" s="562"/>
      <c r="J648" s="562"/>
      <c r="K648" s="562"/>
      <c r="L648" s="562"/>
      <c r="M648" s="562"/>
      <c r="N648" s="562"/>
      <c r="O648" s="562"/>
      <c r="P648" s="562"/>
      <c r="Q648" s="562"/>
      <c r="R648" s="562"/>
      <c r="S648" s="562"/>
      <c r="T648" s="599"/>
      <c r="U648" s="599"/>
      <c r="V648" s="599"/>
      <c r="W648" s="599"/>
      <c r="X648" s="579" t="s">
        <v>5</v>
      </c>
      <c r="Y648" s="579"/>
    </row>
    <row r="649" spans="1:25" ht="18" customHeight="1" x14ac:dyDescent="0.2">
      <c r="A649" s="337"/>
      <c r="C649" s="463"/>
      <c r="D649" s="597" t="s">
        <v>518</v>
      </c>
      <c r="E649" s="598"/>
      <c r="F649" s="598"/>
      <c r="G649" s="598"/>
      <c r="H649" s="598"/>
      <c r="I649" s="598"/>
      <c r="J649" s="598"/>
      <c r="K649" s="598"/>
      <c r="L649" s="598"/>
      <c r="M649" s="598"/>
      <c r="N649" s="598"/>
      <c r="O649" s="598"/>
      <c r="P649" s="598"/>
      <c r="Q649" s="598"/>
      <c r="R649" s="598"/>
      <c r="S649" s="598"/>
      <c r="T649" s="599"/>
      <c r="U649" s="599"/>
      <c r="V649" s="599"/>
      <c r="W649" s="599"/>
      <c r="X649" s="603" t="s">
        <v>5</v>
      </c>
      <c r="Y649" s="604"/>
    </row>
    <row r="650" spans="1:25" ht="18" customHeight="1" x14ac:dyDescent="0.2">
      <c r="A650" s="337"/>
      <c r="C650" s="600" t="s">
        <v>223</v>
      </c>
      <c r="D650" s="601"/>
      <c r="E650" s="601"/>
      <c r="F650" s="601"/>
      <c r="G650" s="601"/>
      <c r="H650" s="601"/>
      <c r="I650" s="601"/>
      <c r="J650" s="601"/>
      <c r="K650" s="601"/>
      <c r="L650" s="601"/>
      <c r="M650" s="601"/>
      <c r="N650" s="601"/>
      <c r="O650" s="601"/>
      <c r="P650" s="601"/>
      <c r="Q650" s="601"/>
      <c r="R650" s="601"/>
      <c r="S650" s="601"/>
      <c r="T650" s="601"/>
      <c r="U650" s="601"/>
      <c r="V650" s="601"/>
      <c r="W650" s="601"/>
      <c r="X650" s="601"/>
      <c r="Y650" s="602"/>
    </row>
    <row r="651" spans="1:25" ht="18" customHeight="1" x14ac:dyDescent="0.2">
      <c r="A651" s="337"/>
      <c r="C651" s="463"/>
      <c r="D651" s="597" t="s">
        <v>517</v>
      </c>
      <c r="E651" s="598"/>
      <c r="F651" s="598"/>
      <c r="G651" s="598"/>
      <c r="H651" s="598"/>
      <c r="I651" s="598"/>
      <c r="J651" s="598"/>
      <c r="K651" s="598"/>
      <c r="L651" s="598"/>
      <c r="M651" s="598"/>
      <c r="N651" s="598"/>
      <c r="O651" s="598"/>
      <c r="P651" s="598"/>
      <c r="Q651" s="598"/>
      <c r="R651" s="598"/>
      <c r="S651" s="598"/>
      <c r="T651" s="599"/>
      <c r="U651" s="599"/>
      <c r="V651" s="599"/>
      <c r="W651" s="599"/>
      <c r="X651" s="579" t="s">
        <v>5</v>
      </c>
      <c r="Y651" s="579"/>
    </row>
    <row r="652" spans="1:25" ht="18" customHeight="1" x14ac:dyDescent="0.2">
      <c r="A652" s="337"/>
      <c r="C652" s="464"/>
      <c r="D652" s="605" t="s">
        <v>519</v>
      </c>
      <c r="E652" s="606"/>
      <c r="F652" s="606"/>
      <c r="G652" s="606"/>
      <c r="H652" s="606"/>
      <c r="I652" s="606"/>
      <c r="J652" s="606"/>
      <c r="K652" s="606"/>
      <c r="L652" s="606"/>
      <c r="M652" s="606"/>
      <c r="N652" s="606"/>
      <c r="O652" s="606"/>
      <c r="P652" s="606"/>
      <c r="Q652" s="606"/>
      <c r="R652" s="606"/>
      <c r="S652" s="607"/>
      <c r="T652" s="599"/>
      <c r="U652" s="599"/>
      <c r="V652" s="599"/>
      <c r="W652" s="599"/>
      <c r="X652" s="579" t="s">
        <v>5</v>
      </c>
      <c r="Y652" s="579"/>
    </row>
    <row r="653" spans="1:25" ht="18" customHeight="1" x14ac:dyDescent="0.2">
      <c r="A653" s="337"/>
      <c r="C653" s="600" t="s">
        <v>520</v>
      </c>
      <c r="D653" s="601"/>
      <c r="E653" s="601"/>
      <c r="F653" s="601"/>
      <c r="G653" s="601"/>
      <c r="H653" s="601"/>
      <c r="I653" s="601"/>
      <c r="J653" s="601"/>
      <c r="K653" s="601"/>
      <c r="L653" s="601"/>
      <c r="M653" s="601"/>
      <c r="N653" s="601"/>
      <c r="O653" s="601"/>
      <c r="P653" s="601"/>
      <c r="Q653" s="601"/>
      <c r="R653" s="601"/>
      <c r="S653" s="601"/>
      <c r="T653" s="601"/>
      <c r="U653" s="601"/>
      <c r="V653" s="601"/>
      <c r="W653" s="601"/>
      <c r="X653" s="601"/>
      <c r="Y653" s="602"/>
    </row>
    <row r="654" spans="1:25" ht="18" customHeight="1" x14ac:dyDescent="0.2">
      <c r="A654" s="337"/>
      <c r="C654" s="608" t="s">
        <v>224</v>
      </c>
      <c r="D654" s="609"/>
      <c r="E654" s="609"/>
      <c r="F654" s="609"/>
      <c r="G654" s="609"/>
      <c r="H654" s="609"/>
      <c r="I654" s="609"/>
      <c r="J654" s="609"/>
      <c r="K654" s="609"/>
      <c r="L654" s="609"/>
      <c r="M654" s="609"/>
      <c r="N654" s="609"/>
      <c r="O654" s="609"/>
      <c r="P654" s="609"/>
      <c r="Q654" s="609"/>
      <c r="R654" s="609"/>
      <c r="S654" s="610"/>
      <c r="T654" s="599"/>
      <c r="U654" s="599"/>
      <c r="V654" s="599"/>
      <c r="W654" s="599"/>
      <c r="X654" s="579" t="s">
        <v>5</v>
      </c>
      <c r="Y654" s="579"/>
    </row>
    <row r="655" spans="1:25" ht="18" customHeight="1" thickBot="1" x14ac:dyDescent="0.25">
      <c r="C655" s="611" t="s">
        <v>486</v>
      </c>
      <c r="D655" s="612"/>
      <c r="E655" s="612"/>
      <c r="F655" s="612"/>
      <c r="G655" s="612"/>
      <c r="H655" s="612"/>
      <c r="I655" s="612"/>
      <c r="J655" s="612"/>
      <c r="K655" s="612"/>
      <c r="L655" s="612"/>
      <c r="M655" s="612"/>
      <c r="N655" s="612"/>
      <c r="O655" s="612"/>
      <c r="P655" s="612"/>
      <c r="Q655" s="612"/>
      <c r="R655" s="612"/>
      <c r="S655" s="613"/>
      <c r="T655" s="614" t="str">
        <f>IF(COUNTA($T$648:$W$649,$T$651:$W$652,$T$654)=0,"",SUM($T$648:$W$649,$T$651:$W$652,$T$654))</f>
        <v/>
      </c>
      <c r="U655" s="615"/>
      <c r="V655" s="615"/>
      <c r="W655" s="616"/>
      <c r="X655" s="790" t="s">
        <v>5</v>
      </c>
      <c r="Y655" s="683"/>
    </row>
    <row r="656" spans="1:25" ht="18" customHeight="1" thickBot="1" x14ac:dyDescent="0.25">
      <c r="A656" s="337"/>
      <c r="B656" s="337"/>
      <c r="C656" s="345"/>
      <c r="D656" s="337"/>
      <c r="E656" s="337"/>
      <c r="F656" s="337"/>
      <c r="G656" s="337"/>
      <c r="H656" s="337"/>
      <c r="I656" s="337"/>
      <c r="J656" s="337"/>
      <c r="K656" s="337"/>
      <c r="L656" s="337"/>
      <c r="M656" s="337"/>
      <c r="N656" s="337"/>
      <c r="O656" s="337"/>
      <c r="T656" s="395"/>
      <c r="U656" s="396"/>
      <c r="V656" s="396"/>
      <c r="W656" s="397" t="str">
        <f>CONCATENATE(IF(COUNTIF($C$465:$C$479,"G1.C")+COUNTIF($C$465:$C$479,"G1.D")+COUNTIF($C$465:$C$479,"G2.8")+COUNTIF($C$465:$C$479,"G2.9")+COUNTIF($C$465:$C$479,"G3.F")=0,"",IF(AND(OR(COUNTIF($C$465:$C$479,"G1.C")&gt;0,COUNTIF($C$465:$C$479,"G1.D")&gt;0,COUNTIF($C$465:$C$479,"G2.8")&gt;0,COUNTIF($C$465:$C$479,"G2.9")&gt;0,COUNTIF($C$465:$C$479,"G3.F")&gt;0),COUNTA($T$648:$W$649,$T$651:$W$652,$T$654)=0),"Les habitats mentionnés ici ont été observés dans le site (voir question 39), renseignez les types de couverts herbacés et arbustifs. ",IF($T$655&lt;&gt;(SUMIF($C$465:$C$479,"G1.C",T465:T479)+SUMIF($C$465:$C$479,"G1.D",$T$465:$T$479)+SUMIF($C$465:$C$479,"G2.8",$T$465:$T$479)+SUMIF($C$465:$C$479,"G2.9",$T$465:$T$479)+SUMIF($C$465:$C$479,"G3.F",$T$465:$T$479)),"La somme renseignée ici doit être égale à la somme des proportions des habitats G1.C, G1.D, G2.8, G2.9, G3.F dans le site. ",""))),IF(AND(COUNTIF($C$465:$C$479,"G1.C")+COUNTIF($C$465:$C$479,"G1.D")+COUNTIF($C$465:$C$479,"G2.8")+COUNTIF($C$465:$C$479,"G2.9")+COUNTIF($C$465:$C$479,"G3.F")=0,SUM($T$648:$W$649,$T$651:$W$652,$T$654)&gt;0),"Les habitats mentionnés ici n’ont pas été détectés dans la question 39, ne répondez pas à la question. ",""))</f>
        <v/>
      </c>
      <c r="Y656" s="465"/>
    </row>
    <row r="657" spans="1:25" ht="18" customHeight="1" x14ac:dyDescent="0.2">
      <c r="A657" s="337"/>
      <c r="B657" s="337"/>
      <c r="C657" s="345"/>
      <c r="D657" s="337"/>
      <c r="E657" s="337"/>
      <c r="F657" s="337"/>
      <c r="G657" s="337"/>
      <c r="H657" s="337"/>
      <c r="I657" s="337"/>
      <c r="J657" s="337"/>
      <c r="K657" s="337"/>
      <c r="L657" s="337"/>
      <c r="M657" s="337"/>
      <c r="N657" s="337"/>
      <c r="O657" s="337"/>
      <c r="T657" s="347"/>
      <c r="U657" s="347"/>
      <c r="V657" s="347"/>
      <c r="W657" s="398"/>
    </row>
    <row r="658" spans="1:25" ht="33.75" customHeight="1" x14ac:dyDescent="0.2">
      <c r="A658" s="337"/>
      <c r="B658" s="337"/>
      <c r="C658" s="341" t="s">
        <v>393</v>
      </c>
      <c r="D658" s="695" t="s">
        <v>410</v>
      </c>
      <c r="E658" s="696"/>
      <c r="F658" s="696"/>
      <c r="G658" s="696"/>
      <c r="H658" s="696"/>
      <c r="I658" s="696"/>
      <c r="J658" s="696"/>
      <c r="K658" s="696"/>
      <c r="L658" s="696"/>
      <c r="M658" s="696"/>
      <c r="N658" s="696"/>
      <c r="O658" s="696"/>
      <c r="P658" s="696"/>
      <c r="Q658" s="696"/>
      <c r="R658" s="696"/>
      <c r="S658" s="696"/>
      <c r="T658" s="696"/>
      <c r="U658" s="696"/>
      <c r="V658" s="696"/>
      <c r="W658" s="696"/>
      <c r="X658" s="696"/>
      <c r="Y658" s="697"/>
    </row>
    <row r="659" spans="1:25" ht="18" customHeight="1" x14ac:dyDescent="0.2">
      <c r="A659" s="337"/>
      <c r="B659" s="337"/>
      <c r="C659" s="517"/>
      <c r="D659" s="517"/>
      <c r="E659" s="517"/>
      <c r="F659" s="517"/>
      <c r="G659" s="517"/>
      <c r="H659" s="517"/>
      <c r="I659" s="517"/>
      <c r="J659" s="517"/>
      <c r="K659" s="517"/>
      <c r="L659" s="517"/>
      <c r="M659" s="517"/>
      <c r="N659" s="517"/>
      <c r="O659" s="517"/>
      <c r="P659" s="517"/>
      <c r="Q659" s="517"/>
      <c r="R659" s="517"/>
      <c r="S659" s="517"/>
      <c r="T659" s="517"/>
      <c r="U659" s="517"/>
      <c r="V659" s="517"/>
      <c r="W659" s="517"/>
      <c r="X659" s="517"/>
      <c r="Y659" s="517"/>
    </row>
    <row r="660" spans="1:25" ht="18" customHeight="1" x14ac:dyDescent="0.2">
      <c r="A660" s="337"/>
      <c r="B660" s="337"/>
      <c r="C660" s="581" t="s">
        <v>325</v>
      </c>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row>
    <row r="661" spans="1:25" ht="18" customHeight="1" x14ac:dyDescent="0.2">
      <c r="A661" s="337"/>
      <c r="B661" s="337"/>
      <c r="C661" s="466" t="s">
        <v>236</v>
      </c>
      <c r="D661" s="466"/>
      <c r="E661" s="337"/>
      <c r="H661" s="369" t="s">
        <v>268</v>
      </c>
      <c r="I661" s="353" t="s">
        <v>28</v>
      </c>
      <c r="J661" s="588"/>
      <c r="K661" s="588"/>
      <c r="P661" s="339"/>
      <c r="Q661" s="368"/>
      <c r="R661" s="368"/>
      <c r="S661" s="369" t="s">
        <v>29</v>
      </c>
      <c r="T661" s="588"/>
      <c r="U661" s="588"/>
      <c r="V661" s="588"/>
      <c r="W661" s="588"/>
    </row>
    <row r="662" spans="1:25" ht="18" customHeight="1" thickBot="1" x14ac:dyDescent="0.25">
      <c r="A662" s="337"/>
      <c r="B662" s="337"/>
      <c r="C662" s="354"/>
      <c r="D662" s="354"/>
      <c r="E662" s="337"/>
      <c r="H662" s="369" t="s">
        <v>269</v>
      </c>
      <c r="I662" s="353" t="s">
        <v>28</v>
      </c>
      <c r="J662" s="588"/>
      <c r="K662" s="588"/>
      <c r="P662" s="339"/>
      <c r="Q662" s="368"/>
      <c r="R662" s="368"/>
      <c r="S662" s="369" t="s">
        <v>29</v>
      </c>
      <c r="T662" s="588"/>
      <c r="U662" s="588"/>
      <c r="V662" s="588"/>
      <c r="W662" s="588"/>
    </row>
    <row r="663" spans="1:25" ht="18" customHeight="1" thickBot="1" x14ac:dyDescent="0.25">
      <c r="A663" s="337"/>
      <c r="B663" s="337"/>
      <c r="C663" s="337"/>
      <c r="D663" s="337"/>
      <c r="E663" s="337"/>
      <c r="F663" s="337"/>
      <c r="G663" s="337"/>
      <c r="H663" s="337"/>
      <c r="I663" s="337"/>
      <c r="J663" s="337"/>
      <c r="K663" s="337"/>
      <c r="L663" s="337"/>
      <c r="M663" s="337"/>
      <c r="N663" s="337"/>
      <c r="O663" s="337"/>
      <c r="T663" s="395"/>
      <c r="U663" s="396"/>
      <c r="V663" s="396"/>
      <c r="W663" s="397" t="str">
        <f>CONCATENATE(IF(COUNTA($J$661,$J$662,$T$661,$T$662)=0,"",IF(COUNTA($J$661,$J$662,$T$661,$T$662)&lt;&gt;2,"2 réponses nécessaires. ","")),IF(AND($T$121="X",$J$662&lt;&gt;"X"),"Site dans un système de versant et bas-versant, improbable qu'il n'y ait pas de source dans le site et la zone tampon. ",""))</f>
        <v/>
      </c>
    </row>
    <row r="664" spans="1:25" ht="18" customHeight="1" x14ac:dyDescent="0.2">
      <c r="A664" s="337"/>
      <c r="B664" s="337"/>
      <c r="C664" s="345"/>
      <c r="D664" s="337"/>
      <c r="E664" s="337"/>
      <c r="F664" s="337"/>
      <c r="G664" s="337"/>
      <c r="H664" s="337"/>
      <c r="I664" s="337"/>
      <c r="J664" s="337"/>
      <c r="K664" s="337"/>
      <c r="L664" s="337"/>
      <c r="M664" s="337"/>
      <c r="N664" s="337"/>
      <c r="O664" s="337"/>
    </row>
    <row r="665" spans="1:25" ht="18" customHeight="1" x14ac:dyDescent="0.2">
      <c r="A665" s="337"/>
      <c r="B665" s="337"/>
      <c r="C665" s="583" t="s">
        <v>378</v>
      </c>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row>
    <row r="666" spans="1:25" ht="18" customHeight="1" x14ac:dyDescent="0.2">
      <c r="A666" s="337"/>
      <c r="B666" s="337"/>
      <c r="C666" s="592"/>
      <c r="D666" s="592"/>
      <c r="E666" s="592"/>
      <c r="F666" s="592"/>
      <c r="G666" s="592"/>
      <c r="H666" s="592"/>
      <c r="I666" s="592"/>
      <c r="J666" s="592"/>
      <c r="K666" s="592"/>
      <c r="L666" s="592"/>
      <c r="M666" s="592"/>
      <c r="N666" s="592"/>
      <c r="O666" s="592"/>
      <c r="P666" s="592"/>
      <c r="Q666" s="592"/>
      <c r="R666" s="592"/>
      <c r="S666" s="592"/>
      <c r="T666" s="592"/>
      <c r="U666" s="592"/>
      <c r="V666" s="592"/>
      <c r="W666" s="592"/>
      <c r="X666" s="592"/>
      <c r="Y666" s="592"/>
    </row>
    <row r="667" spans="1:25" ht="18" customHeight="1" x14ac:dyDescent="0.2">
      <c r="A667" s="337"/>
      <c r="B667" s="337"/>
      <c r="C667" s="346"/>
      <c r="D667" s="346"/>
      <c r="E667" s="346"/>
      <c r="F667" s="346"/>
      <c r="G667" s="346"/>
      <c r="H667" s="346"/>
      <c r="I667" s="346"/>
      <c r="J667" s="594" t="s">
        <v>78</v>
      </c>
      <c r="K667" s="594"/>
      <c r="L667" s="594"/>
      <c r="M667" s="346"/>
      <c r="N667" s="595" t="s">
        <v>379</v>
      </c>
      <c r="O667" s="595"/>
      <c r="P667" s="595"/>
      <c r="Q667" s="595"/>
      <c r="R667" s="595"/>
      <c r="S667" s="346"/>
      <c r="T667" s="594" t="s">
        <v>80</v>
      </c>
      <c r="U667" s="594"/>
      <c r="V667" s="594"/>
      <c r="W667" s="594"/>
      <c r="X667" s="594"/>
      <c r="Y667" s="594"/>
    </row>
    <row r="668" spans="1:25" ht="18" customHeight="1" x14ac:dyDescent="0.2">
      <c r="A668" s="337"/>
      <c r="B668" s="337"/>
      <c r="C668" s="346"/>
      <c r="D668" s="346"/>
      <c r="E668" s="346"/>
      <c r="F668" s="346"/>
      <c r="G668" s="346"/>
      <c r="H668" s="346"/>
      <c r="I668" s="346"/>
      <c r="J668" s="594" t="s">
        <v>77</v>
      </c>
      <c r="K668" s="594"/>
      <c r="L668" s="594"/>
      <c r="M668" s="346"/>
      <c r="N668" s="596"/>
      <c r="O668" s="596"/>
      <c r="P668" s="596"/>
      <c r="Q668" s="596"/>
      <c r="R668" s="596"/>
      <c r="S668" s="346"/>
      <c r="T668" s="594" t="s">
        <v>81</v>
      </c>
      <c r="U668" s="594"/>
      <c r="V668" s="594"/>
      <c r="W668" s="594"/>
      <c r="X668" s="594"/>
      <c r="Y668" s="594"/>
    </row>
    <row r="669" spans="1:25" ht="18" customHeight="1" x14ac:dyDescent="0.2">
      <c r="A669" s="337"/>
      <c r="B669" s="337"/>
      <c r="C669" s="346"/>
      <c r="D669" s="346"/>
      <c r="E669" s="346"/>
      <c r="F669" s="346"/>
      <c r="G669" s="346"/>
      <c r="H669" s="362" t="s">
        <v>38</v>
      </c>
      <c r="I669" s="346"/>
      <c r="J669" s="761"/>
      <c r="K669" s="762"/>
      <c r="L669" s="518" t="s">
        <v>6</v>
      </c>
      <c r="M669" s="346"/>
      <c r="N669" s="701"/>
      <c r="O669" s="701"/>
      <c r="P669" s="701"/>
      <c r="Q669" s="763" t="s">
        <v>6</v>
      </c>
      <c r="R669" s="763"/>
      <c r="S669" s="346"/>
      <c r="T669" s="761"/>
      <c r="U669" s="764"/>
      <c r="V669" s="764"/>
      <c r="W669" s="762"/>
      <c r="X669" s="765" t="s">
        <v>6</v>
      </c>
      <c r="Y669" s="765"/>
    </row>
    <row r="670" spans="1:25" ht="18" customHeight="1" thickBot="1" x14ac:dyDescent="0.3">
      <c r="A670" s="337"/>
      <c r="B670" s="337"/>
      <c r="C670" s="346"/>
      <c r="D670" s="346"/>
      <c r="E670" s="346"/>
      <c r="F670" s="346"/>
      <c r="G670" s="346"/>
      <c r="H670" s="362" t="s">
        <v>76</v>
      </c>
      <c r="I670" s="346"/>
      <c r="J670" s="701"/>
      <c r="K670" s="766"/>
      <c r="L670" s="518" t="s">
        <v>6</v>
      </c>
      <c r="M670" s="346"/>
      <c r="N670" s="701"/>
      <c r="O670" s="701"/>
      <c r="P670" s="701"/>
      <c r="Q670" s="763" t="s">
        <v>6</v>
      </c>
      <c r="R670" s="763"/>
      <c r="S670" s="346"/>
      <c r="T670" s="761"/>
      <c r="U670" s="764"/>
      <c r="V670" s="764"/>
      <c r="W670" s="762"/>
      <c r="X670" s="765" t="s">
        <v>6</v>
      </c>
      <c r="Y670" s="765"/>
    </row>
    <row r="671" spans="1:25" ht="18" customHeight="1" thickBot="1" x14ac:dyDescent="0.25">
      <c r="A671" s="337"/>
      <c r="B671" s="337"/>
      <c r="C671" s="345"/>
      <c r="D671" s="337"/>
      <c r="E671" s="337"/>
      <c r="F671" s="337"/>
      <c r="G671" s="337"/>
      <c r="H671" s="337"/>
      <c r="I671" s="337"/>
      <c r="J671" s="337"/>
      <c r="K671" s="337"/>
      <c r="L671" s="337"/>
      <c r="M671" s="337"/>
      <c r="N671" s="337"/>
      <c r="O671" s="337"/>
      <c r="T671" s="395"/>
      <c r="U671" s="396"/>
      <c r="V671" s="396"/>
      <c r="W671" s="397" t="str">
        <f>IF(COUNTA($J$669,$J$670,$N$669,$N$670,$T$669,$T$670)=0,"",IF(COUNTA($J$669,$J$670,$N$669,$N$670,$T$669,$T$670)&lt;6,"Renseignez 6 valeurs en réponse à cette question, y compris les valeurs nulles. ",""))</f>
        <v/>
      </c>
    </row>
    <row r="672" spans="1:25" ht="18" customHeight="1" x14ac:dyDescent="0.2">
      <c r="A672" s="337"/>
      <c r="B672" s="337"/>
      <c r="C672" s="345"/>
      <c r="D672" s="337"/>
      <c r="E672" s="337"/>
      <c r="F672" s="337"/>
      <c r="G672" s="337"/>
      <c r="H672" s="337"/>
      <c r="I672" s="337"/>
      <c r="J672" s="337"/>
      <c r="K672" s="337"/>
      <c r="L672" s="337"/>
      <c r="M672" s="337"/>
      <c r="N672" s="337"/>
      <c r="O672" s="337"/>
    </row>
    <row r="673" spans="1:25" ht="18" customHeight="1" x14ac:dyDescent="0.2">
      <c r="A673" s="337"/>
      <c r="B673" s="337"/>
      <c r="C673" s="345"/>
      <c r="D673" s="337"/>
      <c r="E673" s="337"/>
      <c r="F673" s="337"/>
      <c r="G673" s="337"/>
      <c r="H673" s="337"/>
      <c r="I673" s="337"/>
      <c r="J673" s="337"/>
      <c r="K673" s="337"/>
      <c r="L673" s="337"/>
      <c r="M673" s="337"/>
      <c r="N673" s="337"/>
      <c r="O673" s="337"/>
    </row>
    <row r="674" spans="1:25" ht="18" customHeight="1" x14ac:dyDescent="0.2">
      <c r="A674" s="337"/>
      <c r="B674" s="337"/>
      <c r="C674" s="593" t="s">
        <v>481</v>
      </c>
      <c r="D674" s="593"/>
      <c r="E674" s="593"/>
      <c r="F674" s="593"/>
      <c r="G674" s="593"/>
      <c r="H674" s="593"/>
      <c r="I674" s="593"/>
      <c r="J674" s="593"/>
      <c r="K674" s="593"/>
      <c r="L674" s="593"/>
      <c r="M674" s="593"/>
      <c r="N674" s="593"/>
      <c r="O674" s="593"/>
      <c r="P674" s="593"/>
      <c r="Q674" s="593"/>
      <c r="R674" s="593"/>
      <c r="S674" s="593"/>
      <c r="T674" s="593"/>
      <c r="U674" s="593"/>
      <c r="V674" s="593"/>
      <c r="W674" s="593"/>
      <c r="X674" s="593"/>
      <c r="Y674" s="593"/>
    </row>
    <row r="675" spans="1:25" ht="18" customHeight="1" x14ac:dyDescent="0.2">
      <c r="A675" s="337"/>
      <c r="B675" s="337"/>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row>
    <row r="676" spans="1:25" ht="18" customHeight="1" x14ac:dyDescent="0.2">
      <c r="A676" s="337"/>
      <c r="B676" s="337"/>
      <c r="C676" s="581" t="s">
        <v>326</v>
      </c>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row>
    <row r="677" spans="1:25" ht="18" customHeight="1" thickBot="1" x14ac:dyDescent="0.25">
      <c r="A677" s="337"/>
      <c r="B677" s="337"/>
      <c r="C677" s="354" t="s">
        <v>234</v>
      </c>
      <c r="D677" s="354"/>
      <c r="E677" s="337"/>
      <c r="H677" s="368"/>
      <c r="I677" s="353" t="s">
        <v>28</v>
      </c>
      <c r="J677" s="588"/>
      <c r="K677" s="588"/>
      <c r="P677" s="339"/>
      <c r="Q677" s="368"/>
      <c r="R677" s="368"/>
      <c r="S677" s="369" t="s">
        <v>29</v>
      </c>
      <c r="T677" s="588"/>
      <c r="U677" s="588"/>
      <c r="V677" s="588"/>
      <c r="W677" s="588"/>
    </row>
    <row r="678" spans="1:25" ht="18" customHeight="1" thickBot="1" x14ac:dyDescent="0.25">
      <c r="A678" s="337"/>
      <c r="B678" s="337"/>
      <c r="C678" s="345"/>
      <c r="D678" s="337"/>
      <c r="E678" s="337"/>
      <c r="F678" s="337"/>
      <c r="G678" s="337"/>
      <c r="H678" s="337"/>
      <c r="I678" s="337"/>
      <c r="J678" s="337"/>
      <c r="K678" s="337"/>
      <c r="L678" s="337"/>
      <c r="M678" s="337"/>
      <c r="N678" s="337"/>
      <c r="O678" s="337"/>
      <c r="T678" s="395"/>
      <c r="U678" s="396"/>
      <c r="V678" s="396"/>
      <c r="W678" s="397" t="str">
        <f>CONCATENATE(IF(AND(SUM($N$669,$N$670,$T$669,$T$670)&gt;0,COUNTA($J$677,$T$677)=0),"Des fossés et/ou des fossés profonds sont présents dans le site, donc répondez à cette question. ",""),IF(COUNTA($J$677,$T$677)&gt;1,"Une seule réponse est possible.",""))</f>
        <v/>
      </c>
    </row>
    <row r="679" spans="1:25" ht="18" customHeight="1" x14ac:dyDescent="0.2">
      <c r="A679" s="337"/>
      <c r="B679" s="337"/>
      <c r="C679" s="345"/>
      <c r="D679" s="337"/>
      <c r="E679" s="337"/>
      <c r="F679" s="337"/>
      <c r="G679" s="337"/>
      <c r="H679" s="337"/>
      <c r="I679" s="337"/>
      <c r="J679" s="337"/>
      <c r="K679" s="337"/>
      <c r="L679" s="337"/>
      <c r="M679" s="337"/>
      <c r="N679" s="337"/>
      <c r="O679" s="337"/>
    </row>
    <row r="680" spans="1:25" ht="23.1" customHeight="1" x14ac:dyDescent="0.2">
      <c r="A680" s="337"/>
      <c r="B680" s="337"/>
      <c r="C680" s="583" t="s">
        <v>327</v>
      </c>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row>
    <row r="681" spans="1:25" ht="23.1" customHeight="1" x14ac:dyDescent="0.2">
      <c r="A681" s="337"/>
      <c r="B681" s="337"/>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c r="Y681" s="592"/>
    </row>
    <row r="682" spans="1:25" ht="18" customHeight="1" thickBot="1" x14ac:dyDescent="0.25">
      <c r="A682" s="337"/>
      <c r="B682" s="337"/>
      <c r="C682" s="354" t="s">
        <v>234</v>
      </c>
      <c r="D682" s="354"/>
      <c r="E682" s="337"/>
      <c r="H682" s="368"/>
      <c r="I682" s="353" t="s">
        <v>28</v>
      </c>
      <c r="J682" s="588"/>
      <c r="K682" s="588"/>
      <c r="P682" s="339"/>
      <c r="Q682" s="368"/>
      <c r="R682" s="368"/>
      <c r="S682" s="369" t="s">
        <v>29</v>
      </c>
      <c r="T682" s="588"/>
      <c r="U682" s="588"/>
      <c r="V682" s="588"/>
      <c r="W682" s="588"/>
    </row>
    <row r="683" spans="1:25" ht="18" customHeight="1" thickBot="1" x14ac:dyDescent="0.25">
      <c r="A683" s="337"/>
      <c r="B683" s="337"/>
      <c r="C683" s="345"/>
      <c r="D683" s="337"/>
      <c r="E683" s="337"/>
      <c r="F683" s="337"/>
      <c r="G683" s="337"/>
      <c r="H683" s="337"/>
      <c r="I683" s="337"/>
      <c r="J683" s="337"/>
      <c r="K683" s="337"/>
      <c r="L683" s="337"/>
      <c r="M683" s="337"/>
      <c r="N683" s="337"/>
      <c r="O683" s="337"/>
      <c r="T683" s="395"/>
      <c r="U683" s="396"/>
      <c r="V683" s="396"/>
      <c r="W683" s="397" t="str">
        <f>CONCATENATE(IF(AND(SUM($N$669,$N$670,$T$669,$T$670)&gt;0,COUNTA($J$682,$T$682)=0),"Des fossés et/ou des fossés profonds sont présents dans le site, donc répondez à cette question. ",""),IF(COUNTA($J$682,$T$682)&gt;1,"Une seule réponse est possible.",""))</f>
        <v/>
      </c>
    </row>
    <row r="684" spans="1:25" ht="18" customHeight="1" x14ac:dyDescent="0.2">
      <c r="A684" s="337"/>
      <c r="B684" s="337"/>
      <c r="C684" s="345"/>
      <c r="D684" s="337"/>
      <c r="E684" s="337"/>
      <c r="F684" s="337"/>
      <c r="G684" s="337"/>
      <c r="H684" s="337"/>
      <c r="I684" s="337"/>
      <c r="J684" s="337"/>
      <c r="K684" s="337"/>
      <c r="L684" s="337"/>
      <c r="M684" s="337"/>
      <c r="N684" s="337"/>
      <c r="O684" s="337"/>
    </row>
    <row r="685" spans="1:25" ht="18" customHeight="1" x14ac:dyDescent="0.2">
      <c r="A685" s="337"/>
      <c r="B685" s="337"/>
      <c r="C685" s="581" t="s">
        <v>328</v>
      </c>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row>
    <row r="686" spans="1:25" ht="18" customHeight="1" thickBot="1" x14ac:dyDescent="0.25">
      <c r="A686" s="337"/>
      <c r="B686" s="337"/>
      <c r="C686" s="354" t="s">
        <v>234</v>
      </c>
      <c r="D686" s="354"/>
      <c r="E686" s="337"/>
      <c r="H686" s="368"/>
      <c r="I686" s="353" t="s">
        <v>28</v>
      </c>
      <c r="J686" s="588"/>
      <c r="K686" s="588"/>
      <c r="P686" s="339"/>
      <c r="Q686" s="368"/>
      <c r="R686" s="368"/>
      <c r="S686" s="369" t="s">
        <v>29</v>
      </c>
      <c r="T686" s="588"/>
      <c r="U686" s="588"/>
      <c r="V686" s="588"/>
      <c r="W686" s="588"/>
    </row>
    <row r="687" spans="1:25" ht="18" customHeight="1" thickBot="1" x14ac:dyDescent="0.25">
      <c r="A687" s="337"/>
      <c r="B687" s="337"/>
      <c r="C687" s="345"/>
      <c r="D687" s="337"/>
      <c r="E687" s="337"/>
      <c r="F687" s="337"/>
      <c r="G687" s="337"/>
      <c r="H687" s="337"/>
      <c r="I687" s="337"/>
      <c r="J687" s="337"/>
      <c r="K687" s="337"/>
      <c r="L687" s="337"/>
      <c r="M687" s="337"/>
      <c r="N687" s="337"/>
      <c r="O687" s="337"/>
      <c r="T687" s="395"/>
      <c r="U687" s="396"/>
      <c r="V687" s="396"/>
      <c r="W687" s="397" t="str">
        <f>IF(COUNTA($J$686,$T$686)&gt;1,"Une seule réponse est possible.","")</f>
        <v/>
      </c>
    </row>
    <row r="688" spans="1:25" ht="18" customHeight="1" x14ac:dyDescent="0.2">
      <c r="A688" s="337"/>
      <c r="B688" s="337"/>
      <c r="C688" s="345"/>
      <c r="D688" s="337"/>
      <c r="E688" s="337"/>
      <c r="F688" s="337"/>
      <c r="G688" s="337"/>
      <c r="H688" s="337"/>
      <c r="I688" s="337"/>
      <c r="J688" s="337"/>
      <c r="K688" s="337"/>
      <c r="L688" s="337"/>
      <c r="M688" s="337"/>
      <c r="N688" s="337"/>
      <c r="O688" s="337"/>
    </row>
    <row r="689" spans="1:27" ht="18" customHeight="1" x14ac:dyDescent="0.2">
      <c r="A689" s="337"/>
      <c r="B689" s="337"/>
      <c r="C689" s="583" t="s">
        <v>380</v>
      </c>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row>
    <row r="690" spans="1:27" ht="18" customHeight="1" x14ac:dyDescent="0.2">
      <c r="A690" s="337"/>
      <c r="B690" s="337"/>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c r="Y690" s="592"/>
    </row>
    <row r="691" spans="1:27" ht="18" customHeight="1" thickBot="1" x14ac:dyDescent="0.25">
      <c r="A691" s="337"/>
      <c r="B691" s="337"/>
      <c r="C691" s="337"/>
      <c r="D691" s="337"/>
      <c r="E691" s="337"/>
      <c r="F691" s="337"/>
      <c r="G691" s="337"/>
      <c r="H691" s="337"/>
      <c r="I691" s="337"/>
      <c r="J691" s="337"/>
      <c r="K691" s="337"/>
      <c r="L691" s="337"/>
      <c r="M691" s="337"/>
      <c r="N691" s="337"/>
      <c r="O691" s="337"/>
      <c r="S691" s="369" t="s">
        <v>270</v>
      </c>
      <c r="T691" s="590"/>
      <c r="U691" s="590"/>
      <c r="V691" s="590"/>
      <c r="W691" s="590"/>
      <c r="X691" s="591" t="s">
        <v>118</v>
      </c>
      <c r="Y691" s="591"/>
    </row>
    <row r="692" spans="1:27" ht="18" customHeight="1" thickBot="1" x14ac:dyDescent="0.25">
      <c r="A692" s="337"/>
      <c r="B692" s="337"/>
      <c r="C692" s="345"/>
      <c r="D692" s="337"/>
      <c r="E692" s="337"/>
      <c r="F692" s="337"/>
      <c r="G692" s="337"/>
      <c r="H692" s="337"/>
      <c r="I692" s="337"/>
      <c r="J692" s="337"/>
      <c r="K692" s="337"/>
      <c r="L692" s="337"/>
      <c r="M692" s="337"/>
      <c r="N692" s="337"/>
      <c r="O692" s="337"/>
      <c r="P692" s="337"/>
      <c r="Q692" s="337"/>
      <c r="R692" s="337"/>
      <c r="S692" s="337"/>
      <c r="T692" s="395"/>
      <c r="U692" s="396"/>
      <c r="V692" s="396"/>
      <c r="W692" s="397" t="str">
        <f>IF(OR(AND(T686="X",LEN(T691)&gt;0),AND(J686="",LEN(T691)&gt;0)),"Si vous n'avez pas répondu oui à la question 63, ne répondez pas à celle-ci.",CONCATENATE(IF(AND($J$686="X",ISBLANK($T$691)),"Vous avez affirmé que vous saviez si des drains souterrains sont présents (question 63), donc répondez à cette question.",""),IF($T$691&gt;100," La valeur renseignée ne peut pas être supérieure à 100%.","")))</f>
        <v/>
      </c>
      <c r="X692" s="425"/>
      <c r="Y692" s="425"/>
      <c r="Z692" s="425"/>
      <c r="AA692" s="425"/>
    </row>
    <row r="693" spans="1:27" ht="18" customHeight="1" x14ac:dyDescent="0.2">
      <c r="A693" s="337"/>
      <c r="B693" s="337"/>
      <c r="C693" s="345"/>
      <c r="D693" s="337"/>
      <c r="E693" s="337"/>
      <c r="F693" s="337"/>
      <c r="G693" s="337"/>
      <c r="H693" s="337"/>
      <c r="I693" s="337"/>
      <c r="J693" s="337"/>
      <c r="K693" s="337"/>
      <c r="L693" s="337"/>
      <c r="M693" s="337"/>
      <c r="N693" s="337"/>
      <c r="O693" s="337"/>
      <c r="P693" s="337"/>
      <c r="Q693" s="337"/>
      <c r="R693" s="337"/>
      <c r="S693" s="337"/>
      <c r="T693" s="425"/>
      <c r="U693" s="425"/>
      <c r="V693" s="425"/>
      <c r="W693" s="425"/>
      <c r="X693" s="425"/>
      <c r="Y693" s="425"/>
      <c r="Z693" s="425"/>
      <c r="AA693" s="425"/>
    </row>
    <row r="694" spans="1:27" ht="18" customHeight="1" x14ac:dyDescent="0.2">
      <c r="A694" s="337"/>
      <c r="B694" s="337"/>
      <c r="C694" s="592" t="s">
        <v>329</v>
      </c>
      <c r="D694" s="592"/>
      <c r="E694" s="592"/>
      <c r="F694" s="592"/>
      <c r="G694" s="592"/>
      <c r="H694" s="592"/>
      <c r="I694" s="592"/>
      <c r="J694" s="592"/>
      <c r="K694" s="592"/>
      <c r="L694" s="592"/>
      <c r="M694" s="592"/>
      <c r="N694" s="592"/>
      <c r="O694" s="592"/>
      <c r="P694" s="592"/>
      <c r="Q694" s="592"/>
      <c r="R694" s="592"/>
      <c r="S694" s="592"/>
      <c r="T694" s="592"/>
      <c r="U694" s="592"/>
      <c r="V694" s="592"/>
      <c r="W694" s="592"/>
      <c r="X694" s="592"/>
      <c r="Y694" s="592"/>
    </row>
    <row r="695" spans="1:27" ht="18" customHeight="1" thickBot="1" x14ac:dyDescent="0.25">
      <c r="A695" s="337"/>
      <c r="B695" s="337"/>
      <c r="C695" s="354" t="s">
        <v>234</v>
      </c>
      <c r="D695" s="354"/>
      <c r="E695" s="337"/>
      <c r="H695" s="368"/>
      <c r="I695" s="353" t="s">
        <v>28</v>
      </c>
      <c r="J695" s="588"/>
      <c r="K695" s="588"/>
      <c r="P695" s="339"/>
      <c r="Q695" s="368"/>
      <c r="R695" s="368"/>
      <c r="S695" s="369" t="s">
        <v>29</v>
      </c>
      <c r="T695" s="588"/>
      <c r="U695" s="588"/>
      <c r="V695" s="588"/>
      <c r="W695" s="588"/>
    </row>
    <row r="696" spans="1:27" ht="18" customHeight="1" thickBot="1" x14ac:dyDescent="0.25">
      <c r="A696" s="337"/>
      <c r="B696" s="337"/>
      <c r="C696" s="345"/>
      <c r="D696" s="337"/>
      <c r="E696" s="337"/>
      <c r="F696" s="337"/>
      <c r="G696" s="337"/>
      <c r="H696" s="337"/>
      <c r="I696" s="337"/>
      <c r="J696" s="337"/>
      <c r="K696" s="337"/>
      <c r="L696" s="337"/>
      <c r="M696" s="337"/>
      <c r="N696" s="337"/>
      <c r="O696" s="337"/>
      <c r="T696" s="395"/>
      <c r="U696" s="396"/>
      <c r="V696" s="396"/>
      <c r="W696" s="397" t="str">
        <f>CONCATENATE(IF(AND($J$686="X",AND($J$695&lt;&gt;"X",$T$695&lt;&gt;"X")),"Vous avez affirmé que vous saviez si des drains souterrains sont présents (question 63), donc répondez à cette question.",""),IF(AND(COUNTA($J$695,$T$695)&gt;1)," Une seule réponse est possible.",""),IF(AND($T$686="X",COUNTA($J$695,$T$695)&gt;0),"Vous avez affirmé que vous ne saviez pas si des drains souterrains sont présents (question 63), donc ne répondez pas à cette question.",""))</f>
        <v/>
      </c>
    </row>
    <row r="697" spans="1:27" ht="18" customHeight="1" x14ac:dyDescent="0.2">
      <c r="A697" s="337"/>
      <c r="B697" s="337"/>
      <c r="C697" s="345"/>
      <c r="D697" s="337"/>
      <c r="E697" s="337"/>
      <c r="F697" s="337"/>
      <c r="G697" s="337"/>
      <c r="H697" s="337"/>
      <c r="I697" s="337"/>
      <c r="J697" s="337"/>
      <c r="K697" s="337"/>
      <c r="L697" s="337"/>
      <c r="M697" s="337"/>
      <c r="N697" s="337"/>
      <c r="O697" s="337"/>
    </row>
    <row r="698" spans="1:27" ht="18" customHeight="1" x14ac:dyDescent="0.2">
      <c r="A698" s="337"/>
      <c r="B698" s="337"/>
      <c r="C698" s="581" t="s">
        <v>330</v>
      </c>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row>
    <row r="699" spans="1:27" ht="18" customHeight="1" thickBot="1" x14ac:dyDescent="0.25">
      <c r="A699" s="337"/>
      <c r="B699" s="337"/>
      <c r="C699" s="337"/>
      <c r="D699" s="337"/>
      <c r="E699" s="337"/>
      <c r="F699" s="337"/>
      <c r="G699" s="337"/>
      <c r="H699" s="337"/>
      <c r="I699" s="337"/>
      <c r="J699" s="337"/>
      <c r="K699" s="469"/>
      <c r="L699" s="337"/>
      <c r="M699" s="337"/>
      <c r="N699" s="337"/>
      <c r="O699" s="337"/>
      <c r="S699" s="369" t="s">
        <v>271</v>
      </c>
      <c r="T699" s="590"/>
      <c r="U699" s="590"/>
      <c r="V699" s="590"/>
      <c r="W699" s="590"/>
      <c r="X699" s="591" t="s">
        <v>118</v>
      </c>
      <c r="Y699" s="591"/>
    </row>
    <row r="700" spans="1:27" ht="18" customHeight="1" thickBot="1" x14ac:dyDescent="0.25">
      <c r="A700" s="337"/>
      <c r="B700" s="337"/>
      <c r="C700" s="345"/>
      <c r="D700" s="337"/>
      <c r="E700" s="337"/>
      <c r="F700" s="337"/>
      <c r="G700" s="337"/>
      <c r="H700" s="337"/>
      <c r="I700" s="337"/>
      <c r="J700" s="337"/>
      <c r="K700" s="337"/>
      <c r="L700" s="337"/>
      <c r="M700" s="337"/>
      <c r="N700" s="337"/>
      <c r="O700" s="337"/>
      <c r="T700" s="395"/>
      <c r="U700" s="396"/>
      <c r="V700" s="396"/>
      <c r="W700" s="397" t="str">
        <f>IF($T$699&gt;100,"La réponse donnée ne peut pas être supérieure à 100%.","")</f>
        <v/>
      </c>
    </row>
    <row r="701" spans="1:27" ht="18" customHeight="1" x14ac:dyDescent="0.2">
      <c r="A701" s="337"/>
      <c r="B701" s="337"/>
      <c r="C701" s="345"/>
      <c r="D701" s="337"/>
      <c r="E701" s="337"/>
      <c r="F701" s="337"/>
      <c r="G701" s="337"/>
      <c r="H701" s="337"/>
      <c r="I701" s="337"/>
      <c r="J701" s="337"/>
      <c r="K701" s="337"/>
      <c r="L701" s="337"/>
      <c r="M701" s="337"/>
      <c r="N701" s="337"/>
      <c r="O701" s="337"/>
    </row>
    <row r="702" spans="1:27" ht="18" customHeight="1" x14ac:dyDescent="0.2">
      <c r="A702" s="337"/>
      <c r="B702" s="337"/>
      <c r="C702" s="581" t="s">
        <v>331</v>
      </c>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row>
    <row r="703" spans="1:27" ht="18" customHeight="1" thickBot="1" x14ac:dyDescent="0.25">
      <c r="A703" s="337"/>
      <c r="B703" s="337"/>
      <c r="C703" s="354" t="s">
        <v>234</v>
      </c>
      <c r="D703" s="354"/>
      <c r="E703" s="337"/>
      <c r="H703" s="368"/>
      <c r="I703" s="353" t="s">
        <v>28</v>
      </c>
      <c r="J703" s="588"/>
      <c r="K703" s="588"/>
      <c r="P703" s="339"/>
      <c r="Q703" s="368"/>
      <c r="R703" s="368"/>
      <c r="S703" s="369" t="s">
        <v>29</v>
      </c>
      <c r="T703" s="588"/>
      <c r="U703" s="588"/>
      <c r="V703" s="588"/>
      <c r="W703" s="588"/>
    </row>
    <row r="704" spans="1:27" ht="18" customHeight="1" thickBot="1" x14ac:dyDescent="0.25">
      <c r="A704" s="337"/>
      <c r="B704" s="337"/>
      <c r="C704" s="345"/>
      <c r="D704" s="337"/>
      <c r="E704" s="337"/>
      <c r="F704" s="337"/>
      <c r="G704" s="337"/>
      <c r="H704" s="337"/>
      <c r="I704" s="337"/>
      <c r="J704" s="337"/>
      <c r="K704" s="337"/>
      <c r="L704" s="337"/>
      <c r="M704" s="337"/>
      <c r="N704" s="337"/>
      <c r="O704" s="337"/>
      <c r="T704" s="395"/>
      <c r="U704" s="396"/>
      <c r="V704" s="396"/>
      <c r="W704" s="397" t="str">
        <f>IF(COUNTA($J$703,$T$703)&gt;1,"Une seule réponse est possible.","")</f>
        <v/>
      </c>
    </row>
    <row r="705" spans="1:25" ht="18" customHeight="1" x14ac:dyDescent="0.2">
      <c r="A705" s="337"/>
      <c r="B705" s="337"/>
      <c r="C705" s="345"/>
      <c r="D705" s="337"/>
      <c r="E705" s="337"/>
      <c r="F705" s="337"/>
      <c r="G705" s="337"/>
      <c r="H705" s="337"/>
      <c r="I705" s="337"/>
      <c r="J705" s="337"/>
      <c r="K705" s="337"/>
      <c r="L705" s="337"/>
      <c r="M705" s="337"/>
      <c r="N705" s="337"/>
      <c r="O705" s="337"/>
    </row>
    <row r="706" spans="1:25" ht="33.75" customHeight="1" x14ac:dyDescent="0.2">
      <c r="A706" s="337"/>
      <c r="B706" s="337"/>
      <c r="C706" s="341" t="s">
        <v>392</v>
      </c>
      <c r="D706" s="805" t="s">
        <v>406</v>
      </c>
      <c r="E706" s="805"/>
      <c r="F706" s="805"/>
      <c r="G706" s="805"/>
      <c r="H706" s="805"/>
      <c r="I706" s="805"/>
      <c r="J706" s="805"/>
      <c r="K706" s="805"/>
      <c r="L706" s="805"/>
      <c r="M706" s="805"/>
      <c r="N706" s="805"/>
      <c r="O706" s="805"/>
      <c r="P706" s="805"/>
      <c r="Q706" s="805"/>
      <c r="R706" s="805"/>
      <c r="S706" s="805"/>
      <c r="T706" s="805"/>
      <c r="U706" s="805"/>
      <c r="V706" s="805"/>
      <c r="W706" s="805"/>
      <c r="X706" s="805"/>
      <c r="Y706" s="805"/>
    </row>
    <row r="707" spans="1:25" ht="18" customHeight="1" x14ac:dyDescent="0.2">
      <c r="A707" s="337"/>
      <c r="B707" s="337"/>
      <c r="C707" s="470"/>
      <c r="D707" s="470"/>
      <c r="E707" s="470"/>
      <c r="F707" s="470"/>
      <c r="G707" s="470"/>
      <c r="H707" s="470"/>
      <c r="I707" s="470"/>
      <c r="J707" s="470"/>
      <c r="K707" s="470"/>
      <c r="L707" s="470"/>
      <c r="M707" s="470"/>
      <c r="N707" s="470"/>
      <c r="O707" s="470"/>
      <c r="P707" s="470"/>
      <c r="Q707" s="470"/>
      <c r="R707" s="470"/>
      <c r="S707" s="470"/>
      <c r="T707" s="470"/>
      <c r="U707" s="470"/>
      <c r="V707" s="470"/>
      <c r="W707" s="470"/>
      <c r="X707" s="470"/>
      <c r="Y707" s="470"/>
    </row>
    <row r="708" spans="1:25" ht="23.1" customHeight="1" thickBot="1" x14ac:dyDescent="0.25">
      <c r="A708" s="337"/>
      <c r="B708" s="337"/>
      <c r="C708" s="589" t="s">
        <v>117</v>
      </c>
      <c r="D708" s="589"/>
      <c r="E708" s="589"/>
      <c r="F708" s="589"/>
      <c r="G708" s="589"/>
      <c r="H708" s="589"/>
      <c r="I708" s="589"/>
      <c r="J708" s="589"/>
      <c r="K708" s="589"/>
      <c r="L708" s="589"/>
      <c r="M708" s="589"/>
      <c r="N708" s="589"/>
      <c r="O708" s="589"/>
      <c r="P708" s="589"/>
      <c r="Q708" s="589"/>
      <c r="R708" s="589"/>
      <c r="S708" s="589"/>
      <c r="T708" s="589"/>
      <c r="U708" s="589"/>
      <c r="V708" s="589"/>
      <c r="W708" s="589"/>
      <c r="X708" s="589"/>
      <c r="Y708" s="589"/>
    </row>
    <row r="709" spans="1:25" ht="18" customHeight="1" thickBot="1" x14ac:dyDescent="0.25">
      <c r="A709" s="337"/>
      <c r="B709" s="337"/>
      <c r="C709" s="345"/>
      <c r="D709" s="471"/>
      <c r="E709" s="471"/>
      <c r="F709" s="471"/>
      <c r="G709" s="471"/>
      <c r="H709" s="471"/>
      <c r="I709" s="471"/>
      <c r="J709" s="471"/>
      <c r="K709" s="471"/>
      <c r="L709" s="471"/>
      <c r="M709" s="471"/>
      <c r="N709" s="471"/>
      <c r="O709" s="471"/>
      <c r="P709" s="471"/>
      <c r="Q709" s="471"/>
      <c r="R709" s="471"/>
      <c r="S709" s="471"/>
      <c r="T709" s="395"/>
      <c r="U709" s="396"/>
      <c r="V709" s="396"/>
      <c r="W709" s="397" t="str">
        <f>IF(AND($J$121&lt;&gt;"X",COUNTA($J$711,$T$711,$J$715:$K$718,$T$715:$W$717,$T$722,$T$726,$T$732:$W$739)&gt;0),"Le site n'est pas dans un système alluvial, donc ne répondez pas à ces questions.","")</f>
        <v/>
      </c>
      <c r="X709" s="471"/>
      <c r="Y709" s="471"/>
    </row>
    <row r="710" spans="1:25" ht="18" customHeight="1" x14ac:dyDescent="0.2">
      <c r="A710" s="337"/>
      <c r="B710" s="337"/>
      <c r="C710" s="581" t="s">
        <v>332</v>
      </c>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row>
    <row r="711" spans="1:25" ht="18" customHeight="1" thickBot="1" x14ac:dyDescent="0.25">
      <c r="A711" s="337"/>
      <c r="B711" s="337"/>
      <c r="C711" s="354" t="s">
        <v>234</v>
      </c>
      <c r="D711" s="354"/>
      <c r="E711" s="337"/>
      <c r="H711" s="368"/>
      <c r="I711" s="353" t="s">
        <v>28</v>
      </c>
      <c r="J711" s="588"/>
      <c r="K711" s="588"/>
      <c r="P711" s="339"/>
      <c r="Q711" s="368"/>
      <c r="R711" s="368"/>
      <c r="S711" s="369" t="s">
        <v>29</v>
      </c>
      <c r="T711" s="588"/>
      <c r="U711" s="588"/>
      <c r="V711" s="588"/>
      <c r="W711" s="588"/>
    </row>
    <row r="712" spans="1:25" ht="18" customHeight="1" thickBot="1" x14ac:dyDescent="0.25">
      <c r="A712" s="337"/>
      <c r="B712" s="337"/>
      <c r="C712" s="345"/>
      <c r="D712" s="337"/>
      <c r="E712" s="337"/>
      <c r="F712" s="337"/>
      <c r="G712" s="337"/>
      <c r="H712" s="337"/>
      <c r="I712" s="337"/>
      <c r="J712" s="337"/>
      <c r="K712" s="337"/>
      <c r="L712" s="337"/>
      <c r="M712" s="337"/>
      <c r="N712" s="337"/>
      <c r="O712" s="337"/>
      <c r="T712" s="395"/>
      <c r="U712" s="396"/>
      <c r="V712" s="396"/>
      <c r="W712" s="397" t="str">
        <f>CONCATENATE(IF(COUNTA($J$711,$T$711)&gt;1,"Une seule réponse est possible.",""),IF(AND($J$121="x",AND($J$711&lt;&gt;"X",$T$711&lt;&gt;"X")),"Votre site est alluvial, donnez une réponse à cette question.",""))</f>
        <v/>
      </c>
    </row>
    <row r="713" spans="1:25" ht="18" customHeight="1" x14ac:dyDescent="0.2">
      <c r="A713" s="337"/>
      <c r="B713" s="337"/>
      <c r="C713" s="345"/>
      <c r="D713" s="337"/>
      <c r="E713" s="337"/>
      <c r="F713" s="337"/>
      <c r="G713" s="337"/>
      <c r="H713" s="337"/>
      <c r="I713" s="337"/>
      <c r="J713" s="337"/>
      <c r="K713" s="337"/>
      <c r="L713" s="337"/>
      <c r="M713" s="337"/>
      <c r="N713" s="337"/>
      <c r="O713" s="337"/>
    </row>
    <row r="714" spans="1:25" ht="18" customHeight="1" x14ac:dyDescent="0.2">
      <c r="A714" s="337"/>
      <c r="B714" s="337"/>
      <c r="C714" s="581" t="s">
        <v>333</v>
      </c>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row>
    <row r="715" spans="1:25" s="369" customFormat="1" ht="18" customHeight="1" x14ac:dyDescent="0.2">
      <c r="A715" s="353"/>
      <c r="B715" s="353"/>
      <c r="C715" s="472" t="s">
        <v>234</v>
      </c>
      <c r="D715" s="473"/>
      <c r="E715" s="353"/>
      <c r="I715" s="353" t="s">
        <v>13</v>
      </c>
      <c r="J715" s="588"/>
      <c r="K715" s="588"/>
      <c r="S715" s="353" t="s">
        <v>18</v>
      </c>
      <c r="T715" s="588"/>
      <c r="U715" s="588"/>
      <c r="V715" s="588"/>
      <c r="W715" s="588"/>
    </row>
    <row r="716" spans="1:25" s="369" customFormat="1" ht="18" customHeight="1" x14ac:dyDescent="0.2">
      <c r="A716" s="353"/>
      <c r="B716" s="353"/>
      <c r="C716" s="473"/>
      <c r="D716" s="473"/>
      <c r="E716" s="353"/>
      <c r="F716" s="353"/>
      <c r="G716" s="353"/>
      <c r="H716" s="353"/>
      <c r="I716" s="353" t="s">
        <v>19</v>
      </c>
      <c r="J716" s="588"/>
      <c r="K716" s="588"/>
      <c r="S716" s="353" t="s">
        <v>20</v>
      </c>
      <c r="T716" s="588"/>
      <c r="U716" s="588"/>
      <c r="V716" s="588"/>
      <c r="W716" s="588"/>
    </row>
    <row r="717" spans="1:25" s="369" customFormat="1" ht="18" customHeight="1" x14ac:dyDescent="0.2">
      <c r="A717" s="353"/>
      <c r="B717" s="353"/>
      <c r="C717" s="353"/>
      <c r="D717" s="353"/>
      <c r="E717" s="353"/>
      <c r="F717" s="353"/>
      <c r="G717" s="353"/>
      <c r="H717" s="353"/>
      <c r="I717" s="353" t="s">
        <v>14</v>
      </c>
      <c r="J717" s="588"/>
      <c r="K717" s="588"/>
      <c r="S717" s="353" t="s">
        <v>16</v>
      </c>
      <c r="T717" s="588"/>
      <c r="U717" s="588"/>
      <c r="V717" s="588"/>
      <c r="W717" s="588"/>
    </row>
    <row r="718" spans="1:25" s="369" customFormat="1" ht="18" customHeight="1" thickBot="1" x14ac:dyDescent="0.25">
      <c r="A718" s="353"/>
      <c r="B718" s="353"/>
      <c r="C718" s="353"/>
      <c r="D718" s="353"/>
      <c r="E718" s="353"/>
      <c r="F718" s="353"/>
      <c r="G718" s="353"/>
      <c r="H718" s="353"/>
      <c r="I718" s="353" t="s">
        <v>15</v>
      </c>
      <c r="J718" s="588"/>
      <c r="K718" s="588"/>
      <c r="S718" s="353"/>
    </row>
    <row r="719" spans="1:25" s="347" customFormat="1" ht="18" customHeight="1" thickBot="1" x14ac:dyDescent="0.25">
      <c r="C719" s="345"/>
      <c r="E719" s="352"/>
      <c r="F719" s="352"/>
      <c r="G719" s="370"/>
      <c r="H719" s="370"/>
      <c r="J719" s="352"/>
      <c r="K719" s="370"/>
      <c r="M719" s="352"/>
      <c r="N719" s="370"/>
      <c r="P719" s="418"/>
      <c r="R719" s="349"/>
      <c r="S719" s="349"/>
      <c r="T719" s="395"/>
      <c r="U719" s="396"/>
      <c r="V719" s="396"/>
      <c r="W719" s="397" t="str">
        <f>CONCATENATE(IF(COUNTA($J$715:$K$718,$T$715:$W$717)&gt;1,"Une seule réponse est possible.",""),IF(AND($J$121="x",AND($J$715&lt;&gt;"X",$J$716&lt;&gt;"X",$J$717&lt;&gt;"x",$J$718&lt;&gt;"x",$T$715&lt;&gt;"x",$T$716&lt;&gt;"x",$T$717&lt;&gt;"x")),"Votre site est alluvial, donnez une réponse à cette question.",""))</f>
        <v/>
      </c>
    </row>
    <row r="720" spans="1:25" s="347" customFormat="1" ht="18" customHeight="1" x14ac:dyDescent="0.2">
      <c r="C720" s="345"/>
      <c r="E720" s="352"/>
      <c r="F720" s="352"/>
      <c r="G720" s="370"/>
      <c r="H720" s="370"/>
      <c r="J720" s="352"/>
      <c r="K720" s="370"/>
      <c r="M720" s="352"/>
      <c r="N720" s="370"/>
      <c r="P720" s="418"/>
      <c r="R720" s="349"/>
      <c r="S720" s="349"/>
    </row>
    <row r="721" spans="1:25" ht="18" customHeight="1" x14ac:dyDescent="0.2">
      <c r="A721" s="337"/>
      <c r="B721" s="337"/>
      <c r="C721" s="581" t="s">
        <v>334</v>
      </c>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row>
    <row r="722" spans="1:25" ht="18" customHeight="1" thickBot="1" x14ac:dyDescent="0.25">
      <c r="A722" s="337"/>
      <c r="B722" s="337"/>
      <c r="C722" s="354" t="s">
        <v>234</v>
      </c>
      <c r="D722" s="354"/>
      <c r="E722" s="337"/>
      <c r="H722" s="368"/>
      <c r="I722" s="353" t="s">
        <v>28</v>
      </c>
      <c r="J722" s="588"/>
      <c r="K722" s="588"/>
      <c r="P722" s="339"/>
      <c r="Q722" s="368"/>
      <c r="R722" s="368"/>
      <c r="S722" s="369" t="s">
        <v>29</v>
      </c>
      <c r="T722" s="588"/>
      <c r="U722" s="588"/>
      <c r="V722" s="588"/>
      <c r="W722" s="588"/>
    </row>
    <row r="723" spans="1:25" s="347" customFormat="1" ht="18" customHeight="1" thickBot="1" x14ac:dyDescent="0.25">
      <c r="C723" s="345"/>
      <c r="D723" s="360"/>
      <c r="E723" s="352"/>
      <c r="F723" s="352"/>
      <c r="G723" s="349"/>
      <c r="H723" s="349"/>
      <c r="I723" s="349"/>
      <c r="J723" s="349"/>
      <c r="K723" s="352"/>
      <c r="L723" s="349"/>
      <c r="P723" s="418"/>
      <c r="T723" s="395"/>
      <c r="U723" s="396"/>
      <c r="V723" s="396"/>
      <c r="W723" s="397" t="str">
        <f>CONCATENATE(IF(COUNTA($J$722,$T$722)&gt;1,"Une seule réponse est possible.",""),IF(AND($J$121="x",AND($J$722&lt;&gt;"X",$T$722&lt;&gt;"X")),"Votre site est alluvial, donnez une réponse à cette question.",""))</f>
        <v/>
      </c>
    </row>
    <row r="724" spans="1:25" s="347" customFormat="1" ht="18" customHeight="1" x14ac:dyDescent="0.2">
      <c r="C724" s="345"/>
      <c r="D724" s="360"/>
      <c r="E724" s="352"/>
      <c r="F724" s="352"/>
      <c r="G724" s="349"/>
      <c r="H724" s="349"/>
      <c r="I724" s="349"/>
      <c r="J724" s="349"/>
      <c r="K724" s="352"/>
      <c r="L724" s="349"/>
      <c r="P724" s="418"/>
    </row>
    <row r="725" spans="1:25" ht="18" customHeight="1" x14ac:dyDescent="0.2">
      <c r="A725" s="337"/>
      <c r="B725" s="337"/>
      <c r="C725" s="581" t="s">
        <v>335</v>
      </c>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row>
    <row r="726" spans="1:25" ht="18" customHeight="1" thickBot="1" x14ac:dyDescent="0.25">
      <c r="A726" s="337"/>
      <c r="B726" s="337"/>
      <c r="C726" s="337"/>
      <c r="D726" s="337"/>
      <c r="E726" s="337"/>
      <c r="F726" s="337"/>
      <c r="G726" s="337"/>
      <c r="H726" s="337"/>
      <c r="I726" s="337"/>
      <c r="J726" s="337"/>
      <c r="K726" s="337"/>
      <c r="L726" s="337"/>
      <c r="M726" s="394"/>
      <c r="N726" s="337"/>
      <c r="O726" s="337"/>
      <c r="S726" s="369" t="s">
        <v>119</v>
      </c>
      <c r="T726" s="578"/>
      <c r="U726" s="578"/>
      <c r="V726" s="578"/>
      <c r="W726" s="578"/>
      <c r="X726" s="582" t="s">
        <v>112</v>
      </c>
      <c r="Y726" s="582"/>
    </row>
    <row r="727" spans="1:25" ht="18" customHeight="1" thickBot="1" x14ac:dyDescent="0.25">
      <c r="A727" s="337"/>
      <c r="B727" s="337"/>
      <c r="C727" s="345"/>
      <c r="D727" s="337"/>
      <c r="E727" s="337"/>
      <c r="F727" s="337"/>
      <c r="G727" s="337"/>
      <c r="H727" s="337"/>
      <c r="I727" s="337"/>
      <c r="J727" s="337"/>
      <c r="K727" s="337"/>
      <c r="L727" s="337"/>
      <c r="M727" s="337"/>
      <c r="N727" s="337"/>
      <c r="O727" s="337"/>
      <c r="T727" s="395"/>
      <c r="U727" s="396"/>
      <c r="V727" s="396"/>
      <c r="W727" s="397" t="str">
        <f>IF(AND($J$121="x",AND($T$726="")),"Votre site est alluvial, donnez une réponse à cette question.","")</f>
        <v/>
      </c>
    </row>
    <row r="728" spans="1:25" ht="18" customHeight="1" x14ac:dyDescent="0.2">
      <c r="A728" s="337"/>
      <c r="B728" s="337"/>
      <c r="C728" s="345"/>
      <c r="D728" s="337"/>
      <c r="E728" s="337"/>
      <c r="F728" s="337"/>
      <c r="G728" s="337"/>
      <c r="H728" s="337"/>
      <c r="I728" s="337"/>
      <c r="J728" s="337"/>
      <c r="K728" s="337"/>
      <c r="L728" s="337"/>
      <c r="M728" s="337"/>
      <c r="N728" s="337"/>
      <c r="O728" s="337"/>
    </row>
    <row r="729" spans="1:25" ht="23.1" customHeight="1" x14ac:dyDescent="0.2">
      <c r="A729" s="337"/>
      <c r="B729" s="337"/>
      <c r="C729" s="583" t="s">
        <v>336</v>
      </c>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row>
    <row r="730" spans="1:25" ht="23.1" customHeight="1" x14ac:dyDescent="0.2">
      <c r="A730" s="337"/>
      <c r="B730" s="337"/>
      <c r="C730" s="583"/>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row>
    <row r="731" spans="1:25" ht="36" customHeight="1" x14ac:dyDescent="0.2">
      <c r="A731" s="337"/>
      <c r="B731" s="337"/>
      <c r="C731" s="584" t="s">
        <v>84</v>
      </c>
      <c r="D731" s="584"/>
      <c r="E731" s="584"/>
      <c r="F731" s="584"/>
      <c r="G731" s="584"/>
      <c r="H731" s="584"/>
      <c r="I731" s="584"/>
      <c r="J731" s="584"/>
      <c r="K731" s="584"/>
      <c r="L731" s="584"/>
      <c r="M731" s="584"/>
      <c r="N731" s="584"/>
      <c r="O731" s="584"/>
      <c r="P731" s="584"/>
      <c r="Q731" s="584"/>
      <c r="R731" s="584"/>
      <c r="S731" s="584"/>
      <c r="T731" s="585" t="s">
        <v>110</v>
      </c>
      <c r="U731" s="586"/>
      <c r="V731" s="586"/>
      <c r="W731" s="586"/>
      <c r="X731" s="586"/>
      <c r="Y731" s="587"/>
    </row>
    <row r="732" spans="1:25" ht="18" customHeight="1" x14ac:dyDescent="0.2">
      <c r="A732" s="337"/>
      <c r="B732" s="337"/>
      <c r="C732" s="577" t="s">
        <v>337</v>
      </c>
      <c r="D732" s="577"/>
      <c r="E732" s="577"/>
      <c r="F732" s="577"/>
      <c r="G732" s="577"/>
      <c r="H732" s="577"/>
      <c r="I732" s="577"/>
      <c r="J732" s="577"/>
      <c r="K732" s="577"/>
      <c r="L732" s="577"/>
      <c r="M732" s="577"/>
      <c r="N732" s="577"/>
      <c r="O732" s="577"/>
      <c r="P732" s="577"/>
      <c r="Q732" s="577"/>
      <c r="R732" s="577"/>
      <c r="S732" s="577"/>
      <c r="T732" s="578"/>
      <c r="U732" s="578"/>
      <c r="V732" s="578"/>
      <c r="W732" s="578"/>
      <c r="X732" s="579" t="s">
        <v>82</v>
      </c>
      <c r="Y732" s="579"/>
    </row>
    <row r="733" spans="1:25" ht="18" customHeight="1" x14ac:dyDescent="0.2">
      <c r="A733" s="337"/>
      <c r="B733" s="337"/>
      <c r="C733" s="577"/>
      <c r="D733" s="577"/>
      <c r="E733" s="577"/>
      <c r="F733" s="577"/>
      <c r="G733" s="577"/>
      <c r="H733" s="577"/>
      <c r="I733" s="577"/>
      <c r="J733" s="577"/>
      <c r="K733" s="577"/>
      <c r="L733" s="577"/>
      <c r="M733" s="577"/>
      <c r="N733" s="577"/>
      <c r="O733" s="577"/>
      <c r="P733" s="577"/>
      <c r="Q733" s="577"/>
      <c r="R733" s="577"/>
      <c r="S733" s="577"/>
      <c r="T733" s="578"/>
      <c r="U733" s="578"/>
      <c r="V733" s="578"/>
      <c r="W733" s="578"/>
      <c r="X733" s="579"/>
      <c r="Y733" s="579"/>
    </row>
    <row r="734" spans="1:25" ht="18" customHeight="1" x14ac:dyDescent="0.2">
      <c r="A734" s="337"/>
      <c r="B734" s="337"/>
      <c r="C734" s="577" t="s">
        <v>480</v>
      </c>
      <c r="D734" s="577"/>
      <c r="E734" s="577"/>
      <c r="F734" s="577"/>
      <c r="G734" s="577"/>
      <c r="H734" s="577"/>
      <c r="I734" s="577"/>
      <c r="J734" s="577"/>
      <c r="K734" s="577"/>
      <c r="L734" s="577"/>
      <c r="M734" s="577"/>
      <c r="N734" s="577"/>
      <c r="O734" s="577"/>
      <c r="P734" s="577"/>
      <c r="Q734" s="577"/>
      <c r="R734" s="577"/>
      <c r="S734" s="577"/>
      <c r="T734" s="578"/>
      <c r="U734" s="578"/>
      <c r="V734" s="578"/>
      <c r="W734" s="578"/>
      <c r="X734" s="580" t="s">
        <v>82</v>
      </c>
      <c r="Y734" s="580"/>
    </row>
    <row r="735" spans="1:25" ht="18" customHeight="1" x14ac:dyDescent="0.2">
      <c r="A735" s="337"/>
      <c r="B735" s="337"/>
      <c r="C735" s="577"/>
      <c r="D735" s="577"/>
      <c r="E735" s="577"/>
      <c r="F735" s="577"/>
      <c r="G735" s="577"/>
      <c r="H735" s="577"/>
      <c r="I735" s="577"/>
      <c r="J735" s="577"/>
      <c r="K735" s="577"/>
      <c r="L735" s="577"/>
      <c r="M735" s="577"/>
      <c r="N735" s="577"/>
      <c r="O735" s="577"/>
      <c r="P735" s="577"/>
      <c r="Q735" s="577"/>
      <c r="R735" s="577"/>
      <c r="S735" s="577"/>
      <c r="T735" s="578"/>
      <c r="U735" s="578"/>
      <c r="V735" s="578"/>
      <c r="W735" s="578"/>
      <c r="X735" s="580"/>
      <c r="Y735" s="580"/>
    </row>
    <row r="736" spans="1:25" ht="18" customHeight="1" x14ac:dyDescent="0.2">
      <c r="A736" s="337"/>
      <c r="B736" s="337"/>
      <c r="C736" s="561" t="s">
        <v>83</v>
      </c>
      <c r="D736" s="562"/>
      <c r="E736" s="562"/>
      <c r="F736" s="562"/>
      <c r="G736" s="562"/>
      <c r="H736" s="562"/>
      <c r="I736" s="562"/>
      <c r="J736" s="562"/>
      <c r="K736" s="562"/>
      <c r="L736" s="562"/>
      <c r="M736" s="562"/>
      <c r="N736" s="562"/>
      <c r="O736" s="562"/>
      <c r="P736" s="562"/>
      <c r="Q736" s="562"/>
      <c r="R736" s="562"/>
      <c r="S736" s="563"/>
      <c r="T736" s="567"/>
      <c r="U736" s="568"/>
      <c r="V736" s="568"/>
      <c r="W736" s="569"/>
      <c r="X736" s="573" t="s">
        <v>82</v>
      </c>
      <c r="Y736" s="574"/>
    </row>
    <row r="737" spans="1:28" ht="18" customHeight="1" x14ac:dyDescent="0.2">
      <c r="A737" s="337"/>
      <c r="B737" s="337"/>
      <c r="C737" s="564"/>
      <c r="D737" s="565"/>
      <c r="E737" s="565"/>
      <c r="F737" s="565"/>
      <c r="G737" s="565"/>
      <c r="H737" s="565"/>
      <c r="I737" s="565"/>
      <c r="J737" s="565"/>
      <c r="K737" s="565"/>
      <c r="L737" s="565"/>
      <c r="M737" s="565"/>
      <c r="N737" s="565"/>
      <c r="O737" s="565"/>
      <c r="P737" s="565"/>
      <c r="Q737" s="565"/>
      <c r="R737" s="565"/>
      <c r="S737" s="566"/>
      <c r="T737" s="570"/>
      <c r="U737" s="571"/>
      <c r="V737" s="571"/>
      <c r="W737" s="572"/>
      <c r="X737" s="575"/>
      <c r="Y737" s="576"/>
    </row>
    <row r="738" spans="1:28" ht="18" customHeight="1" x14ac:dyDescent="0.2">
      <c r="A738" s="337"/>
      <c r="B738" s="337"/>
      <c r="C738" s="561" t="s">
        <v>338</v>
      </c>
      <c r="D738" s="562"/>
      <c r="E738" s="562"/>
      <c r="F738" s="562"/>
      <c r="G738" s="562"/>
      <c r="H738" s="562"/>
      <c r="I738" s="562"/>
      <c r="J738" s="562"/>
      <c r="K738" s="562"/>
      <c r="L738" s="562"/>
      <c r="M738" s="562"/>
      <c r="N738" s="562"/>
      <c r="O738" s="562"/>
      <c r="P738" s="562"/>
      <c r="Q738" s="562"/>
      <c r="R738" s="562"/>
      <c r="S738" s="563"/>
      <c r="T738" s="567"/>
      <c r="U738" s="568"/>
      <c r="V738" s="568"/>
      <c r="W738" s="569"/>
      <c r="X738" s="573" t="s">
        <v>82</v>
      </c>
      <c r="Y738" s="574"/>
    </row>
    <row r="739" spans="1:28" ht="18" customHeight="1" thickBot="1" x14ac:dyDescent="0.25">
      <c r="A739" s="337"/>
      <c r="B739" s="337"/>
      <c r="C739" s="564"/>
      <c r="D739" s="565"/>
      <c r="E739" s="565"/>
      <c r="F739" s="565"/>
      <c r="G739" s="565"/>
      <c r="H739" s="565"/>
      <c r="I739" s="565"/>
      <c r="J739" s="565"/>
      <c r="K739" s="565"/>
      <c r="L739" s="565"/>
      <c r="M739" s="565"/>
      <c r="N739" s="565"/>
      <c r="O739" s="565"/>
      <c r="P739" s="565"/>
      <c r="Q739" s="565"/>
      <c r="R739" s="565"/>
      <c r="S739" s="566"/>
      <c r="T739" s="570"/>
      <c r="U739" s="571"/>
      <c r="V739" s="571"/>
      <c r="W739" s="572"/>
      <c r="X739" s="575"/>
      <c r="Y739" s="576"/>
    </row>
    <row r="740" spans="1:28" ht="18" customHeight="1" thickBot="1" x14ac:dyDescent="0.25">
      <c r="A740" s="337"/>
      <c r="B740" s="337"/>
      <c r="C740" s="345"/>
      <c r="D740" s="337"/>
      <c r="G740" s="337"/>
      <c r="H740" s="337"/>
      <c r="I740" s="337"/>
      <c r="J740" s="337"/>
      <c r="K740" s="337"/>
      <c r="L740" s="337"/>
      <c r="M740" s="337"/>
      <c r="N740" s="337"/>
      <c r="O740" s="337"/>
      <c r="T740" s="395"/>
      <c r="U740" s="396"/>
      <c r="V740" s="396"/>
      <c r="W740" s="397" t="str">
        <f>IF(SUM($T$732:$W$739)&lt;&gt;$T$726,"La somme des réponses données à cette question doit correspondre au linéaire total de berges (question 71).","")</f>
        <v/>
      </c>
    </row>
    <row r="741" spans="1:28" ht="18" customHeight="1" x14ac:dyDescent="0.2">
      <c r="A741" s="337"/>
      <c r="B741" s="337"/>
      <c r="C741" s="345"/>
      <c r="D741" s="337"/>
      <c r="G741" s="337"/>
      <c r="H741" s="337"/>
      <c r="I741" s="337"/>
      <c r="J741" s="337"/>
      <c r="K741" s="337"/>
      <c r="L741" s="337"/>
      <c r="M741" s="337"/>
      <c r="N741" s="337"/>
      <c r="O741" s="337"/>
    </row>
    <row r="742" spans="1:28" ht="33.75" customHeight="1" x14ac:dyDescent="0.2">
      <c r="A742" s="337"/>
      <c r="B742" s="337"/>
      <c r="C742" s="341" t="s">
        <v>391</v>
      </c>
      <c r="D742" s="695" t="s">
        <v>411</v>
      </c>
      <c r="E742" s="696"/>
      <c r="F742" s="696"/>
      <c r="G742" s="696"/>
      <c r="H742" s="696"/>
      <c r="I742" s="696"/>
      <c r="J742" s="696"/>
      <c r="K742" s="696"/>
      <c r="L742" s="696"/>
      <c r="M742" s="696"/>
      <c r="N742" s="696"/>
      <c r="O742" s="696"/>
      <c r="P742" s="696"/>
      <c r="Q742" s="696"/>
      <c r="R742" s="696"/>
      <c r="S742" s="696"/>
      <c r="T742" s="696"/>
      <c r="U742" s="696"/>
      <c r="V742" s="696"/>
      <c r="W742" s="696"/>
      <c r="X742" s="696"/>
      <c r="Y742" s="697"/>
    </row>
    <row r="743" spans="1:28" ht="18" customHeight="1" x14ac:dyDescent="0.2">
      <c r="A743" s="337"/>
      <c r="B743" s="337"/>
      <c r="C743" s="517"/>
      <c r="D743" s="517"/>
      <c r="E743" s="517"/>
      <c r="F743" s="517"/>
      <c r="G743" s="517"/>
      <c r="H743" s="517"/>
      <c r="I743" s="517"/>
      <c r="J743" s="517"/>
      <c r="K743" s="517"/>
      <c r="L743" s="517"/>
      <c r="M743" s="517"/>
      <c r="N743" s="517"/>
      <c r="O743" s="517"/>
      <c r="P743" s="517"/>
      <c r="Q743" s="517"/>
      <c r="R743" s="517"/>
      <c r="S743" s="517"/>
      <c r="T743" s="517"/>
      <c r="U743" s="517"/>
      <c r="V743" s="517"/>
      <c r="W743" s="517"/>
      <c r="X743" s="517"/>
      <c r="Y743" s="517"/>
    </row>
    <row r="744" spans="1:28" ht="17.25" customHeight="1" x14ac:dyDescent="0.2">
      <c r="A744" s="337"/>
      <c r="B744" s="337"/>
      <c r="C744" s="581" t="s">
        <v>339</v>
      </c>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row>
    <row r="745" spans="1:28" ht="33.75" customHeight="1" x14ac:dyDescent="0.2">
      <c r="A745" s="542" t="s">
        <v>466</v>
      </c>
      <c r="B745" s="543" t="s">
        <v>483</v>
      </c>
      <c r="C745" s="546" t="s">
        <v>87</v>
      </c>
      <c r="D745" s="546" t="s">
        <v>30</v>
      </c>
      <c r="E745" s="548" t="s">
        <v>31</v>
      </c>
      <c r="F745" s="549"/>
      <c r="G745" s="544" t="s">
        <v>32</v>
      </c>
      <c r="H745" s="552" t="s">
        <v>482</v>
      </c>
      <c r="I745" s="553"/>
      <c r="J745" s="553"/>
      <c r="K745" s="554"/>
      <c r="L745" s="544" t="s">
        <v>488</v>
      </c>
      <c r="M745" s="544" t="s">
        <v>487</v>
      </c>
      <c r="N745" s="743" t="s">
        <v>462</v>
      </c>
      <c r="O745" s="744"/>
      <c r="P745" s="744"/>
      <c r="Q745" s="744"/>
      <c r="R745" s="744"/>
      <c r="S745" s="744"/>
      <c r="T745" s="744"/>
      <c r="U745" s="744"/>
      <c r="V745" s="744"/>
      <c r="W745" s="744"/>
      <c r="X745" s="744"/>
      <c r="Y745" s="745"/>
      <c r="Z745" s="746" t="s">
        <v>216</v>
      </c>
      <c r="AA745" s="749" t="s">
        <v>215</v>
      </c>
      <c r="AB745" s="752" t="s">
        <v>105</v>
      </c>
    </row>
    <row r="746" spans="1:28" ht="54" customHeight="1" x14ac:dyDescent="0.2">
      <c r="A746" s="542"/>
      <c r="B746" s="544"/>
      <c r="C746" s="546"/>
      <c r="D746" s="546"/>
      <c r="E746" s="548"/>
      <c r="F746" s="549"/>
      <c r="G746" s="544"/>
      <c r="H746" s="753" t="s">
        <v>340</v>
      </c>
      <c r="I746" s="754"/>
      <c r="J746" s="754"/>
      <c r="K746" s="755"/>
      <c r="L746" s="544"/>
      <c r="M746" s="544"/>
      <c r="N746" s="756" t="s">
        <v>102</v>
      </c>
      <c r="O746" s="757"/>
      <c r="P746" s="757"/>
      <c r="Q746" s="757"/>
      <c r="R746" s="757"/>
      <c r="S746" s="758"/>
      <c r="T746" s="759" t="s">
        <v>103</v>
      </c>
      <c r="U746" s="757"/>
      <c r="V746" s="757"/>
      <c r="W746" s="757"/>
      <c r="X746" s="757"/>
      <c r="Y746" s="760"/>
      <c r="Z746" s="747"/>
      <c r="AA746" s="750"/>
      <c r="AB746" s="549"/>
    </row>
    <row r="747" spans="1:28" ht="32.25" customHeight="1" x14ac:dyDescent="0.2">
      <c r="A747" s="542"/>
      <c r="B747" s="544"/>
      <c r="C747" s="546"/>
      <c r="D747" s="546"/>
      <c r="E747" s="548"/>
      <c r="F747" s="549"/>
      <c r="G747" s="544"/>
      <c r="H747" s="543" t="s">
        <v>33</v>
      </c>
      <c r="I747" s="543" t="s">
        <v>34</v>
      </c>
      <c r="J747" s="543" t="s">
        <v>35</v>
      </c>
      <c r="K747" s="543" t="s">
        <v>109</v>
      </c>
      <c r="L747" s="544"/>
      <c r="M747" s="544"/>
      <c r="N747" s="555" t="s">
        <v>447</v>
      </c>
      <c r="O747" s="556"/>
      <c r="P747" s="556"/>
      <c r="Q747" s="556"/>
      <c r="R747" s="556"/>
      <c r="S747" s="557"/>
      <c r="T747" s="734" t="s">
        <v>441</v>
      </c>
      <c r="U747" s="735"/>
      <c r="V747" s="735"/>
      <c r="W747" s="735"/>
      <c r="X747" s="735"/>
      <c r="Y747" s="736"/>
      <c r="Z747" s="747"/>
      <c r="AA747" s="750"/>
      <c r="AB747" s="549"/>
    </row>
    <row r="748" spans="1:28" ht="32.25" customHeight="1" x14ac:dyDescent="0.2">
      <c r="A748" s="542"/>
      <c r="B748" s="544"/>
      <c r="C748" s="546"/>
      <c r="D748" s="546"/>
      <c r="E748" s="548"/>
      <c r="F748" s="549"/>
      <c r="G748" s="544"/>
      <c r="H748" s="544"/>
      <c r="I748" s="544"/>
      <c r="J748" s="544"/>
      <c r="K748" s="544"/>
      <c r="L748" s="544"/>
      <c r="M748" s="544"/>
      <c r="N748" s="555" t="s">
        <v>448</v>
      </c>
      <c r="O748" s="556"/>
      <c r="P748" s="556"/>
      <c r="Q748" s="556"/>
      <c r="R748" s="556"/>
      <c r="S748" s="557"/>
      <c r="T748" s="734" t="s">
        <v>442</v>
      </c>
      <c r="U748" s="735"/>
      <c r="V748" s="735"/>
      <c r="W748" s="735"/>
      <c r="X748" s="735"/>
      <c r="Y748" s="736"/>
      <c r="Z748" s="747"/>
      <c r="AA748" s="750"/>
      <c r="AB748" s="549"/>
    </row>
    <row r="749" spans="1:28" ht="32.25" customHeight="1" x14ac:dyDescent="0.2">
      <c r="A749" s="542"/>
      <c r="B749" s="544"/>
      <c r="C749" s="546"/>
      <c r="D749" s="546"/>
      <c r="E749" s="548"/>
      <c r="F749" s="549"/>
      <c r="G749" s="544"/>
      <c r="H749" s="544"/>
      <c r="I749" s="544"/>
      <c r="J749" s="544"/>
      <c r="K749" s="544"/>
      <c r="L749" s="544"/>
      <c r="M749" s="544"/>
      <c r="N749" s="555" t="s">
        <v>449</v>
      </c>
      <c r="O749" s="556"/>
      <c r="P749" s="556"/>
      <c r="Q749" s="556"/>
      <c r="R749" s="556"/>
      <c r="S749" s="557"/>
      <c r="T749" s="734" t="s">
        <v>443</v>
      </c>
      <c r="U749" s="735"/>
      <c r="V749" s="735"/>
      <c r="W749" s="735"/>
      <c r="X749" s="735"/>
      <c r="Y749" s="736"/>
      <c r="Z749" s="747"/>
      <c r="AA749" s="750"/>
      <c r="AB749" s="549"/>
    </row>
    <row r="750" spans="1:28" ht="32.25" customHeight="1" x14ac:dyDescent="0.2">
      <c r="A750" s="542"/>
      <c r="B750" s="544"/>
      <c r="C750" s="546"/>
      <c r="D750" s="546"/>
      <c r="E750" s="548"/>
      <c r="F750" s="549"/>
      <c r="G750" s="544"/>
      <c r="H750" s="544"/>
      <c r="I750" s="544"/>
      <c r="J750" s="544"/>
      <c r="K750" s="544"/>
      <c r="L750" s="544"/>
      <c r="M750" s="544"/>
      <c r="N750" s="555" t="s">
        <v>450</v>
      </c>
      <c r="O750" s="556"/>
      <c r="P750" s="556"/>
      <c r="Q750" s="556"/>
      <c r="R750" s="556"/>
      <c r="S750" s="557"/>
      <c r="T750" s="737" t="s">
        <v>104</v>
      </c>
      <c r="U750" s="738"/>
      <c r="V750" s="738"/>
      <c r="W750" s="738"/>
      <c r="X750" s="738"/>
      <c r="Y750" s="739"/>
      <c r="Z750" s="747"/>
      <c r="AA750" s="750"/>
      <c r="AB750" s="549"/>
    </row>
    <row r="751" spans="1:28" ht="32.25" customHeight="1" x14ac:dyDescent="0.2">
      <c r="A751" s="542"/>
      <c r="B751" s="544"/>
      <c r="C751" s="546"/>
      <c r="D751" s="546"/>
      <c r="E751" s="548"/>
      <c r="F751" s="549"/>
      <c r="G751" s="544"/>
      <c r="H751" s="544"/>
      <c r="I751" s="544"/>
      <c r="J751" s="544"/>
      <c r="K751" s="544"/>
      <c r="L751" s="544"/>
      <c r="M751" s="544"/>
      <c r="N751" s="555" t="s">
        <v>451</v>
      </c>
      <c r="O751" s="556"/>
      <c r="P751" s="556"/>
      <c r="Q751" s="556"/>
      <c r="R751" s="556"/>
      <c r="S751" s="557"/>
      <c r="T751" s="737"/>
      <c r="U751" s="738"/>
      <c r="V751" s="738"/>
      <c r="W751" s="738"/>
      <c r="X751" s="738"/>
      <c r="Y751" s="739"/>
      <c r="Z751" s="747"/>
      <c r="AA751" s="750"/>
      <c r="AB751" s="549"/>
    </row>
    <row r="752" spans="1:28" ht="32.25" customHeight="1" x14ac:dyDescent="0.2">
      <c r="A752" s="542"/>
      <c r="B752" s="544"/>
      <c r="C752" s="546"/>
      <c r="D752" s="546"/>
      <c r="E752" s="548"/>
      <c r="F752" s="549"/>
      <c r="G752" s="544"/>
      <c r="H752" s="544"/>
      <c r="I752" s="544"/>
      <c r="J752" s="544"/>
      <c r="K752" s="544"/>
      <c r="L752" s="544"/>
      <c r="M752" s="544"/>
      <c r="N752" s="555" t="s">
        <v>452</v>
      </c>
      <c r="O752" s="556"/>
      <c r="P752" s="556"/>
      <c r="Q752" s="556"/>
      <c r="R752" s="556"/>
      <c r="S752" s="557"/>
      <c r="T752" s="737"/>
      <c r="U752" s="738"/>
      <c r="V752" s="738"/>
      <c r="W752" s="738"/>
      <c r="X752" s="738"/>
      <c r="Y752" s="739"/>
      <c r="Z752" s="747"/>
      <c r="AA752" s="750"/>
      <c r="AB752" s="549"/>
    </row>
    <row r="753" spans="1:28" ht="32.25" customHeight="1" x14ac:dyDescent="0.2">
      <c r="A753" s="542"/>
      <c r="B753" s="544"/>
      <c r="C753" s="546"/>
      <c r="D753" s="546"/>
      <c r="E753" s="548"/>
      <c r="F753" s="549"/>
      <c r="G753" s="544"/>
      <c r="H753" s="544"/>
      <c r="I753" s="544"/>
      <c r="J753" s="544"/>
      <c r="K753" s="544"/>
      <c r="L753" s="544"/>
      <c r="M753" s="544"/>
      <c r="N753" s="558" t="s">
        <v>453</v>
      </c>
      <c r="O753" s="559"/>
      <c r="P753" s="559"/>
      <c r="Q753" s="559"/>
      <c r="R753" s="559"/>
      <c r="S753" s="560"/>
      <c r="T753" s="740"/>
      <c r="U753" s="741"/>
      <c r="V753" s="741"/>
      <c r="W753" s="741"/>
      <c r="X753" s="741"/>
      <c r="Y753" s="742"/>
      <c r="Z753" s="747"/>
      <c r="AA753" s="750"/>
      <c r="AB753" s="549"/>
    </row>
    <row r="754" spans="1:28" ht="84.75" customHeight="1" x14ac:dyDescent="0.2">
      <c r="A754" s="542"/>
      <c r="B754" s="545"/>
      <c r="C754" s="547"/>
      <c r="D754" s="547"/>
      <c r="E754" s="550"/>
      <c r="F754" s="551"/>
      <c r="G754" s="545"/>
      <c r="H754" s="545"/>
      <c r="I754" s="545"/>
      <c r="J754" s="545"/>
      <c r="K754" s="545"/>
      <c r="L754" s="545"/>
      <c r="M754" s="545"/>
      <c r="N754" s="474" t="s">
        <v>90</v>
      </c>
      <c r="O754" s="474" t="s">
        <v>91</v>
      </c>
      <c r="P754" s="474" t="s">
        <v>92</v>
      </c>
      <c r="Q754" s="474" t="s">
        <v>93</v>
      </c>
      <c r="R754" s="474" t="s">
        <v>94</v>
      </c>
      <c r="S754" s="474" t="s">
        <v>95</v>
      </c>
      <c r="T754" s="474" t="s">
        <v>96</v>
      </c>
      <c r="U754" s="474" t="s">
        <v>97</v>
      </c>
      <c r="V754" s="474" t="s">
        <v>98</v>
      </c>
      <c r="W754" s="474" t="s">
        <v>99</v>
      </c>
      <c r="X754" s="474" t="s">
        <v>100</v>
      </c>
      <c r="Y754" s="474" t="s">
        <v>101</v>
      </c>
      <c r="Z754" s="748"/>
      <c r="AA754" s="751"/>
      <c r="AB754" s="551"/>
    </row>
    <row r="755" spans="1:28" ht="39" customHeight="1" x14ac:dyDescent="0.2">
      <c r="A755" s="475"/>
      <c r="B755" s="522"/>
      <c r="C755" s="522"/>
      <c r="D755" s="730" t="s">
        <v>446</v>
      </c>
      <c r="E755" s="731"/>
      <c r="F755" s="731"/>
      <c r="G755" s="731"/>
      <c r="H755" s="731"/>
      <c r="I755" s="731"/>
      <c r="J755" s="731"/>
      <c r="K755" s="731"/>
      <c r="L755" s="731"/>
      <c r="M755" s="731"/>
      <c r="N755" s="731"/>
      <c r="O755" s="731"/>
      <c r="P755" s="731"/>
      <c r="Q755" s="731"/>
      <c r="R755" s="731"/>
      <c r="S755" s="731"/>
      <c r="T755" s="731"/>
      <c r="U755" s="731"/>
      <c r="V755" s="731"/>
      <c r="W755" s="731"/>
      <c r="X755" s="731"/>
      <c r="Y755" s="731"/>
      <c r="Z755" s="731"/>
      <c r="AA755" s="731"/>
      <c r="AB755" s="731"/>
    </row>
    <row r="756" spans="1:28" ht="15" x14ac:dyDescent="0.2">
      <c r="A756" s="732" t="s">
        <v>37</v>
      </c>
      <c r="B756" s="733"/>
      <c r="C756" s="733"/>
      <c r="D756" s="733"/>
      <c r="E756" s="733"/>
      <c r="F756" s="733"/>
      <c r="G756" s="733"/>
      <c r="H756" s="733"/>
      <c r="I756" s="733"/>
      <c r="J756" s="733"/>
      <c r="K756" s="733"/>
      <c r="L756" s="733"/>
      <c r="M756" s="733"/>
      <c r="N756" s="733"/>
      <c r="O756" s="733"/>
      <c r="P756" s="733"/>
      <c r="Q756" s="733"/>
      <c r="R756" s="733"/>
      <c r="S756" s="733"/>
      <c r="T756" s="733"/>
      <c r="U756" s="733"/>
      <c r="V756" s="733"/>
      <c r="W756" s="733"/>
      <c r="X756" s="733"/>
      <c r="Y756" s="733"/>
      <c r="Z756" s="733"/>
      <c r="AA756" s="733"/>
      <c r="AB756" s="733"/>
    </row>
    <row r="757" spans="1:28" ht="30" customHeight="1" x14ac:dyDescent="0.2">
      <c r="A757" s="476">
        <v>1</v>
      </c>
      <c r="B757" s="476">
        <v>30</v>
      </c>
      <c r="C757" s="476" t="s">
        <v>88</v>
      </c>
      <c r="D757" s="477">
        <v>1</v>
      </c>
      <c r="E757" s="539" t="s">
        <v>89</v>
      </c>
      <c r="F757" s="540"/>
      <c r="G757" s="478">
        <v>6</v>
      </c>
      <c r="H757" s="476" t="s">
        <v>7</v>
      </c>
      <c r="I757" s="476"/>
      <c r="J757" s="476"/>
      <c r="K757" s="476"/>
      <c r="L757" s="476">
        <v>0</v>
      </c>
      <c r="M757" s="479">
        <v>0</v>
      </c>
      <c r="N757" s="476" t="s">
        <v>106</v>
      </c>
      <c r="O757" s="476" t="s">
        <v>106</v>
      </c>
      <c r="P757" s="476" t="s">
        <v>106</v>
      </c>
      <c r="Q757" s="476" t="s">
        <v>107</v>
      </c>
      <c r="R757" s="476" t="s">
        <v>107</v>
      </c>
      <c r="S757" s="476" t="s">
        <v>55</v>
      </c>
      <c r="T757" s="476" t="s">
        <v>55</v>
      </c>
      <c r="U757" s="476" t="s">
        <v>55</v>
      </c>
      <c r="V757" s="476" t="s">
        <v>55</v>
      </c>
      <c r="W757" s="476" t="s">
        <v>55</v>
      </c>
      <c r="X757" s="476" t="s">
        <v>55</v>
      </c>
      <c r="Y757" s="476" t="s">
        <v>55</v>
      </c>
      <c r="Z757" s="541" t="s">
        <v>108</v>
      </c>
      <c r="AA757" s="541"/>
      <c r="AB757" s="541"/>
    </row>
    <row r="758" spans="1:28" ht="30" customHeight="1" x14ac:dyDescent="0.2">
      <c r="A758" s="480">
        <v>1</v>
      </c>
      <c r="B758" s="480">
        <v>30</v>
      </c>
      <c r="C758" s="480" t="s">
        <v>88</v>
      </c>
      <c r="D758" s="481">
        <v>2</v>
      </c>
      <c r="E758" s="539" t="s">
        <v>206</v>
      </c>
      <c r="F758" s="540"/>
      <c r="G758" s="482">
        <v>5</v>
      </c>
      <c r="H758" s="480" t="s">
        <v>7</v>
      </c>
      <c r="I758" s="480"/>
      <c r="J758" s="480"/>
      <c r="K758" s="480"/>
      <c r="L758" s="480">
        <v>0</v>
      </c>
      <c r="M758" s="483">
        <v>0</v>
      </c>
      <c r="N758" s="476" t="s">
        <v>106</v>
      </c>
      <c r="O758" s="476" t="s">
        <v>106</v>
      </c>
      <c r="P758" s="476" t="s">
        <v>107</v>
      </c>
      <c r="Q758" s="476" t="s">
        <v>107</v>
      </c>
      <c r="R758" s="476" t="s">
        <v>55</v>
      </c>
      <c r="S758" s="476" t="s">
        <v>55</v>
      </c>
      <c r="T758" s="476" t="s">
        <v>55</v>
      </c>
      <c r="U758" s="476" t="s">
        <v>55</v>
      </c>
      <c r="V758" s="476" t="s">
        <v>55</v>
      </c>
      <c r="W758" s="476" t="s">
        <v>55</v>
      </c>
      <c r="X758" s="476" t="s">
        <v>55</v>
      </c>
      <c r="Y758" s="476" t="s">
        <v>55</v>
      </c>
      <c r="Z758" s="541" t="s">
        <v>209</v>
      </c>
      <c r="AA758" s="541"/>
      <c r="AB758" s="540"/>
    </row>
    <row r="759" spans="1:28" ht="30" customHeight="1" x14ac:dyDescent="0.2">
      <c r="A759" s="480">
        <v>2</v>
      </c>
      <c r="B759" s="480">
        <v>70</v>
      </c>
      <c r="C759" s="480" t="s">
        <v>205</v>
      </c>
      <c r="D759" s="481">
        <v>3</v>
      </c>
      <c r="E759" s="539" t="s">
        <v>207</v>
      </c>
      <c r="F759" s="540"/>
      <c r="G759" s="482">
        <v>5</v>
      </c>
      <c r="H759" s="480"/>
      <c r="I759" s="480"/>
      <c r="J759" s="480" t="s">
        <v>7</v>
      </c>
      <c r="K759" s="480"/>
      <c r="L759" s="478">
        <v>22</v>
      </c>
      <c r="M759" s="512">
        <v>0</v>
      </c>
      <c r="N759" s="476" t="s">
        <v>212</v>
      </c>
      <c r="O759" s="476" t="s">
        <v>212</v>
      </c>
      <c r="P759" s="476" t="s">
        <v>212</v>
      </c>
      <c r="Q759" s="476" t="s">
        <v>210</v>
      </c>
      <c r="R759" s="476" t="s">
        <v>55</v>
      </c>
      <c r="S759" s="476" t="s">
        <v>55</v>
      </c>
      <c r="T759" s="476" t="s">
        <v>55</v>
      </c>
      <c r="U759" s="476" t="s">
        <v>55</v>
      </c>
      <c r="V759" s="476" t="s">
        <v>55</v>
      </c>
      <c r="W759" s="476" t="s">
        <v>57</v>
      </c>
      <c r="X759" s="476"/>
      <c r="Y759" s="476"/>
      <c r="Z759" s="541" t="s">
        <v>211</v>
      </c>
      <c r="AA759" s="541"/>
      <c r="AB759" s="540"/>
    </row>
    <row r="760" spans="1:28" ht="30" customHeight="1" x14ac:dyDescent="0.2">
      <c r="A760" s="480">
        <v>2</v>
      </c>
      <c r="B760" s="480">
        <v>70</v>
      </c>
      <c r="C760" s="480" t="s">
        <v>205</v>
      </c>
      <c r="D760" s="481">
        <v>4</v>
      </c>
      <c r="E760" s="539" t="s">
        <v>208</v>
      </c>
      <c r="F760" s="540"/>
      <c r="G760" s="482">
        <v>6</v>
      </c>
      <c r="H760" s="480"/>
      <c r="I760" s="480"/>
      <c r="J760" s="480" t="s">
        <v>7</v>
      </c>
      <c r="K760" s="480"/>
      <c r="L760" s="482">
        <v>35</v>
      </c>
      <c r="M760" s="485">
        <v>0</v>
      </c>
      <c r="N760" s="476" t="s">
        <v>212</v>
      </c>
      <c r="O760" s="476" t="s">
        <v>212</v>
      </c>
      <c r="P760" s="476" t="s">
        <v>55</v>
      </c>
      <c r="Q760" s="476" t="s">
        <v>55</v>
      </c>
      <c r="R760" s="476" t="s">
        <v>55</v>
      </c>
      <c r="S760" s="476" t="s">
        <v>55</v>
      </c>
      <c r="T760" s="476" t="s">
        <v>55</v>
      </c>
      <c r="U760" s="476" t="s">
        <v>55</v>
      </c>
      <c r="V760" s="476" t="s">
        <v>55</v>
      </c>
      <c r="W760" s="476" t="s">
        <v>55</v>
      </c>
      <c r="X760" s="476" t="s">
        <v>55</v>
      </c>
      <c r="Y760" s="476" t="s">
        <v>55</v>
      </c>
      <c r="Z760" s="541" t="s">
        <v>213</v>
      </c>
      <c r="AA760" s="541"/>
      <c r="AB760" s="540"/>
    </row>
    <row r="761" spans="1:28" ht="33" customHeight="1" x14ac:dyDescent="0.2">
      <c r="A761" s="522"/>
      <c r="B761" s="522"/>
      <c r="C761" s="522"/>
      <c r="D761" s="486">
        <v>1</v>
      </c>
      <c r="E761" s="529"/>
      <c r="F761" s="531"/>
      <c r="G761" s="522"/>
      <c r="H761" s="522"/>
      <c r="I761" s="522"/>
      <c r="J761" s="522"/>
      <c r="K761" s="522"/>
      <c r="L761" s="525"/>
      <c r="M761" s="525"/>
      <c r="N761" s="522"/>
      <c r="O761" s="522"/>
      <c r="P761" s="522"/>
      <c r="Q761" s="522"/>
      <c r="R761" s="522"/>
      <c r="S761" s="522"/>
      <c r="T761" s="522"/>
      <c r="U761" s="522"/>
      <c r="V761" s="522"/>
      <c r="W761" s="522"/>
      <c r="X761" s="522"/>
      <c r="Y761" s="522"/>
      <c r="Z761" s="529"/>
      <c r="AA761" s="530"/>
      <c r="AB761" s="531"/>
    </row>
    <row r="762" spans="1:28" ht="33" customHeight="1" x14ac:dyDescent="0.2">
      <c r="A762" s="523"/>
      <c r="B762" s="523"/>
      <c r="C762" s="523"/>
      <c r="D762" s="487">
        <v>2</v>
      </c>
      <c r="E762" s="529"/>
      <c r="F762" s="531"/>
      <c r="G762" s="522"/>
      <c r="H762" s="523"/>
      <c r="I762" s="523"/>
      <c r="J762" s="523"/>
      <c r="K762" s="523"/>
      <c r="L762" s="525"/>
      <c r="M762" s="525"/>
      <c r="N762" s="522"/>
      <c r="O762" s="522"/>
      <c r="P762" s="522"/>
      <c r="Q762" s="522"/>
      <c r="R762" s="522"/>
      <c r="S762" s="522"/>
      <c r="T762" s="522"/>
      <c r="U762" s="522"/>
      <c r="V762" s="522"/>
      <c r="W762" s="522"/>
      <c r="X762" s="522"/>
      <c r="Y762" s="522"/>
      <c r="Z762" s="529"/>
      <c r="AA762" s="530"/>
      <c r="AB762" s="531"/>
    </row>
    <row r="763" spans="1:28" ht="33" customHeight="1" x14ac:dyDescent="0.2">
      <c r="A763" s="523"/>
      <c r="B763" s="523"/>
      <c r="C763" s="523"/>
      <c r="D763" s="487">
        <v>3</v>
      </c>
      <c r="E763" s="529"/>
      <c r="F763" s="531"/>
      <c r="G763" s="522"/>
      <c r="H763" s="523"/>
      <c r="I763" s="523"/>
      <c r="J763" s="523"/>
      <c r="K763" s="523"/>
      <c r="L763" s="525"/>
      <c r="M763" s="525"/>
      <c r="N763" s="523"/>
      <c r="O763" s="523"/>
      <c r="P763" s="523"/>
      <c r="Q763" s="523"/>
      <c r="R763" s="523"/>
      <c r="S763" s="522"/>
      <c r="T763" s="522"/>
      <c r="U763" s="522"/>
      <c r="V763" s="522"/>
      <c r="W763" s="522"/>
      <c r="X763" s="522"/>
      <c r="Y763" s="522"/>
      <c r="Z763" s="529"/>
      <c r="AA763" s="530"/>
      <c r="AB763" s="531"/>
    </row>
    <row r="764" spans="1:28" ht="33" customHeight="1" x14ac:dyDescent="0.2">
      <c r="A764" s="523"/>
      <c r="B764" s="523"/>
      <c r="C764" s="523"/>
      <c r="D764" s="487">
        <v>4</v>
      </c>
      <c r="E764" s="529"/>
      <c r="F764" s="531"/>
      <c r="G764" s="522"/>
      <c r="H764" s="523"/>
      <c r="I764" s="523"/>
      <c r="J764" s="523"/>
      <c r="K764" s="523"/>
      <c r="L764" s="525"/>
      <c r="M764" s="525"/>
      <c r="N764" s="523"/>
      <c r="O764" s="523"/>
      <c r="P764" s="523"/>
      <c r="Q764" s="523"/>
      <c r="R764" s="523"/>
      <c r="S764" s="523"/>
      <c r="T764" s="523"/>
      <c r="U764" s="523"/>
      <c r="V764" s="523"/>
      <c r="W764" s="523"/>
      <c r="X764" s="523"/>
      <c r="Y764" s="523"/>
      <c r="Z764" s="529"/>
      <c r="AA764" s="530"/>
      <c r="AB764" s="531"/>
    </row>
    <row r="765" spans="1:28" ht="33" customHeight="1" x14ac:dyDescent="0.2">
      <c r="A765" s="523"/>
      <c r="B765" s="523"/>
      <c r="C765" s="523"/>
      <c r="D765" s="487">
        <v>5</v>
      </c>
      <c r="E765" s="532"/>
      <c r="F765" s="533"/>
      <c r="G765" s="522"/>
      <c r="H765" s="523"/>
      <c r="I765" s="523"/>
      <c r="J765" s="523"/>
      <c r="K765" s="523"/>
      <c r="L765" s="525"/>
      <c r="M765" s="525"/>
      <c r="N765" s="523"/>
      <c r="O765" s="523"/>
      <c r="P765" s="523"/>
      <c r="Q765" s="523"/>
      <c r="R765" s="523"/>
      <c r="S765" s="523"/>
      <c r="T765" s="523"/>
      <c r="U765" s="523"/>
      <c r="V765" s="523"/>
      <c r="W765" s="523"/>
      <c r="X765" s="523"/>
      <c r="Y765" s="523"/>
      <c r="Z765" s="529"/>
      <c r="AA765" s="530"/>
      <c r="AB765" s="531"/>
    </row>
    <row r="766" spans="1:28" ht="33" customHeight="1" x14ac:dyDescent="0.2">
      <c r="A766" s="523"/>
      <c r="B766" s="523"/>
      <c r="C766" s="523"/>
      <c r="D766" s="487">
        <v>6</v>
      </c>
      <c r="E766" s="532"/>
      <c r="F766" s="533"/>
      <c r="G766" s="522"/>
      <c r="H766" s="523"/>
      <c r="I766" s="523"/>
      <c r="J766" s="523"/>
      <c r="K766" s="523"/>
      <c r="L766" s="525"/>
      <c r="M766" s="525"/>
      <c r="N766" s="523"/>
      <c r="O766" s="523"/>
      <c r="P766" s="523"/>
      <c r="Q766" s="523"/>
      <c r="R766" s="523"/>
      <c r="S766" s="523"/>
      <c r="T766" s="523"/>
      <c r="U766" s="523"/>
      <c r="V766" s="523"/>
      <c r="W766" s="523"/>
      <c r="X766" s="523"/>
      <c r="Y766" s="523"/>
      <c r="Z766" s="529"/>
      <c r="AA766" s="530"/>
      <c r="AB766" s="531"/>
    </row>
    <row r="767" spans="1:28" ht="33" customHeight="1" x14ac:dyDescent="0.2">
      <c r="A767" s="523"/>
      <c r="B767" s="523"/>
      <c r="C767" s="523"/>
      <c r="D767" s="487">
        <v>7</v>
      </c>
      <c r="E767" s="532"/>
      <c r="F767" s="533"/>
      <c r="G767" s="522"/>
      <c r="H767" s="523"/>
      <c r="I767" s="523"/>
      <c r="J767" s="523"/>
      <c r="K767" s="523"/>
      <c r="L767" s="525"/>
      <c r="M767" s="525"/>
      <c r="N767" s="523"/>
      <c r="O767" s="523"/>
      <c r="P767" s="523"/>
      <c r="Q767" s="523"/>
      <c r="R767" s="523"/>
      <c r="S767" s="522"/>
      <c r="T767" s="522"/>
      <c r="U767" s="522"/>
      <c r="V767" s="522"/>
      <c r="W767" s="522"/>
      <c r="X767" s="522"/>
      <c r="Y767" s="522"/>
      <c r="Z767" s="529"/>
      <c r="AA767" s="530"/>
      <c r="AB767" s="531"/>
    </row>
    <row r="768" spans="1:28" ht="33" customHeight="1" x14ac:dyDescent="0.2">
      <c r="A768" s="523"/>
      <c r="B768" s="523"/>
      <c r="C768" s="523"/>
      <c r="D768" s="487">
        <v>8</v>
      </c>
      <c r="E768" s="532"/>
      <c r="F768" s="533"/>
      <c r="G768" s="522"/>
      <c r="H768" s="523"/>
      <c r="I768" s="523"/>
      <c r="J768" s="523"/>
      <c r="K768" s="523"/>
      <c r="L768" s="525"/>
      <c r="M768" s="525"/>
      <c r="N768" s="523"/>
      <c r="O768" s="523"/>
      <c r="P768" s="523"/>
      <c r="Q768" s="523"/>
      <c r="R768" s="523"/>
      <c r="S768" s="523"/>
      <c r="T768" s="523"/>
      <c r="U768" s="523"/>
      <c r="V768" s="523"/>
      <c r="W768" s="523"/>
      <c r="X768" s="523"/>
      <c r="Y768" s="523"/>
      <c r="Z768" s="529"/>
      <c r="AA768" s="530"/>
      <c r="AB768" s="531"/>
    </row>
    <row r="769" spans="1:28" ht="33" customHeight="1" x14ac:dyDescent="0.2">
      <c r="A769" s="523"/>
      <c r="B769" s="523"/>
      <c r="C769" s="523"/>
      <c r="D769" s="487">
        <v>9</v>
      </c>
      <c r="E769" s="532"/>
      <c r="F769" s="533"/>
      <c r="G769" s="522"/>
      <c r="H769" s="523"/>
      <c r="I769" s="523"/>
      <c r="J769" s="523"/>
      <c r="K769" s="523"/>
      <c r="L769" s="525"/>
      <c r="M769" s="525"/>
      <c r="N769" s="523"/>
      <c r="O769" s="523"/>
      <c r="P769" s="523"/>
      <c r="Q769" s="523"/>
      <c r="R769" s="523"/>
      <c r="S769" s="523"/>
      <c r="T769" s="523"/>
      <c r="U769" s="523"/>
      <c r="V769" s="523"/>
      <c r="W769" s="523"/>
      <c r="X769" s="523"/>
      <c r="Y769" s="523"/>
      <c r="Z769" s="529"/>
      <c r="AA769" s="530"/>
      <c r="AB769" s="531"/>
    </row>
    <row r="770" spans="1:28" ht="33" customHeight="1" x14ac:dyDescent="0.2">
      <c r="A770" s="523"/>
      <c r="B770" s="523"/>
      <c r="C770" s="523"/>
      <c r="D770" s="487">
        <v>10</v>
      </c>
      <c r="E770" s="532"/>
      <c r="F770" s="533"/>
      <c r="G770" s="522"/>
      <c r="H770" s="523"/>
      <c r="I770" s="523"/>
      <c r="J770" s="523"/>
      <c r="K770" s="523"/>
      <c r="L770" s="525"/>
      <c r="M770" s="525"/>
      <c r="N770" s="523"/>
      <c r="O770" s="523"/>
      <c r="P770" s="523"/>
      <c r="Q770" s="523"/>
      <c r="R770" s="523"/>
      <c r="S770" s="523"/>
      <c r="T770" s="523"/>
      <c r="U770" s="523"/>
      <c r="V770" s="523"/>
      <c r="W770" s="523"/>
      <c r="X770" s="523"/>
      <c r="Y770" s="523"/>
      <c r="Z770" s="529"/>
      <c r="AA770" s="530"/>
      <c r="AB770" s="531"/>
    </row>
    <row r="771" spans="1:28" ht="33" customHeight="1" x14ac:dyDescent="0.2">
      <c r="A771" s="523"/>
      <c r="B771" s="523"/>
      <c r="C771" s="523"/>
      <c r="D771" s="487">
        <v>11</v>
      </c>
      <c r="E771" s="532"/>
      <c r="F771" s="533"/>
      <c r="G771" s="522"/>
      <c r="H771" s="523"/>
      <c r="I771" s="523"/>
      <c r="J771" s="523"/>
      <c r="K771" s="523"/>
      <c r="L771" s="525"/>
      <c r="M771" s="525"/>
      <c r="N771" s="523"/>
      <c r="O771" s="523"/>
      <c r="P771" s="523"/>
      <c r="Q771" s="523"/>
      <c r="R771" s="523"/>
      <c r="S771" s="523"/>
      <c r="T771" s="523"/>
      <c r="U771" s="523"/>
      <c r="V771" s="523"/>
      <c r="W771" s="523"/>
      <c r="X771" s="523"/>
      <c r="Y771" s="523"/>
      <c r="Z771" s="529"/>
      <c r="AA771" s="530"/>
      <c r="AB771" s="531"/>
    </row>
    <row r="772" spans="1:28" ht="33" customHeight="1" x14ac:dyDescent="0.2">
      <c r="A772" s="523"/>
      <c r="B772" s="523"/>
      <c r="C772" s="523"/>
      <c r="D772" s="487">
        <v>12</v>
      </c>
      <c r="E772" s="532"/>
      <c r="F772" s="533"/>
      <c r="G772" s="522"/>
      <c r="H772" s="523"/>
      <c r="I772" s="523"/>
      <c r="J772" s="523"/>
      <c r="K772" s="523"/>
      <c r="L772" s="525"/>
      <c r="M772" s="525"/>
      <c r="N772" s="523"/>
      <c r="O772" s="523"/>
      <c r="P772" s="523"/>
      <c r="Q772" s="523"/>
      <c r="R772" s="523"/>
      <c r="S772" s="523"/>
      <c r="T772" s="523"/>
      <c r="U772" s="523"/>
      <c r="V772" s="523"/>
      <c r="W772" s="523"/>
      <c r="X772" s="523"/>
      <c r="Y772" s="523"/>
      <c r="Z772" s="529"/>
      <c r="AA772" s="530"/>
      <c r="AB772" s="531"/>
    </row>
    <row r="773" spans="1:28" ht="33" customHeight="1" x14ac:dyDescent="0.2">
      <c r="A773" s="523"/>
      <c r="B773" s="523"/>
      <c r="C773" s="523"/>
      <c r="D773" s="487">
        <v>13</v>
      </c>
      <c r="E773" s="532"/>
      <c r="F773" s="533"/>
      <c r="G773" s="522"/>
      <c r="H773" s="523"/>
      <c r="I773" s="523"/>
      <c r="J773" s="523"/>
      <c r="K773" s="523"/>
      <c r="L773" s="525"/>
      <c r="M773" s="525"/>
      <c r="N773" s="523"/>
      <c r="O773" s="523"/>
      <c r="P773" s="523"/>
      <c r="Q773" s="523"/>
      <c r="R773" s="523"/>
      <c r="S773" s="523"/>
      <c r="T773" s="523"/>
      <c r="U773" s="523"/>
      <c r="V773" s="523"/>
      <c r="W773" s="523"/>
      <c r="X773" s="523"/>
      <c r="Y773" s="523"/>
      <c r="Z773" s="529"/>
      <c r="AA773" s="530"/>
      <c r="AB773" s="531"/>
    </row>
    <row r="774" spans="1:28" ht="33" customHeight="1" x14ac:dyDescent="0.2">
      <c r="A774" s="523"/>
      <c r="B774" s="523"/>
      <c r="C774" s="523"/>
      <c r="D774" s="487">
        <v>14</v>
      </c>
      <c r="E774" s="532"/>
      <c r="F774" s="533"/>
      <c r="G774" s="522"/>
      <c r="H774" s="523"/>
      <c r="I774" s="523"/>
      <c r="J774" s="523"/>
      <c r="K774" s="523"/>
      <c r="L774" s="525"/>
      <c r="M774" s="525"/>
      <c r="N774" s="523"/>
      <c r="O774" s="523"/>
      <c r="P774" s="523"/>
      <c r="Q774" s="523"/>
      <c r="R774" s="523"/>
      <c r="S774" s="523"/>
      <c r="T774" s="523"/>
      <c r="U774" s="523"/>
      <c r="V774" s="523"/>
      <c r="W774" s="523"/>
      <c r="X774" s="523"/>
      <c r="Y774" s="523"/>
      <c r="Z774" s="529"/>
      <c r="AA774" s="530"/>
      <c r="AB774" s="531"/>
    </row>
    <row r="775" spans="1:28" ht="33" customHeight="1" x14ac:dyDescent="0.2">
      <c r="A775" s="523"/>
      <c r="B775" s="523"/>
      <c r="C775" s="523"/>
      <c r="D775" s="487">
        <v>15</v>
      </c>
      <c r="E775" s="532"/>
      <c r="F775" s="533"/>
      <c r="G775" s="523"/>
      <c r="H775" s="523"/>
      <c r="I775" s="523"/>
      <c r="J775" s="523"/>
      <c r="K775" s="523"/>
      <c r="L775" s="526"/>
      <c r="M775" s="526"/>
      <c r="N775" s="523"/>
      <c r="O775" s="523"/>
      <c r="P775" s="523"/>
      <c r="Q775" s="523"/>
      <c r="R775" s="523"/>
      <c r="S775" s="523"/>
      <c r="T775" s="523"/>
      <c r="U775" s="523"/>
      <c r="V775" s="523"/>
      <c r="W775" s="523"/>
      <c r="X775" s="523"/>
      <c r="Y775" s="523"/>
      <c r="Z775" s="529"/>
      <c r="AA775" s="530"/>
      <c r="AB775" s="531"/>
    </row>
    <row r="776" spans="1:28" ht="33" customHeight="1" x14ac:dyDescent="0.2">
      <c r="A776" s="523"/>
      <c r="B776" s="523"/>
      <c r="C776" s="523"/>
      <c r="D776" s="487">
        <v>16</v>
      </c>
      <c r="E776" s="532"/>
      <c r="F776" s="533"/>
      <c r="G776" s="523"/>
      <c r="H776" s="523"/>
      <c r="I776" s="523"/>
      <c r="J776" s="523"/>
      <c r="K776" s="523"/>
      <c r="L776" s="526"/>
      <c r="M776" s="526"/>
      <c r="N776" s="523"/>
      <c r="O776" s="523"/>
      <c r="P776" s="523"/>
      <c r="Q776" s="523"/>
      <c r="R776" s="523"/>
      <c r="S776" s="523"/>
      <c r="T776" s="523"/>
      <c r="U776" s="523"/>
      <c r="V776" s="523"/>
      <c r="W776" s="523"/>
      <c r="X776" s="523"/>
      <c r="Y776" s="523"/>
      <c r="Z776" s="529"/>
      <c r="AA776" s="530"/>
      <c r="AB776" s="531"/>
    </row>
    <row r="777" spans="1:28" ht="33" customHeight="1" x14ac:dyDescent="0.2">
      <c r="A777" s="523"/>
      <c r="B777" s="523"/>
      <c r="C777" s="523"/>
      <c r="D777" s="487">
        <v>17</v>
      </c>
      <c r="E777" s="532"/>
      <c r="F777" s="533"/>
      <c r="G777" s="523"/>
      <c r="H777" s="523"/>
      <c r="I777" s="523"/>
      <c r="J777" s="523"/>
      <c r="K777" s="523"/>
      <c r="L777" s="526"/>
      <c r="M777" s="526"/>
      <c r="N777" s="523"/>
      <c r="O777" s="523"/>
      <c r="P777" s="523"/>
      <c r="Q777" s="523"/>
      <c r="R777" s="523"/>
      <c r="S777" s="523"/>
      <c r="T777" s="523"/>
      <c r="U777" s="523"/>
      <c r="V777" s="523"/>
      <c r="W777" s="523"/>
      <c r="X777" s="523"/>
      <c r="Y777" s="523"/>
      <c r="Z777" s="529"/>
      <c r="AA777" s="530"/>
      <c r="AB777" s="531"/>
    </row>
    <row r="778" spans="1:28" ht="33" customHeight="1" x14ac:dyDescent="0.2">
      <c r="A778" s="523"/>
      <c r="B778" s="523"/>
      <c r="C778" s="523"/>
      <c r="D778" s="487">
        <v>18</v>
      </c>
      <c r="E778" s="532"/>
      <c r="F778" s="533"/>
      <c r="G778" s="523"/>
      <c r="H778" s="523"/>
      <c r="I778" s="523"/>
      <c r="J778" s="523"/>
      <c r="K778" s="523"/>
      <c r="L778" s="526"/>
      <c r="M778" s="526"/>
      <c r="N778" s="523"/>
      <c r="O778" s="523"/>
      <c r="P778" s="523"/>
      <c r="Q778" s="523"/>
      <c r="R778" s="523"/>
      <c r="S778" s="523"/>
      <c r="T778" s="523"/>
      <c r="U778" s="523"/>
      <c r="V778" s="523"/>
      <c r="W778" s="523"/>
      <c r="X778" s="523"/>
      <c r="Y778" s="523"/>
      <c r="Z778" s="529"/>
      <c r="AA778" s="530"/>
      <c r="AB778" s="531"/>
    </row>
    <row r="779" spans="1:28" ht="33" customHeight="1" x14ac:dyDescent="0.2">
      <c r="A779" s="523"/>
      <c r="B779" s="523"/>
      <c r="C779" s="523"/>
      <c r="D779" s="487">
        <v>19</v>
      </c>
      <c r="E779" s="532"/>
      <c r="F779" s="533"/>
      <c r="G779" s="523"/>
      <c r="H779" s="523"/>
      <c r="I779" s="523"/>
      <c r="J779" s="523"/>
      <c r="K779" s="523"/>
      <c r="L779" s="526"/>
      <c r="M779" s="526"/>
      <c r="N779" s="523"/>
      <c r="O779" s="523"/>
      <c r="P779" s="523"/>
      <c r="Q779" s="523"/>
      <c r="R779" s="523"/>
      <c r="S779" s="523"/>
      <c r="T779" s="523"/>
      <c r="U779" s="523"/>
      <c r="V779" s="523"/>
      <c r="W779" s="523"/>
      <c r="X779" s="523"/>
      <c r="Y779" s="523"/>
      <c r="Z779" s="529"/>
      <c r="AA779" s="530"/>
      <c r="AB779" s="531"/>
    </row>
    <row r="780" spans="1:28" ht="33" customHeight="1" x14ac:dyDescent="0.2">
      <c r="A780" s="523"/>
      <c r="B780" s="524"/>
      <c r="C780" s="524"/>
      <c r="D780" s="487">
        <v>20</v>
      </c>
      <c r="E780" s="532"/>
      <c r="F780" s="533"/>
      <c r="G780" s="523"/>
      <c r="H780" s="523"/>
      <c r="I780" s="523"/>
      <c r="J780" s="523"/>
      <c r="K780" s="523"/>
      <c r="L780" s="526"/>
      <c r="M780" s="526"/>
      <c r="N780" s="523"/>
      <c r="O780" s="523"/>
      <c r="P780" s="523"/>
      <c r="Q780" s="523"/>
      <c r="R780" s="523"/>
      <c r="S780" s="523"/>
      <c r="T780" s="523"/>
      <c r="U780" s="523"/>
      <c r="V780" s="523"/>
      <c r="W780" s="523"/>
      <c r="X780" s="523"/>
      <c r="Y780" s="523"/>
      <c r="Z780" s="529"/>
      <c r="AA780" s="530"/>
      <c r="AB780" s="531"/>
    </row>
    <row r="781" spans="1:28" ht="33" customHeight="1" x14ac:dyDescent="0.2">
      <c r="A781" s="488"/>
      <c r="B781" s="489" t="str">
        <f>IF(COUNTA(B761:B780,B755)=0,"",IF(COUNTIF($A$761:$A$780,1)=0,0,SUMIF($A$761:$A$780,"1",$B$761:$B$780)/COUNTIF($A$761:$A$780,1))+IF(COUNTIF($A$761:$A$780,2)=0,0,SUMIF($A$761:$A$780,"2",$B$761:$B$780)/COUNTIF($A$761:$A$780,2))+IF(COUNTIF($A$761:$A$780,3)=0,0,SUMIF($A$761:$A$780,"3",$B$761:$B$780)/COUNTIF($A$761:$A$780,3))+IF(COUNTIF($A$761:$A$780,4)=0,0,SUMIF($A$761:$A$780,"4",$B$761:$B$780)/COUNTIF($A$761:$A$780,4))+IF(COUNTIF($A$761:$A$780,5)=0,0,SUMIF($A$761:$A$780,"5",$B$761:$B$780)/COUNTIF($A$761:$A$780,5))+IF(COUNTIF($A$761:$A$780,6)=0,0,SUMIF($A$761:$A$780,"6",$B$761:$B$780)/COUNTIF($A$761:$A$780,6))+IF(COUNTIF($A$761:$A$780,7)=0,0,SUMIF($A$761:$A$780,"7",$B$761:$B$780)/COUNTIF($A$761:$A$780,7))+IF(COUNTIF($A$761:$A$780,8)=0,0,SUMIF($A$761:$A$780,"8",$B$761:$B$780)/COUNTIF($A$761:$A$780,8))+IF(COUNTIF($A$761:$A$780,9)=0,0,SUMIF($A$761:$A$780,"9",$B$761:$B$780)/COUNTIF($A$761:$A$780,9))+IF(COUNTIF($A$761:$A$780,10)=0,0,SUMIF($A$761:$A$780,"10",$B$761:$B$780)/COUNTIF($A$761:$A$780,10))+IF(COUNTIF($A$761:$A$780,11)=0,0,SUMIF($A$761:$A$780,"11",$B$761:$B$780)/COUNTIF($A$761:$A$780,11))+IF(COUNTIF($A$761:$A$780,12)=0,0,SUMIF($A$761:$A$780,"12",$B$761:$B$780)/COUNTIF($A$761:$A$780,12))+IF(COUNTIF($A$761:$A$780,13)=0,0,SUMIF($A$761:$A$780,"13",$B$761:$B$780)/COUNTIF($A$761:$A$780,13))+IF(COUNTIF($A$761:$A$780,14)=0,0,SUMIF($A$761:$A$780,"14",$B$761:$B$780)/COUNTIF($A$761:$A$780,14))+IF(COUNTIF($A$761:$A$780,15)=0,0,SUMIF($A$761:$A$780,"15",$B$761:$B$780)/COUNTIF($A$761:$A$780,15))+$B$755)</f>
        <v/>
      </c>
      <c r="C781" s="490" t="s">
        <v>5</v>
      </c>
      <c r="D781" s="491" t="s">
        <v>214</v>
      </c>
      <c r="E781" s="488"/>
      <c r="F781" s="488"/>
      <c r="G781" s="488"/>
      <c r="H781" s="488"/>
      <c r="I781" s="488"/>
      <c r="J781" s="488"/>
      <c r="K781" s="488"/>
      <c r="L781" s="492"/>
      <c r="M781" s="492"/>
      <c r="N781" s="488"/>
      <c r="O781" s="488"/>
      <c r="P781" s="488"/>
      <c r="Q781" s="488"/>
      <c r="R781" s="488"/>
      <c r="S781" s="488"/>
      <c r="T781" s="488"/>
      <c r="U781" s="488"/>
      <c r="V781" s="488"/>
      <c r="W781" s="488"/>
      <c r="X781" s="488"/>
      <c r="Y781" s="488"/>
      <c r="Z781" s="492"/>
      <c r="AA781" s="492"/>
      <c r="AB781" s="492"/>
    </row>
    <row r="782" spans="1:28" ht="17.25" customHeight="1" x14ac:dyDescent="0.2">
      <c r="A782" s="534" t="s">
        <v>484</v>
      </c>
      <c r="B782" s="535"/>
      <c r="C782" s="535"/>
      <c r="D782" s="534"/>
      <c r="E782" s="534"/>
      <c r="F782" s="534"/>
      <c r="G782" s="534"/>
      <c r="H782" s="534"/>
      <c r="I782" s="534"/>
      <c r="J782" s="534"/>
      <c r="K782" s="534"/>
      <c r="L782" s="534"/>
      <c r="M782" s="534"/>
      <c r="N782" s="534"/>
      <c r="O782" s="534"/>
      <c r="P782" s="534"/>
      <c r="Q782" s="534"/>
      <c r="R782" s="534"/>
      <c r="S782" s="534"/>
      <c r="T782" s="534"/>
      <c r="U782" s="534"/>
      <c r="V782" s="534"/>
      <c r="W782" s="534"/>
      <c r="X782" s="534"/>
      <c r="Y782" s="534"/>
      <c r="Z782" s="534"/>
      <c r="AA782" s="534"/>
      <c r="AB782" s="534"/>
    </row>
    <row r="783" spans="1:28" ht="17.25" customHeight="1" thickBot="1" x14ac:dyDescent="0.25">
      <c r="A783" s="535"/>
      <c r="B783" s="535"/>
      <c r="C783" s="535"/>
      <c r="D783" s="535"/>
      <c r="E783" s="535"/>
      <c r="F783" s="535"/>
      <c r="G783" s="535"/>
      <c r="H783" s="535"/>
      <c r="I783" s="535"/>
      <c r="J783" s="535"/>
      <c r="K783" s="535"/>
      <c r="L783" s="535"/>
      <c r="M783" s="535"/>
      <c r="N783" s="535"/>
      <c r="O783" s="535"/>
      <c r="P783" s="535"/>
      <c r="Q783" s="535"/>
      <c r="R783" s="535"/>
      <c r="S783" s="535"/>
      <c r="T783" s="535"/>
      <c r="U783" s="535"/>
      <c r="V783" s="535"/>
      <c r="W783" s="535"/>
      <c r="X783" s="535"/>
      <c r="Y783" s="535"/>
      <c r="Z783" s="535"/>
      <c r="AA783" s="535"/>
      <c r="AB783" s="535"/>
    </row>
    <row r="784" spans="1:28" ht="17.25" customHeight="1" thickBot="1" x14ac:dyDescent="0.25">
      <c r="A784" s="493"/>
      <c r="B784" s="493"/>
      <c r="C784" s="494"/>
      <c r="D784" s="521"/>
      <c r="E784" s="521"/>
      <c r="F784" s="521"/>
      <c r="G784" s="521"/>
      <c r="H784" s="521"/>
      <c r="I784" s="493"/>
      <c r="J784" s="493"/>
      <c r="K784" s="493"/>
      <c r="L784" s="493"/>
      <c r="M784" s="494"/>
      <c r="N784" s="493"/>
      <c r="O784" s="493"/>
      <c r="P784" s="493"/>
      <c r="Q784" s="493"/>
      <c r="R784" s="493"/>
      <c r="S784" s="493"/>
      <c r="T784" s="495"/>
      <c r="U784" s="396"/>
      <c r="V784" s="496" t="str">
        <f>IF(OR(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COUNTA(N779)-COUNTA(O779)&lt;0,COUNTA(O779)-COUNTA(P779)&lt;0,COUNTA(P779)-COUNTA(Q779)&lt;0,COUNTA(Q779)-COUNTA(R779)&lt;0,COUNTA(R779)-COUNTA(S779)&lt;0,COUNTA(S779)-COUNTA(T779)&lt;0,COUNTA(T779)-COUNTA(U779)&lt;0,COUNTA(U779)-COUNTA(V779)&lt;0,COUNTA(V779)-COUNTA(W779)&lt;0,COUNTA(W779)-COUNTA(X779)&lt;0,COUNTA(X779)-COUNTA(Y779)&lt;0,COUNTA(N780)-COUNTA(O780)&lt;0,COUNTA(O780)-COUNTA(P780)&lt;0,COUNTA(P780)-COUNTA(Q780)&lt;0,COUNTA(Q780)-COUNTA(R780)&lt;0,COUNTA(R780)-COUNTA(S780)&lt;0,COUNTA(S780)-COUNTA(T780)&lt;0,COUNTA(T780)-COUNTA(U780)&lt;0,COUNTA(U780)-COUNTA(V780)&lt;0,COUNTA(V780)-COUNTA(W780)&lt;0,COUNTA(W780)-COUNTA(X780)&lt;0,COUNTA(X780)-COUNTA(Y780)&lt;0),"Il ne peut pas y avoir de blancs entre deux valeurs renseignées dans les informations sur la texture et les horizons histiques dans un sondage.","")</f>
        <v/>
      </c>
      <c r="W784" s="497" t="str">
        <f>CONCATENATE(IF(AND($B$781&lt;&gt;"",$B$781&lt;&gt;100),"La somme des proportions des sous-ensembles homogènes dans le site n'est pas égale à 100%. ",""),IF(COUNTA($A$761:$A$780)&lt;&gt;COUNTA($M$761:$M$780),"L'horizon Ab doit être renseigné dans tous les sondages (valeur de 0 cm si absent). ",""),IF(COUNTA($A$761:$A$780)&lt;&gt;COUNTA($L$761:$L$780),"L'épisolum humifère doit être renseigné dans tous les sondages (valeur de 0 cm si absent). ",""),IF(MAX($L$761:$L$780)&gt;120,"La valeur maximale entrée pour l'épisolum humifère ne peut excéder 120 cm. ",""),IF(MAX($M$761:$M$780)&gt;120,"La valeur maximale entrée pour l'horizon Ab ne peut excéder 120 cm. ",""),IF(COUNTA($B$755,$B$761:$B$780)=0,"",IF(AND($J$456="X",MIN($B$761:$B$780,$B$755)*$T$107*100&lt;15625),"La part d'un sous-ensemble homogène est inférieure à la surface minimale cartographiable choisie (15 625 m²).",IF(AND($T$456="X",MIN($B$761:$B$780,$B$755)*$T$107*100&lt;2500),"La part d'un sous-ensemble homogène est inférieure à la surface minimale cartographiable choisie (2500 m²).",IF(AND($J$457="X",MIN($B$761:$B$780,$B$755)*$T$107*100&lt;625),"La part d'un sous-ensemble homogène est inférieure à la surface minimale cartographiable choisie (625 m²).",IF(AND($T$457="X",MIN($B$761:$B$780,$B$755)*$T$107*100&lt;156),"La part d'un sous-ensemble homogène est inférieure à la surface minimale cartographiable choisie (156 m²).",""))))),IF(OR(AND(MIN($G$761:$G$780)&gt;0,MIN($G$761:$G$780)&lt;4),MAX($G$761:$G$780)&gt;9),"Les valeurs de pH &gt; 9 ou &lt; 4 sont improbables. ",""),IF(OR(SUMIFS($L$761:$L$780,$H$761:$H$780,"x")&gt;0,SUMIFS($L$761:$L$780,$N$761:$N$780,{"TF";"TM";"TS"})&gt;0),"Il ne peut pas y avoir à la fois un épisolum humifère et un horizon histique ou de la tourbe en surface. ",""),IF(MAX($A$761:$A$780)&lt;16,"","Le n° des sous-ensembles homogènes doit être compris entre 0 et 15. "),IF(COUNTIF(N761:Y780,"A")+COUNTIF(N761:Y780,"AL")+COUNTIF(N761:Y780,"LA")+COUNTIF(N761:Y780,"L")+COUNTIF(N761:Y780,"LS")+COUNTIF(N761:Y780,"SL")+COUNTIF(N761:Y780,"S")+COUNTIF(N761:Y780,"TS")+COUNTIF(N761:Y780,"TM")+COUNTIF(N761:Y780,"TF")+COUNTIF(N761:Y780,"C")&lt;COUNTA(N761:Y780),"Erreur de saisie d'au moins une valeur renseignée dans les informations sur la texture et les horizons histiques.",""))</f>
        <v/>
      </c>
      <c r="X784" s="493"/>
      <c r="Y784" s="493"/>
      <c r="Z784" s="493"/>
      <c r="AA784" s="493"/>
      <c r="AB784" s="493"/>
    </row>
    <row r="785" spans="1:28" ht="17.25" customHeight="1" x14ac:dyDescent="0.2">
      <c r="A785" s="493"/>
      <c r="B785" s="493"/>
      <c r="C785" s="521"/>
      <c r="D785" s="494"/>
      <c r="E785" s="521"/>
      <c r="F785" s="521"/>
      <c r="G785" s="521"/>
      <c r="H785" s="521"/>
      <c r="I785" s="521"/>
      <c r="J785" s="493"/>
      <c r="K785" s="493"/>
      <c r="L785" s="493"/>
      <c r="M785" s="493"/>
      <c r="N785" s="493"/>
      <c r="O785" s="493"/>
      <c r="P785" s="493"/>
      <c r="Q785" s="493"/>
      <c r="R785" s="493"/>
      <c r="S785" s="493"/>
      <c r="T785" s="347"/>
      <c r="U785" s="347"/>
      <c r="V785" s="347"/>
      <c r="W785" s="398"/>
      <c r="X785" s="493"/>
      <c r="Y785" s="493"/>
      <c r="Z785" s="493"/>
      <c r="AA785" s="493"/>
      <c r="AB785" s="493"/>
    </row>
    <row r="786" spans="1:28" ht="18" customHeight="1" x14ac:dyDescent="0.2">
      <c r="A786" s="337"/>
      <c r="B786" s="337"/>
      <c r="C786" s="498" t="s">
        <v>272</v>
      </c>
      <c r="D786" s="337"/>
      <c r="E786" s="337"/>
      <c r="F786" s="337"/>
      <c r="G786" s="337"/>
      <c r="H786" s="337"/>
      <c r="I786" s="337"/>
      <c r="J786" s="337"/>
      <c r="K786" s="337"/>
      <c r="L786" s="337"/>
      <c r="M786" s="337"/>
      <c r="N786" s="337"/>
      <c r="O786" s="337"/>
      <c r="P786" s="337"/>
      <c r="Q786" s="337"/>
      <c r="R786" s="337"/>
      <c r="S786" s="337"/>
      <c r="T786" s="425"/>
      <c r="U786" s="425"/>
      <c r="V786" s="425"/>
      <c r="W786" s="425"/>
      <c r="X786" s="425"/>
      <c r="Y786" s="425"/>
      <c r="Z786" s="425"/>
      <c r="AA786" s="425"/>
    </row>
    <row r="787" spans="1:28" ht="18" customHeight="1" x14ac:dyDescent="0.2">
      <c r="A787" s="337"/>
      <c r="B787" s="337"/>
      <c r="C787" s="536"/>
      <c r="D787" s="537"/>
      <c r="E787" s="537"/>
      <c r="F787" s="537"/>
      <c r="G787" s="537"/>
      <c r="H787" s="537"/>
      <c r="I787" s="537"/>
      <c r="J787" s="537"/>
      <c r="K787" s="537"/>
      <c r="L787" s="537"/>
      <c r="M787" s="537"/>
      <c r="N787" s="537"/>
      <c r="O787" s="537"/>
      <c r="P787" s="537"/>
      <c r="Q787" s="537"/>
      <c r="R787" s="537"/>
      <c r="S787" s="537"/>
      <c r="T787" s="537"/>
      <c r="U787" s="537"/>
      <c r="V787" s="537"/>
      <c r="W787" s="538"/>
      <c r="X787" s="425"/>
      <c r="Y787" s="425"/>
      <c r="Z787" s="425"/>
      <c r="AA787" s="425"/>
    </row>
    <row r="788" spans="1:28" ht="17.25" customHeight="1" x14ac:dyDescent="0.2">
      <c r="A788" s="337"/>
      <c r="B788" s="337"/>
      <c r="C788" s="345"/>
      <c r="D788" s="337"/>
      <c r="E788" s="337"/>
      <c r="F788" s="337"/>
      <c r="G788" s="337"/>
      <c r="H788" s="337"/>
      <c r="I788" s="337"/>
      <c r="J788" s="337"/>
      <c r="K788" s="337"/>
      <c r="L788" s="337"/>
      <c r="M788" s="337"/>
      <c r="N788" s="337"/>
      <c r="O788" s="337"/>
    </row>
    <row r="789" spans="1:28" ht="17.25" customHeight="1" x14ac:dyDescent="0.2">
      <c r="A789" s="337"/>
      <c r="B789" s="337"/>
      <c r="C789" s="345"/>
      <c r="D789" s="337"/>
      <c r="E789" s="337"/>
      <c r="F789" s="337"/>
      <c r="G789" s="337"/>
      <c r="H789" s="337"/>
      <c r="I789" s="337"/>
      <c r="J789" s="337"/>
      <c r="K789" s="337"/>
      <c r="L789" s="337"/>
      <c r="M789" s="337"/>
      <c r="N789" s="337"/>
      <c r="O789" s="337"/>
    </row>
    <row r="790" spans="1:28" ht="33.75" customHeight="1" x14ac:dyDescent="0.2">
      <c r="A790" s="337"/>
      <c r="B790" s="337"/>
      <c r="C790" s="341" t="s">
        <v>390</v>
      </c>
      <c r="D790" s="695" t="s">
        <v>412</v>
      </c>
      <c r="E790" s="696"/>
      <c r="F790" s="696"/>
      <c r="G790" s="696"/>
      <c r="H790" s="696"/>
      <c r="I790" s="696"/>
      <c r="J790" s="696"/>
      <c r="K790" s="696"/>
      <c r="L790" s="696"/>
      <c r="M790" s="696"/>
      <c r="N790" s="696"/>
      <c r="O790" s="696"/>
      <c r="P790" s="696"/>
      <c r="Q790" s="696"/>
      <c r="R790" s="696"/>
      <c r="S790" s="696"/>
      <c r="T790" s="696"/>
      <c r="U790" s="696"/>
      <c r="V790" s="696"/>
      <c r="W790" s="696"/>
      <c r="X790" s="696"/>
      <c r="Y790" s="697"/>
    </row>
    <row r="791" spans="1:28" ht="16.5" customHeight="1" x14ac:dyDescent="0.2">
      <c r="A791" s="337"/>
      <c r="B791" s="337"/>
      <c r="C791" s="337"/>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row>
    <row r="792" spans="1:28" ht="18" customHeight="1" x14ac:dyDescent="0.2">
      <c r="A792" s="337"/>
      <c r="B792" s="337"/>
      <c r="C792" s="727" t="s">
        <v>121</v>
      </c>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row>
    <row r="793" spans="1:28" ht="18" customHeight="1" thickBot="1" x14ac:dyDescent="0.25">
      <c r="A793" s="337"/>
      <c r="B793" s="33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row>
    <row r="794" spans="1:28" ht="18" customHeight="1" thickBot="1" x14ac:dyDescent="0.25">
      <c r="A794" s="337"/>
      <c r="B794" s="337"/>
      <c r="C794" s="345"/>
      <c r="D794" s="337"/>
      <c r="E794" s="337"/>
      <c r="F794" s="337"/>
      <c r="G794" s="337"/>
      <c r="H794" s="337"/>
      <c r="I794" s="337"/>
      <c r="J794" s="337"/>
      <c r="K794" s="337"/>
      <c r="L794" s="337"/>
      <c r="M794" s="337"/>
      <c r="N794" s="337"/>
      <c r="O794" s="337"/>
      <c r="P794" s="337"/>
      <c r="Q794" s="337"/>
      <c r="R794" s="337"/>
      <c r="S794" s="337"/>
      <c r="T794" s="395"/>
      <c r="U794" s="396"/>
      <c r="V794" s="396"/>
      <c r="W794" s="397" t="str">
        <f>IF(AND(COUNTIF($H$761:$H$780,"X")=0,OR($J$797="X",$T$797="X")),"Il n'y a pas de traits d'hydromorphie histiques dans le site, la présence de fosses d'extraction de tourbe est donc peu probable.","")</f>
        <v/>
      </c>
      <c r="X794" s="425"/>
      <c r="Y794" s="425"/>
      <c r="Z794" s="425"/>
      <c r="AA794" s="425"/>
    </row>
    <row r="795" spans="1:28" ht="18" customHeight="1" x14ac:dyDescent="0.2">
      <c r="A795" s="337"/>
      <c r="B795" s="337"/>
      <c r="C795" s="583" t="s">
        <v>341</v>
      </c>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row>
    <row r="796" spans="1:28" ht="18" customHeight="1" x14ac:dyDescent="0.2">
      <c r="A796" s="337"/>
      <c r="B796" s="337"/>
      <c r="C796" s="592"/>
      <c r="D796" s="592"/>
      <c r="E796" s="592"/>
      <c r="F796" s="592"/>
      <c r="G796" s="592"/>
      <c r="H796" s="592"/>
      <c r="I796" s="592"/>
      <c r="J796" s="592"/>
      <c r="K796" s="592"/>
      <c r="L796" s="592"/>
      <c r="M796" s="592"/>
      <c r="N796" s="592"/>
      <c r="O796" s="592"/>
      <c r="P796" s="592"/>
      <c r="Q796" s="592"/>
      <c r="R796" s="592"/>
      <c r="S796" s="592"/>
      <c r="T796" s="592"/>
      <c r="U796" s="592"/>
      <c r="V796" s="592"/>
      <c r="W796" s="592"/>
      <c r="X796" s="592"/>
      <c r="Y796" s="592"/>
    </row>
    <row r="797" spans="1:28" ht="18" customHeight="1" x14ac:dyDescent="0.2">
      <c r="A797" s="337"/>
      <c r="B797" s="337"/>
      <c r="C797" s="354" t="s">
        <v>234</v>
      </c>
      <c r="D797" s="354"/>
      <c r="E797" s="337"/>
      <c r="H797" s="368"/>
      <c r="I797" s="353" t="s">
        <v>28</v>
      </c>
      <c r="J797" s="588"/>
      <c r="K797" s="588"/>
      <c r="P797" s="339"/>
      <c r="Q797" s="368"/>
      <c r="R797" s="368"/>
      <c r="S797" s="369" t="s">
        <v>29</v>
      </c>
      <c r="T797" s="588"/>
      <c r="U797" s="588"/>
      <c r="V797" s="588"/>
      <c r="W797" s="588"/>
    </row>
    <row r="798" spans="1:28" ht="18" customHeight="1" x14ac:dyDescent="0.2">
      <c r="A798" s="337"/>
      <c r="B798" s="337"/>
      <c r="C798" s="374"/>
      <c r="D798" s="374"/>
      <c r="E798" s="374"/>
      <c r="F798" s="374"/>
      <c r="G798" s="374"/>
      <c r="H798" s="374"/>
      <c r="I798" s="374"/>
      <c r="J798" s="374"/>
      <c r="K798" s="374"/>
      <c r="L798" s="374"/>
      <c r="M798" s="374"/>
      <c r="N798" s="374"/>
      <c r="O798" s="374"/>
      <c r="P798" s="374"/>
      <c r="Q798" s="374"/>
      <c r="R798" s="374"/>
      <c r="S798" s="374"/>
      <c r="T798" s="374"/>
      <c r="U798" s="374"/>
      <c r="V798" s="374"/>
      <c r="W798" s="374"/>
      <c r="X798" s="374"/>
      <c r="Y798" s="374"/>
    </row>
    <row r="799" spans="1:28" ht="18" customHeight="1" x14ac:dyDescent="0.2">
      <c r="A799" s="337"/>
      <c r="B799" s="337"/>
      <c r="C799" s="374"/>
      <c r="D799" s="374"/>
      <c r="E799" s="374"/>
      <c r="F799" s="374"/>
      <c r="G799" s="374"/>
      <c r="H799" s="374"/>
      <c r="I799" s="374"/>
      <c r="J799" s="374"/>
      <c r="K799" s="374"/>
      <c r="L799" s="374"/>
      <c r="M799" s="374"/>
      <c r="N799" s="374"/>
      <c r="O799" s="374"/>
      <c r="P799" s="374"/>
      <c r="Q799" s="374"/>
      <c r="R799" s="374"/>
      <c r="S799" s="374"/>
      <c r="T799" s="374"/>
      <c r="U799" s="374"/>
      <c r="V799" s="374"/>
      <c r="W799" s="374"/>
      <c r="X799" s="374"/>
      <c r="Y799" s="374"/>
    </row>
    <row r="800" spans="1:28" ht="35.25" customHeight="1" x14ac:dyDescent="0.2">
      <c r="A800" s="337"/>
      <c r="B800" s="337"/>
      <c r="C800" s="341">
        <v>3</v>
      </c>
      <c r="D800" s="695" t="s">
        <v>384</v>
      </c>
      <c r="E800" s="696"/>
      <c r="F800" s="696"/>
      <c r="G800" s="696"/>
      <c r="H800" s="696"/>
      <c r="I800" s="696"/>
      <c r="J800" s="696"/>
      <c r="K800" s="696"/>
      <c r="L800" s="696"/>
      <c r="M800" s="696"/>
      <c r="N800" s="696"/>
      <c r="O800" s="696"/>
      <c r="P800" s="696"/>
      <c r="Q800" s="696"/>
      <c r="R800" s="696"/>
      <c r="S800" s="696"/>
      <c r="T800" s="696"/>
      <c r="U800" s="696"/>
      <c r="V800" s="696"/>
      <c r="W800" s="696"/>
      <c r="X800" s="696"/>
      <c r="Y800" s="697"/>
    </row>
    <row r="801" spans="1:25" ht="18" customHeight="1" x14ac:dyDescent="0.2">
      <c r="A801" s="337"/>
      <c r="B801" s="337"/>
      <c r="C801" s="374"/>
      <c r="D801" s="374"/>
      <c r="E801" s="374"/>
      <c r="F801" s="374"/>
      <c r="G801" s="374"/>
      <c r="H801" s="374"/>
      <c r="I801" s="374"/>
      <c r="J801" s="374"/>
      <c r="K801" s="374"/>
      <c r="L801" s="374"/>
      <c r="M801" s="374"/>
      <c r="N801" s="374"/>
      <c r="O801" s="374"/>
      <c r="P801" s="374"/>
      <c r="Q801" s="374"/>
      <c r="R801" s="374"/>
      <c r="S801" s="374"/>
      <c r="T801" s="374"/>
      <c r="U801" s="374"/>
      <c r="V801" s="374"/>
      <c r="W801" s="374"/>
      <c r="X801" s="374"/>
      <c r="Y801" s="374"/>
    </row>
    <row r="802" spans="1:25" ht="18" customHeight="1" x14ac:dyDescent="0.2">
      <c r="A802" s="337"/>
      <c r="B802" s="337"/>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4"/>
    </row>
    <row r="803" spans="1:25" ht="33.75" customHeight="1" x14ac:dyDescent="0.2">
      <c r="A803" s="337"/>
      <c r="B803" s="337"/>
      <c r="C803" s="341" t="s">
        <v>389</v>
      </c>
      <c r="D803" s="695" t="s">
        <v>413</v>
      </c>
      <c r="E803" s="696"/>
      <c r="F803" s="696"/>
      <c r="G803" s="696"/>
      <c r="H803" s="696"/>
      <c r="I803" s="696"/>
      <c r="J803" s="696"/>
      <c r="K803" s="696"/>
      <c r="L803" s="696"/>
      <c r="M803" s="696"/>
      <c r="N803" s="696"/>
      <c r="O803" s="696"/>
      <c r="P803" s="696"/>
      <c r="Q803" s="696"/>
      <c r="R803" s="696"/>
      <c r="S803" s="696"/>
      <c r="T803" s="696"/>
      <c r="U803" s="696"/>
      <c r="V803" s="696"/>
      <c r="W803" s="696"/>
      <c r="X803" s="696"/>
      <c r="Y803" s="697"/>
    </row>
    <row r="804" spans="1:25" ht="18" customHeight="1" x14ac:dyDescent="0.2">
      <c r="A804" s="337"/>
      <c r="B804" s="337"/>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row>
    <row r="805" spans="1:25" ht="18" customHeight="1" x14ac:dyDescent="0.2">
      <c r="C805" s="581" t="s">
        <v>342</v>
      </c>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row>
    <row r="806" spans="1:25" ht="18" customHeight="1" x14ac:dyDescent="0.2">
      <c r="C806" s="337"/>
      <c r="D806" s="337"/>
      <c r="E806" s="337"/>
      <c r="F806" s="337"/>
      <c r="G806" s="337"/>
      <c r="H806" s="337"/>
      <c r="I806" s="337"/>
      <c r="J806" s="337"/>
      <c r="K806" s="394"/>
      <c r="L806" s="337"/>
      <c r="M806" s="337"/>
      <c r="N806" s="337"/>
      <c r="O806" s="337"/>
      <c r="S806" s="369" t="s">
        <v>343</v>
      </c>
      <c r="T806" s="590"/>
      <c r="U806" s="590"/>
      <c r="V806" s="590"/>
      <c r="W806" s="590"/>
      <c r="X806" s="591" t="s">
        <v>120</v>
      </c>
      <c r="Y806" s="591"/>
    </row>
    <row r="807" spans="1:25" ht="18" customHeight="1" x14ac:dyDescent="0.2">
      <c r="C807" s="337"/>
      <c r="D807" s="337"/>
      <c r="E807" s="337"/>
      <c r="F807" s="337"/>
      <c r="G807" s="337"/>
      <c r="H807" s="337"/>
      <c r="I807" s="411"/>
      <c r="J807" s="411"/>
      <c r="K807" s="394"/>
      <c r="L807" s="337"/>
      <c r="M807" s="337"/>
      <c r="N807" s="337"/>
      <c r="O807" s="337"/>
    </row>
    <row r="808" spans="1:25" ht="18" customHeight="1" x14ac:dyDescent="0.2">
      <c r="C808" s="337"/>
      <c r="D808" s="337"/>
      <c r="E808" s="337"/>
      <c r="F808" s="337"/>
      <c r="G808" s="337"/>
      <c r="H808" s="337"/>
      <c r="I808" s="501"/>
      <c r="J808" s="501"/>
      <c r="K808" s="394"/>
      <c r="L808" s="337"/>
      <c r="M808" s="337"/>
      <c r="N808" s="337"/>
      <c r="O808" s="337"/>
    </row>
    <row r="809" spans="1:25" ht="35.25" customHeight="1" x14ac:dyDescent="0.2">
      <c r="A809" s="337"/>
      <c r="B809" s="337"/>
      <c r="C809" s="341" t="s">
        <v>388</v>
      </c>
      <c r="D809" s="695" t="s">
        <v>414</v>
      </c>
      <c r="E809" s="696"/>
      <c r="F809" s="696"/>
      <c r="G809" s="696"/>
      <c r="H809" s="696"/>
      <c r="I809" s="696"/>
      <c r="J809" s="696"/>
      <c r="K809" s="696"/>
      <c r="L809" s="696"/>
      <c r="M809" s="696"/>
      <c r="N809" s="696"/>
      <c r="O809" s="696"/>
      <c r="P809" s="696"/>
      <c r="Q809" s="696"/>
      <c r="R809" s="696"/>
      <c r="S809" s="696"/>
      <c r="T809" s="696"/>
      <c r="U809" s="696"/>
      <c r="V809" s="696"/>
      <c r="W809" s="696"/>
      <c r="X809" s="696"/>
      <c r="Y809" s="697"/>
    </row>
    <row r="810" spans="1:25" ht="18" customHeight="1" x14ac:dyDescent="0.2">
      <c r="A810" s="337"/>
      <c r="B810" s="337"/>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row>
    <row r="811" spans="1:25" ht="18" customHeight="1" x14ac:dyDescent="0.2">
      <c r="C811" s="581" t="s">
        <v>344</v>
      </c>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row>
    <row r="812" spans="1:25" ht="18" customHeight="1" x14ac:dyDescent="0.2">
      <c r="C812" s="337"/>
      <c r="D812" s="337"/>
      <c r="E812" s="337"/>
      <c r="F812" s="337"/>
      <c r="G812" s="337"/>
      <c r="H812" s="337"/>
      <c r="I812" s="337"/>
      <c r="J812" s="337"/>
      <c r="K812" s="337"/>
      <c r="L812" s="337"/>
      <c r="M812" s="337"/>
      <c r="N812" s="337"/>
      <c r="O812" s="337"/>
      <c r="S812" s="369" t="s">
        <v>273</v>
      </c>
      <c r="T812" s="578"/>
      <c r="U812" s="578"/>
      <c r="V812" s="578"/>
      <c r="W812" s="578"/>
      <c r="X812" s="591" t="s">
        <v>112</v>
      </c>
      <c r="Y812" s="591"/>
    </row>
    <row r="813" spans="1:25" ht="18" customHeight="1" x14ac:dyDescent="0.2">
      <c r="C813" s="337"/>
      <c r="D813" s="337"/>
      <c r="E813" s="337"/>
      <c r="F813" s="337"/>
      <c r="G813" s="337"/>
      <c r="H813" s="337"/>
      <c r="I813" s="337"/>
      <c r="J813" s="337"/>
      <c r="K813" s="337"/>
      <c r="L813" s="337"/>
      <c r="M813" s="337"/>
      <c r="N813" s="337"/>
      <c r="O813" s="337"/>
    </row>
    <row r="814" spans="1:25" ht="18" customHeight="1" x14ac:dyDescent="0.2">
      <c r="C814" s="337"/>
      <c r="D814" s="337"/>
      <c r="E814" s="337"/>
      <c r="F814" s="337"/>
      <c r="G814" s="337"/>
      <c r="H814" s="337"/>
      <c r="I814" s="337"/>
      <c r="J814" s="337"/>
      <c r="K814" s="337"/>
      <c r="L814" s="337"/>
      <c r="M814" s="337"/>
      <c r="N814" s="337"/>
      <c r="O814" s="337"/>
    </row>
    <row r="815" spans="1:25" ht="18" customHeight="1" x14ac:dyDescent="0.2">
      <c r="C815" s="581" t="s">
        <v>345</v>
      </c>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row>
    <row r="816" spans="1:25" ht="18" customHeight="1" thickBot="1" x14ac:dyDescent="0.25">
      <c r="C816" s="337"/>
      <c r="D816" s="337"/>
      <c r="E816" s="337"/>
      <c r="F816" s="337"/>
      <c r="G816" s="337"/>
      <c r="H816" s="337"/>
      <c r="I816" s="337"/>
      <c r="J816" s="337"/>
      <c r="K816" s="337"/>
      <c r="L816" s="337"/>
      <c r="M816" s="337"/>
      <c r="N816" s="337"/>
      <c r="O816" s="337"/>
      <c r="S816" s="369" t="s">
        <v>274</v>
      </c>
      <c r="T816" s="701"/>
      <c r="U816" s="701"/>
      <c r="V816" s="701"/>
      <c r="W816" s="701"/>
      <c r="X816" s="703"/>
      <c r="Y816" s="703"/>
    </row>
    <row r="817" spans="1:25" ht="18" customHeight="1" thickBot="1" x14ac:dyDescent="0.25">
      <c r="C817" s="337"/>
      <c r="D817" s="337"/>
      <c r="E817" s="337"/>
      <c r="F817" s="337"/>
      <c r="G817" s="337"/>
      <c r="H817" s="337"/>
      <c r="I817" s="337"/>
      <c r="J817" s="337"/>
      <c r="K817" s="337"/>
      <c r="L817" s="337"/>
      <c r="M817" s="337"/>
      <c r="N817" s="337"/>
      <c r="O817" s="337"/>
      <c r="T817" s="502"/>
      <c r="U817" s="396"/>
      <c r="V817" s="396"/>
      <c r="W817" s="397" t="str">
        <f>IF(ISBLANK($T$816),"",CONCATENATE(IF($T$816&gt;0,"","Le nombre d'unités d'habitats EUNIS niveau 1 dans le site ne peut pas être égal à 0. "),IF($T$816&lt;SUM(IF(COUNTIF($C$465:$C$479,"A*")&gt;0,1,0),IF(COUNTIF($C$465:$C$479,"B*")&gt;0,1,0),IF(COUNTIF($C$465:$C$479,"C*")&gt;0,1,0),IF(COUNTIF($C$465:$C$479,"D*")&gt;0,1,0),IF(COUNTIF($C$465:$C$479,"E*")&gt;0,1,0),IF(COUNTIF($C$465:$C$479,"F*")&gt;0,1,0),IF(COUNTIF($C$465:$C$479,"G*")&gt;0,1,0),IF(COUNTIF($C$465:$C$479,"H*")&gt;0,1,0),IF(COUNTIF($C$465:$C$479,"I*")&gt;0,1,0),IF(COUNTIF($C$465:$C$479,"J*")&gt;0,1,0)),"La réponse donnée doit être supérieure ou égale au nombre d'habitats EUNIS niveau 1 détectés dans le site (question 39). ",""),IF(AND($T$816&gt;1,SUM(IF(COUNTIF($C$465:$C$479,"A*")&gt;0,1,0),IF(COUNTIF($C$465:$C$479,"B*")&gt;0,1,0),IF(COUNTIF($C$465:$C$479,"C*")&gt;0,1,0),IF(COUNTIF($C$465:$C$479,"D*")&gt;0,1,0),IF(COUNTIF($C$465:$C$479,"E*")&gt;0,1,0),IF(COUNTIF($C$465:$C$479,"F*")&gt;0,1,0),IF(COUNTIF($C$465:$C$479,"G*")&gt;0,1,0),IF(COUNTIF($C$465:$C$479,"H*")&gt;0,1,0),IF(COUNTIF($C$465:$C$479,"I*")&gt;0,1,0),IF(COUNTIF($C$465:$C$479,"J*")&gt;0,1,0))=1),"Il n’y a qu’un habitat EUNIS niveau 1 dans le site (question 39), il ne peut pas y avoir plusieurs unités d’habitats EUNIS niveau 1. ","")))</f>
        <v/>
      </c>
    </row>
    <row r="818" spans="1:25" ht="18" customHeight="1" x14ac:dyDescent="0.2">
      <c r="C818" s="337"/>
      <c r="D818" s="337"/>
      <c r="E818" s="337"/>
      <c r="F818" s="337"/>
      <c r="G818" s="337"/>
      <c r="H818" s="337"/>
      <c r="I818" s="337"/>
      <c r="J818" s="337"/>
      <c r="K818" s="337"/>
      <c r="L818" s="337"/>
      <c r="M818" s="337"/>
      <c r="N818" s="337"/>
      <c r="O818" s="337"/>
      <c r="T818" s="347"/>
      <c r="U818" s="347"/>
      <c r="V818" s="347"/>
      <c r="W818" s="398"/>
    </row>
    <row r="819" spans="1:25" ht="18" customHeight="1" x14ac:dyDescent="0.2">
      <c r="C819" s="583" t="s">
        <v>346</v>
      </c>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row>
    <row r="820" spans="1:25" ht="18" customHeight="1" x14ac:dyDescent="0.2">
      <c r="C820" s="592"/>
      <c r="D820" s="592"/>
      <c r="E820" s="592"/>
      <c r="F820" s="592"/>
      <c r="G820" s="592"/>
      <c r="H820" s="592"/>
      <c r="I820" s="592"/>
      <c r="J820" s="592"/>
      <c r="K820" s="592"/>
      <c r="L820" s="592"/>
      <c r="M820" s="592"/>
      <c r="N820" s="592"/>
      <c r="O820" s="592"/>
      <c r="P820" s="592"/>
      <c r="Q820" s="592"/>
      <c r="R820" s="592"/>
      <c r="S820" s="592"/>
      <c r="T820" s="592"/>
      <c r="U820" s="592"/>
      <c r="V820" s="592"/>
      <c r="W820" s="592"/>
      <c r="X820" s="592"/>
      <c r="Y820" s="592"/>
    </row>
    <row r="821" spans="1:25" ht="18" customHeight="1" x14ac:dyDescent="0.2">
      <c r="C821" s="728" t="s">
        <v>275</v>
      </c>
      <c r="D821" s="728"/>
      <c r="E821" s="728"/>
      <c r="F821" s="728"/>
      <c r="G821" s="728"/>
      <c r="H821" s="728"/>
      <c r="I821" s="728"/>
      <c r="J821" s="728"/>
      <c r="K821" s="728"/>
      <c r="L821" s="728"/>
      <c r="M821" s="728"/>
      <c r="N821" s="728"/>
      <c r="O821" s="728"/>
      <c r="P821" s="728"/>
      <c r="Q821" s="728"/>
      <c r="R821" s="728"/>
      <c r="S821" s="728"/>
      <c r="T821" s="514"/>
      <c r="U821" s="514"/>
      <c r="V821" s="514"/>
      <c r="W821" s="514"/>
      <c r="X821" s="513"/>
      <c r="Y821" s="513"/>
    </row>
    <row r="822" spans="1:25" ht="18" customHeight="1" thickBot="1" x14ac:dyDescent="0.25">
      <c r="C822" s="729"/>
      <c r="D822" s="729"/>
      <c r="E822" s="729"/>
      <c r="F822" s="729"/>
      <c r="G822" s="729"/>
      <c r="H822" s="729"/>
      <c r="I822" s="729"/>
      <c r="J822" s="729"/>
      <c r="K822" s="729"/>
      <c r="L822" s="729"/>
      <c r="M822" s="729"/>
      <c r="N822" s="729"/>
      <c r="O822" s="729"/>
      <c r="P822" s="729"/>
      <c r="Q822" s="729"/>
      <c r="R822" s="729"/>
      <c r="S822" s="729"/>
      <c r="T822" s="578"/>
      <c r="U822" s="578"/>
      <c r="V822" s="578"/>
      <c r="W822" s="578"/>
      <c r="X822" s="591" t="s">
        <v>112</v>
      </c>
      <c r="Y822" s="591"/>
    </row>
    <row r="823" spans="1:25" ht="18" customHeight="1" thickBot="1" x14ac:dyDescent="0.25">
      <c r="A823" s="337"/>
      <c r="B823" s="337"/>
      <c r="C823" s="337"/>
      <c r="D823" s="337"/>
      <c r="E823" s="337"/>
      <c r="F823" s="337"/>
      <c r="G823" s="337"/>
      <c r="H823" s="337"/>
      <c r="I823" s="337"/>
      <c r="J823" s="337"/>
      <c r="K823" s="337"/>
      <c r="L823" s="337"/>
      <c r="M823" s="337"/>
      <c r="N823" s="386"/>
      <c r="O823" s="380"/>
      <c r="T823" s="395"/>
      <c r="U823" s="396"/>
      <c r="V823" s="396"/>
      <c r="W823" s="397" t="str">
        <f>IF(OR($T$822="",$T$816=""),"",IF($T$822/$T$816&gt;1,"La distance maximale entre deux unités d'habitats est de 1 km.",""))</f>
        <v/>
      </c>
    </row>
    <row r="824" spans="1:25" ht="18" customHeight="1" x14ac:dyDescent="0.2">
      <c r="A824" s="337"/>
      <c r="B824" s="337"/>
      <c r="C824" s="337"/>
      <c r="D824" s="337"/>
      <c r="E824" s="337"/>
      <c r="F824" s="337"/>
      <c r="G824" s="337"/>
      <c r="H824" s="337"/>
      <c r="I824" s="337"/>
      <c r="J824" s="337"/>
      <c r="K824" s="337"/>
      <c r="L824" s="337"/>
      <c r="M824" s="337"/>
      <c r="N824" s="386"/>
      <c r="O824" s="380"/>
    </row>
    <row r="825" spans="1:25" ht="33.75" customHeight="1" x14ac:dyDescent="0.2">
      <c r="A825" s="337"/>
      <c r="B825" s="337"/>
      <c r="C825" s="341" t="s">
        <v>387</v>
      </c>
      <c r="D825" s="695" t="s">
        <v>412</v>
      </c>
      <c r="E825" s="696"/>
      <c r="F825" s="696"/>
      <c r="G825" s="696"/>
      <c r="H825" s="696"/>
      <c r="I825" s="696"/>
      <c r="J825" s="696"/>
      <c r="K825" s="696"/>
      <c r="L825" s="696"/>
      <c r="M825" s="696"/>
      <c r="N825" s="696"/>
      <c r="O825" s="696"/>
      <c r="P825" s="696"/>
      <c r="Q825" s="696"/>
      <c r="R825" s="696"/>
      <c r="S825" s="696"/>
      <c r="T825" s="696"/>
      <c r="U825" s="696"/>
      <c r="V825" s="696"/>
      <c r="W825" s="696"/>
      <c r="X825" s="696"/>
      <c r="Y825" s="697"/>
    </row>
    <row r="826" spans="1:25" ht="18" customHeight="1" x14ac:dyDescent="0.2">
      <c r="A826" s="337"/>
      <c r="B826" s="337"/>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row>
    <row r="827" spans="1:25" ht="18" customHeight="1" x14ac:dyDescent="0.2">
      <c r="A827" s="337"/>
      <c r="B827" s="337"/>
      <c r="C827" s="583" t="s">
        <v>347</v>
      </c>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row>
    <row r="828" spans="1:25" ht="18" customHeight="1" x14ac:dyDescent="0.2">
      <c r="A828" s="337"/>
      <c r="B828" s="337"/>
      <c r="C828" s="592"/>
      <c r="D828" s="592"/>
      <c r="E828" s="592"/>
      <c r="F828" s="592"/>
      <c r="G828" s="592"/>
      <c r="H828" s="592"/>
      <c r="I828" s="592"/>
      <c r="J828" s="592"/>
      <c r="K828" s="592"/>
      <c r="L828" s="592"/>
      <c r="M828" s="592"/>
      <c r="N828" s="592"/>
      <c r="O828" s="592"/>
      <c r="P828" s="592"/>
      <c r="Q828" s="592"/>
      <c r="R828" s="592"/>
      <c r="S828" s="592"/>
      <c r="T828" s="592"/>
      <c r="U828" s="592"/>
      <c r="V828" s="592"/>
      <c r="W828" s="592"/>
      <c r="X828" s="592"/>
      <c r="Y828" s="592"/>
    </row>
    <row r="829" spans="1:25" ht="18" customHeight="1" x14ac:dyDescent="0.2">
      <c r="A829" s="337"/>
      <c r="B829" s="337"/>
      <c r="C829" s="718"/>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20"/>
    </row>
    <row r="830" spans="1:25" ht="18" customHeight="1" x14ac:dyDescent="0.2">
      <c r="A830" s="337"/>
      <c r="B830" s="337"/>
      <c r="C830" s="721"/>
      <c r="D830" s="722"/>
      <c r="E830" s="722"/>
      <c r="F830" s="722"/>
      <c r="G830" s="722"/>
      <c r="H830" s="722"/>
      <c r="I830" s="722"/>
      <c r="J830" s="722"/>
      <c r="K830" s="722"/>
      <c r="L830" s="722"/>
      <c r="M830" s="722"/>
      <c r="N830" s="722"/>
      <c r="O830" s="722"/>
      <c r="P830" s="722"/>
      <c r="Q830" s="722"/>
      <c r="R830" s="722"/>
      <c r="S830" s="722"/>
      <c r="T830" s="722"/>
      <c r="U830" s="722"/>
      <c r="V830" s="722"/>
      <c r="W830" s="722"/>
      <c r="X830" s="722"/>
      <c r="Y830" s="723"/>
    </row>
    <row r="831" spans="1:25" ht="18" customHeight="1" x14ac:dyDescent="0.2">
      <c r="A831" s="337"/>
      <c r="B831" s="337"/>
      <c r="C831" s="721"/>
      <c r="D831" s="722"/>
      <c r="E831" s="722"/>
      <c r="F831" s="722"/>
      <c r="G831" s="722"/>
      <c r="H831" s="722"/>
      <c r="I831" s="722"/>
      <c r="J831" s="722"/>
      <c r="K831" s="722"/>
      <c r="L831" s="722"/>
      <c r="M831" s="722"/>
      <c r="N831" s="722"/>
      <c r="O831" s="722"/>
      <c r="P831" s="722"/>
      <c r="Q831" s="722"/>
      <c r="R831" s="722"/>
      <c r="S831" s="722"/>
      <c r="T831" s="722"/>
      <c r="U831" s="722"/>
      <c r="V831" s="722"/>
      <c r="W831" s="722"/>
      <c r="X831" s="722"/>
      <c r="Y831" s="723"/>
    </row>
    <row r="832" spans="1:25" ht="18" customHeight="1" x14ac:dyDescent="0.2">
      <c r="C832" s="721"/>
      <c r="D832" s="722"/>
      <c r="E832" s="722"/>
      <c r="F832" s="722"/>
      <c r="G832" s="722"/>
      <c r="H832" s="722"/>
      <c r="I832" s="722"/>
      <c r="J832" s="722"/>
      <c r="K832" s="722"/>
      <c r="L832" s="722"/>
      <c r="M832" s="722"/>
      <c r="N832" s="722"/>
      <c r="O832" s="722"/>
      <c r="P832" s="722"/>
      <c r="Q832" s="722"/>
      <c r="R832" s="722"/>
      <c r="S832" s="722"/>
      <c r="T832" s="722"/>
      <c r="U832" s="722"/>
      <c r="V832" s="722"/>
      <c r="W832" s="722"/>
      <c r="X832" s="722"/>
      <c r="Y832" s="723"/>
    </row>
    <row r="833" spans="3:25" ht="18" customHeight="1" x14ac:dyDescent="0.2">
      <c r="C833" s="721"/>
      <c r="D833" s="722"/>
      <c r="E833" s="722"/>
      <c r="F833" s="722"/>
      <c r="G833" s="722"/>
      <c r="H833" s="722"/>
      <c r="I833" s="722"/>
      <c r="J833" s="722"/>
      <c r="K833" s="722"/>
      <c r="L833" s="722"/>
      <c r="M833" s="722"/>
      <c r="N833" s="722"/>
      <c r="O833" s="722"/>
      <c r="P833" s="722"/>
      <c r="Q833" s="722"/>
      <c r="R833" s="722"/>
      <c r="S833" s="722"/>
      <c r="T833" s="722"/>
      <c r="U833" s="722"/>
      <c r="V833" s="722"/>
      <c r="W833" s="722"/>
      <c r="X833" s="722"/>
      <c r="Y833" s="723"/>
    </row>
    <row r="834" spans="3:25" ht="18" customHeight="1" x14ac:dyDescent="0.2">
      <c r="C834" s="721"/>
      <c r="D834" s="722"/>
      <c r="E834" s="722"/>
      <c r="F834" s="722"/>
      <c r="G834" s="722"/>
      <c r="H834" s="722"/>
      <c r="I834" s="722"/>
      <c r="J834" s="722"/>
      <c r="K834" s="722"/>
      <c r="L834" s="722"/>
      <c r="M834" s="722"/>
      <c r="N834" s="722"/>
      <c r="O834" s="722"/>
      <c r="P834" s="722"/>
      <c r="Q834" s="722"/>
      <c r="R834" s="722"/>
      <c r="S834" s="722"/>
      <c r="T834" s="722"/>
      <c r="U834" s="722"/>
      <c r="V834" s="722"/>
      <c r="W834" s="722"/>
      <c r="X834" s="722"/>
      <c r="Y834" s="723"/>
    </row>
    <row r="835" spans="3:25" ht="18" customHeight="1" x14ac:dyDescent="0.2">
      <c r="C835" s="721"/>
      <c r="D835" s="722"/>
      <c r="E835" s="722"/>
      <c r="F835" s="722"/>
      <c r="G835" s="722"/>
      <c r="H835" s="722"/>
      <c r="I835" s="722"/>
      <c r="J835" s="722"/>
      <c r="K835" s="722"/>
      <c r="L835" s="722"/>
      <c r="M835" s="722"/>
      <c r="N835" s="722"/>
      <c r="O835" s="722"/>
      <c r="P835" s="722"/>
      <c r="Q835" s="722"/>
      <c r="R835" s="722"/>
      <c r="S835" s="722"/>
      <c r="T835" s="722"/>
      <c r="U835" s="722"/>
      <c r="V835" s="722"/>
      <c r="W835" s="722"/>
      <c r="X835" s="722"/>
      <c r="Y835" s="723"/>
    </row>
    <row r="836" spans="3:25" ht="18" customHeight="1" x14ac:dyDescent="0.2">
      <c r="C836" s="721"/>
      <c r="D836" s="722"/>
      <c r="E836" s="722"/>
      <c r="F836" s="722"/>
      <c r="G836" s="722"/>
      <c r="H836" s="722"/>
      <c r="I836" s="722"/>
      <c r="J836" s="722"/>
      <c r="K836" s="722"/>
      <c r="L836" s="722"/>
      <c r="M836" s="722"/>
      <c r="N836" s="722"/>
      <c r="O836" s="722"/>
      <c r="P836" s="722"/>
      <c r="Q836" s="722"/>
      <c r="R836" s="722"/>
      <c r="S836" s="722"/>
      <c r="T836" s="722"/>
      <c r="U836" s="722"/>
      <c r="V836" s="722"/>
      <c r="W836" s="722"/>
      <c r="X836" s="722"/>
      <c r="Y836" s="723"/>
    </row>
    <row r="837" spans="3:25" ht="18" customHeight="1" x14ac:dyDescent="0.2">
      <c r="C837" s="721"/>
      <c r="D837" s="722"/>
      <c r="E837" s="722"/>
      <c r="F837" s="722"/>
      <c r="G837" s="722"/>
      <c r="H837" s="722"/>
      <c r="I837" s="722"/>
      <c r="J837" s="722"/>
      <c r="K837" s="722"/>
      <c r="L837" s="722"/>
      <c r="M837" s="722"/>
      <c r="N837" s="722"/>
      <c r="O837" s="722"/>
      <c r="P837" s="722"/>
      <c r="Q837" s="722"/>
      <c r="R837" s="722"/>
      <c r="S837" s="722"/>
      <c r="T837" s="722"/>
      <c r="U837" s="722"/>
      <c r="V837" s="722"/>
      <c r="W837" s="722"/>
      <c r="X837" s="722"/>
      <c r="Y837" s="723"/>
    </row>
    <row r="838" spans="3:25" ht="18" customHeight="1" x14ac:dyDescent="0.2">
      <c r="C838" s="721"/>
      <c r="D838" s="722"/>
      <c r="E838" s="722"/>
      <c r="F838" s="722"/>
      <c r="G838" s="722"/>
      <c r="H838" s="722"/>
      <c r="I838" s="722"/>
      <c r="J838" s="722"/>
      <c r="K838" s="722"/>
      <c r="L838" s="722"/>
      <c r="M838" s="722"/>
      <c r="N838" s="722"/>
      <c r="O838" s="722"/>
      <c r="P838" s="722"/>
      <c r="Q838" s="722"/>
      <c r="R838" s="722"/>
      <c r="S838" s="722"/>
      <c r="T838" s="722"/>
      <c r="U838" s="722"/>
      <c r="V838" s="722"/>
      <c r="W838" s="722"/>
      <c r="X838" s="722"/>
      <c r="Y838" s="723"/>
    </row>
    <row r="839" spans="3:25" ht="18" customHeight="1" x14ac:dyDescent="0.2">
      <c r="C839" s="721"/>
      <c r="D839" s="722"/>
      <c r="E839" s="722"/>
      <c r="F839" s="722"/>
      <c r="G839" s="722"/>
      <c r="H839" s="722"/>
      <c r="I839" s="722"/>
      <c r="J839" s="722"/>
      <c r="K839" s="722"/>
      <c r="L839" s="722"/>
      <c r="M839" s="722"/>
      <c r="N839" s="722"/>
      <c r="O839" s="722"/>
      <c r="P839" s="722"/>
      <c r="Q839" s="722"/>
      <c r="R839" s="722"/>
      <c r="S839" s="722"/>
      <c r="T839" s="722"/>
      <c r="U839" s="722"/>
      <c r="V839" s="722"/>
      <c r="W839" s="722"/>
      <c r="X839" s="722"/>
      <c r="Y839" s="723"/>
    </row>
    <row r="840" spans="3:25" ht="18" customHeight="1" x14ac:dyDescent="0.2">
      <c r="C840" s="721"/>
      <c r="D840" s="722"/>
      <c r="E840" s="722"/>
      <c r="F840" s="722"/>
      <c r="G840" s="722"/>
      <c r="H840" s="722"/>
      <c r="I840" s="722"/>
      <c r="J840" s="722"/>
      <c r="K840" s="722"/>
      <c r="L840" s="722"/>
      <c r="M840" s="722"/>
      <c r="N840" s="722"/>
      <c r="O840" s="722"/>
      <c r="P840" s="722"/>
      <c r="Q840" s="722"/>
      <c r="R840" s="722"/>
      <c r="S840" s="722"/>
      <c r="T840" s="722"/>
      <c r="U840" s="722"/>
      <c r="V840" s="722"/>
      <c r="W840" s="722"/>
      <c r="X840" s="722"/>
      <c r="Y840" s="723"/>
    </row>
    <row r="841" spans="3:25" ht="18" customHeight="1" x14ac:dyDescent="0.2">
      <c r="C841" s="721"/>
      <c r="D841" s="722"/>
      <c r="E841" s="722"/>
      <c r="F841" s="722"/>
      <c r="G841" s="722"/>
      <c r="H841" s="722"/>
      <c r="I841" s="722"/>
      <c r="J841" s="722"/>
      <c r="K841" s="722"/>
      <c r="L841" s="722"/>
      <c r="M841" s="722"/>
      <c r="N841" s="722"/>
      <c r="O841" s="722"/>
      <c r="P841" s="722"/>
      <c r="Q841" s="722"/>
      <c r="R841" s="722"/>
      <c r="S841" s="722"/>
      <c r="T841" s="722"/>
      <c r="U841" s="722"/>
      <c r="V841" s="722"/>
      <c r="W841" s="722"/>
      <c r="X841" s="722"/>
      <c r="Y841" s="723"/>
    </row>
    <row r="842" spans="3:25" ht="18" customHeight="1" x14ac:dyDescent="0.2">
      <c r="C842" s="721"/>
      <c r="D842" s="722"/>
      <c r="E842" s="722"/>
      <c r="F842" s="722"/>
      <c r="G842" s="722"/>
      <c r="H842" s="722"/>
      <c r="I842" s="722"/>
      <c r="J842" s="722"/>
      <c r="K842" s="722"/>
      <c r="L842" s="722"/>
      <c r="M842" s="722"/>
      <c r="N842" s="722"/>
      <c r="O842" s="722"/>
      <c r="P842" s="722"/>
      <c r="Q842" s="722"/>
      <c r="R842" s="722"/>
      <c r="S842" s="722"/>
      <c r="T842" s="722"/>
      <c r="U842" s="722"/>
      <c r="V842" s="722"/>
      <c r="W842" s="722"/>
      <c r="X842" s="722"/>
      <c r="Y842" s="723"/>
    </row>
    <row r="843" spans="3:25" ht="18" customHeight="1" x14ac:dyDescent="0.2">
      <c r="C843" s="721"/>
      <c r="D843" s="722"/>
      <c r="E843" s="722"/>
      <c r="F843" s="722"/>
      <c r="G843" s="722"/>
      <c r="H843" s="722"/>
      <c r="I843" s="722"/>
      <c r="J843" s="722"/>
      <c r="K843" s="722"/>
      <c r="L843" s="722"/>
      <c r="M843" s="722"/>
      <c r="N843" s="722"/>
      <c r="O843" s="722"/>
      <c r="P843" s="722"/>
      <c r="Q843" s="722"/>
      <c r="R843" s="722"/>
      <c r="S843" s="722"/>
      <c r="T843" s="722"/>
      <c r="U843" s="722"/>
      <c r="V843" s="722"/>
      <c r="W843" s="722"/>
      <c r="X843" s="722"/>
      <c r="Y843" s="723"/>
    </row>
    <row r="844" spans="3:25" ht="18" customHeight="1" x14ac:dyDescent="0.2">
      <c r="C844" s="721"/>
      <c r="D844" s="722"/>
      <c r="E844" s="722"/>
      <c r="F844" s="722"/>
      <c r="G844" s="722"/>
      <c r="H844" s="722"/>
      <c r="I844" s="722"/>
      <c r="J844" s="722"/>
      <c r="K844" s="722"/>
      <c r="L844" s="722"/>
      <c r="M844" s="722"/>
      <c r="N844" s="722"/>
      <c r="O844" s="722"/>
      <c r="P844" s="722"/>
      <c r="Q844" s="722"/>
      <c r="R844" s="722"/>
      <c r="S844" s="722"/>
      <c r="T844" s="722"/>
      <c r="U844" s="722"/>
      <c r="V844" s="722"/>
      <c r="W844" s="722"/>
      <c r="X844" s="722"/>
      <c r="Y844" s="723"/>
    </row>
    <row r="845" spans="3:25" ht="18" customHeight="1" x14ac:dyDescent="0.2">
      <c r="C845" s="721"/>
      <c r="D845" s="722"/>
      <c r="E845" s="722"/>
      <c r="F845" s="722"/>
      <c r="G845" s="722"/>
      <c r="H845" s="722"/>
      <c r="I845" s="722"/>
      <c r="J845" s="722"/>
      <c r="K845" s="722"/>
      <c r="L845" s="722"/>
      <c r="M845" s="722"/>
      <c r="N845" s="722"/>
      <c r="O845" s="722"/>
      <c r="P845" s="722"/>
      <c r="Q845" s="722"/>
      <c r="R845" s="722"/>
      <c r="S845" s="722"/>
      <c r="T845" s="722"/>
      <c r="U845" s="722"/>
      <c r="V845" s="722"/>
      <c r="W845" s="722"/>
      <c r="X845" s="722"/>
      <c r="Y845" s="723"/>
    </row>
    <row r="846" spans="3:25" ht="18" customHeight="1" x14ac:dyDescent="0.2">
      <c r="C846" s="721"/>
      <c r="D846" s="722"/>
      <c r="E846" s="722"/>
      <c r="F846" s="722"/>
      <c r="G846" s="722"/>
      <c r="H846" s="722"/>
      <c r="I846" s="722"/>
      <c r="J846" s="722"/>
      <c r="K846" s="722"/>
      <c r="L846" s="722"/>
      <c r="M846" s="722"/>
      <c r="N846" s="722"/>
      <c r="O846" s="722"/>
      <c r="P846" s="722"/>
      <c r="Q846" s="722"/>
      <c r="R846" s="722"/>
      <c r="S846" s="722"/>
      <c r="T846" s="722"/>
      <c r="U846" s="722"/>
      <c r="V846" s="722"/>
      <c r="W846" s="722"/>
      <c r="X846" s="722"/>
      <c r="Y846" s="723"/>
    </row>
    <row r="847" spans="3:25" ht="18" customHeight="1" x14ac:dyDescent="0.2">
      <c r="C847" s="721"/>
      <c r="D847" s="722"/>
      <c r="E847" s="722"/>
      <c r="F847" s="722"/>
      <c r="G847" s="722"/>
      <c r="H847" s="722"/>
      <c r="I847" s="722"/>
      <c r="J847" s="722"/>
      <c r="K847" s="722"/>
      <c r="L847" s="722"/>
      <c r="M847" s="722"/>
      <c r="N847" s="722"/>
      <c r="O847" s="722"/>
      <c r="P847" s="722"/>
      <c r="Q847" s="722"/>
      <c r="R847" s="722"/>
      <c r="S847" s="722"/>
      <c r="T847" s="722"/>
      <c r="U847" s="722"/>
      <c r="V847" s="722"/>
      <c r="W847" s="722"/>
      <c r="X847" s="722"/>
      <c r="Y847" s="723"/>
    </row>
    <row r="848" spans="3:25" ht="18" customHeight="1" x14ac:dyDescent="0.2">
      <c r="C848" s="721"/>
      <c r="D848" s="722"/>
      <c r="E848" s="722"/>
      <c r="F848" s="722"/>
      <c r="G848" s="722"/>
      <c r="H848" s="722"/>
      <c r="I848" s="722"/>
      <c r="J848" s="722"/>
      <c r="K848" s="722"/>
      <c r="L848" s="722"/>
      <c r="M848" s="722"/>
      <c r="N848" s="722"/>
      <c r="O848" s="722"/>
      <c r="P848" s="722"/>
      <c r="Q848" s="722"/>
      <c r="R848" s="722"/>
      <c r="S848" s="722"/>
      <c r="T848" s="722"/>
      <c r="U848" s="722"/>
      <c r="V848" s="722"/>
      <c r="W848" s="722"/>
      <c r="X848" s="722"/>
      <c r="Y848" s="723"/>
    </row>
    <row r="849" spans="3:25" ht="18" customHeight="1" x14ac:dyDescent="0.2">
      <c r="C849" s="721"/>
      <c r="D849" s="722"/>
      <c r="E849" s="722"/>
      <c r="F849" s="722"/>
      <c r="G849" s="722"/>
      <c r="H849" s="722"/>
      <c r="I849" s="722"/>
      <c r="J849" s="722"/>
      <c r="K849" s="722"/>
      <c r="L849" s="722"/>
      <c r="M849" s="722"/>
      <c r="N849" s="722"/>
      <c r="O849" s="722"/>
      <c r="P849" s="722"/>
      <c r="Q849" s="722"/>
      <c r="R849" s="722"/>
      <c r="S849" s="722"/>
      <c r="T849" s="722"/>
      <c r="U849" s="722"/>
      <c r="V849" s="722"/>
      <c r="W849" s="722"/>
      <c r="X849" s="722"/>
      <c r="Y849" s="723"/>
    </row>
    <row r="850" spans="3:25" ht="18" customHeight="1" x14ac:dyDescent="0.2">
      <c r="C850" s="721"/>
      <c r="D850" s="722"/>
      <c r="E850" s="722"/>
      <c r="F850" s="722"/>
      <c r="G850" s="722"/>
      <c r="H850" s="722"/>
      <c r="I850" s="722"/>
      <c r="J850" s="722"/>
      <c r="K850" s="722"/>
      <c r="L850" s="722"/>
      <c r="M850" s="722"/>
      <c r="N850" s="722"/>
      <c r="O850" s="722"/>
      <c r="P850" s="722"/>
      <c r="Q850" s="722"/>
      <c r="R850" s="722"/>
      <c r="S850" s="722"/>
      <c r="T850" s="722"/>
      <c r="U850" s="722"/>
      <c r="V850" s="722"/>
      <c r="W850" s="722"/>
      <c r="X850" s="722"/>
      <c r="Y850" s="723"/>
    </row>
    <row r="851" spans="3:25" ht="18" customHeight="1" x14ac:dyDescent="0.2">
      <c r="C851" s="721"/>
      <c r="D851" s="722"/>
      <c r="E851" s="722"/>
      <c r="F851" s="722"/>
      <c r="G851" s="722"/>
      <c r="H851" s="722"/>
      <c r="I851" s="722"/>
      <c r="J851" s="722"/>
      <c r="K851" s="722"/>
      <c r="L851" s="722"/>
      <c r="M851" s="722"/>
      <c r="N851" s="722"/>
      <c r="O851" s="722"/>
      <c r="P851" s="722"/>
      <c r="Q851" s="722"/>
      <c r="R851" s="722"/>
      <c r="S851" s="722"/>
      <c r="T851" s="722"/>
      <c r="U851" s="722"/>
      <c r="V851" s="722"/>
      <c r="W851" s="722"/>
      <c r="X851" s="722"/>
      <c r="Y851" s="723"/>
    </row>
    <row r="852" spans="3:25" ht="18" customHeight="1" x14ac:dyDescent="0.2">
      <c r="C852" s="721"/>
      <c r="D852" s="722"/>
      <c r="E852" s="722"/>
      <c r="F852" s="722"/>
      <c r="G852" s="722"/>
      <c r="H852" s="722"/>
      <c r="I852" s="722"/>
      <c r="J852" s="722"/>
      <c r="K852" s="722"/>
      <c r="L852" s="722"/>
      <c r="M852" s="722"/>
      <c r="N852" s="722"/>
      <c r="O852" s="722"/>
      <c r="P852" s="722"/>
      <c r="Q852" s="722"/>
      <c r="R852" s="722"/>
      <c r="S852" s="722"/>
      <c r="T852" s="722"/>
      <c r="U852" s="722"/>
      <c r="V852" s="722"/>
      <c r="W852" s="722"/>
      <c r="X852" s="722"/>
      <c r="Y852" s="723"/>
    </row>
    <row r="853" spans="3:25" ht="18" customHeight="1" x14ac:dyDescent="0.2">
      <c r="C853" s="721"/>
      <c r="D853" s="722"/>
      <c r="E853" s="722"/>
      <c r="F853" s="722"/>
      <c r="G853" s="722"/>
      <c r="H853" s="722"/>
      <c r="I853" s="722"/>
      <c r="J853" s="722"/>
      <c r="K853" s="722"/>
      <c r="L853" s="722"/>
      <c r="M853" s="722"/>
      <c r="N853" s="722"/>
      <c r="O853" s="722"/>
      <c r="P853" s="722"/>
      <c r="Q853" s="722"/>
      <c r="R853" s="722"/>
      <c r="S853" s="722"/>
      <c r="T853" s="722"/>
      <c r="U853" s="722"/>
      <c r="V853" s="722"/>
      <c r="W853" s="722"/>
      <c r="X853" s="722"/>
      <c r="Y853" s="723"/>
    </row>
    <row r="854" spans="3:25" ht="18" customHeight="1" x14ac:dyDescent="0.2">
      <c r="C854" s="721"/>
      <c r="D854" s="722"/>
      <c r="E854" s="722"/>
      <c r="F854" s="722"/>
      <c r="G854" s="722"/>
      <c r="H854" s="722"/>
      <c r="I854" s="722"/>
      <c r="J854" s="722"/>
      <c r="K854" s="722"/>
      <c r="L854" s="722"/>
      <c r="M854" s="722"/>
      <c r="N854" s="722"/>
      <c r="O854" s="722"/>
      <c r="P854" s="722"/>
      <c r="Q854" s="722"/>
      <c r="R854" s="722"/>
      <c r="S854" s="722"/>
      <c r="T854" s="722"/>
      <c r="U854" s="722"/>
      <c r="V854" s="722"/>
      <c r="W854" s="722"/>
      <c r="X854" s="722"/>
      <c r="Y854" s="723"/>
    </row>
    <row r="855" spans="3:25" ht="18" customHeight="1" x14ac:dyDescent="0.2">
      <c r="C855" s="721"/>
      <c r="D855" s="722"/>
      <c r="E855" s="722"/>
      <c r="F855" s="722"/>
      <c r="G855" s="722"/>
      <c r="H855" s="722"/>
      <c r="I855" s="722"/>
      <c r="J855" s="722"/>
      <c r="K855" s="722"/>
      <c r="L855" s="722"/>
      <c r="M855" s="722"/>
      <c r="N855" s="722"/>
      <c r="O855" s="722"/>
      <c r="P855" s="722"/>
      <c r="Q855" s="722"/>
      <c r="R855" s="722"/>
      <c r="S855" s="722"/>
      <c r="T855" s="722"/>
      <c r="U855" s="722"/>
      <c r="V855" s="722"/>
      <c r="W855" s="722"/>
      <c r="X855" s="722"/>
      <c r="Y855" s="723"/>
    </row>
    <row r="856" spans="3:25" ht="18" customHeight="1" x14ac:dyDescent="0.2">
      <c r="C856" s="721"/>
      <c r="D856" s="722"/>
      <c r="E856" s="722"/>
      <c r="F856" s="722"/>
      <c r="G856" s="722"/>
      <c r="H856" s="722"/>
      <c r="I856" s="722"/>
      <c r="J856" s="722"/>
      <c r="K856" s="722"/>
      <c r="L856" s="722"/>
      <c r="M856" s="722"/>
      <c r="N856" s="722"/>
      <c r="O856" s="722"/>
      <c r="P856" s="722"/>
      <c r="Q856" s="722"/>
      <c r="R856" s="722"/>
      <c r="S856" s="722"/>
      <c r="T856" s="722"/>
      <c r="U856" s="722"/>
      <c r="V856" s="722"/>
      <c r="W856" s="722"/>
      <c r="X856" s="722"/>
      <c r="Y856" s="723"/>
    </row>
    <row r="857" spans="3:25" ht="18" customHeight="1" x14ac:dyDescent="0.2">
      <c r="C857" s="721"/>
      <c r="D857" s="722"/>
      <c r="E857" s="722"/>
      <c r="F857" s="722"/>
      <c r="G857" s="722"/>
      <c r="H857" s="722"/>
      <c r="I857" s="722"/>
      <c r="J857" s="722"/>
      <c r="K857" s="722"/>
      <c r="L857" s="722"/>
      <c r="M857" s="722"/>
      <c r="N857" s="722"/>
      <c r="O857" s="722"/>
      <c r="P857" s="722"/>
      <c r="Q857" s="722"/>
      <c r="R857" s="722"/>
      <c r="S857" s="722"/>
      <c r="T857" s="722"/>
      <c r="U857" s="722"/>
      <c r="V857" s="722"/>
      <c r="W857" s="722"/>
      <c r="X857" s="722"/>
      <c r="Y857" s="723"/>
    </row>
    <row r="858" spans="3:25" ht="18" customHeight="1" x14ac:dyDescent="0.2">
      <c r="C858" s="721"/>
      <c r="D858" s="722"/>
      <c r="E858" s="722"/>
      <c r="F858" s="722"/>
      <c r="G858" s="722"/>
      <c r="H858" s="722"/>
      <c r="I858" s="722"/>
      <c r="J858" s="722"/>
      <c r="K858" s="722"/>
      <c r="L858" s="722"/>
      <c r="M858" s="722"/>
      <c r="N858" s="722"/>
      <c r="O858" s="722"/>
      <c r="P858" s="722"/>
      <c r="Q858" s="722"/>
      <c r="R858" s="722"/>
      <c r="S858" s="722"/>
      <c r="T858" s="722"/>
      <c r="U858" s="722"/>
      <c r="V858" s="722"/>
      <c r="W858" s="722"/>
      <c r="X858" s="722"/>
      <c r="Y858" s="723"/>
    </row>
    <row r="859" spans="3:25" ht="18" customHeight="1" x14ac:dyDescent="0.2">
      <c r="C859" s="721"/>
      <c r="D859" s="722"/>
      <c r="E859" s="722"/>
      <c r="F859" s="722"/>
      <c r="G859" s="722"/>
      <c r="H859" s="722"/>
      <c r="I859" s="722"/>
      <c r="J859" s="722"/>
      <c r="K859" s="722"/>
      <c r="L859" s="722"/>
      <c r="M859" s="722"/>
      <c r="N859" s="722"/>
      <c r="O859" s="722"/>
      <c r="P859" s="722"/>
      <c r="Q859" s="722"/>
      <c r="R859" s="722"/>
      <c r="S859" s="722"/>
      <c r="T859" s="722"/>
      <c r="U859" s="722"/>
      <c r="V859" s="722"/>
      <c r="W859" s="722"/>
      <c r="X859" s="722"/>
      <c r="Y859" s="723"/>
    </row>
    <row r="860" spans="3:25" ht="18" customHeight="1" x14ac:dyDescent="0.2">
      <c r="C860" s="721"/>
      <c r="D860" s="722"/>
      <c r="E860" s="722"/>
      <c r="F860" s="722"/>
      <c r="G860" s="722"/>
      <c r="H860" s="722"/>
      <c r="I860" s="722"/>
      <c r="J860" s="722"/>
      <c r="K860" s="722"/>
      <c r="L860" s="722"/>
      <c r="M860" s="722"/>
      <c r="N860" s="722"/>
      <c r="O860" s="722"/>
      <c r="P860" s="722"/>
      <c r="Q860" s="722"/>
      <c r="R860" s="722"/>
      <c r="S860" s="722"/>
      <c r="T860" s="722"/>
      <c r="U860" s="722"/>
      <c r="V860" s="722"/>
      <c r="W860" s="722"/>
      <c r="X860" s="722"/>
      <c r="Y860" s="723"/>
    </row>
    <row r="861" spans="3:25" ht="18" customHeight="1" x14ac:dyDescent="0.2">
      <c r="C861" s="721"/>
      <c r="D861" s="722"/>
      <c r="E861" s="722"/>
      <c r="F861" s="722"/>
      <c r="G861" s="722"/>
      <c r="H861" s="722"/>
      <c r="I861" s="722"/>
      <c r="J861" s="722"/>
      <c r="K861" s="722"/>
      <c r="L861" s="722"/>
      <c r="M861" s="722"/>
      <c r="N861" s="722"/>
      <c r="O861" s="722"/>
      <c r="P861" s="722"/>
      <c r="Q861" s="722"/>
      <c r="R861" s="722"/>
      <c r="S861" s="722"/>
      <c r="T861" s="722"/>
      <c r="U861" s="722"/>
      <c r="V861" s="722"/>
      <c r="W861" s="722"/>
      <c r="X861" s="722"/>
      <c r="Y861" s="723"/>
    </row>
    <row r="862" spans="3:25" ht="18" customHeight="1" x14ac:dyDescent="0.2">
      <c r="C862" s="721"/>
      <c r="D862" s="722"/>
      <c r="E862" s="722"/>
      <c r="F862" s="722"/>
      <c r="G862" s="722"/>
      <c r="H862" s="722"/>
      <c r="I862" s="722"/>
      <c r="J862" s="722"/>
      <c r="K862" s="722"/>
      <c r="L862" s="722"/>
      <c r="M862" s="722"/>
      <c r="N862" s="722"/>
      <c r="O862" s="722"/>
      <c r="P862" s="722"/>
      <c r="Q862" s="722"/>
      <c r="R862" s="722"/>
      <c r="S862" s="722"/>
      <c r="T862" s="722"/>
      <c r="U862" s="722"/>
      <c r="V862" s="722"/>
      <c r="W862" s="722"/>
      <c r="X862" s="722"/>
      <c r="Y862" s="723"/>
    </row>
    <row r="863" spans="3:25" ht="18" customHeight="1" x14ac:dyDescent="0.2">
      <c r="C863" s="721"/>
      <c r="D863" s="722"/>
      <c r="E863" s="722"/>
      <c r="F863" s="722"/>
      <c r="G863" s="722"/>
      <c r="H863" s="722"/>
      <c r="I863" s="722"/>
      <c r="J863" s="722"/>
      <c r="K863" s="722"/>
      <c r="L863" s="722"/>
      <c r="M863" s="722"/>
      <c r="N863" s="722"/>
      <c r="O863" s="722"/>
      <c r="P863" s="722"/>
      <c r="Q863" s="722"/>
      <c r="R863" s="722"/>
      <c r="S863" s="722"/>
      <c r="T863" s="722"/>
      <c r="U863" s="722"/>
      <c r="V863" s="722"/>
      <c r="W863" s="722"/>
      <c r="X863" s="722"/>
      <c r="Y863" s="723"/>
    </row>
    <row r="864" spans="3:25" ht="18" customHeight="1" x14ac:dyDescent="0.2">
      <c r="C864" s="721"/>
      <c r="D864" s="722"/>
      <c r="E864" s="722"/>
      <c r="F864" s="722"/>
      <c r="G864" s="722"/>
      <c r="H864" s="722"/>
      <c r="I864" s="722"/>
      <c r="J864" s="722"/>
      <c r="K864" s="722"/>
      <c r="L864" s="722"/>
      <c r="M864" s="722"/>
      <c r="N864" s="722"/>
      <c r="O864" s="722"/>
      <c r="P864" s="722"/>
      <c r="Q864" s="722"/>
      <c r="R864" s="722"/>
      <c r="S864" s="722"/>
      <c r="T864" s="722"/>
      <c r="U864" s="722"/>
      <c r="V864" s="722"/>
      <c r="W864" s="722"/>
      <c r="X864" s="722"/>
      <c r="Y864" s="723"/>
    </row>
    <row r="865" spans="3:25" ht="18" customHeight="1" x14ac:dyDescent="0.2">
      <c r="C865" s="721"/>
      <c r="D865" s="722"/>
      <c r="E865" s="722"/>
      <c r="F865" s="722"/>
      <c r="G865" s="722"/>
      <c r="H865" s="722"/>
      <c r="I865" s="722"/>
      <c r="J865" s="722"/>
      <c r="K865" s="722"/>
      <c r="L865" s="722"/>
      <c r="M865" s="722"/>
      <c r="N865" s="722"/>
      <c r="O865" s="722"/>
      <c r="P865" s="722"/>
      <c r="Q865" s="722"/>
      <c r="R865" s="722"/>
      <c r="S865" s="722"/>
      <c r="T865" s="722"/>
      <c r="U865" s="722"/>
      <c r="V865" s="722"/>
      <c r="W865" s="722"/>
      <c r="X865" s="722"/>
      <c r="Y865" s="723"/>
    </row>
    <row r="866" spans="3:25" ht="18" customHeight="1" x14ac:dyDescent="0.2">
      <c r="C866" s="721"/>
      <c r="D866" s="722"/>
      <c r="E866" s="722"/>
      <c r="F866" s="722"/>
      <c r="G866" s="722"/>
      <c r="H866" s="722"/>
      <c r="I866" s="722"/>
      <c r="J866" s="722"/>
      <c r="K866" s="722"/>
      <c r="L866" s="722"/>
      <c r="M866" s="722"/>
      <c r="N866" s="722"/>
      <c r="O866" s="722"/>
      <c r="P866" s="722"/>
      <c r="Q866" s="722"/>
      <c r="R866" s="722"/>
      <c r="S866" s="722"/>
      <c r="T866" s="722"/>
      <c r="U866" s="722"/>
      <c r="V866" s="722"/>
      <c r="W866" s="722"/>
      <c r="X866" s="722"/>
      <c r="Y866" s="723"/>
    </row>
    <row r="867" spans="3:25" ht="18" customHeight="1" x14ac:dyDescent="0.2">
      <c r="C867" s="721"/>
      <c r="D867" s="722"/>
      <c r="E867" s="722"/>
      <c r="F867" s="722"/>
      <c r="G867" s="722"/>
      <c r="H867" s="722"/>
      <c r="I867" s="722"/>
      <c r="J867" s="722"/>
      <c r="K867" s="722"/>
      <c r="L867" s="722"/>
      <c r="M867" s="722"/>
      <c r="N867" s="722"/>
      <c r="O867" s="722"/>
      <c r="P867" s="722"/>
      <c r="Q867" s="722"/>
      <c r="R867" s="722"/>
      <c r="S867" s="722"/>
      <c r="T867" s="722"/>
      <c r="U867" s="722"/>
      <c r="V867" s="722"/>
      <c r="W867" s="722"/>
      <c r="X867" s="722"/>
      <c r="Y867" s="723"/>
    </row>
    <row r="868" spans="3:25" ht="18" customHeight="1" x14ac:dyDescent="0.2">
      <c r="C868" s="721"/>
      <c r="D868" s="722"/>
      <c r="E868" s="722"/>
      <c r="F868" s="722"/>
      <c r="G868" s="722"/>
      <c r="H868" s="722"/>
      <c r="I868" s="722"/>
      <c r="J868" s="722"/>
      <c r="K868" s="722"/>
      <c r="L868" s="722"/>
      <c r="M868" s="722"/>
      <c r="N868" s="722"/>
      <c r="O868" s="722"/>
      <c r="P868" s="722"/>
      <c r="Q868" s="722"/>
      <c r="R868" s="722"/>
      <c r="S868" s="722"/>
      <c r="T868" s="722"/>
      <c r="U868" s="722"/>
      <c r="V868" s="722"/>
      <c r="W868" s="722"/>
      <c r="X868" s="722"/>
      <c r="Y868" s="723"/>
    </row>
    <row r="869" spans="3:25" ht="18" customHeight="1" x14ac:dyDescent="0.2">
      <c r="C869" s="721"/>
      <c r="D869" s="722"/>
      <c r="E869" s="722"/>
      <c r="F869" s="722"/>
      <c r="G869" s="722"/>
      <c r="H869" s="722"/>
      <c r="I869" s="722"/>
      <c r="J869" s="722"/>
      <c r="K869" s="722"/>
      <c r="L869" s="722"/>
      <c r="M869" s="722"/>
      <c r="N869" s="722"/>
      <c r="O869" s="722"/>
      <c r="P869" s="722"/>
      <c r="Q869" s="722"/>
      <c r="R869" s="722"/>
      <c r="S869" s="722"/>
      <c r="T869" s="722"/>
      <c r="U869" s="722"/>
      <c r="V869" s="722"/>
      <c r="W869" s="722"/>
      <c r="X869" s="722"/>
      <c r="Y869" s="723"/>
    </row>
    <row r="870" spans="3:25" ht="18" customHeight="1" x14ac:dyDescent="0.2">
      <c r="C870" s="721"/>
      <c r="D870" s="722"/>
      <c r="E870" s="722"/>
      <c r="F870" s="722"/>
      <c r="G870" s="722"/>
      <c r="H870" s="722"/>
      <c r="I870" s="722"/>
      <c r="J870" s="722"/>
      <c r="K870" s="722"/>
      <c r="L870" s="722"/>
      <c r="M870" s="722"/>
      <c r="N870" s="722"/>
      <c r="O870" s="722"/>
      <c r="P870" s="722"/>
      <c r="Q870" s="722"/>
      <c r="R870" s="722"/>
      <c r="S870" s="722"/>
      <c r="T870" s="722"/>
      <c r="U870" s="722"/>
      <c r="V870" s="722"/>
      <c r="W870" s="722"/>
      <c r="X870" s="722"/>
      <c r="Y870" s="723"/>
    </row>
    <row r="871" spans="3:25" ht="18" customHeight="1" x14ac:dyDescent="0.2">
      <c r="C871" s="721"/>
      <c r="D871" s="722"/>
      <c r="E871" s="722"/>
      <c r="F871" s="722"/>
      <c r="G871" s="722"/>
      <c r="H871" s="722"/>
      <c r="I871" s="722"/>
      <c r="J871" s="722"/>
      <c r="K871" s="722"/>
      <c r="L871" s="722"/>
      <c r="M871" s="722"/>
      <c r="N871" s="722"/>
      <c r="O871" s="722"/>
      <c r="P871" s="722"/>
      <c r="Q871" s="722"/>
      <c r="R871" s="722"/>
      <c r="S871" s="722"/>
      <c r="T871" s="722"/>
      <c r="U871" s="722"/>
      <c r="V871" s="722"/>
      <c r="W871" s="722"/>
      <c r="X871" s="722"/>
      <c r="Y871" s="723"/>
    </row>
    <row r="872" spans="3:25" ht="18" customHeight="1" x14ac:dyDescent="0.2">
      <c r="C872" s="721"/>
      <c r="D872" s="722"/>
      <c r="E872" s="722"/>
      <c r="F872" s="722"/>
      <c r="G872" s="722"/>
      <c r="H872" s="722"/>
      <c r="I872" s="722"/>
      <c r="J872" s="722"/>
      <c r="K872" s="722"/>
      <c r="L872" s="722"/>
      <c r="M872" s="722"/>
      <c r="N872" s="722"/>
      <c r="O872" s="722"/>
      <c r="P872" s="722"/>
      <c r="Q872" s="722"/>
      <c r="R872" s="722"/>
      <c r="S872" s="722"/>
      <c r="T872" s="722"/>
      <c r="U872" s="722"/>
      <c r="V872" s="722"/>
      <c r="W872" s="722"/>
      <c r="X872" s="722"/>
      <c r="Y872" s="723"/>
    </row>
    <row r="873" spans="3:25" ht="18" customHeight="1" x14ac:dyDescent="0.2">
      <c r="C873" s="721"/>
      <c r="D873" s="722"/>
      <c r="E873" s="722"/>
      <c r="F873" s="722"/>
      <c r="G873" s="722"/>
      <c r="H873" s="722"/>
      <c r="I873" s="722"/>
      <c r="J873" s="722"/>
      <c r="K873" s="722"/>
      <c r="L873" s="722"/>
      <c r="M873" s="722"/>
      <c r="N873" s="722"/>
      <c r="O873" s="722"/>
      <c r="P873" s="722"/>
      <c r="Q873" s="722"/>
      <c r="R873" s="722"/>
      <c r="S873" s="722"/>
      <c r="T873" s="722"/>
      <c r="U873" s="722"/>
      <c r="V873" s="722"/>
      <c r="W873" s="722"/>
      <c r="X873" s="722"/>
      <c r="Y873" s="723"/>
    </row>
    <row r="874" spans="3:25" ht="18" customHeight="1" x14ac:dyDescent="0.2">
      <c r="C874" s="721"/>
      <c r="D874" s="722"/>
      <c r="E874" s="722"/>
      <c r="F874" s="722"/>
      <c r="G874" s="722"/>
      <c r="H874" s="722"/>
      <c r="I874" s="722"/>
      <c r="J874" s="722"/>
      <c r="K874" s="722"/>
      <c r="L874" s="722"/>
      <c r="M874" s="722"/>
      <c r="N874" s="722"/>
      <c r="O874" s="722"/>
      <c r="P874" s="722"/>
      <c r="Q874" s="722"/>
      <c r="R874" s="722"/>
      <c r="S874" s="722"/>
      <c r="T874" s="722"/>
      <c r="U874" s="722"/>
      <c r="V874" s="722"/>
      <c r="W874" s="722"/>
      <c r="X874" s="722"/>
      <c r="Y874" s="723"/>
    </row>
    <row r="875" spans="3:25" ht="18" customHeight="1" x14ac:dyDescent="0.2">
      <c r="C875" s="721"/>
      <c r="D875" s="722"/>
      <c r="E875" s="722"/>
      <c r="F875" s="722"/>
      <c r="G875" s="722"/>
      <c r="H875" s="722"/>
      <c r="I875" s="722"/>
      <c r="J875" s="722"/>
      <c r="K875" s="722"/>
      <c r="L875" s="722"/>
      <c r="M875" s="722"/>
      <c r="N875" s="722"/>
      <c r="O875" s="722"/>
      <c r="P875" s="722"/>
      <c r="Q875" s="722"/>
      <c r="R875" s="722"/>
      <c r="S875" s="722"/>
      <c r="T875" s="722"/>
      <c r="U875" s="722"/>
      <c r="V875" s="722"/>
      <c r="W875" s="722"/>
      <c r="X875" s="722"/>
      <c r="Y875" s="723"/>
    </row>
    <row r="876" spans="3:25" ht="18" customHeight="1" x14ac:dyDescent="0.2">
      <c r="C876" s="721"/>
      <c r="D876" s="722"/>
      <c r="E876" s="722"/>
      <c r="F876" s="722"/>
      <c r="G876" s="722"/>
      <c r="H876" s="722"/>
      <c r="I876" s="722"/>
      <c r="J876" s="722"/>
      <c r="K876" s="722"/>
      <c r="L876" s="722"/>
      <c r="M876" s="722"/>
      <c r="N876" s="722"/>
      <c r="O876" s="722"/>
      <c r="P876" s="722"/>
      <c r="Q876" s="722"/>
      <c r="R876" s="722"/>
      <c r="S876" s="722"/>
      <c r="T876" s="722"/>
      <c r="U876" s="722"/>
      <c r="V876" s="722"/>
      <c r="W876" s="722"/>
      <c r="X876" s="722"/>
      <c r="Y876" s="723"/>
    </row>
    <row r="877" spans="3:25" ht="18" customHeight="1" x14ac:dyDescent="0.2">
      <c r="C877" s="721"/>
      <c r="D877" s="722"/>
      <c r="E877" s="722"/>
      <c r="F877" s="722"/>
      <c r="G877" s="722"/>
      <c r="H877" s="722"/>
      <c r="I877" s="722"/>
      <c r="J877" s="722"/>
      <c r="K877" s="722"/>
      <c r="L877" s="722"/>
      <c r="M877" s="722"/>
      <c r="N877" s="722"/>
      <c r="O877" s="722"/>
      <c r="P877" s="722"/>
      <c r="Q877" s="722"/>
      <c r="R877" s="722"/>
      <c r="S877" s="722"/>
      <c r="T877" s="722"/>
      <c r="U877" s="722"/>
      <c r="V877" s="722"/>
      <c r="W877" s="722"/>
      <c r="X877" s="722"/>
      <c r="Y877" s="723"/>
    </row>
    <row r="878" spans="3:25" ht="18" customHeight="1" x14ac:dyDescent="0.2">
      <c r="C878" s="721"/>
      <c r="D878" s="722"/>
      <c r="E878" s="722"/>
      <c r="F878" s="722"/>
      <c r="G878" s="722"/>
      <c r="H878" s="722"/>
      <c r="I878" s="722"/>
      <c r="J878" s="722"/>
      <c r="K878" s="722"/>
      <c r="L878" s="722"/>
      <c r="M878" s="722"/>
      <c r="N878" s="722"/>
      <c r="O878" s="722"/>
      <c r="P878" s="722"/>
      <c r="Q878" s="722"/>
      <c r="R878" s="722"/>
      <c r="S878" s="722"/>
      <c r="T878" s="722"/>
      <c r="U878" s="722"/>
      <c r="V878" s="722"/>
      <c r="W878" s="722"/>
      <c r="X878" s="722"/>
      <c r="Y878" s="723"/>
    </row>
    <row r="879" spans="3:25" ht="18" customHeight="1" x14ac:dyDescent="0.2">
      <c r="C879" s="721"/>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3"/>
    </row>
    <row r="880" spans="3:25" ht="18" customHeight="1" x14ac:dyDescent="0.2">
      <c r="C880" s="721"/>
      <c r="D880" s="722"/>
      <c r="E880" s="722"/>
      <c r="F880" s="722"/>
      <c r="G880" s="722"/>
      <c r="H880" s="722"/>
      <c r="I880" s="722"/>
      <c r="J880" s="722"/>
      <c r="K880" s="722"/>
      <c r="L880" s="722"/>
      <c r="M880" s="722"/>
      <c r="N880" s="722"/>
      <c r="O880" s="722"/>
      <c r="P880" s="722"/>
      <c r="Q880" s="722"/>
      <c r="R880" s="722"/>
      <c r="S880" s="722"/>
      <c r="T880" s="722"/>
      <c r="U880" s="722"/>
      <c r="V880" s="722"/>
      <c r="W880" s="722"/>
      <c r="X880" s="722"/>
      <c r="Y880" s="723"/>
    </row>
    <row r="881" spans="3:25" ht="18" customHeight="1" x14ac:dyDescent="0.2">
      <c r="C881" s="721"/>
      <c r="D881" s="722"/>
      <c r="E881" s="722"/>
      <c r="F881" s="722"/>
      <c r="G881" s="722"/>
      <c r="H881" s="722"/>
      <c r="I881" s="722"/>
      <c r="J881" s="722"/>
      <c r="K881" s="722"/>
      <c r="L881" s="722"/>
      <c r="M881" s="722"/>
      <c r="N881" s="722"/>
      <c r="O881" s="722"/>
      <c r="P881" s="722"/>
      <c r="Q881" s="722"/>
      <c r="R881" s="722"/>
      <c r="S881" s="722"/>
      <c r="T881" s="722"/>
      <c r="U881" s="722"/>
      <c r="V881" s="722"/>
      <c r="W881" s="722"/>
      <c r="X881" s="722"/>
      <c r="Y881" s="723"/>
    </row>
    <row r="882" spans="3:25" ht="18" customHeight="1" x14ac:dyDescent="0.2">
      <c r="C882" s="721"/>
      <c r="D882" s="722"/>
      <c r="E882" s="722"/>
      <c r="F882" s="722"/>
      <c r="G882" s="722"/>
      <c r="H882" s="722"/>
      <c r="I882" s="722"/>
      <c r="J882" s="722"/>
      <c r="K882" s="722"/>
      <c r="L882" s="722"/>
      <c r="M882" s="722"/>
      <c r="N882" s="722"/>
      <c r="O882" s="722"/>
      <c r="P882" s="722"/>
      <c r="Q882" s="722"/>
      <c r="R882" s="722"/>
      <c r="S882" s="722"/>
      <c r="T882" s="722"/>
      <c r="U882" s="722"/>
      <c r="V882" s="722"/>
      <c r="W882" s="722"/>
      <c r="X882" s="722"/>
      <c r="Y882" s="723"/>
    </row>
    <row r="883" spans="3:25" ht="18" customHeight="1" x14ac:dyDescent="0.2">
      <c r="C883" s="721"/>
      <c r="D883" s="722"/>
      <c r="E883" s="722"/>
      <c r="F883" s="722"/>
      <c r="G883" s="722"/>
      <c r="H883" s="722"/>
      <c r="I883" s="722"/>
      <c r="J883" s="722"/>
      <c r="K883" s="722"/>
      <c r="L883" s="722"/>
      <c r="M883" s="722"/>
      <c r="N883" s="722"/>
      <c r="O883" s="722"/>
      <c r="P883" s="722"/>
      <c r="Q883" s="722"/>
      <c r="R883" s="722"/>
      <c r="S883" s="722"/>
      <c r="T883" s="722"/>
      <c r="U883" s="722"/>
      <c r="V883" s="722"/>
      <c r="W883" s="722"/>
      <c r="X883" s="722"/>
      <c r="Y883" s="723"/>
    </row>
    <row r="884" spans="3:25" ht="18" customHeight="1" x14ac:dyDescent="0.2">
      <c r="C884" s="721"/>
      <c r="D884" s="722"/>
      <c r="E884" s="722"/>
      <c r="F884" s="722"/>
      <c r="G884" s="722"/>
      <c r="H884" s="722"/>
      <c r="I884" s="722"/>
      <c r="J884" s="722"/>
      <c r="K884" s="722"/>
      <c r="L884" s="722"/>
      <c r="M884" s="722"/>
      <c r="N884" s="722"/>
      <c r="O884" s="722"/>
      <c r="P884" s="722"/>
      <c r="Q884" s="722"/>
      <c r="R884" s="722"/>
      <c r="S884" s="722"/>
      <c r="T884" s="722"/>
      <c r="U884" s="722"/>
      <c r="V884" s="722"/>
      <c r="W884" s="722"/>
      <c r="X884" s="722"/>
      <c r="Y884" s="723"/>
    </row>
    <row r="885" spans="3:25" ht="18" customHeight="1" x14ac:dyDescent="0.2">
      <c r="C885" s="721"/>
      <c r="D885" s="722"/>
      <c r="E885" s="722"/>
      <c r="F885" s="722"/>
      <c r="G885" s="722"/>
      <c r="H885" s="722"/>
      <c r="I885" s="722"/>
      <c r="J885" s="722"/>
      <c r="K885" s="722"/>
      <c r="L885" s="722"/>
      <c r="M885" s="722"/>
      <c r="N885" s="722"/>
      <c r="O885" s="722"/>
      <c r="P885" s="722"/>
      <c r="Q885" s="722"/>
      <c r="R885" s="722"/>
      <c r="S885" s="722"/>
      <c r="T885" s="722"/>
      <c r="U885" s="722"/>
      <c r="V885" s="722"/>
      <c r="W885" s="722"/>
      <c r="X885" s="722"/>
      <c r="Y885" s="723"/>
    </row>
    <row r="886" spans="3:25" ht="18" customHeight="1" x14ac:dyDescent="0.2">
      <c r="C886" s="721"/>
      <c r="D886" s="722"/>
      <c r="E886" s="722"/>
      <c r="F886" s="722"/>
      <c r="G886" s="722"/>
      <c r="H886" s="722"/>
      <c r="I886" s="722"/>
      <c r="J886" s="722"/>
      <c r="K886" s="722"/>
      <c r="L886" s="722"/>
      <c r="M886" s="722"/>
      <c r="N886" s="722"/>
      <c r="O886" s="722"/>
      <c r="P886" s="722"/>
      <c r="Q886" s="722"/>
      <c r="R886" s="722"/>
      <c r="S886" s="722"/>
      <c r="T886" s="722"/>
      <c r="U886" s="722"/>
      <c r="V886" s="722"/>
      <c r="W886" s="722"/>
      <c r="X886" s="722"/>
      <c r="Y886" s="723"/>
    </row>
    <row r="887" spans="3:25" ht="18" customHeight="1" x14ac:dyDescent="0.2">
      <c r="C887" s="721"/>
      <c r="D887" s="722"/>
      <c r="E887" s="722"/>
      <c r="F887" s="722"/>
      <c r="G887" s="722"/>
      <c r="H887" s="722"/>
      <c r="I887" s="722"/>
      <c r="J887" s="722"/>
      <c r="K887" s="722"/>
      <c r="L887" s="722"/>
      <c r="M887" s="722"/>
      <c r="N887" s="722"/>
      <c r="O887" s="722"/>
      <c r="P887" s="722"/>
      <c r="Q887" s="722"/>
      <c r="R887" s="722"/>
      <c r="S887" s="722"/>
      <c r="T887" s="722"/>
      <c r="U887" s="722"/>
      <c r="V887" s="722"/>
      <c r="W887" s="722"/>
      <c r="X887" s="722"/>
      <c r="Y887" s="723"/>
    </row>
    <row r="888" spans="3:25" ht="18" customHeight="1" x14ac:dyDescent="0.2">
      <c r="C888" s="721"/>
      <c r="D888" s="722"/>
      <c r="E888" s="722"/>
      <c r="F888" s="722"/>
      <c r="G888" s="722"/>
      <c r="H888" s="722"/>
      <c r="I888" s="722"/>
      <c r="J888" s="722"/>
      <c r="K888" s="722"/>
      <c r="L888" s="722"/>
      <c r="M888" s="722"/>
      <c r="N888" s="722"/>
      <c r="O888" s="722"/>
      <c r="P888" s="722"/>
      <c r="Q888" s="722"/>
      <c r="R888" s="722"/>
      <c r="S888" s="722"/>
      <c r="T888" s="722"/>
      <c r="U888" s="722"/>
      <c r="V888" s="722"/>
      <c r="W888" s="722"/>
      <c r="X888" s="722"/>
      <c r="Y888" s="723"/>
    </row>
    <row r="889" spans="3:25" ht="18" customHeight="1" x14ac:dyDescent="0.2">
      <c r="C889" s="721"/>
      <c r="D889" s="722"/>
      <c r="E889" s="722"/>
      <c r="F889" s="722"/>
      <c r="G889" s="722"/>
      <c r="H889" s="722"/>
      <c r="I889" s="722"/>
      <c r="J889" s="722"/>
      <c r="K889" s="722"/>
      <c r="L889" s="722"/>
      <c r="M889" s="722"/>
      <c r="N889" s="722"/>
      <c r="O889" s="722"/>
      <c r="P889" s="722"/>
      <c r="Q889" s="722"/>
      <c r="R889" s="722"/>
      <c r="S889" s="722"/>
      <c r="T889" s="722"/>
      <c r="U889" s="722"/>
      <c r="V889" s="722"/>
      <c r="W889" s="722"/>
      <c r="X889" s="722"/>
      <c r="Y889" s="723"/>
    </row>
    <row r="890" spans="3:25" ht="18" customHeight="1" x14ac:dyDescent="0.2">
      <c r="C890" s="721"/>
      <c r="D890" s="722"/>
      <c r="E890" s="722"/>
      <c r="F890" s="722"/>
      <c r="G890" s="722"/>
      <c r="H890" s="722"/>
      <c r="I890" s="722"/>
      <c r="J890" s="722"/>
      <c r="K890" s="722"/>
      <c r="L890" s="722"/>
      <c r="M890" s="722"/>
      <c r="N890" s="722"/>
      <c r="O890" s="722"/>
      <c r="P890" s="722"/>
      <c r="Q890" s="722"/>
      <c r="R890" s="722"/>
      <c r="S890" s="722"/>
      <c r="T890" s="722"/>
      <c r="U890" s="722"/>
      <c r="V890" s="722"/>
      <c r="W890" s="722"/>
      <c r="X890" s="722"/>
      <c r="Y890" s="723"/>
    </row>
    <row r="891" spans="3:25" ht="18" customHeight="1" x14ac:dyDescent="0.2">
      <c r="C891" s="721"/>
      <c r="D891" s="722"/>
      <c r="E891" s="722"/>
      <c r="F891" s="722"/>
      <c r="G891" s="722"/>
      <c r="H891" s="722"/>
      <c r="I891" s="722"/>
      <c r="J891" s="722"/>
      <c r="K891" s="722"/>
      <c r="L891" s="722"/>
      <c r="M891" s="722"/>
      <c r="N891" s="722"/>
      <c r="O891" s="722"/>
      <c r="P891" s="722"/>
      <c r="Q891" s="722"/>
      <c r="R891" s="722"/>
      <c r="S891" s="722"/>
      <c r="T891" s="722"/>
      <c r="U891" s="722"/>
      <c r="V891" s="722"/>
      <c r="W891" s="722"/>
      <c r="X891" s="722"/>
      <c r="Y891" s="723"/>
    </row>
    <row r="892" spans="3:25" ht="18" customHeight="1" x14ac:dyDescent="0.2">
      <c r="C892" s="721"/>
      <c r="D892" s="722"/>
      <c r="E892" s="722"/>
      <c r="F892" s="722"/>
      <c r="G892" s="722"/>
      <c r="H892" s="722"/>
      <c r="I892" s="722"/>
      <c r="J892" s="722"/>
      <c r="K892" s="722"/>
      <c r="L892" s="722"/>
      <c r="M892" s="722"/>
      <c r="N892" s="722"/>
      <c r="O892" s="722"/>
      <c r="P892" s="722"/>
      <c r="Q892" s="722"/>
      <c r="R892" s="722"/>
      <c r="S892" s="722"/>
      <c r="T892" s="722"/>
      <c r="U892" s="722"/>
      <c r="V892" s="722"/>
      <c r="W892" s="722"/>
      <c r="X892" s="722"/>
      <c r="Y892" s="723"/>
    </row>
    <row r="893" spans="3:25" ht="18" customHeight="1" x14ac:dyDescent="0.2">
      <c r="C893" s="721"/>
      <c r="D893" s="722"/>
      <c r="E893" s="722"/>
      <c r="F893" s="722"/>
      <c r="G893" s="722"/>
      <c r="H893" s="722"/>
      <c r="I893" s="722"/>
      <c r="J893" s="722"/>
      <c r="K893" s="722"/>
      <c r="L893" s="722"/>
      <c r="M893" s="722"/>
      <c r="N893" s="722"/>
      <c r="O893" s="722"/>
      <c r="P893" s="722"/>
      <c r="Q893" s="722"/>
      <c r="R893" s="722"/>
      <c r="S893" s="722"/>
      <c r="T893" s="722"/>
      <c r="U893" s="722"/>
      <c r="V893" s="722"/>
      <c r="W893" s="722"/>
      <c r="X893" s="722"/>
      <c r="Y893" s="723"/>
    </row>
    <row r="894" spans="3:25" ht="18" customHeight="1" x14ac:dyDescent="0.2">
      <c r="C894" s="721"/>
      <c r="D894" s="722"/>
      <c r="E894" s="722"/>
      <c r="F894" s="722"/>
      <c r="G894" s="722"/>
      <c r="H894" s="722"/>
      <c r="I894" s="722"/>
      <c r="J894" s="722"/>
      <c r="K894" s="722"/>
      <c r="L894" s="722"/>
      <c r="M894" s="722"/>
      <c r="N894" s="722"/>
      <c r="O894" s="722"/>
      <c r="P894" s="722"/>
      <c r="Q894" s="722"/>
      <c r="R894" s="722"/>
      <c r="S894" s="722"/>
      <c r="T894" s="722"/>
      <c r="U894" s="722"/>
      <c r="V894" s="722"/>
      <c r="W894" s="722"/>
      <c r="X894" s="722"/>
      <c r="Y894" s="723"/>
    </row>
    <row r="895" spans="3:25" ht="18" customHeight="1" x14ac:dyDescent="0.2">
      <c r="C895" s="721"/>
      <c r="D895" s="722"/>
      <c r="E895" s="722"/>
      <c r="F895" s="722"/>
      <c r="G895" s="722"/>
      <c r="H895" s="722"/>
      <c r="I895" s="722"/>
      <c r="J895" s="722"/>
      <c r="K895" s="722"/>
      <c r="L895" s="722"/>
      <c r="M895" s="722"/>
      <c r="N895" s="722"/>
      <c r="O895" s="722"/>
      <c r="P895" s="722"/>
      <c r="Q895" s="722"/>
      <c r="R895" s="722"/>
      <c r="S895" s="722"/>
      <c r="T895" s="722"/>
      <c r="U895" s="722"/>
      <c r="V895" s="722"/>
      <c r="W895" s="722"/>
      <c r="X895" s="722"/>
      <c r="Y895" s="723"/>
    </row>
    <row r="896" spans="3:25" ht="18" customHeight="1" x14ac:dyDescent="0.2">
      <c r="C896" s="721"/>
      <c r="D896" s="722"/>
      <c r="E896" s="722"/>
      <c r="F896" s="722"/>
      <c r="G896" s="722"/>
      <c r="H896" s="722"/>
      <c r="I896" s="722"/>
      <c r="J896" s="722"/>
      <c r="K896" s="722"/>
      <c r="L896" s="722"/>
      <c r="M896" s="722"/>
      <c r="N896" s="722"/>
      <c r="O896" s="722"/>
      <c r="P896" s="722"/>
      <c r="Q896" s="722"/>
      <c r="R896" s="722"/>
      <c r="S896" s="722"/>
      <c r="T896" s="722"/>
      <c r="U896" s="722"/>
      <c r="V896" s="722"/>
      <c r="W896" s="722"/>
      <c r="X896" s="722"/>
      <c r="Y896" s="723"/>
    </row>
    <row r="897" spans="3:25" ht="18" customHeight="1" x14ac:dyDescent="0.2">
      <c r="C897" s="721"/>
      <c r="D897" s="722"/>
      <c r="E897" s="722"/>
      <c r="F897" s="722"/>
      <c r="G897" s="722"/>
      <c r="H897" s="722"/>
      <c r="I897" s="722"/>
      <c r="J897" s="722"/>
      <c r="K897" s="722"/>
      <c r="L897" s="722"/>
      <c r="M897" s="722"/>
      <c r="N897" s="722"/>
      <c r="O897" s="722"/>
      <c r="P897" s="722"/>
      <c r="Q897" s="722"/>
      <c r="R897" s="722"/>
      <c r="S897" s="722"/>
      <c r="T897" s="722"/>
      <c r="U897" s="722"/>
      <c r="V897" s="722"/>
      <c r="W897" s="722"/>
      <c r="X897" s="722"/>
      <c r="Y897" s="723"/>
    </row>
    <row r="898" spans="3:25" ht="18" customHeight="1" x14ac:dyDescent="0.2">
      <c r="C898" s="721"/>
      <c r="D898" s="722"/>
      <c r="E898" s="722"/>
      <c r="F898" s="722"/>
      <c r="G898" s="722"/>
      <c r="H898" s="722"/>
      <c r="I898" s="722"/>
      <c r="J898" s="722"/>
      <c r="K898" s="722"/>
      <c r="L898" s="722"/>
      <c r="M898" s="722"/>
      <c r="N898" s="722"/>
      <c r="O898" s="722"/>
      <c r="P898" s="722"/>
      <c r="Q898" s="722"/>
      <c r="R898" s="722"/>
      <c r="S898" s="722"/>
      <c r="T898" s="722"/>
      <c r="U898" s="722"/>
      <c r="V898" s="722"/>
      <c r="W898" s="722"/>
      <c r="X898" s="722"/>
      <c r="Y898" s="723"/>
    </row>
    <row r="899" spans="3:25" ht="18" customHeight="1" x14ac:dyDescent="0.2">
      <c r="C899" s="721"/>
      <c r="D899" s="722"/>
      <c r="E899" s="722"/>
      <c r="F899" s="722"/>
      <c r="G899" s="722"/>
      <c r="H899" s="722"/>
      <c r="I899" s="722"/>
      <c r="J899" s="722"/>
      <c r="K899" s="722"/>
      <c r="L899" s="722"/>
      <c r="M899" s="722"/>
      <c r="N899" s="722"/>
      <c r="O899" s="722"/>
      <c r="P899" s="722"/>
      <c r="Q899" s="722"/>
      <c r="R899" s="722"/>
      <c r="S899" s="722"/>
      <c r="T899" s="722"/>
      <c r="U899" s="722"/>
      <c r="V899" s="722"/>
      <c r="W899" s="722"/>
      <c r="X899" s="722"/>
      <c r="Y899" s="723"/>
    </row>
    <row r="900" spans="3:25" ht="18" customHeight="1" x14ac:dyDescent="0.2">
      <c r="C900" s="724"/>
      <c r="D900" s="725"/>
      <c r="E900" s="725"/>
      <c r="F900" s="725"/>
      <c r="G900" s="725"/>
      <c r="H900" s="725"/>
      <c r="I900" s="725"/>
      <c r="J900" s="725"/>
      <c r="K900" s="725"/>
      <c r="L900" s="725"/>
      <c r="M900" s="725"/>
      <c r="N900" s="725"/>
      <c r="O900" s="725"/>
      <c r="P900" s="725"/>
      <c r="Q900" s="725"/>
      <c r="R900" s="725"/>
      <c r="S900" s="725"/>
      <c r="T900" s="725"/>
      <c r="U900" s="725"/>
      <c r="V900" s="725"/>
      <c r="W900" s="725"/>
      <c r="X900" s="725"/>
      <c r="Y900" s="726"/>
    </row>
  </sheetData>
  <mergeCells count="624">
    <mergeCell ref="B1:Z3"/>
    <mergeCell ref="B4:Z14"/>
    <mergeCell ref="C17:Y20"/>
    <mergeCell ref="D23:Y23"/>
    <mergeCell ref="K26:L26"/>
    <mergeCell ref="F28:H28"/>
    <mergeCell ref="I28:K28"/>
    <mergeCell ref="L28:N28"/>
    <mergeCell ref="O28:T28"/>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C53:Y53"/>
    <mergeCell ref="C54:Y102"/>
    <mergeCell ref="G103:H103"/>
    <mergeCell ref="C105:Y105"/>
    <mergeCell ref="T107:W107"/>
    <mergeCell ref="X107:Y107"/>
    <mergeCell ref="C34:Y34"/>
    <mergeCell ref="C35:Y38"/>
    <mergeCell ref="D41:Y41"/>
    <mergeCell ref="C44:Y44"/>
    <mergeCell ref="C47:Y47"/>
    <mergeCell ref="C50:Y50"/>
    <mergeCell ref="B106:AA106"/>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J197:K197"/>
    <mergeCell ref="C198:Y200"/>
    <mergeCell ref="C203:Y204"/>
    <mergeCell ref="C205:Y207"/>
    <mergeCell ref="C210:Y210"/>
    <mergeCell ref="T213:W213"/>
    <mergeCell ref="X213:Y213"/>
    <mergeCell ref="C194:G196"/>
    <mergeCell ref="J194:K194"/>
    <mergeCell ref="T194:W194"/>
    <mergeCell ref="J195:K195"/>
    <mergeCell ref="T195:W195"/>
    <mergeCell ref="J196:K196"/>
    <mergeCell ref="G197:I197"/>
    <mergeCell ref="B211:Z212"/>
    <mergeCell ref="C225:Y225"/>
    <mergeCell ref="J226:K226"/>
    <mergeCell ref="T226:W226"/>
    <mergeCell ref="C229:Y229"/>
    <mergeCell ref="T230:W230"/>
    <mergeCell ref="X230:Y230"/>
    <mergeCell ref="C216:Y216"/>
    <mergeCell ref="T217:W217"/>
    <mergeCell ref="C220:Y220"/>
    <mergeCell ref="T221:W221"/>
    <mergeCell ref="X221:Y221"/>
    <mergeCell ref="T222:W222"/>
    <mergeCell ref="X222:Y222"/>
    <mergeCell ref="C242:Y287"/>
    <mergeCell ref="G288:H288"/>
    <mergeCell ref="C291:Y291"/>
    <mergeCell ref="T292:W292"/>
    <mergeCell ref="X292:Y292"/>
    <mergeCell ref="C295:Y295"/>
    <mergeCell ref="C233:Y233"/>
    <mergeCell ref="T234:W234"/>
    <mergeCell ref="X234:Y234"/>
    <mergeCell ref="D237:Y237"/>
    <mergeCell ref="C239:Y239"/>
    <mergeCell ref="C240:Y241"/>
    <mergeCell ref="G352:H352"/>
    <mergeCell ref="C355:Y355"/>
    <mergeCell ref="T356:W356"/>
    <mergeCell ref="X356:Y356"/>
    <mergeCell ref="C359:Y359"/>
    <mergeCell ref="C360:S360"/>
    <mergeCell ref="T360:Y360"/>
    <mergeCell ref="T296:W296"/>
    <mergeCell ref="X296:Y296"/>
    <mergeCell ref="D300:Y300"/>
    <mergeCell ref="C302:Y302"/>
    <mergeCell ref="C303:Y304"/>
    <mergeCell ref="C305:Y351"/>
    <mergeCell ref="E363:S363"/>
    <mergeCell ref="T363:W363"/>
    <mergeCell ref="X363:Y363"/>
    <mergeCell ref="E364:S364"/>
    <mergeCell ref="T364:W364"/>
    <mergeCell ref="X364:Y364"/>
    <mergeCell ref="E361:S361"/>
    <mergeCell ref="T361:W361"/>
    <mergeCell ref="X361:Y361"/>
    <mergeCell ref="E362:S362"/>
    <mergeCell ref="T362:W362"/>
    <mergeCell ref="X362:Y362"/>
    <mergeCell ref="E367:S367"/>
    <mergeCell ref="T367:W367"/>
    <mergeCell ref="X367:Y367"/>
    <mergeCell ref="E368:S368"/>
    <mergeCell ref="T368:W368"/>
    <mergeCell ref="X368:Y368"/>
    <mergeCell ref="E365:S365"/>
    <mergeCell ref="T365:W365"/>
    <mergeCell ref="X365:Y365"/>
    <mergeCell ref="E366:S366"/>
    <mergeCell ref="T366:W366"/>
    <mergeCell ref="X366:Y366"/>
    <mergeCell ref="D371:S371"/>
    <mergeCell ref="T371:W371"/>
    <mergeCell ref="X371:Y371"/>
    <mergeCell ref="C375:Y375"/>
    <mergeCell ref="C376:G377"/>
    <mergeCell ref="J376:K376"/>
    <mergeCell ref="T376:W376"/>
    <mergeCell ref="J377:K377"/>
    <mergeCell ref="E369:S369"/>
    <mergeCell ref="T369:W369"/>
    <mergeCell ref="X369:Y369"/>
    <mergeCell ref="E370:S370"/>
    <mergeCell ref="T370:W370"/>
    <mergeCell ref="X370:Y370"/>
    <mergeCell ref="C390:Y392"/>
    <mergeCell ref="T393:W393"/>
    <mergeCell ref="X393:Y393"/>
    <mergeCell ref="T394:W394"/>
    <mergeCell ref="X394:Y394"/>
    <mergeCell ref="C397:Y397"/>
    <mergeCell ref="C380:Y381"/>
    <mergeCell ref="T382:W382"/>
    <mergeCell ref="X382:Y382"/>
    <mergeCell ref="C385:Y386"/>
    <mergeCell ref="T387:W387"/>
    <mergeCell ref="X387:Y387"/>
    <mergeCell ref="C407:Y407"/>
    <mergeCell ref="T408:W408"/>
    <mergeCell ref="X408:Y408"/>
    <mergeCell ref="C411:Y412"/>
    <mergeCell ref="J413:K413"/>
    <mergeCell ref="T413:W413"/>
    <mergeCell ref="T398:W398"/>
    <mergeCell ref="X398:Y398"/>
    <mergeCell ref="T399:W399"/>
    <mergeCell ref="X399:Y399"/>
    <mergeCell ref="C402:Y403"/>
    <mergeCell ref="J404:K404"/>
    <mergeCell ref="T404:W404"/>
    <mergeCell ref="J429:K429"/>
    <mergeCell ref="T429:W429"/>
    <mergeCell ref="C432:Y434"/>
    <mergeCell ref="C435:Y436"/>
    <mergeCell ref="C439:Y439"/>
    <mergeCell ref="J440:K440"/>
    <mergeCell ref="T440:W440"/>
    <mergeCell ref="C416:Y418"/>
    <mergeCell ref="C419:Y420"/>
    <mergeCell ref="C423:Y423"/>
    <mergeCell ref="T424:W424"/>
    <mergeCell ref="X424:Y424"/>
    <mergeCell ref="C427:Y428"/>
    <mergeCell ref="D452:Y452"/>
    <mergeCell ref="C453:Y454"/>
    <mergeCell ref="J456:K456"/>
    <mergeCell ref="T456:W456"/>
    <mergeCell ref="J457:K457"/>
    <mergeCell ref="T457:W457"/>
    <mergeCell ref="C443:Y443"/>
    <mergeCell ref="J444:K444"/>
    <mergeCell ref="T444:W444"/>
    <mergeCell ref="C447:Y448"/>
    <mergeCell ref="J449:K449"/>
    <mergeCell ref="T449:W449"/>
    <mergeCell ref="B455:AA455"/>
    <mergeCell ref="C465:E465"/>
    <mergeCell ref="F465:S465"/>
    <mergeCell ref="T465:W465"/>
    <mergeCell ref="X465:Y465"/>
    <mergeCell ref="C466:E466"/>
    <mergeCell ref="F466:S466"/>
    <mergeCell ref="T466:W466"/>
    <mergeCell ref="X466:Y466"/>
    <mergeCell ref="C459:Y460"/>
    <mergeCell ref="C462:E462"/>
    <mergeCell ref="F462:S462"/>
    <mergeCell ref="T462:Y462"/>
    <mergeCell ref="C463:Y463"/>
    <mergeCell ref="C464:E464"/>
    <mergeCell ref="F464:S464"/>
    <mergeCell ref="T464:W464"/>
    <mergeCell ref="X464:Y464"/>
    <mergeCell ref="B461:AA461"/>
    <mergeCell ref="C469:E469"/>
    <mergeCell ref="F469:S469"/>
    <mergeCell ref="T469:W469"/>
    <mergeCell ref="X469:Y469"/>
    <mergeCell ref="C470:E470"/>
    <mergeCell ref="F470:S470"/>
    <mergeCell ref="T470:W470"/>
    <mergeCell ref="X470:Y470"/>
    <mergeCell ref="C467:E467"/>
    <mergeCell ref="F467:S467"/>
    <mergeCell ref="T467:W467"/>
    <mergeCell ref="X467:Y467"/>
    <mergeCell ref="C468:E468"/>
    <mergeCell ref="F468:S468"/>
    <mergeCell ref="T468:W468"/>
    <mergeCell ref="X468:Y468"/>
    <mergeCell ref="C473:E473"/>
    <mergeCell ref="F473:S473"/>
    <mergeCell ref="T473:W473"/>
    <mergeCell ref="X473:Y473"/>
    <mergeCell ref="C474:E474"/>
    <mergeCell ref="F474:S474"/>
    <mergeCell ref="T474:W474"/>
    <mergeCell ref="X474:Y474"/>
    <mergeCell ref="C471:E471"/>
    <mergeCell ref="F471:S471"/>
    <mergeCell ref="T471:W471"/>
    <mergeCell ref="X471:Y471"/>
    <mergeCell ref="C472:E472"/>
    <mergeCell ref="F472:S472"/>
    <mergeCell ref="T472:W472"/>
    <mergeCell ref="X472:Y472"/>
    <mergeCell ref="C477:E477"/>
    <mergeCell ref="F477:S477"/>
    <mergeCell ref="T477:W477"/>
    <mergeCell ref="X477:Y477"/>
    <mergeCell ref="C478:E478"/>
    <mergeCell ref="F478:S478"/>
    <mergeCell ref="T478:W478"/>
    <mergeCell ref="X478:Y478"/>
    <mergeCell ref="C475:E475"/>
    <mergeCell ref="F475:S475"/>
    <mergeCell ref="T475:W475"/>
    <mergeCell ref="X475:Y475"/>
    <mergeCell ref="C476:E476"/>
    <mergeCell ref="F476:S476"/>
    <mergeCell ref="T476:W476"/>
    <mergeCell ref="X476:Y476"/>
    <mergeCell ref="C484:Y485"/>
    <mergeCell ref="C486:Y487"/>
    <mergeCell ref="C490:Y490"/>
    <mergeCell ref="T491:W491"/>
    <mergeCell ref="X491:Y491"/>
    <mergeCell ref="D494:Y494"/>
    <mergeCell ref="C479:E479"/>
    <mergeCell ref="F479:S479"/>
    <mergeCell ref="T479:W479"/>
    <mergeCell ref="X479:Y479"/>
    <mergeCell ref="C480:S480"/>
    <mergeCell ref="T480:W480"/>
    <mergeCell ref="X480:Y480"/>
    <mergeCell ref="T504:W504"/>
    <mergeCell ref="X504:Y504"/>
    <mergeCell ref="C507:Y507"/>
    <mergeCell ref="J508:K508"/>
    <mergeCell ref="T508:W508"/>
    <mergeCell ref="D511:Y511"/>
    <mergeCell ref="C495:Y495"/>
    <mergeCell ref="C497:Y497"/>
    <mergeCell ref="T498:W498"/>
    <mergeCell ref="X498:Y498"/>
    <mergeCell ref="C501:Y502"/>
    <mergeCell ref="T503:W503"/>
    <mergeCell ref="X503:Y503"/>
    <mergeCell ref="C525:Y525"/>
    <mergeCell ref="C526:Y526"/>
    <mergeCell ref="D529:Y529"/>
    <mergeCell ref="C531:Y532"/>
    <mergeCell ref="C533:Y533"/>
    <mergeCell ref="C534:Y535"/>
    <mergeCell ref="C513:Y513"/>
    <mergeCell ref="C514:Y514"/>
    <mergeCell ref="D517:Y517"/>
    <mergeCell ref="C518:Y519"/>
    <mergeCell ref="C521:Y521"/>
    <mergeCell ref="J522:K522"/>
    <mergeCell ref="T522:W522"/>
    <mergeCell ref="C545:Y545"/>
    <mergeCell ref="C546:Y547"/>
    <mergeCell ref="C550:Y551"/>
    <mergeCell ref="C552:Y553"/>
    <mergeCell ref="C556:Y557"/>
    <mergeCell ref="C558:Y558"/>
    <mergeCell ref="C536:Y536"/>
    <mergeCell ref="C537:Y538"/>
    <mergeCell ref="C539:Y539"/>
    <mergeCell ref="C540:Y541"/>
    <mergeCell ref="C542:Y542"/>
    <mergeCell ref="C543:Y544"/>
    <mergeCell ref="C568:Y569"/>
    <mergeCell ref="D572:Y572"/>
    <mergeCell ref="C574:Y575"/>
    <mergeCell ref="C576:Y577"/>
    <mergeCell ref="C580:Y581"/>
    <mergeCell ref="C582:Y583"/>
    <mergeCell ref="C559:Y560"/>
    <mergeCell ref="C561:Y561"/>
    <mergeCell ref="C562:Y563"/>
    <mergeCell ref="C564:Y564"/>
    <mergeCell ref="C565:Y566"/>
    <mergeCell ref="C567:Y567"/>
    <mergeCell ref="X600:Y600"/>
    <mergeCell ref="D603:Y603"/>
    <mergeCell ref="J605:K605"/>
    <mergeCell ref="F608:H608"/>
    <mergeCell ref="I608:K608"/>
    <mergeCell ref="L608:N608"/>
    <mergeCell ref="O608:T608"/>
    <mergeCell ref="C586:Y587"/>
    <mergeCell ref="C588:Y589"/>
    <mergeCell ref="C592:Y593"/>
    <mergeCell ref="J594:K594"/>
    <mergeCell ref="T594:W594"/>
    <mergeCell ref="C597:Y598"/>
    <mergeCell ref="F609:H609"/>
    <mergeCell ref="I609:K609"/>
    <mergeCell ref="L609:N609"/>
    <mergeCell ref="O609:T609"/>
    <mergeCell ref="F610:H610"/>
    <mergeCell ref="I610:K610"/>
    <mergeCell ref="L610:N610"/>
    <mergeCell ref="O610:T610"/>
    <mergeCell ref="G599:S600"/>
    <mergeCell ref="T600:W600"/>
    <mergeCell ref="D615:Y615"/>
    <mergeCell ref="C617:Y617"/>
    <mergeCell ref="C618:S618"/>
    <mergeCell ref="C619:S620"/>
    <mergeCell ref="T619:W620"/>
    <mergeCell ref="X619:Y620"/>
    <mergeCell ref="F611:H611"/>
    <mergeCell ref="I611:K611"/>
    <mergeCell ref="L611:N611"/>
    <mergeCell ref="O611:T611"/>
    <mergeCell ref="F612:H612"/>
    <mergeCell ref="I612:K612"/>
    <mergeCell ref="L612:N612"/>
    <mergeCell ref="O612:T612"/>
    <mergeCell ref="D624:S624"/>
    <mergeCell ref="T624:W624"/>
    <mergeCell ref="X624:Y624"/>
    <mergeCell ref="C625:Y625"/>
    <mergeCell ref="D626:S626"/>
    <mergeCell ref="T626:W626"/>
    <mergeCell ref="X626:Y626"/>
    <mergeCell ref="C621:Y621"/>
    <mergeCell ref="D622:S622"/>
    <mergeCell ref="T622:W622"/>
    <mergeCell ref="X622:Y622"/>
    <mergeCell ref="D623:S623"/>
    <mergeCell ref="T623:W623"/>
    <mergeCell ref="X623:Y623"/>
    <mergeCell ref="C629:S629"/>
    <mergeCell ref="T629:W629"/>
    <mergeCell ref="X629:Y629"/>
    <mergeCell ref="C630:S630"/>
    <mergeCell ref="T630:W630"/>
    <mergeCell ref="X630:Y630"/>
    <mergeCell ref="D627:S627"/>
    <mergeCell ref="T627:W627"/>
    <mergeCell ref="X627:Y627"/>
    <mergeCell ref="D628:S628"/>
    <mergeCell ref="T628:W628"/>
    <mergeCell ref="X628:Y628"/>
    <mergeCell ref="C638:S638"/>
    <mergeCell ref="D639:S639"/>
    <mergeCell ref="T639:W639"/>
    <mergeCell ref="X639:Y639"/>
    <mergeCell ref="D640:S640"/>
    <mergeCell ref="T640:W640"/>
    <mergeCell ref="X640:Y640"/>
    <mergeCell ref="C631:S631"/>
    <mergeCell ref="T631:W631"/>
    <mergeCell ref="X631:Y631"/>
    <mergeCell ref="C634:Y635"/>
    <mergeCell ref="C636:S636"/>
    <mergeCell ref="C637:S637"/>
    <mergeCell ref="T637:W637"/>
    <mergeCell ref="X637:Y637"/>
    <mergeCell ref="D648:S648"/>
    <mergeCell ref="T648:W648"/>
    <mergeCell ref="X648:Y648"/>
    <mergeCell ref="D649:S649"/>
    <mergeCell ref="T649:W649"/>
    <mergeCell ref="X649:Y649"/>
    <mergeCell ref="C641:S641"/>
    <mergeCell ref="T641:W641"/>
    <mergeCell ref="X641:Y641"/>
    <mergeCell ref="C644:Y645"/>
    <mergeCell ref="C646:S646"/>
    <mergeCell ref="C647:Y647"/>
    <mergeCell ref="C653:Y653"/>
    <mergeCell ref="C654:S654"/>
    <mergeCell ref="T654:W654"/>
    <mergeCell ref="X654:Y654"/>
    <mergeCell ref="C655:S655"/>
    <mergeCell ref="T655:W655"/>
    <mergeCell ref="X655:Y655"/>
    <mergeCell ref="C650:Y650"/>
    <mergeCell ref="D651:S651"/>
    <mergeCell ref="T651:W651"/>
    <mergeCell ref="X651:Y651"/>
    <mergeCell ref="D652:S652"/>
    <mergeCell ref="T652:W652"/>
    <mergeCell ref="X652:Y652"/>
    <mergeCell ref="C665:Y666"/>
    <mergeCell ref="J667:L667"/>
    <mergeCell ref="N667:R668"/>
    <mergeCell ref="T667:Y667"/>
    <mergeCell ref="J668:L668"/>
    <mergeCell ref="T668:Y668"/>
    <mergeCell ref="D658:Y658"/>
    <mergeCell ref="C660:Y660"/>
    <mergeCell ref="J661:K661"/>
    <mergeCell ref="T661:W661"/>
    <mergeCell ref="J662:K662"/>
    <mergeCell ref="T662:W662"/>
    <mergeCell ref="C674:Y674"/>
    <mergeCell ref="C676:Y676"/>
    <mergeCell ref="J677:K677"/>
    <mergeCell ref="T677:W677"/>
    <mergeCell ref="C680:Y681"/>
    <mergeCell ref="J682:K682"/>
    <mergeCell ref="T682:W682"/>
    <mergeCell ref="J669:K669"/>
    <mergeCell ref="N669:P669"/>
    <mergeCell ref="Q669:R669"/>
    <mergeCell ref="T669:W669"/>
    <mergeCell ref="X669:Y669"/>
    <mergeCell ref="J670:K670"/>
    <mergeCell ref="N670:P670"/>
    <mergeCell ref="Q670:R670"/>
    <mergeCell ref="T670:W670"/>
    <mergeCell ref="X670:Y670"/>
    <mergeCell ref="C694:Y694"/>
    <mergeCell ref="J695:K695"/>
    <mergeCell ref="T695:W695"/>
    <mergeCell ref="C698:Y698"/>
    <mergeCell ref="T699:W699"/>
    <mergeCell ref="X699:Y699"/>
    <mergeCell ref="C685:Y685"/>
    <mergeCell ref="J686:K686"/>
    <mergeCell ref="T686:W686"/>
    <mergeCell ref="C689:Y690"/>
    <mergeCell ref="T691:W691"/>
    <mergeCell ref="X691:Y691"/>
    <mergeCell ref="J711:K711"/>
    <mergeCell ref="T711:W711"/>
    <mergeCell ref="C714:Y714"/>
    <mergeCell ref="J715:K715"/>
    <mergeCell ref="T715:W715"/>
    <mergeCell ref="J716:K716"/>
    <mergeCell ref="T716:W716"/>
    <mergeCell ref="C702:Y702"/>
    <mergeCell ref="J703:K703"/>
    <mergeCell ref="T703:W703"/>
    <mergeCell ref="D706:Y706"/>
    <mergeCell ref="C708:Y708"/>
    <mergeCell ref="C710:Y710"/>
    <mergeCell ref="C725:Y725"/>
    <mergeCell ref="T726:W726"/>
    <mergeCell ref="X726:Y726"/>
    <mergeCell ref="C729:Y730"/>
    <mergeCell ref="C731:S731"/>
    <mergeCell ref="T731:Y731"/>
    <mergeCell ref="J717:K717"/>
    <mergeCell ref="T717:W717"/>
    <mergeCell ref="J718:K718"/>
    <mergeCell ref="C721:Y721"/>
    <mergeCell ref="J722:K722"/>
    <mergeCell ref="T722:W722"/>
    <mergeCell ref="C736:S737"/>
    <mergeCell ref="T736:W737"/>
    <mergeCell ref="X736:Y737"/>
    <mergeCell ref="C738:S739"/>
    <mergeCell ref="T738:W739"/>
    <mergeCell ref="X738:Y739"/>
    <mergeCell ref="C732:S733"/>
    <mergeCell ref="T732:W733"/>
    <mergeCell ref="X732:Y733"/>
    <mergeCell ref="C734:S735"/>
    <mergeCell ref="T734:W735"/>
    <mergeCell ref="X734:Y735"/>
    <mergeCell ref="D742:Y742"/>
    <mergeCell ref="C744:Y744"/>
    <mergeCell ref="A745:A754"/>
    <mergeCell ref="B745:B754"/>
    <mergeCell ref="C745:C754"/>
    <mergeCell ref="D745:D754"/>
    <mergeCell ref="E745:F754"/>
    <mergeCell ref="G745:G754"/>
    <mergeCell ref="H745:K745"/>
    <mergeCell ref="L745:L754"/>
    <mergeCell ref="N751:S751"/>
    <mergeCell ref="N752:S752"/>
    <mergeCell ref="N753:S753"/>
    <mergeCell ref="D755:AB755"/>
    <mergeCell ref="A756:AB756"/>
    <mergeCell ref="E757:F757"/>
    <mergeCell ref="Z757:AB757"/>
    <mergeCell ref="J747:J754"/>
    <mergeCell ref="K747:K754"/>
    <mergeCell ref="N747:S747"/>
    <mergeCell ref="T747:Y747"/>
    <mergeCell ref="N748:S748"/>
    <mergeCell ref="T748:Y748"/>
    <mergeCell ref="N749:S749"/>
    <mergeCell ref="T749:Y749"/>
    <mergeCell ref="N750:S750"/>
    <mergeCell ref="T750:Y753"/>
    <mergeCell ref="M745:M754"/>
    <mergeCell ref="N745:Y745"/>
    <mergeCell ref="Z745:Z754"/>
    <mergeCell ref="AA745:AA754"/>
    <mergeCell ref="AB745:AB754"/>
    <mergeCell ref="H746:K746"/>
    <mergeCell ref="N746:S746"/>
    <mergeCell ref="T746:Y746"/>
    <mergeCell ref="H747:H754"/>
    <mergeCell ref="I747:I754"/>
    <mergeCell ref="E761:F761"/>
    <mergeCell ref="Z761:AB761"/>
    <mergeCell ref="E762:F762"/>
    <mergeCell ref="Z762:AB762"/>
    <mergeCell ref="E763:F763"/>
    <mergeCell ref="Z763:AB763"/>
    <mergeCell ref="E758:F758"/>
    <mergeCell ref="Z758:AB758"/>
    <mergeCell ref="E759:F759"/>
    <mergeCell ref="Z759:AB759"/>
    <mergeCell ref="E760:F760"/>
    <mergeCell ref="Z760:AB760"/>
    <mergeCell ref="E767:F767"/>
    <mergeCell ref="Z767:AB767"/>
    <mergeCell ref="E768:F768"/>
    <mergeCell ref="Z768:AB768"/>
    <mergeCell ref="E769:F769"/>
    <mergeCell ref="Z769:AB769"/>
    <mergeCell ref="E764:F764"/>
    <mergeCell ref="Z764:AB764"/>
    <mergeCell ref="E765:F765"/>
    <mergeCell ref="Z765:AB765"/>
    <mergeCell ref="E766:F766"/>
    <mergeCell ref="Z766:AB766"/>
    <mergeCell ref="E773:F773"/>
    <mergeCell ref="Z773:AB773"/>
    <mergeCell ref="E774:F774"/>
    <mergeCell ref="Z774:AB774"/>
    <mergeCell ref="E775:F775"/>
    <mergeCell ref="Z775:AB775"/>
    <mergeCell ref="E770:F770"/>
    <mergeCell ref="Z770:AB770"/>
    <mergeCell ref="E771:F771"/>
    <mergeCell ref="Z771:AB771"/>
    <mergeCell ref="E772:F772"/>
    <mergeCell ref="Z772:AB772"/>
    <mergeCell ref="E779:F779"/>
    <mergeCell ref="Z779:AB779"/>
    <mergeCell ref="E780:F780"/>
    <mergeCell ref="Z780:AB780"/>
    <mergeCell ref="A782:AB783"/>
    <mergeCell ref="C787:W787"/>
    <mergeCell ref="E776:F776"/>
    <mergeCell ref="Z776:AB776"/>
    <mergeCell ref="E777:F777"/>
    <mergeCell ref="Z777:AB777"/>
    <mergeCell ref="E778:F778"/>
    <mergeCell ref="Z778:AB778"/>
    <mergeCell ref="D803:Y803"/>
    <mergeCell ref="C805:Y805"/>
    <mergeCell ref="T806:W806"/>
    <mergeCell ref="X806:Y806"/>
    <mergeCell ref="D809:Y809"/>
    <mergeCell ref="C811:Y811"/>
    <mergeCell ref="D790:Y790"/>
    <mergeCell ref="C792:Y793"/>
    <mergeCell ref="C795:Y796"/>
    <mergeCell ref="J797:K797"/>
    <mergeCell ref="T797:W797"/>
    <mergeCell ref="D800:Y800"/>
    <mergeCell ref="C821:S822"/>
    <mergeCell ref="T822:W822"/>
    <mergeCell ref="X822:Y822"/>
    <mergeCell ref="D825:Y825"/>
    <mergeCell ref="C827:Y828"/>
    <mergeCell ref="C829:Y900"/>
    <mergeCell ref="T812:W812"/>
    <mergeCell ref="X812:Y812"/>
    <mergeCell ref="C815:Y815"/>
    <mergeCell ref="T816:W816"/>
    <mergeCell ref="X816:Y816"/>
    <mergeCell ref="C819:Y820"/>
  </mergeCells>
  <conditionalFormatting sqref="B198">
    <cfRule type="expression" dxfId="3"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60" fitToHeight="0" pageOrder="overThenDown" orientation="portrait" r:id="rId1"/>
  <headerFooter>
    <oddHeader>&amp;C&amp;A</oddHeader>
    <oddFooter>&amp;CPage &amp;P</oddFooter>
  </headerFooter>
  <rowBreaks count="18" manualBreakCount="18">
    <brk id="52" max="28" man="1"/>
    <brk id="104" max="27" man="1"/>
    <brk id="141" max="28" man="1"/>
    <brk id="192" max="27" man="1"/>
    <brk id="236" max="28" man="1"/>
    <brk id="299" max="27" man="1"/>
    <brk id="358" max="27" man="1"/>
    <brk id="374" max="27" man="1"/>
    <brk id="431" max="27" man="1"/>
    <brk id="493" max="27" man="1"/>
    <brk id="528" max="27" man="1"/>
    <brk id="602" max="27" man="1"/>
    <brk id="657" max="27" man="1"/>
    <brk id="705" max="27" man="1"/>
    <brk id="741" max="16383" man="1"/>
    <brk id="785" max="27" man="1"/>
    <brk id="799" max="27" man="1"/>
    <brk id="824" max="2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pageSetUpPr fitToPage="1"/>
  </sheetPr>
  <dimension ref="A1:AB900"/>
  <sheetViews>
    <sheetView showGridLines="0" showRowColHeaders="0" view="pageBreakPreview" zoomScale="70" zoomScaleNormal="100" zoomScaleSheetLayoutView="70" workbookViewId="0">
      <selection activeCell="B1" sqref="B1:Z3"/>
    </sheetView>
  </sheetViews>
  <sheetFormatPr baseColWidth="10" defaultColWidth="11" defaultRowHeight="18" customHeight="1" x14ac:dyDescent="0.2"/>
  <cols>
    <col min="1" max="4" width="7.5" style="339" customWidth="1"/>
    <col min="5" max="5" width="6.75" style="339" customWidth="1"/>
    <col min="6" max="6" width="7" style="339" customWidth="1"/>
    <col min="7" max="13" width="7.5" style="339" customWidth="1"/>
    <col min="14" max="15" width="4.25" style="339" customWidth="1"/>
    <col min="16" max="16" width="4.5" style="338" customWidth="1"/>
    <col min="17" max="25" width="4.25" style="339" customWidth="1"/>
    <col min="26" max="26" width="4.5" style="339" customWidth="1"/>
    <col min="27" max="28" width="4.375" style="339" customWidth="1"/>
    <col min="29" max="16384" width="11" style="339"/>
  </cols>
  <sheetData>
    <row r="1" spans="1:28" ht="18" customHeight="1" x14ac:dyDescent="0.2">
      <c r="A1" s="333"/>
      <c r="B1" s="707" t="s">
        <v>386</v>
      </c>
      <c r="C1" s="707"/>
      <c r="D1" s="707"/>
      <c r="E1" s="707"/>
      <c r="F1" s="707"/>
      <c r="G1" s="707"/>
      <c r="H1" s="707"/>
      <c r="I1" s="707"/>
      <c r="J1" s="707"/>
      <c r="K1" s="707"/>
      <c r="L1" s="707"/>
      <c r="M1" s="707"/>
      <c r="N1" s="707"/>
      <c r="O1" s="707"/>
      <c r="P1" s="707"/>
      <c r="Q1" s="707"/>
      <c r="R1" s="707"/>
      <c r="S1" s="707"/>
      <c r="T1" s="707"/>
      <c r="U1" s="707"/>
      <c r="V1" s="707"/>
      <c r="W1" s="707"/>
      <c r="X1" s="707"/>
      <c r="Y1" s="707"/>
      <c r="Z1" s="707"/>
      <c r="AA1" s="334"/>
      <c r="AB1" s="334"/>
    </row>
    <row r="2" spans="1:28" ht="18" customHeight="1" x14ac:dyDescent="0.2">
      <c r="A2" s="333"/>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334"/>
      <c r="AB2" s="334"/>
    </row>
    <row r="3" spans="1:28" ht="18" customHeight="1" x14ac:dyDescent="0.2">
      <c r="A3" s="333"/>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334"/>
      <c r="AB3" s="334"/>
    </row>
    <row r="4" spans="1:28" ht="18" customHeight="1" x14ac:dyDescent="0.2">
      <c r="A4" s="333"/>
      <c r="B4" s="706" t="s">
        <v>502</v>
      </c>
      <c r="C4" s="706"/>
      <c r="D4" s="706"/>
      <c r="E4" s="706"/>
      <c r="F4" s="706"/>
      <c r="G4" s="706"/>
      <c r="H4" s="706"/>
      <c r="I4" s="706"/>
      <c r="J4" s="706"/>
      <c r="K4" s="706"/>
      <c r="L4" s="706"/>
      <c r="M4" s="706"/>
      <c r="N4" s="706"/>
      <c r="O4" s="706"/>
      <c r="P4" s="706"/>
      <c r="Q4" s="706"/>
      <c r="R4" s="706"/>
      <c r="S4" s="706"/>
      <c r="T4" s="706"/>
      <c r="U4" s="706"/>
      <c r="V4" s="706"/>
      <c r="W4" s="706"/>
      <c r="X4" s="706"/>
      <c r="Y4" s="706"/>
      <c r="Z4" s="706"/>
      <c r="AA4" s="335"/>
      <c r="AB4" s="335"/>
    </row>
    <row r="5" spans="1:28" ht="18" customHeight="1" x14ac:dyDescent="0.2">
      <c r="A5" s="333"/>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335"/>
      <c r="AB5" s="335"/>
    </row>
    <row r="6" spans="1:28" ht="18" customHeight="1" x14ac:dyDescent="0.2">
      <c r="A6" s="333"/>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335"/>
      <c r="AB6" s="335"/>
    </row>
    <row r="7" spans="1:28" ht="18" customHeight="1" x14ac:dyDescent="0.2">
      <c r="A7" s="333"/>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335"/>
      <c r="AB7" s="335"/>
    </row>
    <row r="8" spans="1:28" ht="18" customHeight="1" x14ac:dyDescent="0.2">
      <c r="A8" s="333"/>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335"/>
      <c r="AB8" s="335"/>
    </row>
    <row r="9" spans="1:28" ht="18" customHeight="1" x14ac:dyDescent="0.2">
      <c r="A9" s="333"/>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335"/>
      <c r="AB9" s="335"/>
    </row>
    <row r="10" spans="1:28" ht="18" customHeight="1" x14ac:dyDescent="0.2">
      <c r="A10" s="333"/>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335"/>
      <c r="AB10" s="335"/>
    </row>
    <row r="11" spans="1:28" ht="18" customHeight="1" x14ac:dyDescent="0.2">
      <c r="A11" s="333"/>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335"/>
      <c r="AB11" s="335"/>
    </row>
    <row r="12" spans="1:28" ht="18" customHeight="1" x14ac:dyDescent="0.2">
      <c r="A12" s="333"/>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335"/>
      <c r="AB12" s="335"/>
    </row>
    <row r="13" spans="1:28" ht="18" customHeight="1" x14ac:dyDescent="0.2">
      <c r="A13" s="333"/>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335"/>
      <c r="AB13" s="335"/>
    </row>
    <row r="14" spans="1:28" ht="18" customHeight="1" x14ac:dyDescent="0.2">
      <c r="A14" s="333"/>
      <c r="B14" s="706"/>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335"/>
      <c r="AB14" s="335"/>
    </row>
    <row r="15" spans="1:28" ht="18" customHeight="1" x14ac:dyDescent="0.2">
      <c r="A15" s="333"/>
      <c r="B15" s="336" t="s">
        <v>1527</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2">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2">
      <c r="A17" s="333"/>
      <c r="B17" s="333"/>
      <c r="C17" s="708" t="s">
        <v>545</v>
      </c>
      <c r="D17" s="709"/>
      <c r="E17" s="709"/>
      <c r="F17" s="709"/>
      <c r="G17" s="709"/>
      <c r="H17" s="709"/>
      <c r="I17" s="709"/>
      <c r="J17" s="709"/>
      <c r="K17" s="709"/>
      <c r="L17" s="709"/>
      <c r="M17" s="709"/>
      <c r="N17" s="709"/>
      <c r="O17" s="709"/>
      <c r="P17" s="709"/>
      <c r="Q17" s="709"/>
      <c r="R17" s="709"/>
      <c r="S17" s="709"/>
      <c r="T17" s="709"/>
      <c r="U17" s="709"/>
      <c r="V17" s="709"/>
      <c r="W17" s="709"/>
      <c r="X17" s="709"/>
      <c r="Y17" s="710"/>
      <c r="Z17" s="333"/>
      <c r="AA17" s="333"/>
      <c r="AB17" s="333"/>
    </row>
    <row r="18" spans="1:28" ht="18" customHeight="1" x14ac:dyDescent="0.2">
      <c r="A18" s="333"/>
      <c r="B18" s="333"/>
      <c r="C18" s="711"/>
      <c r="D18" s="712"/>
      <c r="E18" s="712"/>
      <c r="F18" s="712"/>
      <c r="G18" s="712"/>
      <c r="H18" s="712"/>
      <c r="I18" s="712"/>
      <c r="J18" s="712"/>
      <c r="K18" s="712"/>
      <c r="L18" s="712"/>
      <c r="M18" s="712"/>
      <c r="N18" s="712"/>
      <c r="O18" s="712"/>
      <c r="P18" s="712"/>
      <c r="Q18" s="712"/>
      <c r="R18" s="712"/>
      <c r="S18" s="712"/>
      <c r="T18" s="712"/>
      <c r="U18" s="712"/>
      <c r="V18" s="712"/>
      <c r="W18" s="712"/>
      <c r="X18" s="712"/>
      <c r="Y18" s="713"/>
      <c r="Z18" s="333"/>
      <c r="AA18" s="333"/>
      <c r="AB18" s="333"/>
    </row>
    <row r="19" spans="1:28" ht="18" customHeight="1" x14ac:dyDescent="0.2">
      <c r="A19" s="333"/>
      <c r="B19" s="333"/>
      <c r="C19" s="711"/>
      <c r="D19" s="712"/>
      <c r="E19" s="712"/>
      <c r="F19" s="712"/>
      <c r="G19" s="712"/>
      <c r="H19" s="712"/>
      <c r="I19" s="712"/>
      <c r="J19" s="712"/>
      <c r="K19" s="712"/>
      <c r="L19" s="712"/>
      <c r="M19" s="712"/>
      <c r="N19" s="712"/>
      <c r="O19" s="712"/>
      <c r="P19" s="712"/>
      <c r="Q19" s="712"/>
      <c r="R19" s="712"/>
      <c r="S19" s="712"/>
      <c r="T19" s="712"/>
      <c r="U19" s="712"/>
      <c r="V19" s="712"/>
      <c r="W19" s="712"/>
      <c r="X19" s="712"/>
      <c r="Y19" s="713"/>
      <c r="Z19" s="333"/>
      <c r="AA19" s="333"/>
      <c r="AB19" s="333"/>
    </row>
    <row r="20" spans="1:28" ht="18" customHeight="1" x14ac:dyDescent="0.2">
      <c r="A20" s="333"/>
      <c r="B20" s="333"/>
      <c r="C20" s="714"/>
      <c r="D20" s="715"/>
      <c r="E20" s="715"/>
      <c r="F20" s="715"/>
      <c r="G20" s="715"/>
      <c r="H20" s="715"/>
      <c r="I20" s="715"/>
      <c r="J20" s="715"/>
      <c r="K20" s="715"/>
      <c r="L20" s="715"/>
      <c r="M20" s="715"/>
      <c r="N20" s="715"/>
      <c r="O20" s="715"/>
      <c r="P20" s="715"/>
      <c r="Q20" s="715"/>
      <c r="R20" s="715"/>
      <c r="S20" s="715"/>
      <c r="T20" s="715"/>
      <c r="U20" s="715"/>
      <c r="V20" s="715"/>
      <c r="W20" s="715"/>
      <c r="X20" s="715"/>
      <c r="Y20" s="716"/>
      <c r="Z20" s="333"/>
      <c r="AA20" s="333"/>
      <c r="AB20" s="333"/>
    </row>
    <row r="21" spans="1:28" ht="18" customHeight="1" x14ac:dyDescent="0.2">
      <c r="A21" s="337"/>
      <c r="B21" s="337"/>
      <c r="C21" s="337"/>
      <c r="D21" s="337"/>
      <c r="E21" s="337"/>
      <c r="F21" s="337"/>
      <c r="G21" s="337"/>
      <c r="H21" s="337"/>
      <c r="I21" s="337"/>
      <c r="J21" s="337"/>
      <c r="K21" s="337"/>
      <c r="L21" s="337"/>
      <c r="M21" s="337"/>
      <c r="N21" s="337"/>
      <c r="O21" s="337"/>
    </row>
    <row r="22" spans="1:28" ht="18" customHeight="1" x14ac:dyDescent="0.2">
      <c r="A22" s="337"/>
      <c r="B22" s="337"/>
      <c r="C22" s="337"/>
      <c r="D22" s="337"/>
      <c r="E22" s="337"/>
      <c r="F22" s="337"/>
      <c r="G22" s="337"/>
      <c r="H22" s="337"/>
      <c r="I22" s="337"/>
      <c r="J22" s="337"/>
      <c r="K22" s="337"/>
      <c r="L22" s="337"/>
      <c r="M22" s="337"/>
      <c r="N22" s="337"/>
      <c r="O22" s="337"/>
    </row>
    <row r="23" spans="1:28" s="342" customFormat="1" ht="36" customHeight="1" x14ac:dyDescent="0.2">
      <c r="A23" s="340"/>
      <c r="B23" s="340"/>
      <c r="C23" s="341">
        <v>1</v>
      </c>
      <c r="D23" s="695" t="s">
        <v>381</v>
      </c>
      <c r="E23" s="696"/>
      <c r="F23" s="696"/>
      <c r="G23" s="696"/>
      <c r="H23" s="696"/>
      <c r="I23" s="696"/>
      <c r="J23" s="696"/>
      <c r="K23" s="696"/>
      <c r="L23" s="696"/>
      <c r="M23" s="696"/>
      <c r="N23" s="696"/>
      <c r="O23" s="696"/>
      <c r="P23" s="696"/>
      <c r="Q23" s="696"/>
      <c r="R23" s="696"/>
      <c r="S23" s="696"/>
      <c r="T23" s="696"/>
      <c r="U23" s="696"/>
      <c r="V23" s="696"/>
      <c r="W23" s="696"/>
      <c r="X23" s="696"/>
      <c r="Y23" s="697"/>
    </row>
    <row r="24" spans="1:28" ht="18" customHeight="1" x14ac:dyDescent="0.2">
      <c r="A24" s="337"/>
      <c r="B24" s="337"/>
      <c r="C24" s="337"/>
      <c r="D24" s="337"/>
      <c r="E24" s="337"/>
      <c r="F24" s="337"/>
      <c r="G24" s="337"/>
      <c r="H24" s="337"/>
      <c r="I24" s="337"/>
      <c r="J24" s="337"/>
      <c r="K24" s="337"/>
      <c r="L24" s="337"/>
      <c r="M24" s="337"/>
      <c r="N24" s="337"/>
      <c r="O24" s="337"/>
    </row>
    <row r="25" spans="1:28" ht="18" customHeight="1" x14ac:dyDescent="0.2">
      <c r="A25" s="337"/>
      <c r="B25" s="337"/>
      <c r="C25" s="337"/>
      <c r="D25" s="337"/>
      <c r="E25" s="337"/>
      <c r="F25" s="337"/>
      <c r="G25" s="337"/>
      <c r="H25" s="337"/>
      <c r="I25" s="337"/>
      <c r="J25" s="337"/>
      <c r="K25" s="337"/>
      <c r="L25" s="337"/>
      <c r="M25" s="337"/>
      <c r="N25" s="337"/>
      <c r="O25" s="337"/>
    </row>
    <row r="26" spans="1:28" ht="18" customHeight="1" x14ac:dyDescent="0.2">
      <c r="A26" s="337"/>
      <c r="B26" s="337"/>
      <c r="C26" s="340"/>
      <c r="D26" s="340"/>
      <c r="E26" s="340"/>
      <c r="F26" s="340"/>
      <c r="G26" s="340"/>
      <c r="H26" s="340"/>
      <c r="I26" s="340"/>
      <c r="J26" s="343" t="s">
        <v>266</v>
      </c>
      <c r="K26" s="717"/>
      <c r="L26" s="717"/>
      <c r="M26" s="340"/>
      <c r="N26" s="337"/>
      <c r="O26" s="337"/>
    </row>
    <row r="27" spans="1:28" ht="18" customHeight="1" x14ac:dyDescent="0.2">
      <c r="A27" s="337"/>
      <c r="B27" s="337"/>
      <c r="C27" s="344" t="s">
        <v>230</v>
      </c>
      <c r="D27" s="340"/>
      <c r="E27" s="340"/>
      <c r="F27" s="340"/>
      <c r="G27" s="340"/>
      <c r="H27" s="340"/>
      <c r="I27" s="340"/>
      <c r="J27" s="340"/>
      <c r="K27" s="345"/>
      <c r="L27" s="340"/>
      <c r="M27" s="340"/>
      <c r="N27" s="337"/>
      <c r="O27" s="337"/>
    </row>
    <row r="28" spans="1:28" ht="18" customHeight="1" x14ac:dyDescent="0.2">
      <c r="A28" s="337"/>
      <c r="B28" s="337"/>
      <c r="C28" s="337"/>
      <c r="D28" s="337"/>
      <c r="E28" s="337"/>
      <c r="F28" s="640" t="s">
        <v>0</v>
      </c>
      <c r="G28" s="640"/>
      <c r="H28" s="640"/>
      <c r="I28" s="640" t="s">
        <v>1</v>
      </c>
      <c r="J28" s="640"/>
      <c r="K28" s="640"/>
      <c r="L28" s="640" t="s">
        <v>2</v>
      </c>
      <c r="M28" s="640"/>
      <c r="N28" s="640"/>
      <c r="O28" s="640" t="s">
        <v>3</v>
      </c>
      <c r="P28" s="640"/>
      <c r="Q28" s="640"/>
      <c r="R28" s="640"/>
      <c r="S28" s="640"/>
      <c r="T28" s="640"/>
    </row>
    <row r="29" spans="1:28" ht="18" customHeight="1" x14ac:dyDescent="0.2">
      <c r="A29" s="337"/>
      <c r="B29" s="337"/>
      <c r="C29" s="337"/>
      <c r="D29" s="337"/>
      <c r="E29" s="337"/>
      <c r="F29" s="638"/>
      <c r="G29" s="638"/>
      <c r="H29" s="638"/>
      <c r="I29" s="638"/>
      <c r="J29" s="638"/>
      <c r="K29" s="638"/>
      <c r="L29" s="638"/>
      <c r="M29" s="638"/>
      <c r="N29" s="638"/>
      <c r="O29" s="638"/>
      <c r="P29" s="638"/>
      <c r="Q29" s="638"/>
      <c r="R29" s="638"/>
      <c r="S29" s="638"/>
      <c r="T29" s="638"/>
    </row>
    <row r="30" spans="1:28" ht="18" customHeight="1" x14ac:dyDescent="0.2">
      <c r="A30" s="337"/>
      <c r="B30" s="337"/>
      <c r="C30" s="337"/>
      <c r="D30" s="337"/>
      <c r="E30" s="337"/>
      <c r="F30" s="638"/>
      <c r="G30" s="638"/>
      <c r="H30" s="638"/>
      <c r="I30" s="638"/>
      <c r="J30" s="638"/>
      <c r="K30" s="638"/>
      <c r="L30" s="638"/>
      <c r="M30" s="638"/>
      <c r="N30" s="638"/>
      <c r="O30" s="638"/>
      <c r="P30" s="638"/>
      <c r="Q30" s="638"/>
      <c r="R30" s="638"/>
      <c r="S30" s="638"/>
      <c r="T30" s="638"/>
    </row>
    <row r="31" spans="1:28" ht="18" customHeight="1" x14ac:dyDescent="0.2">
      <c r="A31" s="337"/>
      <c r="B31" s="337"/>
      <c r="C31" s="337"/>
      <c r="D31" s="337"/>
      <c r="E31" s="337"/>
      <c r="F31" s="638"/>
      <c r="G31" s="638"/>
      <c r="H31" s="638"/>
      <c r="I31" s="638"/>
      <c r="J31" s="638"/>
      <c r="K31" s="638"/>
      <c r="L31" s="638"/>
      <c r="M31" s="638"/>
      <c r="N31" s="638"/>
      <c r="O31" s="638"/>
      <c r="P31" s="638"/>
      <c r="Q31" s="638"/>
      <c r="R31" s="638"/>
      <c r="S31" s="638"/>
      <c r="T31" s="638"/>
    </row>
    <row r="32" spans="1:28" ht="18" customHeight="1" x14ac:dyDescent="0.2">
      <c r="A32" s="337"/>
      <c r="B32" s="337"/>
      <c r="C32" s="337"/>
      <c r="D32" s="337"/>
      <c r="E32" s="337"/>
      <c r="F32" s="638"/>
      <c r="G32" s="638"/>
      <c r="H32" s="638"/>
      <c r="I32" s="638"/>
      <c r="J32" s="638"/>
      <c r="K32" s="638"/>
      <c r="L32" s="638"/>
      <c r="M32" s="638"/>
      <c r="N32" s="638"/>
      <c r="O32" s="638"/>
      <c r="P32" s="638"/>
      <c r="Q32" s="638"/>
      <c r="R32" s="638"/>
      <c r="S32" s="638"/>
      <c r="T32" s="638"/>
    </row>
    <row r="33" spans="1:25" ht="18" customHeight="1" x14ac:dyDescent="0.2">
      <c r="C33" s="31"/>
      <c r="D33" s="31"/>
      <c r="E33" s="31"/>
      <c r="F33" s="345"/>
      <c r="G33" s="31"/>
      <c r="H33" s="31"/>
    </row>
    <row r="34" spans="1:25" ht="18" customHeight="1" x14ac:dyDescent="0.2">
      <c r="C34" s="685" t="s">
        <v>277</v>
      </c>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1:25" ht="18" customHeight="1" x14ac:dyDescent="0.2">
      <c r="C35" s="792"/>
      <c r="D35" s="792"/>
      <c r="E35" s="792"/>
      <c r="F35" s="792"/>
      <c r="G35" s="792"/>
      <c r="H35" s="792"/>
      <c r="I35" s="792"/>
      <c r="J35" s="792"/>
      <c r="K35" s="792"/>
      <c r="L35" s="792"/>
      <c r="M35" s="792"/>
      <c r="N35" s="792"/>
      <c r="O35" s="792"/>
      <c r="P35" s="792"/>
      <c r="Q35" s="792"/>
      <c r="R35" s="792"/>
      <c r="S35" s="792"/>
      <c r="T35" s="792"/>
      <c r="U35" s="792"/>
      <c r="V35" s="792"/>
      <c r="W35" s="792"/>
      <c r="X35" s="792"/>
      <c r="Y35" s="792"/>
    </row>
    <row r="36" spans="1:25" ht="18" customHeight="1" x14ac:dyDescent="0.2">
      <c r="C36" s="792"/>
      <c r="D36" s="792"/>
      <c r="E36" s="792"/>
      <c r="F36" s="792"/>
      <c r="G36" s="792"/>
      <c r="H36" s="792"/>
      <c r="I36" s="792"/>
      <c r="J36" s="792"/>
      <c r="K36" s="792"/>
      <c r="L36" s="792"/>
      <c r="M36" s="792"/>
      <c r="N36" s="792"/>
      <c r="O36" s="792"/>
      <c r="P36" s="792"/>
      <c r="Q36" s="792"/>
      <c r="R36" s="792"/>
      <c r="S36" s="792"/>
      <c r="T36" s="792"/>
      <c r="U36" s="792"/>
      <c r="V36" s="792"/>
      <c r="W36" s="792"/>
      <c r="X36" s="792"/>
      <c r="Y36" s="792"/>
    </row>
    <row r="37" spans="1:25" ht="18" customHeight="1" x14ac:dyDescent="0.2">
      <c r="C37" s="792"/>
      <c r="D37" s="792"/>
      <c r="E37" s="792"/>
      <c r="F37" s="792"/>
      <c r="G37" s="792"/>
      <c r="H37" s="792"/>
      <c r="I37" s="792"/>
      <c r="J37" s="792"/>
      <c r="K37" s="792"/>
      <c r="L37" s="792"/>
      <c r="M37" s="792"/>
      <c r="N37" s="792"/>
      <c r="O37" s="792"/>
      <c r="P37" s="792"/>
      <c r="Q37" s="792"/>
      <c r="R37" s="792"/>
      <c r="S37" s="792"/>
      <c r="T37" s="792"/>
      <c r="U37" s="792"/>
      <c r="V37" s="792"/>
      <c r="W37" s="792"/>
      <c r="X37" s="792"/>
      <c r="Y37" s="792"/>
    </row>
    <row r="38" spans="1:25" ht="18" customHeight="1" x14ac:dyDescent="0.2">
      <c r="C38" s="792"/>
      <c r="D38" s="792"/>
      <c r="E38" s="792"/>
      <c r="F38" s="792"/>
      <c r="G38" s="792"/>
      <c r="H38" s="792"/>
      <c r="I38" s="792"/>
      <c r="J38" s="792"/>
      <c r="K38" s="792"/>
      <c r="L38" s="792"/>
      <c r="M38" s="792"/>
      <c r="N38" s="792"/>
      <c r="O38" s="792"/>
      <c r="P38" s="792"/>
      <c r="Q38" s="792"/>
      <c r="R38" s="792"/>
      <c r="S38" s="792"/>
      <c r="T38" s="792"/>
      <c r="U38" s="792"/>
      <c r="V38" s="792"/>
      <c r="W38" s="792"/>
      <c r="X38" s="792"/>
      <c r="Y38" s="792"/>
    </row>
    <row r="39" spans="1:25" ht="18" customHeight="1" x14ac:dyDescent="0.2">
      <c r="C39" s="31"/>
      <c r="D39" s="31"/>
      <c r="E39" s="31"/>
      <c r="F39" s="345"/>
      <c r="G39" s="31"/>
      <c r="H39" s="31"/>
    </row>
    <row r="40" spans="1:25" ht="18" customHeight="1" x14ac:dyDescent="0.2">
      <c r="C40" s="31"/>
      <c r="D40" s="31"/>
      <c r="E40" s="31"/>
      <c r="F40" s="345"/>
      <c r="G40" s="31"/>
      <c r="H40" s="31"/>
    </row>
    <row r="41" spans="1:25" ht="36" customHeight="1" x14ac:dyDescent="0.2">
      <c r="A41" s="337"/>
      <c r="B41" s="337"/>
      <c r="C41" s="341" t="s">
        <v>382</v>
      </c>
      <c r="D41" s="695" t="s">
        <v>383</v>
      </c>
      <c r="E41" s="696"/>
      <c r="F41" s="696"/>
      <c r="G41" s="696"/>
      <c r="H41" s="696"/>
      <c r="I41" s="696"/>
      <c r="J41" s="696"/>
      <c r="K41" s="696"/>
      <c r="L41" s="696"/>
      <c r="M41" s="696"/>
      <c r="N41" s="696"/>
      <c r="O41" s="696"/>
      <c r="P41" s="696"/>
      <c r="Q41" s="696"/>
      <c r="R41" s="696"/>
      <c r="S41" s="696"/>
      <c r="T41" s="696"/>
      <c r="U41" s="696"/>
      <c r="V41" s="696"/>
      <c r="W41" s="696"/>
      <c r="X41" s="696"/>
      <c r="Y41" s="697"/>
    </row>
    <row r="42" spans="1:25" s="347" customFormat="1" ht="18" customHeight="1" x14ac:dyDescent="0.2">
      <c r="A42" s="346"/>
      <c r="B42" s="346"/>
      <c r="C42" s="517"/>
      <c r="D42" s="517"/>
      <c r="E42" s="517"/>
      <c r="F42" s="517"/>
      <c r="G42" s="517"/>
      <c r="H42" s="517"/>
      <c r="I42" s="517"/>
      <c r="J42" s="517"/>
      <c r="K42" s="517"/>
      <c r="L42" s="517"/>
      <c r="M42" s="517"/>
      <c r="N42" s="517"/>
      <c r="O42" s="517"/>
      <c r="P42" s="517"/>
      <c r="Q42" s="517"/>
      <c r="R42" s="517"/>
      <c r="S42" s="517"/>
      <c r="T42" s="517"/>
      <c r="U42" s="517"/>
      <c r="V42" s="517"/>
      <c r="W42" s="517"/>
      <c r="X42" s="517"/>
      <c r="Y42" s="517"/>
    </row>
    <row r="43" spans="1:25" ht="18" customHeight="1" x14ac:dyDescent="0.2">
      <c r="A43" s="337"/>
      <c r="B43" s="337"/>
      <c r="C43" s="348" t="s">
        <v>278</v>
      </c>
      <c r="D43" s="348"/>
      <c r="E43" s="348"/>
      <c r="F43" s="349"/>
      <c r="G43" s="349"/>
      <c r="H43" s="349"/>
      <c r="I43" s="349"/>
      <c r="J43" s="349"/>
      <c r="K43" s="349"/>
      <c r="L43" s="349"/>
      <c r="M43" s="349"/>
      <c r="N43" s="349"/>
      <c r="O43" s="349"/>
      <c r="P43" s="349"/>
      <c r="Q43" s="349"/>
      <c r="R43" s="349"/>
      <c r="S43" s="349"/>
      <c r="T43" s="349"/>
      <c r="U43" s="349"/>
      <c r="V43" s="349"/>
      <c r="W43" s="349"/>
      <c r="X43" s="349"/>
      <c r="Y43" s="349"/>
    </row>
    <row r="44" spans="1:25" ht="18" customHeight="1" x14ac:dyDescent="0.2">
      <c r="C44" s="536"/>
      <c r="D44" s="537"/>
      <c r="E44" s="537"/>
      <c r="F44" s="537"/>
      <c r="G44" s="537"/>
      <c r="H44" s="537"/>
      <c r="I44" s="537"/>
      <c r="J44" s="537"/>
      <c r="K44" s="537"/>
      <c r="L44" s="537"/>
      <c r="M44" s="537"/>
      <c r="N44" s="537"/>
      <c r="O44" s="537"/>
      <c r="P44" s="537"/>
      <c r="Q44" s="537"/>
      <c r="R44" s="537"/>
      <c r="S44" s="537"/>
      <c r="T44" s="537"/>
      <c r="U44" s="537"/>
      <c r="V44" s="537"/>
      <c r="W44" s="537"/>
      <c r="X44" s="537"/>
      <c r="Y44" s="538"/>
    </row>
    <row r="45" spans="1:25" ht="18" customHeight="1" x14ac:dyDescent="0.2">
      <c r="C45" s="345"/>
      <c r="P45" s="339"/>
    </row>
    <row r="46" spans="1:25" ht="18" customHeight="1" x14ac:dyDescent="0.2">
      <c r="A46" s="337"/>
      <c r="B46" s="337"/>
      <c r="C46" s="344" t="s">
        <v>279</v>
      </c>
      <c r="D46" s="340"/>
      <c r="E46" s="349"/>
      <c r="F46" s="349"/>
      <c r="G46" s="349"/>
      <c r="H46" s="349"/>
      <c r="I46" s="349"/>
      <c r="J46" s="349"/>
      <c r="K46" s="349"/>
      <c r="L46" s="349"/>
      <c r="M46" s="349"/>
      <c r="N46" s="349"/>
      <c r="O46" s="349"/>
      <c r="P46" s="349"/>
      <c r="Q46" s="349"/>
      <c r="R46" s="349"/>
      <c r="S46" s="349"/>
      <c r="T46" s="349"/>
      <c r="U46" s="349"/>
      <c r="V46" s="349"/>
      <c r="W46" s="349"/>
      <c r="X46" s="349"/>
      <c r="Y46" s="349"/>
    </row>
    <row r="47" spans="1:25" ht="18" customHeight="1" x14ac:dyDescent="0.2">
      <c r="C47" s="536"/>
      <c r="D47" s="537"/>
      <c r="E47" s="537"/>
      <c r="F47" s="537"/>
      <c r="G47" s="537"/>
      <c r="H47" s="537"/>
      <c r="I47" s="537"/>
      <c r="J47" s="537"/>
      <c r="K47" s="537"/>
      <c r="L47" s="537"/>
      <c r="M47" s="537"/>
      <c r="N47" s="537"/>
      <c r="O47" s="537"/>
      <c r="P47" s="537"/>
      <c r="Q47" s="537"/>
      <c r="R47" s="537"/>
      <c r="S47" s="537"/>
      <c r="T47" s="537"/>
      <c r="U47" s="537"/>
      <c r="V47" s="537"/>
      <c r="W47" s="537"/>
      <c r="X47" s="537"/>
      <c r="Y47" s="538"/>
    </row>
    <row r="48" spans="1:25" ht="18" customHeight="1" x14ac:dyDescent="0.2">
      <c r="C48" s="345"/>
      <c r="P48" s="339"/>
    </row>
    <row r="49" spans="1:25" ht="18" customHeight="1" x14ac:dyDescent="0.2">
      <c r="A49" s="337"/>
      <c r="B49" s="337"/>
      <c r="C49" s="344" t="s">
        <v>280</v>
      </c>
      <c r="D49" s="340"/>
      <c r="E49" s="349"/>
      <c r="F49" s="349"/>
      <c r="G49" s="349"/>
      <c r="H49" s="349"/>
      <c r="I49" s="349"/>
      <c r="J49" s="349"/>
      <c r="K49" s="349"/>
      <c r="L49" s="349"/>
      <c r="M49" s="349"/>
      <c r="N49" s="349"/>
      <c r="O49" s="349"/>
      <c r="P49" s="349"/>
      <c r="Q49" s="349"/>
      <c r="R49" s="349"/>
      <c r="S49" s="349"/>
      <c r="T49" s="349"/>
      <c r="U49" s="349"/>
      <c r="V49" s="349"/>
      <c r="W49" s="349"/>
      <c r="X49" s="349"/>
      <c r="Y49" s="349"/>
    </row>
    <row r="50" spans="1:25" ht="18" customHeight="1" x14ac:dyDescent="0.2">
      <c r="A50" s="337"/>
      <c r="B50" s="337"/>
      <c r="C50" s="536"/>
      <c r="D50" s="537"/>
      <c r="E50" s="537"/>
      <c r="F50" s="537"/>
      <c r="G50" s="537"/>
      <c r="H50" s="537"/>
      <c r="I50" s="537"/>
      <c r="J50" s="537"/>
      <c r="K50" s="537"/>
      <c r="L50" s="537"/>
      <c r="M50" s="537"/>
      <c r="N50" s="537"/>
      <c r="O50" s="537"/>
      <c r="P50" s="537"/>
      <c r="Q50" s="537"/>
      <c r="R50" s="537"/>
      <c r="S50" s="537"/>
      <c r="T50" s="537"/>
      <c r="U50" s="537"/>
      <c r="V50" s="537"/>
      <c r="W50" s="537"/>
      <c r="X50" s="537"/>
      <c r="Y50" s="538"/>
    </row>
    <row r="51" spans="1:25" ht="18" customHeight="1" x14ac:dyDescent="0.2">
      <c r="A51" s="337"/>
      <c r="B51" s="337"/>
      <c r="C51" s="345"/>
      <c r="D51" s="337"/>
      <c r="E51" s="337"/>
      <c r="F51" s="337"/>
      <c r="G51" s="337"/>
      <c r="H51" s="337"/>
      <c r="I51" s="337"/>
      <c r="J51" s="337"/>
      <c r="K51" s="337"/>
      <c r="L51" s="337"/>
      <c r="M51" s="337"/>
      <c r="N51" s="337"/>
      <c r="O51" s="337"/>
    </row>
    <row r="52" spans="1:25" ht="18" customHeight="1" x14ac:dyDescent="0.2">
      <c r="A52" s="337"/>
      <c r="B52" s="337"/>
      <c r="C52" s="345"/>
      <c r="D52" s="337"/>
      <c r="E52" s="337"/>
      <c r="F52" s="337"/>
      <c r="G52" s="337"/>
      <c r="H52" s="337"/>
      <c r="I52" s="337"/>
      <c r="J52" s="337"/>
      <c r="K52" s="337"/>
      <c r="L52" s="337"/>
      <c r="M52" s="337"/>
      <c r="N52" s="337"/>
      <c r="O52" s="337"/>
    </row>
    <row r="53" spans="1:25" ht="18" customHeight="1" x14ac:dyDescent="0.2">
      <c r="A53" s="337"/>
      <c r="B53" s="337"/>
      <c r="C53" s="791" t="s">
        <v>231</v>
      </c>
      <c r="D53" s="791"/>
      <c r="E53" s="791"/>
      <c r="F53" s="791"/>
      <c r="G53" s="791"/>
      <c r="H53" s="791"/>
      <c r="I53" s="791"/>
      <c r="J53" s="791"/>
      <c r="K53" s="791"/>
      <c r="L53" s="791"/>
      <c r="M53" s="791"/>
      <c r="N53" s="791"/>
      <c r="O53" s="791"/>
      <c r="P53" s="791"/>
      <c r="Q53" s="791"/>
      <c r="R53" s="791"/>
      <c r="S53" s="791"/>
      <c r="T53" s="791"/>
      <c r="U53" s="791"/>
      <c r="V53" s="791"/>
      <c r="W53" s="791"/>
      <c r="X53" s="791"/>
      <c r="Y53" s="791"/>
    </row>
    <row r="54" spans="1:25" ht="18" customHeight="1" x14ac:dyDescent="0.2">
      <c r="A54" s="337"/>
      <c r="B54" s="337"/>
      <c r="C54" s="686"/>
      <c r="D54" s="687"/>
      <c r="E54" s="687"/>
      <c r="F54" s="687"/>
      <c r="G54" s="687"/>
      <c r="H54" s="687"/>
      <c r="I54" s="687"/>
      <c r="J54" s="687"/>
      <c r="K54" s="687"/>
      <c r="L54" s="687"/>
      <c r="M54" s="687"/>
      <c r="N54" s="687"/>
      <c r="O54" s="687"/>
      <c r="P54" s="687"/>
      <c r="Q54" s="687"/>
      <c r="R54" s="687"/>
      <c r="S54" s="687"/>
      <c r="T54" s="687"/>
      <c r="U54" s="687"/>
      <c r="V54" s="687"/>
      <c r="W54" s="687"/>
      <c r="X54" s="687"/>
      <c r="Y54" s="688"/>
    </row>
    <row r="55" spans="1:25" ht="18" customHeight="1" x14ac:dyDescent="0.2">
      <c r="A55" s="337"/>
      <c r="B55" s="337"/>
      <c r="C55" s="689"/>
      <c r="D55" s="690"/>
      <c r="E55" s="690"/>
      <c r="F55" s="690"/>
      <c r="G55" s="690"/>
      <c r="H55" s="690"/>
      <c r="I55" s="690"/>
      <c r="J55" s="690"/>
      <c r="K55" s="690"/>
      <c r="L55" s="690"/>
      <c r="M55" s="690"/>
      <c r="N55" s="690"/>
      <c r="O55" s="690"/>
      <c r="P55" s="690"/>
      <c r="Q55" s="690"/>
      <c r="R55" s="690"/>
      <c r="S55" s="690"/>
      <c r="T55" s="690"/>
      <c r="U55" s="690"/>
      <c r="V55" s="690"/>
      <c r="W55" s="690"/>
      <c r="X55" s="690"/>
      <c r="Y55" s="691"/>
    </row>
    <row r="56" spans="1:25" ht="18" customHeight="1" x14ac:dyDescent="0.2">
      <c r="A56" s="337"/>
      <c r="B56" s="337"/>
      <c r="C56" s="689"/>
      <c r="D56" s="690"/>
      <c r="E56" s="690"/>
      <c r="F56" s="690"/>
      <c r="G56" s="690"/>
      <c r="H56" s="690"/>
      <c r="I56" s="690"/>
      <c r="J56" s="690"/>
      <c r="K56" s="690"/>
      <c r="L56" s="690"/>
      <c r="M56" s="690"/>
      <c r="N56" s="690"/>
      <c r="O56" s="690"/>
      <c r="P56" s="690"/>
      <c r="Q56" s="690"/>
      <c r="R56" s="690"/>
      <c r="S56" s="690"/>
      <c r="T56" s="690"/>
      <c r="U56" s="690"/>
      <c r="V56" s="690"/>
      <c r="W56" s="690"/>
      <c r="X56" s="690"/>
      <c r="Y56" s="691"/>
    </row>
    <row r="57" spans="1:25" ht="18" customHeight="1" x14ac:dyDescent="0.2">
      <c r="A57" s="337"/>
      <c r="B57" s="337"/>
      <c r="C57" s="689"/>
      <c r="D57" s="690"/>
      <c r="E57" s="690"/>
      <c r="F57" s="690"/>
      <c r="G57" s="690"/>
      <c r="H57" s="690"/>
      <c r="I57" s="690"/>
      <c r="J57" s="690"/>
      <c r="K57" s="690"/>
      <c r="L57" s="690"/>
      <c r="M57" s="690"/>
      <c r="N57" s="690"/>
      <c r="O57" s="690"/>
      <c r="P57" s="690"/>
      <c r="Q57" s="690"/>
      <c r="R57" s="690"/>
      <c r="S57" s="690"/>
      <c r="T57" s="690"/>
      <c r="U57" s="690"/>
      <c r="V57" s="690"/>
      <c r="W57" s="690"/>
      <c r="X57" s="690"/>
      <c r="Y57" s="691"/>
    </row>
    <row r="58" spans="1:25" ht="18" customHeight="1" x14ac:dyDescent="0.2">
      <c r="A58" s="337"/>
      <c r="B58" s="337"/>
      <c r="C58" s="689"/>
      <c r="D58" s="690"/>
      <c r="E58" s="690"/>
      <c r="F58" s="690"/>
      <c r="G58" s="690"/>
      <c r="H58" s="690"/>
      <c r="I58" s="690"/>
      <c r="J58" s="690"/>
      <c r="K58" s="690"/>
      <c r="L58" s="690"/>
      <c r="M58" s="690"/>
      <c r="N58" s="690"/>
      <c r="O58" s="690"/>
      <c r="P58" s="690"/>
      <c r="Q58" s="690"/>
      <c r="R58" s="690"/>
      <c r="S58" s="690"/>
      <c r="T58" s="690"/>
      <c r="U58" s="690"/>
      <c r="V58" s="690"/>
      <c r="W58" s="690"/>
      <c r="X58" s="690"/>
      <c r="Y58" s="691"/>
    </row>
    <row r="59" spans="1:25" ht="18" customHeight="1" x14ac:dyDescent="0.2">
      <c r="A59" s="337"/>
      <c r="B59" s="337"/>
      <c r="C59" s="689"/>
      <c r="D59" s="690"/>
      <c r="E59" s="690"/>
      <c r="F59" s="690"/>
      <c r="G59" s="690"/>
      <c r="H59" s="690"/>
      <c r="I59" s="690"/>
      <c r="J59" s="690"/>
      <c r="K59" s="690"/>
      <c r="L59" s="690"/>
      <c r="M59" s="690"/>
      <c r="N59" s="690"/>
      <c r="O59" s="690"/>
      <c r="P59" s="690"/>
      <c r="Q59" s="690"/>
      <c r="R59" s="690"/>
      <c r="S59" s="690"/>
      <c r="T59" s="690"/>
      <c r="U59" s="690"/>
      <c r="V59" s="690"/>
      <c r="W59" s="690"/>
      <c r="X59" s="690"/>
      <c r="Y59" s="691"/>
    </row>
    <row r="60" spans="1:25" ht="18" customHeight="1" x14ac:dyDescent="0.2">
      <c r="A60" s="337"/>
      <c r="B60" s="337"/>
      <c r="C60" s="689"/>
      <c r="D60" s="690"/>
      <c r="E60" s="690"/>
      <c r="F60" s="690"/>
      <c r="G60" s="690"/>
      <c r="H60" s="690"/>
      <c r="I60" s="690"/>
      <c r="J60" s="690"/>
      <c r="K60" s="690"/>
      <c r="L60" s="690"/>
      <c r="M60" s="690"/>
      <c r="N60" s="690"/>
      <c r="O60" s="690"/>
      <c r="P60" s="690"/>
      <c r="Q60" s="690"/>
      <c r="R60" s="690"/>
      <c r="S60" s="690"/>
      <c r="T60" s="690"/>
      <c r="U60" s="690"/>
      <c r="V60" s="690"/>
      <c r="W60" s="690"/>
      <c r="X60" s="690"/>
      <c r="Y60" s="691"/>
    </row>
    <row r="61" spans="1:25" ht="18" customHeight="1" x14ac:dyDescent="0.2">
      <c r="A61" s="337"/>
      <c r="B61" s="337"/>
      <c r="C61" s="689"/>
      <c r="D61" s="690"/>
      <c r="E61" s="690"/>
      <c r="F61" s="690"/>
      <c r="G61" s="690"/>
      <c r="H61" s="690"/>
      <c r="I61" s="690"/>
      <c r="J61" s="690"/>
      <c r="K61" s="690"/>
      <c r="L61" s="690"/>
      <c r="M61" s="690"/>
      <c r="N61" s="690"/>
      <c r="O61" s="690"/>
      <c r="P61" s="690"/>
      <c r="Q61" s="690"/>
      <c r="R61" s="690"/>
      <c r="S61" s="690"/>
      <c r="T61" s="690"/>
      <c r="U61" s="690"/>
      <c r="V61" s="690"/>
      <c r="W61" s="690"/>
      <c r="X61" s="690"/>
      <c r="Y61" s="691"/>
    </row>
    <row r="62" spans="1:25" ht="18" customHeight="1" x14ac:dyDescent="0.2">
      <c r="A62" s="337"/>
      <c r="B62" s="337"/>
      <c r="C62" s="689"/>
      <c r="D62" s="690"/>
      <c r="E62" s="690"/>
      <c r="F62" s="690"/>
      <c r="G62" s="690"/>
      <c r="H62" s="690"/>
      <c r="I62" s="690"/>
      <c r="J62" s="690"/>
      <c r="K62" s="690"/>
      <c r="L62" s="690"/>
      <c r="M62" s="690"/>
      <c r="N62" s="690"/>
      <c r="O62" s="690"/>
      <c r="P62" s="690"/>
      <c r="Q62" s="690"/>
      <c r="R62" s="690"/>
      <c r="S62" s="690"/>
      <c r="T62" s="690"/>
      <c r="U62" s="690"/>
      <c r="V62" s="690"/>
      <c r="W62" s="690"/>
      <c r="X62" s="690"/>
      <c r="Y62" s="691"/>
    </row>
    <row r="63" spans="1:25" ht="18" customHeight="1" x14ac:dyDescent="0.2">
      <c r="A63" s="337"/>
      <c r="B63" s="337"/>
      <c r="C63" s="689"/>
      <c r="D63" s="690"/>
      <c r="E63" s="690"/>
      <c r="F63" s="690"/>
      <c r="G63" s="690"/>
      <c r="H63" s="690"/>
      <c r="I63" s="690"/>
      <c r="J63" s="690"/>
      <c r="K63" s="690"/>
      <c r="L63" s="690"/>
      <c r="M63" s="690"/>
      <c r="N63" s="690"/>
      <c r="O63" s="690"/>
      <c r="P63" s="690"/>
      <c r="Q63" s="690"/>
      <c r="R63" s="690"/>
      <c r="S63" s="690"/>
      <c r="T63" s="690"/>
      <c r="U63" s="690"/>
      <c r="V63" s="690"/>
      <c r="W63" s="690"/>
      <c r="X63" s="690"/>
      <c r="Y63" s="691"/>
    </row>
    <row r="64" spans="1:25" ht="18" customHeight="1" x14ac:dyDescent="0.2">
      <c r="A64" s="337"/>
      <c r="B64" s="337"/>
      <c r="C64" s="689"/>
      <c r="D64" s="690"/>
      <c r="E64" s="690"/>
      <c r="F64" s="690"/>
      <c r="G64" s="690"/>
      <c r="H64" s="690"/>
      <c r="I64" s="690"/>
      <c r="J64" s="690"/>
      <c r="K64" s="690"/>
      <c r="L64" s="690"/>
      <c r="M64" s="690"/>
      <c r="N64" s="690"/>
      <c r="O64" s="690"/>
      <c r="P64" s="690"/>
      <c r="Q64" s="690"/>
      <c r="R64" s="690"/>
      <c r="S64" s="690"/>
      <c r="T64" s="690"/>
      <c r="U64" s="690"/>
      <c r="V64" s="690"/>
      <c r="W64" s="690"/>
      <c r="X64" s="690"/>
      <c r="Y64" s="691"/>
    </row>
    <row r="65" spans="1:25" ht="18" customHeight="1" x14ac:dyDescent="0.2">
      <c r="A65" s="337"/>
      <c r="B65" s="337"/>
      <c r="C65" s="689"/>
      <c r="D65" s="690"/>
      <c r="E65" s="690"/>
      <c r="F65" s="690"/>
      <c r="G65" s="690"/>
      <c r="H65" s="690"/>
      <c r="I65" s="690"/>
      <c r="J65" s="690"/>
      <c r="K65" s="690"/>
      <c r="L65" s="690"/>
      <c r="M65" s="690"/>
      <c r="N65" s="690"/>
      <c r="O65" s="690"/>
      <c r="P65" s="690"/>
      <c r="Q65" s="690"/>
      <c r="R65" s="690"/>
      <c r="S65" s="690"/>
      <c r="T65" s="690"/>
      <c r="U65" s="690"/>
      <c r="V65" s="690"/>
      <c r="W65" s="690"/>
      <c r="X65" s="690"/>
      <c r="Y65" s="691"/>
    </row>
    <row r="66" spans="1:25" ht="18" customHeight="1" x14ac:dyDescent="0.2">
      <c r="A66" s="337"/>
      <c r="B66" s="337"/>
      <c r="C66" s="689"/>
      <c r="D66" s="690"/>
      <c r="E66" s="690"/>
      <c r="F66" s="690"/>
      <c r="G66" s="690"/>
      <c r="H66" s="690"/>
      <c r="I66" s="690"/>
      <c r="J66" s="690"/>
      <c r="K66" s="690"/>
      <c r="L66" s="690"/>
      <c r="M66" s="690"/>
      <c r="N66" s="690"/>
      <c r="O66" s="690"/>
      <c r="P66" s="690"/>
      <c r="Q66" s="690"/>
      <c r="R66" s="690"/>
      <c r="S66" s="690"/>
      <c r="T66" s="690"/>
      <c r="U66" s="690"/>
      <c r="V66" s="690"/>
      <c r="W66" s="690"/>
      <c r="X66" s="690"/>
      <c r="Y66" s="691"/>
    </row>
    <row r="67" spans="1:25" ht="18" customHeight="1" x14ac:dyDescent="0.2">
      <c r="A67" s="337"/>
      <c r="B67" s="337"/>
      <c r="C67" s="689"/>
      <c r="D67" s="690"/>
      <c r="E67" s="690"/>
      <c r="F67" s="690"/>
      <c r="G67" s="690"/>
      <c r="H67" s="690"/>
      <c r="I67" s="690"/>
      <c r="J67" s="690"/>
      <c r="K67" s="690"/>
      <c r="L67" s="690"/>
      <c r="M67" s="690"/>
      <c r="N67" s="690"/>
      <c r="O67" s="690"/>
      <c r="P67" s="690"/>
      <c r="Q67" s="690"/>
      <c r="R67" s="690"/>
      <c r="S67" s="690"/>
      <c r="T67" s="690"/>
      <c r="U67" s="690"/>
      <c r="V67" s="690"/>
      <c r="W67" s="690"/>
      <c r="X67" s="690"/>
      <c r="Y67" s="691"/>
    </row>
    <row r="68" spans="1:25" ht="18" customHeight="1" x14ac:dyDescent="0.2">
      <c r="A68" s="337"/>
      <c r="B68" s="337"/>
      <c r="C68" s="689"/>
      <c r="D68" s="690"/>
      <c r="E68" s="690"/>
      <c r="F68" s="690"/>
      <c r="G68" s="690"/>
      <c r="H68" s="690"/>
      <c r="I68" s="690"/>
      <c r="J68" s="690"/>
      <c r="K68" s="690"/>
      <c r="L68" s="690"/>
      <c r="M68" s="690"/>
      <c r="N68" s="690"/>
      <c r="O68" s="690"/>
      <c r="P68" s="690"/>
      <c r="Q68" s="690"/>
      <c r="R68" s="690"/>
      <c r="S68" s="690"/>
      <c r="T68" s="690"/>
      <c r="U68" s="690"/>
      <c r="V68" s="690"/>
      <c r="W68" s="690"/>
      <c r="X68" s="690"/>
      <c r="Y68" s="691"/>
    </row>
    <row r="69" spans="1:25" ht="18" customHeight="1" x14ac:dyDescent="0.2">
      <c r="A69" s="337"/>
      <c r="B69" s="337"/>
      <c r="C69" s="689"/>
      <c r="D69" s="690"/>
      <c r="E69" s="690"/>
      <c r="F69" s="690"/>
      <c r="G69" s="690"/>
      <c r="H69" s="690"/>
      <c r="I69" s="690"/>
      <c r="J69" s="690"/>
      <c r="K69" s="690"/>
      <c r="L69" s="690"/>
      <c r="M69" s="690"/>
      <c r="N69" s="690"/>
      <c r="O69" s="690"/>
      <c r="P69" s="690"/>
      <c r="Q69" s="690"/>
      <c r="R69" s="690"/>
      <c r="S69" s="690"/>
      <c r="T69" s="690"/>
      <c r="U69" s="690"/>
      <c r="V69" s="690"/>
      <c r="W69" s="690"/>
      <c r="X69" s="690"/>
      <c r="Y69" s="691"/>
    </row>
    <row r="70" spans="1:25" ht="18" customHeight="1" x14ac:dyDescent="0.2">
      <c r="A70" s="337"/>
      <c r="B70" s="337"/>
      <c r="C70" s="689"/>
      <c r="D70" s="690"/>
      <c r="E70" s="690"/>
      <c r="F70" s="690"/>
      <c r="G70" s="690"/>
      <c r="H70" s="690"/>
      <c r="I70" s="690"/>
      <c r="J70" s="690"/>
      <c r="K70" s="690"/>
      <c r="L70" s="690"/>
      <c r="M70" s="690"/>
      <c r="N70" s="690"/>
      <c r="O70" s="690"/>
      <c r="P70" s="690"/>
      <c r="Q70" s="690"/>
      <c r="R70" s="690"/>
      <c r="S70" s="690"/>
      <c r="T70" s="690"/>
      <c r="U70" s="690"/>
      <c r="V70" s="690"/>
      <c r="W70" s="690"/>
      <c r="X70" s="690"/>
      <c r="Y70" s="691"/>
    </row>
    <row r="71" spans="1:25" ht="18" customHeight="1" x14ac:dyDescent="0.2">
      <c r="A71" s="337"/>
      <c r="B71" s="337"/>
      <c r="C71" s="689"/>
      <c r="D71" s="690"/>
      <c r="E71" s="690"/>
      <c r="F71" s="690"/>
      <c r="G71" s="690"/>
      <c r="H71" s="690"/>
      <c r="I71" s="690"/>
      <c r="J71" s="690"/>
      <c r="K71" s="690"/>
      <c r="L71" s="690"/>
      <c r="M71" s="690"/>
      <c r="N71" s="690"/>
      <c r="O71" s="690"/>
      <c r="P71" s="690"/>
      <c r="Q71" s="690"/>
      <c r="R71" s="690"/>
      <c r="S71" s="690"/>
      <c r="T71" s="690"/>
      <c r="U71" s="690"/>
      <c r="V71" s="690"/>
      <c r="W71" s="690"/>
      <c r="X71" s="690"/>
      <c r="Y71" s="691"/>
    </row>
    <row r="72" spans="1:25" ht="18" customHeight="1" x14ac:dyDescent="0.2">
      <c r="A72" s="337"/>
      <c r="B72" s="337"/>
      <c r="C72" s="689"/>
      <c r="D72" s="690"/>
      <c r="E72" s="690"/>
      <c r="F72" s="690"/>
      <c r="G72" s="690"/>
      <c r="H72" s="690"/>
      <c r="I72" s="690"/>
      <c r="J72" s="690"/>
      <c r="K72" s="690"/>
      <c r="L72" s="690"/>
      <c r="M72" s="690"/>
      <c r="N72" s="690"/>
      <c r="O72" s="690"/>
      <c r="P72" s="690"/>
      <c r="Q72" s="690"/>
      <c r="R72" s="690"/>
      <c r="S72" s="690"/>
      <c r="T72" s="690"/>
      <c r="U72" s="690"/>
      <c r="V72" s="690"/>
      <c r="W72" s="690"/>
      <c r="X72" s="690"/>
      <c r="Y72" s="691"/>
    </row>
    <row r="73" spans="1:25" ht="18" customHeight="1" x14ac:dyDescent="0.2">
      <c r="A73" s="337"/>
      <c r="B73" s="337"/>
      <c r="C73" s="689"/>
      <c r="D73" s="690"/>
      <c r="E73" s="690"/>
      <c r="F73" s="690"/>
      <c r="G73" s="690"/>
      <c r="H73" s="690"/>
      <c r="I73" s="690"/>
      <c r="J73" s="690"/>
      <c r="K73" s="690"/>
      <c r="L73" s="690"/>
      <c r="M73" s="690"/>
      <c r="N73" s="690"/>
      <c r="O73" s="690"/>
      <c r="P73" s="690"/>
      <c r="Q73" s="690"/>
      <c r="R73" s="690"/>
      <c r="S73" s="690"/>
      <c r="T73" s="690"/>
      <c r="U73" s="690"/>
      <c r="V73" s="690"/>
      <c r="W73" s="690"/>
      <c r="X73" s="690"/>
      <c r="Y73" s="691"/>
    </row>
    <row r="74" spans="1:25" ht="18" customHeight="1" x14ac:dyDescent="0.2">
      <c r="A74" s="337"/>
      <c r="B74" s="337"/>
      <c r="C74" s="689"/>
      <c r="D74" s="690"/>
      <c r="E74" s="690"/>
      <c r="F74" s="690"/>
      <c r="G74" s="690"/>
      <c r="H74" s="690"/>
      <c r="I74" s="690"/>
      <c r="J74" s="690"/>
      <c r="K74" s="690"/>
      <c r="L74" s="690"/>
      <c r="M74" s="690"/>
      <c r="N74" s="690"/>
      <c r="O74" s="690"/>
      <c r="P74" s="690"/>
      <c r="Q74" s="690"/>
      <c r="R74" s="690"/>
      <c r="S74" s="690"/>
      <c r="T74" s="690"/>
      <c r="U74" s="690"/>
      <c r="V74" s="690"/>
      <c r="W74" s="690"/>
      <c r="X74" s="690"/>
      <c r="Y74" s="691"/>
    </row>
    <row r="75" spans="1:25" ht="18" customHeight="1" x14ac:dyDescent="0.2">
      <c r="A75" s="337"/>
      <c r="B75" s="337"/>
      <c r="C75" s="689"/>
      <c r="D75" s="690"/>
      <c r="E75" s="690"/>
      <c r="F75" s="690"/>
      <c r="G75" s="690"/>
      <c r="H75" s="690"/>
      <c r="I75" s="690"/>
      <c r="J75" s="690"/>
      <c r="K75" s="690"/>
      <c r="L75" s="690"/>
      <c r="M75" s="690"/>
      <c r="N75" s="690"/>
      <c r="O75" s="690"/>
      <c r="P75" s="690"/>
      <c r="Q75" s="690"/>
      <c r="R75" s="690"/>
      <c r="S75" s="690"/>
      <c r="T75" s="690"/>
      <c r="U75" s="690"/>
      <c r="V75" s="690"/>
      <c r="W75" s="690"/>
      <c r="X75" s="690"/>
      <c r="Y75" s="691"/>
    </row>
    <row r="76" spans="1:25" ht="18" customHeight="1" x14ac:dyDescent="0.2">
      <c r="A76" s="337"/>
      <c r="B76" s="337"/>
      <c r="C76" s="689"/>
      <c r="D76" s="690"/>
      <c r="E76" s="690"/>
      <c r="F76" s="690"/>
      <c r="G76" s="690"/>
      <c r="H76" s="690"/>
      <c r="I76" s="690"/>
      <c r="J76" s="690"/>
      <c r="K76" s="690"/>
      <c r="L76" s="690"/>
      <c r="M76" s="690"/>
      <c r="N76" s="690"/>
      <c r="O76" s="690"/>
      <c r="P76" s="690"/>
      <c r="Q76" s="690"/>
      <c r="R76" s="690"/>
      <c r="S76" s="690"/>
      <c r="T76" s="690"/>
      <c r="U76" s="690"/>
      <c r="V76" s="690"/>
      <c r="W76" s="690"/>
      <c r="X76" s="690"/>
      <c r="Y76" s="691"/>
    </row>
    <row r="77" spans="1:25" ht="18" customHeight="1" x14ac:dyDescent="0.2">
      <c r="A77" s="337"/>
      <c r="B77" s="337"/>
      <c r="C77" s="689"/>
      <c r="D77" s="690"/>
      <c r="E77" s="690"/>
      <c r="F77" s="690"/>
      <c r="G77" s="690"/>
      <c r="H77" s="690"/>
      <c r="I77" s="690"/>
      <c r="J77" s="690"/>
      <c r="K77" s="690"/>
      <c r="L77" s="690"/>
      <c r="M77" s="690"/>
      <c r="N77" s="690"/>
      <c r="O77" s="690"/>
      <c r="P77" s="690"/>
      <c r="Q77" s="690"/>
      <c r="R77" s="690"/>
      <c r="S77" s="690"/>
      <c r="T77" s="690"/>
      <c r="U77" s="690"/>
      <c r="V77" s="690"/>
      <c r="W77" s="690"/>
      <c r="X77" s="690"/>
      <c r="Y77" s="691"/>
    </row>
    <row r="78" spans="1:25" ht="18" customHeight="1" x14ac:dyDescent="0.2">
      <c r="A78" s="337"/>
      <c r="B78" s="337"/>
      <c r="C78" s="689"/>
      <c r="D78" s="690"/>
      <c r="E78" s="690"/>
      <c r="F78" s="690"/>
      <c r="G78" s="690"/>
      <c r="H78" s="690"/>
      <c r="I78" s="690"/>
      <c r="J78" s="690"/>
      <c r="K78" s="690"/>
      <c r="L78" s="690"/>
      <c r="M78" s="690"/>
      <c r="N78" s="690"/>
      <c r="O78" s="690"/>
      <c r="P78" s="690"/>
      <c r="Q78" s="690"/>
      <c r="R78" s="690"/>
      <c r="S78" s="690"/>
      <c r="T78" s="690"/>
      <c r="U78" s="690"/>
      <c r="V78" s="690"/>
      <c r="W78" s="690"/>
      <c r="X78" s="690"/>
      <c r="Y78" s="691"/>
    </row>
    <row r="79" spans="1:25" ht="18" customHeight="1" x14ac:dyDescent="0.2">
      <c r="A79" s="337"/>
      <c r="B79" s="337"/>
      <c r="C79" s="689"/>
      <c r="D79" s="690"/>
      <c r="E79" s="690"/>
      <c r="F79" s="690"/>
      <c r="G79" s="690"/>
      <c r="H79" s="690"/>
      <c r="I79" s="690"/>
      <c r="J79" s="690"/>
      <c r="K79" s="690"/>
      <c r="L79" s="690"/>
      <c r="M79" s="690"/>
      <c r="N79" s="690"/>
      <c r="O79" s="690"/>
      <c r="P79" s="690"/>
      <c r="Q79" s="690"/>
      <c r="R79" s="690"/>
      <c r="S79" s="690"/>
      <c r="T79" s="690"/>
      <c r="U79" s="690"/>
      <c r="V79" s="690"/>
      <c r="W79" s="690"/>
      <c r="X79" s="690"/>
      <c r="Y79" s="691"/>
    </row>
    <row r="80" spans="1:25" ht="18" customHeight="1" x14ac:dyDescent="0.2">
      <c r="A80" s="337"/>
      <c r="B80" s="337"/>
      <c r="C80" s="689"/>
      <c r="D80" s="690"/>
      <c r="E80" s="690"/>
      <c r="F80" s="690"/>
      <c r="G80" s="690"/>
      <c r="H80" s="690"/>
      <c r="I80" s="690"/>
      <c r="J80" s="690"/>
      <c r="K80" s="690"/>
      <c r="L80" s="690"/>
      <c r="M80" s="690"/>
      <c r="N80" s="690"/>
      <c r="O80" s="690"/>
      <c r="P80" s="690"/>
      <c r="Q80" s="690"/>
      <c r="R80" s="690"/>
      <c r="S80" s="690"/>
      <c r="T80" s="690"/>
      <c r="U80" s="690"/>
      <c r="V80" s="690"/>
      <c r="W80" s="690"/>
      <c r="X80" s="690"/>
      <c r="Y80" s="691"/>
    </row>
    <row r="81" spans="1:25" ht="18" customHeight="1" x14ac:dyDescent="0.2">
      <c r="A81" s="337"/>
      <c r="B81" s="337"/>
      <c r="C81" s="689"/>
      <c r="D81" s="690"/>
      <c r="E81" s="690"/>
      <c r="F81" s="690"/>
      <c r="G81" s="690"/>
      <c r="H81" s="690"/>
      <c r="I81" s="690"/>
      <c r="J81" s="690"/>
      <c r="K81" s="690"/>
      <c r="L81" s="690"/>
      <c r="M81" s="690"/>
      <c r="N81" s="690"/>
      <c r="O81" s="690"/>
      <c r="P81" s="690"/>
      <c r="Q81" s="690"/>
      <c r="R81" s="690"/>
      <c r="S81" s="690"/>
      <c r="T81" s="690"/>
      <c r="U81" s="690"/>
      <c r="V81" s="690"/>
      <c r="W81" s="690"/>
      <c r="X81" s="690"/>
      <c r="Y81" s="691"/>
    </row>
    <row r="82" spans="1:25" ht="18" customHeight="1" x14ac:dyDescent="0.2">
      <c r="A82" s="337"/>
      <c r="B82" s="337"/>
      <c r="C82" s="689"/>
      <c r="D82" s="690"/>
      <c r="E82" s="690"/>
      <c r="F82" s="690"/>
      <c r="G82" s="690"/>
      <c r="H82" s="690"/>
      <c r="I82" s="690"/>
      <c r="J82" s="690"/>
      <c r="K82" s="690"/>
      <c r="L82" s="690"/>
      <c r="M82" s="690"/>
      <c r="N82" s="690"/>
      <c r="O82" s="690"/>
      <c r="P82" s="690"/>
      <c r="Q82" s="690"/>
      <c r="R82" s="690"/>
      <c r="S82" s="690"/>
      <c r="T82" s="690"/>
      <c r="U82" s="690"/>
      <c r="V82" s="690"/>
      <c r="W82" s="690"/>
      <c r="X82" s="690"/>
      <c r="Y82" s="691"/>
    </row>
    <row r="83" spans="1:25" ht="18" customHeight="1" x14ac:dyDescent="0.2">
      <c r="A83" s="337"/>
      <c r="B83" s="337"/>
      <c r="C83" s="689"/>
      <c r="D83" s="690"/>
      <c r="E83" s="690"/>
      <c r="F83" s="690"/>
      <c r="G83" s="690"/>
      <c r="H83" s="690"/>
      <c r="I83" s="690"/>
      <c r="J83" s="690"/>
      <c r="K83" s="690"/>
      <c r="L83" s="690"/>
      <c r="M83" s="690"/>
      <c r="N83" s="690"/>
      <c r="O83" s="690"/>
      <c r="P83" s="690"/>
      <c r="Q83" s="690"/>
      <c r="R83" s="690"/>
      <c r="S83" s="690"/>
      <c r="T83" s="690"/>
      <c r="U83" s="690"/>
      <c r="V83" s="690"/>
      <c r="W83" s="690"/>
      <c r="X83" s="690"/>
      <c r="Y83" s="691"/>
    </row>
    <row r="84" spans="1:25" ht="18" customHeight="1" x14ac:dyDescent="0.2">
      <c r="A84" s="337"/>
      <c r="B84" s="337"/>
      <c r="C84" s="689"/>
      <c r="D84" s="690"/>
      <c r="E84" s="690"/>
      <c r="F84" s="690"/>
      <c r="G84" s="690"/>
      <c r="H84" s="690"/>
      <c r="I84" s="690"/>
      <c r="J84" s="690"/>
      <c r="K84" s="690"/>
      <c r="L84" s="690"/>
      <c r="M84" s="690"/>
      <c r="N84" s="690"/>
      <c r="O84" s="690"/>
      <c r="P84" s="690"/>
      <c r="Q84" s="690"/>
      <c r="R84" s="690"/>
      <c r="S84" s="690"/>
      <c r="T84" s="690"/>
      <c r="U84" s="690"/>
      <c r="V84" s="690"/>
      <c r="W84" s="690"/>
      <c r="X84" s="690"/>
      <c r="Y84" s="691"/>
    </row>
    <row r="85" spans="1:25" ht="18" customHeight="1" x14ac:dyDescent="0.2">
      <c r="A85" s="337"/>
      <c r="B85" s="337"/>
      <c r="C85" s="689"/>
      <c r="D85" s="690"/>
      <c r="E85" s="690"/>
      <c r="F85" s="690"/>
      <c r="G85" s="690"/>
      <c r="H85" s="690"/>
      <c r="I85" s="690"/>
      <c r="J85" s="690"/>
      <c r="K85" s="690"/>
      <c r="L85" s="690"/>
      <c r="M85" s="690"/>
      <c r="N85" s="690"/>
      <c r="O85" s="690"/>
      <c r="P85" s="690"/>
      <c r="Q85" s="690"/>
      <c r="R85" s="690"/>
      <c r="S85" s="690"/>
      <c r="T85" s="690"/>
      <c r="U85" s="690"/>
      <c r="V85" s="690"/>
      <c r="W85" s="690"/>
      <c r="X85" s="690"/>
      <c r="Y85" s="691"/>
    </row>
    <row r="86" spans="1:25" ht="18" customHeight="1" x14ac:dyDescent="0.2">
      <c r="A86" s="337"/>
      <c r="B86" s="337"/>
      <c r="C86" s="689"/>
      <c r="D86" s="690"/>
      <c r="E86" s="690"/>
      <c r="F86" s="690"/>
      <c r="G86" s="690"/>
      <c r="H86" s="690"/>
      <c r="I86" s="690"/>
      <c r="J86" s="690"/>
      <c r="K86" s="690"/>
      <c r="L86" s="690"/>
      <c r="M86" s="690"/>
      <c r="N86" s="690"/>
      <c r="O86" s="690"/>
      <c r="P86" s="690"/>
      <c r="Q86" s="690"/>
      <c r="R86" s="690"/>
      <c r="S86" s="690"/>
      <c r="T86" s="690"/>
      <c r="U86" s="690"/>
      <c r="V86" s="690"/>
      <c r="W86" s="690"/>
      <c r="X86" s="690"/>
      <c r="Y86" s="691"/>
    </row>
    <row r="87" spans="1:25" ht="18" customHeight="1" x14ac:dyDescent="0.2">
      <c r="A87" s="337"/>
      <c r="B87" s="337"/>
      <c r="C87" s="689"/>
      <c r="D87" s="690"/>
      <c r="E87" s="690"/>
      <c r="F87" s="690"/>
      <c r="G87" s="690"/>
      <c r="H87" s="690"/>
      <c r="I87" s="690"/>
      <c r="J87" s="690"/>
      <c r="K87" s="690"/>
      <c r="L87" s="690"/>
      <c r="M87" s="690"/>
      <c r="N87" s="690"/>
      <c r="O87" s="690"/>
      <c r="P87" s="690"/>
      <c r="Q87" s="690"/>
      <c r="R87" s="690"/>
      <c r="S87" s="690"/>
      <c r="T87" s="690"/>
      <c r="U87" s="690"/>
      <c r="V87" s="690"/>
      <c r="W87" s="690"/>
      <c r="X87" s="690"/>
      <c r="Y87" s="691"/>
    </row>
    <row r="88" spans="1:25" ht="18" customHeight="1" x14ac:dyDescent="0.2">
      <c r="A88" s="337"/>
      <c r="B88" s="337"/>
      <c r="C88" s="689"/>
      <c r="D88" s="690"/>
      <c r="E88" s="690"/>
      <c r="F88" s="690"/>
      <c r="G88" s="690"/>
      <c r="H88" s="690"/>
      <c r="I88" s="690"/>
      <c r="J88" s="690"/>
      <c r="K88" s="690"/>
      <c r="L88" s="690"/>
      <c r="M88" s="690"/>
      <c r="N88" s="690"/>
      <c r="O88" s="690"/>
      <c r="P88" s="690"/>
      <c r="Q88" s="690"/>
      <c r="R88" s="690"/>
      <c r="S88" s="690"/>
      <c r="T88" s="690"/>
      <c r="U88" s="690"/>
      <c r="V88" s="690"/>
      <c r="W88" s="690"/>
      <c r="X88" s="690"/>
      <c r="Y88" s="691"/>
    </row>
    <row r="89" spans="1:25" ht="18" customHeight="1" x14ac:dyDescent="0.2">
      <c r="A89" s="337"/>
      <c r="B89" s="337"/>
      <c r="C89" s="689"/>
      <c r="D89" s="690"/>
      <c r="E89" s="690"/>
      <c r="F89" s="690"/>
      <c r="G89" s="690"/>
      <c r="H89" s="690"/>
      <c r="I89" s="690"/>
      <c r="J89" s="690"/>
      <c r="K89" s="690"/>
      <c r="L89" s="690"/>
      <c r="M89" s="690"/>
      <c r="N89" s="690"/>
      <c r="O89" s="690"/>
      <c r="P89" s="690"/>
      <c r="Q89" s="690"/>
      <c r="R89" s="690"/>
      <c r="S89" s="690"/>
      <c r="T89" s="690"/>
      <c r="U89" s="690"/>
      <c r="V89" s="690"/>
      <c r="W89" s="690"/>
      <c r="X89" s="690"/>
      <c r="Y89" s="691"/>
    </row>
    <row r="90" spans="1:25" ht="18" customHeight="1" x14ac:dyDescent="0.2">
      <c r="A90" s="337"/>
      <c r="B90" s="337"/>
      <c r="C90" s="689"/>
      <c r="D90" s="690"/>
      <c r="E90" s="690"/>
      <c r="F90" s="690"/>
      <c r="G90" s="690"/>
      <c r="H90" s="690"/>
      <c r="I90" s="690"/>
      <c r="J90" s="690"/>
      <c r="K90" s="690"/>
      <c r="L90" s="690"/>
      <c r="M90" s="690"/>
      <c r="N90" s="690"/>
      <c r="O90" s="690"/>
      <c r="P90" s="690"/>
      <c r="Q90" s="690"/>
      <c r="R90" s="690"/>
      <c r="S90" s="690"/>
      <c r="T90" s="690"/>
      <c r="U90" s="690"/>
      <c r="V90" s="690"/>
      <c r="W90" s="690"/>
      <c r="X90" s="690"/>
      <c r="Y90" s="691"/>
    </row>
    <row r="91" spans="1:25" ht="18" customHeight="1" x14ac:dyDescent="0.2">
      <c r="A91" s="337"/>
      <c r="B91" s="337"/>
      <c r="C91" s="689"/>
      <c r="D91" s="690"/>
      <c r="E91" s="690"/>
      <c r="F91" s="690"/>
      <c r="G91" s="690"/>
      <c r="H91" s="690"/>
      <c r="I91" s="690"/>
      <c r="J91" s="690"/>
      <c r="K91" s="690"/>
      <c r="L91" s="690"/>
      <c r="M91" s="690"/>
      <c r="N91" s="690"/>
      <c r="O91" s="690"/>
      <c r="P91" s="690"/>
      <c r="Q91" s="690"/>
      <c r="R91" s="690"/>
      <c r="S91" s="690"/>
      <c r="T91" s="690"/>
      <c r="U91" s="690"/>
      <c r="V91" s="690"/>
      <c r="W91" s="690"/>
      <c r="X91" s="690"/>
      <c r="Y91" s="691"/>
    </row>
    <row r="92" spans="1:25" ht="18" customHeight="1" x14ac:dyDescent="0.2">
      <c r="A92" s="337"/>
      <c r="B92" s="337"/>
      <c r="C92" s="689"/>
      <c r="D92" s="690"/>
      <c r="E92" s="690"/>
      <c r="F92" s="690"/>
      <c r="G92" s="690"/>
      <c r="H92" s="690"/>
      <c r="I92" s="690"/>
      <c r="J92" s="690"/>
      <c r="K92" s="690"/>
      <c r="L92" s="690"/>
      <c r="M92" s="690"/>
      <c r="N92" s="690"/>
      <c r="O92" s="690"/>
      <c r="P92" s="690"/>
      <c r="Q92" s="690"/>
      <c r="R92" s="690"/>
      <c r="S92" s="690"/>
      <c r="T92" s="690"/>
      <c r="U92" s="690"/>
      <c r="V92" s="690"/>
      <c r="W92" s="690"/>
      <c r="X92" s="690"/>
      <c r="Y92" s="691"/>
    </row>
    <row r="93" spans="1:25" ht="18" customHeight="1" x14ac:dyDescent="0.2">
      <c r="A93" s="337"/>
      <c r="B93" s="337"/>
      <c r="C93" s="689"/>
      <c r="D93" s="690"/>
      <c r="E93" s="690"/>
      <c r="F93" s="690"/>
      <c r="G93" s="690"/>
      <c r="H93" s="690"/>
      <c r="I93" s="690"/>
      <c r="J93" s="690"/>
      <c r="K93" s="690"/>
      <c r="L93" s="690"/>
      <c r="M93" s="690"/>
      <c r="N93" s="690"/>
      <c r="O93" s="690"/>
      <c r="P93" s="690"/>
      <c r="Q93" s="690"/>
      <c r="R93" s="690"/>
      <c r="S93" s="690"/>
      <c r="T93" s="690"/>
      <c r="U93" s="690"/>
      <c r="V93" s="690"/>
      <c r="W93" s="690"/>
      <c r="X93" s="690"/>
      <c r="Y93" s="691"/>
    </row>
    <row r="94" spans="1:25" ht="18" customHeight="1" x14ac:dyDescent="0.2">
      <c r="A94" s="337"/>
      <c r="B94" s="337"/>
      <c r="C94" s="689"/>
      <c r="D94" s="690"/>
      <c r="E94" s="690"/>
      <c r="F94" s="690"/>
      <c r="G94" s="690"/>
      <c r="H94" s="690"/>
      <c r="I94" s="690"/>
      <c r="J94" s="690"/>
      <c r="K94" s="690"/>
      <c r="L94" s="690"/>
      <c r="M94" s="690"/>
      <c r="N94" s="690"/>
      <c r="O94" s="690"/>
      <c r="P94" s="690"/>
      <c r="Q94" s="690"/>
      <c r="R94" s="690"/>
      <c r="S94" s="690"/>
      <c r="T94" s="690"/>
      <c r="U94" s="690"/>
      <c r="V94" s="690"/>
      <c r="W94" s="690"/>
      <c r="X94" s="690"/>
      <c r="Y94" s="691"/>
    </row>
    <row r="95" spans="1:25" ht="18" customHeight="1" x14ac:dyDescent="0.2">
      <c r="A95" s="337"/>
      <c r="B95" s="337"/>
      <c r="C95" s="689"/>
      <c r="D95" s="690"/>
      <c r="E95" s="690"/>
      <c r="F95" s="690"/>
      <c r="G95" s="690"/>
      <c r="H95" s="690"/>
      <c r="I95" s="690"/>
      <c r="J95" s="690"/>
      <c r="K95" s="690"/>
      <c r="L95" s="690"/>
      <c r="M95" s="690"/>
      <c r="N95" s="690"/>
      <c r="O95" s="690"/>
      <c r="P95" s="690"/>
      <c r="Q95" s="690"/>
      <c r="R95" s="690"/>
      <c r="S95" s="690"/>
      <c r="T95" s="690"/>
      <c r="U95" s="690"/>
      <c r="V95" s="690"/>
      <c r="W95" s="690"/>
      <c r="X95" s="690"/>
      <c r="Y95" s="691"/>
    </row>
    <row r="96" spans="1:25" ht="18" customHeight="1" x14ac:dyDescent="0.2">
      <c r="A96" s="337"/>
      <c r="B96" s="337"/>
      <c r="C96" s="689"/>
      <c r="D96" s="690"/>
      <c r="E96" s="690"/>
      <c r="F96" s="690"/>
      <c r="G96" s="690"/>
      <c r="H96" s="690"/>
      <c r="I96" s="690"/>
      <c r="J96" s="690"/>
      <c r="K96" s="690"/>
      <c r="L96" s="690"/>
      <c r="M96" s="690"/>
      <c r="N96" s="690"/>
      <c r="O96" s="690"/>
      <c r="P96" s="690"/>
      <c r="Q96" s="690"/>
      <c r="R96" s="690"/>
      <c r="S96" s="690"/>
      <c r="T96" s="690"/>
      <c r="U96" s="690"/>
      <c r="V96" s="690"/>
      <c r="W96" s="690"/>
      <c r="X96" s="690"/>
      <c r="Y96" s="691"/>
    </row>
    <row r="97" spans="1:27" ht="18" customHeight="1" x14ac:dyDescent="0.2">
      <c r="A97" s="337"/>
      <c r="B97" s="337"/>
      <c r="C97" s="689"/>
      <c r="D97" s="690"/>
      <c r="E97" s="690"/>
      <c r="F97" s="690"/>
      <c r="G97" s="690"/>
      <c r="H97" s="690"/>
      <c r="I97" s="690"/>
      <c r="J97" s="690"/>
      <c r="K97" s="690"/>
      <c r="L97" s="690"/>
      <c r="M97" s="690"/>
      <c r="N97" s="690"/>
      <c r="O97" s="690"/>
      <c r="P97" s="690"/>
      <c r="Q97" s="690"/>
      <c r="R97" s="690"/>
      <c r="S97" s="690"/>
      <c r="T97" s="690"/>
      <c r="U97" s="690"/>
      <c r="V97" s="690"/>
      <c r="W97" s="690"/>
      <c r="X97" s="690"/>
      <c r="Y97" s="691"/>
    </row>
    <row r="98" spans="1:27" ht="18" customHeight="1" x14ac:dyDescent="0.2">
      <c r="A98" s="337"/>
      <c r="B98" s="337"/>
      <c r="C98" s="689"/>
      <c r="D98" s="690"/>
      <c r="E98" s="690"/>
      <c r="F98" s="690"/>
      <c r="G98" s="690"/>
      <c r="H98" s="690"/>
      <c r="I98" s="690"/>
      <c r="J98" s="690"/>
      <c r="K98" s="690"/>
      <c r="L98" s="690"/>
      <c r="M98" s="690"/>
      <c r="N98" s="690"/>
      <c r="O98" s="690"/>
      <c r="P98" s="690"/>
      <c r="Q98" s="690"/>
      <c r="R98" s="690"/>
      <c r="S98" s="690"/>
      <c r="T98" s="690"/>
      <c r="U98" s="690"/>
      <c r="V98" s="690"/>
      <c r="W98" s="690"/>
      <c r="X98" s="690"/>
      <c r="Y98" s="691"/>
    </row>
    <row r="99" spans="1:27" ht="18" customHeight="1" x14ac:dyDescent="0.2">
      <c r="A99" s="337"/>
      <c r="B99" s="337"/>
      <c r="C99" s="689"/>
      <c r="D99" s="690"/>
      <c r="E99" s="690"/>
      <c r="F99" s="690"/>
      <c r="G99" s="690"/>
      <c r="H99" s="690"/>
      <c r="I99" s="690"/>
      <c r="J99" s="690"/>
      <c r="K99" s="690"/>
      <c r="L99" s="690"/>
      <c r="M99" s="690"/>
      <c r="N99" s="690"/>
      <c r="O99" s="690"/>
      <c r="P99" s="690"/>
      <c r="Q99" s="690"/>
      <c r="R99" s="690"/>
      <c r="S99" s="690"/>
      <c r="T99" s="690"/>
      <c r="U99" s="690"/>
      <c r="V99" s="690"/>
      <c r="W99" s="690"/>
      <c r="X99" s="690"/>
      <c r="Y99" s="691"/>
    </row>
    <row r="100" spans="1:27" ht="18" customHeight="1" x14ac:dyDescent="0.2">
      <c r="A100" s="337"/>
      <c r="B100" s="337"/>
      <c r="C100" s="689"/>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1"/>
    </row>
    <row r="101" spans="1:27" ht="18" customHeight="1" x14ac:dyDescent="0.2">
      <c r="A101" s="337"/>
      <c r="B101" s="337"/>
      <c r="C101" s="689"/>
      <c r="D101" s="690"/>
      <c r="E101" s="690"/>
      <c r="F101" s="690"/>
      <c r="G101" s="690"/>
      <c r="H101" s="690"/>
      <c r="I101" s="690"/>
      <c r="J101" s="690"/>
      <c r="K101" s="690"/>
      <c r="L101" s="690"/>
      <c r="M101" s="690"/>
      <c r="N101" s="690"/>
      <c r="O101" s="690"/>
      <c r="P101" s="690"/>
      <c r="Q101" s="690"/>
      <c r="R101" s="690"/>
      <c r="S101" s="690"/>
      <c r="T101" s="690"/>
      <c r="U101" s="690"/>
      <c r="V101" s="690"/>
      <c r="W101" s="690"/>
      <c r="X101" s="690"/>
      <c r="Y101" s="691"/>
    </row>
    <row r="102" spans="1:27" ht="18" customHeight="1" x14ac:dyDescent="0.2">
      <c r="A102" s="337"/>
      <c r="B102" s="337"/>
      <c r="C102" s="692"/>
      <c r="D102" s="693"/>
      <c r="E102" s="693"/>
      <c r="F102" s="693"/>
      <c r="G102" s="693"/>
      <c r="H102" s="693"/>
      <c r="I102" s="693"/>
      <c r="J102" s="693"/>
      <c r="K102" s="693"/>
      <c r="L102" s="693"/>
      <c r="M102" s="693"/>
      <c r="N102" s="693"/>
      <c r="O102" s="693"/>
      <c r="P102" s="693"/>
      <c r="Q102" s="693"/>
      <c r="R102" s="693"/>
      <c r="S102" s="693"/>
      <c r="T102" s="693"/>
      <c r="U102" s="693"/>
      <c r="V102" s="693"/>
      <c r="W102" s="693"/>
      <c r="X102" s="693"/>
      <c r="Y102" s="694"/>
    </row>
    <row r="103" spans="1:27" ht="18" customHeight="1" x14ac:dyDescent="0.2">
      <c r="A103" s="337"/>
      <c r="B103" s="337"/>
      <c r="C103" s="350"/>
      <c r="D103" s="350"/>
      <c r="E103" s="350"/>
      <c r="F103" s="351" t="s">
        <v>363</v>
      </c>
      <c r="G103" s="536"/>
      <c r="H103" s="538"/>
      <c r="I103" s="345"/>
      <c r="J103" s="337"/>
      <c r="K103" s="337"/>
      <c r="L103" s="337"/>
      <c r="M103" s="337"/>
      <c r="N103" s="337"/>
      <c r="O103" s="337"/>
    </row>
    <row r="104" spans="1:27" ht="18" customHeight="1" x14ac:dyDescent="0.2">
      <c r="A104" s="337"/>
      <c r="B104" s="337"/>
      <c r="C104" s="515"/>
      <c r="D104" s="515"/>
      <c r="E104" s="515"/>
      <c r="F104" s="515"/>
      <c r="G104" s="352"/>
      <c r="H104" s="352"/>
      <c r="I104" s="337"/>
      <c r="J104" s="337"/>
      <c r="K104" s="337"/>
      <c r="L104" s="337"/>
      <c r="M104" s="337"/>
      <c r="N104" s="337"/>
      <c r="O104" s="337"/>
    </row>
    <row r="105" spans="1:27" ht="18" customHeight="1" x14ac:dyDescent="0.2">
      <c r="A105" s="337"/>
      <c r="B105" s="337"/>
      <c r="C105" s="581" t="s">
        <v>232</v>
      </c>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row>
    <row r="106" spans="1:27" ht="18" customHeight="1" x14ac:dyDescent="0.2">
      <c r="A106" s="337"/>
      <c r="B106" s="705" t="str">
        <f>IF(OR(C17="SITE IMPACTE - AVEC IMPACT ENVISAGE
(SIMULATION)",C17="SITE IMPACTE - APRES IMPACT"),"L'aire qui n'est plus en zone humide (par ex. bâti, route) dans le site du fait de l'aménagement n'apparaît pas dans l'état avec impact envisagé ou après impact.","")</f>
        <v/>
      </c>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row>
    <row r="107" spans="1:27" ht="18" customHeight="1" x14ac:dyDescent="0.2">
      <c r="A107" s="337"/>
      <c r="B107" s="337"/>
      <c r="C107" s="337"/>
      <c r="D107" s="337"/>
      <c r="E107" s="337"/>
      <c r="F107" s="337"/>
      <c r="G107" s="337"/>
      <c r="H107" s="337"/>
      <c r="I107" s="337"/>
      <c r="J107" s="337"/>
      <c r="K107" s="337"/>
      <c r="L107" s="337"/>
      <c r="M107" s="337"/>
      <c r="N107" s="337"/>
      <c r="O107" s="337"/>
      <c r="S107" s="353" t="s">
        <v>233</v>
      </c>
      <c r="T107" s="578"/>
      <c r="U107" s="578"/>
      <c r="V107" s="578"/>
      <c r="W107" s="578"/>
      <c r="X107" s="591" t="s">
        <v>111</v>
      </c>
      <c r="Y107" s="591"/>
    </row>
    <row r="108" spans="1:27" ht="18" customHeight="1" x14ac:dyDescent="0.2">
      <c r="A108" s="337"/>
      <c r="B108" s="337"/>
      <c r="C108" s="345"/>
      <c r="D108" s="337"/>
      <c r="E108" s="337"/>
      <c r="F108" s="337"/>
      <c r="G108" s="337"/>
      <c r="H108" s="337"/>
      <c r="I108" s="337"/>
      <c r="J108" s="337"/>
      <c r="K108" s="337"/>
      <c r="L108" s="337"/>
      <c r="M108" s="337"/>
      <c r="N108" s="337"/>
      <c r="O108" s="337"/>
    </row>
    <row r="109" spans="1:27" ht="18" customHeight="1" x14ac:dyDescent="0.2">
      <c r="A109" s="337"/>
      <c r="B109" s="337"/>
      <c r="C109" s="345"/>
      <c r="D109" s="337"/>
      <c r="E109" s="337"/>
      <c r="F109" s="337"/>
      <c r="G109" s="337"/>
      <c r="H109" s="337"/>
      <c r="I109" s="337"/>
      <c r="J109" s="337"/>
      <c r="K109" s="337"/>
      <c r="L109" s="337"/>
      <c r="M109" s="337"/>
      <c r="N109" s="337"/>
      <c r="O109" s="337"/>
    </row>
    <row r="110" spans="1:27" ht="18" customHeight="1" x14ac:dyDescent="0.2">
      <c r="A110" s="337"/>
      <c r="B110" s="337"/>
      <c r="C110" s="581" t="s">
        <v>281</v>
      </c>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row>
    <row r="111" spans="1:27" ht="18" customHeight="1" x14ac:dyDescent="0.2">
      <c r="A111" s="337"/>
      <c r="B111" s="337"/>
      <c r="C111" s="354" t="s">
        <v>234</v>
      </c>
      <c r="D111" s="354"/>
      <c r="E111" s="354"/>
      <c r="F111" s="355"/>
      <c r="G111" s="354"/>
      <c r="H111" s="355"/>
      <c r="I111" s="355"/>
      <c r="J111" s="356"/>
      <c r="K111" s="356"/>
      <c r="L111" s="356"/>
      <c r="M111" s="356"/>
      <c r="N111" s="356"/>
      <c r="O111" s="356"/>
      <c r="P111" s="356"/>
      <c r="Q111" s="356"/>
      <c r="R111" s="356"/>
      <c r="S111" s="357" t="s">
        <v>50</v>
      </c>
      <c r="T111" s="665"/>
      <c r="U111" s="666"/>
      <c r="V111" s="666"/>
      <c r="W111" s="667"/>
      <c r="X111" s="358"/>
      <c r="Y111" s="359"/>
    </row>
    <row r="112" spans="1:27" ht="18" customHeight="1" x14ac:dyDescent="0.2">
      <c r="A112" s="337"/>
      <c r="B112" s="337"/>
      <c r="C112" s="360"/>
      <c r="D112" s="32"/>
      <c r="E112" s="32"/>
      <c r="F112" s="361"/>
      <c r="G112" s="361"/>
      <c r="H112" s="361"/>
      <c r="I112" s="361"/>
      <c r="J112" s="361"/>
      <c r="K112" s="346"/>
      <c r="L112" s="346"/>
      <c r="M112" s="346"/>
      <c r="N112" s="346"/>
      <c r="O112" s="346"/>
      <c r="P112" s="346"/>
      <c r="Q112" s="346"/>
      <c r="R112" s="346"/>
      <c r="S112" s="362" t="s">
        <v>51</v>
      </c>
      <c r="T112" s="638"/>
      <c r="U112" s="638"/>
      <c r="V112" s="638"/>
      <c r="W112" s="638"/>
      <c r="X112" s="363"/>
      <c r="Y112" s="364"/>
    </row>
    <row r="113" spans="1:25" ht="18" customHeight="1" x14ac:dyDescent="0.2">
      <c r="A113" s="337"/>
      <c r="B113" s="337"/>
      <c r="C113" s="365"/>
      <c r="D113" s="32"/>
      <c r="E113" s="32"/>
      <c r="F113" s="361"/>
      <c r="G113" s="361"/>
      <c r="H113" s="361"/>
      <c r="I113" s="361"/>
      <c r="J113" s="361"/>
      <c r="K113" s="346"/>
      <c r="L113" s="346"/>
      <c r="M113" s="346"/>
      <c r="N113" s="346"/>
      <c r="O113" s="346"/>
      <c r="P113" s="346"/>
      <c r="Q113" s="346"/>
      <c r="R113" s="346"/>
      <c r="S113" s="362" t="s">
        <v>276</v>
      </c>
      <c r="T113" s="638"/>
      <c r="U113" s="638"/>
      <c r="V113" s="638"/>
      <c r="W113" s="638"/>
      <c r="X113" s="363"/>
      <c r="Y113" s="364"/>
    </row>
    <row r="114" spans="1:25" ht="18" customHeight="1" x14ac:dyDescent="0.2">
      <c r="A114" s="337"/>
      <c r="B114" s="337"/>
      <c r="C114" s="345"/>
      <c r="D114" s="337"/>
      <c r="E114" s="337"/>
      <c r="F114" s="361"/>
      <c r="G114" s="337"/>
      <c r="H114" s="337"/>
      <c r="I114" s="337"/>
      <c r="J114" s="337"/>
      <c r="K114" s="337"/>
      <c r="L114" s="337"/>
      <c r="M114" s="337"/>
      <c r="N114" s="337"/>
      <c r="O114" s="337"/>
    </row>
    <row r="115" spans="1:25" ht="18" customHeight="1" x14ac:dyDescent="0.2">
      <c r="A115" s="337"/>
      <c r="B115" s="337"/>
      <c r="C115" s="345"/>
      <c r="D115" s="337"/>
      <c r="E115" s="337"/>
      <c r="F115" s="361"/>
      <c r="G115" s="337"/>
      <c r="H115" s="337"/>
      <c r="I115" s="337"/>
      <c r="J115" s="337"/>
      <c r="K115" s="337"/>
      <c r="L115" s="337"/>
      <c r="M115" s="337"/>
      <c r="N115" s="337"/>
      <c r="O115" s="337"/>
    </row>
    <row r="116" spans="1:25" ht="18" customHeight="1" x14ac:dyDescent="0.2">
      <c r="A116" s="337"/>
      <c r="B116" s="337"/>
      <c r="C116" s="581" t="s">
        <v>757</v>
      </c>
      <c r="D116" s="581"/>
      <c r="E116" s="581"/>
      <c r="F116" s="581"/>
      <c r="G116" s="704"/>
      <c r="H116" s="704"/>
      <c r="I116" s="704"/>
      <c r="J116" s="704"/>
      <c r="K116" s="704"/>
      <c r="L116" s="704"/>
      <c r="M116" s="704"/>
      <c r="N116" s="704"/>
      <c r="O116" s="704"/>
      <c r="P116" s="704"/>
      <c r="Q116" s="704"/>
      <c r="R116" s="704"/>
      <c r="S116" s="704"/>
      <c r="T116" s="704"/>
      <c r="U116" s="704"/>
      <c r="V116" s="704"/>
      <c r="W116" s="704"/>
      <c r="X116" s="704"/>
      <c r="Y116" s="704"/>
    </row>
    <row r="117" spans="1:25" ht="18" customHeight="1" x14ac:dyDescent="0.2">
      <c r="A117" s="337"/>
      <c r="B117" s="337"/>
      <c r="D117" s="367"/>
      <c r="F117" s="362" t="s">
        <v>235</v>
      </c>
      <c r="G117" s="536"/>
      <c r="H117" s="537"/>
      <c r="I117" s="537"/>
      <c r="J117" s="537"/>
      <c r="K117" s="537"/>
      <c r="L117" s="537"/>
      <c r="M117" s="537"/>
      <c r="N117" s="537"/>
      <c r="O117" s="537"/>
      <c r="P117" s="537"/>
      <c r="Q117" s="537"/>
      <c r="R117" s="537"/>
      <c r="S117" s="537"/>
      <c r="T117" s="537"/>
      <c r="U117" s="537"/>
      <c r="V117" s="537"/>
      <c r="W117" s="537"/>
      <c r="X117" s="537"/>
      <c r="Y117" s="538"/>
    </row>
    <row r="118" spans="1:25" ht="18" customHeight="1" x14ac:dyDescent="0.2">
      <c r="C118" s="345"/>
      <c r="D118" s="367"/>
    </row>
    <row r="119" spans="1:25" ht="18" customHeight="1" x14ac:dyDescent="0.2">
      <c r="C119" s="345"/>
      <c r="D119" s="367"/>
    </row>
    <row r="120" spans="1:25" ht="18" customHeight="1" x14ac:dyDescent="0.2">
      <c r="A120" s="337"/>
      <c r="B120" s="337"/>
      <c r="C120" s="581" t="s">
        <v>282</v>
      </c>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row>
    <row r="121" spans="1:25" ht="18" customHeight="1" x14ac:dyDescent="0.2">
      <c r="A121" s="337"/>
      <c r="B121" s="337"/>
      <c r="C121" s="354" t="s">
        <v>236</v>
      </c>
      <c r="D121" s="354"/>
      <c r="E121" s="337"/>
      <c r="F121" s="368"/>
      <c r="G121" s="368"/>
      <c r="H121" s="368"/>
      <c r="I121" s="353" t="s">
        <v>21</v>
      </c>
      <c r="J121" s="588"/>
      <c r="K121" s="588"/>
      <c r="P121" s="368"/>
      <c r="Q121" s="368"/>
      <c r="S121" s="353" t="s">
        <v>53</v>
      </c>
      <c r="T121" s="588"/>
      <c r="U121" s="588"/>
      <c r="V121" s="588"/>
      <c r="W121" s="588"/>
    </row>
    <row r="122" spans="1:25" ht="18" customHeight="1" x14ac:dyDescent="0.2">
      <c r="A122" s="337"/>
      <c r="B122" s="337"/>
      <c r="C122" s="354"/>
      <c r="D122" s="354"/>
      <c r="E122" s="337"/>
      <c r="F122" s="367"/>
      <c r="G122" s="367"/>
      <c r="H122" s="367"/>
      <c r="I122" s="369" t="s">
        <v>52</v>
      </c>
      <c r="J122" s="588"/>
      <c r="K122" s="588"/>
      <c r="P122" s="367"/>
      <c r="Q122" s="368"/>
      <c r="S122" s="353" t="s">
        <v>23</v>
      </c>
      <c r="T122" s="588"/>
      <c r="U122" s="588"/>
      <c r="V122" s="588"/>
      <c r="W122" s="588"/>
    </row>
    <row r="123" spans="1:25" ht="18" customHeight="1" x14ac:dyDescent="0.2">
      <c r="A123" s="337"/>
      <c r="B123" s="337"/>
      <c r="C123" s="337"/>
      <c r="D123" s="337"/>
      <c r="E123" s="337"/>
      <c r="F123" s="368"/>
      <c r="G123" s="368"/>
      <c r="H123" s="367"/>
      <c r="I123" s="353" t="s">
        <v>22</v>
      </c>
      <c r="J123" s="588"/>
      <c r="K123" s="588"/>
      <c r="P123" s="367"/>
      <c r="Q123" s="367"/>
    </row>
    <row r="124" spans="1:25" ht="18" customHeight="1" x14ac:dyDescent="0.2">
      <c r="A124" s="337"/>
      <c r="B124" s="337"/>
      <c r="C124" s="345"/>
      <c r="D124" s="337"/>
      <c r="E124" s="337"/>
      <c r="F124" s="337"/>
      <c r="G124" s="337"/>
      <c r="H124" s="337"/>
      <c r="I124" s="337"/>
      <c r="J124" s="337"/>
      <c r="K124" s="337"/>
      <c r="L124" s="337"/>
      <c r="M124" s="337"/>
      <c r="N124" s="337"/>
      <c r="O124" s="337"/>
    </row>
    <row r="125" spans="1:25" ht="18" customHeight="1" x14ac:dyDescent="0.2">
      <c r="A125" s="337"/>
      <c r="B125" s="337"/>
      <c r="C125" s="345"/>
      <c r="D125" s="337"/>
      <c r="E125" s="337"/>
      <c r="F125" s="337"/>
      <c r="G125" s="337"/>
      <c r="H125" s="337"/>
      <c r="I125" s="337"/>
      <c r="J125" s="337"/>
      <c r="K125" s="337"/>
      <c r="L125" s="337"/>
      <c r="M125" s="337"/>
      <c r="N125" s="337"/>
      <c r="O125" s="337"/>
    </row>
    <row r="126" spans="1:25" ht="18" customHeight="1" x14ac:dyDescent="0.2">
      <c r="A126" s="337"/>
      <c r="B126" s="337"/>
      <c r="C126" s="583" t="s">
        <v>283</v>
      </c>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row>
    <row r="127" spans="1:25" ht="18" customHeight="1" x14ac:dyDescent="0.2">
      <c r="A127" s="337"/>
      <c r="B127" s="337"/>
      <c r="C127" s="592"/>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row>
    <row r="128" spans="1:25" ht="18" customHeight="1" x14ac:dyDescent="0.2">
      <c r="A128" s="337"/>
      <c r="B128" s="337"/>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row>
    <row r="129" spans="1:25" ht="18" customHeight="1" x14ac:dyDescent="0.2">
      <c r="C129" s="345"/>
      <c r="D129" s="520"/>
      <c r="E129" s="370"/>
      <c r="F129" s="370"/>
      <c r="G129" s="370"/>
      <c r="H129" s="370"/>
      <c r="I129" s="370"/>
      <c r="J129" s="370"/>
      <c r="K129" s="370"/>
      <c r="L129" s="370"/>
    </row>
    <row r="130" spans="1:25" ht="18" customHeight="1" x14ac:dyDescent="0.2">
      <c r="C130" s="345"/>
      <c r="D130" s="520"/>
      <c r="E130" s="370"/>
      <c r="F130" s="370"/>
      <c r="G130" s="370"/>
      <c r="H130" s="370"/>
      <c r="I130" s="370"/>
      <c r="J130" s="370"/>
      <c r="K130" s="370"/>
      <c r="L130" s="370"/>
    </row>
    <row r="131" spans="1:25" ht="18" customHeight="1" x14ac:dyDescent="0.2">
      <c r="C131" s="581" t="s">
        <v>284</v>
      </c>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row>
    <row r="132" spans="1:25" ht="18" customHeight="1" x14ac:dyDescent="0.2">
      <c r="C132" s="365"/>
      <c r="D132" s="365"/>
      <c r="S132" s="369" t="s">
        <v>237</v>
      </c>
      <c r="T132" s="701"/>
      <c r="U132" s="701"/>
      <c r="V132" s="701"/>
      <c r="W132" s="701"/>
      <c r="X132" s="371"/>
      <c r="Y132" s="372"/>
    </row>
    <row r="133" spans="1:25" ht="18" customHeight="1" x14ac:dyDescent="0.2">
      <c r="C133" s="345"/>
      <c r="D133" s="520"/>
      <c r="E133" s="370"/>
      <c r="F133" s="370"/>
      <c r="G133" s="370"/>
      <c r="H133" s="370"/>
      <c r="I133" s="370"/>
      <c r="J133" s="370"/>
      <c r="K133" s="370"/>
      <c r="L133" s="370"/>
    </row>
    <row r="134" spans="1:25" ht="18" customHeight="1" x14ac:dyDescent="0.2">
      <c r="C134" s="345"/>
      <c r="D134" s="520"/>
      <c r="E134" s="370"/>
      <c r="F134" s="370"/>
      <c r="G134" s="370"/>
      <c r="H134" s="370"/>
      <c r="I134" s="370"/>
      <c r="J134" s="370"/>
      <c r="K134" s="370"/>
      <c r="L134" s="370"/>
    </row>
    <row r="135" spans="1:25" ht="33.75" customHeight="1" x14ac:dyDescent="0.2">
      <c r="A135" s="337"/>
      <c r="B135" s="337"/>
      <c r="C135" s="341" t="s">
        <v>403</v>
      </c>
      <c r="D135" s="695" t="s">
        <v>44</v>
      </c>
      <c r="E135" s="696"/>
      <c r="F135" s="696"/>
      <c r="G135" s="696"/>
      <c r="H135" s="696"/>
      <c r="I135" s="696"/>
      <c r="J135" s="696"/>
      <c r="K135" s="696"/>
      <c r="L135" s="696"/>
      <c r="M135" s="696"/>
      <c r="N135" s="696"/>
      <c r="O135" s="696"/>
      <c r="P135" s="696"/>
      <c r="Q135" s="696"/>
      <c r="R135" s="696"/>
      <c r="S135" s="696"/>
      <c r="T135" s="696"/>
      <c r="U135" s="696"/>
      <c r="V135" s="696"/>
      <c r="W135" s="696"/>
      <c r="X135" s="696"/>
      <c r="Y135" s="697"/>
    </row>
    <row r="136" spans="1:25" ht="18" customHeight="1" x14ac:dyDescent="0.2">
      <c r="A136" s="337"/>
      <c r="B136" s="337"/>
      <c r="C136" s="517"/>
      <c r="D136" s="517"/>
      <c r="E136" s="517"/>
      <c r="F136" s="517"/>
      <c r="G136" s="517"/>
      <c r="H136" s="517"/>
      <c r="I136" s="517"/>
      <c r="J136" s="517"/>
      <c r="K136" s="517"/>
      <c r="L136" s="517"/>
      <c r="M136" s="517"/>
      <c r="N136" s="517"/>
      <c r="O136" s="517"/>
      <c r="P136" s="517"/>
      <c r="Q136" s="517"/>
      <c r="R136" s="517"/>
      <c r="S136" s="517"/>
      <c r="T136" s="517"/>
      <c r="U136" s="517"/>
      <c r="V136" s="517"/>
      <c r="W136" s="517"/>
      <c r="X136" s="517"/>
      <c r="Y136" s="517"/>
    </row>
    <row r="137" spans="1:25" ht="18" customHeight="1" x14ac:dyDescent="0.2">
      <c r="A137" s="337"/>
      <c r="B137" s="337"/>
      <c r="C137" s="583" t="s">
        <v>364</v>
      </c>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row>
    <row r="138" spans="1:25" ht="18" customHeight="1" x14ac:dyDescent="0.2">
      <c r="A138" s="337"/>
      <c r="B138" s="337"/>
      <c r="C138" s="592"/>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row>
    <row r="139" spans="1:25" ht="18" customHeight="1" thickBot="1" x14ac:dyDescent="0.25">
      <c r="A139" s="337"/>
      <c r="B139" s="337"/>
      <c r="C139" s="373"/>
      <c r="D139" s="373"/>
      <c r="E139" s="374"/>
      <c r="F139" s="374"/>
      <c r="G139" s="374"/>
      <c r="H139" s="374"/>
      <c r="I139" s="374"/>
      <c r="J139" s="374"/>
      <c r="K139" s="373"/>
      <c r="L139" s="373"/>
      <c r="M139" s="374"/>
      <c r="N139" s="374"/>
      <c r="O139" s="374"/>
      <c r="P139" s="374"/>
      <c r="Q139" s="374"/>
      <c r="R139" s="374"/>
      <c r="S139" s="362" t="s">
        <v>238</v>
      </c>
      <c r="T139" s="702"/>
      <c r="U139" s="702"/>
      <c r="V139" s="702"/>
      <c r="W139" s="702"/>
      <c r="X139" s="703"/>
      <c r="Y139" s="703"/>
    </row>
    <row r="140" spans="1:25" ht="18" customHeight="1" thickBot="1" x14ac:dyDescent="0.25">
      <c r="A140" s="337"/>
      <c r="B140" s="337"/>
      <c r="C140" s="345"/>
      <c r="D140" s="517"/>
      <c r="E140" s="517"/>
      <c r="F140" s="517"/>
      <c r="G140" s="517"/>
      <c r="H140" s="517"/>
      <c r="I140" s="517"/>
      <c r="J140" s="517"/>
      <c r="K140" s="517"/>
      <c r="L140" s="517"/>
      <c r="M140" s="517"/>
      <c r="N140" s="517"/>
      <c r="O140" s="517"/>
      <c r="P140" s="517"/>
      <c r="Q140" s="517"/>
      <c r="R140" s="517"/>
      <c r="S140" s="517"/>
      <c r="T140" s="375"/>
      <c r="U140" s="376"/>
      <c r="V140" s="376"/>
      <c r="W140" s="377" t="str">
        <f>CONCATENATE(IF($T$139="","",IF($T$139&gt;8,"Le rang de Strahler maximal est de 8 dans la BD CARTHAGE","")),IF(AND(OR($J$121="X",$J$122="X"),$T$139=""),"Site alluvial ou riverain des étendues d'eau, renseignez un rang de Strahler.",""))</f>
        <v/>
      </c>
      <c r="X140" s="517"/>
      <c r="Y140" s="517"/>
    </row>
    <row r="141" spans="1:25" ht="18" customHeight="1" x14ac:dyDescent="0.2">
      <c r="A141" s="337"/>
      <c r="B141" s="337"/>
      <c r="C141" s="345"/>
      <c r="D141" s="517"/>
      <c r="E141" s="517"/>
      <c r="F141" s="517"/>
      <c r="G141" s="517"/>
      <c r="H141" s="517"/>
      <c r="I141" s="517"/>
      <c r="J141" s="517"/>
      <c r="K141" s="517"/>
      <c r="L141" s="517"/>
      <c r="M141" s="517"/>
      <c r="N141" s="517"/>
      <c r="O141" s="517"/>
      <c r="P141" s="517"/>
      <c r="Q141" s="517"/>
      <c r="R141" s="517"/>
      <c r="S141" s="517"/>
      <c r="T141" s="517"/>
      <c r="U141" s="517"/>
      <c r="V141" s="517"/>
      <c r="W141" s="378"/>
      <c r="X141" s="517"/>
      <c r="Y141" s="517"/>
    </row>
    <row r="142" spans="1:25" ht="18" customHeight="1" x14ac:dyDescent="0.2">
      <c r="A142" s="337"/>
      <c r="B142" s="337"/>
      <c r="C142" s="581" t="s">
        <v>777</v>
      </c>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row>
    <row r="143" spans="1:25" ht="18" customHeight="1" x14ac:dyDescent="0.2">
      <c r="A143" s="337"/>
      <c r="B143" s="337"/>
      <c r="C143" s="684" t="s">
        <v>365</v>
      </c>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row>
    <row r="144" spans="1:25" ht="18" customHeight="1" x14ac:dyDescent="0.2">
      <c r="A144" s="337"/>
      <c r="B144" s="337"/>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row>
    <row r="145" spans="1:25" ht="18" customHeight="1" x14ac:dyDescent="0.2">
      <c r="A145" s="337"/>
      <c r="B145" s="337"/>
      <c r="C145" s="686"/>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8"/>
    </row>
    <row r="146" spans="1:25" ht="18" customHeight="1" x14ac:dyDescent="0.2">
      <c r="A146" s="337"/>
      <c r="B146" s="337"/>
      <c r="C146" s="689"/>
      <c r="D146" s="690"/>
      <c r="E146" s="690"/>
      <c r="F146" s="690"/>
      <c r="G146" s="690"/>
      <c r="H146" s="690"/>
      <c r="I146" s="690"/>
      <c r="J146" s="690"/>
      <c r="K146" s="690"/>
      <c r="L146" s="690"/>
      <c r="M146" s="690"/>
      <c r="N146" s="690"/>
      <c r="O146" s="690"/>
      <c r="P146" s="690"/>
      <c r="Q146" s="690"/>
      <c r="R146" s="690"/>
      <c r="S146" s="690"/>
      <c r="T146" s="690"/>
      <c r="U146" s="690"/>
      <c r="V146" s="690"/>
      <c r="W146" s="690"/>
      <c r="X146" s="690"/>
      <c r="Y146" s="691"/>
    </row>
    <row r="147" spans="1:25" ht="18" customHeight="1" x14ac:dyDescent="0.2">
      <c r="A147" s="337"/>
      <c r="B147" s="337"/>
      <c r="C147" s="689"/>
      <c r="D147" s="690"/>
      <c r="E147" s="690"/>
      <c r="F147" s="690"/>
      <c r="G147" s="690"/>
      <c r="H147" s="690"/>
      <c r="I147" s="690"/>
      <c r="J147" s="690"/>
      <c r="K147" s="690"/>
      <c r="L147" s="690"/>
      <c r="M147" s="690"/>
      <c r="N147" s="690"/>
      <c r="O147" s="690"/>
      <c r="P147" s="690"/>
      <c r="Q147" s="690"/>
      <c r="R147" s="690"/>
      <c r="S147" s="690"/>
      <c r="T147" s="690"/>
      <c r="U147" s="690"/>
      <c r="V147" s="690"/>
      <c r="W147" s="690"/>
      <c r="X147" s="690"/>
      <c r="Y147" s="691"/>
    </row>
    <row r="148" spans="1:25" ht="18" customHeight="1" x14ac:dyDescent="0.2">
      <c r="A148" s="337"/>
      <c r="B148" s="337"/>
      <c r="C148" s="689"/>
      <c r="D148" s="690"/>
      <c r="E148" s="690"/>
      <c r="F148" s="690"/>
      <c r="G148" s="690"/>
      <c r="H148" s="690"/>
      <c r="I148" s="690"/>
      <c r="J148" s="690"/>
      <c r="K148" s="690"/>
      <c r="L148" s="690"/>
      <c r="M148" s="690"/>
      <c r="N148" s="690"/>
      <c r="O148" s="690"/>
      <c r="P148" s="690"/>
      <c r="Q148" s="690"/>
      <c r="R148" s="690"/>
      <c r="S148" s="690"/>
      <c r="T148" s="690"/>
      <c r="U148" s="690"/>
      <c r="V148" s="690"/>
      <c r="W148" s="690"/>
      <c r="X148" s="690"/>
      <c r="Y148" s="691"/>
    </row>
    <row r="149" spans="1:25" ht="18" customHeight="1" x14ac:dyDescent="0.2">
      <c r="A149" s="337"/>
      <c r="B149" s="337"/>
      <c r="C149" s="689"/>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1"/>
    </row>
    <row r="150" spans="1:25" ht="18" customHeight="1" x14ac:dyDescent="0.2">
      <c r="A150" s="337"/>
      <c r="B150" s="337"/>
      <c r="C150" s="689"/>
      <c r="D150" s="690"/>
      <c r="E150" s="690"/>
      <c r="F150" s="690"/>
      <c r="G150" s="690"/>
      <c r="H150" s="690"/>
      <c r="I150" s="690"/>
      <c r="J150" s="690"/>
      <c r="K150" s="690"/>
      <c r="L150" s="690"/>
      <c r="M150" s="690"/>
      <c r="N150" s="690"/>
      <c r="O150" s="690"/>
      <c r="P150" s="690"/>
      <c r="Q150" s="690"/>
      <c r="R150" s="690"/>
      <c r="S150" s="690"/>
      <c r="T150" s="690"/>
      <c r="U150" s="690"/>
      <c r="V150" s="690"/>
      <c r="W150" s="690"/>
      <c r="X150" s="690"/>
      <c r="Y150" s="691"/>
    </row>
    <row r="151" spans="1:25" ht="18" customHeight="1" x14ac:dyDescent="0.2">
      <c r="A151" s="337"/>
      <c r="B151" s="337"/>
      <c r="C151" s="689"/>
      <c r="D151" s="690"/>
      <c r="E151" s="690"/>
      <c r="F151" s="690"/>
      <c r="G151" s="690"/>
      <c r="H151" s="690"/>
      <c r="I151" s="690"/>
      <c r="J151" s="690"/>
      <c r="K151" s="690"/>
      <c r="L151" s="690"/>
      <c r="M151" s="690"/>
      <c r="N151" s="690"/>
      <c r="O151" s="690"/>
      <c r="P151" s="690"/>
      <c r="Q151" s="690"/>
      <c r="R151" s="690"/>
      <c r="S151" s="690"/>
      <c r="T151" s="690"/>
      <c r="U151" s="690"/>
      <c r="V151" s="690"/>
      <c r="W151" s="690"/>
      <c r="X151" s="690"/>
      <c r="Y151" s="691"/>
    </row>
    <row r="152" spans="1:25" ht="18" customHeight="1" x14ac:dyDescent="0.2">
      <c r="A152" s="337"/>
      <c r="B152" s="337"/>
      <c r="C152" s="689"/>
      <c r="D152" s="690"/>
      <c r="E152" s="690"/>
      <c r="F152" s="690"/>
      <c r="G152" s="690"/>
      <c r="H152" s="690"/>
      <c r="I152" s="690"/>
      <c r="J152" s="690"/>
      <c r="K152" s="690"/>
      <c r="L152" s="690"/>
      <c r="M152" s="690"/>
      <c r="N152" s="690"/>
      <c r="O152" s="690"/>
      <c r="P152" s="690"/>
      <c r="Q152" s="690"/>
      <c r="R152" s="690"/>
      <c r="S152" s="690"/>
      <c r="T152" s="690"/>
      <c r="U152" s="690"/>
      <c r="V152" s="690"/>
      <c r="W152" s="690"/>
      <c r="X152" s="690"/>
      <c r="Y152" s="691"/>
    </row>
    <row r="153" spans="1:25" ht="18" customHeight="1" x14ac:dyDescent="0.2">
      <c r="A153" s="337"/>
      <c r="B153" s="337"/>
      <c r="C153" s="689"/>
      <c r="D153" s="690"/>
      <c r="E153" s="690"/>
      <c r="F153" s="690"/>
      <c r="G153" s="690"/>
      <c r="H153" s="690"/>
      <c r="I153" s="690"/>
      <c r="J153" s="690"/>
      <c r="K153" s="690"/>
      <c r="L153" s="690"/>
      <c r="M153" s="690"/>
      <c r="N153" s="690"/>
      <c r="O153" s="690"/>
      <c r="P153" s="690"/>
      <c r="Q153" s="690"/>
      <c r="R153" s="690"/>
      <c r="S153" s="690"/>
      <c r="T153" s="690"/>
      <c r="U153" s="690"/>
      <c r="V153" s="690"/>
      <c r="W153" s="690"/>
      <c r="X153" s="690"/>
      <c r="Y153" s="691"/>
    </row>
    <row r="154" spans="1:25" ht="18" customHeight="1" x14ac:dyDescent="0.2">
      <c r="A154" s="337"/>
      <c r="B154" s="337"/>
      <c r="C154" s="689"/>
      <c r="D154" s="690"/>
      <c r="E154" s="690"/>
      <c r="F154" s="690"/>
      <c r="G154" s="690"/>
      <c r="H154" s="690"/>
      <c r="I154" s="690"/>
      <c r="J154" s="690"/>
      <c r="K154" s="690"/>
      <c r="L154" s="690"/>
      <c r="M154" s="690"/>
      <c r="N154" s="690"/>
      <c r="O154" s="690"/>
      <c r="P154" s="690"/>
      <c r="Q154" s="690"/>
      <c r="R154" s="690"/>
      <c r="S154" s="690"/>
      <c r="T154" s="690"/>
      <c r="U154" s="690"/>
      <c r="V154" s="690"/>
      <c r="W154" s="690"/>
      <c r="X154" s="690"/>
      <c r="Y154" s="691"/>
    </row>
    <row r="155" spans="1:25" ht="18" customHeight="1" x14ac:dyDescent="0.2">
      <c r="A155" s="337"/>
      <c r="B155" s="337"/>
      <c r="C155" s="689"/>
      <c r="D155" s="690"/>
      <c r="E155" s="690"/>
      <c r="F155" s="690"/>
      <c r="G155" s="690"/>
      <c r="H155" s="690"/>
      <c r="I155" s="690"/>
      <c r="J155" s="690"/>
      <c r="K155" s="690"/>
      <c r="L155" s="690"/>
      <c r="M155" s="690"/>
      <c r="N155" s="690"/>
      <c r="O155" s="690"/>
      <c r="P155" s="690"/>
      <c r="Q155" s="690"/>
      <c r="R155" s="690"/>
      <c r="S155" s="690"/>
      <c r="T155" s="690"/>
      <c r="U155" s="690"/>
      <c r="V155" s="690"/>
      <c r="W155" s="690"/>
      <c r="X155" s="690"/>
      <c r="Y155" s="691"/>
    </row>
    <row r="156" spans="1:25" ht="18" customHeight="1" x14ac:dyDescent="0.2">
      <c r="A156" s="337"/>
      <c r="B156" s="337"/>
      <c r="C156" s="689"/>
      <c r="D156" s="690"/>
      <c r="E156" s="690"/>
      <c r="F156" s="690"/>
      <c r="G156" s="690"/>
      <c r="H156" s="690"/>
      <c r="I156" s="690"/>
      <c r="J156" s="690"/>
      <c r="K156" s="690"/>
      <c r="L156" s="690"/>
      <c r="M156" s="690"/>
      <c r="N156" s="690"/>
      <c r="O156" s="690"/>
      <c r="P156" s="690"/>
      <c r="Q156" s="690"/>
      <c r="R156" s="690"/>
      <c r="S156" s="690"/>
      <c r="T156" s="690"/>
      <c r="U156" s="690"/>
      <c r="V156" s="690"/>
      <c r="W156" s="690"/>
      <c r="X156" s="690"/>
      <c r="Y156" s="691"/>
    </row>
    <row r="157" spans="1:25" ht="18" customHeight="1" x14ac:dyDescent="0.2">
      <c r="A157" s="337"/>
      <c r="B157" s="337"/>
      <c r="C157" s="689"/>
      <c r="D157" s="690"/>
      <c r="E157" s="690"/>
      <c r="F157" s="690"/>
      <c r="G157" s="690"/>
      <c r="H157" s="690"/>
      <c r="I157" s="690"/>
      <c r="J157" s="690"/>
      <c r="K157" s="690"/>
      <c r="L157" s="690"/>
      <c r="M157" s="690"/>
      <c r="N157" s="690"/>
      <c r="O157" s="690"/>
      <c r="P157" s="690"/>
      <c r="Q157" s="690"/>
      <c r="R157" s="690"/>
      <c r="S157" s="690"/>
      <c r="T157" s="690"/>
      <c r="U157" s="690"/>
      <c r="V157" s="690"/>
      <c r="W157" s="690"/>
      <c r="X157" s="690"/>
      <c r="Y157" s="691"/>
    </row>
    <row r="158" spans="1:25" ht="18" customHeight="1" x14ac:dyDescent="0.2">
      <c r="A158" s="337"/>
      <c r="B158" s="337"/>
      <c r="C158" s="689"/>
      <c r="D158" s="690"/>
      <c r="E158" s="690"/>
      <c r="F158" s="690"/>
      <c r="G158" s="690"/>
      <c r="H158" s="690"/>
      <c r="I158" s="690"/>
      <c r="J158" s="690"/>
      <c r="K158" s="690"/>
      <c r="L158" s="690"/>
      <c r="M158" s="690"/>
      <c r="N158" s="690"/>
      <c r="O158" s="690"/>
      <c r="P158" s="690"/>
      <c r="Q158" s="690"/>
      <c r="R158" s="690"/>
      <c r="S158" s="690"/>
      <c r="T158" s="690"/>
      <c r="U158" s="690"/>
      <c r="V158" s="690"/>
      <c r="W158" s="690"/>
      <c r="X158" s="690"/>
      <c r="Y158" s="691"/>
    </row>
    <row r="159" spans="1:25" ht="18" customHeight="1" x14ac:dyDescent="0.2">
      <c r="A159" s="337"/>
      <c r="B159" s="337"/>
      <c r="C159" s="689"/>
      <c r="D159" s="690"/>
      <c r="E159" s="690"/>
      <c r="F159" s="690"/>
      <c r="G159" s="690"/>
      <c r="H159" s="690"/>
      <c r="I159" s="690"/>
      <c r="J159" s="690"/>
      <c r="K159" s="690"/>
      <c r="L159" s="690"/>
      <c r="M159" s="690"/>
      <c r="N159" s="690"/>
      <c r="O159" s="690"/>
      <c r="P159" s="690"/>
      <c r="Q159" s="690"/>
      <c r="R159" s="690"/>
      <c r="S159" s="690"/>
      <c r="T159" s="690"/>
      <c r="U159" s="690"/>
      <c r="V159" s="690"/>
      <c r="W159" s="690"/>
      <c r="X159" s="690"/>
      <c r="Y159" s="691"/>
    </row>
    <row r="160" spans="1:25" ht="18" customHeight="1" x14ac:dyDescent="0.2">
      <c r="A160" s="337"/>
      <c r="B160" s="337"/>
      <c r="C160" s="689"/>
      <c r="D160" s="690"/>
      <c r="E160" s="690"/>
      <c r="F160" s="690"/>
      <c r="G160" s="690"/>
      <c r="H160" s="690"/>
      <c r="I160" s="690"/>
      <c r="J160" s="690"/>
      <c r="K160" s="690"/>
      <c r="L160" s="690"/>
      <c r="M160" s="690"/>
      <c r="N160" s="690"/>
      <c r="O160" s="690"/>
      <c r="P160" s="690"/>
      <c r="Q160" s="690"/>
      <c r="R160" s="690"/>
      <c r="S160" s="690"/>
      <c r="T160" s="690"/>
      <c r="U160" s="690"/>
      <c r="V160" s="690"/>
      <c r="W160" s="690"/>
      <c r="X160" s="690"/>
      <c r="Y160" s="691"/>
    </row>
    <row r="161" spans="1:25" ht="18" customHeight="1" x14ac:dyDescent="0.2">
      <c r="A161" s="337"/>
      <c r="B161" s="337"/>
      <c r="C161" s="689"/>
      <c r="D161" s="690"/>
      <c r="E161" s="690"/>
      <c r="F161" s="690"/>
      <c r="G161" s="690"/>
      <c r="H161" s="690"/>
      <c r="I161" s="690"/>
      <c r="J161" s="690"/>
      <c r="K161" s="690"/>
      <c r="L161" s="690"/>
      <c r="M161" s="690"/>
      <c r="N161" s="690"/>
      <c r="O161" s="690"/>
      <c r="P161" s="690"/>
      <c r="Q161" s="690"/>
      <c r="R161" s="690"/>
      <c r="S161" s="690"/>
      <c r="T161" s="690"/>
      <c r="U161" s="690"/>
      <c r="V161" s="690"/>
      <c r="W161" s="690"/>
      <c r="X161" s="690"/>
      <c r="Y161" s="691"/>
    </row>
    <row r="162" spans="1:25" ht="18" customHeight="1" x14ac:dyDescent="0.2">
      <c r="A162" s="337"/>
      <c r="B162" s="337"/>
      <c r="C162" s="689"/>
      <c r="D162" s="690"/>
      <c r="E162" s="690"/>
      <c r="F162" s="690"/>
      <c r="G162" s="690"/>
      <c r="H162" s="690"/>
      <c r="I162" s="690"/>
      <c r="J162" s="690"/>
      <c r="K162" s="690"/>
      <c r="L162" s="690"/>
      <c r="M162" s="690"/>
      <c r="N162" s="690"/>
      <c r="O162" s="690"/>
      <c r="P162" s="690"/>
      <c r="Q162" s="690"/>
      <c r="R162" s="690"/>
      <c r="S162" s="690"/>
      <c r="T162" s="690"/>
      <c r="U162" s="690"/>
      <c r="V162" s="690"/>
      <c r="W162" s="690"/>
      <c r="X162" s="690"/>
      <c r="Y162" s="691"/>
    </row>
    <row r="163" spans="1:25" ht="18" customHeight="1" x14ac:dyDescent="0.2">
      <c r="A163" s="337"/>
      <c r="B163" s="337"/>
      <c r="C163" s="689"/>
      <c r="D163" s="690"/>
      <c r="E163" s="690"/>
      <c r="F163" s="690"/>
      <c r="G163" s="690"/>
      <c r="H163" s="690"/>
      <c r="I163" s="690"/>
      <c r="J163" s="690"/>
      <c r="K163" s="690"/>
      <c r="L163" s="690"/>
      <c r="M163" s="690"/>
      <c r="N163" s="690"/>
      <c r="O163" s="690"/>
      <c r="P163" s="690"/>
      <c r="Q163" s="690"/>
      <c r="R163" s="690"/>
      <c r="S163" s="690"/>
      <c r="T163" s="690"/>
      <c r="U163" s="690"/>
      <c r="V163" s="690"/>
      <c r="W163" s="690"/>
      <c r="X163" s="690"/>
      <c r="Y163" s="691"/>
    </row>
    <row r="164" spans="1:25" ht="18" customHeight="1" x14ac:dyDescent="0.2">
      <c r="A164" s="337"/>
      <c r="B164" s="337"/>
      <c r="C164" s="689"/>
      <c r="D164" s="690"/>
      <c r="E164" s="690"/>
      <c r="F164" s="690"/>
      <c r="G164" s="690"/>
      <c r="H164" s="690"/>
      <c r="I164" s="690"/>
      <c r="J164" s="690"/>
      <c r="K164" s="690"/>
      <c r="L164" s="690"/>
      <c r="M164" s="690"/>
      <c r="N164" s="690"/>
      <c r="O164" s="690"/>
      <c r="P164" s="690"/>
      <c r="Q164" s="690"/>
      <c r="R164" s="690"/>
      <c r="S164" s="690"/>
      <c r="T164" s="690"/>
      <c r="U164" s="690"/>
      <c r="V164" s="690"/>
      <c r="W164" s="690"/>
      <c r="X164" s="690"/>
      <c r="Y164" s="691"/>
    </row>
    <row r="165" spans="1:25" ht="18" customHeight="1" x14ac:dyDescent="0.2">
      <c r="A165" s="337"/>
      <c r="B165" s="337"/>
      <c r="C165" s="689"/>
      <c r="D165" s="690"/>
      <c r="E165" s="690"/>
      <c r="F165" s="690"/>
      <c r="G165" s="690"/>
      <c r="H165" s="690"/>
      <c r="I165" s="690"/>
      <c r="J165" s="690"/>
      <c r="K165" s="690"/>
      <c r="L165" s="690"/>
      <c r="M165" s="690"/>
      <c r="N165" s="690"/>
      <c r="O165" s="690"/>
      <c r="P165" s="690"/>
      <c r="Q165" s="690"/>
      <c r="R165" s="690"/>
      <c r="S165" s="690"/>
      <c r="T165" s="690"/>
      <c r="U165" s="690"/>
      <c r="V165" s="690"/>
      <c r="W165" s="690"/>
      <c r="X165" s="690"/>
      <c r="Y165" s="691"/>
    </row>
    <row r="166" spans="1:25" ht="18" customHeight="1" x14ac:dyDescent="0.2">
      <c r="A166" s="337"/>
      <c r="B166" s="337"/>
      <c r="C166" s="689"/>
      <c r="D166" s="690"/>
      <c r="E166" s="690"/>
      <c r="F166" s="690"/>
      <c r="G166" s="690"/>
      <c r="H166" s="690"/>
      <c r="I166" s="690"/>
      <c r="J166" s="690"/>
      <c r="K166" s="690"/>
      <c r="L166" s="690"/>
      <c r="M166" s="690"/>
      <c r="N166" s="690"/>
      <c r="O166" s="690"/>
      <c r="P166" s="690"/>
      <c r="Q166" s="690"/>
      <c r="R166" s="690"/>
      <c r="S166" s="690"/>
      <c r="T166" s="690"/>
      <c r="U166" s="690"/>
      <c r="V166" s="690"/>
      <c r="W166" s="690"/>
      <c r="X166" s="690"/>
      <c r="Y166" s="691"/>
    </row>
    <row r="167" spans="1:25" ht="18" customHeight="1" x14ac:dyDescent="0.2">
      <c r="A167" s="337"/>
      <c r="B167" s="337"/>
      <c r="C167" s="689"/>
      <c r="D167" s="690"/>
      <c r="E167" s="690"/>
      <c r="F167" s="690"/>
      <c r="G167" s="690"/>
      <c r="H167" s="690"/>
      <c r="I167" s="690"/>
      <c r="J167" s="690"/>
      <c r="K167" s="690"/>
      <c r="L167" s="690"/>
      <c r="M167" s="690"/>
      <c r="N167" s="690"/>
      <c r="O167" s="690"/>
      <c r="P167" s="690"/>
      <c r="Q167" s="690"/>
      <c r="R167" s="690"/>
      <c r="S167" s="690"/>
      <c r="T167" s="690"/>
      <c r="U167" s="690"/>
      <c r="V167" s="690"/>
      <c r="W167" s="690"/>
      <c r="X167" s="690"/>
      <c r="Y167" s="691"/>
    </row>
    <row r="168" spans="1:25" ht="18" customHeight="1" x14ac:dyDescent="0.2">
      <c r="A168" s="337"/>
      <c r="B168" s="337"/>
      <c r="C168" s="689"/>
      <c r="D168" s="690"/>
      <c r="E168" s="690"/>
      <c r="F168" s="690"/>
      <c r="G168" s="690"/>
      <c r="H168" s="690"/>
      <c r="I168" s="690"/>
      <c r="J168" s="690"/>
      <c r="K168" s="690"/>
      <c r="L168" s="690"/>
      <c r="M168" s="690"/>
      <c r="N168" s="690"/>
      <c r="O168" s="690"/>
      <c r="P168" s="690"/>
      <c r="Q168" s="690"/>
      <c r="R168" s="690"/>
      <c r="S168" s="690"/>
      <c r="T168" s="690"/>
      <c r="U168" s="690"/>
      <c r="V168" s="690"/>
      <c r="W168" s="690"/>
      <c r="X168" s="690"/>
      <c r="Y168" s="691"/>
    </row>
    <row r="169" spans="1:25" ht="18" customHeight="1" x14ac:dyDescent="0.2">
      <c r="A169" s="337"/>
      <c r="B169" s="337"/>
      <c r="C169" s="689"/>
      <c r="D169" s="690"/>
      <c r="E169" s="690"/>
      <c r="F169" s="690"/>
      <c r="G169" s="690"/>
      <c r="H169" s="690"/>
      <c r="I169" s="690"/>
      <c r="J169" s="690"/>
      <c r="K169" s="690"/>
      <c r="L169" s="690"/>
      <c r="M169" s="690"/>
      <c r="N169" s="690"/>
      <c r="O169" s="690"/>
      <c r="P169" s="690"/>
      <c r="Q169" s="690"/>
      <c r="R169" s="690"/>
      <c r="S169" s="690"/>
      <c r="T169" s="690"/>
      <c r="U169" s="690"/>
      <c r="V169" s="690"/>
      <c r="W169" s="690"/>
      <c r="X169" s="690"/>
      <c r="Y169" s="691"/>
    </row>
    <row r="170" spans="1:25" ht="18" customHeight="1" x14ac:dyDescent="0.2">
      <c r="A170" s="337"/>
      <c r="B170" s="337"/>
      <c r="C170" s="689"/>
      <c r="D170" s="690"/>
      <c r="E170" s="690"/>
      <c r="F170" s="690"/>
      <c r="G170" s="690"/>
      <c r="H170" s="690"/>
      <c r="I170" s="690"/>
      <c r="J170" s="690"/>
      <c r="K170" s="690"/>
      <c r="L170" s="690"/>
      <c r="M170" s="690"/>
      <c r="N170" s="690"/>
      <c r="O170" s="690"/>
      <c r="P170" s="690"/>
      <c r="Q170" s="690"/>
      <c r="R170" s="690"/>
      <c r="S170" s="690"/>
      <c r="T170" s="690"/>
      <c r="U170" s="690"/>
      <c r="V170" s="690"/>
      <c r="W170" s="690"/>
      <c r="X170" s="690"/>
      <c r="Y170" s="691"/>
    </row>
    <row r="171" spans="1:25" ht="18" customHeight="1" x14ac:dyDescent="0.2">
      <c r="A171" s="337"/>
      <c r="B171" s="337"/>
      <c r="C171" s="689"/>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1"/>
    </row>
    <row r="172" spans="1:25" ht="18" customHeight="1" x14ac:dyDescent="0.2">
      <c r="A172" s="337"/>
      <c r="B172" s="337"/>
      <c r="C172" s="689"/>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1"/>
    </row>
    <row r="173" spans="1:25" ht="18" customHeight="1" x14ac:dyDescent="0.2">
      <c r="A173" s="337"/>
      <c r="B173" s="337"/>
      <c r="C173" s="689"/>
      <c r="D173" s="690"/>
      <c r="E173" s="690"/>
      <c r="F173" s="690"/>
      <c r="G173" s="690"/>
      <c r="H173" s="690"/>
      <c r="I173" s="690"/>
      <c r="J173" s="690"/>
      <c r="K173" s="690"/>
      <c r="L173" s="690"/>
      <c r="M173" s="690"/>
      <c r="N173" s="690"/>
      <c r="O173" s="690"/>
      <c r="P173" s="690"/>
      <c r="Q173" s="690"/>
      <c r="R173" s="690"/>
      <c r="S173" s="690"/>
      <c r="T173" s="690"/>
      <c r="U173" s="690"/>
      <c r="V173" s="690"/>
      <c r="W173" s="690"/>
      <c r="X173" s="690"/>
      <c r="Y173" s="691"/>
    </row>
    <row r="174" spans="1:25" ht="18" customHeight="1" x14ac:dyDescent="0.2">
      <c r="A174" s="337"/>
      <c r="B174" s="337"/>
      <c r="C174" s="689"/>
      <c r="D174" s="690"/>
      <c r="E174" s="690"/>
      <c r="F174" s="690"/>
      <c r="G174" s="690"/>
      <c r="H174" s="690"/>
      <c r="I174" s="690"/>
      <c r="J174" s="690"/>
      <c r="K174" s="690"/>
      <c r="L174" s="690"/>
      <c r="M174" s="690"/>
      <c r="N174" s="690"/>
      <c r="O174" s="690"/>
      <c r="P174" s="690"/>
      <c r="Q174" s="690"/>
      <c r="R174" s="690"/>
      <c r="S174" s="690"/>
      <c r="T174" s="690"/>
      <c r="U174" s="690"/>
      <c r="V174" s="690"/>
      <c r="W174" s="690"/>
      <c r="X174" s="690"/>
      <c r="Y174" s="691"/>
    </row>
    <row r="175" spans="1:25" ht="18" customHeight="1" x14ac:dyDescent="0.2">
      <c r="A175" s="337"/>
      <c r="B175" s="337"/>
      <c r="C175" s="689"/>
      <c r="D175" s="690"/>
      <c r="E175" s="690"/>
      <c r="F175" s="690"/>
      <c r="G175" s="690"/>
      <c r="H175" s="690"/>
      <c r="I175" s="690"/>
      <c r="J175" s="690"/>
      <c r="K175" s="690"/>
      <c r="L175" s="690"/>
      <c r="M175" s="690"/>
      <c r="N175" s="690"/>
      <c r="O175" s="690"/>
      <c r="P175" s="690"/>
      <c r="Q175" s="690"/>
      <c r="R175" s="690"/>
      <c r="S175" s="690"/>
      <c r="T175" s="690"/>
      <c r="U175" s="690"/>
      <c r="V175" s="690"/>
      <c r="W175" s="690"/>
      <c r="X175" s="690"/>
      <c r="Y175" s="691"/>
    </row>
    <row r="176" spans="1:25" ht="18" customHeight="1" x14ac:dyDescent="0.2">
      <c r="A176" s="337"/>
      <c r="B176" s="337"/>
      <c r="C176" s="689"/>
      <c r="D176" s="690"/>
      <c r="E176" s="690"/>
      <c r="F176" s="690"/>
      <c r="G176" s="690"/>
      <c r="H176" s="690"/>
      <c r="I176" s="690"/>
      <c r="J176" s="690"/>
      <c r="K176" s="690"/>
      <c r="L176" s="690"/>
      <c r="M176" s="690"/>
      <c r="N176" s="690"/>
      <c r="O176" s="690"/>
      <c r="P176" s="690"/>
      <c r="Q176" s="690"/>
      <c r="R176" s="690"/>
      <c r="S176" s="690"/>
      <c r="T176" s="690"/>
      <c r="U176" s="690"/>
      <c r="V176" s="690"/>
      <c r="W176" s="690"/>
      <c r="X176" s="690"/>
      <c r="Y176" s="691"/>
    </row>
    <row r="177" spans="1:25" ht="18" customHeight="1" x14ac:dyDescent="0.2">
      <c r="A177" s="337"/>
      <c r="B177" s="337"/>
      <c r="C177" s="689"/>
      <c r="D177" s="690"/>
      <c r="E177" s="690"/>
      <c r="F177" s="690"/>
      <c r="G177" s="690"/>
      <c r="H177" s="690"/>
      <c r="I177" s="690"/>
      <c r="J177" s="690"/>
      <c r="K177" s="690"/>
      <c r="L177" s="690"/>
      <c r="M177" s="690"/>
      <c r="N177" s="690"/>
      <c r="O177" s="690"/>
      <c r="P177" s="690"/>
      <c r="Q177" s="690"/>
      <c r="R177" s="690"/>
      <c r="S177" s="690"/>
      <c r="T177" s="690"/>
      <c r="U177" s="690"/>
      <c r="V177" s="690"/>
      <c r="W177" s="690"/>
      <c r="X177" s="690"/>
      <c r="Y177" s="691"/>
    </row>
    <row r="178" spans="1:25" ht="18" customHeight="1" x14ac:dyDescent="0.2">
      <c r="A178" s="337"/>
      <c r="B178" s="337"/>
      <c r="C178" s="689"/>
      <c r="D178" s="690"/>
      <c r="E178" s="690"/>
      <c r="F178" s="690"/>
      <c r="G178" s="690"/>
      <c r="H178" s="690"/>
      <c r="I178" s="690"/>
      <c r="J178" s="690"/>
      <c r="K178" s="690"/>
      <c r="L178" s="690"/>
      <c r="M178" s="690"/>
      <c r="N178" s="690"/>
      <c r="O178" s="690"/>
      <c r="P178" s="690"/>
      <c r="Q178" s="690"/>
      <c r="R178" s="690"/>
      <c r="S178" s="690"/>
      <c r="T178" s="690"/>
      <c r="U178" s="690"/>
      <c r="V178" s="690"/>
      <c r="W178" s="690"/>
      <c r="X178" s="690"/>
      <c r="Y178" s="691"/>
    </row>
    <row r="179" spans="1:25" ht="18" customHeight="1" x14ac:dyDescent="0.2">
      <c r="A179" s="337"/>
      <c r="B179" s="337"/>
      <c r="C179" s="689"/>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1"/>
    </row>
    <row r="180" spans="1:25" ht="18" customHeight="1" x14ac:dyDescent="0.2">
      <c r="A180" s="337"/>
      <c r="B180" s="337"/>
      <c r="C180" s="689"/>
      <c r="D180" s="690"/>
      <c r="E180" s="690"/>
      <c r="F180" s="690"/>
      <c r="G180" s="690"/>
      <c r="H180" s="690"/>
      <c r="I180" s="690"/>
      <c r="J180" s="690"/>
      <c r="K180" s="690"/>
      <c r="L180" s="690"/>
      <c r="M180" s="690"/>
      <c r="N180" s="690"/>
      <c r="O180" s="690"/>
      <c r="P180" s="690"/>
      <c r="Q180" s="690"/>
      <c r="R180" s="690"/>
      <c r="S180" s="690"/>
      <c r="T180" s="690"/>
      <c r="U180" s="690"/>
      <c r="V180" s="690"/>
      <c r="W180" s="690"/>
      <c r="X180" s="690"/>
      <c r="Y180" s="691"/>
    </row>
    <row r="181" spans="1:25" ht="18" customHeight="1" x14ac:dyDescent="0.2">
      <c r="A181" s="337"/>
      <c r="B181" s="337"/>
      <c r="C181" s="689"/>
      <c r="D181" s="690"/>
      <c r="E181" s="690"/>
      <c r="F181" s="690"/>
      <c r="G181" s="690"/>
      <c r="H181" s="690"/>
      <c r="I181" s="690"/>
      <c r="J181" s="690"/>
      <c r="K181" s="690"/>
      <c r="L181" s="690"/>
      <c r="M181" s="690"/>
      <c r="N181" s="690"/>
      <c r="O181" s="690"/>
      <c r="P181" s="690"/>
      <c r="Q181" s="690"/>
      <c r="R181" s="690"/>
      <c r="S181" s="690"/>
      <c r="T181" s="690"/>
      <c r="U181" s="690"/>
      <c r="V181" s="690"/>
      <c r="W181" s="690"/>
      <c r="X181" s="690"/>
      <c r="Y181" s="691"/>
    </row>
    <row r="182" spans="1:25" ht="18" customHeight="1" x14ac:dyDescent="0.2">
      <c r="A182" s="337"/>
      <c r="B182" s="337"/>
      <c r="C182" s="689"/>
      <c r="D182" s="690"/>
      <c r="E182" s="690"/>
      <c r="F182" s="690"/>
      <c r="G182" s="690"/>
      <c r="H182" s="690"/>
      <c r="I182" s="690"/>
      <c r="J182" s="690"/>
      <c r="K182" s="690"/>
      <c r="L182" s="690"/>
      <c r="M182" s="690"/>
      <c r="N182" s="690"/>
      <c r="O182" s="690"/>
      <c r="P182" s="690"/>
      <c r="Q182" s="690"/>
      <c r="R182" s="690"/>
      <c r="S182" s="690"/>
      <c r="T182" s="690"/>
      <c r="U182" s="690"/>
      <c r="V182" s="690"/>
      <c r="W182" s="690"/>
      <c r="X182" s="690"/>
      <c r="Y182" s="691"/>
    </row>
    <row r="183" spans="1:25" ht="18" customHeight="1" x14ac:dyDescent="0.2">
      <c r="A183" s="337"/>
      <c r="B183" s="337"/>
      <c r="C183" s="689"/>
      <c r="D183" s="690"/>
      <c r="E183" s="690"/>
      <c r="F183" s="690"/>
      <c r="G183" s="690"/>
      <c r="H183" s="690"/>
      <c r="I183" s="690"/>
      <c r="J183" s="690"/>
      <c r="K183" s="690"/>
      <c r="L183" s="690"/>
      <c r="M183" s="690"/>
      <c r="N183" s="690"/>
      <c r="O183" s="690"/>
      <c r="P183" s="690"/>
      <c r="Q183" s="690"/>
      <c r="R183" s="690"/>
      <c r="S183" s="690"/>
      <c r="T183" s="690"/>
      <c r="U183" s="690"/>
      <c r="V183" s="690"/>
      <c r="W183" s="690"/>
      <c r="X183" s="690"/>
      <c r="Y183" s="691"/>
    </row>
    <row r="184" spans="1:25" ht="18" customHeight="1" x14ac:dyDescent="0.2">
      <c r="A184" s="337"/>
      <c r="B184" s="337"/>
      <c r="C184" s="689"/>
      <c r="D184" s="690"/>
      <c r="E184" s="690"/>
      <c r="F184" s="690"/>
      <c r="G184" s="690"/>
      <c r="H184" s="690"/>
      <c r="I184" s="690"/>
      <c r="J184" s="690"/>
      <c r="K184" s="690"/>
      <c r="L184" s="690"/>
      <c r="M184" s="690"/>
      <c r="N184" s="690"/>
      <c r="O184" s="690"/>
      <c r="P184" s="690"/>
      <c r="Q184" s="690"/>
      <c r="R184" s="690"/>
      <c r="S184" s="690"/>
      <c r="T184" s="690"/>
      <c r="U184" s="690"/>
      <c r="V184" s="690"/>
      <c r="W184" s="690"/>
      <c r="X184" s="690"/>
      <c r="Y184" s="691"/>
    </row>
    <row r="185" spans="1:25" ht="18" customHeight="1" x14ac:dyDescent="0.2">
      <c r="A185" s="337"/>
      <c r="B185" s="337"/>
      <c r="C185" s="689"/>
      <c r="D185" s="690"/>
      <c r="E185" s="690"/>
      <c r="F185" s="690"/>
      <c r="G185" s="690"/>
      <c r="H185" s="690"/>
      <c r="I185" s="690"/>
      <c r="J185" s="690"/>
      <c r="K185" s="690"/>
      <c r="L185" s="690"/>
      <c r="M185" s="690"/>
      <c r="N185" s="690"/>
      <c r="O185" s="690"/>
      <c r="P185" s="690"/>
      <c r="Q185" s="690"/>
      <c r="R185" s="690"/>
      <c r="S185" s="690"/>
      <c r="T185" s="690"/>
      <c r="U185" s="690"/>
      <c r="V185" s="690"/>
      <c r="W185" s="690"/>
      <c r="X185" s="690"/>
      <c r="Y185" s="691"/>
    </row>
    <row r="186" spans="1:25" ht="18" customHeight="1" x14ac:dyDescent="0.2">
      <c r="A186" s="337"/>
      <c r="B186" s="337"/>
      <c r="C186" s="689"/>
      <c r="D186" s="690"/>
      <c r="E186" s="690"/>
      <c r="F186" s="690"/>
      <c r="G186" s="690"/>
      <c r="H186" s="690"/>
      <c r="I186" s="690"/>
      <c r="J186" s="690"/>
      <c r="K186" s="690"/>
      <c r="L186" s="690"/>
      <c r="M186" s="690"/>
      <c r="N186" s="690"/>
      <c r="O186" s="690"/>
      <c r="P186" s="690"/>
      <c r="Q186" s="690"/>
      <c r="R186" s="690"/>
      <c r="S186" s="690"/>
      <c r="T186" s="690"/>
      <c r="U186" s="690"/>
      <c r="V186" s="690"/>
      <c r="W186" s="690"/>
      <c r="X186" s="690"/>
      <c r="Y186" s="691"/>
    </row>
    <row r="187" spans="1:25" ht="18" customHeight="1" x14ac:dyDescent="0.2">
      <c r="A187" s="337"/>
      <c r="B187" s="337"/>
      <c r="C187" s="689"/>
      <c r="D187" s="690"/>
      <c r="E187" s="690"/>
      <c r="F187" s="690"/>
      <c r="G187" s="690"/>
      <c r="H187" s="690"/>
      <c r="I187" s="690"/>
      <c r="J187" s="690"/>
      <c r="K187" s="690"/>
      <c r="L187" s="690"/>
      <c r="M187" s="690"/>
      <c r="N187" s="690"/>
      <c r="O187" s="690"/>
      <c r="P187" s="690"/>
      <c r="Q187" s="690"/>
      <c r="R187" s="690"/>
      <c r="S187" s="690"/>
      <c r="T187" s="690"/>
      <c r="U187" s="690"/>
      <c r="V187" s="690"/>
      <c r="W187" s="690"/>
      <c r="X187" s="690"/>
      <c r="Y187" s="691"/>
    </row>
    <row r="188" spans="1:25" ht="18" customHeight="1" x14ac:dyDescent="0.2">
      <c r="A188" s="337"/>
      <c r="B188" s="337"/>
      <c r="C188" s="689"/>
      <c r="D188" s="690"/>
      <c r="E188" s="690"/>
      <c r="F188" s="690"/>
      <c r="G188" s="690"/>
      <c r="H188" s="690"/>
      <c r="I188" s="690"/>
      <c r="J188" s="690"/>
      <c r="K188" s="690"/>
      <c r="L188" s="690"/>
      <c r="M188" s="690"/>
      <c r="N188" s="690"/>
      <c r="O188" s="690"/>
      <c r="P188" s="690"/>
      <c r="Q188" s="690"/>
      <c r="R188" s="690"/>
      <c r="S188" s="690"/>
      <c r="T188" s="690"/>
      <c r="U188" s="690"/>
      <c r="V188" s="690"/>
      <c r="W188" s="690"/>
      <c r="X188" s="690"/>
      <c r="Y188" s="691"/>
    </row>
    <row r="189" spans="1:25" ht="18" customHeight="1" x14ac:dyDescent="0.2">
      <c r="A189" s="337"/>
      <c r="B189" s="337"/>
      <c r="C189" s="689"/>
      <c r="D189" s="690"/>
      <c r="E189" s="690"/>
      <c r="F189" s="690"/>
      <c r="G189" s="690"/>
      <c r="H189" s="690"/>
      <c r="I189" s="690"/>
      <c r="J189" s="690"/>
      <c r="K189" s="690"/>
      <c r="L189" s="690"/>
      <c r="M189" s="690"/>
      <c r="N189" s="690"/>
      <c r="O189" s="690"/>
      <c r="P189" s="690"/>
      <c r="Q189" s="690"/>
      <c r="R189" s="690"/>
      <c r="S189" s="690"/>
      <c r="T189" s="690"/>
      <c r="U189" s="690"/>
      <c r="V189" s="690"/>
      <c r="W189" s="690"/>
      <c r="X189" s="690"/>
      <c r="Y189" s="691"/>
    </row>
    <row r="190" spans="1:25" ht="18" customHeight="1" x14ac:dyDescent="0.2">
      <c r="A190" s="337"/>
      <c r="B190" s="337"/>
      <c r="C190" s="692"/>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4"/>
    </row>
    <row r="191" spans="1:25" ht="18" customHeight="1" x14ac:dyDescent="0.2">
      <c r="A191" s="337"/>
      <c r="B191" s="337"/>
      <c r="C191" s="379"/>
      <c r="D191" s="379"/>
      <c r="E191" s="379"/>
      <c r="F191" s="379"/>
      <c r="G191" s="379"/>
      <c r="H191" s="379"/>
      <c r="I191" s="379"/>
      <c r="J191" s="379"/>
      <c r="K191" s="379"/>
      <c r="L191" s="379"/>
      <c r="M191" s="379"/>
      <c r="N191" s="379"/>
      <c r="O191" s="380"/>
    </row>
    <row r="192" spans="1:25" ht="18" customHeight="1" x14ac:dyDescent="0.2">
      <c r="A192" s="337"/>
      <c r="B192" s="337"/>
      <c r="C192" s="379"/>
      <c r="D192" s="379"/>
      <c r="E192" s="379"/>
      <c r="F192" s="379"/>
      <c r="G192" s="379"/>
      <c r="H192" s="379"/>
      <c r="I192" s="379"/>
      <c r="J192" s="379"/>
      <c r="K192" s="379"/>
      <c r="L192" s="379"/>
      <c r="M192" s="379"/>
      <c r="N192" s="379"/>
      <c r="O192" s="380"/>
    </row>
    <row r="193" spans="1:25" ht="18" customHeight="1" x14ac:dyDescent="0.2">
      <c r="A193" s="337"/>
      <c r="B193" s="337"/>
      <c r="C193" s="581" t="s">
        <v>285</v>
      </c>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row>
    <row r="194" spans="1:25" ht="18" customHeight="1" x14ac:dyDescent="0.2">
      <c r="A194" s="337"/>
      <c r="B194" s="337"/>
      <c r="C194" s="783" t="s">
        <v>234</v>
      </c>
      <c r="D194" s="783"/>
      <c r="E194" s="783"/>
      <c r="F194" s="783"/>
      <c r="G194" s="783"/>
      <c r="I194" s="353" t="s">
        <v>24</v>
      </c>
      <c r="J194" s="588"/>
      <c r="K194" s="588"/>
      <c r="P194" s="339"/>
      <c r="S194" s="353" t="s">
        <v>25</v>
      </c>
      <c r="T194" s="588"/>
      <c r="U194" s="588"/>
      <c r="V194" s="588"/>
      <c r="W194" s="588"/>
    </row>
    <row r="195" spans="1:25" ht="18" customHeight="1" x14ac:dyDescent="0.2">
      <c r="A195" s="337"/>
      <c r="B195" s="337"/>
      <c r="C195" s="784"/>
      <c r="D195" s="784"/>
      <c r="E195" s="784"/>
      <c r="F195" s="784"/>
      <c r="G195" s="784"/>
      <c r="H195" s="337"/>
      <c r="I195" s="369" t="s">
        <v>26</v>
      </c>
      <c r="J195" s="588"/>
      <c r="K195" s="588"/>
      <c r="P195" s="339"/>
      <c r="S195" s="353" t="s">
        <v>27</v>
      </c>
      <c r="T195" s="588"/>
      <c r="U195" s="588"/>
      <c r="V195" s="588"/>
      <c r="W195" s="588"/>
    </row>
    <row r="196" spans="1:25" ht="18" customHeight="1" x14ac:dyDescent="0.2">
      <c r="A196" s="337"/>
      <c r="B196" s="337"/>
      <c r="C196" s="784"/>
      <c r="D196" s="784"/>
      <c r="E196" s="784"/>
      <c r="F196" s="784"/>
      <c r="G196" s="784"/>
      <c r="H196" s="337"/>
      <c r="I196" s="353" t="s">
        <v>54</v>
      </c>
      <c r="J196" s="588"/>
      <c r="K196" s="588"/>
      <c r="P196" s="367"/>
      <c r="Q196" s="367"/>
    </row>
    <row r="197" spans="1:25" ht="18" customHeight="1" x14ac:dyDescent="0.2">
      <c r="A197" s="337"/>
      <c r="B197" s="337"/>
      <c r="C197" s="381"/>
      <c r="D197" s="381"/>
      <c r="E197" s="381"/>
      <c r="F197" s="381"/>
      <c r="G197" s="786" t="s">
        <v>239</v>
      </c>
      <c r="H197" s="786"/>
      <c r="I197" s="787"/>
      <c r="J197" s="588"/>
      <c r="K197" s="588"/>
      <c r="L197" s="381"/>
      <c r="M197" s="381"/>
      <c r="N197" s="381"/>
      <c r="O197" s="381"/>
      <c r="P197" s="381"/>
      <c r="Q197" s="381"/>
      <c r="R197" s="381"/>
      <c r="S197" s="381"/>
      <c r="T197" s="381"/>
      <c r="U197" s="381"/>
      <c r="V197" s="381"/>
      <c r="W197" s="381"/>
      <c r="X197" s="381"/>
      <c r="Y197" s="381"/>
    </row>
    <row r="198" spans="1:25" ht="18" customHeight="1" x14ac:dyDescent="0.2">
      <c r="A198" s="337"/>
      <c r="B198" s="337"/>
      <c r="C198" s="793"/>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5"/>
    </row>
    <row r="199" spans="1:25" ht="18" customHeight="1" x14ac:dyDescent="0.2">
      <c r="A199" s="337"/>
      <c r="B199" s="337"/>
      <c r="C199" s="796"/>
      <c r="D199" s="797"/>
      <c r="E199" s="797"/>
      <c r="F199" s="797"/>
      <c r="G199" s="797"/>
      <c r="H199" s="797"/>
      <c r="I199" s="797"/>
      <c r="J199" s="797"/>
      <c r="K199" s="797"/>
      <c r="L199" s="797"/>
      <c r="M199" s="797"/>
      <c r="N199" s="797"/>
      <c r="O199" s="797"/>
      <c r="P199" s="797"/>
      <c r="Q199" s="797"/>
      <c r="R199" s="797"/>
      <c r="S199" s="797"/>
      <c r="T199" s="797"/>
      <c r="U199" s="797"/>
      <c r="V199" s="797"/>
      <c r="W199" s="797"/>
      <c r="X199" s="797"/>
      <c r="Y199" s="798"/>
    </row>
    <row r="200" spans="1:25" ht="18" customHeight="1" x14ac:dyDescent="0.2">
      <c r="A200" s="337"/>
      <c r="B200" s="337"/>
      <c r="C200" s="799"/>
      <c r="D200" s="800"/>
      <c r="E200" s="800"/>
      <c r="F200" s="800"/>
      <c r="G200" s="800"/>
      <c r="H200" s="800"/>
      <c r="I200" s="800"/>
      <c r="J200" s="800"/>
      <c r="K200" s="800"/>
      <c r="L200" s="800"/>
      <c r="M200" s="800"/>
      <c r="N200" s="800"/>
      <c r="O200" s="800"/>
      <c r="P200" s="800"/>
      <c r="Q200" s="800"/>
      <c r="R200" s="800"/>
      <c r="S200" s="800"/>
      <c r="T200" s="800"/>
      <c r="U200" s="800"/>
      <c r="V200" s="800"/>
      <c r="W200" s="800"/>
      <c r="X200" s="800"/>
      <c r="Y200" s="801"/>
    </row>
    <row r="201" spans="1:25" ht="18" customHeight="1" x14ac:dyDescent="0.2">
      <c r="A201" s="337"/>
      <c r="B201" s="337"/>
      <c r="C201" s="345"/>
      <c r="D201" s="379"/>
      <c r="E201" s="379"/>
      <c r="F201" s="379"/>
      <c r="G201" s="379"/>
      <c r="H201" s="379"/>
      <c r="I201" s="379"/>
      <c r="J201" s="379"/>
      <c r="K201" s="379"/>
      <c r="L201" s="379"/>
      <c r="M201" s="379"/>
      <c r="N201" s="379"/>
      <c r="O201" s="380"/>
    </row>
    <row r="202" spans="1:25" ht="18" customHeight="1" x14ac:dyDescent="0.2">
      <c r="A202" s="337"/>
      <c r="B202" s="337"/>
      <c r="C202" s="345"/>
      <c r="D202" s="379"/>
      <c r="E202" s="379"/>
      <c r="F202" s="379"/>
      <c r="G202" s="379"/>
      <c r="H202" s="379"/>
      <c r="I202" s="379"/>
      <c r="J202" s="379"/>
      <c r="K202" s="379"/>
      <c r="L202" s="379"/>
      <c r="M202" s="379"/>
      <c r="N202" s="379"/>
      <c r="O202" s="380"/>
    </row>
    <row r="203" spans="1:25" ht="18" customHeight="1" x14ac:dyDescent="0.2">
      <c r="A203" s="337"/>
      <c r="B203" s="337"/>
      <c r="C203" s="583" t="s">
        <v>286</v>
      </c>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row>
    <row r="204" spans="1:25" ht="18" customHeight="1" x14ac:dyDescent="0.2">
      <c r="A204" s="337"/>
      <c r="B204" s="337"/>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row>
    <row r="205" spans="1:25" ht="18" customHeight="1" x14ac:dyDescent="0.2">
      <c r="A205" s="337"/>
      <c r="B205" s="337"/>
      <c r="C205" s="669"/>
      <c r="D205" s="670"/>
      <c r="E205" s="670"/>
      <c r="F205" s="670"/>
      <c r="G205" s="670"/>
      <c r="H205" s="670"/>
      <c r="I205" s="670"/>
      <c r="J205" s="670"/>
      <c r="K205" s="670"/>
      <c r="L205" s="670"/>
      <c r="M205" s="670"/>
      <c r="N205" s="670"/>
      <c r="O205" s="670"/>
      <c r="P205" s="670"/>
      <c r="Q205" s="670"/>
      <c r="R205" s="670"/>
      <c r="S205" s="670"/>
      <c r="T205" s="670"/>
      <c r="U205" s="670"/>
      <c r="V205" s="670"/>
      <c r="W205" s="670"/>
      <c r="X205" s="670"/>
      <c r="Y205" s="671"/>
    </row>
    <row r="206" spans="1:25" ht="18" customHeight="1" x14ac:dyDescent="0.2">
      <c r="A206" s="337"/>
      <c r="B206" s="337"/>
      <c r="C206" s="802"/>
      <c r="D206" s="803"/>
      <c r="E206" s="803"/>
      <c r="F206" s="803"/>
      <c r="G206" s="803"/>
      <c r="H206" s="803"/>
      <c r="I206" s="803"/>
      <c r="J206" s="803"/>
      <c r="K206" s="803"/>
      <c r="L206" s="803"/>
      <c r="M206" s="803"/>
      <c r="N206" s="803"/>
      <c r="O206" s="803"/>
      <c r="P206" s="803"/>
      <c r="Q206" s="803"/>
      <c r="R206" s="803"/>
      <c r="S206" s="803"/>
      <c r="T206" s="803"/>
      <c r="U206" s="803"/>
      <c r="V206" s="803"/>
      <c r="W206" s="803"/>
      <c r="X206" s="803"/>
      <c r="Y206" s="804"/>
    </row>
    <row r="207" spans="1:25" ht="18" customHeight="1" x14ac:dyDescent="0.2">
      <c r="A207" s="337"/>
      <c r="B207" s="337"/>
      <c r="C207" s="672"/>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4"/>
    </row>
    <row r="208" spans="1:25" ht="18" customHeight="1" x14ac:dyDescent="0.2">
      <c r="A208" s="337"/>
      <c r="B208" s="337"/>
      <c r="C208" s="379"/>
      <c r="D208" s="379"/>
      <c r="E208" s="379"/>
      <c r="F208" s="379"/>
      <c r="G208" s="379"/>
      <c r="H208" s="379"/>
      <c r="I208" s="379"/>
      <c r="J208" s="379"/>
      <c r="K208" s="379"/>
      <c r="L208" s="379"/>
      <c r="M208" s="379"/>
      <c r="N208" s="379"/>
      <c r="O208" s="380"/>
    </row>
    <row r="209" spans="1:26" ht="18" customHeight="1" x14ac:dyDescent="0.2">
      <c r="A209" s="337"/>
      <c r="B209" s="337"/>
      <c r="C209" s="379"/>
      <c r="D209" s="379"/>
      <c r="E209" s="379"/>
      <c r="F209" s="379"/>
      <c r="G209" s="379"/>
      <c r="H209" s="379"/>
      <c r="I209" s="379"/>
      <c r="J209" s="379"/>
      <c r="K209" s="379"/>
      <c r="L209" s="379"/>
      <c r="M209" s="379"/>
      <c r="N209" s="379"/>
      <c r="O209" s="380"/>
    </row>
    <row r="210" spans="1:26" ht="18" customHeight="1" x14ac:dyDescent="0.2">
      <c r="A210" s="337"/>
      <c r="B210" s="337"/>
      <c r="C210" s="581" t="s">
        <v>287</v>
      </c>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row>
    <row r="211" spans="1:26" ht="18" customHeight="1" x14ac:dyDescent="0.2">
      <c r="A211" s="337"/>
      <c r="B211" s="788" t="s">
        <v>1528</v>
      </c>
      <c r="C211" s="789"/>
      <c r="D211" s="789"/>
      <c r="E211" s="789"/>
      <c r="F211" s="789"/>
      <c r="G211" s="789"/>
      <c r="H211" s="789"/>
      <c r="I211" s="789"/>
      <c r="J211" s="789"/>
      <c r="K211" s="789"/>
      <c r="L211" s="789"/>
      <c r="M211" s="789"/>
      <c r="N211" s="789"/>
      <c r="O211" s="789"/>
      <c r="P211" s="789"/>
      <c r="Q211" s="789"/>
      <c r="R211" s="789"/>
      <c r="S211" s="789"/>
      <c r="T211" s="789"/>
      <c r="U211" s="789"/>
      <c r="V211" s="789"/>
      <c r="W211" s="789"/>
      <c r="X211" s="789"/>
      <c r="Y211" s="789"/>
      <c r="Z211" s="789"/>
    </row>
    <row r="212" spans="1:26" ht="18" customHeight="1" x14ac:dyDescent="0.2">
      <c r="A212" s="337"/>
      <c r="B212" s="789"/>
      <c r="C212" s="789"/>
      <c r="D212" s="789"/>
      <c r="E212" s="789"/>
      <c r="F212" s="789"/>
      <c r="G212" s="789"/>
      <c r="H212" s="789"/>
      <c r="I212" s="789"/>
      <c r="J212" s="789"/>
      <c r="K212" s="789"/>
      <c r="L212" s="789"/>
      <c r="M212" s="789"/>
      <c r="N212" s="789"/>
      <c r="O212" s="789"/>
      <c r="P212" s="789"/>
      <c r="Q212" s="789"/>
      <c r="R212" s="789"/>
      <c r="S212" s="789"/>
      <c r="T212" s="789"/>
      <c r="U212" s="789"/>
      <c r="V212" s="789"/>
      <c r="W212" s="789"/>
      <c r="X212" s="789"/>
      <c r="Y212" s="789"/>
      <c r="Z212" s="789"/>
    </row>
    <row r="213" spans="1:26" ht="18" customHeight="1" thickBot="1" x14ac:dyDescent="0.25">
      <c r="A213" s="337"/>
      <c r="B213" s="337"/>
      <c r="C213" s="337"/>
      <c r="D213" s="337"/>
      <c r="E213" s="337"/>
      <c r="F213" s="337"/>
      <c r="G213" s="337"/>
      <c r="H213" s="337"/>
      <c r="I213" s="337"/>
      <c r="J213" s="337"/>
      <c r="K213" s="368"/>
      <c r="L213" s="368"/>
      <c r="M213" s="337"/>
      <c r="N213" s="337"/>
      <c r="O213" s="380"/>
      <c r="S213" s="353" t="s">
        <v>240</v>
      </c>
      <c r="T213" s="785"/>
      <c r="U213" s="785"/>
      <c r="V213" s="785"/>
      <c r="W213" s="785"/>
      <c r="X213" s="591" t="s">
        <v>111</v>
      </c>
      <c r="Y213" s="591"/>
    </row>
    <row r="214" spans="1:26" ht="18" customHeight="1" thickBot="1" x14ac:dyDescent="0.25">
      <c r="A214" s="337"/>
      <c r="B214" s="337"/>
      <c r="C214" s="345"/>
      <c r="D214" s="382"/>
      <c r="E214" s="382"/>
      <c r="F214" s="382"/>
      <c r="G214" s="382"/>
      <c r="H214" s="382"/>
      <c r="I214" s="382"/>
      <c r="J214" s="382"/>
      <c r="K214" s="382"/>
      <c r="L214" s="382"/>
      <c r="M214" s="383"/>
      <c r="N214" s="382"/>
      <c r="O214" s="382"/>
      <c r="P214" s="382"/>
      <c r="Q214" s="382"/>
      <c r="R214" s="382"/>
      <c r="S214" s="384"/>
      <c r="T214" s="375"/>
      <c r="U214" s="385"/>
      <c r="V214" s="385"/>
      <c r="W214" s="377" t="str">
        <f>IF($T$213="","",IF($T$213&lt;$T$107,"La superficie de la zone contributive ne peut pas être inférieure à la superficie du site",""))</f>
        <v/>
      </c>
      <c r="X214" s="382"/>
      <c r="Y214" s="382"/>
    </row>
    <row r="215" spans="1:26" ht="18" customHeight="1" x14ac:dyDescent="0.2">
      <c r="A215" s="337"/>
      <c r="B215" s="337"/>
      <c r="C215" s="345"/>
      <c r="D215" s="382"/>
      <c r="E215" s="382"/>
      <c r="F215" s="382"/>
      <c r="G215" s="382"/>
      <c r="H215" s="382"/>
      <c r="I215" s="382"/>
      <c r="J215" s="382"/>
      <c r="K215" s="382"/>
      <c r="L215" s="382"/>
      <c r="M215" s="383"/>
      <c r="N215" s="382"/>
      <c r="O215" s="382"/>
      <c r="P215" s="382"/>
      <c r="Q215" s="382"/>
      <c r="R215" s="382"/>
      <c r="S215" s="384"/>
      <c r="T215" s="382"/>
      <c r="U215" s="382"/>
      <c r="V215" s="382"/>
      <c r="W215" s="378"/>
      <c r="X215" s="382"/>
      <c r="Y215" s="382"/>
    </row>
    <row r="216" spans="1:26" ht="18" customHeight="1" x14ac:dyDescent="0.2">
      <c r="A216" s="337"/>
      <c r="B216" s="337"/>
      <c r="C216" s="592" t="s">
        <v>288</v>
      </c>
      <c r="D216" s="592"/>
      <c r="E216" s="592"/>
      <c r="F216" s="592"/>
      <c r="G216" s="592"/>
      <c r="H216" s="592"/>
      <c r="I216" s="592"/>
      <c r="J216" s="592"/>
      <c r="K216" s="592"/>
      <c r="L216" s="592"/>
      <c r="M216" s="592"/>
      <c r="N216" s="592"/>
      <c r="O216" s="592"/>
      <c r="P216" s="592"/>
      <c r="Q216" s="592"/>
      <c r="R216" s="592"/>
      <c r="S216" s="592"/>
      <c r="T216" s="592"/>
      <c r="U216" s="592"/>
      <c r="V216" s="592"/>
      <c r="W216" s="592"/>
      <c r="X216" s="592"/>
      <c r="Y216" s="592"/>
    </row>
    <row r="217" spans="1:26" ht="18" customHeight="1" x14ac:dyDescent="0.2">
      <c r="A217" s="337"/>
      <c r="B217" s="337"/>
      <c r="C217" s="337"/>
      <c r="D217" s="337"/>
      <c r="E217" s="337"/>
      <c r="F217" s="337"/>
      <c r="G217" s="337"/>
      <c r="H217" s="337"/>
      <c r="I217" s="337"/>
      <c r="J217" s="337"/>
      <c r="K217" s="337"/>
      <c r="L217" s="337"/>
      <c r="M217" s="337"/>
      <c r="N217" s="337"/>
      <c r="O217" s="337"/>
      <c r="P217" s="337"/>
      <c r="S217" s="353" t="s">
        <v>241</v>
      </c>
      <c r="T217" s="701"/>
      <c r="U217" s="701"/>
      <c r="V217" s="701"/>
      <c r="W217" s="701"/>
      <c r="X217" s="371"/>
      <c r="Y217" s="372"/>
    </row>
    <row r="218" spans="1:26" ht="18" customHeight="1" x14ac:dyDescent="0.2">
      <c r="A218" s="337"/>
      <c r="B218" s="337"/>
      <c r="C218" s="345"/>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row>
    <row r="219" spans="1:26" ht="18" customHeight="1" x14ac:dyDescent="0.2">
      <c r="A219" s="337"/>
      <c r="B219" s="337"/>
      <c r="C219" s="345"/>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row>
    <row r="220" spans="1:26" ht="18" customHeight="1" x14ac:dyDescent="0.2">
      <c r="A220" s="337"/>
      <c r="B220" s="337"/>
      <c r="C220" s="592" t="s">
        <v>289</v>
      </c>
      <c r="D220" s="592"/>
      <c r="E220" s="592"/>
      <c r="F220" s="592"/>
      <c r="G220" s="592"/>
      <c r="H220" s="592"/>
      <c r="I220" s="592"/>
      <c r="J220" s="592"/>
      <c r="K220" s="592"/>
      <c r="L220" s="592"/>
      <c r="M220" s="592"/>
      <c r="N220" s="592"/>
      <c r="O220" s="592"/>
      <c r="P220" s="592"/>
      <c r="Q220" s="592"/>
      <c r="R220" s="592"/>
      <c r="S220" s="592"/>
      <c r="T220" s="592"/>
      <c r="U220" s="592"/>
      <c r="V220" s="592"/>
      <c r="W220" s="592"/>
      <c r="X220" s="592"/>
      <c r="Y220" s="592"/>
    </row>
    <row r="221" spans="1:26" ht="18" customHeight="1" x14ac:dyDescent="0.2">
      <c r="A221" s="337"/>
      <c r="B221" s="337"/>
      <c r="C221" s="356"/>
      <c r="D221" s="356"/>
      <c r="E221" s="356"/>
      <c r="F221" s="356"/>
      <c r="G221" s="356"/>
      <c r="H221" s="356"/>
      <c r="I221" s="362"/>
      <c r="J221" s="356"/>
      <c r="K221" s="379"/>
      <c r="L221" s="379"/>
      <c r="M221" s="379"/>
      <c r="N221" s="379"/>
      <c r="O221" s="380"/>
      <c r="S221" s="357" t="s">
        <v>242</v>
      </c>
      <c r="T221" s="578"/>
      <c r="U221" s="578"/>
      <c r="V221" s="578"/>
      <c r="W221" s="578"/>
      <c r="X221" s="591" t="s">
        <v>111</v>
      </c>
      <c r="Y221" s="591"/>
    </row>
    <row r="222" spans="1:26" ht="18" customHeight="1" thickBot="1" x14ac:dyDescent="0.25">
      <c r="A222" s="337"/>
      <c r="B222" s="337"/>
      <c r="C222" s="346"/>
      <c r="D222" s="346"/>
      <c r="E222" s="346"/>
      <c r="F222" s="346"/>
      <c r="G222" s="346"/>
      <c r="H222" s="346"/>
      <c r="I222" s="362"/>
      <c r="J222" s="346"/>
      <c r="K222" s="379"/>
      <c r="L222" s="379"/>
      <c r="M222" s="379"/>
      <c r="N222" s="379"/>
      <c r="O222" s="380"/>
      <c r="S222" s="362" t="s">
        <v>243</v>
      </c>
      <c r="T222" s="785"/>
      <c r="U222" s="785"/>
      <c r="V222" s="785"/>
      <c r="W222" s="785"/>
      <c r="X222" s="591" t="s">
        <v>111</v>
      </c>
      <c r="Y222" s="591"/>
    </row>
    <row r="223" spans="1:26" ht="18" customHeight="1" thickBot="1" x14ac:dyDescent="0.25">
      <c r="A223" s="337"/>
      <c r="B223" s="337"/>
      <c r="C223" s="345"/>
      <c r="D223" s="382"/>
      <c r="E223" s="382"/>
      <c r="F223" s="382"/>
      <c r="G223" s="382"/>
      <c r="H223" s="382"/>
      <c r="I223" s="382"/>
      <c r="J223" s="382"/>
      <c r="K223" s="382"/>
      <c r="L223" s="382"/>
      <c r="M223" s="382"/>
      <c r="N223" s="382"/>
      <c r="O223" s="382"/>
      <c r="P223" s="382"/>
      <c r="Q223" s="382"/>
      <c r="R223" s="382"/>
      <c r="S223" s="382"/>
      <c r="T223" s="375"/>
      <c r="U223" s="385"/>
      <c r="V223" s="385"/>
      <c r="W223" s="377" t="str">
        <f>IF(AND(ISBLANK($T$221),ISBLANK($T$222)),"",IF(SUM($T$221,$T$222)&gt;$T$213,"La somme des superficies des surfaces enherbées et cultivées ne peut pas être supérieure à la superficie de la zone contributive.",""))</f>
        <v/>
      </c>
      <c r="X223" s="382"/>
      <c r="Y223" s="382"/>
    </row>
    <row r="224" spans="1:26" ht="18" customHeight="1" x14ac:dyDescent="0.2">
      <c r="A224" s="337"/>
      <c r="B224" s="337"/>
      <c r="C224" s="345"/>
      <c r="D224" s="382"/>
      <c r="E224" s="382"/>
      <c r="F224" s="382"/>
      <c r="G224" s="382"/>
      <c r="H224" s="382"/>
      <c r="I224" s="382"/>
      <c r="J224" s="382"/>
      <c r="K224" s="382"/>
      <c r="L224" s="382"/>
      <c r="M224" s="382"/>
      <c r="N224" s="382"/>
      <c r="O224" s="382"/>
      <c r="P224" s="382"/>
      <c r="Q224" s="382"/>
      <c r="R224" s="382"/>
      <c r="S224" s="382"/>
      <c r="T224" s="382"/>
      <c r="U224" s="382"/>
      <c r="V224" s="382"/>
      <c r="W224" s="378"/>
      <c r="X224" s="382"/>
      <c r="Y224" s="382"/>
    </row>
    <row r="225" spans="1:25" ht="18" customHeight="1" x14ac:dyDescent="0.2">
      <c r="A225" s="337"/>
      <c r="B225" s="337"/>
      <c r="C225" s="592" t="s">
        <v>290</v>
      </c>
      <c r="D225" s="592"/>
      <c r="E225" s="592"/>
      <c r="F225" s="592"/>
      <c r="G225" s="592"/>
      <c r="H225" s="592"/>
      <c r="I225" s="592"/>
      <c r="J225" s="592"/>
      <c r="K225" s="592"/>
      <c r="L225" s="592"/>
      <c r="M225" s="592"/>
      <c r="N225" s="592"/>
      <c r="O225" s="592"/>
      <c r="P225" s="592"/>
      <c r="Q225" s="592"/>
      <c r="R225" s="592"/>
      <c r="S225" s="592"/>
      <c r="T225" s="592"/>
      <c r="U225" s="592"/>
      <c r="V225" s="592"/>
      <c r="W225" s="592"/>
      <c r="X225" s="592"/>
      <c r="Y225" s="592"/>
    </row>
    <row r="226" spans="1:25" ht="18" customHeight="1" x14ac:dyDescent="0.2">
      <c r="A226" s="337"/>
      <c r="B226" s="337"/>
      <c r="C226" s="354" t="s">
        <v>234</v>
      </c>
      <c r="D226" s="354"/>
      <c r="E226" s="337"/>
      <c r="F226" s="368"/>
      <c r="G226" s="368"/>
      <c r="H226" s="368"/>
      <c r="I226" s="353" t="s">
        <v>28</v>
      </c>
      <c r="J226" s="588"/>
      <c r="K226" s="588"/>
      <c r="N226" s="368"/>
      <c r="P226" s="368"/>
      <c r="Q226" s="368"/>
      <c r="S226" s="369" t="s">
        <v>29</v>
      </c>
      <c r="T226" s="588"/>
      <c r="U226" s="588"/>
      <c r="V226" s="588"/>
      <c r="W226" s="588"/>
    </row>
    <row r="227" spans="1:25" ht="18" customHeight="1" x14ac:dyDescent="0.2">
      <c r="A227" s="337"/>
      <c r="B227" s="337"/>
      <c r="C227" s="345"/>
      <c r="D227" s="337"/>
      <c r="E227" s="337"/>
      <c r="F227" s="337"/>
      <c r="G227" s="337"/>
      <c r="H227" s="337"/>
      <c r="I227" s="337"/>
      <c r="J227" s="337"/>
      <c r="K227" s="337"/>
      <c r="L227" s="337"/>
      <c r="M227" s="337"/>
      <c r="N227" s="386"/>
      <c r="O227" s="380"/>
    </row>
    <row r="228" spans="1:25" ht="18" customHeight="1" x14ac:dyDescent="0.2">
      <c r="A228" s="337"/>
      <c r="B228" s="337"/>
      <c r="C228" s="345"/>
      <c r="D228" s="337"/>
      <c r="E228" s="337"/>
      <c r="F228" s="337"/>
      <c r="G228" s="337"/>
      <c r="H228" s="337"/>
      <c r="I228" s="337"/>
      <c r="J228" s="337"/>
      <c r="K228" s="337"/>
      <c r="L228" s="337"/>
      <c r="M228" s="337"/>
      <c r="N228" s="386"/>
      <c r="O228" s="380"/>
    </row>
    <row r="229" spans="1:25" ht="18" customHeight="1" x14ac:dyDescent="0.2">
      <c r="A229" s="337"/>
      <c r="B229" s="337"/>
      <c r="C229" s="581" t="s">
        <v>291</v>
      </c>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row>
    <row r="230" spans="1:25" ht="18" customHeight="1" thickBot="1" x14ac:dyDescent="0.25">
      <c r="A230" s="337"/>
      <c r="B230" s="337"/>
      <c r="C230" s="337"/>
      <c r="D230" s="337"/>
      <c r="E230" s="337"/>
      <c r="F230" s="337"/>
      <c r="G230" s="337"/>
      <c r="H230" s="337"/>
      <c r="I230" s="337"/>
      <c r="J230" s="337"/>
      <c r="K230" s="386"/>
      <c r="L230" s="386"/>
      <c r="M230" s="386"/>
      <c r="N230" s="386"/>
      <c r="O230" s="380"/>
      <c r="S230" s="353" t="s">
        <v>244</v>
      </c>
      <c r="T230" s="578"/>
      <c r="U230" s="578"/>
      <c r="V230" s="578"/>
      <c r="W230" s="578"/>
      <c r="X230" s="591" t="s">
        <v>111</v>
      </c>
      <c r="Y230" s="591"/>
    </row>
    <row r="231" spans="1:25" ht="18" customHeight="1" thickBot="1" x14ac:dyDescent="0.25">
      <c r="A231" s="337"/>
      <c r="B231" s="337"/>
      <c r="C231" s="345"/>
      <c r="D231" s="337"/>
      <c r="E231" s="337"/>
      <c r="F231" s="337"/>
      <c r="G231" s="337"/>
      <c r="H231" s="337"/>
      <c r="I231" s="337"/>
      <c r="J231" s="337"/>
      <c r="K231" s="337"/>
      <c r="L231" s="337"/>
      <c r="M231" s="337"/>
      <c r="N231" s="386"/>
      <c r="O231" s="380"/>
      <c r="T231" s="375"/>
      <c r="U231" s="385"/>
      <c r="V231" s="385"/>
      <c r="W231" s="377" t="str">
        <f>IF($T$230="","",IF($T$230&gt;$T$213,"La superficie des surfaces construites ne peut pas être supérieure à la superficie de la zone contributive",""))</f>
        <v/>
      </c>
    </row>
    <row r="232" spans="1:25" ht="18" customHeight="1" x14ac:dyDescent="0.2">
      <c r="A232" s="337"/>
      <c r="B232" s="337"/>
      <c r="C232" s="345"/>
      <c r="D232" s="337"/>
      <c r="E232" s="337"/>
      <c r="F232" s="337"/>
      <c r="G232" s="337"/>
      <c r="H232" s="337"/>
      <c r="I232" s="337"/>
      <c r="J232" s="337"/>
      <c r="K232" s="337"/>
      <c r="L232" s="337"/>
      <c r="M232" s="337"/>
      <c r="N232" s="386"/>
      <c r="O232" s="380"/>
      <c r="W232" s="387"/>
    </row>
    <row r="233" spans="1:25" ht="18" customHeight="1" x14ac:dyDescent="0.2">
      <c r="A233" s="337"/>
      <c r="B233" s="337"/>
      <c r="C233" s="581" t="s">
        <v>292</v>
      </c>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row>
    <row r="234" spans="1:25" ht="18" customHeight="1" x14ac:dyDescent="0.2">
      <c r="A234" s="337"/>
      <c r="B234" s="337"/>
      <c r="C234" s="388"/>
      <c r="D234" s="388"/>
      <c r="E234" s="388"/>
      <c r="F234" s="388"/>
      <c r="G234" s="388"/>
      <c r="H234" s="388"/>
      <c r="I234" s="356"/>
      <c r="J234" s="346"/>
      <c r="K234" s="389"/>
      <c r="L234" s="389"/>
      <c r="M234" s="373"/>
      <c r="N234" s="386"/>
      <c r="O234" s="380"/>
      <c r="S234" s="357" t="s">
        <v>245</v>
      </c>
      <c r="T234" s="578"/>
      <c r="U234" s="578"/>
      <c r="V234" s="578"/>
      <c r="W234" s="578"/>
      <c r="X234" s="591" t="s">
        <v>112</v>
      </c>
      <c r="Y234" s="591"/>
    </row>
    <row r="235" spans="1:25" ht="18" customHeight="1" x14ac:dyDescent="0.2">
      <c r="A235" s="337"/>
      <c r="B235" s="337"/>
      <c r="C235" s="345"/>
      <c r="D235" s="337"/>
      <c r="E235" s="337"/>
      <c r="F235" s="337"/>
      <c r="G235" s="337"/>
      <c r="H235" s="337"/>
      <c r="I235" s="337"/>
      <c r="J235" s="337"/>
      <c r="K235" s="337"/>
      <c r="L235" s="337"/>
      <c r="M235" s="337"/>
      <c r="N235" s="386"/>
      <c r="O235" s="380"/>
    </row>
    <row r="236" spans="1:25" ht="18" customHeight="1" x14ac:dyDescent="0.2">
      <c r="A236" s="337"/>
      <c r="B236" s="337"/>
      <c r="C236" s="345"/>
      <c r="D236" s="337"/>
      <c r="E236" s="337"/>
      <c r="F236" s="337"/>
      <c r="G236" s="337"/>
      <c r="H236" s="337"/>
      <c r="I236" s="337"/>
      <c r="J236" s="337"/>
      <c r="K236" s="337"/>
      <c r="L236" s="337"/>
      <c r="M236" s="337"/>
      <c r="N236" s="386"/>
      <c r="O236" s="380"/>
    </row>
    <row r="237" spans="1:25" ht="35.25" customHeight="1" x14ac:dyDescent="0.2">
      <c r="A237" s="337"/>
      <c r="B237" s="337"/>
      <c r="C237" s="341" t="s">
        <v>402</v>
      </c>
      <c r="D237" s="695" t="s">
        <v>404</v>
      </c>
      <c r="E237" s="696"/>
      <c r="F237" s="696"/>
      <c r="G237" s="696"/>
      <c r="H237" s="696"/>
      <c r="I237" s="696"/>
      <c r="J237" s="696"/>
      <c r="K237" s="696"/>
      <c r="L237" s="696"/>
      <c r="M237" s="696"/>
      <c r="N237" s="696"/>
      <c r="O237" s="696"/>
      <c r="P237" s="696"/>
      <c r="Q237" s="696"/>
      <c r="R237" s="696"/>
      <c r="S237" s="696"/>
      <c r="T237" s="696"/>
      <c r="U237" s="696"/>
      <c r="V237" s="696"/>
      <c r="W237" s="696"/>
      <c r="X237" s="696"/>
      <c r="Y237" s="697"/>
    </row>
    <row r="238" spans="1:25" ht="18" customHeight="1" x14ac:dyDescent="0.2">
      <c r="A238" s="337"/>
      <c r="B238" s="337"/>
      <c r="C238" s="517"/>
      <c r="D238" s="517"/>
      <c r="E238" s="517"/>
      <c r="F238" s="517"/>
      <c r="G238" s="517"/>
      <c r="H238" s="517"/>
      <c r="I238" s="517"/>
      <c r="J238" s="517"/>
      <c r="K238" s="517"/>
      <c r="L238" s="517"/>
      <c r="M238" s="517"/>
      <c r="N238" s="517"/>
      <c r="O238" s="517"/>
      <c r="P238" s="517"/>
      <c r="Q238" s="517"/>
      <c r="R238" s="517"/>
      <c r="S238" s="517"/>
      <c r="T238" s="517"/>
      <c r="U238" s="517"/>
      <c r="V238" s="517"/>
      <c r="W238" s="517"/>
      <c r="X238" s="517"/>
      <c r="Y238" s="517"/>
    </row>
    <row r="239" spans="1:25" ht="18" customHeight="1" x14ac:dyDescent="0.2">
      <c r="A239" s="337"/>
      <c r="B239" s="337"/>
      <c r="C239" s="581" t="s">
        <v>366</v>
      </c>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row>
    <row r="240" spans="1:25" ht="18" customHeight="1" x14ac:dyDescent="0.2">
      <c r="A240" s="337"/>
      <c r="B240" s="337"/>
      <c r="C240" s="684" t="s">
        <v>246</v>
      </c>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row>
    <row r="241" spans="1:25" ht="18" customHeight="1" x14ac:dyDescent="0.2">
      <c r="A241" s="337"/>
      <c r="B241" s="337"/>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row>
    <row r="242" spans="1:25" ht="18" customHeight="1" x14ac:dyDescent="0.2">
      <c r="A242" s="337"/>
      <c r="B242" s="337"/>
      <c r="C242" s="686"/>
      <c r="D242" s="687"/>
      <c r="E242" s="687"/>
      <c r="F242" s="687"/>
      <c r="G242" s="687"/>
      <c r="H242" s="687"/>
      <c r="I242" s="687"/>
      <c r="J242" s="687"/>
      <c r="K242" s="687"/>
      <c r="L242" s="687"/>
      <c r="M242" s="687"/>
      <c r="N242" s="687"/>
      <c r="O242" s="687"/>
      <c r="P242" s="687"/>
      <c r="Q242" s="687"/>
      <c r="R242" s="687"/>
      <c r="S242" s="687"/>
      <c r="T242" s="687"/>
      <c r="U242" s="687"/>
      <c r="V242" s="687"/>
      <c r="W242" s="687"/>
      <c r="X242" s="687"/>
      <c r="Y242" s="688"/>
    </row>
    <row r="243" spans="1:25" ht="18" customHeight="1" x14ac:dyDescent="0.2">
      <c r="A243" s="337"/>
      <c r="B243" s="337"/>
      <c r="C243" s="689"/>
      <c r="D243" s="690"/>
      <c r="E243" s="690"/>
      <c r="F243" s="690"/>
      <c r="G243" s="690"/>
      <c r="H243" s="690"/>
      <c r="I243" s="690"/>
      <c r="J243" s="690"/>
      <c r="K243" s="690"/>
      <c r="L243" s="690"/>
      <c r="M243" s="690"/>
      <c r="N243" s="690"/>
      <c r="O243" s="690"/>
      <c r="P243" s="690"/>
      <c r="Q243" s="690"/>
      <c r="R243" s="690"/>
      <c r="S243" s="690"/>
      <c r="T243" s="690"/>
      <c r="U243" s="690"/>
      <c r="V243" s="690"/>
      <c r="W243" s="690"/>
      <c r="X243" s="690"/>
      <c r="Y243" s="691"/>
    </row>
    <row r="244" spans="1:25" ht="18" customHeight="1" x14ac:dyDescent="0.2">
      <c r="A244" s="337"/>
      <c r="B244" s="337"/>
      <c r="C244" s="689"/>
      <c r="D244" s="690"/>
      <c r="E244" s="690"/>
      <c r="F244" s="690"/>
      <c r="G244" s="690"/>
      <c r="H244" s="690"/>
      <c r="I244" s="690"/>
      <c r="J244" s="690"/>
      <c r="K244" s="690"/>
      <c r="L244" s="690"/>
      <c r="M244" s="690"/>
      <c r="N244" s="690"/>
      <c r="O244" s="690"/>
      <c r="P244" s="690"/>
      <c r="Q244" s="690"/>
      <c r="R244" s="690"/>
      <c r="S244" s="690"/>
      <c r="T244" s="690"/>
      <c r="U244" s="690"/>
      <c r="V244" s="690"/>
      <c r="W244" s="690"/>
      <c r="X244" s="690"/>
      <c r="Y244" s="691"/>
    </row>
    <row r="245" spans="1:25" ht="18" customHeight="1" x14ac:dyDescent="0.2">
      <c r="A245" s="337"/>
      <c r="B245" s="337"/>
      <c r="C245" s="689"/>
      <c r="D245" s="690"/>
      <c r="E245" s="690"/>
      <c r="F245" s="690"/>
      <c r="G245" s="690"/>
      <c r="H245" s="690"/>
      <c r="I245" s="690"/>
      <c r="J245" s="690"/>
      <c r="K245" s="690"/>
      <c r="L245" s="690"/>
      <c r="M245" s="690"/>
      <c r="N245" s="690"/>
      <c r="O245" s="690"/>
      <c r="P245" s="690"/>
      <c r="Q245" s="690"/>
      <c r="R245" s="690"/>
      <c r="S245" s="690"/>
      <c r="T245" s="690"/>
      <c r="U245" s="690"/>
      <c r="V245" s="690"/>
      <c r="W245" s="690"/>
      <c r="X245" s="690"/>
      <c r="Y245" s="691"/>
    </row>
    <row r="246" spans="1:25" ht="18" customHeight="1" x14ac:dyDescent="0.2">
      <c r="A246" s="337"/>
      <c r="B246" s="337"/>
      <c r="C246" s="689"/>
      <c r="D246" s="690"/>
      <c r="E246" s="690"/>
      <c r="F246" s="690"/>
      <c r="G246" s="690"/>
      <c r="H246" s="690"/>
      <c r="I246" s="690"/>
      <c r="J246" s="690"/>
      <c r="K246" s="690"/>
      <c r="L246" s="690"/>
      <c r="M246" s="690"/>
      <c r="N246" s="690"/>
      <c r="O246" s="690"/>
      <c r="P246" s="690"/>
      <c r="Q246" s="690"/>
      <c r="R246" s="690"/>
      <c r="S246" s="690"/>
      <c r="T246" s="690"/>
      <c r="U246" s="690"/>
      <c r="V246" s="690"/>
      <c r="W246" s="690"/>
      <c r="X246" s="690"/>
      <c r="Y246" s="691"/>
    </row>
    <row r="247" spans="1:25" ht="18" customHeight="1" x14ac:dyDescent="0.2">
      <c r="A247" s="337"/>
      <c r="B247" s="337"/>
      <c r="C247" s="689"/>
      <c r="D247" s="690"/>
      <c r="E247" s="690"/>
      <c r="F247" s="690"/>
      <c r="G247" s="690"/>
      <c r="H247" s="690"/>
      <c r="I247" s="690"/>
      <c r="J247" s="690"/>
      <c r="K247" s="690"/>
      <c r="L247" s="690"/>
      <c r="M247" s="690"/>
      <c r="N247" s="690"/>
      <c r="O247" s="690"/>
      <c r="P247" s="690"/>
      <c r="Q247" s="690"/>
      <c r="R247" s="690"/>
      <c r="S247" s="690"/>
      <c r="T247" s="690"/>
      <c r="U247" s="690"/>
      <c r="V247" s="690"/>
      <c r="W247" s="690"/>
      <c r="X247" s="690"/>
      <c r="Y247" s="691"/>
    </row>
    <row r="248" spans="1:25" ht="18" customHeight="1" x14ac:dyDescent="0.2">
      <c r="A248" s="337"/>
      <c r="B248" s="337"/>
      <c r="C248" s="689"/>
      <c r="D248" s="690"/>
      <c r="E248" s="690"/>
      <c r="F248" s="690"/>
      <c r="G248" s="690"/>
      <c r="H248" s="690"/>
      <c r="I248" s="690"/>
      <c r="J248" s="690"/>
      <c r="K248" s="690"/>
      <c r="L248" s="690"/>
      <c r="M248" s="690"/>
      <c r="N248" s="690"/>
      <c r="O248" s="690"/>
      <c r="P248" s="690"/>
      <c r="Q248" s="690"/>
      <c r="R248" s="690"/>
      <c r="S248" s="690"/>
      <c r="T248" s="690"/>
      <c r="U248" s="690"/>
      <c r="V248" s="690"/>
      <c r="W248" s="690"/>
      <c r="X248" s="690"/>
      <c r="Y248" s="691"/>
    </row>
    <row r="249" spans="1:25" ht="18" customHeight="1" x14ac:dyDescent="0.2">
      <c r="A249" s="337"/>
      <c r="B249" s="337"/>
      <c r="C249" s="689"/>
      <c r="D249" s="690"/>
      <c r="E249" s="690"/>
      <c r="F249" s="690"/>
      <c r="G249" s="690"/>
      <c r="H249" s="690"/>
      <c r="I249" s="690"/>
      <c r="J249" s="690"/>
      <c r="K249" s="690"/>
      <c r="L249" s="690"/>
      <c r="M249" s="690"/>
      <c r="N249" s="690"/>
      <c r="O249" s="690"/>
      <c r="P249" s="690"/>
      <c r="Q249" s="690"/>
      <c r="R249" s="690"/>
      <c r="S249" s="690"/>
      <c r="T249" s="690"/>
      <c r="U249" s="690"/>
      <c r="V249" s="690"/>
      <c r="W249" s="690"/>
      <c r="X249" s="690"/>
      <c r="Y249" s="691"/>
    </row>
    <row r="250" spans="1:25" ht="18" customHeight="1" x14ac:dyDescent="0.2">
      <c r="A250" s="337"/>
      <c r="B250" s="337"/>
      <c r="C250" s="689"/>
      <c r="D250" s="690"/>
      <c r="E250" s="690"/>
      <c r="F250" s="690"/>
      <c r="G250" s="690"/>
      <c r="H250" s="690"/>
      <c r="I250" s="690"/>
      <c r="J250" s="690"/>
      <c r="K250" s="690"/>
      <c r="L250" s="690"/>
      <c r="M250" s="690"/>
      <c r="N250" s="690"/>
      <c r="O250" s="690"/>
      <c r="P250" s="690"/>
      <c r="Q250" s="690"/>
      <c r="R250" s="690"/>
      <c r="S250" s="690"/>
      <c r="T250" s="690"/>
      <c r="U250" s="690"/>
      <c r="V250" s="690"/>
      <c r="W250" s="690"/>
      <c r="X250" s="690"/>
      <c r="Y250" s="691"/>
    </row>
    <row r="251" spans="1:25" ht="18" customHeight="1" x14ac:dyDescent="0.2">
      <c r="A251" s="337"/>
      <c r="B251" s="337"/>
      <c r="C251" s="689"/>
      <c r="D251" s="690"/>
      <c r="E251" s="690"/>
      <c r="F251" s="690"/>
      <c r="G251" s="690"/>
      <c r="H251" s="690"/>
      <c r="I251" s="690"/>
      <c r="J251" s="690"/>
      <c r="K251" s="690"/>
      <c r="L251" s="690"/>
      <c r="M251" s="690"/>
      <c r="N251" s="690"/>
      <c r="O251" s="690"/>
      <c r="P251" s="690"/>
      <c r="Q251" s="690"/>
      <c r="R251" s="690"/>
      <c r="S251" s="690"/>
      <c r="T251" s="690"/>
      <c r="U251" s="690"/>
      <c r="V251" s="690"/>
      <c r="W251" s="690"/>
      <c r="X251" s="690"/>
      <c r="Y251" s="691"/>
    </row>
    <row r="252" spans="1:25" ht="18" customHeight="1" x14ac:dyDescent="0.2">
      <c r="A252" s="337"/>
      <c r="B252" s="337"/>
      <c r="C252" s="689"/>
      <c r="D252" s="690"/>
      <c r="E252" s="690"/>
      <c r="F252" s="690"/>
      <c r="G252" s="690"/>
      <c r="H252" s="690"/>
      <c r="I252" s="690"/>
      <c r="J252" s="690"/>
      <c r="K252" s="690"/>
      <c r="L252" s="690"/>
      <c r="M252" s="690"/>
      <c r="N252" s="690"/>
      <c r="O252" s="690"/>
      <c r="P252" s="690"/>
      <c r="Q252" s="690"/>
      <c r="R252" s="690"/>
      <c r="S252" s="690"/>
      <c r="T252" s="690"/>
      <c r="U252" s="690"/>
      <c r="V252" s="690"/>
      <c r="W252" s="690"/>
      <c r="X252" s="690"/>
      <c r="Y252" s="691"/>
    </row>
    <row r="253" spans="1:25" ht="18" customHeight="1" x14ac:dyDescent="0.2">
      <c r="A253" s="337"/>
      <c r="B253" s="337"/>
      <c r="C253" s="689"/>
      <c r="D253" s="690"/>
      <c r="E253" s="690"/>
      <c r="F253" s="690"/>
      <c r="G253" s="690"/>
      <c r="H253" s="690"/>
      <c r="I253" s="690"/>
      <c r="J253" s="690"/>
      <c r="K253" s="690"/>
      <c r="L253" s="690"/>
      <c r="M253" s="690"/>
      <c r="N253" s="690"/>
      <c r="O253" s="690"/>
      <c r="P253" s="690"/>
      <c r="Q253" s="690"/>
      <c r="R253" s="690"/>
      <c r="S253" s="690"/>
      <c r="T253" s="690"/>
      <c r="U253" s="690"/>
      <c r="V253" s="690"/>
      <c r="W253" s="690"/>
      <c r="X253" s="690"/>
      <c r="Y253" s="691"/>
    </row>
    <row r="254" spans="1:25" ht="18" customHeight="1" x14ac:dyDescent="0.2">
      <c r="A254" s="337"/>
      <c r="B254" s="337"/>
      <c r="C254" s="689"/>
      <c r="D254" s="690"/>
      <c r="E254" s="690"/>
      <c r="F254" s="690"/>
      <c r="G254" s="690"/>
      <c r="H254" s="690"/>
      <c r="I254" s="690"/>
      <c r="J254" s="690"/>
      <c r="K254" s="690"/>
      <c r="L254" s="690"/>
      <c r="M254" s="690"/>
      <c r="N254" s="690"/>
      <c r="O254" s="690"/>
      <c r="P254" s="690"/>
      <c r="Q254" s="690"/>
      <c r="R254" s="690"/>
      <c r="S254" s="690"/>
      <c r="T254" s="690"/>
      <c r="U254" s="690"/>
      <c r="V254" s="690"/>
      <c r="W254" s="690"/>
      <c r="X254" s="690"/>
      <c r="Y254" s="691"/>
    </row>
    <row r="255" spans="1:25" ht="18" customHeight="1" x14ac:dyDescent="0.2">
      <c r="A255" s="337"/>
      <c r="B255" s="337"/>
      <c r="C255" s="689"/>
      <c r="D255" s="690"/>
      <c r="E255" s="690"/>
      <c r="F255" s="690"/>
      <c r="G255" s="690"/>
      <c r="H255" s="690"/>
      <c r="I255" s="690"/>
      <c r="J255" s="690"/>
      <c r="K255" s="690"/>
      <c r="L255" s="690"/>
      <c r="M255" s="690"/>
      <c r="N255" s="690"/>
      <c r="O255" s="690"/>
      <c r="P255" s="690"/>
      <c r="Q255" s="690"/>
      <c r="R255" s="690"/>
      <c r="S255" s="690"/>
      <c r="T255" s="690"/>
      <c r="U255" s="690"/>
      <c r="V255" s="690"/>
      <c r="W255" s="690"/>
      <c r="X255" s="690"/>
      <c r="Y255" s="691"/>
    </row>
    <row r="256" spans="1:25" ht="18" customHeight="1" x14ac:dyDescent="0.2">
      <c r="A256" s="337"/>
      <c r="B256" s="337"/>
      <c r="C256" s="689"/>
      <c r="D256" s="690"/>
      <c r="E256" s="690"/>
      <c r="F256" s="690"/>
      <c r="G256" s="690"/>
      <c r="H256" s="690"/>
      <c r="I256" s="690"/>
      <c r="J256" s="690"/>
      <c r="K256" s="690"/>
      <c r="L256" s="690"/>
      <c r="M256" s="690"/>
      <c r="N256" s="690"/>
      <c r="O256" s="690"/>
      <c r="P256" s="690"/>
      <c r="Q256" s="690"/>
      <c r="R256" s="690"/>
      <c r="S256" s="690"/>
      <c r="T256" s="690"/>
      <c r="U256" s="690"/>
      <c r="V256" s="690"/>
      <c r="W256" s="690"/>
      <c r="X256" s="690"/>
      <c r="Y256" s="691"/>
    </row>
    <row r="257" spans="1:25" ht="18" customHeight="1" x14ac:dyDescent="0.2">
      <c r="A257" s="337"/>
      <c r="B257" s="337"/>
      <c r="C257" s="689"/>
      <c r="D257" s="690"/>
      <c r="E257" s="690"/>
      <c r="F257" s="690"/>
      <c r="G257" s="690"/>
      <c r="H257" s="690"/>
      <c r="I257" s="690"/>
      <c r="J257" s="690"/>
      <c r="K257" s="690"/>
      <c r="L257" s="690"/>
      <c r="M257" s="690"/>
      <c r="N257" s="690"/>
      <c r="O257" s="690"/>
      <c r="P257" s="690"/>
      <c r="Q257" s="690"/>
      <c r="R257" s="690"/>
      <c r="S257" s="690"/>
      <c r="T257" s="690"/>
      <c r="U257" s="690"/>
      <c r="V257" s="690"/>
      <c r="W257" s="690"/>
      <c r="X257" s="690"/>
      <c r="Y257" s="691"/>
    </row>
    <row r="258" spans="1:25" ht="18" customHeight="1" x14ac:dyDescent="0.2">
      <c r="A258" s="337"/>
      <c r="B258" s="337"/>
      <c r="C258" s="689"/>
      <c r="D258" s="690"/>
      <c r="E258" s="690"/>
      <c r="F258" s="690"/>
      <c r="G258" s="690"/>
      <c r="H258" s="690"/>
      <c r="I258" s="690"/>
      <c r="J258" s="690"/>
      <c r="K258" s="690"/>
      <c r="L258" s="690"/>
      <c r="M258" s="690"/>
      <c r="N258" s="690"/>
      <c r="O258" s="690"/>
      <c r="P258" s="690"/>
      <c r="Q258" s="690"/>
      <c r="R258" s="690"/>
      <c r="S258" s="690"/>
      <c r="T258" s="690"/>
      <c r="U258" s="690"/>
      <c r="V258" s="690"/>
      <c r="W258" s="690"/>
      <c r="X258" s="690"/>
      <c r="Y258" s="691"/>
    </row>
    <row r="259" spans="1:25" ht="18" customHeight="1" x14ac:dyDescent="0.2">
      <c r="A259" s="337"/>
      <c r="B259" s="337"/>
      <c r="C259" s="689"/>
      <c r="D259" s="690"/>
      <c r="E259" s="690"/>
      <c r="F259" s="690"/>
      <c r="G259" s="690"/>
      <c r="H259" s="690"/>
      <c r="I259" s="690"/>
      <c r="J259" s="690"/>
      <c r="K259" s="690"/>
      <c r="L259" s="690"/>
      <c r="M259" s="690"/>
      <c r="N259" s="690"/>
      <c r="O259" s="690"/>
      <c r="P259" s="690"/>
      <c r="Q259" s="690"/>
      <c r="R259" s="690"/>
      <c r="S259" s="690"/>
      <c r="T259" s="690"/>
      <c r="U259" s="690"/>
      <c r="V259" s="690"/>
      <c r="W259" s="690"/>
      <c r="X259" s="690"/>
      <c r="Y259" s="691"/>
    </row>
    <row r="260" spans="1:25" ht="18" customHeight="1" x14ac:dyDescent="0.2">
      <c r="A260" s="337"/>
      <c r="B260" s="337"/>
      <c r="C260" s="689"/>
      <c r="D260" s="690"/>
      <c r="E260" s="690"/>
      <c r="F260" s="690"/>
      <c r="G260" s="690"/>
      <c r="H260" s="690"/>
      <c r="I260" s="690"/>
      <c r="J260" s="690"/>
      <c r="K260" s="690"/>
      <c r="L260" s="690"/>
      <c r="M260" s="690"/>
      <c r="N260" s="690"/>
      <c r="O260" s="690"/>
      <c r="P260" s="690"/>
      <c r="Q260" s="690"/>
      <c r="R260" s="690"/>
      <c r="S260" s="690"/>
      <c r="T260" s="690"/>
      <c r="U260" s="690"/>
      <c r="V260" s="690"/>
      <c r="W260" s="690"/>
      <c r="X260" s="690"/>
      <c r="Y260" s="691"/>
    </row>
    <row r="261" spans="1:25" ht="18" customHeight="1" x14ac:dyDescent="0.2">
      <c r="A261" s="337"/>
      <c r="B261" s="337"/>
      <c r="C261" s="689"/>
      <c r="D261" s="690"/>
      <c r="E261" s="690"/>
      <c r="F261" s="690"/>
      <c r="G261" s="690"/>
      <c r="H261" s="690"/>
      <c r="I261" s="690"/>
      <c r="J261" s="690"/>
      <c r="K261" s="690"/>
      <c r="L261" s="690"/>
      <c r="M261" s="690"/>
      <c r="N261" s="690"/>
      <c r="O261" s="690"/>
      <c r="P261" s="690"/>
      <c r="Q261" s="690"/>
      <c r="R261" s="690"/>
      <c r="S261" s="690"/>
      <c r="T261" s="690"/>
      <c r="U261" s="690"/>
      <c r="V261" s="690"/>
      <c r="W261" s="690"/>
      <c r="X261" s="690"/>
      <c r="Y261" s="691"/>
    </row>
    <row r="262" spans="1:25" ht="18" customHeight="1" x14ac:dyDescent="0.2">
      <c r="A262" s="337"/>
      <c r="B262" s="337"/>
      <c r="C262" s="689"/>
      <c r="D262" s="690"/>
      <c r="E262" s="690"/>
      <c r="F262" s="690"/>
      <c r="G262" s="690"/>
      <c r="H262" s="690"/>
      <c r="I262" s="690"/>
      <c r="J262" s="690"/>
      <c r="K262" s="690"/>
      <c r="L262" s="690"/>
      <c r="M262" s="690"/>
      <c r="N262" s="690"/>
      <c r="O262" s="690"/>
      <c r="P262" s="690"/>
      <c r="Q262" s="690"/>
      <c r="R262" s="690"/>
      <c r="S262" s="690"/>
      <c r="T262" s="690"/>
      <c r="U262" s="690"/>
      <c r="V262" s="690"/>
      <c r="W262" s="690"/>
      <c r="X262" s="690"/>
      <c r="Y262" s="691"/>
    </row>
    <row r="263" spans="1:25" ht="18" customHeight="1" x14ac:dyDescent="0.2">
      <c r="A263" s="337"/>
      <c r="B263" s="337"/>
      <c r="C263" s="689"/>
      <c r="D263" s="690"/>
      <c r="E263" s="690"/>
      <c r="F263" s="690"/>
      <c r="G263" s="690"/>
      <c r="H263" s="690"/>
      <c r="I263" s="690"/>
      <c r="J263" s="690"/>
      <c r="K263" s="690"/>
      <c r="L263" s="690"/>
      <c r="M263" s="690"/>
      <c r="N263" s="690"/>
      <c r="O263" s="690"/>
      <c r="P263" s="690"/>
      <c r="Q263" s="690"/>
      <c r="R263" s="690"/>
      <c r="S263" s="690"/>
      <c r="T263" s="690"/>
      <c r="U263" s="690"/>
      <c r="V263" s="690"/>
      <c r="W263" s="690"/>
      <c r="X263" s="690"/>
      <c r="Y263" s="691"/>
    </row>
    <row r="264" spans="1:25" ht="18" customHeight="1" x14ac:dyDescent="0.2">
      <c r="A264" s="337"/>
      <c r="B264" s="337"/>
      <c r="C264" s="689"/>
      <c r="D264" s="690"/>
      <c r="E264" s="690"/>
      <c r="F264" s="690"/>
      <c r="G264" s="690"/>
      <c r="H264" s="690"/>
      <c r="I264" s="690"/>
      <c r="J264" s="690"/>
      <c r="K264" s="690"/>
      <c r="L264" s="690"/>
      <c r="M264" s="690"/>
      <c r="N264" s="690"/>
      <c r="O264" s="690"/>
      <c r="P264" s="690"/>
      <c r="Q264" s="690"/>
      <c r="R264" s="690"/>
      <c r="S264" s="690"/>
      <c r="T264" s="690"/>
      <c r="U264" s="690"/>
      <c r="V264" s="690"/>
      <c r="W264" s="690"/>
      <c r="X264" s="690"/>
      <c r="Y264" s="691"/>
    </row>
    <row r="265" spans="1:25" ht="18" customHeight="1" x14ac:dyDescent="0.2">
      <c r="A265" s="337"/>
      <c r="B265" s="337"/>
      <c r="C265" s="689"/>
      <c r="D265" s="690"/>
      <c r="E265" s="690"/>
      <c r="F265" s="690"/>
      <c r="G265" s="690"/>
      <c r="H265" s="690"/>
      <c r="I265" s="690"/>
      <c r="J265" s="690"/>
      <c r="K265" s="690"/>
      <c r="L265" s="690"/>
      <c r="M265" s="690"/>
      <c r="N265" s="690"/>
      <c r="O265" s="690"/>
      <c r="P265" s="690"/>
      <c r="Q265" s="690"/>
      <c r="R265" s="690"/>
      <c r="S265" s="690"/>
      <c r="T265" s="690"/>
      <c r="U265" s="690"/>
      <c r="V265" s="690"/>
      <c r="W265" s="690"/>
      <c r="X265" s="690"/>
      <c r="Y265" s="691"/>
    </row>
    <row r="266" spans="1:25" ht="18" customHeight="1" x14ac:dyDescent="0.2">
      <c r="A266" s="337"/>
      <c r="B266" s="337"/>
      <c r="C266" s="689"/>
      <c r="D266" s="690"/>
      <c r="E266" s="690"/>
      <c r="F266" s="690"/>
      <c r="G266" s="690"/>
      <c r="H266" s="690"/>
      <c r="I266" s="690"/>
      <c r="J266" s="690"/>
      <c r="K266" s="690"/>
      <c r="L266" s="690"/>
      <c r="M266" s="690"/>
      <c r="N266" s="690"/>
      <c r="O266" s="690"/>
      <c r="P266" s="690"/>
      <c r="Q266" s="690"/>
      <c r="R266" s="690"/>
      <c r="S266" s="690"/>
      <c r="T266" s="690"/>
      <c r="U266" s="690"/>
      <c r="V266" s="690"/>
      <c r="W266" s="690"/>
      <c r="X266" s="690"/>
      <c r="Y266" s="691"/>
    </row>
    <row r="267" spans="1:25" ht="18" customHeight="1" x14ac:dyDescent="0.2">
      <c r="A267" s="337"/>
      <c r="B267" s="337"/>
      <c r="C267" s="689"/>
      <c r="D267" s="690"/>
      <c r="E267" s="690"/>
      <c r="F267" s="690"/>
      <c r="G267" s="690"/>
      <c r="H267" s="690"/>
      <c r="I267" s="690"/>
      <c r="J267" s="690"/>
      <c r="K267" s="690"/>
      <c r="L267" s="690"/>
      <c r="M267" s="690"/>
      <c r="N267" s="690"/>
      <c r="O267" s="690"/>
      <c r="P267" s="690"/>
      <c r="Q267" s="690"/>
      <c r="R267" s="690"/>
      <c r="S267" s="690"/>
      <c r="T267" s="690"/>
      <c r="U267" s="690"/>
      <c r="V267" s="690"/>
      <c r="W267" s="690"/>
      <c r="X267" s="690"/>
      <c r="Y267" s="691"/>
    </row>
    <row r="268" spans="1:25" ht="18" customHeight="1" x14ac:dyDescent="0.2">
      <c r="A268" s="337"/>
      <c r="B268" s="337"/>
      <c r="C268" s="689"/>
      <c r="D268" s="690"/>
      <c r="E268" s="690"/>
      <c r="F268" s="690"/>
      <c r="G268" s="690"/>
      <c r="H268" s="690"/>
      <c r="I268" s="690"/>
      <c r="J268" s="690"/>
      <c r="K268" s="690"/>
      <c r="L268" s="690"/>
      <c r="M268" s="690"/>
      <c r="N268" s="690"/>
      <c r="O268" s="690"/>
      <c r="P268" s="690"/>
      <c r="Q268" s="690"/>
      <c r="R268" s="690"/>
      <c r="S268" s="690"/>
      <c r="T268" s="690"/>
      <c r="U268" s="690"/>
      <c r="V268" s="690"/>
      <c r="W268" s="690"/>
      <c r="X268" s="690"/>
      <c r="Y268" s="691"/>
    </row>
    <row r="269" spans="1:25" ht="18" customHeight="1" x14ac:dyDescent="0.2">
      <c r="A269" s="337"/>
      <c r="B269" s="337"/>
      <c r="C269" s="689"/>
      <c r="D269" s="690"/>
      <c r="E269" s="690"/>
      <c r="F269" s="690"/>
      <c r="G269" s="690"/>
      <c r="H269" s="690"/>
      <c r="I269" s="690"/>
      <c r="J269" s="690"/>
      <c r="K269" s="690"/>
      <c r="L269" s="690"/>
      <c r="M269" s="690"/>
      <c r="N269" s="690"/>
      <c r="O269" s="690"/>
      <c r="P269" s="690"/>
      <c r="Q269" s="690"/>
      <c r="R269" s="690"/>
      <c r="S269" s="690"/>
      <c r="T269" s="690"/>
      <c r="U269" s="690"/>
      <c r="V269" s="690"/>
      <c r="W269" s="690"/>
      <c r="X269" s="690"/>
      <c r="Y269" s="691"/>
    </row>
    <row r="270" spans="1:25" ht="18" customHeight="1" x14ac:dyDescent="0.2">
      <c r="A270" s="337"/>
      <c r="B270" s="337"/>
      <c r="C270" s="689"/>
      <c r="D270" s="690"/>
      <c r="E270" s="690"/>
      <c r="F270" s="690"/>
      <c r="G270" s="690"/>
      <c r="H270" s="690"/>
      <c r="I270" s="690"/>
      <c r="J270" s="690"/>
      <c r="K270" s="690"/>
      <c r="L270" s="690"/>
      <c r="M270" s="690"/>
      <c r="N270" s="690"/>
      <c r="O270" s="690"/>
      <c r="P270" s="690"/>
      <c r="Q270" s="690"/>
      <c r="R270" s="690"/>
      <c r="S270" s="690"/>
      <c r="T270" s="690"/>
      <c r="U270" s="690"/>
      <c r="V270" s="690"/>
      <c r="W270" s="690"/>
      <c r="X270" s="690"/>
      <c r="Y270" s="691"/>
    </row>
    <row r="271" spans="1:25" ht="18" customHeight="1" x14ac:dyDescent="0.2">
      <c r="A271" s="337"/>
      <c r="B271" s="337"/>
      <c r="C271" s="689"/>
      <c r="D271" s="690"/>
      <c r="E271" s="690"/>
      <c r="F271" s="690"/>
      <c r="G271" s="690"/>
      <c r="H271" s="690"/>
      <c r="I271" s="690"/>
      <c r="J271" s="690"/>
      <c r="K271" s="690"/>
      <c r="L271" s="690"/>
      <c r="M271" s="690"/>
      <c r="N271" s="690"/>
      <c r="O271" s="690"/>
      <c r="P271" s="690"/>
      <c r="Q271" s="690"/>
      <c r="R271" s="690"/>
      <c r="S271" s="690"/>
      <c r="T271" s="690"/>
      <c r="U271" s="690"/>
      <c r="V271" s="690"/>
      <c r="W271" s="690"/>
      <c r="X271" s="690"/>
      <c r="Y271" s="691"/>
    </row>
    <row r="272" spans="1:25" ht="18" customHeight="1" x14ac:dyDescent="0.2">
      <c r="A272" s="337"/>
      <c r="B272" s="337"/>
      <c r="C272" s="689"/>
      <c r="D272" s="690"/>
      <c r="E272" s="690"/>
      <c r="F272" s="690"/>
      <c r="G272" s="690"/>
      <c r="H272" s="690"/>
      <c r="I272" s="690"/>
      <c r="J272" s="690"/>
      <c r="K272" s="690"/>
      <c r="L272" s="690"/>
      <c r="M272" s="690"/>
      <c r="N272" s="690"/>
      <c r="O272" s="690"/>
      <c r="P272" s="690"/>
      <c r="Q272" s="690"/>
      <c r="R272" s="690"/>
      <c r="S272" s="690"/>
      <c r="T272" s="690"/>
      <c r="U272" s="690"/>
      <c r="V272" s="690"/>
      <c r="W272" s="690"/>
      <c r="X272" s="690"/>
      <c r="Y272" s="691"/>
    </row>
    <row r="273" spans="1:25" ht="18" customHeight="1" x14ac:dyDescent="0.2">
      <c r="A273" s="337"/>
      <c r="B273" s="337"/>
      <c r="C273" s="689"/>
      <c r="D273" s="690"/>
      <c r="E273" s="690"/>
      <c r="F273" s="690"/>
      <c r="G273" s="690"/>
      <c r="H273" s="690"/>
      <c r="I273" s="690"/>
      <c r="J273" s="690"/>
      <c r="K273" s="690"/>
      <c r="L273" s="690"/>
      <c r="M273" s="690"/>
      <c r="N273" s="690"/>
      <c r="O273" s="690"/>
      <c r="P273" s="690"/>
      <c r="Q273" s="690"/>
      <c r="R273" s="690"/>
      <c r="S273" s="690"/>
      <c r="T273" s="690"/>
      <c r="U273" s="690"/>
      <c r="V273" s="690"/>
      <c r="W273" s="690"/>
      <c r="X273" s="690"/>
      <c r="Y273" s="691"/>
    </row>
    <row r="274" spans="1:25" ht="18" customHeight="1" x14ac:dyDescent="0.2">
      <c r="A274" s="337"/>
      <c r="B274" s="337"/>
      <c r="C274" s="689"/>
      <c r="D274" s="690"/>
      <c r="E274" s="690"/>
      <c r="F274" s="690"/>
      <c r="G274" s="690"/>
      <c r="H274" s="690"/>
      <c r="I274" s="690"/>
      <c r="J274" s="690"/>
      <c r="K274" s="690"/>
      <c r="L274" s="690"/>
      <c r="M274" s="690"/>
      <c r="N274" s="690"/>
      <c r="O274" s="690"/>
      <c r="P274" s="690"/>
      <c r="Q274" s="690"/>
      <c r="R274" s="690"/>
      <c r="S274" s="690"/>
      <c r="T274" s="690"/>
      <c r="U274" s="690"/>
      <c r="V274" s="690"/>
      <c r="W274" s="690"/>
      <c r="X274" s="690"/>
      <c r="Y274" s="691"/>
    </row>
    <row r="275" spans="1:25" ht="18" customHeight="1" x14ac:dyDescent="0.2">
      <c r="A275" s="337"/>
      <c r="B275" s="337"/>
      <c r="C275" s="689"/>
      <c r="D275" s="690"/>
      <c r="E275" s="690"/>
      <c r="F275" s="690"/>
      <c r="G275" s="690"/>
      <c r="H275" s="690"/>
      <c r="I275" s="690"/>
      <c r="J275" s="690"/>
      <c r="K275" s="690"/>
      <c r="L275" s="690"/>
      <c r="M275" s="690"/>
      <c r="N275" s="690"/>
      <c r="O275" s="690"/>
      <c r="P275" s="690"/>
      <c r="Q275" s="690"/>
      <c r="R275" s="690"/>
      <c r="S275" s="690"/>
      <c r="T275" s="690"/>
      <c r="U275" s="690"/>
      <c r="V275" s="690"/>
      <c r="W275" s="690"/>
      <c r="X275" s="690"/>
      <c r="Y275" s="691"/>
    </row>
    <row r="276" spans="1:25" ht="18" customHeight="1" x14ac:dyDescent="0.2">
      <c r="A276" s="337"/>
      <c r="B276" s="337"/>
      <c r="C276" s="689"/>
      <c r="D276" s="690"/>
      <c r="E276" s="690"/>
      <c r="F276" s="690"/>
      <c r="G276" s="690"/>
      <c r="H276" s="690"/>
      <c r="I276" s="690"/>
      <c r="J276" s="690"/>
      <c r="K276" s="690"/>
      <c r="L276" s="690"/>
      <c r="M276" s="690"/>
      <c r="N276" s="690"/>
      <c r="O276" s="690"/>
      <c r="P276" s="690"/>
      <c r="Q276" s="690"/>
      <c r="R276" s="690"/>
      <c r="S276" s="690"/>
      <c r="T276" s="690"/>
      <c r="U276" s="690"/>
      <c r="V276" s="690"/>
      <c r="W276" s="690"/>
      <c r="X276" s="690"/>
      <c r="Y276" s="691"/>
    </row>
    <row r="277" spans="1:25" ht="18" customHeight="1" x14ac:dyDescent="0.2">
      <c r="A277" s="337"/>
      <c r="B277" s="337"/>
      <c r="C277" s="689"/>
      <c r="D277" s="690"/>
      <c r="E277" s="690"/>
      <c r="F277" s="690"/>
      <c r="G277" s="690"/>
      <c r="H277" s="690"/>
      <c r="I277" s="690"/>
      <c r="J277" s="690"/>
      <c r="K277" s="690"/>
      <c r="L277" s="690"/>
      <c r="M277" s="690"/>
      <c r="N277" s="690"/>
      <c r="O277" s="690"/>
      <c r="P277" s="690"/>
      <c r="Q277" s="690"/>
      <c r="R277" s="690"/>
      <c r="S277" s="690"/>
      <c r="T277" s="690"/>
      <c r="U277" s="690"/>
      <c r="V277" s="690"/>
      <c r="W277" s="690"/>
      <c r="X277" s="690"/>
      <c r="Y277" s="691"/>
    </row>
    <row r="278" spans="1:25" ht="18" customHeight="1" x14ac:dyDescent="0.2">
      <c r="A278" s="337"/>
      <c r="B278" s="337"/>
      <c r="C278" s="689"/>
      <c r="D278" s="690"/>
      <c r="E278" s="690"/>
      <c r="F278" s="690"/>
      <c r="G278" s="690"/>
      <c r="H278" s="690"/>
      <c r="I278" s="690"/>
      <c r="J278" s="690"/>
      <c r="K278" s="690"/>
      <c r="L278" s="690"/>
      <c r="M278" s="690"/>
      <c r="N278" s="690"/>
      <c r="O278" s="690"/>
      <c r="P278" s="690"/>
      <c r="Q278" s="690"/>
      <c r="R278" s="690"/>
      <c r="S278" s="690"/>
      <c r="T278" s="690"/>
      <c r="U278" s="690"/>
      <c r="V278" s="690"/>
      <c r="W278" s="690"/>
      <c r="X278" s="690"/>
      <c r="Y278" s="691"/>
    </row>
    <row r="279" spans="1:25" ht="18" customHeight="1" x14ac:dyDescent="0.2">
      <c r="A279" s="337"/>
      <c r="B279" s="337"/>
      <c r="C279" s="689"/>
      <c r="D279" s="690"/>
      <c r="E279" s="690"/>
      <c r="F279" s="690"/>
      <c r="G279" s="690"/>
      <c r="H279" s="690"/>
      <c r="I279" s="690"/>
      <c r="J279" s="690"/>
      <c r="K279" s="690"/>
      <c r="L279" s="690"/>
      <c r="M279" s="690"/>
      <c r="N279" s="690"/>
      <c r="O279" s="690"/>
      <c r="P279" s="690"/>
      <c r="Q279" s="690"/>
      <c r="R279" s="690"/>
      <c r="S279" s="690"/>
      <c r="T279" s="690"/>
      <c r="U279" s="690"/>
      <c r="V279" s="690"/>
      <c r="W279" s="690"/>
      <c r="X279" s="690"/>
      <c r="Y279" s="691"/>
    </row>
    <row r="280" spans="1:25" ht="18" customHeight="1" x14ac:dyDescent="0.2">
      <c r="A280" s="337"/>
      <c r="B280" s="337"/>
      <c r="C280" s="689"/>
      <c r="D280" s="690"/>
      <c r="E280" s="690"/>
      <c r="F280" s="690"/>
      <c r="G280" s="690"/>
      <c r="H280" s="690"/>
      <c r="I280" s="690"/>
      <c r="J280" s="690"/>
      <c r="K280" s="690"/>
      <c r="L280" s="690"/>
      <c r="M280" s="690"/>
      <c r="N280" s="690"/>
      <c r="O280" s="690"/>
      <c r="P280" s="690"/>
      <c r="Q280" s="690"/>
      <c r="R280" s="690"/>
      <c r="S280" s="690"/>
      <c r="T280" s="690"/>
      <c r="U280" s="690"/>
      <c r="V280" s="690"/>
      <c r="W280" s="690"/>
      <c r="X280" s="690"/>
      <c r="Y280" s="691"/>
    </row>
    <row r="281" spans="1:25" ht="18" customHeight="1" x14ac:dyDescent="0.2">
      <c r="A281" s="337"/>
      <c r="B281" s="337"/>
      <c r="C281" s="689"/>
      <c r="D281" s="690"/>
      <c r="E281" s="690"/>
      <c r="F281" s="690"/>
      <c r="G281" s="690"/>
      <c r="H281" s="690"/>
      <c r="I281" s="690"/>
      <c r="J281" s="690"/>
      <c r="K281" s="690"/>
      <c r="L281" s="690"/>
      <c r="M281" s="690"/>
      <c r="N281" s="690"/>
      <c r="O281" s="690"/>
      <c r="P281" s="690"/>
      <c r="Q281" s="690"/>
      <c r="R281" s="690"/>
      <c r="S281" s="690"/>
      <c r="T281" s="690"/>
      <c r="U281" s="690"/>
      <c r="V281" s="690"/>
      <c r="W281" s="690"/>
      <c r="X281" s="690"/>
      <c r="Y281" s="691"/>
    </row>
    <row r="282" spans="1:25" ht="18" customHeight="1" x14ac:dyDescent="0.2">
      <c r="A282" s="337"/>
      <c r="B282" s="337"/>
      <c r="C282" s="689"/>
      <c r="D282" s="690"/>
      <c r="E282" s="690"/>
      <c r="F282" s="690"/>
      <c r="G282" s="690"/>
      <c r="H282" s="690"/>
      <c r="I282" s="690"/>
      <c r="J282" s="690"/>
      <c r="K282" s="690"/>
      <c r="L282" s="690"/>
      <c r="M282" s="690"/>
      <c r="N282" s="690"/>
      <c r="O282" s="690"/>
      <c r="P282" s="690"/>
      <c r="Q282" s="690"/>
      <c r="R282" s="690"/>
      <c r="S282" s="690"/>
      <c r="T282" s="690"/>
      <c r="U282" s="690"/>
      <c r="V282" s="690"/>
      <c r="W282" s="690"/>
      <c r="X282" s="690"/>
      <c r="Y282" s="691"/>
    </row>
    <row r="283" spans="1:25" ht="18" customHeight="1" x14ac:dyDescent="0.2">
      <c r="A283" s="337"/>
      <c r="B283" s="337"/>
      <c r="C283" s="689"/>
      <c r="D283" s="690"/>
      <c r="E283" s="690"/>
      <c r="F283" s="690"/>
      <c r="G283" s="690"/>
      <c r="H283" s="690"/>
      <c r="I283" s="690"/>
      <c r="J283" s="690"/>
      <c r="K283" s="690"/>
      <c r="L283" s="690"/>
      <c r="M283" s="690"/>
      <c r="N283" s="690"/>
      <c r="O283" s="690"/>
      <c r="P283" s="690"/>
      <c r="Q283" s="690"/>
      <c r="R283" s="690"/>
      <c r="S283" s="690"/>
      <c r="T283" s="690"/>
      <c r="U283" s="690"/>
      <c r="V283" s="690"/>
      <c r="W283" s="690"/>
      <c r="X283" s="690"/>
      <c r="Y283" s="691"/>
    </row>
    <row r="284" spans="1:25" ht="18" customHeight="1" x14ac:dyDescent="0.2">
      <c r="A284" s="337"/>
      <c r="B284" s="337"/>
      <c r="C284" s="689"/>
      <c r="D284" s="690"/>
      <c r="E284" s="690"/>
      <c r="F284" s="690"/>
      <c r="G284" s="690"/>
      <c r="H284" s="690"/>
      <c r="I284" s="690"/>
      <c r="J284" s="690"/>
      <c r="K284" s="690"/>
      <c r="L284" s="690"/>
      <c r="M284" s="690"/>
      <c r="N284" s="690"/>
      <c r="O284" s="690"/>
      <c r="P284" s="690"/>
      <c r="Q284" s="690"/>
      <c r="R284" s="690"/>
      <c r="S284" s="690"/>
      <c r="T284" s="690"/>
      <c r="U284" s="690"/>
      <c r="V284" s="690"/>
      <c r="W284" s="690"/>
      <c r="X284" s="690"/>
      <c r="Y284" s="691"/>
    </row>
    <row r="285" spans="1:25" ht="18" customHeight="1" x14ac:dyDescent="0.2">
      <c r="A285" s="337"/>
      <c r="B285" s="337"/>
      <c r="C285" s="689"/>
      <c r="D285" s="690"/>
      <c r="E285" s="690"/>
      <c r="F285" s="690"/>
      <c r="G285" s="690"/>
      <c r="H285" s="690"/>
      <c r="I285" s="690"/>
      <c r="J285" s="690"/>
      <c r="K285" s="690"/>
      <c r="L285" s="690"/>
      <c r="M285" s="690"/>
      <c r="N285" s="690"/>
      <c r="O285" s="690"/>
      <c r="P285" s="690"/>
      <c r="Q285" s="690"/>
      <c r="R285" s="690"/>
      <c r="S285" s="690"/>
      <c r="T285" s="690"/>
      <c r="U285" s="690"/>
      <c r="V285" s="690"/>
      <c r="W285" s="690"/>
      <c r="X285" s="690"/>
      <c r="Y285" s="691"/>
    </row>
    <row r="286" spans="1:25" ht="18" customHeight="1" x14ac:dyDescent="0.2">
      <c r="A286" s="337"/>
      <c r="B286" s="337"/>
      <c r="C286" s="689"/>
      <c r="D286" s="690"/>
      <c r="E286" s="690"/>
      <c r="F286" s="690"/>
      <c r="G286" s="690"/>
      <c r="H286" s="690"/>
      <c r="I286" s="690"/>
      <c r="J286" s="690"/>
      <c r="K286" s="690"/>
      <c r="L286" s="690"/>
      <c r="M286" s="690"/>
      <c r="N286" s="690"/>
      <c r="O286" s="690"/>
      <c r="P286" s="690"/>
      <c r="Q286" s="690"/>
      <c r="R286" s="690"/>
      <c r="S286" s="690"/>
      <c r="T286" s="690"/>
      <c r="U286" s="690"/>
      <c r="V286" s="690"/>
      <c r="W286" s="690"/>
      <c r="X286" s="690"/>
      <c r="Y286" s="691"/>
    </row>
    <row r="287" spans="1:25" ht="18" customHeight="1" x14ac:dyDescent="0.2">
      <c r="A287" s="337"/>
      <c r="B287" s="337"/>
      <c r="C287" s="692"/>
      <c r="D287" s="693"/>
      <c r="E287" s="693"/>
      <c r="F287" s="693"/>
      <c r="G287" s="693"/>
      <c r="H287" s="693"/>
      <c r="I287" s="693"/>
      <c r="J287" s="693"/>
      <c r="K287" s="693"/>
      <c r="L287" s="693"/>
      <c r="M287" s="693"/>
      <c r="N287" s="693"/>
      <c r="O287" s="693"/>
      <c r="P287" s="693"/>
      <c r="Q287" s="693"/>
      <c r="R287" s="693"/>
      <c r="S287" s="693"/>
      <c r="T287" s="693"/>
      <c r="U287" s="693"/>
      <c r="V287" s="693"/>
      <c r="W287" s="693"/>
      <c r="X287" s="693"/>
      <c r="Y287" s="694"/>
    </row>
    <row r="288" spans="1:25" ht="18" customHeight="1" x14ac:dyDescent="0.2">
      <c r="A288" s="337"/>
      <c r="B288" s="337"/>
      <c r="C288" s="356"/>
      <c r="D288" s="373"/>
      <c r="E288" s="390"/>
      <c r="F288" s="357" t="s">
        <v>367</v>
      </c>
      <c r="G288" s="536"/>
      <c r="H288" s="538"/>
      <c r="I288" s="337"/>
      <c r="J288" s="337"/>
      <c r="K288" s="337"/>
      <c r="L288" s="337"/>
      <c r="M288" s="337"/>
      <c r="N288" s="337"/>
      <c r="O288" s="337"/>
    </row>
    <row r="289" spans="1:25" ht="18" customHeight="1" x14ac:dyDescent="0.2">
      <c r="A289" s="337"/>
      <c r="B289" s="337"/>
      <c r="C289" s="345"/>
      <c r="D289" s="391"/>
      <c r="E289" s="391"/>
      <c r="F289" s="391"/>
      <c r="G289" s="347"/>
      <c r="H289" s="347"/>
      <c r="O289" s="337"/>
    </row>
    <row r="290" spans="1:25" ht="18" customHeight="1" x14ac:dyDescent="0.2">
      <c r="A290" s="337"/>
      <c r="B290" s="337"/>
      <c r="C290" s="345"/>
      <c r="D290" s="391"/>
      <c r="E290" s="391"/>
      <c r="F290" s="391"/>
      <c r="G290" s="347"/>
      <c r="H290" s="347"/>
      <c r="O290" s="337"/>
    </row>
    <row r="291" spans="1:25" ht="18" customHeight="1" x14ac:dyDescent="0.2">
      <c r="A291" s="337"/>
      <c r="B291" s="337"/>
      <c r="C291" s="581" t="s">
        <v>293</v>
      </c>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row>
    <row r="292" spans="1:25" ht="18" customHeight="1" x14ac:dyDescent="0.2">
      <c r="A292" s="337"/>
      <c r="B292" s="337"/>
      <c r="C292" s="337"/>
      <c r="D292" s="337"/>
      <c r="E292" s="337"/>
      <c r="F292" s="337"/>
      <c r="G292" s="337"/>
      <c r="H292" s="337"/>
      <c r="I292" s="337"/>
      <c r="J292" s="337"/>
      <c r="K292" s="386"/>
      <c r="L292" s="386"/>
      <c r="M292" s="337"/>
      <c r="N292" s="386"/>
      <c r="O292" s="380"/>
      <c r="S292" s="353" t="s">
        <v>247</v>
      </c>
      <c r="T292" s="578"/>
      <c r="U292" s="578"/>
      <c r="V292" s="578"/>
      <c r="W292" s="578"/>
      <c r="X292" s="591" t="s">
        <v>111</v>
      </c>
      <c r="Y292" s="591"/>
    </row>
    <row r="293" spans="1:25" ht="18" customHeight="1" x14ac:dyDescent="0.2">
      <c r="A293" s="337"/>
      <c r="B293" s="337"/>
      <c r="C293" s="345"/>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row>
    <row r="294" spans="1:25" ht="18" customHeight="1" x14ac:dyDescent="0.2">
      <c r="A294" s="337"/>
      <c r="B294" s="337"/>
      <c r="C294" s="345"/>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row>
    <row r="295" spans="1:25" ht="18" customHeight="1" x14ac:dyDescent="0.2">
      <c r="A295" s="337"/>
      <c r="B295" s="337"/>
      <c r="C295" s="592" t="s">
        <v>294</v>
      </c>
      <c r="D295" s="592"/>
      <c r="E295" s="592"/>
      <c r="F295" s="592"/>
      <c r="G295" s="592"/>
      <c r="H295" s="592"/>
      <c r="I295" s="592"/>
      <c r="J295" s="592"/>
      <c r="K295" s="592"/>
      <c r="L295" s="592"/>
      <c r="M295" s="592"/>
      <c r="N295" s="592"/>
      <c r="O295" s="592"/>
      <c r="P295" s="592"/>
      <c r="Q295" s="592"/>
      <c r="R295" s="592"/>
      <c r="S295" s="592"/>
      <c r="T295" s="592"/>
      <c r="U295" s="592"/>
      <c r="V295" s="592"/>
      <c r="W295" s="592"/>
      <c r="X295" s="592"/>
      <c r="Y295" s="592"/>
    </row>
    <row r="296" spans="1:25" ht="18" customHeight="1" thickBot="1" x14ac:dyDescent="0.25">
      <c r="A296" s="337"/>
      <c r="B296" s="337"/>
      <c r="C296" s="337"/>
      <c r="D296" s="337"/>
      <c r="E296" s="337"/>
      <c r="F296" s="337"/>
      <c r="G296" s="337"/>
      <c r="H296" s="337"/>
      <c r="I296" s="337"/>
      <c r="J296" s="337"/>
      <c r="K296" s="368"/>
      <c r="L296" s="368"/>
      <c r="M296" s="368"/>
      <c r="N296" s="386"/>
      <c r="O296" s="380"/>
      <c r="S296" s="353" t="s">
        <v>248</v>
      </c>
      <c r="T296" s="590"/>
      <c r="U296" s="590"/>
      <c r="V296" s="590"/>
      <c r="W296" s="590"/>
      <c r="X296" s="591" t="s">
        <v>118</v>
      </c>
      <c r="Y296" s="591"/>
    </row>
    <row r="297" spans="1:25" ht="18" customHeight="1" thickBot="1" x14ac:dyDescent="0.25">
      <c r="A297" s="337"/>
      <c r="B297" s="337"/>
      <c r="C297" s="345"/>
      <c r="D297" s="391"/>
      <c r="E297" s="391"/>
      <c r="F297" s="391"/>
      <c r="G297" s="347"/>
      <c r="H297" s="347"/>
      <c r="O297" s="337"/>
      <c r="T297" s="392"/>
      <c r="U297" s="393"/>
      <c r="V297" s="393"/>
      <c r="W297" s="377" t="str">
        <f>CONCATENATE(IF($T$296&gt;100,"La proportion de la zone tampon occupée par un couvert végétal permanent ne peut pas être supérieure à 100%. ",""),IF(AND($T$292=0,$T$296&lt;&gt;""),"En l'absence de zone tampon, aucune valeur à octroyer en réponse à cette question.",""))</f>
        <v/>
      </c>
    </row>
    <row r="298" spans="1:25" ht="18" customHeight="1" x14ac:dyDescent="0.2">
      <c r="A298" s="337"/>
      <c r="B298" s="337"/>
      <c r="C298" s="345"/>
      <c r="D298" s="391"/>
      <c r="E298" s="391"/>
      <c r="F298" s="391"/>
      <c r="G298" s="347"/>
      <c r="H298" s="347"/>
      <c r="O298" s="337"/>
      <c r="T298" s="382"/>
      <c r="U298" s="382"/>
      <c r="V298" s="382"/>
      <c r="W298" s="378"/>
    </row>
    <row r="299" spans="1:25" ht="18" customHeight="1" x14ac:dyDescent="0.2">
      <c r="A299" s="337"/>
      <c r="B299" s="337"/>
      <c r="C299" s="345"/>
      <c r="D299" s="391"/>
      <c r="E299" s="391"/>
      <c r="F299" s="391"/>
      <c r="G299" s="347"/>
      <c r="H299" s="347"/>
      <c r="O299" s="337"/>
      <c r="T299" s="382"/>
      <c r="U299" s="382"/>
      <c r="V299" s="382"/>
      <c r="W299" s="378"/>
    </row>
    <row r="300" spans="1:25" ht="33.75" customHeight="1" x14ac:dyDescent="0.2">
      <c r="A300" s="337"/>
      <c r="B300" s="337"/>
      <c r="C300" s="341" t="s">
        <v>401</v>
      </c>
      <c r="D300" s="695" t="s">
        <v>49</v>
      </c>
      <c r="E300" s="696"/>
      <c r="F300" s="696"/>
      <c r="G300" s="696"/>
      <c r="H300" s="696"/>
      <c r="I300" s="696"/>
      <c r="J300" s="696"/>
      <c r="K300" s="696"/>
      <c r="L300" s="696"/>
      <c r="M300" s="696"/>
      <c r="N300" s="696"/>
      <c r="O300" s="696"/>
      <c r="P300" s="696"/>
      <c r="Q300" s="696"/>
      <c r="R300" s="696"/>
      <c r="S300" s="696"/>
      <c r="T300" s="696"/>
      <c r="U300" s="696"/>
      <c r="V300" s="696"/>
      <c r="W300" s="696"/>
      <c r="X300" s="696"/>
      <c r="Y300" s="697"/>
    </row>
    <row r="301" spans="1:25" s="347" customFormat="1" ht="18" customHeight="1" x14ac:dyDescent="0.2">
      <c r="A301" s="346"/>
      <c r="B301" s="346"/>
      <c r="C301" s="517"/>
      <c r="D301" s="517"/>
      <c r="E301" s="517"/>
      <c r="F301" s="517"/>
      <c r="G301" s="517"/>
      <c r="H301" s="517"/>
      <c r="I301" s="517"/>
      <c r="J301" s="517"/>
      <c r="K301" s="517"/>
      <c r="L301" s="517"/>
      <c r="M301" s="517"/>
      <c r="N301" s="517"/>
      <c r="O301" s="517"/>
      <c r="P301" s="517"/>
      <c r="Q301" s="517"/>
      <c r="R301" s="517"/>
      <c r="S301" s="517"/>
      <c r="T301" s="517"/>
      <c r="U301" s="517"/>
      <c r="V301" s="517"/>
      <c r="W301" s="517"/>
      <c r="X301" s="517"/>
      <c r="Y301" s="517"/>
    </row>
    <row r="302" spans="1:25" ht="18" customHeight="1" x14ac:dyDescent="0.2">
      <c r="A302" s="337"/>
      <c r="B302" s="337"/>
      <c r="C302" s="581" t="s">
        <v>295</v>
      </c>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row>
    <row r="303" spans="1:25" ht="18" customHeight="1" x14ac:dyDescent="0.2">
      <c r="A303" s="337"/>
      <c r="B303" s="337"/>
      <c r="C303" s="684" t="s">
        <v>249</v>
      </c>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row>
    <row r="304" spans="1:25" ht="18" customHeight="1" x14ac:dyDescent="0.2">
      <c r="A304" s="337"/>
      <c r="B304" s="337"/>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row>
    <row r="305" spans="1:25" ht="18" customHeight="1" x14ac:dyDescent="0.2">
      <c r="A305" s="337"/>
      <c r="B305" s="337"/>
      <c r="C305" s="686"/>
      <c r="D305" s="687"/>
      <c r="E305" s="687"/>
      <c r="F305" s="687"/>
      <c r="G305" s="687"/>
      <c r="H305" s="687"/>
      <c r="I305" s="687"/>
      <c r="J305" s="687"/>
      <c r="K305" s="687"/>
      <c r="L305" s="687"/>
      <c r="M305" s="687"/>
      <c r="N305" s="687"/>
      <c r="O305" s="687"/>
      <c r="P305" s="687"/>
      <c r="Q305" s="687"/>
      <c r="R305" s="687"/>
      <c r="S305" s="687"/>
      <c r="T305" s="687"/>
      <c r="U305" s="687"/>
      <c r="V305" s="687"/>
      <c r="W305" s="687"/>
      <c r="X305" s="687"/>
      <c r="Y305" s="688"/>
    </row>
    <row r="306" spans="1:25" ht="18" customHeight="1" x14ac:dyDescent="0.2">
      <c r="A306" s="337"/>
      <c r="B306" s="337"/>
      <c r="C306" s="689"/>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1"/>
    </row>
    <row r="307" spans="1:25" ht="18" customHeight="1" x14ac:dyDescent="0.2">
      <c r="A307" s="337"/>
      <c r="B307" s="337"/>
      <c r="C307" s="689"/>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1"/>
    </row>
    <row r="308" spans="1:25" ht="18" customHeight="1" x14ac:dyDescent="0.2">
      <c r="A308" s="337"/>
      <c r="B308" s="337"/>
      <c r="C308" s="689"/>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1"/>
    </row>
    <row r="309" spans="1:25" ht="18" customHeight="1" x14ac:dyDescent="0.2">
      <c r="A309" s="337"/>
      <c r="B309" s="337"/>
      <c r="C309" s="689"/>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1"/>
    </row>
    <row r="310" spans="1:25" ht="18" customHeight="1" x14ac:dyDescent="0.2">
      <c r="A310" s="337"/>
      <c r="B310" s="337"/>
      <c r="C310" s="689"/>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1"/>
    </row>
    <row r="311" spans="1:25" ht="18" customHeight="1" x14ac:dyDescent="0.2">
      <c r="A311" s="337"/>
      <c r="B311" s="337"/>
      <c r="C311" s="689"/>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1"/>
    </row>
    <row r="312" spans="1:25" ht="18" customHeight="1" x14ac:dyDescent="0.2">
      <c r="A312" s="337"/>
      <c r="B312" s="337"/>
      <c r="C312" s="689"/>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1"/>
    </row>
    <row r="313" spans="1:25" ht="18" customHeight="1" x14ac:dyDescent="0.2">
      <c r="A313" s="337"/>
      <c r="B313" s="337"/>
      <c r="C313" s="689"/>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1"/>
    </row>
    <row r="314" spans="1:25" ht="18" customHeight="1" x14ac:dyDescent="0.2">
      <c r="A314" s="337"/>
      <c r="B314" s="337"/>
      <c r="C314" s="689"/>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1"/>
    </row>
    <row r="315" spans="1:25" ht="18" customHeight="1" x14ac:dyDescent="0.2">
      <c r="A315" s="337"/>
      <c r="B315" s="337"/>
      <c r="C315" s="689"/>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1"/>
    </row>
    <row r="316" spans="1:25" ht="18" customHeight="1" x14ac:dyDescent="0.2">
      <c r="A316" s="337"/>
      <c r="B316" s="337"/>
      <c r="C316" s="689"/>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1"/>
    </row>
    <row r="317" spans="1:25" ht="18" customHeight="1" x14ac:dyDescent="0.2">
      <c r="A317" s="337"/>
      <c r="B317" s="337"/>
      <c r="C317" s="689"/>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1"/>
    </row>
    <row r="318" spans="1:25" ht="18" customHeight="1" x14ac:dyDescent="0.2">
      <c r="A318" s="337"/>
      <c r="B318" s="337"/>
      <c r="C318" s="689"/>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1"/>
    </row>
    <row r="319" spans="1:25" ht="18" customHeight="1" x14ac:dyDescent="0.2">
      <c r="A319" s="337"/>
      <c r="B319" s="337"/>
      <c r="C319" s="689"/>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1"/>
    </row>
    <row r="320" spans="1:25" ht="18" customHeight="1" x14ac:dyDescent="0.2">
      <c r="A320" s="337"/>
      <c r="B320" s="337"/>
      <c r="C320" s="689"/>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1"/>
    </row>
    <row r="321" spans="1:25" ht="18" customHeight="1" x14ac:dyDescent="0.2">
      <c r="A321" s="337"/>
      <c r="B321" s="337"/>
      <c r="C321" s="689"/>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1"/>
    </row>
    <row r="322" spans="1:25" ht="18" customHeight="1" x14ac:dyDescent="0.2">
      <c r="A322" s="337"/>
      <c r="B322" s="337"/>
      <c r="C322" s="689"/>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1"/>
    </row>
    <row r="323" spans="1:25" ht="18" customHeight="1" x14ac:dyDescent="0.2">
      <c r="A323" s="337"/>
      <c r="B323" s="337"/>
      <c r="C323" s="689"/>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1"/>
    </row>
    <row r="324" spans="1:25" ht="18" customHeight="1" x14ac:dyDescent="0.2">
      <c r="A324" s="337"/>
      <c r="B324" s="337"/>
      <c r="C324" s="689"/>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1"/>
    </row>
    <row r="325" spans="1:25" ht="18" customHeight="1" x14ac:dyDescent="0.2">
      <c r="A325" s="337"/>
      <c r="B325" s="337"/>
      <c r="C325" s="689"/>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1"/>
    </row>
    <row r="326" spans="1:25" ht="18" customHeight="1" x14ac:dyDescent="0.2">
      <c r="A326" s="337"/>
      <c r="B326" s="337"/>
      <c r="C326" s="689"/>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1"/>
    </row>
    <row r="327" spans="1:25" ht="18" customHeight="1" x14ac:dyDescent="0.2">
      <c r="A327" s="337"/>
      <c r="B327" s="337"/>
      <c r="C327" s="689"/>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1"/>
    </row>
    <row r="328" spans="1:25" ht="18" customHeight="1" x14ac:dyDescent="0.2">
      <c r="A328" s="337"/>
      <c r="B328" s="337"/>
      <c r="C328" s="689"/>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1"/>
    </row>
    <row r="329" spans="1:25" ht="18" customHeight="1" x14ac:dyDescent="0.2">
      <c r="A329" s="337"/>
      <c r="B329" s="337"/>
      <c r="C329" s="689"/>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1"/>
    </row>
    <row r="330" spans="1:25" ht="18" customHeight="1" x14ac:dyDescent="0.2">
      <c r="A330" s="337"/>
      <c r="B330" s="337"/>
      <c r="C330" s="689"/>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1"/>
    </row>
    <row r="331" spans="1:25" ht="18" customHeight="1" x14ac:dyDescent="0.2">
      <c r="A331" s="337"/>
      <c r="B331" s="337"/>
      <c r="C331" s="689"/>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1"/>
    </row>
    <row r="332" spans="1:25" ht="18" customHeight="1" x14ac:dyDescent="0.2">
      <c r="A332" s="337"/>
      <c r="B332" s="337"/>
      <c r="C332" s="689"/>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1"/>
    </row>
    <row r="333" spans="1:25" ht="18" customHeight="1" x14ac:dyDescent="0.2">
      <c r="A333" s="337"/>
      <c r="B333" s="337"/>
      <c r="C333" s="689"/>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1"/>
    </row>
    <row r="334" spans="1:25" ht="18" customHeight="1" x14ac:dyDescent="0.2">
      <c r="A334" s="337"/>
      <c r="B334" s="337"/>
      <c r="C334" s="689"/>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1"/>
    </row>
    <row r="335" spans="1:25" ht="18" customHeight="1" x14ac:dyDescent="0.2">
      <c r="A335" s="337"/>
      <c r="B335" s="337"/>
      <c r="C335" s="689"/>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1"/>
    </row>
    <row r="336" spans="1:25" ht="18" customHeight="1" x14ac:dyDescent="0.2">
      <c r="A336" s="337"/>
      <c r="B336" s="337"/>
      <c r="C336" s="689"/>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1"/>
    </row>
    <row r="337" spans="1:25" ht="18" customHeight="1" x14ac:dyDescent="0.2">
      <c r="A337" s="337"/>
      <c r="B337" s="337"/>
      <c r="C337" s="689"/>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1"/>
    </row>
    <row r="338" spans="1:25" ht="18" customHeight="1" x14ac:dyDescent="0.2">
      <c r="A338" s="337"/>
      <c r="B338" s="337"/>
      <c r="C338" s="689"/>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1"/>
    </row>
    <row r="339" spans="1:25" ht="18" customHeight="1" x14ac:dyDescent="0.2">
      <c r="A339" s="337"/>
      <c r="B339" s="337"/>
      <c r="C339" s="689"/>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1"/>
    </row>
    <row r="340" spans="1:25" ht="18" customHeight="1" x14ac:dyDescent="0.2">
      <c r="A340" s="337"/>
      <c r="B340" s="337"/>
      <c r="C340" s="689"/>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1"/>
    </row>
    <row r="341" spans="1:25" ht="18" customHeight="1" x14ac:dyDescent="0.2">
      <c r="A341" s="337"/>
      <c r="B341" s="337"/>
      <c r="C341" s="689"/>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1"/>
    </row>
    <row r="342" spans="1:25" ht="18" customHeight="1" x14ac:dyDescent="0.2">
      <c r="A342" s="337"/>
      <c r="B342" s="337"/>
      <c r="C342" s="689"/>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1"/>
    </row>
    <row r="343" spans="1:25" ht="18" customHeight="1" x14ac:dyDescent="0.2">
      <c r="A343" s="337"/>
      <c r="B343" s="337"/>
      <c r="C343" s="689"/>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1"/>
    </row>
    <row r="344" spans="1:25" ht="18" customHeight="1" x14ac:dyDescent="0.2">
      <c r="A344" s="337"/>
      <c r="B344" s="337"/>
      <c r="C344" s="689"/>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1"/>
    </row>
    <row r="345" spans="1:25" ht="18" customHeight="1" x14ac:dyDescent="0.2">
      <c r="A345" s="337"/>
      <c r="B345" s="337"/>
      <c r="C345" s="689"/>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1"/>
    </row>
    <row r="346" spans="1:25" ht="18" customHeight="1" x14ac:dyDescent="0.2">
      <c r="A346" s="337"/>
      <c r="B346" s="337"/>
      <c r="C346" s="689"/>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1"/>
    </row>
    <row r="347" spans="1:25" ht="18" customHeight="1" x14ac:dyDescent="0.2">
      <c r="A347" s="337"/>
      <c r="B347" s="337"/>
      <c r="C347" s="689"/>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1"/>
    </row>
    <row r="348" spans="1:25" ht="18" customHeight="1" x14ac:dyDescent="0.2">
      <c r="A348" s="337"/>
      <c r="B348" s="337"/>
      <c r="C348" s="689"/>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1"/>
    </row>
    <row r="349" spans="1:25" ht="18" customHeight="1" x14ac:dyDescent="0.2">
      <c r="A349" s="337"/>
      <c r="B349" s="337"/>
      <c r="C349" s="689"/>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1"/>
    </row>
    <row r="350" spans="1:25" ht="18" customHeight="1" x14ac:dyDescent="0.2">
      <c r="A350" s="337"/>
      <c r="B350" s="337"/>
      <c r="C350" s="689"/>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1"/>
    </row>
    <row r="351" spans="1:25" ht="18" customHeight="1" x14ac:dyDescent="0.2">
      <c r="A351" s="337"/>
      <c r="B351" s="337"/>
      <c r="C351" s="692"/>
      <c r="D351" s="693"/>
      <c r="E351" s="693"/>
      <c r="F351" s="693"/>
      <c r="G351" s="693"/>
      <c r="H351" s="693"/>
      <c r="I351" s="693"/>
      <c r="J351" s="693"/>
      <c r="K351" s="693"/>
      <c r="L351" s="693"/>
      <c r="M351" s="693"/>
      <c r="N351" s="693"/>
      <c r="O351" s="693"/>
      <c r="P351" s="693"/>
      <c r="Q351" s="693"/>
      <c r="R351" s="693"/>
      <c r="S351" s="693"/>
      <c r="T351" s="693"/>
      <c r="U351" s="693"/>
      <c r="V351" s="693"/>
      <c r="W351" s="693"/>
      <c r="X351" s="693"/>
      <c r="Y351" s="694"/>
    </row>
    <row r="352" spans="1:25" ht="18" customHeight="1" x14ac:dyDescent="0.2">
      <c r="A352" s="337"/>
      <c r="B352" s="337"/>
      <c r="C352" s="346"/>
      <c r="D352" s="373"/>
      <c r="E352" s="365"/>
      <c r="F352" s="362" t="s">
        <v>363</v>
      </c>
      <c r="G352" s="536"/>
      <c r="H352" s="538"/>
      <c r="I352" s="337"/>
      <c r="J352" s="337"/>
      <c r="K352" s="337"/>
      <c r="L352" s="337"/>
      <c r="M352" s="337"/>
      <c r="N352" s="337"/>
      <c r="O352" s="337"/>
    </row>
    <row r="353" spans="1:25" ht="18" customHeight="1" x14ac:dyDescent="0.2">
      <c r="A353" s="337"/>
      <c r="B353" s="337"/>
      <c r="C353" s="345"/>
      <c r="D353" s="337"/>
      <c r="E353" s="337"/>
      <c r="F353" s="337"/>
      <c r="G353" s="337"/>
      <c r="H353" s="337"/>
      <c r="I353" s="337"/>
      <c r="J353" s="337"/>
      <c r="K353" s="337"/>
      <c r="L353" s="337"/>
      <c r="M353" s="337"/>
      <c r="N353" s="337"/>
      <c r="O353" s="337"/>
    </row>
    <row r="354" spans="1:25" ht="18" customHeight="1" x14ac:dyDescent="0.2">
      <c r="A354" s="337"/>
      <c r="B354" s="337"/>
      <c r="C354" s="345"/>
      <c r="D354" s="337"/>
      <c r="E354" s="337"/>
      <c r="F354" s="337"/>
      <c r="G354" s="337"/>
      <c r="H354" s="337"/>
      <c r="I354" s="337"/>
      <c r="J354" s="337"/>
      <c r="K354" s="337"/>
      <c r="L354" s="337"/>
      <c r="M354" s="337"/>
      <c r="N354" s="337"/>
      <c r="O354" s="337"/>
    </row>
    <row r="355" spans="1:25" ht="18" customHeight="1" x14ac:dyDescent="0.2">
      <c r="A355" s="337"/>
      <c r="B355" s="337"/>
      <c r="C355" s="581" t="s">
        <v>296</v>
      </c>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row>
    <row r="356" spans="1:25" ht="18" customHeight="1" thickBot="1" x14ac:dyDescent="0.25">
      <c r="A356" s="337"/>
      <c r="B356" s="337"/>
      <c r="C356" s="337"/>
      <c r="D356" s="337"/>
      <c r="E356" s="337"/>
      <c r="F356" s="337"/>
      <c r="G356" s="337"/>
      <c r="H356" s="337"/>
      <c r="I356" s="337"/>
      <c r="J356" s="337"/>
      <c r="K356" s="337"/>
      <c r="L356" s="337"/>
      <c r="M356" s="394"/>
      <c r="N356" s="337"/>
      <c r="O356" s="337"/>
      <c r="P356" s="339"/>
      <c r="S356" s="353" t="s">
        <v>250</v>
      </c>
      <c r="T356" s="785"/>
      <c r="U356" s="785"/>
      <c r="V356" s="785"/>
      <c r="W356" s="785"/>
      <c r="X356" s="591" t="s">
        <v>111</v>
      </c>
      <c r="Y356" s="591"/>
    </row>
    <row r="357" spans="1:25" ht="18" customHeight="1" thickBot="1" x14ac:dyDescent="0.25">
      <c r="A357" s="337"/>
      <c r="B357" s="337"/>
      <c r="C357" s="345"/>
      <c r="D357" s="337"/>
      <c r="E357" s="337"/>
      <c r="F357" s="337"/>
      <c r="G357" s="337"/>
      <c r="H357" s="337"/>
      <c r="I357" s="337"/>
      <c r="J357" s="337"/>
      <c r="K357" s="337"/>
      <c r="L357" s="337"/>
      <c r="M357" s="337"/>
      <c r="N357" s="337"/>
      <c r="O357" s="337"/>
      <c r="T357" s="395"/>
      <c r="U357" s="396"/>
      <c r="V357" s="396"/>
      <c r="W357" s="397" t="str">
        <f>IF($T$356="","",IF($T$356&lt;$T$107,"La superficie du paysage ne peut pas être inférieure à la superficie du site.",""))</f>
        <v/>
      </c>
    </row>
    <row r="358" spans="1:25" ht="18" customHeight="1" x14ac:dyDescent="0.2">
      <c r="A358" s="337"/>
      <c r="B358" s="337"/>
      <c r="C358" s="345"/>
      <c r="D358" s="337"/>
      <c r="E358" s="337"/>
      <c r="F358" s="337"/>
      <c r="G358" s="337"/>
      <c r="H358" s="337"/>
      <c r="I358" s="337"/>
      <c r="J358" s="337"/>
      <c r="K358" s="337"/>
      <c r="L358" s="337"/>
      <c r="M358" s="337"/>
      <c r="N358" s="337"/>
      <c r="O358" s="337"/>
      <c r="T358" s="347"/>
      <c r="U358" s="347"/>
      <c r="V358" s="347"/>
      <c r="W358" s="398"/>
    </row>
    <row r="359" spans="1:25" ht="18" customHeight="1" x14ac:dyDescent="0.2">
      <c r="A359" s="337"/>
      <c r="B359" s="337"/>
      <c r="C359" s="581" t="s">
        <v>368</v>
      </c>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row>
    <row r="360" spans="1:25" ht="36" customHeight="1" x14ac:dyDescent="0.2">
      <c r="A360" s="337"/>
      <c r="B360" s="337"/>
      <c r="C360" s="698" t="s">
        <v>4</v>
      </c>
      <c r="D360" s="699"/>
      <c r="E360" s="699"/>
      <c r="F360" s="699"/>
      <c r="G360" s="699"/>
      <c r="H360" s="699"/>
      <c r="I360" s="699"/>
      <c r="J360" s="699"/>
      <c r="K360" s="699"/>
      <c r="L360" s="699"/>
      <c r="M360" s="699"/>
      <c r="N360" s="699"/>
      <c r="O360" s="699"/>
      <c r="P360" s="699"/>
      <c r="Q360" s="699"/>
      <c r="R360" s="699"/>
      <c r="S360" s="699"/>
      <c r="T360" s="700" t="s">
        <v>42</v>
      </c>
      <c r="U360" s="700"/>
      <c r="V360" s="700"/>
      <c r="W360" s="700"/>
      <c r="X360" s="700"/>
      <c r="Y360" s="700"/>
    </row>
    <row r="361" spans="1:25" ht="26.25" customHeight="1" x14ac:dyDescent="0.2">
      <c r="A361" s="337"/>
      <c r="B361" s="337"/>
      <c r="C361" s="399"/>
      <c r="D361" s="400" t="s">
        <v>55</v>
      </c>
      <c r="E361" s="677" t="s">
        <v>65</v>
      </c>
      <c r="F361" s="678"/>
      <c r="G361" s="678"/>
      <c r="H361" s="678"/>
      <c r="I361" s="678"/>
      <c r="J361" s="678"/>
      <c r="K361" s="678"/>
      <c r="L361" s="678"/>
      <c r="M361" s="678"/>
      <c r="N361" s="678"/>
      <c r="O361" s="678"/>
      <c r="P361" s="678"/>
      <c r="Q361" s="678"/>
      <c r="R361" s="678"/>
      <c r="S361" s="678"/>
      <c r="T361" s="679"/>
      <c r="U361" s="679"/>
      <c r="V361" s="679"/>
      <c r="W361" s="679"/>
      <c r="X361" s="634" t="s">
        <v>5</v>
      </c>
      <c r="Y361" s="635"/>
    </row>
    <row r="362" spans="1:25" ht="26.25" customHeight="1" x14ac:dyDescent="0.2">
      <c r="A362" s="337"/>
      <c r="B362" s="337"/>
      <c r="C362" s="401"/>
      <c r="D362" s="400" t="s">
        <v>56</v>
      </c>
      <c r="E362" s="677" t="s">
        <v>66</v>
      </c>
      <c r="F362" s="678"/>
      <c r="G362" s="678"/>
      <c r="H362" s="678"/>
      <c r="I362" s="678"/>
      <c r="J362" s="678"/>
      <c r="K362" s="678"/>
      <c r="L362" s="678"/>
      <c r="M362" s="678"/>
      <c r="N362" s="678"/>
      <c r="O362" s="678"/>
      <c r="P362" s="678"/>
      <c r="Q362" s="678"/>
      <c r="R362" s="678"/>
      <c r="S362" s="678"/>
      <c r="T362" s="679"/>
      <c r="U362" s="679"/>
      <c r="V362" s="679"/>
      <c r="W362" s="679"/>
      <c r="X362" s="634" t="s">
        <v>5</v>
      </c>
      <c r="Y362" s="635"/>
    </row>
    <row r="363" spans="1:25" ht="26.25" customHeight="1" x14ac:dyDescent="0.2">
      <c r="A363" s="337"/>
      <c r="B363" s="337"/>
      <c r="C363" s="402"/>
      <c r="D363" s="400" t="s">
        <v>57</v>
      </c>
      <c r="E363" s="677" t="s">
        <v>369</v>
      </c>
      <c r="F363" s="678"/>
      <c r="G363" s="678"/>
      <c r="H363" s="678"/>
      <c r="I363" s="678"/>
      <c r="J363" s="678"/>
      <c r="K363" s="678"/>
      <c r="L363" s="678"/>
      <c r="M363" s="678"/>
      <c r="N363" s="678"/>
      <c r="O363" s="678"/>
      <c r="P363" s="678"/>
      <c r="Q363" s="678"/>
      <c r="R363" s="678"/>
      <c r="S363" s="678"/>
      <c r="T363" s="679"/>
      <c r="U363" s="679"/>
      <c r="V363" s="679"/>
      <c r="W363" s="679"/>
      <c r="X363" s="634" t="s">
        <v>5</v>
      </c>
      <c r="Y363" s="635"/>
    </row>
    <row r="364" spans="1:25" ht="26.25" customHeight="1" x14ac:dyDescent="0.2">
      <c r="A364" s="337"/>
      <c r="B364" s="337"/>
      <c r="C364" s="403"/>
      <c r="D364" s="400" t="s">
        <v>58</v>
      </c>
      <c r="E364" s="677" t="s">
        <v>67</v>
      </c>
      <c r="F364" s="678"/>
      <c r="G364" s="678"/>
      <c r="H364" s="678"/>
      <c r="I364" s="678"/>
      <c r="J364" s="678"/>
      <c r="K364" s="678"/>
      <c r="L364" s="678"/>
      <c r="M364" s="678"/>
      <c r="N364" s="678"/>
      <c r="O364" s="678"/>
      <c r="P364" s="678"/>
      <c r="Q364" s="678"/>
      <c r="R364" s="678"/>
      <c r="S364" s="678"/>
      <c r="T364" s="679"/>
      <c r="U364" s="679"/>
      <c r="V364" s="679"/>
      <c r="W364" s="679"/>
      <c r="X364" s="634" t="s">
        <v>5</v>
      </c>
      <c r="Y364" s="635"/>
    </row>
    <row r="365" spans="1:25" ht="26.25" customHeight="1" x14ac:dyDescent="0.2">
      <c r="A365" s="337"/>
      <c r="B365" s="337"/>
      <c r="C365" s="404"/>
      <c r="D365" s="400" t="s">
        <v>59</v>
      </c>
      <c r="E365" s="677" t="s">
        <v>68</v>
      </c>
      <c r="F365" s="678"/>
      <c r="G365" s="678"/>
      <c r="H365" s="678"/>
      <c r="I365" s="678"/>
      <c r="J365" s="678"/>
      <c r="K365" s="678"/>
      <c r="L365" s="678"/>
      <c r="M365" s="678"/>
      <c r="N365" s="678"/>
      <c r="O365" s="678"/>
      <c r="P365" s="678"/>
      <c r="Q365" s="678"/>
      <c r="R365" s="678"/>
      <c r="S365" s="678"/>
      <c r="T365" s="679"/>
      <c r="U365" s="679"/>
      <c r="V365" s="679"/>
      <c r="W365" s="679"/>
      <c r="X365" s="634" t="s">
        <v>5</v>
      </c>
      <c r="Y365" s="635"/>
    </row>
    <row r="366" spans="1:25" ht="26.25" customHeight="1" x14ac:dyDescent="0.2">
      <c r="A366" s="337"/>
      <c r="B366" s="337"/>
      <c r="C366" s="405"/>
      <c r="D366" s="400" t="s">
        <v>60</v>
      </c>
      <c r="E366" s="677" t="s">
        <v>69</v>
      </c>
      <c r="F366" s="678"/>
      <c r="G366" s="678"/>
      <c r="H366" s="678"/>
      <c r="I366" s="678"/>
      <c r="J366" s="678"/>
      <c r="K366" s="678"/>
      <c r="L366" s="678"/>
      <c r="M366" s="678"/>
      <c r="N366" s="678"/>
      <c r="O366" s="678"/>
      <c r="P366" s="678"/>
      <c r="Q366" s="678"/>
      <c r="R366" s="678"/>
      <c r="S366" s="678"/>
      <c r="T366" s="679"/>
      <c r="U366" s="679"/>
      <c r="V366" s="679"/>
      <c r="W366" s="679"/>
      <c r="X366" s="634" t="s">
        <v>5</v>
      </c>
      <c r="Y366" s="635"/>
    </row>
    <row r="367" spans="1:25" ht="26.25" customHeight="1" x14ac:dyDescent="0.2">
      <c r="A367" s="337"/>
      <c r="B367" s="337"/>
      <c r="C367" s="406"/>
      <c r="D367" s="400" t="s">
        <v>61</v>
      </c>
      <c r="E367" s="677" t="s">
        <v>370</v>
      </c>
      <c r="F367" s="678"/>
      <c r="G367" s="678"/>
      <c r="H367" s="678"/>
      <c r="I367" s="678"/>
      <c r="J367" s="678"/>
      <c r="K367" s="678"/>
      <c r="L367" s="678"/>
      <c r="M367" s="678"/>
      <c r="N367" s="678"/>
      <c r="O367" s="678"/>
      <c r="P367" s="678"/>
      <c r="Q367" s="678"/>
      <c r="R367" s="678"/>
      <c r="S367" s="678"/>
      <c r="T367" s="679"/>
      <c r="U367" s="679"/>
      <c r="V367" s="679"/>
      <c r="W367" s="679"/>
      <c r="X367" s="634" t="s">
        <v>5</v>
      </c>
      <c r="Y367" s="635"/>
    </row>
    <row r="368" spans="1:25" ht="26.25" customHeight="1" x14ac:dyDescent="0.2">
      <c r="A368" s="337"/>
      <c r="B368" s="337"/>
      <c r="C368" s="407"/>
      <c r="D368" s="400" t="s">
        <v>62</v>
      </c>
      <c r="E368" s="677" t="s">
        <v>70</v>
      </c>
      <c r="F368" s="678"/>
      <c r="G368" s="678"/>
      <c r="H368" s="678"/>
      <c r="I368" s="678"/>
      <c r="J368" s="678"/>
      <c r="K368" s="678"/>
      <c r="L368" s="678"/>
      <c r="M368" s="678"/>
      <c r="N368" s="678"/>
      <c r="O368" s="678"/>
      <c r="P368" s="678"/>
      <c r="Q368" s="678"/>
      <c r="R368" s="678"/>
      <c r="S368" s="678"/>
      <c r="T368" s="679"/>
      <c r="U368" s="679"/>
      <c r="V368" s="679"/>
      <c r="W368" s="679"/>
      <c r="X368" s="634" t="s">
        <v>5</v>
      </c>
      <c r="Y368" s="635"/>
    </row>
    <row r="369" spans="1:25" ht="26.25" customHeight="1" x14ac:dyDescent="0.2">
      <c r="A369" s="337"/>
      <c r="B369" s="337"/>
      <c r="C369" s="408"/>
      <c r="D369" s="400" t="s">
        <v>63</v>
      </c>
      <c r="E369" s="677" t="s">
        <v>71</v>
      </c>
      <c r="F369" s="678"/>
      <c r="G369" s="678"/>
      <c r="H369" s="678"/>
      <c r="I369" s="678"/>
      <c r="J369" s="678"/>
      <c r="K369" s="678"/>
      <c r="L369" s="678"/>
      <c r="M369" s="678"/>
      <c r="N369" s="678"/>
      <c r="O369" s="678"/>
      <c r="P369" s="678"/>
      <c r="Q369" s="678"/>
      <c r="R369" s="678"/>
      <c r="S369" s="678"/>
      <c r="T369" s="679"/>
      <c r="U369" s="679"/>
      <c r="V369" s="679"/>
      <c r="W369" s="679"/>
      <c r="X369" s="634" t="s">
        <v>5</v>
      </c>
      <c r="Y369" s="635"/>
    </row>
    <row r="370" spans="1:25" ht="26.25" customHeight="1" x14ac:dyDescent="0.2">
      <c r="A370" s="337"/>
      <c r="B370" s="337"/>
      <c r="C370" s="409"/>
      <c r="D370" s="400" t="s">
        <v>64</v>
      </c>
      <c r="E370" s="677" t="s">
        <v>72</v>
      </c>
      <c r="F370" s="678"/>
      <c r="G370" s="678"/>
      <c r="H370" s="678"/>
      <c r="I370" s="678"/>
      <c r="J370" s="678"/>
      <c r="K370" s="678"/>
      <c r="L370" s="678"/>
      <c r="M370" s="678"/>
      <c r="N370" s="678"/>
      <c r="O370" s="678"/>
      <c r="P370" s="678"/>
      <c r="Q370" s="678"/>
      <c r="R370" s="678"/>
      <c r="S370" s="678"/>
      <c r="T370" s="679"/>
      <c r="U370" s="679"/>
      <c r="V370" s="679"/>
      <c r="W370" s="679"/>
      <c r="X370" s="634" t="s">
        <v>5</v>
      </c>
      <c r="Y370" s="635"/>
    </row>
    <row r="371" spans="1:25" ht="26.25" customHeight="1" thickBot="1" x14ac:dyDescent="0.25">
      <c r="A371" s="337"/>
      <c r="B371" s="337"/>
      <c r="C371" s="410"/>
      <c r="D371" s="680" t="s">
        <v>214</v>
      </c>
      <c r="E371" s="680"/>
      <c r="F371" s="680"/>
      <c r="G371" s="680"/>
      <c r="H371" s="680"/>
      <c r="I371" s="680"/>
      <c r="J371" s="680"/>
      <c r="K371" s="680"/>
      <c r="L371" s="680"/>
      <c r="M371" s="680"/>
      <c r="N371" s="680"/>
      <c r="O371" s="680"/>
      <c r="P371" s="680"/>
      <c r="Q371" s="680"/>
      <c r="R371" s="680"/>
      <c r="S371" s="680"/>
      <c r="T371" s="681">
        <f>SUM($T$361:$W$370)</f>
        <v>0</v>
      </c>
      <c r="U371" s="681"/>
      <c r="V371" s="681"/>
      <c r="W371" s="681"/>
      <c r="X371" s="682" t="s">
        <v>5</v>
      </c>
      <c r="Y371" s="683"/>
    </row>
    <row r="372" spans="1:25" ht="18" customHeight="1" thickBot="1" x14ac:dyDescent="0.25">
      <c r="A372" s="337"/>
      <c r="B372" s="337"/>
      <c r="C372" s="345"/>
      <c r="D372" s="337"/>
      <c r="E372" s="337"/>
      <c r="F372" s="337"/>
      <c r="G372" s="337"/>
      <c r="H372" s="337"/>
      <c r="I372" s="337"/>
      <c r="J372" s="337"/>
      <c r="K372" s="337"/>
      <c r="L372" s="337"/>
      <c r="M372" s="337"/>
      <c r="N372" s="337"/>
      <c r="O372" s="337"/>
      <c r="T372" s="395"/>
      <c r="U372" s="396"/>
      <c r="V372" s="396"/>
      <c r="W372" s="397" t="str">
        <f>IF(AND(SUM($T$361:$W$370)&lt;&gt;0,$T$371&lt;&gt;100),"La somme de la proportion des différents habitats dans le paysage doit être égale à 100. ","")</f>
        <v/>
      </c>
    </row>
    <row r="373" spans="1:25" ht="18" customHeight="1" x14ac:dyDescent="0.2">
      <c r="A373" s="337"/>
      <c r="B373" s="337"/>
      <c r="C373" s="345"/>
      <c r="D373" s="337"/>
      <c r="E373" s="337"/>
      <c r="F373" s="337"/>
      <c r="G373" s="337"/>
      <c r="H373" s="337"/>
      <c r="I373" s="337"/>
      <c r="J373" s="337"/>
      <c r="K373" s="337"/>
      <c r="L373" s="337"/>
      <c r="M373" s="337"/>
      <c r="N373" s="337"/>
      <c r="O373" s="337"/>
    </row>
    <row r="374" spans="1:25" ht="18" customHeight="1" x14ac:dyDescent="0.2">
      <c r="A374" s="337"/>
      <c r="B374" s="337"/>
      <c r="C374" s="345"/>
      <c r="D374" s="337"/>
      <c r="E374" s="337"/>
      <c r="F374" s="337"/>
      <c r="G374" s="337"/>
      <c r="H374" s="337"/>
      <c r="I374" s="337"/>
      <c r="J374" s="337"/>
      <c r="K374" s="337"/>
      <c r="L374" s="337"/>
      <c r="M374" s="337"/>
      <c r="N374" s="337"/>
      <c r="O374" s="337"/>
    </row>
    <row r="375" spans="1:25" ht="18" customHeight="1" x14ac:dyDescent="0.2">
      <c r="A375" s="337"/>
      <c r="B375" s="337"/>
      <c r="C375" s="581" t="s">
        <v>297</v>
      </c>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row>
    <row r="376" spans="1:25" ht="18" customHeight="1" x14ac:dyDescent="0.2">
      <c r="A376" s="337"/>
      <c r="B376" s="337"/>
      <c r="C376" s="675" t="s">
        <v>234</v>
      </c>
      <c r="D376" s="675"/>
      <c r="E376" s="675"/>
      <c r="F376" s="675"/>
      <c r="G376" s="675"/>
      <c r="H376" s="368"/>
      <c r="I376" s="353" t="s">
        <v>24</v>
      </c>
      <c r="J376" s="588"/>
      <c r="K376" s="588"/>
      <c r="P376" s="339"/>
      <c r="Q376" s="368"/>
      <c r="S376" s="353" t="s">
        <v>25</v>
      </c>
      <c r="T376" s="588"/>
      <c r="U376" s="588"/>
      <c r="V376" s="588"/>
      <c r="W376" s="588"/>
    </row>
    <row r="377" spans="1:25" ht="18" customHeight="1" x14ac:dyDescent="0.2">
      <c r="A377" s="337"/>
      <c r="B377" s="337"/>
      <c r="C377" s="676"/>
      <c r="D377" s="676"/>
      <c r="E377" s="676"/>
      <c r="F377" s="676"/>
      <c r="G377" s="676"/>
      <c r="H377" s="367"/>
      <c r="I377" s="369" t="s">
        <v>26</v>
      </c>
      <c r="J377" s="588"/>
      <c r="K377" s="588"/>
      <c r="P377" s="339"/>
      <c r="Q377" s="368"/>
      <c r="T377" s="347"/>
      <c r="U377" s="347"/>
      <c r="V377" s="347"/>
      <c r="W377" s="347"/>
    </row>
    <row r="378" spans="1:25" ht="18" customHeight="1" x14ac:dyDescent="0.2">
      <c r="A378" s="337"/>
      <c r="B378" s="337"/>
      <c r="C378" s="345"/>
      <c r="D378" s="337"/>
      <c r="E378" s="337"/>
      <c r="F378" s="337"/>
      <c r="G378" s="337"/>
      <c r="H378" s="337"/>
      <c r="I378" s="337"/>
      <c r="J378" s="337"/>
      <c r="K378" s="337"/>
      <c r="L378" s="337"/>
      <c r="M378" s="337"/>
      <c r="N378" s="337"/>
      <c r="O378" s="337"/>
    </row>
    <row r="379" spans="1:25" ht="18" customHeight="1" x14ac:dyDescent="0.2">
      <c r="A379" s="337"/>
      <c r="B379" s="337"/>
      <c r="C379" s="345"/>
      <c r="D379" s="337"/>
      <c r="E379" s="337"/>
      <c r="F379" s="337"/>
      <c r="G379" s="337"/>
      <c r="H379" s="337"/>
      <c r="I379" s="337"/>
      <c r="J379" s="337"/>
      <c r="K379" s="337"/>
      <c r="L379" s="337"/>
      <c r="M379" s="337"/>
      <c r="N379" s="337"/>
      <c r="O379" s="337"/>
    </row>
    <row r="380" spans="1:25" ht="18" customHeight="1" x14ac:dyDescent="0.2">
      <c r="A380" s="337"/>
      <c r="B380" s="337"/>
      <c r="C380" s="583" t="s">
        <v>371</v>
      </c>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row>
    <row r="381" spans="1:25" ht="18" customHeight="1" x14ac:dyDescent="0.2">
      <c r="A381" s="337"/>
      <c r="B381" s="337"/>
      <c r="C381" s="592"/>
      <c r="D381" s="592"/>
      <c r="E381" s="592"/>
      <c r="F381" s="592"/>
      <c r="G381" s="592"/>
      <c r="H381" s="592"/>
      <c r="I381" s="592"/>
      <c r="J381" s="592"/>
      <c r="K381" s="592"/>
      <c r="L381" s="592"/>
      <c r="M381" s="592"/>
      <c r="N381" s="592"/>
      <c r="O381" s="592"/>
      <c r="P381" s="592"/>
      <c r="Q381" s="592"/>
      <c r="R381" s="592"/>
      <c r="S381" s="592"/>
      <c r="T381" s="592"/>
      <c r="U381" s="592"/>
      <c r="V381" s="592"/>
      <c r="W381" s="592"/>
      <c r="X381" s="592"/>
      <c r="Y381" s="592"/>
    </row>
    <row r="382" spans="1:25" ht="18" customHeight="1" x14ac:dyDescent="0.2">
      <c r="A382" s="337"/>
      <c r="B382" s="337"/>
      <c r="C382" s="337"/>
      <c r="D382" s="337"/>
      <c r="E382" s="337"/>
      <c r="F382" s="337"/>
      <c r="G382" s="337"/>
      <c r="H382" s="337"/>
      <c r="I382" s="337"/>
      <c r="J382" s="337"/>
      <c r="K382" s="386"/>
      <c r="L382" s="337"/>
      <c r="M382" s="386"/>
      <c r="N382" s="386"/>
      <c r="O382" s="380"/>
      <c r="S382" s="353" t="s">
        <v>251</v>
      </c>
      <c r="T382" s="578"/>
      <c r="U382" s="578"/>
      <c r="V382" s="578"/>
      <c r="W382" s="578"/>
      <c r="X382" s="591" t="s">
        <v>111</v>
      </c>
      <c r="Y382" s="591"/>
    </row>
    <row r="383" spans="1:25" ht="18" customHeight="1" x14ac:dyDescent="0.2">
      <c r="A383" s="337"/>
      <c r="B383" s="337"/>
      <c r="C383" s="345"/>
      <c r="D383" s="337"/>
      <c r="E383" s="337"/>
      <c r="F383" s="337"/>
      <c r="G383" s="337"/>
      <c r="H383" s="337"/>
      <c r="I383" s="337"/>
      <c r="J383" s="337"/>
      <c r="K383" s="337"/>
      <c r="L383" s="337"/>
      <c r="M383" s="337"/>
      <c r="N383" s="337"/>
      <c r="O383" s="337"/>
    </row>
    <row r="384" spans="1:25" ht="18" customHeight="1" x14ac:dyDescent="0.2">
      <c r="A384" s="337"/>
      <c r="B384" s="337"/>
      <c r="C384" s="345"/>
      <c r="D384" s="337"/>
      <c r="E384" s="337"/>
      <c r="F384" s="337"/>
      <c r="G384" s="337"/>
      <c r="H384" s="337"/>
      <c r="I384" s="337"/>
      <c r="J384" s="337"/>
      <c r="K384" s="337"/>
      <c r="L384" s="337"/>
      <c r="M384" s="337"/>
      <c r="N384" s="337"/>
      <c r="O384" s="337"/>
    </row>
    <row r="385" spans="1:25" ht="18" customHeight="1" x14ac:dyDescent="0.2">
      <c r="A385" s="337"/>
      <c r="B385" s="337"/>
      <c r="C385" s="583" t="s">
        <v>372</v>
      </c>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row>
    <row r="386" spans="1:25" ht="18" customHeight="1" x14ac:dyDescent="0.2">
      <c r="A386" s="337"/>
      <c r="B386" s="337"/>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row>
    <row r="387" spans="1:25" ht="18" customHeight="1" x14ac:dyDescent="0.2">
      <c r="A387" s="337"/>
      <c r="B387" s="337"/>
      <c r="C387" s="337"/>
      <c r="D387" s="337"/>
      <c r="E387" s="337"/>
      <c r="F387" s="337"/>
      <c r="G387" s="337"/>
      <c r="H387" s="337"/>
      <c r="I387" s="337"/>
      <c r="J387" s="337"/>
      <c r="K387" s="337"/>
      <c r="L387" s="368"/>
      <c r="M387" s="368"/>
      <c r="N387" s="386"/>
      <c r="O387" s="380"/>
      <c r="S387" s="353" t="s">
        <v>252</v>
      </c>
      <c r="T387" s="578"/>
      <c r="U387" s="578"/>
      <c r="V387" s="578"/>
      <c r="W387" s="578"/>
      <c r="X387" s="591" t="s">
        <v>112</v>
      </c>
      <c r="Y387" s="591"/>
    </row>
    <row r="388" spans="1:25" ht="18" customHeight="1" x14ac:dyDescent="0.2">
      <c r="C388" s="345"/>
      <c r="I388" s="411"/>
      <c r="J388" s="411"/>
      <c r="K388" s="412"/>
      <c r="N388" s="413"/>
      <c r="O388" s="414"/>
    </row>
    <row r="389" spans="1:25" ht="18" customHeight="1" x14ac:dyDescent="0.2">
      <c r="C389" s="345"/>
      <c r="I389" s="411"/>
      <c r="J389" s="411"/>
      <c r="K389" s="412"/>
      <c r="N389" s="413"/>
      <c r="O389" s="414"/>
    </row>
    <row r="390" spans="1:25" ht="18" customHeight="1" x14ac:dyDescent="0.2">
      <c r="A390" s="337"/>
      <c r="B390" s="337"/>
      <c r="C390" s="583" t="s">
        <v>373</v>
      </c>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row>
    <row r="391" spans="1:25" ht="18" customHeight="1" x14ac:dyDescent="0.2">
      <c r="A391" s="337"/>
      <c r="B391" s="337"/>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row>
    <row r="392" spans="1:25" ht="18" customHeight="1" x14ac:dyDescent="0.2">
      <c r="A392" s="337"/>
      <c r="B392" s="337"/>
      <c r="C392" s="592"/>
      <c r="D392" s="592"/>
      <c r="E392" s="592"/>
      <c r="F392" s="592"/>
      <c r="G392" s="592"/>
      <c r="H392" s="592"/>
      <c r="I392" s="592"/>
      <c r="J392" s="592"/>
      <c r="K392" s="592"/>
      <c r="L392" s="592"/>
      <c r="M392" s="592"/>
      <c r="N392" s="592"/>
      <c r="O392" s="592"/>
      <c r="P392" s="592"/>
      <c r="Q392" s="592"/>
      <c r="R392" s="592"/>
      <c r="S392" s="592"/>
      <c r="T392" s="592"/>
      <c r="U392" s="592"/>
      <c r="V392" s="592"/>
      <c r="W392" s="592"/>
      <c r="X392" s="592"/>
      <c r="Y392" s="592"/>
    </row>
    <row r="393" spans="1:25" ht="18" customHeight="1" x14ac:dyDescent="0.2">
      <c r="A393" s="337"/>
      <c r="B393" s="337"/>
      <c r="C393" s="337"/>
      <c r="D393" s="337"/>
      <c r="E393" s="337"/>
      <c r="F393" s="337"/>
      <c r="G393" s="337"/>
      <c r="H393" s="337"/>
      <c r="I393" s="389"/>
      <c r="J393" s="337"/>
      <c r="K393" s="368"/>
      <c r="L393" s="368"/>
      <c r="M393" s="368"/>
      <c r="N393" s="386"/>
      <c r="O393" s="380"/>
      <c r="S393" s="353" t="s">
        <v>253</v>
      </c>
      <c r="T393" s="578"/>
      <c r="U393" s="578"/>
      <c r="V393" s="578"/>
      <c r="W393" s="578"/>
      <c r="X393" s="591" t="s">
        <v>111</v>
      </c>
      <c r="Y393" s="591"/>
    </row>
    <row r="394" spans="1:25" ht="18" customHeight="1" x14ac:dyDescent="0.2">
      <c r="A394" s="337"/>
      <c r="B394" s="337"/>
      <c r="C394" s="337"/>
      <c r="D394" s="415"/>
      <c r="E394" s="415"/>
      <c r="F394" s="337"/>
      <c r="G394" s="337"/>
      <c r="H394" s="337"/>
      <c r="I394" s="415"/>
      <c r="J394" s="416"/>
      <c r="K394" s="417"/>
      <c r="L394" s="417"/>
      <c r="M394" s="368"/>
      <c r="N394" s="386"/>
      <c r="O394" s="380"/>
      <c r="S394" s="353" t="s">
        <v>254</v>
      </c>
      <c r="T394" s="578"/>
      <c r="U394" s="578"/>
      <c r="V394" s="578"/>
      <c r="W394" s="578"/>
      <c r="X394" s="591" t="s">
        <v>112</v>
      </c>
      <c r="Y394" s="591"/>
    </row>
    <row r="395" spans="1:25" ht="18" customHeight="1" x14ac:dyDescent="0.2">
      <c r="A395" s="337"/>
      <c r="B395" s="337"/>
      <c r="C395" s="345"/>
      <c r="D395" s="337"/>
      <c r="E395" s="337"/>
      <c r="F395" s="337"/>
      <c r="G395" s="337"/>
      <c r="H395" s="337"/>
      <c r="I395" s="337"/>
      <c r="J395" s="337"/>
      <c r="K395" s="337"/>
      <c r="L395" s="337"/>
      <c r="M395" s="337"/>
      <c r="N395" s="337"/>
      <c r="O395" s="337"/>
    </row>
    <row r="396" spans="1:25" ht="18" customHeight="1" x14ac:dyDescent="0.2">
      <c r="A396" s="337"/>
      <c r="B396" s="337"/>
      <c r="C396" s="345"/>
      <c r="D396" s="337"/>
      <c r="E396" s="337"/>
      <c r="F396" s="337"/>
      <c r="G396" s="337"/>
      <c r="H396" s="337"/>
      <c r="I396" s="337"/>
      <c r="J396" s="337"/>
      <c r="K396" s="337"/>
      <c r="L396" s="337"/>
      <c r="M396" s="337"/>
      <c r="N396" s="337"/>
      <c r="O396" s="337"/>
    </row>
    <row r="397" spans="1:25" ht="18" customHeight="1" x14ac:dyDescent="0.2">
      <c r="A397" s="337"/>
      <c r="B397" s="337"/>
      <c r="C397" s="581" t="s">
        <v>298</v>
      </c>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row>
    <row r="398" spans="1:25" ht="18" customHeight="1" x14ac:dyDescent="0.2">
      <c r="A398" s="337"/>
      <c r="B398" s="337"/>
      <c r="C398" s="346"/>
      <c r="D398" s="346"/>
      <c r="E398" s="346"/>
      <c r="F398" s="346"/>
      <c r="G398" s="346"/>
      <c r="H398" s="362"/>
      <c r="I398" s="346"/>
      <c r="J398" s="346"/>
      <c r="K398" s="368"/>
      <c r="L398" s="368"/>
      <c r="M398" s="368"/>
      <c r="N398" s="374"/>
      <c r="O398" s="337"/>
      <c r="S398" s="362" t="s">
        <v>374</v>
      </c>
      <c r="T398" s="782"/>
      <c r="U398" s="782"/>
      <c r="V398" s="782"/>
      <c r="W398" s="782"/>
      <c r="X398" s="591" t="s">
        <v>112</v>
      </c>
      <c r="Y398" s="591"/>
    </row>
    <row r="399" spans="1:25" ht="18" customHeight="1" x14ac:dyDescent="0.2">
      <c r="A399" s="337"/>
      <c r="B399" s="337"/>
      <c r="C399" s="346"/>
      <c r="D399" s="346"/>
      <c r="E399" s="346"/>
      <c r="F399" s="346"/>
      <c r="G399" s="346"/>
      <c r="H399" s="362"/>
      <c r="I399" s="346"/>
      <c r="J399" s="346"/>
      <c r="K399" s="368"/>
      <c r="L399" s="368"/>
      <c r="M399" s="368"/>
      <c r="N399" s="386"/>
      <c r="O399" s="380"/>
      <c r="S399" s="362" t="s">
        <v>255</v>
      </c>
      <c r="T399" s="578"/>
      <c r="U399" s="578"/>
      <c r="V399" s="578"/>
      <c r="W399" s="578"/>
      <c r="X399" s="591" t="s">
        <v>112</v>
      </c>
      <c r="Y399" s="591"/>
    </row>
    <row r="400" spans="1:25" ht="18" customHeight="1" x14ac:dyDescent="0.2">
      <c r="A400" s="337"/>
      <c r="B400" s="337"/>
      <c r="C400" s="345"/>
      <c r="D400" s="337"/>
      <c r="E400" s="337"/>
      <c r="F400" s="337"/>
      <c r="G400" s="337"/>
      <c r="H400" s="337"/>
      <c r="I400" s="337"/>
      <c r="J400" s="337"/>
      <c r="K400" s="337"/>
      <c r="L400" s="337"/>
      <c r="M400" s="337"/>
      <c r="N400" s="337"/>
      <c r="O400" s="337"/>
    </row>
    <row r="401" spans="1:25" ht="18" customHeight="1" x14ac:dyDescent="0.2">
      <c r="A401" s="337"/>
      <c r="B401" s="337"/>
      <c r="C401" s="345"/>
      <c r="D401" s="337"/>
      <c r="E401" s="337"/>
      <c r="F401" s="337"/>
      <c r="G401" s="337"/>
      <c r="H401" s="337"/>
      <c r="I401" s="337"/>
      <c r="J401" s="337"/>
      <c r="K401" s="337"/>
      <c r="L401" s="337"/>
      <c r="M401" s="337"/>
      <c r="N401" s="337"/>
      <c r="O401" s="337"/>
    </row>
    <row r="402" spans="1:25" ht="18" customHeight="1" x14ac:dyDescent="0.2">
      <c r="A402" s="337"/>
      <c r="B402" s="337"/>
      <c r="C402" s="583" t="s">
        <v>299</v>
      </c>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row>
    <row r="403" spans="1:25" ht="18" customHeight="1" x14ac:dyDescent="0.2">
      <c r="A403" s="337"/>
      <c r="B403" s="337"/>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row>
    <row r="404" spans="1:25" ht="18" customHeight="1" x14ac:dyDescent="0.2">
      <c r="A404" s="337"/>
      <c r="B404" s="337"/>
      <c r="C404" s="354" t="s">
        <v>234</v>
      </c>
      <c r="D404" s="354"/>
      <c r="E404" s="337"/>
      <c r="H404" s="368"/>
      <c r="I404" s="353" t="s">
        <v>28</v>
      </c>
      <c r="J404" s="588"/>
      <c r="K404" s="588"/>
      <c r="P404" s="339"/>
      <c r="Q404" s="368"/>
      <c r="R404" s="368"/>
      <c r="S404" s="369" t="s">
        <v>29</v>
      </c>
      <c r="T404" s="588"/>
      <c r="U404" s="588"/>
      <c r="V404" s="588"/>
      <c r="W404" s="588"/>
    </row>
    <row r="405" spans="1:25" ht="18" customHeight="1" x14ac:dyDescent="0.2">
      <c r="A405" s="337"/>
      <c r="B405" s="337"/>
      <c r="C405" s="345"/>
      <c r="D405" s="337"/>
      <c r="E405" s="337"/>
      <c r="F405" s="337"/>
      <c r="G405" s="337"/>
      <c r="H405" s="337"/>
      <c r="I405" s="337"/>
      <c r="J405" s="337"/>
      <c r="K405" s="337"/>
      <c r="L405" s="337"/>
      <c r="M405" s="337"/>
      <c r="N405" s="337"/>
      <c r="O405" s="337"/>
    </row>
    <row r="406" spans="1:25" ht="18" customHeight="1" x14ac:dyDescent="0.2">
      <c r="A406" s="337"/>
      <c r="B406" s="337"/>
      <c r="C406" s="345"/>
      <c r="D406" s="337"/>
      <c r="E406" s="337"/>
      <c r="F406" s="337"/>
      <c r="G406" s="337"/>
      <c r="H406" s="337"/>
      <c r="I406" s="337"/>
      <c r="J406" s="337"/>
      <c r="K406" s="337"/>
      <c r="L406" s="337"/>
      <c r="M406" s="337"/>
      <c r="N406" s="337"/>
      <c r="O406" s="337"/>
    </row>
    <row r="407" spans="1:25" ht="18" customHeight="1" x14ac:dyDescent="0.2">
      <c r="A407" s="337"/>
      <c r="B407" s="337"/>
      <c r="C407" s="581" t="s">
        <v>300</v>
      </c>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row>
    <row r="408" spans="1:25" ht="18" customHeight="1" x14ac:dyDescent="0.2">
      <c r="A408" s="337"/>
      <c r="B408" s="337"/>
      <c r="C408" s="337"/>
      <c r="D408" s="337"/>
      <c r="E408" s="337"/>
      <c r="F408" s="337"/>
      <c r="G408" s="337"/>
      <c r="H408" s="337"/>
      <c r="I408" s="337"/>
      <c r="J408" s="337"/>
      <c r="K408" s="353"/>
      <c r="L408" s="368"/>
      <c r="M408" s="368"/>
      <c r="N408" s="386"/>
      <c r="O408" s="380"/>
      <c r="S408" s="353" t="s">
        <v>256</v>
      </c>
      <c r="T408" s="578"/>
      <c r="U408" s="578"/>
      <c r="V408" s="578"/>
      <c r="W408" s="578"/>
      <c r="X408" s="591" t="s">
        <v>112</v>
      </c>
      <c r="Y408" s="591"/>
    </row>
    <row r="409" spans="1:25" ht="18" customHeight="1" x14ac:dyDescent="0.2">
      <c r="A409" s="337"/>
      <c r="B409" s="337"/>
      <c r="C409" s="345"/>
      <c r="D409" s="337"/>
      <c r="E409" s="337"/>
      <c r="F409" s="337"/>
      <c r="G409" s="337"/>
      <c r="H409" s="337"/>
      <c r="I409" s="337"/>
      <c r="J409" s="337"/>
      <c r="K409" s="337"/>
      <c r="L409" s="337"/>
      <c r="M409" s="337"/>
      <c r="N409" s="337"/>
      <c r="O409" s="337"/>
    </row>
    <row r="410" spans="1:25" ht="18" customHeight="1" x14ac:dyDescent="0.2">
      <c r="A410" s="337"/>
      <c r="B410" s="337"/>
      <c r="C410" s="345"/>
      <c r="D410" s="337"/>
      <c r="E410" s="337"/>
      <c r="F410" s="337"/>
      <c r="G410" s="337"/>
      <c r="H410" s="337"/>
      <c r="I410" s="337"/>
      <c r="J410" s="337"/>
      <c r="K410" s="337"/>
      <c r="L410" s="337"/>
      <c r="M410" s="337"/>
      <c r="N410" s="337"/>
      <c r="O410" s="337"/>
    </row>
    <row r="411" spans="1:25" ht="18" customHeight="1" x14ac:dyDescent="0.2">
      <c r="A411" s="337"/>
      <c r="B411" s="337"/>
      <c r="C411" s="583" t="s">
        <v>301</v>
      </c>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row>
    <row r="412" spans="1:25" ht="18" customHeight="1" x14ac:dyDescent="0.2">
      <c r="A412" s="337"/>
      <c r="B412" s="337"/>
      <c r="C412" s="592"/>
      <c r="D412" s="592"/>
      <c r="E412" s="592"/>
      <c r="F412" s="592"/>
      <c r="G412" s="592"/>
      <c r="H412" s="592"/>
      <c r="I412" s="592"/>
      <c r="J412" s="592"/>
      <c r="K412" s="592"/>
      <c r="L412" s="592"/>
      <c r="M412" s="592"/>
      <c r="N412" s="592"/>
      <c r="O412" s="592"/>
      <c r="P412" s="592"/>
      <c r="Q412" s="592"/>
      <c r="R412" s="592"/>
      <c r="S412" s="592"/>
      <c r="T412" s="592"/>
      <c r="U412" s="592"/>
      <c r="V412" s="592"/>
      <c r="W412" s="592"/>
      <c r="X412" s="592"/>
      <c r="Y412" s="592"/>
    </row>
    <row r="413" spans="1:25" ht="18" customHeight="1" x14ac:dyDescent="0.2">
      <c r="A413" s="337"/>
      <c r="B413" s="337"/>
      <c r="C413" s="354" t="s">
        <v>234</v>
      </c>
      <c r="D413" s="354"/>
      <c r="E413" s="337"/>
      <c r="H413" s="368"/>
      <c r="I413" s="353" t="s">
        <v>28</v>
      </c>
      <c r="J413" s="588"/>
      <c r="K413" s="588"/>
      <c r="P413" s="339"/>
      <c r="Q413" s="368"/>
      <c r="R413" s="368"/>
      <c r="S413" s="369" t="s">
        <v>29</v>
      </c>
      <c r="T413" s="588"/>
      <c r="U413" s="588"/>
      <c r="V413" s="588"/>
      <c r="W413" s="588"/>
    </row>
    <row r="414" spans="1:25" ht="18" customHeight="1" x14ac:dyDescent="0.2">
      <c r="A414" s="337"/>
      <c r="B414" s="337"/>
      <c r="C414" s="345"/>
      <c r="D414" s="337"/>
      <c r="E414" s="337"/>
      <c r="F414" s="337"/>
      <c r="G414" s="337"/>
      <c r="H414" s="337"/>
      <c r="I414" s="337"/>
      <c r="J414" s="337"/>
      <c r="K414" s="337"/>
      <c r="L414" s="337"/>
      <c r="M414" s="337"/>
      <c r="N414" s="337"/>
      <c r="O414" s="337"/>
    </row>
    <row r="415" spans="1:25" ht="18" customHeight="1" x14ac:dyDescent="0.2">
      <c r="A415" s="337"/>
      <c r="B415" s="337"/>
      <c r="C415" s="345"/>
      <c r="D415" s="337"/>
      <c r="E415" s="337"/>
      <c r="F415" s="337"/>
      <c r="G415" s="337"/>
      <c r="H415" s="337"/>
      <c r="I415" s="337"/>
      <c r="J415" s="337"/>
      <c r="K415" s="337"/>
      <c r="L415" s="337"/>
      <c r="M415" s="337"/>
      <c r="N415" s="337"/>
      <c r="O415" s="337"/>
    </row>
    <row r="416" spans="1:25" ht="18" customHeight="1" x14ac:dyDescent="0.2">
      <c r="A416" s="337"/>
      <c r="B416" s="337"/>
      <c r="C416" s="583" t="s">
        <v>302</v>
      </c>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row>
    <row r="417" spans="1:25" ht="18" customHeight="1" x14ac:dyDescent="0.2">
      <c r="A417" s="337"/>
      <c r="B417" s="337"/>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row>
    <row r="418" spans="1:25" ht="18" customHeight="1" x14ac:dyDescent="0.2">
      <c r="A418" s="337"/>
      <c r="B418" s="337"/>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row>
    <row r="419" spans="1:25" ht="18" customHeight="1" x14ac:dyDescent="0.2">
      <c r="A419" s="337"/>
      <c r="B419" s="337"/>
      <c r="C419" s="669"/>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1"/>
    </row>
    <row r="420" spans="1:25" ht="18" customHeight="1" x14ac:dyDescent="0.2">
      <c r="A420" s="337"/>
      <c r="B420" s="337"/>
      <c r="C420" s="672"/>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4"/>
    </row>
    <row r="421" spans="1:25" ht="18" customHeight="1" x14ac:dyDescent="0.2">
      <c r="A421" s="337"/>
      <c r="B421" s="337"/>
      <c r="C421" s="337"/>
      <c r="D421" s="337"/>
      <c r="E421" s="337"/>
      <c r="F421" s="337"/>
      <c r="G421" s="337"/>
      <c r="H421" s="337"/>
      <c r="I421" s="337"/>
      <c r="J421" s="337"/>
      <c r="K421" s="337"/>
      <c r="L421" s="337"/>
      <c r="M421" s="337"/>
      <c r="N421" s="337"/>
      <c r="O421" s="337"/>
    </row>
    <row r="422" spans="1:25" ht="18" customHeight="1" x14ac:dyDescent="0.2">
      <c r="A422" s="337"/>
      <c r="B422" s="337"/>
      <c r="C422" s="337"/>
      <c r="D422" s="337"/>
      <c r="E422" s="337"/>
      <c r="F422" s="337"/>
      <c r="G422" s="337"/>
      <c r="H422" s="337"/>
      <c r="I422" s="337"/>
      <c r="J422" s="337"/>
      <c r="K422" s="337"/>
      <c r="L422" s="337"/>
      <c r="M422" s="337"/>
      <c r="N422" s="337"/>
      <c r="O422" s="337"/>
    </row>
    <row r="423" spans="1:25" ht="18" customHeight="1" x14ac:dyDescent="0.2">
      <c r="A423" s="337"/>
      <c r="B423" s="337"/>
      <c r="C423" s="581" t="s">
        <v>303</v>
      </c>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row>
    <row r="424" spans="1:25" ht="18" customHeight="1" x14ac:dyDescent="0.2">
      <c r="A424" s="337"/>
      <c r="B424" s="337"/>
      <c r="C424" s="337"/>
      <c r="D424" s="337"/>
      <c r="E424" s="337"/>
      <c r="F424" s="337"/>
      <c r="G424" s="337"/>
      <c r="H424" s="337"/>
      <c r="I424" s="337"/>
      <c r="J424" s="337"/>
      <c r="K424" s="337"/>
      <c r="L424" s="386"/>
      <c r="M424" s="386"/>
      <c r="N424" s="386"/>
      <c r="O424" s="380"/>
      <c r="S424" s="353" t="s">
        <v>257</v>
      </c>
      <c r="T424" s="578"/>
      <c r="U424" s="578"/>
      <c r="V424" s="578"/>
      <c r="W424" s="578"/>
      <c r="X424" s="591" t="s">
        <v>112</v>
      </c>
      <c r="Y424" s="591"/>
    </row>
    <row r="425" spans="1:25" ht="18" customHeight="1" x14ac:dyDescent="0.2">
      <c r="A425" s="337"/>
      <c r="B425" s="337"/>
      <c r="C425" s="345"/>
      <c r="D425" s="337"/>
      <c r="E425" s="337"/>
      <c r="F425" s="337"/>
      <c r="G425" s="337"/>
      <c r="H425" s="337"/>
      <c r="I425" s="337"/>
      <c r="J425" s="337"/>
      <c r="K425" s="337"/>
      <c r="L425" s="337"/>
      <c r="M425" s="337"/>
      <c r="N425" s="337"/>
      <c r="O425" s="337"/>
    </row>
    <row r="426" spans="1:25" ht="18" customHeight="1" x14ac:dyDescent="0.2">
      <c r="A426" s="337"/>
      <c r="B426" s="337"/>
      <c r="C426" s="345"/>
      <c r="D426" s="337"/>
      <c r="E426" s="337"/>
      <c r="F426" s="337"/>
      <c r="G426" s="337"/>
      <c r="H426" s="337"/>
      <c r="I426" s="337"/>
      <c r="J426" s="337"/>
      <c r="K426" s="337"/>
      <c r="L426" s="337"/>
      <c r="M426" s="337"/>
      <c r="N426" s="337"/>
      <c r="O426" s="337"/>
    </row>
    <row r="427" spans="1:25" ht="23.1" customHeight="1" x14ac:dyDescent="0.2">
      <c r="A427" s="337"/>
      <c r="B427" s="337"/>
      <c r="C427" s="583" t="s">
        <v>304</v>
      </c>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row>
    <row r="428" spans="1:25" ht="23.1" customHeight="1" x14ac:dyDescent="0.2">
      <c r="A428" s="337"/>
      <c r="B428" s="337"/>
      <c r="C428" s="592"/>
      <c r="D428" s="592"/>
      <c r="E428" s="592"/>
      <c r="F428" s="592"/>
      <c r="G428" s="592"/>
      <c r="H428" s="592"/>
      <c r="I428" s="592"/>
      <c r="J428" s="592"/>
      <c r="K428" s="592"/>
      <c r="L428" s="592"/>
      <c r="M428" s="592"/>
      <c r="N428" s="592"/>
      <c r="O428" s="592"/>
      <c r="P428" s="592"/>
      <c r="Q428" s="592"/>
      <c r="R428" s="592"/>
      <c r="S428" s="592"/>
      <c r="T428" s="592"/>
      <c r="U428" s="592"/>
      <c r="V428" s="592"/>
      <c r="W428" s="592"/>
      <c r="X428" s="592"/>
      <c r="Y428" s="592"/>
    </row>
    <row r="429" spans="1:25" ht="18" customHeight="1" x14ac:dyDescent="0.2">
      <c r="A429" s="337"/>
      <c r="B429" s="337"/>
      <c r="C429" s="354" t="s">
        <v>234</v>
      </c>
      <c r="D429" s="354"/>
      <c r="E429" s="337"/>
      <c r="H429" s="368"/>
      <c r="I429" s="353" t="s">
        <v>28</v>
      </c>
      <c r="J429" s="588"/>
      <c r="K429" s="588"/>
      <c r="P429" s="339"/>
      <c r="Q429" s="368"/>
      <c r="R429" s="368"/>
      <c r="S429" s="369" t="s">
        <v>29</v>
      </c>
      <c r="T429" s="588"/>
      <c r="U429" s="588"/>
      <c r="V429" s="588"/>
      <c r="W429" s="588"/>
    </row>
    <row r="430" spans="1:25" ht="18" customHeight="1" x14ac:dyDescent="0.2">
      <c r="A430" s="337"/>
      <c r="B430" s="337"/>
      <c r="C430" s="345"/>
      <c r="D430" s="337"/>
      <c r="E430" s="337"/>
      <c r="F430" s="337"/>
      <c r="G430" s="337"/>
      <c r="H430" s="337"/>
      <c r="I430" s="337"/>
      <c r="J430" s="337"/>
      <c r="K430" s="337"/>
      <c r="L430" s="337"/>
      <c r="M430" s="337"/>
      <c r="N430" s="337"/>
      <c r="O430" s="337"/>
    </row>
    <row r="431" spans="1:25" ht="18" customHeight="1" x14ac:dyDescent="0.2">
      <c r="A431" s="337"/>
      <c r="B431" s="337"/>
      <c r="C431" s="345"/>
      <c r="D431" s="337"/>
      <c r="E431" s="337"/>
      <c r="F431" s="337"/>
      <c r="G431" s="337"/>
      <c r="H431" s="337"/>
      <c r="I431" s="337"/>
      <c r="J431" s="337"/>
      <c r="K431" s="337"/>
      <c r="L431" s="337"/>
      <c r="M431" s="337"/>
      <c r="N431" s="337"/>
      <c r="O431" s="337"/>
    </row>
    <row r="432" spans="1:25" ht="18" customHeight="1" x14ac:dyDescent="0.2">
      <c r="A432" s="337"/>
      <c r="B432" s="337"/>
      <c r="C432" s="583" t="s">
        <v>305</v>
      </c>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row>
    <row r="433" spans="1:25" ht="18" customHeight="1" x14ac:dyDescent="0.2">
      <c r="A433" s="337"/>
      <c r="B433" s="337"/>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row>
    <row r="434" spans="1:25" ht="18" customHeight="1" x14ac:dyDescent="0.2">
      <c r="A434" s="337"/>
      <c r="B434" s="337"/>
      <c r="C434" s="592"/>
      <c r="D434" s="592"/>
      <c r="E434" s="592"/>
      <c r="F434" s="592"/>
      <c r="G434" s="592"/>
      <c r="H434" s="592"/>
      <c r="I434" s="592"/>
      <c r="J434" s="592"/>
      <c r="K434" s="592"/>
      <c r="L434" s="592"/>
      <c r="M434" s="592"/>
      <c r="N434" s="592"/>
      <c r="O434" s="592"/>
      <c r="P434" s="592"/>
      <c r="Q434" s="592"/>
      <c r="R434" s="592"/>
      <c r="S434" s="592"/>
      <c r="T434" s="592"/>
      <c r="U434" s="592"/>
      <c r="V434" s="592"/>
      <c r="W434" s="592"/>
      <c r="X434" s="592"/>
      <c r="Y434" s="592"/>
    </row>
    <row r="435" spans="1:25" ht="18" customHeight="1" x14ac:dyDescent="0.2">
      <c r="A435" s="337"/>
      <c r="B435" s="337"/>
      <c r="C435" s="669"/>
      <c r="D435" s="670"/>
      <c r="E435" s="670"/>
      <c r="F435" s="670"/>
      <c r="G435" s="670"/>
      <c r="H435" s="670"/>
      <c r="I435" s="670"/>
      <c r="J435" s="670"/>
      <c r="K435" s="670"/>
      <c r="L435" s="670"/>
      <c r="M435" s="670"/>
      <c r="N435" s="670"/>
      <c r="O435" s="670"/>
      <c r="P435" s="670"/>
      <c r="Q435" s="670"/>
      <c r="R435" s="670"/>
      <c r="S435" s="670"/>
      <c r="T435" s="670"/>
      <c r="U435" s="670"/>
      <c r="V435" s="670"/>
      <c r="W435" s="670"/>
      <c r="X435" s="670"/>
      <c r="Y435" s="671"/>
    </row>
    <row r="436" spans="1:25" ht="18" customHeight="1" x14ac:dyDescent="0.2">
      <c r="A436" s="337"/>
      <c r="B436" s="337"/>
      <c r="C436" s="672"/>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4"/>
    </row>
    <row r="437" spans="1:25" ht="18" customHeight="1" x14ac:dyDescent="0.2">
      <c r="A437" s="337"/>
      <c r="B437" s="337"/>
      <c r="C437" s="337"/>
      <c r="D437" s="337"/>
      <c r="E437" s="337"/>
      <c r="F437" s="337"/>
      <c r="G437" s="337"/>
      <c r="H437" s="337"/>
      <c r="I437" s="337"/>
      <c r="J437" s="337"/>
      <c r="K437" s="337"/>
      <c r="L437" s="337"/>
      <c r="M437" s="337"/>
      <c r="N437" s="337"/>
      <c r="O437" s="337"/>
    </row>
    <row r="438" spans="1:25" ht="18" customHeight="1" x14ac:dyDescent="0.2">
      <c r="A438" s="337"/>
      <c r="B438" s="337"/>
      <c r="C438" s="337"/>
      <c r="D438" s="337"/>
      <c r="E438" s="337"/>
      <c r="F438" s="337"/>
      <c r="G438" s="337"/>
      <c r="H438" s="337"/>
      <c r="I438" s="337"/>
      <c r="J438" s="337"/>
      <c r="K438" s="337"/>
      <c r="L438" s="337"/>
      <c r="M438" s="337"/>
      <c r="N438" s="337"/>
      <c r="O438" s="337"/>
    </row>
    <row r="439" spans="1:25" ht="18" customHeight="1" x14ac:dyDescent="0.2">
      <c r="A439" s="337"/>
      <c r="B439" s="337"/>
      <c r="C439" s="581" t="s">
        <v>306</v>
      </c>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row>
    <row r="440" spans="1:25" ht="18" customHeight="1" x14ac:dyDescent="0.2">
      <c r="A440" s="337"/>
      <c r="B440" s="337"/>
      <c r="C440" s="354" t="s">
        <v>234</v>
      </c>
      <c r="D440" s="354"/>
      <c r="E440" s="337"/>
      <c r="H440" s="368"/>
      <c r="I440" s="353" t="s">
        <v>28</v>
      </c>
      <c r="J440" s="588"/>
      <c r="K440" s="588"/>
      <c r="P440" s="339"/>
      <c r="Q440" s="368"/>
      <c r="R440" s="368"/>
      <c r="S440" s="369" t="s">
        <v>29</v>
      </c>
      <c r="T440" s="588"/>
      <c r="U440" s="588"/>
      <c r="V440" s="588"/>
      <c r="W440" s="588"/>
    </row>
    <row r="441" spans="1:25" ht="18" customHeight="1" x14ac:dyDescent="0.2">
      <c r="A441" s="337"/>
      <c r="B441" s="337"/>
      <c r="C441" s="345"/>
      <c r="D441" s="337"/>
      <c r="E441" s="337"/>
      <c r="F441" s="337"/>
      <c r="G441" s="337"/>
      <c r="H441" s="337"/>
      <c r="I441" s="337"/>
      <c r="J441" s="337"/>
      <c r="K441" s="337"/>
      <c r="L441" s="337"/>
      <c r="M441" s="337"/>
      <c r="N441" s="337"/>
      <c r="O441" s="337"/>
    </row>
    <row r="442" spans="1:25" ht="18" customHeight="1" x14ac:dyDescent="0.2">
      <c r="A442" s="337"/>
      <c r="B442" s="337"/>
      <c r="C442" s="345"/>
      <c r="D442" s="337"/>
      <c r="E442" s="337"/>
      <c r="F442" s="337"/>
      <c r="G442" s="337"/>
      <c r="H442" s="337"/>
      <c r="I442" s="337"/>
      <c r="J442" s="337"/>
      <c r="K442" s="337"/>
      <c r="L442" s="337"/>
      <c r="M442" s="337"/>
      <c r="N442" s="337"/>
      <c r="O442" s="337"/>
    </row>
    <row r="443" spans="1:25" ht="18" customHeight="1" x14ac:dyDescent="0.2">
      <c r="A443" s="337"/>
      <c r="B443" s="337"/>
      <c r="C443" s="592" t="s">
        <v>307</v>
      </c>
      <c r="D443" s="592"/>
      <c r="E443" s="592"/>
      <c r="F443" s="592"/>
      <c r="G443" s="592"/>
      <c r="H443" s="592"/>
      <c r="I443" s="592"/>
      <c r="J443" s="592"/>
      <c r="K443" s="592"/>
      <c r="L443" s="592"/>
      <c r="M443" s="592"/>
      <c r="N443" s="592"/>
      <c r="O443" s="592"/>
      <c r="P443" s="592"/>
      <c r="Q443" s="592"/>
      <c r="R443" s="592"/>
      <c r="S443" s="592"/>
      <c r="T443" s="592"/>
      <c r="U443" s="592"/>
      <c r="V443" s="592"/>
      <c r="W443" s="592"/>
      <c r="X443" s="592"/>
      <c r="Y443" s="592"/>
    </row>
    <row r="444" spans="1:25" ht="18" customHeight="1" x14ac:dyDescent="0.2">
      <c r="A444" s="337"/>
      <c r="B444" s="337"/>
      <c r="C444" s="354" t="s">
        <v>234</v>
      </c>
      <c r="D444" s="354"/>
      <c r="E444" s="337"/>
      <c r="H444" s="368"/>
      <c r="I444" s="353" t="s">
        <v>28</v>
      </c>
      <c r="J444" s="771"/>
      <c r="K444" s="771"/>
      <c r="P444" s="339"/>
      <c r="Q444" s="368"/>
      <c r="R444" s="368"/>
      <c r="S444" s="369" t="s">
        <v>29</v>
      </c>
      <c r="T444" s="771"/>
      <c r="U444" s="771"/>
      <c r="V444" s="771"/>
      <c r="W444" s="771"/>
    </row>
    <row r="445" spans="1:25" ht="18" customHeight="1" x14ac:dyDescent="0.2">
      <c r="A445" s="337"/>
      <c r="B445" s="337"/>
      <c r="C445" s="345"/>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row>
    <row r="446" spans="1:25" ht="18" customHeight="1" x14ac:dyDescent="0.2">
      <c r="A446" s="337"/>
      <c r="B446" s="337"/>
      <c r="C446" s="345"/>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row>
    <row r="447" spans="1:25" ht="18" customHeight="1" x14ac:dyDescent="0.2">
      <c r="A447" s="337"/>
      <c r="B447" s="337"/>
      <c r="C447" s="583" t="s">
        <v>308</v>
      </c>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row>
    <row r="448" spans="1:25" ht="18" customHeight="1" x14ac:dyDescent="0.2">
      <c r="A448" s="337"/>
      <c r="B448" s="337"/>
      <c r="C448" s="592"/>
      <c r="D448" s="592"/>
      <c r="E448" s="592"/>
      <c r="F448" s="592"/>
      <c r="G448" s="592"/>
      <c r="H448" s="592"/>
      <c r="I448" s="592"/>
      <c r="J448" s="592"/>
      <c r="K448" s="592"/>
      <c r="L448" s="592"/>
      <c r="M448" s="592"/>
      <c r="N448" s="592"/>
      <c r="O448" s="592"/>
      <c r="P448" s="592"/>
      <c r="Q448" s="592"/>
      <c r="R448" s="592"/>
      <c r="S448" s="592"/>
      <c r="T448" s="592"/>
      <c r="U448" s="592"/>
      <c r="V448" s="592"/>
      <c r="W448" s="592"/>
      <c r="X448" s="592"/>
      <c r="Y448" s="592"/>
    </row>
    <row r="449" spans="1:27" ht="18" customHeight="1" x14ac:dyDescent="0.2">
      <c r="A449" s="337"/>
      <c r="B449" s="337"/>
      <c r="C449" s="354" t="s">
        <v>234</v>
      </c>
      <c r="D449" s="354"/>
      <c r="E449" s="337"/>
      <c r="H449" s="368"/>
      <c r="I449" s="353" t="s">
        <v>28</v>
      </c>
      <c r="J449" s="588"/>
      <c r="K449" s="588"/>
      <c r="P449" s="339"/>
      <c r="Q449" s="368"/>
      <c r="R449" s="368"/>
      <c r="S449" s="369" t="s">
        <v>29</v>
      </c>
      <c r="T449" s="588"/>
      <c r="U449" s="588"/>
      <c r="V449" s="588"/>
      <c r="W449" s="588"/>
    </row>
    <row r="450" spans="1:27" ht="18" customHeight="1" x14ac:dyDescent="0.2">
      <c r="A450" s="337"/>
      <c r="B450" s="337"/>
      <c r="C450" s="345"/>
      <c r="D450" s="337"/>
      <c r="E450" s="337"/>
      <c r="F450" s="337"/>
      <c r="G450" s="337"/>
      <c r="H450" s="337"/>
      <c r="I450" s="337"/>
      <c r="J450" s="337"/>
      <c r="K450" s="337"/>
      <c r="L450" s="337"/>
      <c r="M450" s="337"/>
      <c r="N450" s="337"/>
      <c r="O450" s="337"/>
    </row>
    <row r="451" spans="1:27" ht="18" customHeight="1" x14ac:dyDescent="0.2">
      <c r="A451" s="337"/>
      <c r="B451" s="337"/>
      <c r="C451" s="345"/>
      <c r="D451" s="337"/>
      <c r="E451" s="337"/>
      <c r="F451" s="337"/>
      <c r="G451" s="337"/>
      <c r="H451" s="337"/>
      <c r="I451" s="337"/>
      <c r="J451" s="337"/>
      <c r="K451" s="337"/>
      <c r="L451" s="337"/>
      <c r="M451" s="337"/>
      <c r="N451" s="337"/>
      <c r="O451" s="337"/>
    </row>
    <row r="452" spans="1:27" ht="33.75" customHeight="1" x14ac:dyDescent="0.2">
      <c r="A452" s="337"/>
      <c r="B452" s="337"/>
      <c r="C452" s="341" t="s">
        <v>400</v>
      </c>
      <c r="D452" s="695" t="s">
        <v>405</v>
      </c>
      <c r="E452" s="696"/>
      <c r="F452" s="696"/>
      <c r="G452" s="696"/>
      <c r="H452" s="696"/>
      <c r="I452" s="696"/>
      <c r="J452" s="696"/>
      <c r="K452" s="696"/>
      <c r="L452" s="696"/>
      <c r="M452" s="696"/>
      <c r="N452" s="696"/>
      <c r="O452" s="696"/>
      <c r="P452" s="696"/>
      <c r="Q452" s="696"/>
      <c r="R452" s="696"/>
      <c r="S452" s="696"/>
      <c r="T452" s="696"/>
      <c r="U452" s="696"/>
      <c r="V452" s="696"/>
      <c r="W452" s="696"/>
      <c r="X452" s="696"/>
      <c r="Y452" s="697"/>
    </row>
    <row r="453" spans="1:27" ht="18" customHeight="1" x14ac:dyDescent="0.2">
      <c r="A453" s="337"/>
      <c r="B453" s="337"/>
      <c r="C453" s="583" t="s">
        <v>309</v>
      </c>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row>
    <row r="454" spans="1:27" s="367" customFormat="1" ht="18" customHeight="1" x14ac:dyDescent="0.2">
      <c r="A454" s="368"/>
      <c r="B454" s="368"/>
      <c r="C454" s="592"/>
      <c r="D454" s="592"/>
      <c r="E454" s="592"/>
      <c r="F454" s="592"/>
      <c r="G454" s="592"/>
      <c r="H454" s="592"/>
      <c r="I454" s="592"/>
      <c r="J454" s="592"/>
      <c r="K454" s="592"/>
      <c r="L454" s="592"/>
      <c r="M454" s="592"/>
      <c r="N454" s="592"/>
      <c r="O454" s="592"/>
      <c r="P454" s="592"/>
      <c r="Q454" s="592"/>
      <c r="R454" s="592"/>
      <c r="S454" s="592"/>
      <c r="T454" s="592"/>
      <c r="U454" s="592"/>
      <c r="V454" s="592"/>
      <c r="W454" s="592"/>
      <c r="X454" s="592"/>
      <c r="Y454" s="592"/>
    </row>
    <row r="455" spans="1:27" s="367" customFormat="1" ht="18" customHeight="1" x14ac:dyDescent="0.2">
      <c r="A455" s="368"/>
      <c r="B455" s="781" t="s">
        <v>1522</v>
      </c>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c r="AA455" s="781"/>
    </row>
    <row r="456" spans="1:27" ht="18" customHeight="1" x14ac:dyDescent="0.2">
      <c r="A456" s="337"/>
      <c r="B456" s="337"/>
      <c r="C456" s="354" t="s">
        <v>234</v>
      </c>
      <c r="D456" s="354"/>
      <c r="E456" s="337"/>
      <c r="I456" s="362" t="s">
        <v>8</v>
      </c>
      <c r="J456" s="588"/>
      <c r="K456" s="588"/>
      <c r="N456" s="346"/>
      <c r="P456" s="339"/>
      <c r="S456" s="362" t="s">
        <v>9</v>
      </c>
      <c r="T456" s="588"/>
      <c r="U456" s="588"/>
      <c r="V456" s="588"/>
      <c r="W456" s="588"/>
    </row>
    <row r="457" spans="1:27" ht="18" customHeight="1" x14ac:dyDescent="0.2">
      <c r="A457" s="337"/>
      <c r="B457" s="337"/>
      <c r="C457" s="354"/>
      <c r="D457" s="354"/>
      <c r="E457" s="337"/>
      <c r="F457" s="337"/>
      <c r="G457" s="337"/>
      <c r="H457" s="337"/>
      <c r="I457" s="362" t="s">
        <v>10</v>
      </c>
      <c r="J457" s="588"/>
      <c r="K457" s="588"/>
      <c r="P457" s="339"/>
      <c r="S457" s="362" t="s">
        <v>11</v>
      </c>
      <c r="T457" s="588"/>
      <c r="U457" s="588"/>
      <c r="V457" s="588"/>
      <c r="W457" s="588"/>
    </row>
    <row r="458" spans="1:27" s="347" customFormat="1" ht="18" customHeight="1" x14ac:dyDescent="0.2">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row>
    <row r="459" spans="1:27" s="347" customFormat="1" ht="18" customHeight="1" x14ac:dyDescent="0.2">
      <c r="A459" s="346"/>
      <c r="B459" s="346"/>
      <c r="C459" s="583" t="s">
        <v>310</v>
      </c>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row>
    <row r="460" spans="1:27" s="347" customFormat="1" ht="18" customHeight="1" x14ac:dyDescent="0.2">
      <c r="A460" s="346"/>
      <c r="B460" s="346"/>
      <c r="C460" s="583"/>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row>
    <row r="461" spans="1:27" ht="18" customHeight="1" x14ac:dyDescent="0.2">
      <c r="A461" s="337"/>
      <c r="B461" s="705" t="s">
        <v>1525</v>
      </c>
      <c r="C461" s="705"/>
      <c r="D461" s="705"/>
      <c r="E461" s="705"/>
      <c r="F461" s="705"/>
      <c r="G461" s="705"/>
      <c r="H461" s="705"/>
      <c r="I461" s="705"/>
      <c r="J461" s="705"/>
      <c r="K461" s="705"/>
      <c r="L461" s="705"/>
      <c r="M461" s="705"/>
      <c r="N461" s="705"/>
      <c r="O461" s="705"/>
      <c r="P461" s="705"/>
      <c r="Q461" s="705"/>
      <c r="R461" s="705"/>
      <c r="S461" s="705"/>
      <c r="T461" s="705"/>
      <c r="U461" s="705"/>
      <c r="V461" s="705"/>
      <c r="W461" s="705"/>
      <c r="X461" s="705"/>
      <c r="Y461" s="705"/>
      <c r="Z461" s="705"/>
      <c r="AA461" s="705"/>
    </row>
    <row r="462" spans="1:27" ht="39.75" customHeight="1" x14ac:dyDescent="0.2">
      <c r="A462" s="337"/>
      <c r="B462" s="337"/>
      <c r="C462" s="640" t="s">
        <v>85</v>
      </c>
      <c r="D462" s="640"/>
      <c r="E462" s="640"/>
      <c r="F462" s="772" t="s">
        <v>86</v>
      </c>
      <c r="G462" s="773"/>
      <c r="H462" s="773"/>
      <c r="I462" s="773"/>
      <c r="J462" s="773"/>
      <c r="K462" s="773"/>
      <c r="L462" s="773"/>
      <c r="M462" s="773"/>
      <c r="N462" s="773"/>
      <c r="O462" s="773"/>
      <c r="P462" s="773"/>
      <c r="Q462" s="773"/>
      <c r="R462" s="773"/>
      <c r="S462" s="774"/>
      <c r="T462" s="772" t="s">
        <v>12</v>
      </c>
      <c r="U462" s="773"/>
      <c r="V462" s="773"/>
      <c r="W462" s="773"/>
      <c r="X462" s="773"/>
      <c r="Y462" s="774"/>
      <c r="Z462" s="419"/>
      <c r="AA462" s="419"/>
    </row>
    <row r="463" spans="1:27" ht="23.1" customHeight="1" x14ac:dyDescent="0.2">
      <c r="A463" s="337"/>
      <c r="B463" s="337"/>
      <c r="C463" s="775" t="s">
        <v>37</v>
      </c>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7"/>
      <c r="Z463" s="419"/>
      <c r="AA463" s="419"/>
    </row>
    <row r="464" spans="1:27" ht="26.25" customHeight="1" x14ac:dyDescent="0.2">
      <c r="A464" s="337"/>
      <c r="B464" s="337"/>
      <c r="C464" s="770" t="s">
        <v>113</v>
      </c>
      <c r="D464" s="770"/>
      <c r="E464" s="770"/>
      <c r="F464" s="778" t="s">
        <v>114</v>
      </c>
      <c r="G464" s="779"/>
      <c r="H464" s="779"/>
      <c r="I464" s="779"/>
      <c r="J464" s="779"/>
      <c r="K464" s="779"/>
      <c r="L464" s="779"/>
      <c r="M464" s="779"/>
      <c r="N464" s="779"/>
      <c r="O464" s="779"/>
      <c r="P464" s="779"/>
      <c r="Q464" s="779"/>
      <c r="R464" s="779"/>
      <c r="S464" s="780"/>
      <c r="T464" s="770">
        <v>35</v>
      </c>
      <c r="U464" s="770"/>
      <c r="V464" s="770"/>
      <c r="W464" s="770"/>
      <c r="X464" s="770" t="s">
        <v>5</v>
      </c>
      <c r="Y464" s="770"/>
      <c r="Z464" s="419"/>
      <c r="AA464" s="419"/>
    </row>
    <row r="465" spans="1:28" ht="26.25" customHeight="1" x14ac:dyDescent="0.2">
      <c r="A465" s="337"/>
      <c r="B465" s="337"/>
      <c r="C465" s="638"/>
      <c r="D465" s="638"/>
      <c r="E465" s="638"/>
      <c r="F465" s="665"/>
      <c r="G465" s="666"/>
      <c r="H465" s="666"/>
      <c r="I465" s="666"/>
      <c r="J465" s="666"/>
      <c r="K465" s="666"/>
      <c r="L465" s="666"/>
      <c r="M465" s="666"/>
      <c r="N465" s="666"/>
      <c r="O465" s="666"/>
      <c r="P465" s="666"/>
      <c r="Q465" s="666"/>
      <c r="R465" s="666"/>
      <c r="S465" s="667"/>
      <c r="T465" s="590"/>
      <c r="U465" s="590"/>
      <c r="V465" s="590"/>
      <c r="W465" s="590"/>
      <c r="X465" s="668" t="s">
        <v>5</v>
      </c>
      <c r="Y465" s="668"/>
      <c r="Z465" s="420"/>
      <c r="AA465" s="420"/>
    </row>
    <row r="466" spans="1:28" ht="26.25" customHeight="1" x14ac:dyDescent="0.2">
      <c r="A466" s="337"/>
      <c r="B466" s="337"/>
      <c r="C466" s="638"/>
      <c r="D466" s="638"/>
      <c r="E466" s="638"/>
      <c r="F466" s="665"/>
      <c r="G466" s="666"/>
      <c r="H466" s="666"/>
      <c r="I466" s="666"/>
      <c r="J466" s="666"/>
      <c r="K466" s="666"/>
      <c r="L466" s="666"/>
      <c r="M466" s="666"/>
      <c r="N466" s="666"/>
      <c r="O466" s="666"/>
      <c r="P466" s="666"/>
      <c r="Q466" s="666"/>
      <c r="R466" s="666"/>
      <c r="S466" s="667"/>
      <c r="T466" s="590"/>
      <c r="U466" s="590"/>
      <c r="V466" s="590"/>
      <c r="W466" s="590"/>
      <c r="X466" s="668" t="s">
        <v>5</v>
      </c>
      <c r="Y466" s="668"/>
    </row>
    <row r="467" spans="1:28" ht="26.25" customHeight="1" x14ac:dyDescent="0.2">
      <c r="A467" s="337"/>
      <c r="B467" s="337"/>
      <c r="C467" s="638"/>
      <c r="D467" s="638"/>
      <c r="E467" s="638"/>
      <c r="F467" s="665"/>
      <c r="G467" s="666"/>
      <c r="H467" s="666"/>
      <c r="I467" s="666"/>
      <c r="J467" s="666"/>
      <c r="K467" s="666"/>
      <c r="L467" s="666"/>
      <c r="M467" s="666"/>
      <c r="N467" s="666"/>
      <c r="O467" s="666"/>
      <c r="P467" s="666"/>
      <c r="Q467" s="666"/>
      <c r="R467" s="666"/>
      <c r="S467" s="667"/>
      <c r="T467" s="590"/>
      <c r="U467" s="590"/>
      <c r="V467" s="590"/>
      <c r="W467" s="590"/>
      <c r="X467" s="668" t="s">
        <v>5</v>
      </c>
      <c r="Y467" s="668"/>
    </row>
    <row r="468" spans="1:28" ht="26.25" customHeight="1" x14ac:dyDescent="0.2">
      <c r="A468" s="337"/>
      <c r="B468" s="337"/>
      <c r="C468" s="638"/>
      <c r="D468" s="638"/>
      <c r="E468" s="638"/>
      <c r="F468" s="665"/>
      <c r="G468" s="666"/>
      <c r="H468" s="666"/>
      <c r="I468" s="666"/>
      <c r="J468" s="666"/>
      <c r="K468" s="666"/>
      <c r="L468" s="666"/>
      <c r="M468" s="666"/>
      <c r="N468" s="666"/>
      <c r="O468" s="666"/>
      <c r="P468" s="666"/>
      <c r="Q468" s="666"/>
      <c r="R468" s="666"/>
      <c r="S468" s="667"/>
      <c r="T468" s="590"/>
      <c r="U468" s="590"/>
      <c r="V468" s="590"/>
      <c r="W468" s="590"/>
      <c r="X468" s="668" t="s">
        <v>5</v>
      </c>
      <c r="Y468" s="668"/>
    </row>
    <row r="469" spans="1:28" ht="26.25" customHeight="1" x14ac:dyDescent="0.2">
      <c r="A469" s="337"/>
      <c r="B469" s="337"/>
      <c r="C469" s="638"/>
      <c r="D469" s="638"/>
      <c r="E469" s="638"/>
      <c r="F469" s="665"/>
      <c r="G469" s="666"/>
      <c r="H469" s="666"/>
      <c r="I469" s="666"/>
      <c r="J469" s="666"/>
      <c r="K469" s="666"/>
      <c r="L469" s="666"/>
      <c r="M469" s="666"/>
      <c r="N469" s="666"/>
      <c r="O469" s="666"/>
      <c r="P469" s="666"/>
      <c r="Q469" s="666"/>
      <c r="R469" s="666"/>
      <c r="S469" s="667"/>
      <c r="T469" s="590"/>
      <c r="U469" s="590"/>
      <c r="V469" s="590"/>
      <c r="W469" s="590"/>
      <c r="X469" s="668" t="s">
        <v>5</v>
      </c>
      <c r="Y469" s="668"/>
    </row>
    <row r="470" spans="1:28" ht="26.25" customHeight="1" x14ac:dyDescent="0.2">
      <c r="A470" s="337"/>
      <c r="B470" s="337"/>
      <c r="C470" s="638"/>
      <c r="D470" s="638"/>
      <c r="E470" s="638"/>
      <c r="F470" s="665"/>
      <c r="G470" s="666"/>
      <c r="H470" s="666"/>
      <c r="I470" s="666"/>
      <c r="J470" s="666"/>
      <c r="K470" s="666"/>
      <c r="L470" s="666"/>
      <c r="M470" s="666"/>
      <c r="N470" s="666"/>
      <c r="O470" s="666"/>
      <c r="P470" s="666"/>
      <c r="Q470" s="666"/>
      <c r="R470" s="666"/>
      <c r="S470" s="667"/>
      <c r="T470" s="590"/>
      <c r="U470" s="590"/>
      <c r="V470" s="590"/>
      <c r="W470" s="590"/>
      <c r="X470" s="668" t="s">
        <v>5</v>
      </c>
      <c r="Y470" s="668"/>
    </row>
    <row r="471" spans="1:28" ht="26.25" customHeight="1" x14ac:dyDescent="0.2">
      <c r="A471" s="337"/>
      <c r="B471" s="337"/>
      <c r="C471" s="638"/>
      <c r="D471" s="638"/>
      <c r="E471" s="638"/>
      <c r="F471" s="665"/>
      <c r="G471" s="666"/>
      <c r="H471" s="666"/>
      <c r="I471" s="666"/>
      <c r="J471" s="666"/>
      <c r="K471" s="666"/>
      <c r="L471" s="666"/>
      <c r="M471" s="666"/>
      <c r="N471" s="666"/>
      <c r="O471" s="666"/>
      <c r="P471" s="666"/>
      <c r="Q471" s="666"/>
      <c r="R471" s="666"/>
      <c r="S471" s="667"/>
      <c r="T471" s="590"/>
      <c r="U471" s="590"/>
      <c r="V471" s="590"/>
      <c r="W471" s="590"/>
      <c r="X471" s="668" t="s">
        <v>5</v>
      </c>
      <c r="Y471" s="668"/>
    </row>
    <row r="472" spans="1:28" ht="26.25" customHeight="1" x14ac:dyDescent="0.2">
      <c r="A472" s="337"/>
      <c r="B472" s="337"/>
      <c r="C472" s="638"/>
      <c r="D472" s="638"/>
      <c r="E472" s="638"/>
      <c r="F472" s="665"/>
      <c r="G472" s="666"/>
      <c r="H472" s="666"/>
      <c r="I472" s="666"/>
      <c r="J472" s="666"/>
      <c r="K472" s="666"/>
      <c r="L472" s="666"/>
      <c r="M472" s="666"/>
      <c r="N472" s="666"/>
      <c r="O472" s="666"/>
      <c r="P472" s="666"/>
      <c r="Q472" s="666"/>
      <c r="R472" s="666"/>
      <c r="S472" s="667"/>
      <c r="T472" s="590"/>
      <c r="U472" s="590"/>
      <c r="V472" s="590"/>
      <c r="W472" s="590"/>
      <c r="X472" s="668" t="s">
        <v>5</v>
      </c>
      <c r="Y472" s="668"/>
    </row>
    <row r="473" spans="1:28" ht="26.25" customHeight="1" x14ac:dyDescent="0.2">
      <c r="A473" s="337"/>
      <c r="B473" s="337"/>
      <c r="C473" s="638"/>
      <c r="D473" s="638"/>
      <c r="E473" s="638"/>
      <c r="F473" s="665"/>
      <c r="G473" s="666"/>
      <c r="H473" s="666"/>
      <c r="I473" s="666"/>
      <c r="J473" s="666"/>
      <c r="K473" s="666"/>
      <c r="L473" s="666"/>
      <c r="M473" s="666"/>
      <c r="N473" s="666"/>
      <c r="O473" s="666"/>
      <c r="P473" s="666"/>
      <c r="Q473" s="666"/>
      <c r="R473" s="666"/>
      <c r="S473" s="667"/>
      <c r="T473" s="590"/>
      <c r="U473" s="590"/>
      <c r="V473" s="590"/>
      <c r="W473" s="590"/>
      <c r="X473" s="668" t="s">
        <v>5</v>
      </c>
      <c r="Y473" s="668"/>
    </row>
    <row r="474" spans="1:28" ht="26.25" customHeight="1" x14ac:dyDescent="0.2">
      <c r="A474" s="337"/>
      <c r="B474" s="337"/>
      <c r="C474" s="638"/>
      <c r="D474" s="638"/>
      <c r="E474" s="638"/>
      <c r="F474" s="665"/>
      <c r="G474" s="666"/>
      <c r="H474" s="666"/>
      <c r="I474" s="666"/>
      <c r="J474" s="666"/>
      <c r="K474" s="666"/>
      <c r="L474" s="666"/>
      <c r="M474" s="666"/>
      <c r="N474" s="666"/>
      <c r="O474" s="666"/>
      <c r="P474" s="666"/>
      <c r="Q474" s="666"/>
      <c r="R474" s="666"/>
      <c r="S474" s="667"/>
      <c r="T474" s="590"/>
      <c r="U474" s="590"/>
      <c r="V474" s="590"/>
      <c r="W474" s="590"/>
      <c r="X474" s="668" t="s">
        <v>5</v>
      </c>
      <c r="Y474" s="668"/>
    </row>
    <row r="475" spans="1:28" ht="26.25" customHeight="1" x14ac:dyDescent="0.2">
      <c r="A475" s="337"/>
      <c r="B475" s="337"/>
      <c r="C475" s="638"/>
      <c r="D475" s="638"/>
      <c r="E475" s="638"/>
      <c r="F475" s="665"/>
      <c r="G475" s="666"/>
      <c r="H475" s="666"/>
      <c r="I475" s="666"/>
      <c r="J475" s="666"/>
      <c r="K475" s="666"/>
      <c r="L475" s="666"/>
      <c r="M475" s="666"/>
      <c r="N475" s="666"/>
      <c r="O475" s="666"/>
      <c r="P475" s="666"/>
      <c r="Q475" s="666"/>
      <c r="R475" s="666"/>
      <c r="S475" s="667"/>
      <c r="T475" s="590"/>
      <c r="U475" s="590"/>
      <c r="V475" s="590"/>
      <c r="W475" s="590"/>
      <c r="X475" s="668" t="s">
        <v>5</v>
      </c>
      <c r="Y475" s="668"/>
    </row>
    <row r="476" spans="1:28" ht="26.25" customHeight="1" x14ac:dyDescent="0.2">
      <c r="A476" s="337"/>
      <c r="B476" s="337"/>
      <c r="C476" s="638"/>
      <c r="D476" s="638"/>
      <c r="E476" s="638"/>
      <c r="F476" s="665"/>
      <c r="G476" s="666"/>
      <c r="H476" s="666"/>
      <c r="I476" s="666"/>
      <c r="J476" s="666"/>
      <c r="K476" s="666"/>
      <c r="L476" s="666"/>
      <c r="M476" s="666"/>
      <c r="N476" s="666"/>
      <c r="O476" s="666"/>
      <c r="P476" s="666"/>
      <c r="Q476" s="666"/>
      <c r="R476" s="666"/>
      <c r="S476" s="667"/>
      <c r="T476" s="590"/>
      <c r="U476" s="590"/>
      <c r="V476" s="590"/>
      <c r="W476" s="590"/>
      <c r="X476" s="668" t="s">
        <v>5</v>
      </c>
      <c r="Y476" s="668"/>
    </row>
    <row r="477" spans="1:28" ht="26.25" customHeight="1" x14ac:dyDescent="0.2">
      <c r="A477" s="337"/>
      <c r="B477" s="337"/>
      <c r="C477" s="638"/>
      <c r="D477" s="638"/>
      <c r="E477" s="638"/>
      <c r="F477" s="665"/>
      <c r="G477" s="666"/>
      <c r="H477" s="666"/>
      <c r="I477" s="666"/>
      <c r="J477" s="666"/>
      <c r="K477" s="666"/>
      <c r="L477" s="666"/>
      <c r="M477" s="666"/>
      <c r="N477" s="666"/>
      <c r="O477" s="666"/>
      <c r="P477" s="666"/>
      <c r="Q477" s="666"/>
      <c r="R477" s="666"/>
      <c r="S477" s="667"/>
      <c r="T477" s="590"/>
      <c r="U477" s="590"/>
      <c r="V477" s="590"/>
      <c r="W477" s="590"/>
      <c r="X477" s="668" t="s">
        <v>5</v>
      </c>
      <c r="Y477" s="668"/>
    </row>
    <row r="478" spans="1:28" ht="26.25" customHeight="1" x14ac:dyDescent="0.2">
      <c r="A478" s="337"/>
      <c r="B478" s="337"/>
      <c r="C478" s="638"/>
      <c r="D478" s="638"/>
      <c r="E478" s="638"/>
      <c r="F478" s="665"/>
      <c r="G478" s="666"/>
      <c r="H478" s="666"/>
      <c r="I478" s="666"/>
      <c r="J478" s="666"/>
      <c r="K478" s="666"/>
      <c r="L478" s="666"/>
      <c r="M478" s="666"/>
      <c r="N478" s="666"/>
      <c r="O478" s="666"/>
      <c r="P478" s="666"/>
      <c r="Q478" s="666"/>
      <c r="R478" s="666"/>
      <c r="S478" s="667"/>
      <c r="T478" s="590"/>
      <c r="U478" s="590"/>
      <c r="V478" s="590"/>
      <c r="W478" s="590"/>
      <c r="X478" s="668" t="s">
        <v>5</v>
      </c>
      <c r="Y478" s="668"/>
    </row>
    <row r="479" spans="1:28" ht="26.25" customHeight="1" x14ac:dyDescent="0.2">
      <c r="C479" s="638"/>
      <c r="D479" s="638"/>
      <c r="E479" s="638"/>
      <c r="F479" s="665"/>
      <c r="G479" s="666"/>
      <c r="H479" s="666"/>
      <c r="I479" s="666"/>
      <c r="J479" s="666"/>
      <c r="K479" s="666"/>
      <c r="L479" s="666"/>
      <c r="M479" s="666"/>
      <c r="N479" s="666"/>
      <c r="O479" s="666"/>
      <c r="P479" s="666"/>
      <c r="Q479" s="666"/>
      <c r="R479" s="666"/>
      <c r="S479" s="667"/>
      <c r="T479" s="590"/>
      <c r="U479" s="590"/>
      <c r="V479" s="590"/>
      <c r="W479" s="590"/>
      <c r="X479" s="668" t="s">
        <v>5</v>
      </c>
      <c r="Y479" s="668"/>
      <c r="Z479" s="421"/>
      <c r="AA479" s="421"/>
      <c r="AB479" s="421"/>
    </row>
    <row r="480" spans="1:28" ht="18" customHeight="1" thickBot="1" x14ac:dyDescent="0.25">
      <c r="A480" s="337"/>
      <c r="B480" s="337"/>
      <c r="C480" s="625" t="s">
        <v>258</v>
      </c>
      <c r="D480" s="626"/>
      <c r="E480" s="626"/>
      <c r="F480" s="626"/>
      <c r="G480" s="626"/>
      <c r="H480" s="626"/>
      <c r="I480" s="626"/>
      <c r="J480" s="626"/>
      <c r="K480" s="626"/>
      <c r="L480" s="626"/>
      <c r="M480" s="626"/>
      <c r="N480" s="626"/>
      <c r="O480" s="626"/>
      <c r="P480" s="626"/>
      <c r="Q480" s="626"/>
      <c r="R480" s="626"/>
      <c r="S480" s="627"/>
      <c r="T480" s="662" t="str">
        <f>IF(COUNTA($T$465:$W$479)=0,"",SUM($T$465:$W$479))</f>
        <v/>
      </c>
      <c r="U480" s="662"/>
      <c r="V480" s="662"/>
      <c r="W480" s="662"/>
      <c r="X480" s="663" t="s">
        <v>5</v>
      </c>
      <c r="Y480" s="663"/>
      <c r="Z480" s="422"/>
      <c r="AA480" s="422"/>
      <c r="AB480" s="423"/>
    </row>
    <row r="481" spans="1:27" ht="18" customHeight="1" thickBot="1" x14ac:dyDescent="0.25">
      <c r="A481" s="337"/>
      <c r="B481" s="337"/>
      <c r="C481" s="337"/>
      <c r="D481" s="337"/>
      <c r="E481" s="337"/>
      <c r="F481" s="337"/>
      <c r="I481" s="424"/>
      <c r="J481" s="424"/>
      <c r="K481" s="337"/>
      <c r="L481" s="337"/>
      <c r="M481" s="369"/>
      <c r="N481" s="337"/>
      <c r="O481" s="337"/>
      <c r="P481" s="337"/>
      <c r="Q481" s="337"/>
      <c r="R481" s="337"/>
      <c r="S481" s="337"/>
      <c r="T481" s="528">
        <f t="array" ref="T481">SUM(IF(COUNTIF(C465:E479,C465:E479)&lt;&gt;0,1/COUNTIF(C465:E479,C465:E479),""))</f>
        <v>0</v>
      </c>
      <c r="U481" s="396"/>
      <c r="V481" s="396"/>
      <c r="W481" s="397" t="str">
        <f>IF($T$480="","",IF($T$480&lt;&gt;100,"La somme des proportions du site occupée par les différents types d'habitats EUNIS niveau 3 doit être égale à 100%. ",""))</f>
        <v/>
      </c>
      <c r="X481" s="425"/>
      <c r="Y481" s="425"/>
      <c r="Z481" s="425"/>
      <c r="AA481" s="425"/>
    </row>
    <row r="482" spans="1:27" ht="18" customHeight="1" thickBot="1" x14ac:dyDescent="0.25">
      <c r="A482" s="337"/>
      <c r="B482" s="337"/>
      <c r="C482" s="423"/>
      <c r="D482" s="337"/>
      <c r="E482" s="337"/>
      <c r="F482" s="337"/>
      <c r="G482" s="337"/>
      <c r="H482" s="337"/>
      <c r="I482" s="337"/>
      <c r="J482" s="337"/>
      <c r="K482" s="337"/>
      <c r="L482" s="337"/>
      <c r="M482" s="337"/>
      <c r="N482" s="337"/>
      <c r="O482" s="337"/>
      <c r="P482" s="337"/>
      <c r="Q482" s="337"/>
      <c r="R482" s="337"/>
      <c r="S482" s="337"/>
      <c r="T482" s="426" t="str">
        <f>CONCATENATE(IF(SUM(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IF(AND(LEN(C478)&lt;&gt;4,C478&lt;&gt;""),1,0),IF(AND(LEN(C479)&lt;&gt;4,C479&lt;&gt;""),1,0))&gt;0,"Au moins un code EUNIS niveau 3 est mal renseigné (voir les instructions dans le guide page 106).",""),IF(SUM(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IF(AND(LEFT(RIGHT(C478,2),1)&lt;&gt;".",LEFT(RIGHT(C478,2),1)&lt;&gt;""),1,0),IF(AND(LEFT(RIGHT(C479,2),1)&lt;&gt;".",LEFT(RIGHT(C479,2),1)&lt;&gt;""),1,0))&gt;0,"Au moins un code EUNIS niveau 3 est mal renseigné (voir instructions du guide page 106).",""),IF(SUM(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IF(OR(LEFT(C478,2)="C1",LEFT(C478,2)="C2",LEFT(C478,2)="J5",LEFT(C478,2)="J1",LEFT(C478,2)="J2",LEFT(C478,2)="J4"),1,0),IF(OR(LEFT(C479,2)="C1",LEFT(C479,2)="C2",LEFT(C479,2)="J5",LEFT(C479,2)="J1",LEFT(C479,2)="J2",LEFT(C479,2)="J4"),1,0))&gt;0,"C1, C2, J1, J2, J4 et J5 ne peuvent pas figurer ici (non humide). Avec impact envisagé ou après impact, réduisez l'emprise sur site impacté (question 1) pour les exclure et ne pas les noter ici.",""),IF(COUNTA(C465:E479)-T481&gt;0,"Un code EUNIS apparaît en doublon et ce n'est pas logique.",""),IF(COUNTA(C465:E479)&gt;COUNTIF(T465:W479,"&gt;0"),"La part de chaque habitat indiqué dans la colonne de gauche, doit être renseignée dans la colonne de droite.",""),IF(COUNTIF(T465:W479,"&gt;0")&gt;COUNTA(C465:E479),"Le code de chaque habitat doit être indiqué dans la colonne de gauche.",""))</f>
        <v/>
      </c>
      <c r="U482" s="427"/>
      <c r="V482" s="427"/>
      <c r="W482" s="397" t="str">
        <f>IF(COUNTA($T$465:$W$479)=0,"",CONCATENATE(IF(AND($J$456="X",MIN($T$465:$T$479)*$T$107*100&lt;15625),"La part d'un des habitats est inférieure à la surface minimale cartographiable choisie (15 625 m²).",IF(AND($T$456="X",MIN($T$465:$T$479)*$T$107*100&lt;2500),"La part d'un des habitats est inférieure à la surface minimale cartographiable choisie (2500 m²).",IF(AND($J$457="X",MIN($T$465:$T$479)*$T$107*100&lt;625),"La part d'un des habitats est inférieure à la surface minimale cartographiable choisie (625 m²).",IF(AND($T$457="X",MIN($T$465:$T$479)*$T$107*100&lt;156),"La part d'un des habitats est inférieure à la surface minimale cartographiable choisie (156 m²).","")))),CONCATENATE(IF(SUMIF($C$465:$E$479,"A*",$T$465:$W$479)*$T$107*100&gt;$T$361*$T$356*100,"La superficie de l’habitat A dans le paysage ne peut pas être inférieure à celle de l’habitat A dans le site. ",""),IF(SUMIF($C$465:$E$479,"B*",$T$465:$W$479)*$T$107*100&gt;$T$362*$T$356*100,"La superficie de l’habitat B dans le paysage ne peut pas être inférieure à celle de l’habitat B dans le site. ",""),IF(SUMIF($C$465:$E$479,"C*",$T$465:$W$479)*$T$107*100&gt;$T$363*$T$356*100,"La superficie de l’habitat C dans le paysage ne peut pas être inférieure à celle de l’habitat C dans le site. ",""),IF(SUMIF($C$465:$E$479,"D*",$T$465:$W$479)*$T$107*100&gt;$T$364*$T$356*100,"La superficie de l’habitat D dans le paysage ne peut pas être inférieure à celle de l’habitat D dans le site. ",""),IF(SUMIF($C$465:$E$479,"E*",$T$465:$W$479)*$T$107*100&gt;$T$365*$T$356*100,"La superficie de l’habitat E dans le paysage ne peut pas être inférieure à celle de l’habitat E dans le site. ",""),IF(SUMIF($C$465:$E$479,"F*",$T$465:$W$479)*$T$107*100&gt;$T$366*$T$356*100,"La superficie de l’habitat F dans le paysage ne peut pas être inférieure à celle de l’habitat F dans le site. ",""),IF(SUMIF($C$465:$E$479,"G*",$T$465:$W$479)*$T$107*100&gt;$T$367*$T$356*100,"La superficie de l’habitat G dans le paysage ne peut pas être inférieure à celle de l’habitat G dans le site. ",""),IF(SUMIF($C$465:$E$479,"H*",$T$465:$W$479)*$T$107*100&gt;$T$368*$T$356*100,"La superficie de l’habitat H dans le paysage ne peut pas être inférieure à celle de l’habitat H dans le site. ",""),IF(SUMIF($C$465:$E$479,"I*",$T$465:$W$479)*$T$107*100&gt;$T$369*$T$356*100,"La superficie de l’habitat I dans le paysage ne peut pas être inférieure à celle de l’habitat I dans le site. ",""),IF(SUMIF($C$465:$E$479,"J*",$T$465:$W$479)*$T$107*100&gt;$T$370*$T$356*100,"La superficie de l’habitat J dans le paysage ne peut pas être inférieure à celle de l’habitat J dans le site.",""))))</f>
        <v/>
      </c>
      <c r="X482" s="428"/>
      <c r="Y482" s="428"/>
      <c r="Z482" s="428"/>
      <c r="AA482" s="428"/>
    </row>
    <row r="483" spans="1:27" ht="18" customHeight="1" x14ac:dyDescent="0.2">
      <c r="A483" s="337"/>
      <c r="B483" s="337"/>
      <c r="C483" s="345"/>
      <c r="D483" s="337"/>
      <c r="E483" s="337"/>
      <c r="F483" s="337"/>
      <c r="G483" s="337"/>
      <c r="H483" s="337"/>
      <c r="I483" s="337"/>
      <c r="J483" s="337"/>
      <c r="K483" s="337"/>
      <c r="L483" s="337"/>
      <c r="M483" s="337"/>
      <c r="N483" s="337"/>
      <c r="O483" s="337"/>
      <c r="P483" s="337"/>
      <c r="Q483" s="337"/>
      <c r="R483" s="337"/>
      <c r="S483" s="337"/>
      <c r="T483" s="429"/>
      <c r="U483" s="429"/>
      <c r="V483" s="429"/>
      <c r="W483" s="398"/>
      <c r="X483" s="428"/>
      <c r="Y483" s="428"/>
      <c r="Z483" s="428"/>
      <c r="AA483" s="428"/>
    </row>
    <row r="484" spans="1:27" ht="23.1" customHeight="1" x14ac:dyDescent="0.2">
      <c r="A484" s="337"/>
      <c r="B484" s="337"/>
      <c r="C484" s="583" t="s">
        <v>311</v>
      </c>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row>
    <row r="485" spans="1:27" ht="23.1" customHeight="1" x14ac:dyDescent="0.2">
      <c r="A485" s="337"/>
      <c r="B485" s="337"/>
      <c r="C485" s="592"/>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row>
    <row r="486" spans="1:27" ht="18" customHeight="1" x14ac:dyDescent="0.2">
      <c r="A486" s="337"/>
      <c r="B486" s="337"/>
      <c r="C486" s="669"/>
      <c r="D486" s="670"/>
      <c r="E486" s="670"/>
      <c r="F486" s="670"/>
      <c r="G486" s="670"/>
      <c r="H486" s="670"/>
      <c r="I486" s="670"/>
      <c r="J486" s="670"/>
      <c r="K486" s="670"/>
      <c r="L486" s="670"/>
      <c r="M486" s="670"/>
      <c r="N486" s="670"/>
      <c r="O486" s="670"/>
      <c r="P486" s="670"/>
      <c r="Q486" s="670"/>
      <c r="R486" s="670"/>
      <c r="S486" s="670"/>
      <c r="T486" s="670"/>
      <c r="U486" s="670"/>
      <c r="V486" s="670"/>
      <c r="W486" s="670"/>
      <c r="X486" s="670"/>
      <c r="Y486" s="671"/>
    </row>
    <row r="487" spans="1:27" ht="18" customHeight="1" x14ac:dyDescent="0.2">
      <c r="A487" s="337"/>
      <c r="B487" s="337"/>
      <c r="C487" s="672"/>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4"/>
    </row>
    <row r="488" spans="1:27" s="347" customFormat="1" ht="18" customHeight="1" x14ac:dyDescent="0.2">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row>
    <row r="489" spans="1:27" s="347" customFormat="1" ht="18" customHeight="1" x14ac:dyDescent="0.2">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row>
    <row r="490" spans="1:27" ht="18" customHeight="1" x14ac:dyDescent="0.2">
      <c r="A490" s="337"/>
      <c r="B490" s="337"/>
      <c r="C490" s="581" t="s">
        <v>312</v>
      </c>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row>
    <row r="491" spans="1:27" ht="18" customHeight="1" thickBot="1" x14ac:dyDescent="0.25">
      <c r="A491" s="337"/>
      <c r="B491" s="337"/>
      <c r="C491" s="337"/>
      <c r="D491" s="337"/>
      <c r="E491" s="337"/>
      <c r="F491" s="337"/>
      <c r="G491" s="337"/>
      <c r="H491" s="337"/>
      <c r="I491" s="337"/>
      <c r="J491" s="337"/>
      <c r="K491" s="337"/>
      <c r="L491" s="337"/>
      <c r="M491" s="337"/>
      <c r="N491" s="337"/>
      <c r="O491" s="337"/>
      <c r="S491" s="353" t="s">
        <v>259</v>
      </c>
      <c r="T491" s="769"/>
      <c r="U491" s="769"/>
      <c r="V491" s="769"/>
      <c r="W491" s="769"/>
      <c r="X491" s="591" t="s">
        <v>118</v>
      </c>
      <c r="Y491" s="591"/>
    </row>
    <row r="492" spans="1:27" ht="18" customHeight="1" thickBot="1" x14ac:dyDescent="0.25">
      <c r="A492" s="337"/>
      <c r="B492" s="337"/>
      <c r="C492" s="345"/>
      <c r="D492" s="337"/>
      <c r="E492" s="337"/>
      <c r="F492" s="337"/>
      <c r="G492" s="337"/>
      <c r="H492" s="337"/>
      <c r="I492" s="337"/>
      <c r="J492" s="337"/>
      <c r="K492" s="337"/>
      <c r="L492" s="337"/>
      <c r="M492" s="337"/>
      <c r="N492" s="337"/>
      <c r="O492" s="337"/>
      <c r="T492" s="395"/>
      <c r="U492" s="396"/>
      <c r="V492" s="396"/>
      <c r="W492" s="397" t="str">
        <f>IF($T$491="","",IF($T$491&gt;100,"La proportion du site occupée par un couvert végétal permanent ne peut pas être supérieure à 100%",""))</f>
        <v/>
      </c>
    </row>
    <row r="493" spans="1:27" ht="18" customHeight="1" x14ac:dyDescent="0.2">
      <c r="A493" s="337"/>
      <c r="B493" s="337"/>
      <c r="C493" s="345"/>
      <c r="D493" s="337"/>
      <c r="E493" s="337"/>
      <c r="F493" s="337"/>
      <c r="G493" s="337"/>
      <c r="H493" s="337"/>
      <c r="I493" s="337"/>
      <c r="J493" s="337"/>
      <c r="K493" s="337"/>
      <c r="L493" s="337"/>
      <c r="M493" s="337"/>
      <c r="N493" s="337"/>
      <c r="O493" s="337"/>
      <c r="T493" s="347"/>
      <c r="U493" s="347"/>
      <c r="V493" s="347"/>
      <c r="W493" s="398"/>
    </row>
    <row r="494" spans="1:27" ht="33.75" customHeight="1" x14ac:dyDescent="0.2">
      <c r="A494" s="337"/>
      <c r="B494" s="337"/>
      <c r="C494" s="341" t="s">
        <v>399</v>
      </c>
      <c r="D494" s="695" t="s">
        <v>406</v>
      </c>
      <c r="E494" s="696"/>
      <c r="F494" s="696"/>
      <c r="G494" s="696"/>
      <c r="H494" s="696"/>
      <c r="I494" s="696"/>
      <c r="J494" s="696"/>
      <c r="K494" s="696"/>
      <c r="L494" s="696"/>
      <c r="M494" s="696"/>
      <c r="N494" s="696"/>
      <c r="O494" s="696"/>
      <c r="P494" s="696"/>
      <c r="Q494" s="696"/>
      <c r="R494" s="696"/>
      <c r="S494" s="696"/>
      <c r="T494" s="696"/>
      <c r="U494" s="696"/>
      <c r="V494" s="696"/>
      <c r="W494" s="696"/>
      <c r="X494" s="696"/>
      <c r="Y494" s="697"/>
    </row>
    <row r="495" spans="1:27" s="432" customFormat="1" ht="18" customHeight="1" thickBot="1" x14ac:dyDescent="0.25">
      <c r="A495" s="431"/>
      <c r="B495" s="431"/>
      <c r="C495" s="664" t="s">
        <v>115</v>
      </c>
      <c r="D495" s="664"/>
      <c r="E495" s="664"/>
      <c r="F495" s="664"/>
      <c r="G495" s="664"/>
      <c r="H495" s="664"/>
      <c r="I495" s="664"/>
      <c r="J495" s="664"/>
      <c r="K495" s="664"/>
      <c r="L495" s="664"/>
      <c r="M495" s="664"/>
      <c r="N495" s="664"/>
      <c r="O495" s="664"/>
      <c r="P495" s="664"/>
      <c r="Q495" s="664"/>
      <c r="R495" s="664"/>
      <c r="S495" s="664"/>
      <c r="T495" s="664"/>
      <c r="U495" s="664"/>
      <c r="V495" s="664"/>
      <c r="W495" s="664"/>
      <c r="X495" s="664"/>
      <c r="Y495" s="664"/>
    </row>
    <row r="496" spans="1:27" ht="18" customHeight="1" thickBot="1" x14ac:dyDescent="0.25">
      <c r="A496" s="337"/>
      <c r="B496" s="337"/>
      <c r="C496" s="433"/>
      <c r="D496" s="433"/>
      <c r="E496" s="433"/>
      <c r="F496" s="433"/>
      <c r="G496" s="433"/>
      <c r="H496" s="433"/>
      <c r="I496" s="433"/>
      <c r="J496" s="433"/>
      <c r="K496" s="433"/>
      <c r="L496" s="433"/>
      <c r="M496" s="433"/>
      <c r="N496" s="433"/>
      <c r="O496" s="433"/>
      <c r="P496" s="433"/>
      <c r="Q496" s="433"/>
      <c r="R496" s="433"/>
      <c r="S496" s="433"/>
      <c r="T496" s="434"/>
      <c r="U496" s="435"/>
      <c r="V496" s="435"/>
      <c r="W496" s="377" t="str">
        <f>IF(AND($J$121="X",COUNTA($T$503,$T$504,$J$508,$T$508)&lt;3),"Le site est dans un système hydrogéomorphologique alluvial, la sous-partie 1.6 doit être renseignée. ",IF(AND(COUNTA($J$121)=0,COUNTA($T$498,$T$503,$T$504,$J$508,$T$508)&gt;0),"Le système n'est pas dans un système hydromorphologique alluvial, ne répondez pas aux 3 questions suivantes.",""))</f>
        <v/>
      </c>
      <c r="X496" s="433"/>
      <c r="Y496" s="433"/>
    </row>
    <row r="497" spans="1:25" ht="18" customHeight="1" x14ac:dyDescent="0.2">
      <c r="A497" s="337"/>
      <c r="B497" s="337"/>
      <c r="C497" s="581" t="s">
        <v>313</v>
      </c>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row>
    <row r="498" spans="1:25" ht="18" customHeight="1" x14ac:dyDescent="0.2">
      <c r="A498" s="337"/>
      <c r="B498" s="337"/>
      <c r="C498" s="337"/>
      <c r="D498" s="337"/>
      <c r="E498" s="337"/>
      <c r="F498" s="337"/>
      <c r="G498" s="337"/>
      <c r="H498" s="337"/>
      <c r="I498" s="337"/>
      <c r="J498" s="337"/>
      <c r="K498" s="394"/>
      <c r="L498" s="394"/>
      <c r="M498" s="394"/>
      <c r="N498" s="337"/>
      <c r="O498" s="337"/>
      <c r="S498" s="353" t="s">
        <v>260</v>
      </c>
      <c r="T498" s="578"/>
      <c r="U498" s="578"/>
      <c r="V498" s="578"/>
      <c r="W498" s="578"/>
      <c r="X498" s="591" t="s">
        <v>112</v>
      </c>
      <c r="Y498" s="591"/>
    </row>
    <row r="499" spans="1:25" ht="18" customHeight="1" x14ac:dyDescent="0.2">
      <c r="A499" s="337"/>
      <c r="B499" s="337"/>
      <c r="C499" s="337"/>
      <c r="D499" s="337"/>
      <c r="E499" s="337"/>
      <c r="F499" s="337"/>
      <c r="G499" s="337"/>
      <c r="H499" s="337"/>
      <c r="I499" s="337"/>
      <c r="J499" s="337"/>
      <c r="K499" s="337"/>
      <c r="L499" s="337"/>
      <c r="M499" s="337"/>
      <c r="N499" s="337"/>
      <c r="O499" s="337"/>
    </row>
    <row r="500" spans="1:25" ht="18" customHeight="1" x14ac:dyDescent="0.2">
      <c r="A500" s="337"/>
      <c r="B500" s="337"/>
      <c r="C500" s="337"/>
      <c r="D500" s="337"/>
      <c r="E500" s="337"/>
      <c r="F500" s="337"/>
      <c r="G500" s="337"/>
      <c r="H500" s="337"/>
      <c r="I500" s="337"/>
      <c r="J500" s="337"/>
      <c r="K500" s="337"/>
      <c r="L500" s="337"/>
      <c r="M500" s="337"/>
      <c r="N500" s="337"/>
      <c r="O500" s="337"/>
    </row>
    <row r="501" spans="1:25" ht="18" customHeight="1" x14ac:dyDescent="0.2">
      <c r="A501" s="337"/>
      <c r="B501" s="337"/>
      <c r="C501" s="583" t="s">
        <v>314</v>
      </c>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row>
    <row r="502" spans="1:25" ht="18" customHeight="1" x14ac:dyDescent="0.2">
      <c r="A502" s="337"/>
      <c r="B502" s="337"/>
      <c r="C502" s="592"/>
      <c r="D502" s="592"/>
      <c r="E502" s="592"/>
      <c r="F502" s="592"/>
      <c r="G502" s="592"/>
      <c r="H502" s="592"/>
      <c r="I502" s="592"/>
      <c r="J502" s="592"/>
      <c r="K502" s="592"/>
      <c r="L502" s="592"/>
      <c r="M502" s="592"/>
      <c r="N502" s="592"/>
      <c r="O502" s="592"/>
      <c r="P502" s="592"/>
      <c r="Q502" s="592"/>
      <c r="R502" s="592"/>
      <c r="S502" s="592"/>
      <c r="T502" s="592"/>
      <c r="U502" s="592"/>
      <c r="V502" s="592"/>
      <c r="W502" s="592"/>
      <c r="X502" s="592"/>
      <c r="Y502" s="592"/>
    </row>
    <row r="503" spans="1:25" ht="18" customHeight="1" x14ac:dyDescent="0.2">
      <c r="A503" s="337"/>
      <c r="B503" s="337"/>
      <c r="C503" s="436"/>
      <c r="D503" s="436"/>
      <c r="E503" s="436"/>
      <c r="F503" s="436"/>
      <c r="G503" s="436"/>
      <c r="H503" s="353"/>
      <c r="I503" s="353"/>
      <c r="J503" s="353"/>
      <c r="K503" s="337"/>
      <c r="L503" s="337"/>
      <c r="M503" s="337"/>
      <c r="N503" s="337"/>
      <c r="O503" s="337"/>
      <c r="S503" s="437" t="s">
        <v>261</v>
      </c>
      <c r="T503" s="578"/>
      <c r="U503" s="578"/>
      <c r="V503" s="578"/>
      <c r="W503" s="578"/>
      <c r="X503" s="591" t="s">
        <v>112</v>
      </c>
      <c r="Y503" s="591"/>
    </row>
    <row r="504" spans="1:25" ht="17.25" customHeight="1" thickBot="1" x14ac:dyDescent="0.25">
      <c r="A504" s="337"/>
      <c r="B504" s="337"/>
      <c r="C504" s="438"/>
      <c r="D504" s="439"/>
      <c r="E504" s="439"/>
      <c r="F504" s="439"/>
      <c r="G504" s="439"/>
      <c r="H504" s="439"/>
      <c r="I504" s="439"/>
      <c r="J504" s="439"/>
      <c r="K504" s="337"/>
      <c r="L504" s="337"/>
      <c r="M504" s="337"/>
      <c r="N504" s="337"/>
      <c r="O504" s="337"/>
      <c r="S504" s="440" t="s">
        <v>262</v>
      </c>
      <c r="T504" s="578"/>
      <c r="U504" s="578"/>
      <c r="V504" s="578"/>
      <c r="W504" s="578"/>
      <c r="X504" s="591" t="s">
        <v>112</v>
      </c>
      <c r="Y504" s="591"/>
    </row>
    <row r="505" spans="1:25" ht="18" customHeight="1" thickBot="1" x14ac:dyDescent="0.25">
      <c r="A505" s="337"/>
      <c r="B505" s="337"/>
      <c r="C505" s="337"/>
      <c r="D505" s="337"/>
      <c r="E505" s="337"/>
      <c r="F505" s="337"/>
      <c r="G505" s="337"/>
      <c r="H505" s="337"/>
      <c r="I505" s="337"/>
      <c r="J505" s="337"/>
      <c r="K505" s="337"/>
      <c r="L505" s="337"/>
      <c r="M505" s="337"/>
      <c r="N505" s="337"/>
      <c r="O505" s="337"/>
      <c r="T505" s="395"/>
      <c r="U505" s="396"/>
      <c r="V505" s="396"/>
      <c r="W505" s="397" t="str">
        <f>CONCATENATE(IF(AND($J$121="X",COUNTBLANK($T$503:$T$504)&gt;0),"Le site est dans un système hydrogéomorphologique alluvial, répondez à cette question.",""),(IF($T$503&lt;$T$504,CONCATENATE("La longueur développée doit être supérieure ou égale à la longueur de l'enveloppe de méandrage en passant par les points d'inflexion des sinuosités."),"")))</f>
        <v/>
      </c>
    </row>
    <row r="506" spans="1:25" ht="18" customHeight="1" x14ac:dyDescent="0.2">
      <c r="A506" s="337"/>
      <c r="B506" s="337"/>
      <c r="C506" s="337"/>
      <c r="D506" s="337"/>
      <c r="E506" s="337"/>
      <c r="F506" s="337"/>
      <c r="G506" s="337"/>
      <c r="H506" s="337"/>
      <c r="I506" s="337"/>
      <c r="J506" s="337"/>
      <c r="K506" s="337"/>
      <c r="L506" s="337"/>
      <c r="M506" s="337"/>
      <c r="N506" s="337"/>
      <c r="O506" s="337"/>
    </row>
    <row r="507" spans="1:25" ht="18" customHeight="1" x14ac:dyDescent="0.2">
      <c r="A507" s="337"/>
      <c r="B507" s="337"/>
      <c r="C507" s="581" t="s">
        <v>375</v>
      </c>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row>
    <row r="508" spans="1:25" ht="18" customHeight="1" x14ac:dyDescent="0.2">
      <c r="A508" s="337"/>
      <c r="B508" s="337"/>
      <c r="C508" s="354" t="s">
        <v>234</v>
      </c>
      <c r="D508" s="354"/>
      <c r="E508" s="337"/>
      <c r="H508" s="368"/>
      <c r="I508" s="353" t="s">
        <v>28</v>
      </c>
      <c r="J508" s="588"/>
      <c r="K508" s="588"/>
      <c r="P508" s="339"/>
      <c r="Q508" s="368"/>
      <c r="R508" s="368"/>
      <c r="S508" s="369" t="s">
        <v>29</v>
      </c>
      <c r="T508" s="588"/>
      <c r="U508" s="588"/>
      <c r="V508" s="588"/>
      <c r="W508" s="588"/>
    </row>
    <row r="509" spans="1:25" ht="18" customHeight="1" x14ac:dyDescent="0.2">
      <c r="A509" s="337"/>
      <c r="B509" s="337"/>
      <c r="C509" s="345"/>
      <c r="D509" s="337"/>
      <c r="E509" s="337"/>
      <c r="F509" s="337"/>
      <c r="G509" s="337"/>
      <c r="H509" s="337"/>
      <c r="I509" s="337"/>
      <c r="J509" s="337"/>
      <c r="K509" s="337"/>
      <c r="L509" s="337"/>
      <c r="M509" s="337"/>
      <c r="N509" s="337"/>
      <c r="O509" s="337"/>
    </row>
    <row r="510" spans="1:25" ht="18" customHeight="1" x14ac:dyDescent="0.2">
      <c r="A510" s="337"/>
      <c r="B510" s="337"/>
      <c r="C510" s="345"/>
      <c r="D510" s="337"/>
      <c r="E510" s="337"/>
      <c r="F510" s="337"/>
      <c r="G510" s="337"/>
      <c r="H510" s="337"/>
      <c r="I510" s="337"/>
      <c r="J510" s="337"/>
      <c r="K510" s="337"/>
      <c r="L510" s="337"/>
      <c r="M510" s="337"/>
      <c r="N510" s="337"/>
      <c r="O510" s="337"/>
    </row>
    <row r="511" spans="1:25" ht="35.25" customHeight="1" x14ac:dyDescent="0.2">
      <c r="A511" s="337"/>
      <c r="B511" s="337"/>
      <c r="C511" s="341" t="s">
        <v>398</v>
      </c>
      <c r="D511" s="695" t="s">
        <v>407</v>
      </c>
      <c r="E511" s="696"/>
      <c r="F511" s="696"/>
      <c r="G511" s="696"/>
      <c r="H511" s="696"/>
      <c r="I511" s="696"/>
      <c r="J511" s="696"/>
      <c r="K511" s="696"/>
      <c r="L511" s="696"/>
      <c r="M511" s="696"/>
      <c r="N511" s="696"/>
      <c r="O511" s="696"/>
      <c r="P511" s="696"/>
      <c r="Q511" s="696"/>
      <c r="R511" s="696"/>
      <c r="S511" s="696"/>
      <c r="T511" s="696"/>
      <c r="U511" s="696"/>
      <c r="V511" s="696"/>
      <c r="W511" s="696"/>
      <c r="X511" s="696"/>
      <c r="Y511" s="697"/>
    </row>
    <row r="512" spans="1:25" ht="18" customHeight="1" x14ac:dyDescent="0.2">
      <c r="A512" s="337"/>
      <c r="B512" s="337"/>
      <c r="C512" s="517"/>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row>
    <row r="513" spans="1:25" ht="18" customHeight="1" x14ac:dyDescent="0.2">
      <c r="A513" s="337"/>
      <c r="B513" s="337"/>
      <c r="C513" s="581" t="s">
        <v>315</v>
      </c>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row>
    <row r="514" spans="1:25" ht="18" customHeight="1" x14ac:dyDescent="0.2">
      <c r="A514" s="337"/>
      <c r="B514" s="337"/>
      <c r="C514" s="536"/>
      <c r="D514" s="537"/>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1:25" s="347" customFormat="1" ht="18" customHeight="1" x14ac:dyDescent="0.2">
      <c r="C515" s="345"/>
      <c r="D515" s="520"/>
      <c r="E515" s="352"/>
      <c r="F515" s="352"/>
      <c r="G515" s="352"/>
      <c r="H515" s="352"/>
      <c r="I515" s="352"/>
      <c r="J515" s="352"/>
      <c r="K515" s="352"/>
      <c r="L515" s="352"/>
      <c r="M515" s="352"/>
      <c r="N515" s="352"/>
      <c r="O515" s="352"/>
      <c r="P515" s="352"/>
      <c r="Q515" s="352"/>
      <c r="R515" s="352"/>
      <c r="S515" s="352"/>
      <c r="T515" s="352"/>
      <c r="U515" s="352"/>
      <c r="V515" s="352"/>
      <c r="W515" s="352"/>
      <c r="X515" s="352"/>
      <c r="Y515" s="352"/>
    </row>
    <row r="516" spans="1:25" s="347" customFormat="1" ht="18" customHeight="1" x14ac:dyDescent="0.2">
      <c r="C516" s="345"/>
      <c r="D516" s="520"/>
      <c r="E516" s="352"/>
      <c r="F516" s="352"/>
      <c r="G516" s="352"/>
      <c r="H516" s="352"/>
      <c r="I516" s="352"/>
      <c r="J516" s="352"/>
      <c r="K516" s="352"/>
      <c r="L516" s="352"/>
      <c r="M516" s="352"/>
      <c r="N516" s="352"/>
      <c r="O516" s="352"/>
      <c r="P516" s="352"/>
      <c r="Q516" s="352"/>
      <c r="R516" s="352"/>
      <c r="S516" s="352"/>
      <c r="T516" s="352"/>
      <c r="U516" s="352"/>
      <c r="V516" s="352"/>
      <c r="W516" s="352"/>
      <c r="X516" s="352"/>
      <c r="Y516" s="352"/>
    </row>
    <row r="517" spans="1:25" ht="33.75" customHeight="1" x14ac:dyDescent="0.2">
      <c r="A517" s="337"/>
      <c r="B517" s="337"/>
      <c r="C517" s="341" t="s">
        <v>397</v>
      </c>
      <c r="D517" s="695" t="s">
        <v>408</v>
      </c>
      <c r="E517" s="696"/>
      <c r="F517" s="696"/>
      <c r="G517" s="696"/>
      <c r="H517" s="696"/>
      <c r="I517" s="696"/>
      <c r="J517" s="696"/>
      <c r="K517" s="696"/>
      <c r="L517" s="696"/>
      <c r="M517" s="696"/>
      <c r="N517" s="696"/>
      <c r="O517" s="696"/>
      <c r="P517" s="696"/>
      <c r="Q517" s="696"/>
      <c r="R517" s="696"/>
      <c r="S517" s="696"/>
      <c r="T517" s="696"/>
      <c r="U517" s="696"/>
      <c r="V517" s="696"/>
      <c r="W517" s="696"/>
      <c r="X517" s="696"/>
      <c r="Y517" s="697"/>
    </row>
    <row r="518" spans="1:25" ht="18" customHeight="1" x14ac:dyDescent="0.2">
      <c r="A518" s="337"/>
      <c r="B518" s="337"/>
      <c r="C518" s="660" t="s">
        <v>116</v>
      </c>
      <c r="D518" s="660"/>
      <c r="E518" s="660"/>
      <c r="F518" s="660"/>
      <c r="G518" s="660"/>
      <c r="H518" s="660"/>
      <c r="I518" s="660"/>
      <c r="J518" s="660"/>
      <c r="K518" s="660"/>
      <c r="L518" s="660"/>
      <c r="M518" s="660"/>
      <c r="N518" s="660"/>
      <c r="O518" s="660"/>
      <c r="P518" s="660"/>
      <c r="Q518" s="660"/>
      <c r="R518" s="660"/>
      <c r="S518" s="660"/>
      <c r="T518" s="660"/>
      <c r="U518" s="660"/>
      <c r="V518" s="660"/>
      <c r="W518" s="660"/>
      <c r="X518" s="660"/>
      <c r="Y518" s="660"/>
    </row>
    <row r="519" spans="1:25" ht="18" customHeight="1" x14ac:dyDescent="0.2">
      <c r="A519" s="337"/>
      <c r="B519" s="337"/>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row>
    <row r="520" spans="1:25" ht="18" customHeight="1" x14ac:dyDescent="0.2">
      <c r="A520" s="337"/>
      <c r="B520" s="337"/>
      <c r="C520" s="516"/>
      <c r="D520" s="516"/>
      <c r="E520" s="516"/>
      <c r="F520" s="516"/>
      <c r="G520" s="516"/>
      <c r="H520" s="516"/>
      <c r="I520" s="516"/>
      <c r="J520" s="516"/>
      <c r="K520" s="516"/>
      <c r="L520" s="516"/>
      <c r="M520" s="516"/>
      <c r="N520" s="516"/>
      <c r="O520" s="516"/>
      <c r="P520" s="516"/>
      <c r="Q520" s="516"/>
      <c r="R520" s="516"/>
      <c r="S520" s="516"/>
      <c r="T520" s="516"/>
      <c r="U520" s="516"/>
      <c r="V520" s="516"/>
      <c r="W520" s="516"/>
      <c r="X520" s="516"/>
      <c r="Y520" s="516"/>
    </row>
    <row r="521" spans="1:25" ht="18" customHeight="1" x14ac:dyDescent="0.2">
      <c r="A521" s="337"/>
      <c r="B521" s="337"/>
      <c r="C521" s="581" t="s">
        <v>316</v>
      </c>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row>
    <row r="522" spans="1:25" ht="18" customHeight="1" x14ac:dyDescent="0.2">
      <c r="A522" s="337"/>
      <c r="B522" s="337"/>
      <c r="C522" s="354" t="s">
        <v>234</v>
      </c>
      <c r="D522" s="354"/>
      <c r="E522" s="337"/>
      <c r="H522" s="368"/>
      <c r="I522" s="353" t="s">
        <v>28</v>
      </c>
      <c r="J522" s="588"/>
      <c r="K522" s="588"/>
      <c r="P522" s="339"/>
      <c r="Q522" s="368"/>
      <c r="R522" s="368"/>
      <c r="S522" s="369" t="s">
        <v>29</v>
      </c>
      <c r="T522" s="588"/>
      <c r="U522" s="588"/>
      <c r="V522" s="588"/>
      <c r="W522" s="588"/>
    </row>
    <row r="523" spans="1:25" ht="18" customHeight="1" x14ac:dyDescent="0.2">
      <c r="A523" s="337"/>
      <c r="B523" s="337"/>
      <c r="C523" s="345"/>
      <c r="D523" s="337"/>
    </row>
    <row r="524" spans="1:25" ht="18" customHeight="1" x14ac:dyDescent="0.2">
      <c r="A524" s="337"/>
      <c r="B524" s="337"/>
      <c r="C524" s="345"/>
      <c r="D524" s="337"/>
    </row>
    <row r="525" spans="1:25" ht="18" customHeight="1" x14ac:dyDescent="0.2">
      <c r="A525" s="337"/>
      <c r="B525" s="337"/>
      <c r="C525" s="581" t="s">
        <v>317</v>
      </c>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row>
    <row r="526" spans="1:25" ht="18" customHeight="1" x14ac:dyDescent="0.2">
      <c r="A526" s="337"/>
      <c r="B526" s="337"/>
      <c r="C526" s="536"/>
      <c r="D526" s="537"/>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1:25" ht="18" customHeight="1" x14ac:dyDescent="0.2">
      <c r="A527" s="337"/>
      <c r="B527" s="337"/>
      <c r="C527" s="345"/>
      <c r="D527" s="337"/>
    </row>
    <row r="528" spans="1:25" ht="18" customHeight="1" x14ac:dyDescent="0.2">
      <c r="A528" s="337"/>
      <c r="B528" s="337"/>
      <c r="C528" s="345"/>
      <c r="D528" s="337"/>
    </row>
    <row r="529" spans="1:25" ht="35.25" customHeight="1" x14ac:dyDescent="0.2">
      <c r="A529" s="337"/>
      <c r="B529" s="337"/>
      <c r="C529" s="341" t="s">
        <v>396</v>
      </c>
      <c r="D529" s="695" t="s">
        <v>748</v>
      </c>
      <c r="E529" s="696"/>
      <c r="F529" s="696"/>
      <c r="G529" s="696"/>
      <c r="H529" s="696"/>
      <c r="I529" s="696"/>
      <c r="J529" s="696"/>
      <c r="K529" s="696"/>
      <c r="L529" s="696"/>
      <c r="M529" s="696"/>
      <c r="N529" s="696"/>
      <c r="O529" s="696"/>
      <c r="P529" s="696"/>
      <c r="Q529" s="696"/>
      <c r="R529" s="696"/>
      <c r="S529" s="696"/>
      <c r="T529" s="696"/>
      <c r="U529" s="696"/>
      <c r="V529" s="696"/>
      <c r="W529" s="696"/>
      <c r="X529" s="696"/>
      <c r="Y529" s="697"/>
    </row>
    <row r="530" spans="1:25" ht="18" customHeight="1" x14ac:dyDescent="0.2">
      <c r="A530" s="337"/>
      <c r="B530" s="337"/>
      <c r="C530" s="517"/>
      <c r="D530" s="517"/>
      <c r="E530" s="517"/>
      <c r="F530" s="517"/>
      <c r="G530" s="517"/>
      <c r="H530" s="517"/>
      <c r="I530" s="517"/>
      <c r="J530" s="517"/>
      <c r="K530" s="517"/>
      <c r="L530" s="517"/>
      <c r="M530" s="517"/>
      <c r="N530" s="517"/>
      <c r="O530" s="517"/>
      <c r="P530" s="517"/>
      <c r="Q530" s="517"/>
      <c r="R530" s="517"/>
      <c r="S530" s="517"/>
      <c r="T530" s="517"/>
      <c r="U530" s="517"/>
      <c r="V530" s="517"/>
      <c r="W530" s="517"/>
      <c r="X530" s="517"/>
      <c r="Y530" s="517"/>
    </row>
    <row r="531" spans="1:25" ht="18" customHeight="1" x14ac:dyDescent="0.2">
      <c r="A531" s="337"/>
      <c r="B531" s="337"/>
      <c r="C531" s="583" t="s">
        <v>318</v>
      </c>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row>
    <row r="532" spans="1:25" ht="18" customHeight="1" x14ac:dyDescent="0.2">
      <c r="A532" s="337"/>
      <c r="B532" s="337"/>
      <c r="C532" s="592"/>
      <c r="D532" s="592"/>
      <c r="E532" s="592"/>
      <c r="F532" s="592"/>
      <c r="G532" s="592"/>
      <c r="H532" s="592"/>
      <c r="I532" s="592"/>
      <c r="J532" s="592"/>
      <c r="K532" s="592"/>
      <c r="L532" s="592"/>
      <c r="M532" s="592"/>
      <c r="N532" s="592"/>
      <c r="O532" s="592"/>
      <c r="P532" s="592"/>
      <c r="Q532" s="592"/>
      <c r="R532" s="592"/>
      <c r="S532" s="592"/>
      <c r="T532" s="592"/>
      <c r="U532" s="592"/>
      <c r="V532" s="592"/>
      <c r="W532" s="592"/>
      <c r="X532" s="592"/>
      <c r="Y532" s="592"/>
    </row>
    <row r="533" spans="1:25" ht="18" customHeight="1" x14ac:dyDescent="0.2">
      <c r="A533" s="337"/>
      <c r="B533" s="337"/>
      <c r="C533" s="652" t="s">
        <v>749</v>
      </c>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row>
    <row r="534" spans="1:25" ht="18" customHeight="1" x14ac:dyDescent="0.2">
      <c r="A534" s="337"/>
      <c r="B534" s="337"/>
      <c r="C534" s="645"/>
      <c r="D534" s="646"/>
      <c r="E534" s="646"/>
      <c r="F534" s="646"/>
      <c r="G534" s="646"/>
      <c r="H534" s="646"/>
      <c r="I534" s="646"/>
      <c r="J534" s="646"/>
      <c r="K534" s="646"/>
      <c r="L534" s="646"/>
      <c r="M534" s="646"/>
      <c r="N534" s="646"/>
      <c r="O534" s="646"/>
      <c r="P534" s="646"/>
      <c r="Q534" s="646"/>
      <c r="R534" s="646"/>
      <c r="S534" s="646"/>
      <c r="T534" s="646"/>
      <c r="U534" s="646"/>
      <c r="V534" s="646"/>
      <c r="W534" s="646"/>
      <c r="X534" s="646"/>
      <c r="Y534" s="647"/>
    </row>
    <row r="535" spans="1:25" ht="18" customHeight="1" x14ac:dyDescent="0.2">
      <c r="A535" s="337"/>
      <c r="B535" s="337"/>
      <c r="C535" s="648"/>
      <c r="D535" s="649"/>
      <c r="E535" s="649"/>
      <c r="F535" s="649"/>
      <c r="G535" s="649"/>
      <c r="H535" s="649"/>
      <c r="I535" s="649"/>
      <c r="J535" s="649"/>
      <c r="K535" s="649"/>
      <c r="L535" s="649"/>
      <c r="M535" s="649"/>
      <c r="N535" s="649"/>
      <c r="O535" s="649"/>
      <c r="P535" s="649"/>
      <c r="Q535" s="649"/>
      <c r="R535" s="649"/>
      <c r="S535" s="649"/>
      <c r="T535" s="649"/>
      <c r="U535" s="649"/>
      <c r="V535" s="649"/>
      <c r="W535" s="649"/>
      <c r="X535" s="649"/>
      <c r="Y535" s="650"/>
    </row>
    <row r="536" spans="1:25" ht="18" customHeight="1" x14ac:dyDescent="0.2">
      <c r="A536" s="337"/>
      <c r="B536" s="337"/>
      <c r="C536" s="652" t="s">
        <v>752</v>
      </c>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row>
    <row r="537" spans="1:25" ht="18" customHeight="1" x14ac:dyDescent="0.2">
      <c r="A537" s="337"/>
      <c r="B537" s="337"/>
      <c r="C537" s="645"/>
      <c r="D537" s="646"/>
      <c r="E537" s="646"/>
      <c r="F537" s="646"/>
      <c r="G537" s="646"/>
      <c r="H537" s="646"/>
      <c r="I537" s="646"/>
      <c r="J537" s="646"/>
      <c r="K537" s="646"/>
      <c r="L537" s="646"/>
      <c r="M537" s="646"/>
      <c r="N537" s="646"/>
      <c r="O537" s="646"/>
      <c r="P537" s="646"/>
      <c r="Q537" s="646"/>
      <c r="R537" s="646"/>
      <c r="S537" s="646"/>
      <c r="T537" s="646"/>
      <c r="U537" s="646"/>
      <c r="V537" s="646"/>
      <c r="W537" s="646"/>
      <c r="X537" s="646"/>
      <c r="Y537" s="647"/>
    </row>
    <row r="538" spans="1:25" ht="18" customHeight="1" x14ac:dyDescent="0.2">
      <c r="A538" s="337"/>
      <c r="B538" s="337"/>
      <c r="C538" s="648"/>
      <c r="D538" s="649"/>
      <c r="E538" s="649"/>
      <c r="F538" s="649"/>
      <c r="G538" s="649"/>
      <c r="H538" s="649"/>
      <c r="I538" s="649"/>
      <c r="J538" s="649"/>
      <c r="K538" s="649"/>
      <c r="L538" s="649"/>
      <c r="M538" s="649"/>
      <c r="N538" s="649"/>
      <c r="O538" s="649"/>
      <c r="P538" s="649"/>
      <c r="Q538" s="649"/>
      <c r="R538" s="649"/>
      <c r="S538" s="649"/>
      <c r="T538" s="649"/>
      <c r="U538" s="649"/>
      <c r="V538" s="649"/>
      <c r="W538" s="649"/>
      <c r="X538" s="649"/>
      <c r="Y538" s="650"/>
    </row>
    <row r="539" spans="1:25" ht="18" customHeight="1" x14ac:dyDescent="0.2">
      <c r="A539" s="337"/>
      <c r="B539" s="337"/>
      <c r="C539" s="652" t="s">
        <v>264</v>
      </c>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row>
    <row r="540" spans="1:25" ht="18" customHeight="1" x14ac:dyDescent="0.2">
      <c r="A540" s="337"/>
      <c r="B540" s="337"/>
      <c r="C540" s="645"/>
      <c r="D540" s="646"/>
      <c r="E540" s="646"/>
      <c r="F540" s="646"/>
      <c r="G540" s="646"/>
      <c r="H540" s="646"/>
      <c r="I540" s="646"/>
      <c r="J540" s="646"/>
      <c r="K540" s="646"/>
      <c r="L540" s="646"/>
      <c r="M540" s="646"/>
      <c r="N540" s="646"/>
      <c r="O540" s="646"/>
      <c r="P540" s="646"/>
      <c r="Q540" s="646"/>
      <c r="R540" s="646"/>
      <c r="S540" s="646"/>
      <c r="T540" s="646"/>
      <c r="U540" s="646"/>
      <c r="V540" s="646"/>
      <c r="W540" s="646"/>
      <c r="X540" s="646"/>
      <c r="Y540" s="647"/>
    </row>
    <row r="541" spans="1:25" ht="18" customHeight="1" x14ac:dyDescent="0.2">
      <c r="A541" s="337"/>
      <c r="B541" s="337"/>
      <c r="C541" s="648"/>
      <c r="D541" s="649"/>
      <c r="E541" s="649"/>
      <c r="F541" s="649"/>
      <c r="G541" s="649"/>
      <c r="H541" s="649"/>
      <c r="I541" s="649"/>
      <c r="J541" s="649"/>
      <c r="K541" s="649"/>
      <c r="L541" s="649"/>
      <c r="M541" s="649"/>
      <c r="N541" s="649"/>
      <c r="O541" s="649"/>
      <c r="P541" s="649"/>
      <c r="Q541" s="649"/>
      <c r="R541" s="649"/>
      <c r="S541" s="649"/>
      <c r="T541" s="649"/>
      <c r="U541" s="649"/>
      <c r="V541" s="649"/>
      <c r="W541" s="649"/>
      <c r="X541" s="649"/>
      <c r="Y541" s="650"/>
    </row>
    <row r="542" spans="1:25" ht="18" customHeight="1" x14ac:dyDescent="0.2">
      <c r="A542" s="337"/>
      <c r="B542" s="337"/>
      <c r="C542" s="651" t="s">
        <v>750</v>
      </c>
      <c r="D542" s="651"/>
      <c r="E542" s="651"/>
      <c r="F542" s="651"/>
      <c r="G542" s="651"/>
      <c r="H542" s="651"/>
      <c r="I542" s="651"/>
      <c r="J542" s="651"/>
      <c r="K542" s="651"/>
      <c r="L542" s="651"/>
      <c r="M542" s="651"/>
      <c r="N542" s="651"/>
      <c r="O542" s="651"/>
      <c r="P542" s="651"/>
      <c r="Q542" s="651"/>
      <c r="R542" s="651"/>
      <c r="S542" s="651"/>
      <c r="T542" s="651"/>
      <c r="U542" s="651"/>
      <c r="V542" s="651"/>
      <c r="W542" s="651"/>
      <c r="X542" s="651"/>
      <c r="Y542" s="651"/>
    </row>
    <row r="543" spans="1:25" ht="18" customHeight="1" x14ac:dyDescent="0.2">
      <c r="A543" s="337"/>
      <c r="B543" s="337"/>
      <c r="C543" s="645"/>
      <c r="D543" s="646"/>
      <c r="E543" s="646"/>
      <c r="F543" s="646"/>
      <c r="G543" s="646"/>
      <c r="H543" s="646"/>
      <c r="I543" s="646"/>
      <c r="J543" s="646"/>
      <c r="K543" s="646"/>
      <c r="L543" s="646"/>
      <c r="M543" s="646"/>
      <c r="N543" s="646"/>
      <c r="O543" s="646"/>
      <c r="P543" s="646"/>
      <c r="Q543" s="646"/>
      <c r="R543" s="646"/>
      <c r="S543" s="646"/>
      <c r="T543" s="646"/>
      <c r="U543" s="646"/>
      <c r="V543" s="646"/>
      <c r="W543" s="646"/>
      <c r="X543" s="646"/>
      <c r="Y543" s="647"/>
    </row>
    <row r="544" spans="1:25" ht="18" customHeight="1" x14ac:dyDescent="0.2">
      <c r="A544" s="337"/>
      <c r="B544" s="337"/>
      <c r="C544" s="648"/>
      <c r="D544" s="649"/>
      <c r="E544" s="649"/>
      <c r="F544" s="649"/>
      <c r="G544" s="649"/>
      <c r="H544" s="649"/>
      <c r="I544" s="649"/>
      <c r="J544" s="649"/>
      <c r="K544" s="649"/>
      <c r="L544" s="649"/>
      <c r="M544" s="649"/>
      <c r="N544" s="649"/>
      <c r="O544" s="649"/>
      <c r="P544" s="649"/>
      <c r="Q544" s="649"/>
      <c r="R544" s="649"/>
      <c r="S544" s="649"/>
      <c r="T544" s="649"/>
      <c r="U544" s="649"/>
      <c r="V544" s="649"/>
      <c r="W544" s="649"/>
      <c r="X544" s="649"/>
      <c r="Y544" s="650"/>
    </row>
    <row r="545" spans="1:25" ht="18" customHeight="1" x14ac:dyDescent="0.2">
      <c r="A545" s="337"/>
      <c r="B545" s="337"/>
      <c r="C545" s="651" t="s">
        <v>263</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row>
    <row r="546" spans="1:25" ht="18" customHeight="1" x14ac:dyDescent="0.2">
      <c r="A546" s="337"/>
      <c r="B546" s="337"/>
      <c r="C546" s="645"/>
      <c r="D546" s="646"/>
      <c r="E546" s="646"/>
      <c r="F546" s="646"/>
      <c r="G546" s="646"/>
      <c r="H546" s="646"/>
      <c r="I546" s="646"/>
      <c r="J546" s="646"/>
      <c r="K546" s="646"/>
      <c r="L546" s="646"/>
      <c r="M546" s="646"/>
      <c r="N546" s="646"/>
      <c r="O546" s="646"/>
      <c r="P546" s="646"/>
      <c r="Q546" s="646"/>
      <c r="R546" s="646"/>
      <c r="S546" s="646"/>
      <c r="T546" s="646"/>
      <c r="U546" s="646"/>
      <c r="V546" s="646"/>
      <c r="W546" s="646"/>
      <c r="X546" s="646"/>
      <c r="Y546" s="647"/>
    </row>
    <row r="547" spans="1:25" ht="18" customHeight="1" x14ac:dyDescent="0.2">
      <c r="A547" s="337"/>
      <c r="B547" s="337"/>
      <c r="C547" s="648"/>
      <c r="D547" s="649"/>
      <c r="E547" s="649"/>
      <c r="F547" s="649"/>
      <c r="G547" s="649"/>
      <c r="H547" s="649"/>
      <c r="I547" s="649"/>
      <c r="J547" s="649"/>
      <c r="K547" s="649"/>
      <c r="L547" s="649"/>
      <c r="M547" s="649"/>
      <c r="N547" s="649"/>
      <c r="O547" s="649"/>
      <c r="P547" s="649"/>
      <c r="Q547" s="649"/>
      <c r="R547" s="649"/>
      <c r="S547" s="649"/>
      <c r="T547" s="649"/>
      <c r="U547" s="649"/>
      <c r="V547" s="649"/>
      <c r="W547" s="649"/>
      <c r="X547" s="649"/>
      <c r="Y547" s="650"/>
    </row>
    <row r="548" spans="1:25" ht="18" customHeight="1" x14ac:dyDescent="0.2">
      <c r="A548" s="337"/>
      <c r="B548" s="337"/>
      <c r="C548" s="337"/>
      <c r="D548" s="337"/>
      <c r="E548" s="337"/>
      <c r="F548" s="337"/>
      <c r="G548" s="337"/>
      <c r="H548" s="337"/>
      <c r="I548" s="337"/>
      <c r="J548" s="337"/>
      <c r="K548" s="337"/>
      <c r="L548" s="337"/>
      <c r="M548" s="337"/>
      <c r="N548" s="337"/>
      <c r="O548" s="337"/>
    </row>
    <row r="549" spans="1:25" ht="18" customHeight="1" x14ac:dyDescent="0.2">
      <c r="A549" s="337"/>
      <c r="B549" s="337"/>
      <c r="C549" s="337"/>
      <c r="D549" s="337"/>
      <c r="E549" s="337"/>
      <c r="F549" s="337"/>
      <c r="G549" s="337"/>
      <c r="H549" s="337"/>
      <c r="I549" s="337"/>
      <c r="J549" s="337"/>
      <c r="K549" s="337"/>
      <c r="L549" s="337"/>
      <c r="M549" s="337"/>
      <c r="N549" s="337"/>
      <c r="O549" s="337"/>
    </row>
    <row r="550" spans="1:25" ht="18" customHeight="1" x14ac:dyDescent="0.2">
      <c r="A550" s="337"/>
      <c r="B550" s="337"/>
      <c r="C550" s="583" t="s">
        <v>751</v>
      </c>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row>
    <row r="551" spans="1:25" ht="18" customHeight="1" x14ac:dyDescent="0.2">
      <c r="A551" s="337"/>
      <c r="B551" s="337"/>
      <c r="C551" s="583"/>
      <c r="D551" s="583"/>
      <c r="E551" s="583"/>
      <c r="F551" s="583"/>
      <c r="G551" s="583"/>
      <c r="H551" s="583"/>
      <c r="I551" s="583"/>
      <c r="J551" s="583"/>
      <c r="K551" s="583"/>
      <c r="L551" s="583"/>
      <c r="M551" s="583"/>
      <c r="N551" s="583"/>
      <c r="O551" s="583"/>
      <c r="P551" s="583"/>
      <c r="Q551" s="583"/>
      <c r="R551" s="583"/>
      <c r="S551" s="583"/>
      <c r="T551" s="583"/>
      <c r="U551" s="583"/>
      <c r="V551" s="583"/>
      <c r="W551" s="583"/>
      <c r="X551" s="583"/>
      <c r="Y551" s="583"/>
    </row>
    <row r="552" spans="1:25" ht="18" customHeight="1" x14ac:dyDescent="0.2">
      <c r="A552" s="337"/>
      <c r="B552" s="337"/>
      <c r="C552" s="654"/>
      <c r="D552" s="655"/>
      <c r="E552" s="655"/>
      <c r="F552" s="655"/>
      <c r="G552" s="655"/>
      <c r="H552" s="655"/>
      <c r="I552" s="655"/>
      <c r="J552" s="655"/>
      <c r="K552" s="655"/>
      <c r="L552" s="655"/>
      <c r="M552" s="655"/>
      <c r="N552" s="655"/>
      <c r="O552" s="655"/>
      <c r="P552" s="655"/>
      <c r="Q552" s="655"/>
      <c r="R552" s="655"/>
      <c r="S552" s="655"/>
      <c r="T552" s="655"/>
      <c r="U552" s="655"/>
      <c r="V552" s="655"/>
      <c r="W552" s="655"/>
      <c r="X552" s="655"/>
      <c r="Y552" s="656"/>
    </row>
    <row r="553" spans="1:25" ht="18" customHeight="1" x14ac:dyDescent="0.2">
      <c r="A553" s="337"/>
      <c r="B553" s="337"/>
      <c r="C553" s="657"/>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9"/>
    </row>
    <row r="554" spans="1:25" ht="18" customHeight="1" x14ac:dyDescent="0.2">
      <c r="A554" s="337"/>
      <c r="B554" s="337"/>
      <c r="C554" s="337"/>
      <c r="D554" s="337"/>
      <c r="E554" s="337"/>
      <c r="F554" s="337"/>
      <c r="G554" s="337"/>
      <c r="H554" s="337"/>
      <c r="I554" s="337"/>
      <c r="J554" s="337"/>
      <c r="K554" s="337"/>
      <c r="L554" s="337"/>
      <c r="M554" s="337"/>
      <c r="N554" s="337"/>
      <c r="O554" s="337"/>
    </row>
    <row r="555" spans="1:25" ht="18" customHeight="1" x14ac:dyDescent="0.2">
      <c r="A555" s="337"/>
      <c r="B555" s="337"/>
      <c r="C555" s="337"/>
      <c r="D555" s="337"/>
      <c r="E555" s="337"/>
      <c r="F555" s="337"/>
      <c r="G555" s="337"/>
      <c r="H555" s="337"/>
      <c r="I555" s="337"/>
      <c r="J555" s="337"/>
      <c r="K555" s="337"/>
      <c r="L555" s="337"/>
      <c r="M555" s="337"/>
      <c r="N555" s="337"/>
      <c r="O555" s="337"/>
    </row>
    <row r="556" spans="1:25" ht="18" customHeight="1" x14ac:dyDescent="0.2">
      <c r="A556" s="337"/>
      <c r="B556" s="337"/>
      <c r="C556" s="583" t="s">
        <v>319</v>
      </c>
      <c r="D556" s="583"/>
      <c r="E556" s="583"/>
      <c r="F556" s="583"/>
      <c r="G556" s="583"/>
      <c r="H556" s="583"/>
      <c r="I556" s="583"/>
      <c r="J556" s="583"/>
      <c r="K556" s="583"/>
      <c r="L556" s="583"/>
      <c r="M556" s="583"/>
      <c r="N556" s="583"/>
      <c r="O556" s="583"/>
      <c r="P556" s="583"/>
      <c r="Q556" s="583"/>
      <c r="R556" s="583"/>
      <c r="S556" s="583"/>
      <c r="T556" s="583"/>
      <c r="U556" s="583"/>
      <c r="V556" s="583"/>
      <c r="W556" s="583"/>
      <c r="X556" s="583"/>
      <c r="Y556" s="583"/>
    </row>
    <row r="557" spans="1:25" ht="18" customHeight="1" x14ac:dyDescent="0.2">
      <c r="A557" s="337"/>
      <c r="B557" s="337"/>
      <c r="C557" s="592"/>
      <c r="D557" s="592"/>
      <c r="E557" s="592"/>
      <c r="F557" s="592"/>
      <c r="G557" s="592"/>
      <c r="H557" s="592"/>
      <c r="I557" s="592"/>
      <c r="J557" s="592"/>
      <c r="K557" s="592"/>
      <c r="L557" s="592"/>
      <c r="M557" s="592"/>
      <c r="N557" s="592"/>
      <c r="O557" s="592"/>
      <c r="P557" s="592"/>
      <c r="Q557" s="592"/>
      <c r="R557" s="592"/>
      <c r="S557" s="592"/>
      <c r="T557" s="592"/>
      <c r="U557" s="592"/>
      <c r="V557" s="592"/>
      <c r="W557" s="592"/>
      <c r="X557" s="592"/>
      <c r="Y557" s="592"/>
    </row>
    <row r="558" spans="1:25" ht="18" customHeight="1" x14ac:dyDescent="0.2">
      <c r="A558" s="337"/>
      <c r="B558" s="337"/>
      <c r="C558" s="652" t="s">
        <v>749</v>
      </c>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row>
    <row r="559" spans="1:25" ht="18" customHeight="1" x14ac:dyDescent="0.2">
      <c r="A559" s="337"/>
      <c r="B559" s="337"/>
      <c r="C559" s="645"/>
      <c r="D559" s="646"/>
      <c r="E559" s="646"/>
      <c r="F559" s="646"/>
      <c r="G559" s="646"/>
      <c r="H559" s="646"/>
      <c r="I559" s="646"/>
      <c r="J559" s="646"/>
      <c r="K559" s="646"/>
      <c r="L559" s="646"/>
      <c r="M559" s="646"/>
      <c r="N559" s="646"/>
      <c r="O559" s="646"/>
      <c r="P559" s="646"/>
      <c r="Q559" s="646"/>
      <c r="R559" s="646"/>
      <c r="S559" s="646"/>
      <c r="T559" s="646"/>
      <c r="U559" s="646"/>
      <c r="V559" s="646"/>
      <c r="W559" s="646"/>
      <c r="X559" s="646"/>
      <c r="Y559" s="647"/>
    </row>
    <row r="560" spans="1:25" ht="18" customHeight="1" x14ac:dyDescent="0.2">
      <c r="A560" s="337"/>
      <c r="B560" s="337"/>
      <c r="C560" s="648"/>
      <c r="D560" s="649"/>
      <c r="E560" s="649"/>
      <c r="F560" s="649"/>
      <c r="G560" s="649"/>
      <c r="H560" s="649"/>
      <c r="I560" s="649"/>
      <c r="J560" s="649"/>
      <c r="K560" s="649"/>
      <c r="L560" s="649"/>
      <c r="M560" s="649"/>
      <c r="N560" s="649"/>
      <c r="O560" s="649"/>
      <c r="P560" s="649"/>
      <c r="Q560" s="649"/>
      <c r="R560" s="649"/>
      <c r="S560" s="649"/>
      <c r="T560" s="649"/>
      <c r="U560" s="649"/>
      <c r="V560" s="649"/>
      <c r="W560" s="649"/>
      <c r="X560" s="649"/>
      <c r="Y560" s="650"/>
    </row>
    <row r="561" spans="1:25" ht="18" customHeight="1" x14ac:dyDescent="0.2">
      <c r="A561" s="337"/>
      <c r="B561" s="337"/>
      <c r="C561" s="652" t="s">
        <v>752</v>
      </c>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row>
    <row r="562" spans="1:25" ht="18" customHeight="1" x14ac:dyDescent="0.2">
      <c r="A562" s="337"/>
      <c r="B562" s="337"/>
      <c r="C562" s="645"/>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7"/>
    </row>
    <row r="563" spans="1:25" ht="18" customHeight="1" x14ac:dyDescent="0.2">
      <c r="A563" s="337"/>
      <c r="B563" s="337"/>
      <c r="C563" s="648"/>
      <c r="D563" s="649"/>
      <c r="E563" s="649"/>
      <c r="F563" s="649"/>
      <c r="G563" s="649"/>
      <c r="H563" s="649"/>
      <c r="I563" s="649"/>
      <c r="J563" s="649"/>
      <c r="K563" s="649"/>
      <c r="L563" s="649"/>
      <c r="M563" s="649"/>
      <c r="N563" s="649"/>
      <c r="O563" s="649"/>
      <c r="P563" s="649"/>
      <c r="Q563" s="649"/>
      <c r="R563" s="649"/>
      <c r="S563" s="649"/>
      <c r="T563" s="649"/>
      <c r="U563" s="649"/>
      <c r="V563" s="649"/>
      <c r="W563" s="649"/>
      <c r="X563" s="649"/>
      <c r="Y563" s="650"/>
    </row>
    <row r="564" spans="1:25" ht="18" customHeight="1" x14ac:dyDescent="0.2">
      <c r="A564" s="337"/>
      <c r="B564" s="337"/>
      <c r="C564" s="653" t="s">
        <v>264</v>
      </c>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row>
    <row r="565" spans="1:25" ht="18" customHeight="1" x14ac:dyDescent="0.2">
      <c r="A565" s="337"/>
      <c r="B565" s="337"/>
      <c r="C565" s="645"/>
      <c r="D565" s="646"/>
      <c r="E565" s="646"/>
      <c r="F565" s="646"/>
      <c r="G565" s="646"/>
      <c r="H565" s="646"/>
      <c r="I565" s="646"/>
      <c r="J565" s="646"/>
      <c r="K565" s="646"/>
      <c r="L565" s="646"/>
      <c r="M565" s="646"/>
      <c r="N565" s="646"/>
      <c r="O565" s="646"/>
      <c r="P565" s="646"/>
      <c r="Q565" s="646"/>
      <c r="R565" s="646"/>
      <c r="S565" s="646"/>
      <c r="T565" s="646"/>
      <c r="U565" s="646"/>
      <c r="V565" s="646"/>
      <c r="W565" s="646"/>
      <c r="X565" s="646"/>
      <c r="Y565" s="647"/>
    </row>
    <row r="566" spans="1:25" ht="18" customHeight="1" x14ac:dyDescent="0.2">
      <c r="A566" s="337"/>
      <c r="B566" s="337"/>
      <c r="C566" s="648"/>
      <c r="D566" s="649"/>
      <c r="E566" s="649"/>
      <c r="F566" s="649"/>
      <c r="G566" s="649"/>
      <c r="H566" s="649"/>
      <c r="I566" s="649"/>
      <c r="J566" s="649"/>
      <c r="K566" s="649"/>
      <c r="L566" s="649"/>
      <c r="M566" s="649"/>
      <c r="N566" s="649"/>
      <c r="O566" s="649"/>
      <c r="P566" s="649"/>
      <c r="Q566" s="649"/>
      <c r="R566" s="649"/>
      <c r="S566" s="649"/>
      <c r="T566" s="649"/>
      <c r="U566" s="649"/>
      <c r="V566" s="649"/>
      <c r="W566" s="649"/>
      <c r="X566" s="649"/>
      <c r="Y566" s="650"/>
    </row>
    <row r="567" spans="1:25" ht="18" customHeight="1" x14ac:dyDescent="0.2">
      <c r="A567" s="337"/>
      <c r="B567" s="337"/>
      <c r="C567" s="651" t="s">
        <v>753</v>
      </c>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row>
    <row r="568" spans="1:25" ht="18" customHeight="1" x14ac:dyDescent="0.2">
      <c r="A568" s="337"/>
      <c r="B568" s="337"/>
      <c r="C568" s="645"/>
      <c r="D568" s="646"/>
      <c r="E568" s="646"/>
      <c r="F568" s="646"/>
      <c r="G568" s="646"/>
      <c r="H568" s="646"/>
      <c r="I568" s="646"/>
      <c r="J568" s="646"/>
      <c r="K568" s="646"/>
      <c r="L568" s="646"/>
      <c r="M568" s="646"/>
      <c r="N568" s="646"/>
      <c r="O568" s="646"/>
      <c r="P568" s="646"/>
      <c r="Q568" s="646"/>
      <c r="R568" s="646"/>
      <c r="S568" s="646"/>
      <c r="T568" s="646"/>
      <c r="U568" s="646"/>
      <c r="V568" s="646"/>
      <c r="W568" s="646"/>
      <c r="X568" s="646"/>
      <c r="Y568" s="647"/>
    </row>
    <row r="569" spans="1:25" ht="18" customHeight="1" x14ac:dyDescent="0.2">
      <c r="A569" s="337"/>
      <c r="B569" s="337"/>
      <c r="C569" s="648"/>
      <c r="D569" s="649"/>
      <c r="E569" s="649"/>
      <c r="F569" s="649"/>
      <c r="G569" s="649"/>
      <c r="H569" s="649"/>
      <c r="I569" s="649"/>
      <c r="J569" s="649"/>
      <c r="K569" s="649"/>
      <c r="L569" s="649"/>
      <c r="M569" s="649"/>
      <c r="N569" s="649"/>
      <c r="O569" s="649"/>
      <c r="P569" s="649"/>
      <c r="Q569" s="649"/>
      <c r="R569" s="649"/>
      <c r="S569" s="649"/>
      <c r="T569" s="649"/>
      <c r="U569" s="649"/>
      <c r="V569" s="649"/>
      <c r="W569" s="649"/>
      <c r="X569" s="649"/>
      <c r="Y569" s="650"/>
    </row>
    <row r="570" spans="1:25" ht="18" customHeight="1" x14ac:dyDescent="0.2">
      <c r="A570" s="337"/>
      <c r="B570" s="337"/>
      <c r="C570" s="337"/>
      <c r="D570" s="337"/>
      <c r="E570" s="337"/>
      <c r="F570" s="337"/>
      <c r="G570" s="337"/>
      <c r="H570" s="337"/>
      <c r="I570" s="337"/>
      <c r="J570" s="337"/>
      <c r="K570" s="337"/>
      <c r="L570" s="337"/>
      <c r="M570" s="337"/>
      <c r="N570" s="337"/>
      <c r="O570" s="337"/>
    </row>
    <row r="571" spans="1:25" ht="18" customHeight="1" x14ac:dyDescent="0.2">
      <c r="A571" s="337"/>
      <c r="B571" s="337"/>
      <c r="C571" s="337"/>
      <c r="D571" s="337"/>
      <c r="E571" s="337"/>
      <c r="F571" s="337"/>
      <c r="G571" s="337"/>
      <c r="H571" s="337"/>
      <c r="I571" s="337"/>
      <c r="J571" s="337"/>
      <c r="K571" s="337"/>
      <c r="L571" s="337"/>
      <c r="M571" s="337"/>
      <c r="N571" s="337"/>
      <c r="O571" s="337"/>
    </row>
    <row r="572" spans="1:25" ht="33.75" customHeight="1" x14ac:dyDescent="0.2">
      <c r="A572" s="337"/>
      <c r="B572" s="337"/>
      <c r="C572" s="341" t="s">
        <v>395</v>
      </c>
      <c r="D572" s="695" t="s">
        <v>754</v>
      </c>
      <c r="E572" s="696"/>
      <c r="F572" s="696"/>
      <c r="G572" s="696"/>
      <c r="H572" s="696"/>
      <c r="I572" s="696"/>
      <c r="J572" s="696"/>
      <c r="K572" s="696"/>
      <c r="L572" s="696"/>
      <c r="M572" s="696"/>
      <c r="N572" s="696"/>
      <c r="O572" s="696"/>
      <c r="P572" s="696"/>
      <c r="Q572" s="696"/>
      <c r="R572" s="696"/>
      <c r="S572" s="696"/>
      <c r="T572" s="696"/>
      <c r="U572" s="696"/>
      <c r="V572" s="696"/>
      <c r="W572" s="696"/>
      <c r="X572" s="696"/>
      <c r="Y572" s="697"/>
    </row>
    <row r="573" spans="1:25" ht="18" customHeight="1" x14ac:dyDescent="0.2">
      <c r="A573" s="337"/>
      <c r="B573" s="337"/>
      <c r="C573" s="517"/>
      <c r="D573" s="517"/>
      <c r="E573" s="517"/>
      <c r="F573" s="517"/>
      <c r="G573" s="517"/>
      <c r="H573" s="517"/>
      <c r="I573" s="517"/>
      <c r="J573" s="517"/>
      <c r="K573" s="517"/>
      <c r="L573" s="517"/>
      <c r="M573" s="517"/>
      <c r="N573" s="517"/>
      <c r="O573" s="517"/>
      <c r="P573" s="517"/>
      <c r="Q573" s="517"/>
      <c r="R573" s="517"/>
      <c r="S573" s="517"/>
      <c r="T573" s="517"/>
      <c r="U573" s="517"/>
      <c r="V573" s="517"/>
      <c r="W573" s="517"/>
      <c r="X573" s="517"/>
      <c r="Y573" s="517"/>
    </row>
    <row r="574" spans="1:25" ht="18" customHeight="1" x14ac:dyDescent="0.2">
      <c r="A574" s="337"/>
      <c r="B574" s="337"/>
      <c r="C574" s="583" t="s">
        <v>320</v>
      </c>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row>
    <row r="575" spans="1:25" ht="18" customHeight="1" x14ac:dyDescent="0.2">
      <c r="A575" s="337"/>
      <c r="B575" s="337"/>
      <c r="C575" s="583"/>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row>
    <row r="576" spans="1:25" ht="18" customHeight="1" x14ac:dyDescent="0.2">
      <c r="A576" s="337"/>
      <c r="B576" s="337"/>
      <c r="C576" s="645"/>
      <c r="D576" s="646"/>
      <c r="E576" s="646"/>
      <c r="F576" s="646"/>
      <c r="G576" s="646"/>
      <c r="H576" s="646"/>
      <c r="I576" s="646"/>
      <c r="J576" s="646"/>
      <c r="K576" s="646"/>
      <c r="L576" s="646"/>
      <c r="M576" s="646"/>
      <c r="N576" s="646"/>
      <c r="O576" s="646"/>
      <c r="P576" s="646"/>
      <c r="Q576" s="646"/>
      <c r="R576" s="646"/>
      <c r="S576" s="646"/>
      <c r="T576" s="646"/>
      <c r="U576" s="646"/>
      <c r="V576" s="646"/>
      <c r="W576" s="646"/>
      <c r="X576" s="646"/>
      <c r="Y576" s="647"/>
    </row>
    <row r="577" spans="1:25" ht="18" customHeight="1" x14ac:dyDescent="0.2">
      <c r="A577" s="337"/>
      <c r="B577" s="337"/>
      <c r="C577" s="648"/>
      <c r="D577" s="649"/>
      <c r="E577" s="649"/>
      <c r="F577" s="649"/>
      <c r="G577" s="649"/>
      <c r="H577" s="649"/>
      <c r="I577" s="649"/>
      <c r="J577" s="649"/>
      <c r="K577" s="649"/>
      <c r="L577" s="649"/>
      <c r="M577" s="649"/>
      <c r="N577" s="649"/>
      <c r="O577" s="649"/>
      <c r="P577" s="649"/>
      <c r="Q577" s="649"/>
      <c r="R577" s="649"/>
      <c r="S577" s="649"/>
      <c r="T577" s="649"/>
      <c r="U577" s="649"/>
      <c r="V577" s="649"/>
      <c r="W577" s="649"/>
      <c r="X577" s="649"/>
      <c r="Y577" s="650"/>
    </row>
    <row r="578" spans="1:25" ht="18" customHeight="1" x14ac:dyDescent="0.2">
      <c r="A578" s="337"/>
      <c r="B578" s="337"/>
      <c r="C578" s="345"/>
      <c r="D578" s="337"/>
      <c r="E578" s="337"/>
      <c r="F578" s="337"/>
      <c r="G578" s="337"/>
      <c r="H578" s="337"/>
      <c r="I578" s="337"/>
      <c r="J578" s="337"/>
      <c r="K578" s="337"/>
      <c r="L578" s="337"/>
      <c r="M578" s="337"/>
      <c r="N578" s="337"/>
      <c r="O578" s="337"/>
    </row>
    <row r="579" spans="1:25" ht="18" customHeight="1" x14ac:dyDescent="0.2">
      <c r="A579" s="337"/>
      <c r="B579" s="337"/>
      <c r="C579" s="345"/>
      <c r="D579" s="337"/>
      <c r="E579" s="337"/>
      <c r="F579" s="337"/>
      <c r="G579" s="337"/>
      <c r="H579" s="337"/>
      <c r="I579" s="337"/>
      <c r="J579" s="337"/>
      <c r="K579" s="337"/>
      <c r="L579" s="337"/>
      <c r="M579" s="337"/>
      <c r="N579" s="337"/>
      <c r="O579" s="337"/>
    </row>
    <row r="580" spans="1:25" ht="18" customHeight="1" x14ac:dyDescent="0.2">
      <c r="A580" s="337"/>
      <c r="B580" s="337"/>
      <c r="C580" s="583" t="s">
        <v>321</v>
      </c>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row>
    <row r="581" spans="1:25" ht="18" customHeight="1" x14ac:dyDescent="0.2">
      <c r="A581" s="337"/>
      <c r="B581" s="337"/>
      <c r="C581" s="583"/>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row>
    <row r="582" spans="1:25" ht="18" customHeight="1" x14ac:dyDescent="0.2">
      <c r="A582" s="337"/>
      <c r="B582" s="337"/>
      <c r="C582" s="645"/>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7"/>
    </row>
    <row r="583" spans="1:25" ht="18" customHeight="1" x14ac:dyDescent="0.2">
      <c r="A583" s="337"/>
      <c r="B583" s="337"/>
      <c r="C583" s="648"/>
      <c r="D583" s="649"/>
      <c r="E583" s="649"/>
      <c r="F583" s="649"/>
      <c r="G583" s="649"/>
      <c r="H583" s="649"/>
      <c r="I583" s="649"/>
      <c r="J583" s="649"/>
      <c r="K583" s="649"/>
      <c r="L583" s="649"/>
      <c r="M583" s="649"/>
      <c r="N583" s="649"/>
      <c r="O583" s="649"/>
      <c r="P583" s="649"/>
      <c r="Q583" s="649"/>
      <c r="R583" s="649"/>
      <c r="S583" s="649"/>
      <c r="T583" s="649"/>
      <c r="U583" s="649"/>
      <c r="V583" s="649"/>
      <c r="W583" s="649"/>
      <c r="X583" s="649"/>
      <c r="Y583" s="650"/>
    </row>
    <row r="584" spans="1:25" ht="18" customHeight="1" x14ac:dyDescent="0.2">
      <c r="A584" s="337"/>
      <c r="B584" s="337"/>
      <c r="C584" s="345"/>
      <c r="D584" s="337"/>
      <c r="E584" s="337"/>
      <c r="F584" s="337"/>
      <c r="G584" s="337"/>
      <c r="H584" s="337"/>
      <c r="I584" s="337"/>
      <c r="J584" s="337"/>
      <c r="K584" s="337"/>
      <c r="L584" s="337"/>
      <c r="M584" s="337"/>
      <c r="N584" s="337"/>
      <c r="O584" s="337"/>
    </row>
    <row r="585" spans="1:25" ht="18" customHeight="1" x14ac:dyDescent="0.2">
      <c r="A585" s="337"/>
      <c r="B585" s="337"/>
      <c r="C585" s="345"/>
      <c r="D585" s="337"/>
      <c r="E585" s="337"/>
      <c r="F585" s="337"/>
      <c r="G585" s="337"/>
      <c r="H585" s="337"/>
      <c r="I585" s="337"/>
      <c r="J585" s="337"/>
      <c r="K585" s="337"/>
      <c r="L585" s="337"/>
      <c r="M585" s="337"/>
      <c r="N585" s="337"/>
      <c r="O585" s="337"/>
    </row>
    <row r="586" spans="1:25" ht="18" customHeight="1" x14ac:dyDescent="0.2">
      <c r="A586" s="337"/>
      <c r="B586" s="337"/>
      <c r="C586" s="583" t="s">
        <v>322</v>
      </c>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row>
    <row r="587" spans="1:25" ht="18" customHeight="1" x14ac:dyDescent="0.2">
      <c r="A587" s="337"/>
      <c r="B587" s="337"/>
      <c r="C587" s="583"/>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row>
    <row r="588" spans="1:25" ht="18" customHeight="1" x14ac:dyDescent="0.2">
      <c r="A588" s="337"/>
      <c r="B588" s="337"/>
      <c r="C588" s="645"/>
      <c r="D588" s="646"/>
      <c r="E588" s="646"/>
      <c r="F588" s="646"/>
      <c r="G588" s="646"/>
      <c r="H588" s="646"/>
      <c r="I588" s="646"/>
      <c r="J588" s="646"/>
      <c r="K588" s="646"/>
      <c r="L588" s="646"/>
      <c r="M588" s="646"/>
      <c r="N588" s="646"/>
      <c r="O588" s="646"/>
      <c r="P588" s="646"/>
      <c r="Q588" s="646"/>
      <c r="R588" s="646"/>
      <c r="S588" s="646"/>
      <c r="T588" s="646"/>
      <c r="U588" s="646"/>
      <c r="V588" s="646"/>
      <c r="W588" s="646"/>
      <c r="X588" s="646"/>
      <c r="Y588" s="647"/>
    </row>
    <row r="589" spans="1:25" ht="18" customHeight="1" x14ac:dyDescent="0.2">
      <c r="A589" s="337"/>
      <c r="B589" s="337"/>
      <c r="C589" s="648"/>
      <c r="D589" s="649"/>
      <c r="E589" s="649"/>
      <c r="F589" s="649"/>
      <c r="G589" s="649"/>
      <c r="H589" s="649"/>
      <c r="I589" s="649"/>
      <c r="J589" s="649"/>
      <c r="K589" s="649"/>
      <c r="L589" s="649"/>
      <c r="M589" s="649"/>
      <c r="N589" s="649"/>
      <c r="O589" s="649"/>
      <c r="P589" s="649"/>
      <c r="Q589" s="649"/>
      <c r="R589" s="649"/>
      <c r="S589" s="649"/>
      <c r="T589" s="649"/>
      <c r="U589" s="649"/>
      <c r="V589" s="649"/>
      <c r="W589" s="649"/>
      <c r="X589" s="649"/>
      <c r="Y589" s="650"/>
    </row>
    <row r="590" spans="1:25" ht="18" customHeight="1" x14ac:dyDescent="0.2">
      <c r="A590" s="337"/>
      <c r="B590" s="337"/>
      <c r="C590" s="345"/>
      <c r="D590" s="337"/>
      <c r="E590" s="337"/>
      <c r="F590" s="337"/>
      <c r="G590" s="337"/>
      <c r="H590" s="337"/>
      <c r="I590" s="337"/>
      <c r="J590" s="337"/>
      <c r="K590" s="337"/>
      <c r="L590" s="337"/>
      <c r="M590" s="337"/>
      <c r="N590" s="386"/>
      <c r="O590" s="380"/>
    </row>
    <row r="591" spans="1:25" ht="18" customHeight="1" x14ac:dyDescent="0.2">
      <c r="A591" s="337"/>
      <c r="B591" s="337"/>
      <c r="C591" s="345"/>
      <c r="D591" s="337"/>
      <c r="E591" s="337"/>
      <c r="F591" s="337"/>
      <c r="G591" s="337"/>
      <c r="H591" s="337"/>
      <c r="I591" s="337"/>
      <c r="J591" s="337"/>
      <c r="K591" s="337"/>
      <c r="L591" s="337"/>
      <c r="M591" s="337"/>
      <c r="N591" s="386"/>
      <c r="O591" s="380"/>
    </row>
    <row r="592" spans="1:25" ht="18" customHeight="1" x14ac:dyDescent="0.2">
      <c r="A592" s="337"/>
      <c r="B592" s="337"/>
      <c r="C592" s="583" t="s">
        <v>323</v>
      </c>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row>
    <row r="593" spans="1:25" ht="18" customHeight="1" x14ac:dyDescent="0.2">
      <c r="A593" s="337"/>
      <c r="B593" s="337"/>
      <c r="C593" s="592"/>
      <c r="D593" s="592"/>
      <c r="E593" s="592"/>
      <c r="F593" s="592"/>
      <c r="G593" s="592"/>
      <c r="H593" s="592"/>
      <c r="I593" s="592"/>
      <c r="J593" s="592"/>
      <c r="K593" s="592"/>
      <c r="L593" s="592"/>
      <c r="M593" s="592"/>
      <c r="N593" s="592"/>
      <c r="O593" s="592"/>
      <c r="P593" s="592"/>
      <c r="Q593" s="592"/>
      <c r="R593" s="592"/>
      <c r="S593" s="592"/>
      <c r="T593" s="592"/>
      <c r="U593" s="592"/>
      <c r="V593" s="592"/>
      <c r="W593" s="592"/>
      <c r="X593" s="592"/>
      <c r="Y593" s="592"/>
    </row>
    <row r="594" spans="1:25" ht="18" customHeight="1" x14ac:dyDescent="0.2">
      <c r="A594" s="337"/>
      <c r="B594" s="337"/>
      <c r="C594" s="354" t="s">
        <v>234</v>
      </c>
      <c r="D594" s="354"/>
      <c r="E594" s="337"/>
      <c r="H594" s="368"/>
      <c r="I594" s="353" t="s">
        <v>28</v>
      </c>
      <c r="J594" s="588"/>
      <c r="K594" s="588"/>
      <c r="P594" s="339"/>
      <c r="Q594" s="368"/>
      <c r="R594" s="368"/>
      <c r="S594" s="369" t="s">
        <v>29</v>
      </c>
      <c r="T594" s="588"/>
      <c r="U594" s="588"/>
      <c r="V594" s="588"/>
      <c r="W594" s="588"/>
    </row>
    <row r="595" spans="1:25" ht="18" customHeight="1" x14ac:dyDescent="0.2">
      <c r="A595" s="337"/>
      <c r="B595" s="337"/>
      <c r="C595" s="345"/>
      <c r="D595" s="337"/>
      <c r="E595" s="337"/>
      <c r="F595" s="337"/>
      <c r="G595" s="337"/>
      <c r="H595" s="337"/>
      <c r="I595" s="337"/>
      <c r="J595" s="337"/>
      <c r="K595" s="337"/>
      <c r="L595" s="337"/>
      <c r="M595" s="337"/>
      <c r="N595" s="337"/>
      <c r="O595" s="337"/>
    </row>
    <row r="596" spans="1:25" ht="18" customHeight="1" x14ac:dyDescent="0.2">
      <c r="A596" s="337"/>
      <c r="B596" s="337"/>
      <c r="C596" s="345"/>
      <c r="D596" s="337"/>
      <c r="E596" s="337"/>
      <c r="F596" s="337"/>
      <c r="G596" s="337"/>
      <c r="H596" s="337"/>
      <c r="I596" s="337"/>
      <c r="J596" s="337"/>
      <c r="K596" s="337"/>
      <c r="L596" s="337"/>
      <c r="M596" s="337"/>
      <c r="N596" s="337"/>
      <c r="O596" s="337"/>
    </row>
    <row r="597" spans="1:25" ht="18" customHeight="1" x14ac:dyDescent="0.2">
      <c r="A597" s="337"/>
      <c r="B597" s="337"/>
      <c r="C597" s="583" t="s">
        <v>376</v>
      </c>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row>
    <row r="598" spans="1:25" ht="18" customHeight="1" x14ac:dyDescent="0.2">
      <c r="A598" s="337"/>
      <c r="B598" s="337"/>
      <c r="C598" s="592"/>
      <c r="D598" s="592"/>
      <c r="E598" s="592"/>
      <c r="F598" s="592"/>
      <c r="G598" s="592"/>
      <c r="H598" s="592"/>
      <c r="I598" s="592"/>
      <c r="J598" s="592"/>
      <c r="K598" s="592"/>
      <c r="L598" s="592"/>
      <c r="M598" s="592"/>
      <c r="N598" s="592"/>
      <c r="O598" s="592"/>
      <c r="P598" s="592"/>
      <c r="Q598" s="592"/>
      <c r="R598" s="592"/>
      <c r="S598" s="592"/>
      <c r="T598" s="592"/>
      <c r="U598" s="592"/>
      <c r="V598" s="592"/>
      <c r="W598" s="592"/>
      <c r="X598" s="592"/>
      <c r="Y598" s="592"/>
    </row>
    <row r="599" spans="1:25" ht="18" customHeight="1" x14ac:dyDescent="0.2">
      <c r="A599" s="337"/>
      <c r="B599" s="337"/>
      <c r="C599" s="356"/>
      <c r="D599" s="443"/>
      <c r="E599" s="443"/>
      <c r="F599" s="443"/>
      <c r="G599" s="641" t="s">
        <v>265</v>
      </c>
      <c r="H599" s="641"/>
      <c r="I599" s="641"/>
      <c r="J599" s="641"/>
      <c r="K599" s="641"/>
      <c r="L599" s="641"/>
      <c r="M599" s="641"/>
      <c r="N599" s="641"/>
      <c r="O599" s="641"/>
      <c r="P599" s="641"/>
      <c r="Q599" s="641"/>
      <c r="R599" s="641"/>
      <c r="S599" s="641"/>
    </row>
    <row r="600" spans="1:25" ht="18" customHeight="1" x14ac:dyDescent="0.2">
      <c r="A600" s="337"/>
      <c r="B600" s="337"/>
      <c r="C600" s="419"/>
      <c r="D600" s="419"/>
      <c r="E600" s="419"/>
      <c r="F600" s="419"/>
      <c r="G600" s="642"/>
      <c r="H600" s="642"/>
      <c r="I600" s="642"/>
      <c r="J600" s="642"/>
      <c r="K600" s="642"/>
      <c r="L600" s="642"/>
      <c r="M600" s="642"/>
      <c r="N600" s="642"/>
      <c r="O600" s="642"/>
      <c r="P600" s="642"/>
      <c r="Q600" s="642"/>
      <c r="R600" s="642"/>
      <c r="S600" s="642"/>
      <c r="T600" s="590"/>
      <c r="U600" s="590"/>
      <c r="V600" s="590"/>
      <c r="W600" s="590"/>
      <c r="X600" s="591" t="s">
        <v>118</v>
      </c>
      <c r="Y600" s="591"/>
    </row>
    <row r="601" spans="1:25" ht="18" customHeight="1" x14ac:dyDescent="0.2">
      <c r="A601" s="337"/>
      <c r="B601" s="337"/>
      <c r="C601" s="345"/>
      <c r="D601" s="419"/>
      <c r="E601" s="419"/>
      <c r="F601" s="419"/>
      <c r="G601" s="419"/>
      <c r="H601" s="419"/>
      <c r="I601" s="419"/>
      <c r="J601" s="419"/>
      <c r="K601" s="337"/>
      <c r="L601" s="337"/>
      <c r="M601" s="337"/>
      <c r="N601" s="337"/>
      <c r="O601" s="337"/>
    </row>
    <row r="602" spans="1:25" ht="18" customHeight="1" x14ac:dyDescent="0.2">
      <c r="A602" s="337"/>
      <c r="B602" s="337"/>
      <c r="C602" s="337"/>
      <c r="D602" s="337"/>
      <c r="E602" s="337"/>
      <c r="F602" s="337"/>
      <c r="G602" s="337"/>
      <c r="H602" s="337"/>
      <c r="I602" s="337"/>
      <c r="J602" s="337"/>
      <c r="K602" s="444"/>
      <c r="L602" s="337"/>
      <c r="M602" s="337"/>
      <c r="N602" s="337"/>
      <c r="O602" s="337"/>
    </row>
    <row r="603" spans="1:25" ht="35.25" customHeight="1" x14ac:dyDescent="0.2">
      <c r="A603" s="337"/>
      <c r="B603" s="337"/>
      <c r="C603" s="341">
        <v>2</v>
      </c>
      <c r="D603" s="695" t="s">
        <v>385</v>
      </c>
      <c r="E603" s="696"/>
      <c r="F603" s="696"/>
      <c r="G603" s="696"/>
      <c r="H603" s="696"/>
      <c r="I603" s="696"/>
      <c r="J603" s="696"/>
      <c r="K603" s="696"/>
      <c r="L603" s="696"/>
      <c r="M603" s="696"/>
      <c r="N603" s="696"/>
      <c r="O603" s="696"/>
      <c r="P603" s="696"/>
      <c r="Q603" s="696"/>
      <c r="R603" s="696"/>
      <c r="S603" s="696"/>
      <c r="T603" s="696"/>
      <c r="U603" s="696"/>
      <c r="V603" s="696"/>
      <c r="W603" s="696"/>
      <c r="X603" s="696"/>
      <c r="Y603" s="697"/>
    </row>
    <row r="604" spans="1:25" ht="18" customHeight="1" x14ac:dyDescent="0.2">
      <c r="A604" s="337"/>
      <c r="B604" s="337"/>
      <c r="C604" s="337"/>
      <c r="D604" s="337"/>
      <c r="E604" s="337"/>
      <c r="F604" s="337"/>
      <c r="G604" s="337"/>
      <c r="H604" s="337"/>
      <c r="I604" s="337"/>
      <c r="J604" s="337"/>
      <c r="K604" s="337"/>
      <c r="L604" s="337"/>
      <c r="M604" s="337"/>
      <c r="N604" s="337"/>
      <c r="O604" s="337"/>
    </row>
    <row r="605" spans="1:25" ht="18" customHeight="1" x14ac:dyDescent="0.2">
      <c r="A605" s="337"/>
      <c r="B605" s="337"/>
      <c r="C605" s="337"/>
      <c r="D605" s="337"/>
      <c r="E605" s="337"/>
      <c r="F605" s="337"/>
      <c r="G605" s="337"/>
      <c r="H605" s="337"/>
      <c r="I605" s="343" t="s">
        <v>266</v>
      </c>
      <c r="J605" s="643"/>
      <c r="K605" s="644"/>
      <c r="L605" s="337"/>
      <c r="M605" s="337"/>
      <c r="N605" s="337"/>
      <c r="O605" s="337"/>
    </row>
    <row r="606" spans="1:25" ht="18" customHeight="1" x14ac:dyDescent="0.2">
      <c r="A606" s="337"/>
      <c r="B606" s="337"/>
      <c r="C606" s="345"/>
      <c r="D606" s="337"/>
      <c r="E606" s="337"/>
      <c r="F606" s="337"/>
      <c r="G606" s="337"/>
      <c r="H606" s="337"/>
      <c r="I606" s="445"/>
      <c r="J606" s="337"/>
      <c r="K606" s="337"/>
      <c r="L606" s="337"/>
      <c r="M606" s="337"/>
      <c r="N606" s="337"/>
      <c r="O606" s="337"/>
    </row>
    <row r="607" spans="1:25" ht="18" customHeight="1" x14ac:dyDescent="0.2">
      <c r="A607" s="337"/>
      <c r="B607" s="337"/>
      <c r="C607" s="344" t="s">
        <v>267</v>
      </c>
      <c r="D607" s="344"/>
      <c r="E607" s="344"/>
      <c r="F607" s="344"/>
      <c r="G607" s="344"/>
      <c r="H607" s="344"/>
      <c r="I607" s="344"/>
      <c r="J607" s="344"/>
      <c r="K607" s="344"/>
      <c r="L607" s="344"/>
      <c r="M607" s="344"/>
      <c r="N607" s="337"/>
      <c r="O607" s="337"/>
    </row>
    <row r="608" spans="1:25" ht="18" customHeight="1" x14ac:dyDescent="0.2">
      <c r="A608" s="337"/>
      <c r="B608" s="337"/>
      <c r="C608" s="344"/>
      <c r="D608" s="446"/>
      <c r="E608" s="447"/>
      <c r="F608" s="640" t="s">
        <v>0</v>
      </c>
      <c r="G608" s="640"/>
      <c r="H608" s="640"/>
      <c r="I608" s="640" t="s">
        <v>1</v>
      </c>
      <c r="J608" s="640"/>
      <c r="K608" s="640"/>
      <c r="L608" s="640" t="s">
        <v>2</v>
      </c>
      <c r="M608" s="640"/>
      <c r="N608" s="640"/>
      <c r="O608" s="640" t="s">
        <v>3</v>
      </c>
      <c r="P608" s="640"/>
      <c r="Q608" s="640"/>
      <c r="R608" s="640"/>
      <c r="S608" s="640"/>
      <c r="T608" s="640"/>
    </row>
    <row r="609" spans="1:25" ht="18" customHeight="1" x14ac:dyDescent="0.2">
      <c r="A609" s="337"/>
      <c r="B609" s="337"/>
      <c r="C609" s="344"/>
      <c r="D609" s="446"/>
      <c r="E609" s="447"/>
      <c r="F609" s="638"/>
      <c r="G609" s="638"/>
      <c r="H609" s="638"/>
      <c r="I609" s="638"/>
      <c r="J609" s="638"/>
      <c r="K609" s="638"/>
      <c r="L609" s="638"/>
      <c r="M609" s="638"/>
      <c r="N609" s="638"/>
      <c r="O609" s="638"/>
      <c r="P609" s="638"/>
      <c r="Q609" s="638"/>
      <c r="R609" s="638"/>
      <c r="S609" s="638"/>
      <c r="T609" s="638"/>
    </row>
    <row r="610" spans="1:25" ht="18" customHeight="1" x14ac:dyDescent="0.2">
      <c r="A610" s="337"/>
      <c r="B610" s="337"/>
      <c r="C610" s="344"/>
      <c r="D610" s="446"/>
      <c r="E610" s="447"/>
      <c r="F610" s="638"/>
      <c r="G610" s="638"/>
      <c r="H610" s="638"/>
      <c r="I610" s="638"/>
      <c r="J610" s="638"/>
      <c r="K610" s="638"/>
      <c r="L610" s="638"/>
      <c r="M610" s="638"/>
      <c r="N610" s="638"/>
      <c r="O610" s="638"/>
      <c r="P610" s="638"/>
      <c r="Q610" s="638"/>
      <c r="R610" s="638"/>
      <c r="S610" s="638"/>
      <c r="T610" s="638"/>
    </row>
    <row r="611" spans="1:25" ht="18" customHeight="1" x14ac:dyDescent="0.2">
      <c r="A611" s="337"/>
      <c r="B611" s="337"/>
      <c r="C611" s="344"/>
      <c r="D611" s="446"/>
      <c r="E611" s="447"/>
      <c r="F611" s="638"/>
      <c r="G611" s="638"/>
      <c r="H611" s="638"/>
      <c r="I611" s="638"/>
      <c r="J611" s="638"/>
      <c r="K611" s="638"/>
      <c r="L611" s="638"/>
      <c r="M611" s="638"/>
      <c r="N611" s="638"/>
      <c r="O611" s="638"/>
      <c r="P611" s="638"/>
      <c r="Q611" s="638"/>
      <c r="R611" s="638"/>
      <c r="S611" s="638"/>
      <c r="T611" s="638"/>
    </row>
    <row r="612" spans="1:25" ht="18" customHeight="1" x14ac:dyDescent="0.2">
      <c r="A612" s="337"/>
      <c r="B612" s="337"/>
      <c r="C612" s="344"/>
      <c r="D612" s="446"/>
      <c r="E612" s="447"/>
      <c r="F612" s="638"/>
      <c r="G612" s="638"/>
      <c r="H612" s="638"/>
      <c r="I612" s="638"/>
      <c r="J612" s="638"/>
      <c r="K612" s="638"/>
      <c r="L612" s="638"/>
      <c r="M612" s="638"/>
      <c r="N612" s="638"/>
      <c r="O612" s="638"/>
      <c r="P612" s="638"/>
      <c r="Q612" s="638"/>
      <c r="R612" s="638"/>
      <c r="S612" s="638"/>
      <c r="T612" s="638"/>
    </row>
    <row r="613" spans="1:25" ht="18" customHeight="1" x14ac:dyDescent="0.2">
      <c r="A613" s="337"/>
      <c r="B613" s="337"/>
      <c r="C613" s="345"/>
      <c r="D613" s="337"/>
      <c r="E613" s="337"/>
      <c r="F613" s="337"/>
      <c r="G613" s="337"/>
      <c r="H613" s="337"/>
      <c r="I613" s="337"/>
      <c r="J613" s="337"/>
      <c r="K613" s="337"/>
      <c r="L613" s="337"/>
      <c r="M613" s="337"/>
      <c r="N613" s="337"/>
      <c r="O613" s="337"/>
    </row>
    <row r="614" spans="1:25" ht="18" customHeight="1" x14ac:dyDescent="0.2">
      <c r="A614" s="337"/>
      <c r="B614" s="337"/>
      <c r="C614" s="345"/>
      <c r="D614" s="337"/>
      <c r="E614" s="337"/>
      <c r="F614" s="337"/>
      <c r="G614" s="337"/>
      <c r="H614" s="337"/>
      <c r="I614" s="337"/>
      <c r="J614" s="337"/>
      <c r="K614" s="337"/>
      <c r="L614" s="337"/>
      <c r="M614" s="337"/>
      <c r="N614" s="337"/>
      <c r="O614" s="337"/>
    </row>
    <row r="615" spans="1:25" ht="33.75" customHeight="1" x14ac:dyDescent="0.2">
      <c r="A615" s="337"/>
      <c r="B615" s="337"/>
      <c r="C615" s="341" t="s">
        <v>394</v>
      </c>
      <c r="D615" s="695" t="s">
        <v>409</v>
      </c>
      <c r="E615" s="696"/>
      <c r="F615" s="696"/>
      <c r="G615" s="696"/>
      <c r="H615" s="696"/>
      <c r="I615" s="696"/>
      <c r="J615" s="696"/>
      <c r="K615" s="696"/>
      <c r="L615" s="696"/>
      <c r="M615" s="696"/>
      <c r="N615" s="696"/>
      <c r="O615" s="696"/>
      <c r="P615" s="696"/>
      <c r="Q615" s="696"/>
      <c r="R615" s="696"/>
      <c r="S615" s="696"/>
      <c r="T615" s="696"/>
      <c r="U615" s="696"/>
      <c r="V615" s="696"/>
      <c r="W615" s="696"/>
      <c r="X615" s="696"/>
      <c r="Y615" s="697"/>
    </row>
    <row r="616" spans="1:25" ht="18" customHeight="1" x14ac:dyDescent="0.2">
      <c r="A616" s="337"/>
      <c r="B616" s="337"/>
      <c r="C616" s="517"/>
      <c r="D616" s="517"/>
      <c r="E616" s="517"/>
      <c r="F616" s="517"/>
      <c r="G616" s="517"/>
      <c r="H616" s="517"/>
      <c r="I616" s="517"/>
      <c r="J616" s="517"/>
      <c r="K616" s="517"/>
      <c r="L616" s="517"/>
      <c r="M616" s="517"/>
      <c r="N616" s="517"/>
      <c r="O616" s="517"/>
      <c r="P616" s="517"/>
      <c r="Q616" s="517"/>
      <c r="R616" s="517"/>
      <c r="S616" s="517"/>
      <c r="T616" s="517"/>
      <c r="U616" s="517"/>
      <c r="V616" s="517"/>
      <c r="W616" s="517"/>
      <c r="X616" s="517"/>
      <c r="Y616" s="517"/>
    </row>
    <row r="617" spans="1:25" ht="18" customHeight="1" x14ac:dyDescent="0.2">
      <c r="A617" s="337"/>
      <c r="B617" s="337"/>
      <c r="C617" s="581" t="s">
        <v>324</v>
      </c>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row>
    <row r="618" spans="1:25" ht="18" customHeight="1" x14ac:dyDescent="0.2">
      <c r="A618" s="346"/>
      <c r="B618" s="346"/>
      <c r="C618" s="619" t="s">
        <v>74</v>
      </c>
      <c r="D618" s="619"/>
      <c r="E618" s="619"/>
      <c r="F618" s="619"/>
      <c r="G618" s="619"/>
      <c r="H618" s="619"/>
      <c r="I618" s="619"/>
      <c r="J618" s="619"/>
      <c r="K618" s="619"/>
      <c r="L618" s="619"/>
      <c r="M618" s="619"/>
      <c r="N618" s="619"/>
      <c r="O618" s="619"/>
      <c r="P618" s="619"/>
      <c r="Q618" s="619"/>
      <c r="R618" s="619"/>
      <c r="S618" s="619"/>
      <c r="T618" s="448" t="s">
        <v>73</v>
      </c>
      <c r="U618" s="347"/>
      <c r="V618" s="347"/>
      <c r="W618" s="347"/>
      <c r="X618" s="347"/>
      <c r="Y618" s="347"/>
    </row>
    <row r="619" spans="1:25" ht="18" customHeight="1" x14ac:dyDescent="0.2">
      <c r="A619" s="346"/>
      <c r="B619" s="346"/>
      <c r="C619" s="639" t="s">
        <v>377</v>
      </c>
      <c r="D619" s="639"/>
      <c r="E619" s="639"/>
      <c r="F619" s="639"/>
      <c r="G619" s="639"/>
      <c r="H619" s="639"/>
      <c r="I619" s="639"/>
      <c r="J619" s="639"/>
      <c r="K619" s="639"/>
      <c r="L619" s="639"/>
      <c r="M619" s="639"/>
      <c r="N619" s="639"/>
      <c r="O619" s="639"/>
      <c r="P619" s="639"/>
      <c r="Q619" s="639"/>
      <c r="R619" s="639"/>
      <c r="S619" s="639"/>
      <c r="T619" s="590"/>
      <c r="U619" s="590"/>
      <c r="V619" s="590"/>
      <c r="W619" s="590"/>
      <c r="X619" s="579" t="s">
        <v>5</v>
      </c>
      <c r="Y619" s="579"/>
    </row>
    <row r="620" spans="1:25" ht="18" customHeight="1" x14ac:dyDescent="0.2">
      <c r="A620" s="346"/>
      <c r="B620" s="346"/>
      <c r="C620" s="639"/>
      <c r="D620" s="639"/>
      <c r="E620" s="639"/>
      <c r="F620" s="639"/>
      <c r="G620" s="639"/>
      <c r="H620" s="639"/>
      <c r="I620" s="639"/>
      <c r="J620" s="639"/>
      <c r="K620" s="639"/>
      <c r="L620" s="639"/>
      <c r="M620" s="639"/>
      <c r="N620" s="639"/>
      <c r="O620" s="639"/>
      <c r="P620" s="639"/>
      <c r="Q620" s="639"/>
      <c r="R620" s="639"/>
      <c r="S620" s="639"/>
      <c r="T620" s="590"/>
      <c r="U620" s="590"/>
      <c r="V620" s="590"/>
      <c r="W620" s="590"/>
      <c r="X620" s="579"/>
      <c r="Y620" s="579"/>
    </row>
    <row r="621" spans="1:25" ht="18" customHeight="1" x14ac:dyDescent="0.2">
      <c r="A621" s="346"/>
      <c r="B621" s="346"/>
      <c r="C621" s="600" t="s">
        <v>498</v>
      </c>
      <c r="D621" s="601"/>
      <c r="E621" s="601"/>
      <c r="F621" s="601"/>
      <c r="G621" s="601"/>
      <c r="H621" s="601"/>
      <c r="I621" s="601"/>
      <c r="J621" s="601"/>
      <c r="K621" s="601"/>
      <c r="L621" s="601"/>
      <c r="M621" s="601"/>
      <c r="N621" s="601"/>
      <c r="O621" s="601"/>
      <c r="P621" s="601"/>
      <c r="Q621" s="601"/>
      <c r="R621" s="601"/>
      <c r="S621" s="601"/>
      <c r="T621" s="601"/>
      <c r="U621" s="601"/>
      <c r="V621" s="601"/>
      <c r="W621" s="601"/>
      <c r="X621" s="601"/>
      <c r="Y621" s="602"/>
    </row>
    <row r="622" spans="1:25" ht="18" customHeight="1" x14ac:dyDescent="0.2">
      <c r="A622" s="346"/>
      <c r="B622" s="346"/>
      <c r="C622" s="449"/>
      <c r="D622" s="620" t="s">
        <v>1518</v>
      </c>
      <c r="E622" s="620"/>
      <c r="F622" s="620"/>
      <c r="G622" s="620"/>
      <c r="H622" s="620"/>
      <c r="I622" s="620"/>
      <c r="J622" s="620"/>
      <c r="K622" s="620"/>
      <c r="L622" s="620"/>
      <c r="M622" s="620"/>
      <c r="N622" s="620"/>
      <c r="O622" s="620"/>
      <c r="P622" s="620"/>
      <c r="Q622" s="620"/>
      <c r="R622" s="620"/>
      <c r="S622" s="620"/>
      <c r="T622" s="590"/>
      <c r="U622" s="590"/>
      <c r="V622" s="590"/>
      <c r="W622" s="590"/>
      <c r="X622" s="622" t="s">
        <v>5</v>
      </c>
      <c r="Y622" s="623"/>
    </row>
    <row r="623" spans="1:25" ht="18" customHeight="1" x14ac:dyDescent="0.2">
      <c r="A623" s="346"/>
      <c r="B623" s="346"/>
      <c r="C623" s="450"/>
      <c r="D623" s="620" t="s">
        <v>439</v>
      </c>
      <c r="E623" s="620"/>
      <c r="F623" s="620"/>
      <c r="G623" s="620"/>
      <c r="H623" s="620"/>
      <c r="I623" s="620"/>
      <c r="J623" s="620"/>
      <c r="K623" s="620"/>
      <c r="L623" s="620"/>
      <c r="M623" s="620"/>
      <c r="N623" s="620"/>
      <c r="O623" s="620"/>
      <c r="P623" s="620"/>
      <c r="Q623" s="620"/>
      <c r="R623" s="620"/>
      <c r="S623" s="620"/>
      <c r="T623" s="590"/>
      <c r="U623" s="590"/>
      <c r="V623" s="590"/>
      <c r="W623" s="590"/>
      <c r="X623" s="622" t="s">
        <v>5</v>
      </c>
      <c r="Y623" s="623"/>
    </row>
    <row r="624" spans="1:25" ht="18" customHeight="1" x14ac:dyDescent="0.2">
      <c r="A624" s="346"/>
      <c r="B624" s="346"/>
      <c r="C624" s="451"/>
      <c r="D624" s="633" t="s">
        <v>75</v>
      </c>
      <c r="E624" s="633"/>
      <c r="F624" s="633"/>
      <c r="G624" s="633"/>
      <c r="H624" s="633"/>
      <c r="I624" s="633"/>
      <c r="J624" s="633"/>
      <c r="K624" s="633"/>
      <c r="L624" s="633"/>
      <c r="M624" s="633"/>
      <c r="N624" s="633"/>
      <c r="O624" s="633"/>
      <c r="P624" s="633"/>
      <c r="Q624" s="633"/>
      <c r="R624" s="633"/>
      <c r="S624" s="633"/>
      <c r="T624" s="590"/>
      <c r="U624" s="590"/>
      <c r="V624" s="590"/>
      <c r="W624" s="590"/>
      <c r="X624" s="634" t="s">
        <v>5</v>
      </c>
      <c r="Y624" s="635"/>
    </row>
    <row r="625" spans="1:25" ht="18" customHeight="1" x14ac:dyDescent="0.2">
      <c r="A625" s="346"/>
      <c r="B625" s="346"/>
      <c r="C625" s="600" t="s">
        <v>499</v>
      </c>
      <c r="D625" s="601"/>
      <c r="E625" s="601"/>
      <c r="F625" s="601"/>
      <c r="G625" s="601"/>
      <c r="H625" s="601"/>
      <c r="I625" s="601"/>
      <c r="J625" s="601"/>
      <c r="K625" s="601"/>
      <c r="L625" s="601"/>
      <c r="M625" s="601"/>
      <c r="N625" s="601"/>
      <c r="O625" s="601"/>
      <c r="P625" s="601"/>
      <c r="Q625" s="601"/>
      <c r="R625" s="601"/>
      <c r="S625" s="601"/>
      <c r="T625" s="601"/>
      <c r="U625" s="601"/>
      <c r="V625" s="601"/>
      <c r="W625" s="601"/>
      <c r="X625" s="601"/>
      <c r="Y625" s="602"/>
    </row>
    <row r="626" spans="1:25" ht="18" customHeight="1" x14ac:dyDescent="0.2">
      <c r="A626" s="346"/>
      <c r="B626" s="346"/>
      <c r="C626" s="449"/>
      <c r="D626" s="633" t="s">
        <v>1519</v>
      </c>
      <c r="E626" s="633"/>
      <c r="F626" s="633"/>
      <c r="G626" s="633"/>
      <c r="H626" s="633"/>
      <c r="I626" s="633"/>
      <c r="J626" s="633"/>
      <c r="K626" s="633"/>
      <c r="L626" s="633"/>
      <c r="M626" s="633"/>
      <c r="N626" s="633"/>
      <c r="O626" s="633"/>
      <c r="P626" s="633"/>
      <c r="Q626" s="633"/>
      <c r="R626" s="633"/>
      <c r="S626" s="633"/>
      <c r="T626" s="590"/>
      <c r="U626" s="590"/>
      <c r="V626" s="590"/>
      <c r="W626" s="590"/>
      <c r="X626" s="634" t="s">
        <v>5</v>
      </c>
      <c r="Y626" s="635"/>
    </row>
    <row r="627" spans="1:25" ht="18" customHeight="1" x14ac:dyDescent="0.2">
      <c r="A627" s="346"/>
      <c r="B627" s="346"/>
      <c r="C627" s="449"/>
      <c r="D627" s="633" t="s">
        <v>440</v>
      </c>
      <c r="E627" s="633"/>
      <c r="F627" s="633"/>
      <c r="G627" s="633"/>
      <c r="H627" s="633"/>
      <c r="I627" s="633"/>
      <c r="J627" s="633"/>
      <c r="K627" s="633"/>
      <c r="L627" s="633"/>
      <c r="M627" s="633"/>
      <c r="N627" s="633"/>
      <c r="O627" s="633"/>
      <c r="P627" s="633"/>
      <c r="Q627" s="633"/>
      <c r="R627" s="633"/>
      <c r="S627" s="633"/>
      <c r="T627" s="590"/>
      <c r="U627" s="590"/>
      <c r="V627" s="590"/>
      <c r="W627" s="590"/>
      <c r="X627" s="634" t="s">
        <v>5</v>
      </c>
      <c r="Y627" s="635"/>
    </row>
    <row r="628" spans="1:25" ht="18" customHeight="1" x14ac:dyDescent="0.2">
      <c r="A628" s="346"/>
      <c r="B628" s="346"/>
      <c r="C628" s="452"/>
      <c r="D628" s="636" t="s">
        <v>75</v>
      </c>
      <c r="E628" s="636"/>
      <c r="F628" s="636"/>
      <c r="G628" s="636"/>
      <c r="H628" s="636"/>
      <c r="I628" s="636"/>
      <c r="J628" s="636"/>
      <c r="K628" s="636"/>
      <c r="L628" s="636"/>
      <c r="M628" s="636"/>
      <c r="N628" s="636"/>
      <c r="O628" s="636"/>
      <c r="P628" s="636"/>
      <c r="Q628" s="636"/>
      <c r="R628" s="636"/>
      <c r="S628" s="636"/>
      <c r="T628" s="590"/>
      <c r="U628" s="590"/>
      <c r="V628" s="590"/>
      <c r="W628" s="590"/>
      <c r="X628" s="637" t="s">
        <v>5</v>
      </c>
      <c r="Y628" s="604"/>
    </row>
    <row r="629" spans="1:25" ht="18" customHeight="1" x14ac:dyDescent="0.2">
      <c r="A629" s="346"/>
      <c r="B629" s="346"/>
      <c r="C629" s="767" t="s">
        <v>500</v>
      </c>
      <c r="D629" s="768"/>
      <c r="E629" s="768"/>
      <c r="F629" s="768"/>
      <c r="G629" s="768"/>
      <c r="H629" s="768"/>
      <c r="I629" s="768"/>
      <c r="J629" s="768"/>
      <c r="K629" s="768"/>
      <c r="L629" s="768"/>
      <c r="M629" s="768"/>
      <c r="N629" s="768"/>
      <c r="O629" s="768"/>
      <c r="P629" s="768"/>
      <c r="Q629" s="768"/>
      <c r="R629" s="768"/>
      <c r="S629" s="768"/>
      <c r="T629" s="590"/>
      <c r="U629" s="590"/>
      <c r="V629" s="590"/>
      <c r="W629" s="590"/>
      <c r="X629" s="634" t="s">
        <v>5</v>
      </c>
      <c r="Y629" s="635"/>
    </row>
    <row r="630" spans="1:25" ht="18" customHeight="1" x14ac:dyDescent="0.2">
      <c r="A630" s="346"/>
      <c r="B630" s="346"/>
      <c r="C630" s="767" t="s">
        <v>501</v>
      </c>
      <c r="D630" s="768"/>
      <c r="E630" s="768"/>
      <c r="F630" s="768"/>
      <c r="G630" s="768"/>
      <c r="H630" s="768"/>
      <c r="I630" s="768"/>
      <c r="J630" s="768"/>
      <c r="K630" s="768"/>
      <c r="L630" s="768"/>
      <c r="M630" s="768"/>
      <c r="N630" s="768"/>
      <c r="O630" s="768"/>
      <c r="P630" s="768"/>
      <c r="Q630" s="768"/>
      <c r="R630" s="768"/>
      <c r="S630" s="768"/>
      <c r="T630" s="590"/>
      <c r="U630" s="590"/>
      <c r="V630" s="590"/>
      <c r="W630" s="590"/>
      <c r="X630" s="634" t="s">
        <v>5</v>
      </c>
      <c r="Y630" s="635"/>
    </row>
    <row r="631" spans="1:25" ht="18" customHeight="1" thickBot="1" x14ac:dyDescent="0.25">
      <c r="A631" s="346"/>
      <c r="B631" s="346"/>
      <c r="C631" s="625" t="s">
        <v>258</v>
      </c>
      <c r="D631" s="626"/>
      <c r="E631" s="626"/>
      <c r="F631" s="626"/>
      <c r="G631" s="626"/>
      <c r="H631" s="626"/>
      <c r="I631" s="626"/>
      <c r="J631" s="626"/>
      <c r="K631" s="626"/>
      <c r="L631" s="626"/>
      <c r="M631" s="626"/>
      <c r="N631" s="626"/>
      <c r="O631" s="626"/>
      <c r="P631" s="626"/>
      <c r="Q631" s="626"/>
      <c r="R631" s="626"/>
      <c r="S631" s="627"/>
      <c r="T631" s="628" t="str">
        <f>IF(COUNTA($T$626:$W$630,$T$622:$W$624,$T$619)=0,"",SUM($T$626:$W$630,$T$622:$W$624,$T$619))</f>
        <v/>
      </c>
      <c r="U631" s="628"/>
      <c r="V631" s="628"/>
      <c r="W631" s="628"/>
      <c r="X631" s="579" t="s">
        <v>5</v>
      </c>
      <c r="Y631" s="579"/>
    </row>
    <row r="632" spans="1:25" ht="18" customHeight="1" thickBot="1" x14ac:dyDescent="0.25">
      <c r="A632" s="346"/>
      <c r="B632" s="346"/>
      <c r="C632" s="345"/>
      <c r="D632" s="453"/>
      <c r="E632" s="453"/>
      <c r="F632" s="453"/>
      <c r="G632" s="453"/>
      <c r="H632" s="453"/>
      <c r="I632" s="453"/>
      <c r="J632" s="453"/>
      <c r="K632" s="454"/>
      <c r="L632" s="455"/>
      <c r="M632" s="455"/>
      <c r="N632" s="455"/>
      <c r="O632" s="346"/>
      <c r="P632" s="346"/>
      <c r="Q632" s="347"/>
      <c r="R632" s="347"/>
      <c r="S632" s="347"/>
      <c r="T632" s="395"/>
      <c r="U632" s="396"/>
      <c r="V632" s="396"/>
      <c r="W632" s="397" t="str">
        <f>IF(COUNTIF($T$626:$T$630,0)+COUNTIF($T$622:$T$624,0)+COUNTIF($T$619,0)&gt;0,"Supprimez les valeurs nulles.",IF(COUNTA($T$619,$T$622:$W$624,$T$626:$W$630)=0,"",CONCATENATE(CONCATENATE(IF(AND($J$456="X",MIN($T$619,$T$622:$W$624,$T$626:$W$630)*$T$107*100&lt;15625),"La part d'un type de couvert végétal est inférieure à la surface minimale cartographiable choisie (15 625 m²). ",IF(AND($T$456="X",MIN($T$619,$T$622:$W$624,$T$626:$W$630)*$T$107*100&lt;2500)," La part d'un type de couvert végétal est inférieure à la surface minimale cartographiable choisie (2500 m²). ",IF(AND($J$457="X",MIN($T$619,$T$622:$W$624,$T$626:$W$630)*$T$107*100&lt;625)," La part d'un type de couvert végétal est inférieure à la surface minimale cartographiable choisie (625 m²). ",IF(AND($T$457="X",MIN($T$619,$T$622:$W$624,$T$626:$W$630)*$T$107*100&lt;156)," La part d'un type de couvert végétal est inférieure à la surface minimale cartographiable choisie (156 m²). ",""))))),IF($T$631="","",IF(COUNTA($T$619,$T$622:$T$624,$T$626:$T$630)=0,"Renseignez la proportion du site occupée par les différents types de couverts végétaux. ",IF($T$631&lt;&gt;100,"La somme des proportions du site occupée par les différents types de couverts végétaux doit être égale à 100%. ",""))))))</f>
        <v/>
      </c>
      <c r="X632" s="347"/>
      <c r="Y632" s="347"/>
    </row>
    <row r="633" spans="1:25" ht="18" customHeight="1" x14ac:dyDescent="0.2">
      <c r="A633" s="346"/>
      <c r="B633" s="346"/>
      <c r="C633" s="345"/>
      <c r="D633" s="453"/>
      <c r="E633" s="453"/>
      <c r="F633" s="453"/>
      <c r="G633" s="453"/>
      <c r="H633" s="453"/>
      <c r="I633" s="453"/>
      <c r="J633" s="453"/>
      <c r="K633" s="453"/>
      <c r="L633" s="456"/>
      <c r="M633" s="455"/>
      <c r="N633" s="455"/>
      <c r="O633" s="346"/>
      <c r="P633" s="346"/>
      <c r="Q633" s="347"/>
      <c r="R633" s="347"/>
      <c r="S633" s="347"/>
      <c r="T633" s="457"/>
      <c r="U633" s="457"/>
      <c r="V633" s="347"/>
      <c r="W633" s="398"/>
      <c r="X633" s="347"/>
      <c r="Y633" s="347"/>
    </row>
    <row r="634" spans="1:25" ht="18" customHeight="1" x14ac:dyDescent="0.2">
      <c r="A634" s="337"/>
      <c r="B634" s="337"/>
      <c r="C634" s="583" t="s">
        <v>755</v>
      </c>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row>
    <row r="635" spans="1:25" ht="18" customHeight="1" x14ac:dyDescent="0.2">
      <c r="A635" s="337"/>
      <c r="B635" s="337"/>
      <c r="C635" s="592"/>
      <c r="D635" s="592"/>
      <c r="E635" s="592"/>
      <c r="F635" s="592"/>
      <c r="G635" s="592"/>
      <c r="H635" s="592"/>
      <c r="I635" s="592"/>
      <c r="J635" s="592"/>
      <c r="K635" s="592"/>
      <c r="L635" s="592"/>
      <c r="M635" s="592"/>
      <c r="N635" s="592"/>
      <c r="O635" s="592"/>
      <c r="P635" s="592"/>
      <c r="Q635" s="592"/>
      <c r="R635" s="592"/>
      <c r="S635" s="592"/>
      <c r="T635" s="592"/>
      <c r="U635" s="592"/>
      <c r="V635" s="592"/>
      <c r="W635" s="592"/>
      <c r="X635" s="592"/>
      <c r="Y635" s="592"/>
    </row>
    <row r="636" spans="1:25" ht="18" customHeight="1" x14ac:dyDescent="0.2">
      <c r="A636" s="337"/>
      <c r="B636" s="337"/>
      <c r="C636" s="619" t="s">
        <v>225</v>
      </c>
      <c r="D636" s="619"/>
      <c r="E636" s="619"/>
      <c r="F636" s="619"/>
      <c r="G636" s="619"/>
      <c r="H636" s="619"/>
      <c r="I636" s="619"/>
      <c r="J636" s="619"/>
      <c r="K636" s="619"/>
      <c r="L636" s="619"/>
      <c r="M636" s="619"/>
      <c r="N636" s="619"/>
      <c r="O636" s="619"/>
      <c r="P636" s="619"/>
      <c r="Q636" s="619"/>
      <c r="R636" s="619"/>
      <c r="S636" s="619"/>
      <c r="T636" s="448" t="s">
        <v>73</v>
      </c>
      <c r="U636" s="347"/>
      <c r="V636" s="347"/>
      <c r="W636" s="347"/>
      <c r="X636" s="347"/>
      <c r="Y636" s="347"/>
    </row>
    <row r="637" spans="1:25" ht="18" customHeight="1" x14ac:dyDescent="0.2">
      <c r="A637" s="337"/>
      <c r="B637" s="337"/>
      <c r="C637" s="600" t="s">
        <v>220</v>
      </c>
      <c r="D637" s="601"/>
      <c r="E637" s="601"/>
      <c r="F637" s="601"/>
      <c r="G637" s="601"/>
      <c r="H637" s="601"/>
      <c r="I637" s="601"/>
      <c r="J637" s="601"/>
      <c r="K637" s="601"/>
      <c r="L637" s="601"/>
      <c r="M637" s="601"/>
      <c r="N637" s="601"/>
      <c r="O637" s="601"/>
      <c r="P637" s="601"/>
      <c r="Q637" s="601"/>
      <c r="R637" s="601"/>
      <c r="S637" s="602"/>
      <c r="T637" s="629"/>
      <c r="U637" s="630"/>
      <c r="V637" s="630"/>
      <c r="W637" s="631"/>
      <c r="X637" s="632" t="s">
        <v>5</v>
      </c>
      <c r="Y637" s="623"/>
    </row>
    <row r="638" spans="1:25" ht="18" customHeight="1" x14ac:dyDescent="0.2">
      <c r="A638" s="337"/>
      <c r="B638" s="337"/>
      <c r="C638" s="600" t="s">
        <v>227</v>
      </c>
      <c r="D638" s="601"/>
      <c r="E638" s="601"/>
      <c r="F638" s="601"/>
      <c r="G638" s="601"/>
      <c r="H638" s="601"/>
      <c r="I638" s="601"/>
      <c r="J638" s="601"/>
      <c r="K638" s="601"/>
      <c r="L638" s="601"/>
      <c r="M638" s="601"/>
      <c r="N638" s="601"/>
      <c r="O638" s="601"/>
      <c r="P638" s="601"/>
      <c r="Q638" s="601"/>
      <c r="R638" s="601"/>
      <c r="S638" s="601"/>
      <c r="T638" s="458"/>
      <c r="U638" s="458"/>
      <c r="V638" s="458"/>
      <c r="W638" s="458"/>
      <c r="X638" s="458"/>
      <c r="Y638" s="459"/>
    </row>
    <row r="639" spans="1:25" ht="18" customHeight="1" x14ac:dyDescent="0.2">
      <c r="A639" s="337"/>
      <c r="B639" s="337"/>
      <c r="C639" s="449"/>
      <c r="D639" s="620" t="s">
        <v>221</v>
      </c>
      <c r="E639" s="620"/>
      <c r="F639" s="620"/>
      <c r="G639" s="620"/>
      <c r="H639" s="620"/>
      <c r="I639" s="620"/>
      <c r="J639" s="620"/>
      <c r="K639" s="620"/>
      <c r="L639" s="620"/>
      <c r="M639" s="620"/>
      <c r="N639" s="620"/>
      <c r="O639" s="620"/>
      <c r="P639" s="620"/>
      <c r="Q639" s="620"/>
      <c r="R639" s="620"/>
      <c r="S639" s="620"/>
      <c r="T639" s="621"/>
      <c r="U639" s="621"/>
      <c r="V639" s="621"/>
      <c r="W639" s="621"/>
      <c r="X639" s="622" t="s">
        <v>5</v>
      </c>
      <c r="Y639" s="623"/>
    </row>
    <row r="640" spans="1:25" ht="18" customHeight="1" x14ac:dyDescent="0.2">
      <c r="A640" s="337"/>
      <c r="B640" s="337"/>
      <c r="C640" s="451"/>
      <c r="D640" s="624" t="s">
        <v>222</v>
      </c>
      <c r="E640" s="577"/>
      <c r="F640" s="577"/>
      <c r="G640" s="577"/>
      <c r="H640" s="577"/>
      <c r="I640" s="577"/>
      <c r="J640" s="577"/>
      <c r="K640" s="577"/>
      <c r="L640" s="577"/>
      <c r="M640" s="577"/>
      <c r="N640" s="577"/>
      <c r="O640" s="577"/>
      <c r="P640" s="577"/>
      <c r="Q640" s="577"/>
      <c r="R640" s="577"/>
      <c r="S640" s="577"/>
      <c r="T640" s="588"/>
      <c r="U640" s="588"/>
      <c r="V640" s="588"/>
      <c r="W640" s="588"/>
      <c r="X640" s="579" t="s">
        <v>5</v>
      </c>
      <c r="Y640" s="579"/>
    </row>
    <row r="641" spans="1:25" ht="18" customHeight="1" thickBot="1" x14ac:dyDescent="0.25">
      <c r="C641" s="611" t="s">
        <v>486</v>
      </c>
      <c r="D641" s="612"/>
      <c r="E641" s="612"/>
      <c r="F641" s="612"/>
      <c r="G641" s="612"/>
      <c r="H641" s="612"/>
      <c r="I641" s="612"/>
      <c r="J641" s="612"/>
      <c r="K641" s="612"/>
      <c r="L641" s="612"/>
      <c r="M641" s="612"/>
      <c r="N641" s="612"/>
      <c r="O641" s="612"/>
      <c r="P641" s="612"/>
      <c r="Q641" s="612"/>
      <c r="R641" s="612"/>
      <c r="S641" s="613"/>
      <c r="T641" s="614" t="str">
        <f>IF(COUNTA($T$639:$W$640,$T$637)=0,"",SUM($T$639:$W$640,$T$637))</f>
        <v/>
      </c>
      <c r="U641" s="615"/>
      <c r="V641" s="615"/>
      <c r="W641" s="616"/>
      <c r="X641" s="617" t="s">
        <v>5</v>
      </c>
      <c r="Y641" s="618"/>
    </row>
    <row r="642" spans="1:25" ht="18" customHeight="1" thickBot="1" x14ac:dyDescent="0.25">
      <c r="A642" s="337"/>
      <c r="B642" s="337"/>
      <c r="C642" s="345"/>
      <c r="D642" s="382"/>
      <c r="E642" s="382"/>
      <c r="F642" s="382"/>
      <c r="G642" s="382"/>
      <c r="H642" s="382"/>
      <c r="I642" s="382"/>
      <c r="J642" s="382"/>
      <c r="K642" s="460"/>
      <c r="L642" s="382"/>
      <c r="M642" s="382"/>
      <c r="N642" s="382"/>
      <c r="O642" s="382"/>
      <c r="P642" s="382"/>
      <c r="Q642" s="382"/>
      <c r="R642" s="382"/>
      <c r="S642" s="382"/>
      <c r="T642" s="395"/>
      <c r="U642" s="396"/>
      <c r="V642" s="396"/>
      <c r="W642" s="397" t="str">
        <f>CONCATENATE(IF(COUNTIF($C$465:$C$479,"FA.1")+COUNTIF($C$465:$C$479,"FB.1")+COUNTIF($C$465:$C$479,"FB.2")+COUNTIF($C$465:$C$479,"FB.3")+COUNTIF($C$465:$C$479,"FB.4")=0,"",IF(AND(OR(COUNTIF($C$465:$C$479,"FA.1")&gt;0,COUNTIF($C$465:$C$479,"FB.1")&gt;0,COUNTIF($C$465:$C$479,"FB.2")&gt;0,COUNTIF($C$465:$C$479,"FB.3")&gt;0,COUNTIF($C$465:$C$479,"FB.4")&gt;0),COUNTA($T$637,$T$639:$T$640)=0),"Les habitats mentionnés ici ont été observés dans le site (voir question 39), renseignez les types de couverts herbacés.",IF($T$641&lt;&gt;(SUMIF($C$465:$C$479,"FA.1",$T$465:$T$479)+SUMIF($C$465:$C$479,"FB.1",$T$465:$T$479)+SUMIF($C$465:$C$479,"FB.2",$T$465:$T$479)+SUMIF($C$465:$C$479,"FB.3",$T$465:$T$479)+SUMIF($C$465:$C$479,"FB.4",$T$465:$T$479)),"La somme renseignée ici doit être égale à la somme des proportions des habitats FA.1, FB.1, FB.2, FB.3, FB.4 dans le site. ",""))),IF(AND(COUNTIF($C$465:$C$479,"FA.1")+COUNTIF($C$465:$C$479,"FB.1")+COUNTIF($C$465:$C$479,"FB.2")+COUNTIF($C$465:$C$479,"FB.3")+COUNTIF($C$465:$C$479,"FB.4")=0,SUM($T$637,$T$639:$T$640)&gt;0),"Les habitats mentionnés ici n’ont pas été détectés dans la question 39, ne répondez pas à la question. ",""))</f>
        <v/>
      </c>
      <c r="X642" s="382"/>
      <c r="Y642" s="382"/>
    </row>
    <row r="643" spans="1:25" ht="18" customHeight="1" x14ac:dyDescent="0.2">
      <c r="A643" s="337"/>
      <c r="B643" s="337"/>
      <c r="C643" s="345"/>
      <c r="D643" s="382"/>
      <c r="E643" s="382"/>
      <c r="F643" s="382"/>
      <c r="G643" s="382"/>
      <c r="H643" s="382"/>
      <c r="I643" s="382"/>
      <c r="J643" s="382"/>
      <c r="K643" s="382"/>
      <c r="L643" s="382"/>
      <c r="M643" s="382"/>
      <c r="N643" s="382"/>
      <c r="O643" s="382"/>
      <c r="P643" s="382"/>
      <c r="Q643" s="382"/>
      <c r="R643" s="382"/>
      <c r="S643" s="382"/>
      <c r="T643" s="347"/>
      <c r="U643" s="347"/>
      <c r="V643" s="347"/>
      <c r="W643" s="382"/>
      <c r="X643" s="382"/>
      <c r="Y643" s="382"/>
    </row>
    <row r="644" spans="1:25" ht="18" customHeight="1" x14ac:dyDescent="0.2">
      <c r="A644" s="337"/>
      <c r="B644" s="337"/>
      <c r="C644" s="583" t="s">
        <v>756</v>
      </c>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row>
    <row r="645" spans="1:25" ht="18" customHeight="1" x14ac:dyDescent="0.2">
      <c r="A645" s="337"/>
      <c r="B645" s="337"/>
      <c r="C645" s="592"/>
      <c r="D645" s="592"/>
      <c r="E645" s="592"/>
      <c r="F645" s="592"/>
      <c r="G645" s="592"/>
      <c r="H645" s="592"/>
      <c r="I645" s="592"/>
      <c r="J645" s="592"/>
      <c r="K645" s="592"/>
      <c r="L645" s="592"/>
      <c r="M645" s="592"/>
      <c r="N645" s="592"/>
      <c r="O645" s="592"/>
      <c r="P645" s="592"/>
      <c r="Q645" s="592"/>
      <c r="R645" s="592"/>
      <c r="S645" s="592"/>
      <c r="T645" s="592"/>
      <c r="U645" s="592"/>
      <c r="V645" s="592"/>
      <c r="W645" s="592"/>
      <c r="X645" s="592"/>
      <c r="Y645" s="592"/>
    </row>
    <row r="646" spans="1:25" ht="18" customHeight="1" x14ac:dyDescent="0.2">
      <c r="A646" s="337"/>
      <c r="B646" s="337"/>
      <c r="C646" s="619" t="s">
        <v>226</v>
      </c>
      <c r="D646" s="619"/>
      <c r="E646" s="619"/>
      <c r="F646" s="619"/>
      <c r="G646" s="619"/>
      <c r="H646" s="619"/>
      <c r="I646" s="619"/>
      <c r="J646" s="619"/>
      <c r="K646" s="619"/>
      <c r="L646" s="619"/>
      <c r="M646" s="619"/>
      <c r="N646" s="619"/>
      <c r="O646" s="619"/>
      <c r="P646" s="619"/>
      <c r="Q646" s="619"/>
      <c r="R646" s="619"/>
      <c r="S646" s="619"/>
      <c r="T646" s="461" t="s">
        <v>73</v>
      </c>
      <c r="U646" s="462"/>
      <c r="V646" s="462"/>
      <c r="W646" s="462"/>
      <c r="X646" s="462"/>
      <c r="Y646" s="462"/>
    </row>
    <row r="647" spans="1:25" ht="18" customHeight="1" x14ac:dyDescent="0.2">
      <c r="A647" s="337"/>
      <c r="B647" s="337"/>
      <c r="C647" s="600" t="s">
        <v>220</v>
      </c>
      <c r="D647" s="601"/>
      <c r="E647" s="601"/>
      <c r="F647" s="601"/>
      <c r="G647" s="601"/>
      <c r="H647" s="601"/>
      <c r="I647" s="601"/>
      <c r="J647" s="601"/>
      <c r="K647" s="601"/>
      <c r="L647" s="601"/>
      <c r="M647" s="601"/>
      <c r="N647" s="601"/>
      <c r="O647" s="601"/>
      <c r="P647" s="601"/>
      <c r="Q647" s="601"/>
      <c r="R647" s="601"/>
      <c r="S647" s="601"/>
      <c r="T647" s="601"/>
      <c r="U647" s="601"/>
      <c r="V647" s="601"/>
      <c r="W647" s="601"/>
      <c r="X647" s="601"/>
      <c r="Y647" s="602"/>
    </row>
    <row r="648" spans="1:25" ht="18" customHeight="1" x14ac:dyDescent="0.2">
      <c r="A648" s="337"/>
      <c r="C648" s="463"/>
      <c r="D648" s="562" t="s">
        <v>517</v>
      </c>
      <c r="E648" s="562"/>
      <c r="F648" s="562"/>
      <c r="G648" s="562"/>
      <c r="H648" s="562"/>
      <c r="I648" s="562"/>
      <c r="J648" s="562"/>
      <c r="K648" s="562"/>
      <c r="L648" s="562"/>
      <c r="M648" s="562"/>
      <c r="N648" s="562"/>
      <c r="O648" s="562"/>
      <c r="P648" s="562"/>
      <c r="Q648" s="562"/>
      <c r="R648" s="562"/>
      <c r="S648" s="562"/>
      <c r="T648" s="599"/>
      <c r="U648" s="599"/>
      <c r="V648" s="599"/>
      <c r="W648" s="599"/>
      <c r="X648" s="579" t="s">
        <v>5</v>
      </c>
      <c r="Y648" s="579"/>
    </row>
    <row r="649" spans="1:25" ht="18" customHeight="1" x14ac:dyDescent="0.2">
      <c r="A649" s="337"/>
      <c r="C649" s="463"/>
      <c r="D649" s="597" t="s">
        <v>518</v>
      </c>
      <c r="E649" s="598"/>
      <c r="F649" s="598"/>
      <c r="G649" s="598"/>
      <c r="H649" s="598"/>
      <c r="I649" s="598"/>
      <c r="J649" s="598"/>
      <c r="K649" s="598"/>
      <c r="L649" s="598"/>
      <c r="M649" s="598"/>
      <c r="N649" s="598"/>
      <c r="O649" s="598"/>
      <c r="P649" s="598"/>
      <c r="Q649" s="598"/>
      <c r="R649" s="598"/>
      <c r="S649" s="598"/>
      <c r="T649" s="599"/>
      <c r="U649" s="599"/>
      <c r="V649" s="599"/>
      <c r="W649" s="599"/>
      <c r="X649" s="603" t="s">
        <v>5</v>
      </c>
      <c r="Y649" s="604"/>
    </row>
    <row r="650" spans="1:25" ht="18" customHeight="1" x14ac:dyDescent="0.2">
      <c r="A650" s="337"/>
      <c r="C650" s="600" t="s">
        <v>223</v>
      </c>
      <c r="D650" s="601"/>
      <c r="E650" s="601"/>
      <c r="F650" s="601"/>
      <c r="G650" s="601"/>
      <c r="H650" s="601"/>
      <c r="I650" s="601"/>
      <c r="J650" s="601"/>
      <c r="K650" s="601"/>
      <c r="L650" s="601"/>
      <c r="M650" s="601"/>
      <c r="N650" s="601"/>
      <c r="O650" s="601"/>
      <c r="P650" s="601"/>
      <c r="Q650" s="601"/>
      <c r="R650" s="601"/>
      <c r="S650" s="601"/>
      <c r="T650" s="601"/>
      <c r="U650" s="601"/>
      <c r="V650" s="601"/>
      <c r="W650" s="601"/>
      <c r="X650" s="601"/>
      <c r="Y650" s="602"/>
    </row>
    <row r="651" spans="1:25" ht="18" customHeight="1" x14ac:dyDescent="0.2">
      <c r="A651" s="337"/>
      <c r="C651" s="463"/>
      <c r="D651" s="597" t="s">
        <v>517</v>
      </c>
      <c r="E651" s="598"/>
      <c r="F651" s="598"/>
      <c r="G651" s="598"/>
      <c r="H651" s="598"/>
      <c r="I651" s="598"/>
      <c r="J651" s="598"/>
      <c r="K651" s="598"/>
      <c r="L651" s="598"/>
      <c r="M651" s="598"/>
      <c r="N651" s="598"/>
      <c r="O651" s="598"/>
      <c r="P651" s="598"/>
      <c r="Q651" s="598"/>
      <c r="R651" s="598"/>
      <c r="S651" s="598"/>
      <c r="T651" s="599"/>
      <c r="U651" s="599"/>
      <c r="V651" s="599"/>
      <c r="W651" s="599"/>
      <c r="X651" s="579" t="s">
        <v>5</v>
      </c>
      <c r="Y651" s="579"/>
    </row>
    <row r="652" spans="1:25" ht="18" customHeight="1" x14ac:dyDescent="0.2">
      <c r="A652" s="337"/>
      <c r="C652" s="464"/>
      <c r="D652" s="605" t="s">
        <v>519</v>
      </c>
      <c r="E652" s="606"/>
      <c r="F652" s="606"/>
      <c r="G652" s="606"/>
      <c r="H652" s="606"/>
      <c r="I652" s="606"/>
      <c r="J652" s="606"/>
      <c r="K652" s="606"/>
      <c r="L652" s="606"/>
      <c r="M652" s="606"/>
      <c r="N652" s="606"/>
      <c r="O652" s="606"/>
      <c r="P652" s="606"/>
      <c r="Q652" s="606"/>
      <c r="R652" s="606"/>
      <c r="S652" s="607"/>
      <c r="T652" s="599"/>
      <c r="U652" s="599"/>
      <c r="V652" s="599"/>
      <c r="W652" s="599"/>
      <c r="X652" s="579" t="s">
        <v>5</v>
      </c>
      <c r="Y652" s="579"/>
    </row>
    <row r="653" spans="1:25" ht="18" customHeight="1" x14ac:dyDescent="0.2">
      <c r="A653" s="337"/>
      <c r="C653" s="600" t="s">
        <v>520</v>
      </c>
      <c r="D653" s="601"/>
      <c r="E653" s="601"/>
      <c r="F653" s="601"/>
      <c r="G653" s="601"/>
      <c r="H653" s="601"/>
      <c r="I653" s="601"/>
      <c r="J653" s="601"/>
      <c r="K653" s="601"/>
      <c r="L653" s="601"/>
      <c r="M653" s="601"/>
      <c r="N653" s="601"/>
      <c r="O653" s="601"/>
      <c r="P653" s="601"/>
      <c r="Q653" s="601"/>
      <c r="R653" s="601"/>
      <c r="S653" s="601"/>
      <c r="T653" s="601"/>
      <c r="U653" s="601"/>
      <c r="V653" s="601"/>
      <c r="W653" s="601"/>
      <c r="X653" s="601"/>
      <c r="Y653" s="602"/>
    </row>
    <row r="654" spans="1:25" ht="18" customHeight="1" x14ac:dyDescent="0.2">
      <c r="A654" s="337"/>
      <c r="C654" s="608" t="s">
        <v>224</v>
      </c>
      <c r="D654" s="609"/>
      <c r="E654" s="609"/>
      <c r="F654" s="609"/>
      <c r="G654" s="609"/>
      <c r="H654" s="609"/>
      <c r="I654" s="609"/>
      <c r="J654" s="609"/>
      <c r="K654" s="609"/>
      <c r="L654" s="609"/>
      <c r="M654" s="609"/>
      <c r="N654" s="609"/>
      <c r="O654" s="609"/>
      <c r="P654" s="609"/>
      <c r="Q654" s="609"/>
      <c r="R654" s="609"/>
      <c r="S654" s="610"/>
      <c r="T654" s="599"/>
      <c r="U654" s="599"/>
      <c r="V654" s="599"/>
      <c r="W654" s="599"/>
      <c r="X654" s="579" t="s">
        <v>5</v>
      </c>
      <c r="Y654" s="579"/>
    </row>
    <row r="655" spans="1:25" ht="18" customHeight="1" thickBot="1" x14ac:dyDescent="0.25">
      <c r="C655" s="611" t="s">
        <v>486</v>
      </c>
      <c r="D655" s="612"/>
      <c r="E655" s="612"/>
      <c r="F655" s="612"/>
      <c r="G655" s="612"/>
      <c r="H655" s="612"/>
      <c r="I655" s="612"/>
      <c r="J655" s="612"/>
      <c r="K655" s="612"/>
      <c r="L655" s="612"/>
      <c r="M655" s="612"/>
      <c r="N655" s="612"/>
      <c r="O655" s="612"/>
      <c r="P655" s="612"/>
      <c r="Q655" s="612"/>
      <c r="R655" s="612"/>
      <c r="S655" s="613"/>
      <c r="T655" s="614" t="str">
        <f>IF(COUNTA($T$648:$W$649,$T$651:$W$652,$T$654)=0,"",SUM($T$648:$W$649,$T$651:$W$652,$T$654))</f>
        <v/>
      </c>
      <c r="U655" s="615"/>
      <c r="V655" s="615"/>
      <c r="W655" s="616"/>
      <c r="X655" s="790" t="s">
        <v>5</v>
      </c>
      <c r="Y655" s="683"/>
    </row>
    <row r="656" spans="1:25" ht="18" customHeight="1" thickBot="1" x14ac:dyDescent="0.25">
      <c r="A656" s="337"/>
      <c r="B656" s="337"/>
      <c r="C656" s="345"/>
      <c r="D656" s="337"/>
      <c r="E656" s="337"/>
      <c r="F656" s="337"/>
      <c r="G656" s="337"/>
      <c r="H656" s="337"/>
      <c r="I656" s="337"/>
      <c r="J656" s="337"/>
      <c r="K656" s="337"/>
      <c r="L656" s="337"/>
      <c r="M656" s="337"/>
      <c r="N656" s="337"/>
      <c r="O656" s="337"/>
      <c r="T656" s="395"/>
      <c r="U656" s="396"/>
      <c r="V656" s="396"/>
      <c r="W656" s="397" t="str">
        <f>CONCATENATE(IF(COUNTIF($C$465:$C$479,"G1.C")+COUNTIF($C$465:$C$479,"G1.D")+COUNTIF($C$465:$C$479,"G2.8")+COUNTIF($C$465:$C$479,"G2.9")+COUNTIF($C$465:$C$479,"G3.F")=0,"",IF(AND(OR(COUNTIF($C$465:$C$479,"G1.C")&gt;0,COUNTIF($C$465:$C$479,"G1.D")&gt;0,COUNTIF($C$465:$C$479,"G2.8")&gt;0,COUNTIF($C$465:$C$479,"G2.9")&gt;0,COUNTIF($C$465:$C$479,"G3.F")&gt;0),COUNTA($T$648:$W$649,$T$651:$W$652,$T$654)=0),"Les habitats mentionnés ici ont été observés dans le site (voir question 39), renseignez les types de couverts herbacés et arbustifs. ",IF($T$655&lt;&gt;(SUMIF($C$465:$C$479,"G1.C",T465:T479)+SUMIF($C$465:$C$479,"G1.D",$T$465:$T$479)+SUMIF($C$465:$C$479,"G2.8",$T$465:$T$479)+SUMIF($C$465:$C$479,"G2.9",$T$465:$T$479)+SUMIF($C$465:$C$479,"G3.F",$T$465:$T$479)),"La somme renseignée ici doit être égale à la somme des proportions des habitats G1.C, G1.D, G2.8, G2.9, G3.F dans le site. ",""))),IF(AND(COUNTIF($C$465:$C$479,"G1.C")+COUNTIF($C$465:$C$479,"G1.D")+COUNTIF($C$465:$C$479,"G2.8")+COUNTIF($C$465:$C$479,"G2.9")+COUNTIF($C$465:$C$479,"G3.F")=0,SUM($T$648:$W$649,$T$651:$W$652,$T$654)&gt;0),"Les habitats mentionnés ici n’ont pas été détectés dans la question 39, ne répondez pas à la question. ",""))</f>
        <v/>
      </c>
      <c r="Y656" s="465"/>
    </row>
    <row r="657" spans="1:25" ht="18" customHeight="1" x14ac:dyDescent="0.2">
      <c r="A657" s="337"/>
      <c r="B657" s="337"/>
      <c r="C657" s="345"/>
      <c r="D657" s="337"/>
      <c r="E657" s="337"/>
      <c r="F657" s="337"/>
      <c r="G657" s="337"/>
      <c r="H657" s="337"/>
      <c r="I657" s="337"/>
      <c r="J657" s="337"/>
      <c r="K657" s="337"/>
      <c r="L657" s="337"/>
      <c r="M657" s="337"/>
      <c r="N657" s="337"/>
      <c r="O657" s="337"/>
      <c r="T657" s="347"/>
      <c r="U657" s="347"/>
      <c r="V657" s="347"/>
      <c r="W657" s="398"/>
    </row>
    <row r="658" spans="1:25" ht="33.75" customHeight="1" x14ac:dyDescent="0.2">
      <c r="A658" s="337"/>
      <c r="B658" s="337"/>
      <c r="C658" s="341" t="s">
        <v>393</v>
      </c>
      <c r="D658" s="695" t="s">
        <v>410</v>
      </c>
      <c r="E658" s="696"/>
      <c r="F658" s="696"/>
      <c r="G658" s="696"/>
      <c r="H658" s="696"/>
      <c r="I658" s="696"/>
      <c r="J658" s="696"/>
      <c r="K658" s="696"/>
      <c r="L658" s="696"/>
      <c r="M658" s="696"/>
      <c r="N658" s="696"/>
      <c r="O658" s="696"/>
      <c r="P658" s="696"/>
      <c r="Q658" s="696"/>
      <c r="R658" s="696"/>
      <c r="S658" s="696"/>
      <c r="T658" s="696"/>
      <c r="U658" s="696"/>
      <c r="V658" s="696"/>
      <c r="W658" s="696"/>
      <c r="X658" s="696"/>
      <c r="Y658" s="697"/>
    </row>
    <row r="659" spans="1:25" ht="18" customHeight="1" x14ac:dyDescent="0.2">
      <c r="A659" s="337"/>
      <c r="B659" s="337"/>
      <c r="C659" s="517"/>
      <c r="D659" s="517"/>
      <c r="E659" s="517"/>
      <c r="F659" s="517"/>
      <c r="G659" s="517"/>
      <c r="H659" s="517"/>
      <c r="I659" s="517"/>
      <c r="J659" s="517"/>
      <c r="K659" s="517"/>
      <c r="L659" s="517"/>
      <c r="M659" s="517"/>
      <c r="N659" s="517"/>
      <c r="O659" s="517"/>
      <c r="P659" s="517"/>
      <c r="Q659" s="517"/>
      <c r="R659" s="517"/>
      <c r="S659" s="517"/>
      <c r="T659" s="517"/>
      <c r="U659" s="517"/>
      <c r="V659" s="517"/>
      <c r="W659" s="517"/>
      <c r="X659" s="517"/>
      <c r="Y659" s="517"/>
    </row>
    <row r="660" spans="1:25" ht="18" customHeight="1" x14ac:dyDescent="0.2">
      <c r="A660" s="337"/>
      <c r="B660" s="337"/>
      <c r="C660" s="581" t="s">
        <v>325</v>
      </c>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row>
    <row r="661" spans="1:25" ht="18" customHeight="1" x14ac:dyDescent="0.2">
      <c r="A661" s="337"/>
      <c r="B661" s="337"/>
      <c r="C661" s="466" t="s">
        <v>236</v>
      </c>
      <c r="D661" s="466"/>
      <c r="E661" s="337"/>
      <c r="H661" s="369" t="s">
        <v>268</v>
      </c>
      <c r="I661" s="353" t="s">
        <v>28</v>
      </c>
      <c r="J661" s="588"/>
      <c r="K661" s="588"/>
      <c r="P661" s="339"/>
      <c r="Q661" s="368"/>
      <c r="R661" s="368"/>
      <c r="S661" s="369" t="s">
        <v>29</v>
      </c>
      <c r="T661" s="588"/>
      <c r="U661" s="588"/>
      <c r="V661" s="588"/>
      <c r="W661" s="588"/>
    </row>
    <row r="662" spans="1:25" ht="18" customHeight="1" thickBot="1" x14ac:dyDescent="0.25">
      <c r="A662" s="337"/>
      <c r="B662" s="337"/>
      <c r="C662" s="354"/>
      <c r="D662" s="354"/>
      <c r="E662" s="337"/>
      <c r="H662" s="369" t="s">
        <v>269</v>
      </c>
      <c r="I662" s="353" t="s">
        <v>28</v>
      </c>
      <c r="J662" s="588"/>
      <c r="K662" s="588"/>
      <c r="P662" s="339"/>
      <c r="Q662" s="368"/>
      <c r="R662" s="368"/>
      <c r="S662" s="369" t="s">
        <v>29</v>
      </c>
      <c r="T662" s="588"/>
      <c r="U662" s="588"/>
      <c r="V662" s="588"/>
      <c r="W662" s="588"/>
    </row>
    <row r="663" spans="1:25" ht="18" customHeight="1" thickBot="1" x14ac:dyDescent="0.25">
      <c r="A663" s="337"/>
      <c r="B663" s="337"/>
      <c r="C663" s="337"/>
      <c r="D663" s="337"/>
      <c r="E663" s="337"/>
      <c r="F663" s="337"/>
      <c r="G663" s="337"/>
      <c r="H663" s="337"/>
      <c r="I663" s="337"/>
      <c r="J663" s="337"/>
      <c r="K663" s="337"/>
      <c r="L663" s="337"/>
      <c r="M663" s="337"/>
      <c r="N663" s="337"/>
      <c r="O663" s="337"/>
      <c r="T663" s="395"/>
      <c r="U663" s="396"/>
      <c r="V663" s="396"/>
      <c r="W663" s="397" t="str">
        <f>CONCATENATE(IF(COUNTA($J$661,$J$662,$T$661,$T$662)=0,"",IF(COUNTA($J$661,$J$662,$T$661,$T$662)&lt;&gt;2,"2 réponses nécessaires. ","")),IF(AND($T$121="X",$J$662&lt;&gt;"X"),"Site dans un système de versant et bas-versant, improbable qu'il n'y ait pas de source dans le site et la zone tampon. ",""))</f>
        <v/>
      </c>
    </row>
    <row r="664" spans="1:25" ht="18" customHeight="1" x14ac:dyDescent="0.2">
      <c r="A664" s="337"/>
      <c r="B664" s="337"/>
      <c r="C664" s="345"/>
      <c r="D664" s="337"/>
      <c r="E664" s="337"/>
      <c r="F664" s="337"/>
      <c r="G664" s="337"/>
      <c r="H664" s="337"/>
      <c r="I664" s="337"/>
      <c r="J664" s="337"/>
      <c r="K664" s="337"/>
      <c r="L664" s="337"/>
      <c r="M664" s="337"/>
      <c r="N664" s="337"/>
      <c r="O664" s="337"/>
    </row>
    <row r="665" spans="1:25" ht="18" customHeight="1" x14ac:dyDescent="0.2">
      <c r="A665" s="337"/>
      <c r="B665" s="337"/>
      <c r="C665" s="583" t="s">
        <v>378</v>
      </c>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row>
    <row r="666" spans="1:25" ht="18" customHeight="1" x14ac:dyDescent="0.2">
      <c r="A666" s="337"/>
      <c r="B666" s="337"/>
      <c r="C666" s="592"/>
      <c r="D666" s="592"/>
      <c r="E666" s="592"/>
      <c r="F666" s="592"/>
      <c r="G666" s="592"/>
      <c r="H666" s="592"/>
      <c r="I666" s="592"/>
      <c r="J666" s="592"/>
      <c r="K666" s="592"/>
      <c r="L666" s="592"/>
      <c r="M666" s="592"/>
      <c r="N666" s="592"/>
      <c r="O666" s="592"/>
      <c r="P666" s="592"/>
      <c r="Q666" s="592"/>
      <c r="R666" s="592"/>
      <c r="S666" s="592"/>
      <c r="T666" s="592"/>
      <c r="U666" s="592"/>
      <c r="V666" s="592"/>
      <c r="W666" s="592"/>
      <c r="X666" s="592"/>
      <c r="Y666" s="592"/>
    </row>
    <row r="667" spans="1:25" ht="18" customHeight="1" x14ac:dyDescent="0.2">
      <c r="A667" s="337"/>
      <c r="B667" s="337"/>
      <c r="C667" s="346"/>
      <c r="D667" s="346"/>
      <c r="E667" s="346"/>
      <c r="F667" s="346"/>
      <c r="G667" s="346"/>
      <c r="H667" s="346"/>
      <c r="I667" s="346"/>
      <c r="J667" s="594" t="s">
        <v>78</v>
      </c>
      <c r="K667" s="594"/>
      <c r="L667" s="594"/>
      <c r="M667" s="346"/>
      <c r="N667" s="595" t="s">
        <v>379</v>
      </c>
      <c r="O667" s="595"/>
      <c r="P667" s="595"/>
      <c r="Q667" s="595"/>
      <c r="R667" s="595"/>
      <c r="S667" s="346"/>
      <c r="T667" s="594" t="s">
        <v>80</v>
      </c>
      <c r="U667" s="594"/>
      <c r="V667" s="594"/>
      <c r="W667" s="594"/>
      <c r="X667" s="594"/>
      <c r="Y667" s="594"/>
    </row>
    <row r="668" spans="1:25" ht="18" customHeight="1" x14ac:dyDescent="0.2">
      <c r="A668" s="337"/>
      <c r="B668" s="337"/>
      <c r="C668" s="346"/>
      <c r="D668" s="346"/>
      <c r="E668" s="346"/>
      <c r="F668" s="346"/>
      <c r="G668" s="346"/>
      <c r="H668" s="346"/>
      <c r="I668" s="346"/>
      <c r="J668" s="594" t="s">
        <v>77</v>
      </c>
      <c r="K668" s="594"/>
      <c r="L668" s="594"/>
      <c r="M668" s="346"/>
      <c r="N668" s="596"/>
      <c r="O668" s="596"/>
      <c r="P668" s="596"/>
      <c r="Q668" s="596"/>
      <c r="R668" s="596"/>
      <c r="S668" s="346"/>
      <c r="T668" s="594" t="s">
        <v>81</v>
      </c>
      <c r="U668" s="594"/>
      <c r="V668" s="594"/>
      <c r="W668" s="594"/>
      <c r="X668" s="594"/>
      <c r="Y668" s="594"/>
    </row>
    <row r="669" spans="1:25" ht="18" customHeight="1" x14ac:dyDescent="0.2">
      <c r="A669" s="337"/>
      <c r="B669" s="337"/>
      <c r="C669" s="346"/>
      <c r="D669" s="346"/>
      <c r="E669" s="346"/>
      <c r="F669" s="346"/>
      <c r="G669" s="346"/>
      <c r="H669" s="362" t="s">
        <v>38</v>
      </c>
      <c r="I669" s="346"/>
      <c r="J669" s="761"/>
      <c r="K669" s="762"/>
      <c r="L669" s="518" t="s">
        <v>6</v>
      </c>
      <c r="M669" s="346"/>
      <c r="N669" s="701"/>
      <c r="O669" s="701"/>
      <c r="P669" s="701"/>
      <c r="Q669" s="763" t="s">
        <v>6</v>
      </c>
      <c r="R669" s="763"/>
      <c r="S669" s="346"/>
      <c r="T669" s="761"/>
      <c r="U669" s="764"/>
      <c r="V669" s="764"/>
      <c r="W669" s="762"/>
      <c r="X669" s="765" t="s">
        <v>6</v>
      </c>
      <c r="Y669" s="765"/>
    </row>
    <row r="670" spans="1:25" ht="18" customHeight="1" thickBot="1" x14ac:dyDescent="0.3">
      <c r="A670" s="337"/>
      <c r="B670" s="337"/>
      <c r="C670" s="346"/>
      <c r="D670" s="346"/>
      <c r="E670" s="346"/>
      <c r="F670" s="346"/>
      <c r="G670" s="346"/>
      <c r="H670" s="362" t="s">
        <v>76</v>
      </c>
      <c r="I670" s="346"/>
      <c r="J670" s="701"/>
      <c r="K670" s="766"/>
      <c r="L670" s="518" t="s">
        <v>6</v>
      </c>
      <c r="M670" s="346"/>
      <c r="N670" s="701"/>
      <c r="O670" s="701"/>
      <c r="P670" s="701"/>
      <c r="Q670" s="763" t="s">
        <v>6</v>
      </c>
      <c r="R670" s="763"/>
      <c r="S670" s="346"/>
      <c r="T670" s="761"/>
      <c r="U670" s="764"/>
      <c r="V670" s="764"/>
      <c r="W670" s="762"/>
      <c r="X670" s="765" t="s">
        <v>6</v>
      </c>
      <c r="Y670" s="765"/>
    </row>
    <row r="671" spans="1:25" ht="18" customHeight="1" thickBot="1" x14ac:dyDescent="0.25">
      <c r="A671" s="337"/>
      <c r="B671" s="337"/>
      <c r="C671" s="345"/>
      <c r="D671" s="337"/>
      <c r="E671" s="337"/>
      <c r="F671" s="337"/>
      <c r="G671" s="337"/>
      <c r="H671" s="337"/>
      <c r="I671" s="337"/>
      <c r="J671" s="337"/>
      <c r="K671" s="337"/>
      <c r="L671" s="337"/>
      <c r="M671" s="337"/>
      <c r="N671" s="337"/>
      <c r="O671" s="337"/>
      <c r="T671" s="395"/>
      <c r="U671" s="396"/>
      <c r="V671" s="396"/>
      <c r="W671" s="397" t="str">
        <f>IF(COUNTA($J$669,$J$670,$N$669,$N$670,$T$669,$T$670)=0,"",IF(COUNTA($J$669,$J$670,$N$669,$N$670,$T$669,$T$670)&lt;6,"Renseignez 6 valeurs en réponse à cette question, y compris les valeurs nulles. ",""))</f>
        <v/>
      </c>
    </row>
    <row r="672" spans="1:25" ht="18" customHeight="1" x14ac:dyDescent="0.2">
      <c r="A672" s="337"/>
      <c r="B672" s="337"/>
      <c r="C672" s="345"/>
      <c r="D672" s="337"/>
      <c r="E672" s="337"/>
      <c r="F672" s="337"/>
      <c r="G672" s="337"/>
      <c r="H672" s="337"/>
      <c r="I672" s="337"/>
      <c r="J672" s="337"/>
      <c r="K672" s="337"/>
      <c r="L672" s="337"/>
      <c r="M672" s="337"/>
      <c r="N672" s="337"/>
      <c r="O672" s="337"/>
    </row>
    <row r="673" spans="1:25" ht="18" customHeight="1" x14ac:dyDescent="0.2">
      <c r="A673" s="337"/>
      <c r="B673" s="337"/>
      <c r="C673" s="345"/>
      <c r="D673" s="337"/>
      <c r="E673" s="337"/>
      <c r="F673" s="337"/>
      <c r="G673" s="337"/>
      <c r="H673" s="337"/>
      <c r="I673" s="337"/>
      <c r="J673" s="337"/>
      <c r="K673" s="337"/>
      <c r="L673" s="337"/>
      <c r="M673" s="337"/>
      <c r="N673" s="337"/>
      <c r="O673" s="337"/>
    </row>
    <row r="674" spans="1:25" ht="18" customHeight="1" x14ac:dyDescent="0.2">
      <c r="A674" s="337"/>
      <c r="B674" s="337"/>
      <c r="C674" s="593" t="s">
        <v>481</v>
      </c>
      <c r="D674" s="593"/>
      <c r="E674" s="593"/>
      <c r="F674" s="593"/>
      <c r="G674" s="593"/>
      <c r="H674" s="593"/>
      <c r="I674" s="593"/>
      <c r="J674" s="593"/>
      <c r="K674" s="593"/>
      <c r="L674" s="593"/>
      <c r="M674" s="593"/>
      <c r="N674" s="593"/>
      <c r="O674" s="593"/>
      <c r="P674" s="593"/>
      <c r="Q674" s="593"/>
      <c r="R674" s="593"/>
      <c r="S674" s="593"/>
      <c r="T674" s="593"/>
      <c r="U674" s="593"/>
      <c r="V674" s="593"/>
      <c r="W674" s="593"/>
      <c r="X674" s="593"/>
      <c r="Y674" s="593"/>
    </row>
    <row r="675" spans="1:25" ht="18" customHeight="1" x14ac:dyDescent="0.2">
      <c r="A675" s="337"/>
      <c r="B675" s="337"/>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row>
    <row r="676" spans="1:25" ht="18" customHeight="1" x14ac:dyDescent="0.2">
      <c r="A676" s="337"/>
      <c r="B676" s="337"/>
      <c r="C676" s="581" t="s">
        <v>326</v>
      </c>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row>
    <row r="677" spans="1:25" ht="18" customHeight="1" thickBot="1" x14ac:dyDescent="0.25">
      <c r="A677" s="337"/>
      <c r="B677" s="337"/>
      <c r="C677" s="354" t="s">
        <v>234</v>
      </c>
      <c r="D677" s="354"/>
      <c r="E677" s="337"/>
      <c r="H677" s="368"/>
      <c r="I677" s="353" t="s">
        <v>28</v>
      </c>
      <c r="J677" s="588"/>
      <c r="K677" s="588"/>
      <c r="P677" s="339"/>
      <c r="Q677" s="368"/>
      <c r="R677" s="368"/>
      <c r="S677" s="369" t="s">
        <v>29</v>
      </c>
      <c r="T677" s="588"/>
      <c r="U677" s="588"/>
      <c r="V677" s="588"/>
      <c r="W677" s="588"/>
    </row>
    <row r="678" spans="1:25" ht="18" customHeight="1" thickBot="1" x14ac:dyDescent="0.25">
      <c r="A678" s="337"/>
      <c r="B678" s="337"/>
      <c r="C678" s="345"/>
      <c r="D678" s="337"/>
      <c r="E678" s="337"/>
      <c r="F678" s="337"/>
      <c r="G678" s="337"/>
      <c r="H678" s="337"/>
      <c r="I678" s="337"/>
      <c r="J678" s="337"/>
      <c r="K678" s="337"/>
      <c r="L678" s="337"/>
      <c r="M678" s="337"/>
      <c r="N678" s="337"/>
      <c r="O678" s="337"/>
      <c r="T678" s="395"/>
      <c r="U678" s="396"/>
      <c r="V678" s="396"/>
      <c r="W678" s="397" t="str">
        <f>CONCATENATE(IF(AND(SUM($N$669,$N$670,$T$669,$T$670)&gt;0,COUNTA($J$677,$T$677)=0),"Des fossés et/ou des fossés profonds sont présents dans le site, donc répondez à cette question. ",""),IF(COUNTA($J$677,$T$677)&gt;1,"Une seule réponse est possible.",""))</f>
        <v/>
      </c>
    </row>
    <row r="679" spans="1:25" ht="18" customHeight="1" x14ac:dyDescent="0.2">
      <c r="A679" s="337"/>
      <c r="B679" s="337"/>
      <c r="C679" s="345"/>
      <c r="D679" s="337"/>
      <c r="E679" s="337"/>
      <c r="F679" s="337"/>
      <c r="G679" s="337"/>
      <c r="H679" s="337"/>
      <c r="I679" s="337"/>
      <c r="J679" s="337"/>
      <c r="K679" s="337"/>
      <c r="L679" s="337"/>
      <c r="M679" s="337"/>
      <c r="N679" s="337"/>
      <c r="O679" s="337"/>
    </row>
    <row r="680" spans="1:25" ht="23.1" customHeight="1" x14ac:dyDescent="0.2">
      <c r="A680" s="337"/>
      <c r="B680" s="337"/>
      <c r="C680" s="583" t="s">
        <v>327</v>
      </c>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row>
    <row r="681" spans="1:25" ht="23.1" customHeight="1" x14ac:dyDescent="0.2">
      <c r="A681" s="337"/>
      <c r="B681" s="337"/>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c r="Y681" s="592"/>
    </row>
    <row r="682" spans="1:25" ht="18" customHeight="1" thickBot="1" x14ac:dyDescent="0.25">
      <c r="A682" s="337"/>
      <c r="B682" s="337"/>
      <c r="C682" s="354" t="s">
        <v>234</v>
      </c>
      <c r="D682" s="354"/>
      <c r="E682" s="337"/>
      <c r="H682" s="368"/>
      <c r="I682" s="353" t="s">
        <v>28</v>
      </c>
      <c r="J682" s="588"/>
      <c r="K682" s="588"/>
      <c r="P682" s="339"/>
      <c r="Q682" s="368"/>
      <c r="R682" s="368"/>
      <c r="S682" s="369" t="s">
        <v>29</v>
      </c>
      <c r="T682" s="588"/>
      <c r="U682" s="588"/>
      <c r="V682" s="588"/>
      <c r="W682" s="588"/>
    </row>
    <row r="683" spans="1:25" ht="18" customHeight="1" thickBot="1" x14ac:dyDescent="0.25">
      <c r="A683" s="337"/>
      <c r="B683" s="337"/>
      <c r="C683" s="345"/>
      <c r="D683" s="337"/>
      <c r="E683" s="337"/>
      <c r="F683" s="337"/>
      <c r="G683" s="337"/>
      <c r="H683" s="337"/>
      <c r="I683" s="337"/>
      <c r="J683" s="337"/>
      <c r="K683" s="337"/>
      <c r="L683" s="337"/>
      <c r="M683" s="337"/>
      <c r="N683" s="337"/>
      <c r="O683" s="337"/>
      <c r="T683" s="395"/>
      <c r="U683" s="396"/>
      <c r="V683" s="396"/>
      <c r="W683" s="397" t="str">
        <f>CONCATENATE(IF(AND(SUM($N$669,$N$670,$T$669,$T$670)&gt;0,COUNTA($J$682,$T$682)=0),"Des fossés et/ou des fossés profonds sont présents dans le site, donc répondez à cette question. ",""),IF(COUNTA($J$682,$T$682)&gt;1,"Une seule réponse est possible.",""))</f>
        <v/>
      </c>
    </row>
    <row r="684" spans="1:25" ht="18" customHeight="1" x14ac:dyDescent="0.2">
      <c r="A684" s="337"/>
      <c r="B684" s="337"/>
      <c r="C684" s="345"/>
      <c r="D684" s="337"/>
      <c r="E684" s="337"/>
      <c r="F684" s="337"/>
      <c r="G684" s="337"/>
      <c r="H684" s="337"/>
      <c r="I684" s="337"/>
      <c r="J684" s="337"/>
      <c r="K684" s="337"/>
      <c r="L684" s="337"/>
      <c r="M684" s="337"/>
      <c r="N684" s="337"/>
      <c r="O684" s="337"/>
    </row>
    <row r="685" spans="1:25" ht="18" customHeight="1" x14ac:dyDescent="0.2">
      <c r="A685" s="337"/>
      <c r="B685" s="337"/>
      <c r="C685" s="581" t="s">
        <v>328</v>
      </c>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row>
    <row r="686" spans="1:25" ht="18" customHeight="1" thickBot="1" x14ac:dyDescent="0.25">
      <c r="A686" s="337"/>
      <c r="B686" s="337"/>
      <c r="C686" s="354" t="s">
        <v>234</v>
      </c>
      <c r="D686" s="354"/>
      <c r="E686" s="337"/>
      <c r="H686" s="368"/>
      <c r="I686" s="353" t="s">
        <v>28</v>
      </c>
      <c r="J686" s="588"/>
      <c r="K686" s="588"/>
      <c r="P686" s="339"/>
      <c r="Q686" s="368"/>
      <c r="R686" s="368"/>
      <c r="S686" s="369" t="s">
        <v>29</v>
      </c>
      <c r="T686" s="588"/>
      <c r="U686" s="588"/>
      <c r="V686" s="588"/>
      <c r="W686" s="588"/>
    </row>
    <row r="687" spans="1:25" ht="18" customHeight="1" thickBot="1" x14ac:dyDescent="0.25">
      <c r="A687" s="337"/>
      <c r="B687" s="337"/>
      <c r="C687" s="345"/>
      <c r="D687" s="337"/>
      <c r="E687" s="337"/>
      <c r="F687" s="337"/>
      <c r="G687" s="337"/>
      <c r="H687" s="337"/>
      <c r="I687" s="337"/>
      <c r="J687" s="337"/>
      <c r="K687" s="337"/>
      <c r="L687" s="337"/>
      <c r="M687" s="337"/>
      <c r="N687" s="337"/>
      <c r="O687" s="337"/>
      <c r="T687" s="395"/>
      <c r="U687" s="396"/>
      <c r="V687" s="396"/>
      <c r="W687" s="397" t="str">
        <f>IF(COUNTA($J$686,$T$686)&gt;1,"Une seule réponse est possible.","")</f>
        <v/>
      </c>
    </row>
    <row r="688" spans="1:25" ht="18" customHeight="1" x14ac:dyDescent="0.2">
      <c r="A688" s="337"/>
      <c r="B688" s="337"/>
      <c r="C688" s="345"/>
      <c r="D688" s="337"/>
      <c r="E688" s="337"/>
      <c r="F688" s="337"/>
      <c r="G688" s="337"/>
      <c r="H688" s="337"/>
      <c r="I688" s="337"/>
      <c r="J688" s="337"/>
      <c r="K688" s="337"/>
      <c r="L688" s="337"/>
      <c r="M688" s="337"/>
      <c r="N688" s="337"/>
      <c r="O688" s="337"/>
    </row>
    <row r="689" spans="1:27" ht="18" customHeight="1" x14ac:dyDescent="0.2">
      <c r="A689" s="337"/>
      <c r="B689" s="337"/>
      <c r="C689" s="583" t="s">
        <v>380</v>
      </c>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row>
    <row r="690" spans="1:27" ht="18" customHeight="1" x14ac:dyDescent="0.2">
      <c r="A690" s="337"/>
      <c r="B690" s="337"/>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c r="Y690" s="592"/>
    </row>
    <row r="691" spans="1:27" ht="18" customHeight="1" thickBot="1" x14ac:dyDescent="0.25">
      <c r="A691" s="337"/>
      <c r="B691" s="337"/>
      <c r="C691" s="337"/>
      <c r="D691" s="337"/>
      <c r="E691" s="337"/>
      <c r="F691" s="337"/>
      <c r="G691" s="337"/>
      <c r="H691" s="337"/>
      <c r="I691" s="337"/>
      <c r="J691" s="337"/>
      <c r="K691" s="337"/>
      <c r="L691" s="337"/>
      <c r="M691" s="337"/>
      <c r="N691" s="337"/>
      <c r="O691" s="337"/>
      <c r="S691" s="369" t="s">
        <v>270</v>
      </c>
      <c r="T691" s="590"/>
      <c r="U691" s="590"/>
      <c r="V691" s="590"/>
      <c r="W691" s="590"/>
      <c r="X691" s="591" t="s">
        <v>118</v>
      </c>
      <c r="Y691" s="591"/>
    </row>
    <row r="692" spans="1:27" ht="18" customHeight="1" thickBot="1" x14ac:dyDescent="0.25">
      <c r="A692" s="337"/>
      <c r="B692" s="337"/>
      <c r="C692" s="345"/>
      <c r="D692" s="337"/>
      <c r="E692" s="337"/>
      <c r="F692" s="337"/>
      <c r="G692" s="337"/>
      <c r="H692" s="337"/>
      <c r="I692" s="337"/>
      <c r="J692" s="337"/>
      <c r="K692" s="337"/>
      <c r="L692" s="337"/>
      <c r="M692" s="337"/>
      <c r="N692" s="337"/>
      <c r="O692" s="337"/>
      <c r="P692" s="337"/>
      <c r="Q692" s="337"/>
      <c r="R692" s="337"/>
      <c r="S692" s="337"/>
      <c r="T692" s="395"/>
      <c r="U692" s="396"/>
      <c r="V692" s="396"/>
      <c r="W692" s="397" t="str">
        <f>IF(OR(AND(T686="X",LEN(T691)&gt;0),AND(J686="",LEN(T691)&gt;0)),"Si vous n'avez pas répondu oui à la question 63, ne répondez pas à celle-ci.",CONCATENATE(IF(AND($J$686="X",ISBLANK($T$691)),"Vous avez affirmé que vous saviez si des drains souterrains sont présents (question 63), donc répondez à cette question.",""),IF($T$691&gt;100," La valeur renseignée ne peut pas être supérieure à 100%.","")))</f>
        <v/>
      </c>
      <c r="X692" s="425"/>
      <c r="Y692" s="425"/>
      <c r="Z692" s="425"/>
      <c r="AA692" s="425"/>
    </row>
    <row r="693" spans="1:27" ht="18" customHeight="1" x14ac:dyDescent="0.2">
      <c r="A693" s="337"/>
      <c r="B693" s="337"/>
      <c r="C693" s="345"/>
      <c r="D693" s="337"/>
      <c r="E693" s="337"/>
      <c r="F693" s="337"/>
      <c r="G693" s="337"/>
      <c r="H693" s="337"/>
      <c r="I693" s="337"/>
      <c r="J693" s="337"/>
      <c r="K693" s="337"/>
      <c r="L693" s="337"/>
      <c r="M693" s="337"/>
      <c r="N693" s="337"/>
      <c r="O693" s="337"/>
      <c r="P693" s="337"/>
      <c r="Q693" s="337"/>
      <c r="R693" s="337"/>
      <c r="S693" s="337"/>
      <c r="T693" s="425"/>
      <c r="U693" s="425"/>
      <c r="V693" s="425"/>
      <c r="W693" s="425"/>
      <c r="X693" s="425"/>
      <c r="Y693" s="425"/>
      <c r="Z693" s="425"/>
      <c r="AA693" s="425"/>
    </row>
    <row r="694" spans="1:27" ht="18" customHeight="1" x14ac:dyDescent="0.2">
      <c r="A694" s="337"/>
      <c r="B694" s="337"/>
      <c r="C694" s="592" t="s">
        <v>329</v>
      </c>
      <c r="D694" s="592"/>
      <c r="E694" s="592"/>
      <c r="F694" s="592"/>
      <c r="G694" s="592"/>
      <c r="H694" s="592"/>
      <c r="I694" s="592"/>
      <c r="J694" s="592"/>
      <c r="K694" s="592"/>
      <c r="L694" s="592"/>
      <c r="M694" s="592"/>
      <c r="N694" s="592"/>
      <c r="O694" s="592"/>
      <c r="P694" s="592"/>
      <c r="Q694" s="592"/>
      <c r="R694" s="592"/>
      <c r="S694" s="592"/>
      <c r="T694" s="592"/>
      <c r="U694" s="592"/>
      <c r="V694" s="592"/>
      <c r="W694" s="592"/>
      <c r="X694" s="592"/>
      <c r="Y694" s="592"/>
    </row>
    <row r="695" spans="1:27" ht="18" customHeight="1" thickBot="1" x14ac:dyDescent="0.25">
      <c r="A695" s="337"/>
      <c r="B695" s="337"/>
      <c r="C695" s="354" t="s">
        <v>234</v>
      </c>
      <c r="D695" s="354"/>
      <c r="E695" s="337"/>
      <c r="H695" s="368"/>
      <c r="I695" s="353" t="s">
        <v>28</v>
      </c>
      <c r="J695" s="588"/>
      <c r="K695" s="588"/>
      <c r="P695" s="339"/>
      <c r="Q695" s="368"/>
      <c r="R695" s="368"/>
      <c r="S695" s="369" t="s">
        <v>29</v>
      </c>
      <c r="T695" s="588"/>
      <c r="U695" s="588"/>
      <c r="V695" s="588"/>
      <c r="W695" s="588"/>
    </row>
    <row r="696" spans="1:27" ht="18" customHeight="1" thickBot="1" x14ac:dyDescent="0.25">
      <c r="A696" s="337"/>
      <c r="B696" s="337"/>
      <c r="C696" s="345"/>
      <c r="D696" s="337"/>
      <c r="E696" s="337"/>
      <c r="F696" s="337"/>
      <c r="G696" s="337"/>
      <c r="H696" s="337"/>
      <c r="I696" s="337"/>
      <c r="J696" s="337"/>
      <c r="K696" s="337"/>
      <c r="L696" s="337"/>
      <c r="M696" s="337"/>
      <c r="N696" s="337"/>
      <c r="O696" s="337"/>
      <c r="T696" s="395"/>
      <c r="U696" s="396"/>
      <c r="V696" s="396"/>
      <c r="W696" s="397" t="str">
        <f>CONCATENATE(IF(AND($J$686="X",AND($J$695&lt;&gt;"X",$T$695&lt;&gt;"X")),"Vous avez affirmé que vous saviez si des drains souterrains sont présents (question 63), donc répondez à cette question.",""),IF(AND(COUNTA($J$695,$T$695)&gt;1)," Une seule réponse est possible.",""),IF(AND($T$686="X",COUNTA($J$695,$T$695)&gt;0),"Vous avez affirmé que vous ne saviez pas si des drains souterrains sont présents (question 63), donc ne répondez pas à cette question.",""))</f>
        <v/>
      </c>
    </row>
    <row r="697" spans="1:27" ht="18" customHeight="1" x14ac:dyDescent="0.2">
      <c r="A697" s="337"/>
      <c r="B697" s="337"/>
      <c r="C697" s="345"/>
      <c r="D697" s="337"/>
      <c r="E697" s="337"/>
      <c r="F697" s="337"/>
      <c r="G697" s="337"/>
      <c r="H697" s="337"/>
      <c r="I697" s="337"/>
      <c r="J697" s="337"/>
      <c r="K697" s="337"/>
      <c r="L697" s="337"/>
      <c r="M697" s="337"/>
      <c r="N697" s="337"/>
      <c r="O697" s="337"/>
    </row>
    <row r="698" spans="1:27" ht="18" customHeight="1" x14ac:dyDescent="0.2">
      <c r="A698" s="337"/>
      <c r="B698" s="337"/>
      <c r="C698" s="581" t="s">
        <v>330</v>
      </c>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row>
    <row r="699" spans="1:27" ht="18" customHeight="1" thickBot="1" x14ac:dyDescent="0.25">
      <c r="A699" s="337"/>
      <c r="B699" s="337"/>
      <c r="C699" s="337"/>
      <c r="D699" s="337"/>
      <c r="E699" s="337"/>
      <c r="F699" s="337"/>
      <c r="G699" s="337"/>
      <c r="H699" s="337"/>
      <c r="I699" s="337"/>
      <c r="J699" s="337"/>
      <c r="K699" s="469"/>
      <c r="L699" s="337"/>
      <c r="M699" s="337"/>
      <c r="N699" s="337"/>
      <c r="O699" s="337"/>
      <c r="S699" s="369" t="s">
        <v>271</v>
      </c>
      <c r="T699" s="590"/>
      <c r="U699" s="590"/>
      <c r="V699" s="590"/>
      <c r="W699" s="590"/>
      <c r="X699" s="591" t="s">
        <v>118</v>
      </c>
      <c r="Y699" s="591"/>
    </row>
    <row r="700" spans="1:27" ht="18" customHeight="1" thickBot="1" x14ac:dyDescent="0.25">
      <c r="A700" s="337"/>
      <c r="B700" s="337"/>
      <c r="C700" s="345"/>
      <c r="D700" s="337"/>
      <c r="E700" s="337"/>
      <c r="F700" s="337"/>
      <c r="G700" s="337"/>
      <c r="H700" s="337"/>
      <c r="I700" s="337"/>
      <c r="J700" s="337"/>
      <c r="K700" s="337"/>
      <c r="L700" s="337"/>
      <c r="M700" s="337"/>
      <c r="N700" s="337"/>
      <c r="O700" s="337"/>
      <c r="T700" s="395"/>
      <c r="U700" s="396"/>
      <c r="V700" s="396"/>
      <c r="W700" s="397" t="str">
        <f>IF($T$699&gt;100,"La réponse donnée ne peut pas être supérieure à 100%.","")</f>
        <v/>
      </c>
    </row>
    <row r="701" spans="1:27" ht="18" customHeight="1" x14ac:dyDescent="0.2">
      <c r="A701" s="337"/>
      <c r="B701" s="337"/>
      <c r="C701" s="345"/>
      <c r="D701" s="337"/>
      <c r="E701" s="337"/>
      <c r="F701" s="337"/>
      <c r="G701" s="337"/>
      <c r="H701" s="337"/>
      <c r="I701" s="337"/>
      <c r="J701" s="337"/>
      <c r="K701" s="337"/>
      <c r="L701" s="337"/>
      <c r="M701" s="337"/>
      <c r="N701" s="337"/>
      <c r="O701" s="337"/>
    </row>
    <row r="702" spans="1:27" ht="18" customHeight="1" x14ac:dyDescent="0.2">
      <c r="A702" s="337"/>
      <c r="B702" s="337"/>
      <c r="C702" s="581" t="s">
        <v>331</v>
      </c>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row>
    <row r="703" spans="1:27" ht="18" customHeight="1" thickBot="1" x14ac:dyDescent="0.25">
      <c r="A703" s="337"/>
      <c r="B703" s="337"/>
      <c r="C703" s="354" t="s">
        <v>234</v>
      </c>
      <c r="D703" s="354"/>
      <c r="E703" s="337"/>
      <c r="H703" s="368"/>
      <c r="I703" s="353" t="s">
        <v>28</v>
      </c>
      <c r="J703" s="588"/>
      <c r="K703" s="588"/>
      <c r="P703" s="339"/>
      <c r="Q703" s="368"/>
      <c r="R703" s="368"/>
      <c r="S703" s="369" t="s">
        <v>29</v>
      </c>
      <c r="T703" s="588"/>
      <c r="U703" s="588"/>
      <c r="V703" s="588"/>
      <c r="W703" s="588"/>
    </row>
    <row r="704" spans="1:27" ht="18" customHeight="1" thickBot="1" x14ac:dyDescent="0.25">
      <c r="A704" s="337"/>
      <c r="B704" s="337"/>
      <c r="C704" s="345"/>
      <c r="D704" s="337"/>
      <c r="E704" s="337"/>
      <c r="F704" s="337"/>
      <c r="G704" s="337"/>
      <c r="H704" s="337"/>
      <c r="I704" s="337"/>
      <c r="J704" s="337"/>
      <c r="K704" s="337"/>
      <c r="L704" s="337"/>
      <c r="M704" s="337"/>
      <c r="N704" s="337"/>
      <c r="O704" s="337"/>
      <c r="T704" s="395"/>
      <c r="U704" s="396"/>
      <c r="V704" s="396"/>
      <c r="W704" s="397" t="str">
        <f>IF(COUNTA($J$703,$T$703)&gt;1,"Une seule réponse est possible.","")</f>
        <v/>
      </c>
    </row>
    <row r="705" spans="1:25" ht="18" customHeight="1" x14ac:dyDescent="0.2">
      <c r="A705" s="337"/>
      <c r="B705" s="337"/>
      <c r="C705" s="345"/>
      <c r="D705" s="337"/>
      <c r="E705" s="337"/>
      <c r="F705" s="337"/>
      <c r="G705" s="337"/>
      <c r="H705" s="337"/>
      <c r="I705" s="337"/>
      <c r="J705" s="337"/>
      <c r="K705" s="337"/>
      <c r="L705" s="337"/>
      <c r="M705" s="337"/>
      <c r="N705" s="337"/>
      <c r="O705" s="337"/>
    </row>
    <row r="706" spans="1:25" ht="33.75" customHeight="1" x14ac:dyDescent="0.2">
      <c r="A706" s="337"/>
      <c r="B706" s="337"/>
      <c r="C706" s="341" t="s">
        <v>392</v>
      </c>
      <c r="D706" s="805" t="s">
        <v>406</v>
      </c>
      <c r="E706" s="805"/>
      <c r="F706" s="805"/>
      <c r="G706" s="805"/>
      <c r="H706" s="805"/>
      <c r="I706" s="805"/>
      <c r="J706" s="805"/>
      <c r="K706" s="805"/>
      <c r="L706" s="805"/>
      <c r="M706" s="805"/>
      <c r="N706" s="805"/>
      <c r="O706" s="805"/>
      <c r="P706" s="805"/>
      <c r="Q706" s="805"/>
      <c r="R706" s="805"/>
      <c r="S706" s="805"/>
      <c r="T706" s="805"/>
      <c r="U706" s="805"/>
      <c r="V706" s="805"/>
      <c r="W706" s="805"/>
      <c r="X706" s="805"/>
      <c r="Y706" s="805"/>
    </row>
    <row r="707" spans="1:25" ht="18" customHeight="1" x14ac:dyDescent="0.2">
      <c r="A707" s="337"/>
      <c r="B707" s="337"/>
      <c r="C707" s="470"/>
      <c r="D707" s="470"/>
      <c r="E707" s="470"/>
      <c r="F707" s="470"/>
      <c r="G707" s="470"/>
      <c r="H707" s="470"/>
      <c r="I707" s="470"/>
      <c r="J707" s="470"/>
      <c r="K707" s="470"/>
      <c r="L707" s="470"/>
      <c r="M707" s="470"/>
      <c r="N707" s="470"/>
      <c r="O707" s="470"/>
      <c r="P707" s="470"/>
      <c r="Q707" s="470"/>
      <c r="R707" s="470"/>
      <c r="S707" s="470"/>
      <c r="T707" s="470"/>
      <c r="U707" s="470"/>
      <c r="V707" s="470"/>
      <c r="W707" s="470"/>
      <c r="X707" s="470"/>
      <c r="Y707" s="470"/>
    </row>
    <row r="708" spans="1:25" ht="23.1" customHeight="1" thickBot="1" x14ac:dyDescent="0.25">
      <c r="A708" s="337"/>
      <c r="B708" s="337"/>
      <c r="C708" s="589" t="s">
        <v>117</v>
      </c>
      <c r="D708" s="589"/>
      <c r="E708" s="589"/>
      <c r="F708" s="589"/>
      <c r="G708" s="589"/>
      <c r="H708" s="589"/>
      <c r="I708" s="589"/>
      <c r="J708" s="589"/>
      <c r="K708" s="589"/>
      <c r="L708" s="589"/>
      <c r="M708" s="589"/>
      <c r="N708" s="589"/>
      <c r="O708" s="589"/>
      <c r="P708" s="589"/>
      <c r="Q708" s="589"/>
      <c r="R708" s="589"/>
      <c r="S708" s="589"/>
      <c r="T708" s="589"/>
      <c r="U708" s="589"/>
      <c r="V708" s="589"/>
      <c r="W708" s="589"/>
      <c r="X708" s="589"/>
      <c r="Y708" s="589"/>
    </row>
    <row r="709" spans="1:25" ht="18" customHeight="1" thickBot="1" x14ac:dyDescent="0.25">
      <c r="A709" s="337"/>
      <c r="B709" s="337"/>
      <c r="C709" s="345"/>
      <c r="D709" s="471"/>
      <c r="E709" s="471"/>
      <c r="F709" s="471"/>
      <c r="G709" s="471"/>
      <c r="H709" s="471"/>
      <c r="I709" s="471"/>
      <c r="J709" s="471"/>
      <c r="K709" s="471"/>
      <c r="L709" s="471"/>
      <c r="M709" s="471"/>
      <c r="N709" s="471"/>
      <c r="O709" s="471"/>
      <c r="P709" s="471"/>
      <c r="Q709" s="471"/>
      <c r="R709" s="471"/>
      <c r="S709" s="471"/>
      <c r="T709" s="395"/>
      <c r="U709" s="396"/>
      <c r="V709" s="396"/>
      <c r="W709" s="397" t="str">
        <f>IF(AND($J$121&lt;&gt;"X",COUNTA($J$711,$T$711,$J$715:$K$718,$T$715:$W$717,$T$722,$T$726,$T$732:$W$739)&gt;0),"Le site n'est pas dans un système alluvial, donc ne répondez pas à ces questions.","")</f>
        <v/>
      </c>
      <c r="X709" s="471"/>
      <c r="Y709" s="471"/>
    </row>
    <row r="710" spans="1:25" ht="18" customHeight="1" x14ac:dyDescent="0.2">
      <c r="A710" s="337"/>
      <c r="B710" s="337"/>
      <c r="C710" s="581" t="s">
        <v>332</v>
      </c>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row>
    <row r="711" spans="1:25" ht="18" customHeight="1" thickBot="1" x14ac:dyDescent="0.25">
      <c r="A711" s="337"/>
      <c r="B711" s="337"/>
      <c r="C711" s="354" t="s">
        <v>234</v>
      </c>
      <c r="D711" s="354"/>
      <c r="E711" s="337"/>
      <c r="H711" s="368"/>
      <c r="I711" s="353" t="s">
        <v>28</v>
      </c>
      <c r="J711" s="588"/>
      <c r="K711" s="588"/>
      <c r="P711" s="339"/>
      <c r="Q711" s="368"/>
      <c r="R711" s="368"/>
      <c r="S711" s="369" t="s">
        <v>29</v>
      </c>
      <c r="T711" s="588"/>
      <c r="U711" s="588"/>
      <c r="V711" s="588"/>
      <c r="W711" s="588"/>
    </row>
    <row r="712" spans="1:25" ht="18" customHeight="1" thickBot="1" x14ac:dyDescent="0.25">
      <c r="A712" s="337"/>
      <c r="B712" s="337"/>
      <c r="C712" s="345"/>
      <c r="D712" s="337"/>
      <c r="E712" s="337"/>
      <c r="F712" s="337"/>
      <c r="G712" s="337"/>
      <c r="H712" s="337"/>
      <c r="I712" s="337"/>
      <c r="J712" s="337"/>
      <c r="K712" s="337"/>
      <c r="L712" s="337"/>
      <c r="M712" s="337"/>
      <c r="N712" s="337"/>
      <c r="O712" s="337"/>
      <c r="T712" s="395"/>
      <c r="U712" s="396"/>
      <c r="V712" s="396"/>
      <c r="W712" s="397" t="str">
        <f>CONCATENATE(IF(COUNTA($J$711,$T$711)&gt;1,"Une seule réponse est possible.",""),IF(AND($J$121="x",AND($J$711&lt;&gt;"X",$T$711&lt;&gt;"X")),"Votre site est alluvial, donnez une réponse à cette question.",""))</f>
        <v/>
      </c>
    </row>
    <row r="713" spans="1:25" ht="18" customHeight="1" x14ac:dyDescent="0.2">
      <c r="A713" s="337"/>
      <c r="B713" s="337"/>
      <c r="C713" s="345"/>
      <c r="D713" s="337"/>
      <c r="E713" s="337"/>
      <c r="F713" s="337"/>
      <c r="G713" s="337"/>
      <c r="H713" s="337"/>
      <c r="I713" s="337"/>
      <c r="J713" s="337"/>
      <c r="K713" s="337"/>
      <c r="L713" s="337"/>
      <c r="M713" s="337"/>
      <c r="N713" s="337"/>
      <c r="O713" s="337"/>
    </row>
    <row r="714" spans="1:25" ht="18" customHeight="1" x14ac:dyDescent="0.2">
      <c r="A714" s="337"/>
      <c r="B714" s="337"/>
      <c r="C714" s="581" t="s">
        <v>333</v>
      </c>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row>
    <row r="715" spans="1:25" s="369" customFormat="1" ht="18" customHeight="1" x14ac:dyDescent="0.2">
      <c r="A715" s="353"/>
      <c r="B715" s="353"/>
      <c r="C715" s="472" t="s">
        <v>234</v>
      </c>
      <c r="D715" s="473"/>
      <c r="E715" s="353"/>
      <c r="I715" s="353" t="s">
        <v>13</v>
      </c>
      <c r="J715" s="588"/>
      <c r="K715" s="588"/>
      <c r="S715" s="353" t="s">
        <v>18</v>
      </c>
      <c r="T715" s="588"/>
      <c r="U715" s="588"/>
      <c r="V715" s="588"/>
      <c r="W715" s="588"/>
    </row>
    <row r="716" spans="1:25" s="369" customFormat="1" ht="18" customHeight="1" x14ac:dyDescent="0.2">
      <c r="A716" s="353"/>
      <c r="B716" s="353"/>
      <c r="C716" s="473"/>
      <c r="D716" s="473"/>
      <c r="E716" s="353"/>
      <c r="F716" s="353"/>
      <c r="G716" s="353"/>
      <c r="H716" s="353"/>
      <c r="I716" s="353" t="s">
        <v>19</v>
      </c>
      <c r="J716" s="588"/>
      <c r="K716" s="588"/>
      <c r="S716" s="353" t="s">
        <v>20</v>
      </c>
      <c r="T716" s="588"/>
      <c r="U716" s="588"/>
      <c r="V716" s="588"/>
      <c r="W716" s="588"/>
    </row>
    <row r="717" spans="1:25" s="369" customFormat="1" ht="18" customHeight="1" x14ac:dyDescent="0.2">
      <c r="A717" s="353"/>
      <c r="B717" s="353"/>
      <c r="C717" s="353"/>
      <c r="D717" s="353"/>
      <c r="E717" s="353"/>
      <c r="F717" s="353"/>
      <c r="G717" s="353"/>
      <c r="H717" s="353"/>
      <c r="I717" s="353" t="s">
        <v>14</v>
      </c>
      <c r="J717" s="588"/>
      <c r="K717" s="588"/>
      <c r="S717" s="353" t="s">
        <v>16</v>
      </c>
      <c r="T717" s="588"/>
      <c r="U717" s="588"/>
      <c r="V717" s="588"/>
      <c r="W717" s="588"/>
    </row>
    <row r="718" spans="1:25" s="369" customFormat="1" ht="18" customHeight="1" thickBot="1" x14ac:dyDescent="0.25">
      <c r="A718" s="353"/>
      <c r="B718" s="353"/>
      <c r="C718" s="353"/>
      <c r="D718" s="353"/>
      <c r="E718" s="353"/>
      <c r="F718" s="353"/>
      <c r="G718" s="353"/>
      <c r="H718" s="353"/>
      <c r="I718" s="353" t="s">
        <v>15</v>
      </c>
      <c r="J718" s="588"/>
      <c r="K718" s="588"/>
      <c r="S718" s="353"/>
    </row>
    <row r="719" spans="1:25" s="347" customFormat="1" ht="18" customHeight="1" thickBot="1" x14ac:dyDescent="0.25">
      <c r="C719" s="345"/>
      <c r="E719" s="352"/>
      <c r="F719" s="352"/>
      <c r="G719" s="370"/>
      <c r="H719" s="370"/>
      <c r="J719" s="352"/>
      <c r="K719" s="370"/>
      <c r="M719" s="352"/>
      <c r="N719" s="370"/>
      <c r="P719" s="418"/>
      <c r="R719" s="349"/>
      <c r="S719" s="349"/>
      <c r="T719" s="395"/>
      <c r="U719" s="396"/>
      <c r="V719" s="396"/>
      <c r="W719" s="397" t="str">
        <f>CONCATENATE(IF(COUNTA($J$715:$K$718,$T$715:$W$717)&gt;1,"Une seule réponse est possible.",""),IF(AND($J$121="x",AND($J$715&lt;&gt;"X",$J$716&lt;&gt;"X",$J$717&lt;&gt;"x",$J$718&lt;&gt;"x",$T$715&lt;&gt;"x",$T$716&lt;&gt;"x",$T$717&lt;&gt;"x")),"Votre site est alluvial, donnez une réponse à cette question.",""))</f>
        <v/>
      </c>
    </row>
    <row r="720" spans="1:25" s="347" customFormat="1" ht="18" customHeight="1" x14ac:dyDescent="0.2">
      <c r="C720" s="345"/>
      <c r="E720" s="352"/>
      <c r="F720" s="352"/>
      <c r="G720" s="370"/>
      <c r="H720" s="370"/>
      <c r="J720" s="352"/>
      <c r="K720" s="370"/>
      <c r="M720" s="352"/>
      <c r="N720" s="370"/>
      <c r="P720" s="418"/>
      <c r="R720" s="349"/>
      <c r="S720" s="349"/>
    </row>
    <row r="721" spans="1:25" ht="18" customHeight="1" x14ac:dyDescent="0.2">
      <c r="A721" s="337"/>
      <c r="B721" s="337"/>
      <c r="C721" s="581" t="s">
        <v>334</v>
      </c>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row>
    <row r="722" spans="1:25" ht="18" customHeight="1" thickBot="1" x14ac:dyDescent="0.25">
      <c r="A722" s="337"/>
      <c r="B722" s="337"/>
      <c r="C722" s="354" t="s">
        <v>234</v>
      </c>
      <c r="D722" s="354"/>
      <c r="E722" s="337"/>
      <c r="H722" s="368"/>
      <c r="I722" s="353" t="s">
        <v>28</v>
      </c>
      <c r="J722" s="588"/>
      <c r="K722" s="588"/>
      <c r="P722" s="339"/>
      <c r="Q722" s="368"/>
      <c r="R722" s="368"/>
      <c r="S722" s="369" t="s">
        <v>29</v>
      </c>
      <c r="T722" s="588"/>
      <c r="U722" s="588"/>
      <c r="V722" s="588"/>
      <c r="W722" s="588"/>
    </row>
    <row r="723" spans="1:25" s="347" customFormat="1" ht="18" customHeight="1" thickBot="1" x14ac:dyDescent="0.25">
      <c r="C723" s="345"/>
      <c r="D723" s="360"/>
      <c r="E723" s="352"/>
      <c r="F723" s="352"/>
      <c r="G723" s="349"/>
      <c r="H723" s="349"/>
      <c r="I723" s="349"/>
      <c r="J723" s="349"/>
      <c r="K723" s="352"/>
      <c r="L723" s="349"/>
      <c r="P723" s="418"/>
      <c r="T723" s="395"/>
      <c r="U723" s="396"/>
      <c r="V723" s="396"/>
      <c r="W723" s="397" t="str">
        <f>CONCATENATE(IF(COUNTA($J$722,$T$722)&gt;1,"Une seule réponse est possible.",""),IF(AND($J$121="x",AND($J$722&lt;&gt;"X",$T$722&lt;&gt;"X")),"Votre site est alluvial, donnez une réponse à cette question.",""))</f>
        <v/>
      </c>
    </row>
    <row r="724" spans="1:25" s="347" customFormat="1" ht="18" customHeight="1" x14ac:dyDescent="0.2">
      <c r="C724" s="345"/>
      <c r="D724" s="360"/>
      <c r="E724" s="352"/>
      <c r="F724" s="352"/>
      <c r="G724" s="349"/>
      <c r="H724" s="349"/>
      <c r="I724" s="349"/>
      <c r="J724" s="349"/>
      <c r="K724" s="352"/>
      <c r="L724" s="349"/>
      <c r="P724" s="418"/>
    </row>
    <row r="725" spans="1:25" ht="18" customHeight="1" x14ac:dyDescent="0.2">
      <c r="A725" s="337"/>
      <c r="B725" s="337"/>
      <c r="C725" s="581" t="s">
        <v>335</v>
      </c>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row>
    <row r="726" spans="1:25" ht="18" customHeight="1" thickBot="1" x14ac:dyDescent="0.25">
      <c r="A726" s="337"/>
      <c r="B726" s="337"/>
      <c r="C726" s="337"/>
      <c r="D726" s="337"/>
      <c r="E726" s="337"/>
      <c r="F726" s="337"/>
      <c r="G726" s="337"/>
      <c r="H726" s="337"/>
      <c r="I726" s="337"/>
      <c r="J726" s="337"/>
      <c r="K726" s="337"/>
      <c r="L726" s="337"/>
      <c r="M726" s="394"/>
      <c r="N726" s="337"/>
      <c r="O726" s="337"/>
      <c r="S726" s="369" t="s">
        <v>119</v>
      </c>
      <c r="T726" s="578"/>
      <c r="U726" s="578"/>
      <c r="V726" s="578"/>
      <c r="W726" s="578"/>
      <c r="X726" s="582" t="s">
        <v>112</v>
      </c>
      <c r="Y726" s="582"/>
    </row>
    <row r="727" spans="1:25" ht="18" customHeight="1" thickBot="1" x14ac:dyDescent="0.25">
      <c r="A727" s="337"/>
      <c r="B727" s="337"/>
      <c r="C727" s="345"/>
      <c r="D727" s="337"/>
      <c r="E727" s="337"/>
      <c r="F727" s="337"/>
      <c r="G727" s="337"/>
      <c r="H727" s="337"/>
      <c r="I727" s="337"/>
      <c r="J727" s="337"/>
      <c r="K727" s="337"/>
      <c r="L727" s="337"/>
      <c r="M727" s="337"/>
      <c r="N727" s="337"/>
      <c r="O727" s="337"/>
      <c r="T727" s="395"/>
      <c r="U727" s="396"/>
      <c r="V727" s="396"/>
      <c r="W727" s="397" t="str">
        <f>IF(AND($J$121="x",AND($T$726="")),"Votre site est alluvial, donnez une réponse à cette question.","")</f>
        <v/>
      </c>
    </row>
    <row r="728" spans="1:25" ht="18" customHeight="1" x14ac:dyDescent="0.2">
      <c r="A728" s="337"/>
      <c r="B728" s="337"/>
      <c r="C728" s="345"/>
      <c r="D728" s="337"/>
      <c r="E728" s="337"/>
      <c r="F728" s="337"/>
      <c r="G728" s="337"/>
      <c r="H728" s="337"/>
      <c r="I728" s="337"/>
      <c r="J728" s="337"/>
      <c r="K728" s="337"/>
      <c r="L728" s="337"/>
      <c r="M728" s="337"/>
      <c r="N728" s="337"/>
      <c r="O728" s="337"/>
    </row>
    <row r="729" spans="1:25" ht="23.1" customHeight="1" x14ac:dyDescent="0.2">
      <c r="A729" s="337"/>
      <c r="B729" s="337"/>
      <c r="C729" s="583" t="s">
        <v>336</v>
      </c>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row>
    <row r="730" spans="1:25" ht="23.1" customHeight="1" x14ac:dyDescent="0.2">
      <c r="A730" s="337"/>
      <c r="B730" s="337"/>
      <c r="C730" s="583"/>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row>
    <row r="731" spans="1:25" ht="36" customHeight="1" x14ac:dyDescent="0.2">
      <c r="A731" s="337"/>
      <c r="B731" s="337"/>
      <c r="C731" s="584" t="s">
        <v>84</v>
      </c>
      <c r="D731" s="584"/>
      <c r="E731" s="584"/>
      <c r="F731" s="584"/>
      <c r="G731" s="584"/>
      <c r="H731" s="584"/>
      <c r="I731" s="584"/>
      <c r="J731" s="584"/>
      <c r="K731" s="584"/>
      <c r="L731" s="584"/>
      <c r="M731" s="584"/>
      <c r="N731" s="584"/>
      <c r="O731" s="584"/>
      <c r="P731" s="584"/>
      <c r="Q731" s="584"/>
      <c r="R731" s="584"/>
      <c r="S731" s="584"/>
      <c r="T731" s="585" t="s">
        <v>110</v>
      </c>
      <c r="U731" s="586"/>
      <c r="V731" s="586"/>
      <c r="W731" s="586"/>
      <c r="X731" s="586"/>
      <c r="Y731" s="587"/>
    </row>
    <row r="732" spans="1:25" ht="18" customHeight="1" x14ac:dyDescent="0.2">
      <c r="A732" s="337"/>
      <c r="B732" s="337"/>
      <c r="C732" s="577" t="s">
        <v>337</v>
      </c>
      <c r="D732" s="577"/>
      <c r="E732" s="577"/>
      <c r="F732" s="577"/>
      <c r="G732" s="577"/>
      <c r="H732" s="577"/>
      <c r="I732" s="577"/>
      <c r="J732" s="577"/>
      <c r="K732" s="577"/>
      <c r="L732" s="577"/>
      <c r="M732" s="577"/>
      <c r="N732" s="577"/>
      <c r="O732" s="577"/>
      <c r="P732" s="577"/>
      <c r="Q732" s="577"/>
      <c r="R732" s="577"/>
      <c r="S732" s="577"/>
      <c r="T732" s="578"/>
      <c r="U732" s="578"/>
      <c r="V732" s="578"/>
      <c r="W732" s="578"/>
      <c r="X732" s="579" t="s">
        <v>82</v>
      </c>
      <c r="Y732" s="579"/>
    </row>
    <row r="733" spans="1:25" ht="18" customHeight="1" x14ac:dyDescent="0.2">
      <c r="A733" s="337"/>
      <c r="B733" s="337"/>
      <c r="C733" s="577"/>
      <c r="D733" s="577"/>
      <c r="E733" s="577"/>
      <c r="F733" s="577"/>
      <c r="G733" s="577"/>
      <c r="H733" s="577"/>
      <c r="I733" s="577"/>
      <c r="J733" s="577"/>
      <c r="K733" s="577"/>
      <c r="L733" s="577"/>
      <c r="M733" s="577"/>
      <c r="N733" s="577"/>
      <c r="O733" s="577"/>
      <c r="P733" s="577"/>
      <c r="Q733" s="577"/>
      <c r="R733" s="577"/>
      <c r="S733" s="577"/>
      <c r="T733" s="578"/>
      <c r="U733" s="578"/>
      <c r="V733" s="578"/>
      <c r="W733" s="578"/>
      <c r="X733" s="579"/>
      <c r="Y733" s="579"/>
    </row>
    <row r="734" spans="1:25" ht="18" customHeight="1" x14ac:dyDescent="0.2">
      <c r="A734" s="337"/>
      <c r="B734" s="337"/>
      <c r="C734" s="577" t="s">
        <v>480</v>
      </c>
      <c r="D734" s="577"/>
      <c r="E734" s="577"/>
      <c r="F734" s="577"/>
      <c r="G734" s="577"/>
      <c r="H734" s="577"/>
      <c r="I734" s="577"/>
      <c r="J734" s="577"/>
      <c r="K734" s="577"/>
      <c r="L734" s="577"/>
      <c r="M734" s="577"/>
      <c r="N734" s="577"/>
      <c r="O734" s="577"/>
      <c r="P734" s="577"/>
      <c r="Q734" s="577"/>
      <c r="R734" s="577"/>
      <c r="S734" s="577"/>
      <c r="T734" s="578"/>
      <c r="U734" s="578"/>
      <c r="V734" s="578"/>
      <c r="W734" s="578"/>
      <c r="X734" s="580" t="s">
        <v>82</v>
      </c>
      <c r="Y734" s="580"/>
    </row>
    <row r="735" spans="1:25" ht="18" customHeight="1" x14ac:dyDescent="0.2">
      <c r="A735" s="337"/>
      <c r="B735" s="337"/>
      <c r="C735" s="577"/>
      <c r="D735" s="577"/>
      <c r="E735" s="577"/>
      <c r="F735" s="577"/>
      <c r="G735" s="577"/>
      <c r="H735" s="577"/>
      <c r="I735" s="577"/>
      <c r="J735" s="577"/>
      <c r="K735" s="577"/>
      <c r="L735" s="577"/>
      <c r="M735" s="577"/>
      <c r="N735" s="577"/>
      <c r="O735" s="577"/>
      <c r="P735" s="577"/>
      <c r="Q735" s="577"/>
      <c r="R735" s="577"/>
      <c r="S735" s="577"/>
      <c r="T735" s="578"/>
      <c r="U735" s="578"/>
      <c r="V735" s="578"/>
      <c r="W735" s="578"/>
      <c r="X735" s="580"/>
      <c r="Y735" s="580"/>
    </row>
    <row r="736" spans="1:25" ht="18" customHeight="1" x14ac:dyDescent="0.2">
      <c r="A736" s="337"/>
      <c r="B736" s="337"/>
      <c r="C736" s="561" t="s">
        <v>83</v>
      </c>
      <c r="D736" s="562"/>
      <c r="E736" s="562"/>
      <c r="F736" s="562"/>
      <c r="G736" s="562"/>
      <c r="H736" s="562"/>
      <c r="I736" s="562"/>
      <c r="J736" s="562"/>
      <c r="K736" s="562"/>
      <c r="L736" s="562"/>
      <c r="M736" s="562"/>
      <c r="N736" s="562"/>
      <c r="O736" s="562"/>
      <c r="P736" s="562"/>
      <c r="Q736" s="562"/>
      <c r="R736" s="562"/>
      <c r="S736" s="563"/>
      <c r="T736" s="567"/>
      <c r="U736" s="568"/>
      <c r="V736" s="568"/>
      <c r="W736" s="569"/>
      <c r="X736" s="573" t="s">
        <v>82</v>
      </c>
      <c r="Y736" s="574"/>
    </row>
    <row r="737" spans="1:28" ht="18" customHeight="1" x14ac:dyDescent="0.2">
      <c r="A737" s="337"/>
      <c r="B737" s="337"/>
      <c r="C737" s="564"/>
      <c r="D737" s="565"/>
      <c r="E737" s="565"/>
      <c r="F737" s="565"/>
      <c r="G737" s="565"/>
      <c r="H737" s="565"/>
      <c r="I737" s="565"/>
      <c r="J737" s="565"/>
      <c r="K737" s="565"/>
      <c r="L737" s="565"/>
      <c r="M737" s="565"/>
      <c r="N737" s="565"/>
      <c r="O737" s="565"/>
      <c r="P737" s="565"/>
      <c r="Q737" s="565"/>
      <c r="R737" s="565"/>
      <c r="S737" s="566"/>
      <c r="T737" s="570"/>
      <c r="U737" s="571"/>
      <c r="V737" s="571"/>
      <c r="W737" s="572"/>
      <c r="X737" s="575"/>
      <c r="Y737" s="576"/>
    </row>
    <row r="738" spans="1:28" ht="18" customHeight="1" x14ac:dyDescent="0.2">
      <c r="A738" s="337"/>
      <c r="B738" s="337"/>
      <c r="C738" s="561" t="s">
        <v>338</v>
      </c>
      <c r="D738" s="562"/>
      <c r="E738" s="562"/>
      <c r="F738" s="562"/>
      <c r="G738" s="562"/>
      <c r="H738" s="562"/>
      <c r="I738" s="562"/>
      <c r="J738" s="562"/>
      <c r="K738" s="562"/>
      <c r="L738" s="562"/>
      <c r="M738" s="562"/>
      <c r="N738" s="562"/>
      <c r="O738" s="562"/>
      <c r="P738" s="562"/>
      <c r="Q738" s="562"/>
      <c r="R738" s="562"/>
      <c r="S738" s="563"/>
      <c r="T738" s="567"/>
      <c r="U738" s="568"/>
      <c r="V738" s="568"/>
      <c r="W738" s="569"/>
      <c r="X738" s="573" t="s">
        <v>82</v>
      </c>
      <c r="Y738" s="574"/>
    </row>
    <row r="739" spans="1:28" ht="18" customHeight="1" thickBot="1" x14ac:dyDescent="0.25">
      <c r="A739" s="337"/>
      <c r="B739" s="337"/>
      <c r="C739" s="564"/>
      <c r="D739" s="565"/>
      <c r="E739" s="565"/>
      <c r="F739" s="565"/>
      <c r="G739" s="565"/>
      <c r="H739" s="565"/>
      <c r="I739" s="565"/>
      <c r="J739" s="565"/>
      <c r="K739" s="565"/>
      <c r="L739" s="565"/>
      <c r="M739" s="565"/>
      <c r="N739" s="565"/>
      <c r="O739" s="565"/>
      <c r="P739" s="565"/>
      <c r="Q739" s="565"/>
      <c r="R739" s="565"/>
      <c r="S739" s="566"/>
      <c r="T739" s="570"/>
      <c r="U739" s="571"/>
      <c r="V739" s="571"/>
      <c r="W739" s="572"/>
      <c r="X739" s="575"/>
      <c r="Y739" s="576"/>
    </row>
    <row r="740" spans="1:28" ht="18" customHeight="1" thickBot="1" x14ac:dyDescent="0.25">
      <c r="A740" s="337"/>
      <c r="B740" s="337"/>
      <c r="C740" s="345"/>
      <c r="D740" s="337"/>
      <c r="G740" s="337"/>
      <c r="H740" s="337"/>
      <c r="I740" s="337"/>
      <c r="J740" s="337"/>
      <c r="K740" s="337"/>
      <c r="L740" s="337"/>
      <c r="M740" s="337"/>
      <c r="N740" s="337"/>
      <c r="O740" s="337"/>
      <c r="T740" s="395"/>
      <c r="U740" s="396"/>
      <c r="V740" s="396"/>
      <c r="W740" s="397" t="str">
        <f>IF(SUM($T$732:$W$739)&lt;&gt;$T$726,"La somme des réponses données à cette question doit correspondre au linéaire total de berges (question 71).","")</f>
        <v/>
      </c>
    </row>
    <row r="741" spans="1:28" ht="18" customHeight="1" x14ac:dyDescent="0.2">
      <c r="A741" s="337"/>
      <c r="B741" s="337"/>
      <c r="C741" s="345"/>
      <c r="D741" s="337"/>
      <c r="G741" s="337"/>
      <c r="H741" s="337"/>
      <c r="I741" s="337"/>
      <c r="J741" s="337"/>
      <c r="K741" s="337"/>
      <c r="L741" s="337"/>
      <c r="M741" s="337"/>
      <c r="N741" s="337"/>
      <c r="O741" s="337"/>
    </row>
    <row r="742" spans="1:28" ht="33.75" customHeight="1" x14ac:dyDescent="0.2">
      <c r="A742" s="337"/>
      <c r="B742" s="337"/>
      <c r="C742" s="341" t="s">
        <v>391</v>
      </c>
      <c r="D742" s="695" t="s">
        <v>411</v>
      </c>
      <c r="E742" s="696"/>
      <c r="F742" s="696"/>
      <c r="G742" s="696"/>
      <c r="H742" s="696"/>
      <c r="I742" s="696"/>
      <c r="J742" s="696"/>
      <c r="K742" s="696"/>
      <c r="L742" s="696"/>
      <c r="M742" s="696"/>
      <c r="N742" s="696"/>
      <c r="O742" s="696"/>
      <c r="P742" s="696"/>
      <c r="Q742" s="696"/>
      <c r="R742" s="696"/>
      <c r="S742" s="696"/>
      <c r="T742" s="696"/>
      <c r="U742" s="696"/>
      <c r="V742" s="696"/>
      <c r="W742" s="696"/>
      <c r="X742" s="696"/>
      <c r="Y742" s="697"/>
    </row>
    <row r="743" spans="1:28" ht="18" customHeight="1" x14ac:dyDescent="0.2">
      <c r="A743" s="337"/>
      <c r="B743" s="337"/>
      <c r="C743" s="517"/>
      <c r="D743" s="517"/>
      <c r="E743" s="517"/>
      <c r="F743" s="517"/>
      <c r="G743" s="517"/>
      <c r="H743" s="517"/>
      <c r="I743" s="517"/>
      <c r="J743" s="517"/>
      <c r="K743" s="517"/>
      <c r="L743" s="517"/>
      <c r="M743" s="517"/>
      <c r="N743" s="517"/>
      <c r="O743" s="517"/>
      <c r="P743" s="517"/>
      <c r="Q743" s="517"/>
      <c r="R743" s="517"/>
      <c r="S743" s="517"/>
      <c r="T743" s="517"/>
      <c r="U743" s="517"/>
      <c r="V743" s="517"/>
      <c r="W743" s="517"/>
      <c r="X743" s="517"/>
      <c r="Y743" s="517"/>
    </row>
    <row r="744" spans="1:28" ht="17.25" customHeight="1" x14ac:dyDescent="0.2">
      <c r="A744" s="337"/>
      <c r="B744" s="337"/>
      <c r="C744" s="581" t="s">
        <v>339</v>
      </c>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row>
    <row r="745" spans="1:28" ht="33.75" customHeight="1" x14ac:dyDescent="0.2">
      <c r="A745" s="542" t="s">
        <v>466</v>
      </c>
      <c r="B745" s="543" t="s">
        <v>483</v>
      </c>
      <c r="C745" s="546" t="s">
        <v>87</v>
      </c>
      <c r="D745" s="546" t="s">
        <v>30</v>
      </c>
      <c r="E745" s="548" t="s">
        <v>31</v>
      </c>
      <c r="F745" s="549"/>
      <c r="G745" s="544" t="s">
        <v>32</v>
      </c>
      <c r="H745" s="552" t="s">
        <v>482</v>
      </c>
      <c r="I745" s="553"/>
      <c r="J745" s="553"/>
      <c r="K745" s="554"/>
      <c r="L745" s="544" t="s">
        <v>488</v>
      </c>
      <c r="M745" s="544" t="s">
        <v>487</v>
      </c>
      <c r="N745" s="743" t="s">
        <v>462</v>
      </c>
      <c r="O745" s="744"/>
      <c r="P745" s="744"/>
      <c r="Q745" s="744"/>
      <c r="R745" s="744"/>
      <c r="S745" s="744"/>
      <c r="T745" s="744"/>
      <c r="U745" s="744"/>
      <c r="V745" s="744"/>
      <c r="W745" s="744"/>
      <c r="X745" s="744"/>
      <c r="Y745" s="745"/>
      <c r="Z745" s="746" t="s">
        <v>216</v>
      </c>
      <c r="AA745" s="749" t="s">
        <v>215</v>
      </c>
      <c r="AB745" s="752" t="s">
        <v>105</v>
      </c>
    </row>
    <row r="746" spans="1:28" ht="54" customHeight="1" x14ac:dyDescent="0.2">
      <c r="A746" s="542"/>
      <c r="B746" s="544"/>
      <c r="C746" s="546"/>
      <c r="D746" s="546"/>
      <c r="E746" s="548"/>
      <c r="F746" s="549"/>
      <c r="G746" s="544"/>
      <c r="H746" s="753" t="s">
        <v>340</v>
      </c>
      <c r="I746" s="754"/>
      <c r="J746" s="754"/>
      <c r="K746" s="755"/>
      <c r="L746" s="544"/>
      <c r="M746" s="544"/>
      <c r="N746" s="756" t="s">
        <v>102</v>
      </c>
      <c r="O746" s="757"/>
      <c r="P746" s="757"/>
      <c r="Q746" s="757"/>
      <c r="R746" s="757"/>
      <c r="S746" s="758"/>
      <c r="T746" s="759" t="s">
        <v>103</v>
      </c>
      <c r="U746" s="757"/>
      <c r="V746" s="757"/>
      <c r="W746" s="757"/>
      <c r="X746" s="757"/>
      <c r="Y746" s="760"/>
      <c r="Z746" s="747"/>
      <c r="AA746" s="750"/>
      <c r="AB746" s="549"/>
    </row>
    <row r="747" spans="1:28" ht="32.25" customHeight="1" x14ac:dyDescent="0.2">
      <c r="A747" s="542"/>
      <c r="B747" s="544"/>
      <c r="C747" s="546"/>
      <c r="D747" s="546"/>
      <c r="E747" s="548"/>
      <c r="F747" s="549"/>
      <c r="G747" s="544"/>
      <c r="H747" s="543" t="s">
        <v>33</v>
      </c>
      <c r="I747" s="543" t="s">
        <v>34</v>
      </c>
      <c r="J747" s="543" t="s">
        <v>35</v>
      </c>
      <c r="K747" s="543" t="s">
        <v>109</v>
      </c>
      <c r="L747" s="544"/>
      <c r="M747" s="544"/>
      <c r="N747" s="555" t="s">
        <v>447</v>
      </c>
      <c r="O747" s="556"/>
      <c r="P747" s="556"/>
      <c r="Q747" s="556"/>
      <c r="R747" s="556"/>
      <c r="S747" s="557"/>
      <c r="T747" s="734" t="s">
        <v>441</v>
      </c>
      <c r="U747" s="735"/>
      <c r="V747" s="735"/>
      <c r="W747" s="735"/>
      <c r="X747" s="735"/>
      <c r="Y747" s="736"/>
      <c r="Z747" s="747"/>
      <c r="AA747" s="750"/>
      <c r="AB747" s="549"/>
    </row>
    <row r="748" spans="1:28" ht="32.25" customHeight="1" x14ac:dyDescent="0.2">
      <c r="A748" s="542"/>
      <c r="B748" s="544"/>
      <c r="C748" s="546"/>
      <c r="D748" s="546"/>
      <c r="E748" s="548"/>
      <c r="F748" s="549"/>
      <c r="G748" s="544"/>
      <c r="H748" s="544"/>
      <c r="I748" s="544"/>
      <c r="J748" s="544"/>
      <c r="K748" s="544"/>
      <c r="L748" s="544"/>
      <c r="M748" s="544"/>
      <c r="N748" s="555" t="s">
        <v>448</v>
      </c>
      <c r="O748" s="556"/>
      <c r="P748" s="556"/>
      <c r="Q748" s="556"/>
      <c r="R748" s="556"/>
      <c r="S748" s="557"/>
      <c r="T748" s="734" t="s">
        <v>442</v>
      </c>
      <c r="U748" s="735"/>
      <c r="V748" s="735"/>
      <c r="W748" s="735"/>
      <c r="X748" s="735"/>
      <c r="Y748" s="736"/>
      <c r="Z748" s="747"/>
      <c r="AA748" s="750"/>
      <c r="AB748" s="549"/>
    </row>
    <row r="749" spans="1:28" ht="32.25" customHeight="1" x14ac:dyDescent="0.2">
      <c r="A749" s="542"/>
      <c r="B749" s="544"/>
      <c r="C749" s="546"/>
      <c r="D749" s="546"/>
      <c r="E749" s="548"/>
      <c r="F749" s="549"/>
      <c r="G749" s="544"/>
      <c r="H749" s="544"/>
      <c r="I749" s="544"/>
      <c r="J749" s="544"/>
      <c r="K749" s="544"/>
      <c r="L749" s="544"/>
      <c r="M749" s="544"/>
      <c r="N749" s="555" t="s">
        <v>449</v>
      </c>
      <c r="O749" s="556"/>
      <c r="P749" s="556"/>
      <c r="Q749" s="556"/>
      <c r="R749" s="556"/>
      <c r="S749" s="557"/>
      <c r="T749" s="734" t="s">
        <v>443</v>
      </c>
      <c r="U749" s="735"/>
      <c r="V749" s="735"/>
      <c r="W749" s="735"/>
      <c r="X749" s="735"/>
      <c r="Y749" s="736"/>
      <c r="Z749" s="747"/>
      <c r="AA749" s="750"/>
      <c r="AB749" s="549"/>
    </row>
    <row r="750" spans="1:28" ht="32.25" customHeight="1" x14ac:dyDescent="0.2">
      <c r="A750" s="542"/>
      <c r="B750" s="544"/>
      <c r="C750" s="546"/>
      <c r="D750" s="546"/>
      <c r="E750" s="548"/>
      <c r="F750" s="549"/>
      <c r="G750" s="544"/>
      <c r="H750" s="544"/>
      <c r="I750" s="544"/>
      <c r="J750" s="544"/>
      <c r="K750" s="544"/>
      <c r="L750" s="544"/>
      <c r="M750" s="544"/>
      <c r="N750" s="555" t="s">
        <v>450</v>
      </c>
      <c r="O750" s="556"/>
      <c r="P750" s="556"/>
      <c r="Q750" s="556"/>
      <c r="R750" s="556"/>
      <c r="S750" s="557"/>
      <c r="T750" s="737" t="s">
        <v>104</v>
      </c>
      <c r="U750" s="738"/>
      <c r="V750" s="738"/>
      <c r="W750" s="738"/>
      <c r="X750" s="738"/>
      <c r="Y750" s="739"/>
      <c r="Z750" s="747"/>
      <c r="AA750" s="750"/>
      <c r="AB750" s="549"/>
    </row>
    <row r="751" spans="1:28" ht="32.25" customHeight="1" x14ac:dyDescent="0.2">
      <c r="A751" s="542"/>
      <c r="B751" s="544"/>
      <c r="C751" s="546"/>
      <c r="D751" s="546"/>
      <c r="E751" s="548"/>
      <c r="F751" s="549"/>
      <c r="G751" s="544"/>
      <c r="H751" s="544"/>
      <c r="I751" s="544"/>
      <c r="J751" s="544"/>
      <c r="K751" s="544"/>
      <c r="L751" s="544"/>
      <c r="M751" s="544"/>
      <c r="N751" s="555" t="s">
        <v>451</v>
      </c>
      <c r="O751" s="556"/>
      <c r="P751" s="556"/>
      <c r="Q751" s="556"/>
      <c r="R751" s="556"/>
      <c r="S751" s="557"/>
      <c r="T751" s="737"/>
      <c r="U751" s="738"/>
      <c r="V751" s="738"/>
      <c r="W751" s="738"/>
      <c r="X751" s="738"/>
      <c r="Y751" s="739"/>
      <c r="Z751" s="747"/>
      <c r="AA751" s="750"/>
      <c r="AB751" s="549"/>
    </row>
    <row r="752" spans="1:28" ht="32.25" customHeight="1" x14ac:dyDescent="0.2">
      <c r="A752" s="542"/>
      <c r="B752" s="544"/>
      <c r="C752" s="546"/>
      <c r="D752" s="546"/>
      <c r="E752" s="548"/>
      <c r="F752" s="549"/>
      <c r="G752" s="544"/>
      <c r="H752" s="544"/>
      <c r="I752" s="544"/>
      <c r="J752" s="544"/>
      <c r="K752" s="544"/>
      <c r="L752" s="544"/>
      <c r="M752" s="544"/>
      <c r="N752" s="555" t="s">
        <v>452</v>
      </c>
      <c r="O752" s="556"/>
      <c r="P752" s="556"/>
      <c r="Q752" s="556"/>
      <c r="R752" s="556"/>
      <c r="S752" s="557"/>
      <c r="T752" s="737"/>
      <c r="U752" s="738"/>
      <c r="V752" s="738"/>
      <c r="W752" s="738"/>
      <c r="X752" s="738"/>
      <c r="Y752" s="739"/>
      <c r="Z752" s="747"/>
      <c r="AA752" s="750"/>
      <c r="AB752" s="549"/>
    </row>
    <row r="753" spans="1:28" ht="32.25" customHeight="1" x14ac:dyDescent="0.2">
      <c r="A753" s="542"/>
      <c r="B753" s="544"/>
      <c r="C753" s="546"/>
      <c r="D753" s="546"/>
      <c r="E753" s="548"/>
      <c r="F753" s="549"/>
      <c r="G753" s="544"/>
      <c r="H753" s="544"/>
      <c r="I753" s="544"/>
      <c r="J753" s="544"/>
      <c r="K753" s="544"/>
      <c r="L753" s="544"/>
      <c r="M753" s="544"/>
      <c r="N753" s="558" t="s">
        <v>453</v>
      </c>
      <c r="O753" s="559"/>
      <c r="P753" s="559"/>
      <c r="Q753" s="559"/>
      <c r="R753" s="559"/>
      <c r="S753" s="560"/>
      <c r="T753" s="740"/>
      <c r="U753" s="741"/>
      <c r="V753" s="741"/>
      <c r="W753" s="741"/>
      <c r="X753" s="741"/>
      <c r="Y753" s="742"/>
      <c r="Z753" s="747"/>
      <c r="AA753" s="750"/>
      <c r="AB753" s="549"/>
    </row>
    <row r="754" spans="1:28" ht="84.75" customHeight="1" x14ac:dyDescent="0.2">
      <c r="A754" s="542"/>
      <c r="B754" s="545"/>
      <c r="C754" s="547"/>
      <c r="D754" s="547"/>
      <c r="E754" s="550"/>
      <c r="F754" s="551"/>
      <c r="G754" s="545"/>
      <c r="H754" s="545"/>
      <c r="I754" s="545"/>
      <c r="J754" s="545"/>
      <c r="K754" s="545"/>
      <c r="L754" s="545"/>
      <c r="M754" s="545"/>
      <c r="N754" s="474" t="s">
        <v>90</v>
      </c>
      <c r="O754" s="474" t="s">
        <v>91</v>
      </c>
      <c r="P754" s="474" t="s">
        <v>92</v>
      </c>
      <c r="Q754" s="474" t="s">
        <v>93</v>
      </c>
      <c r="R754" s="474" t="s">
        <v>94</v>
      </c>
      <c r="S754" s="474" t="s">
        <v>95</v>
      </c>
      <c r="T754" s="474" t="s">
        <v>96</v>
      </c>
      <c r="U754" s="474" t="s">
        <v>97</v>
      </c>
      <c r="V754" s="474" t="s">
        <v>98</v>
      </c>
      <c r="W754" s="474" t="s">
        <v>99</v>
      </c>
      <c r="X754" s="474" t="s">
        <v>100</v>
      </c>
      <c r="Y754" s="474" t="s">
        <v>101</v>
      </c>
      <c r="Z754" s="748"/>
      <c r="AA754" s="751"/>
      <c r="AB754" s="551"/>
    </row>
    <row r="755" spans="1:28" ht="39" customHeight="1" x14ac:dyDescent="0.2">
      <c r="A755" s="475"/>
      <c r="B755" s="522"/>
      <c r="C755" s="522"/>
      <c r="D755" s="730" t="s">
        <v>446</v>
      </c>
      <c r="E755" s="731"/>
      <c r="F755" s="731"/>
      <c r="G755" s="731"/>
      <c r="H755" s="731"/>
      <c r="I755" s="731"/>
      <c r="J755" s="731"/>
      <c r="K755" s="731"/>
      <c r="L755" s="731"/>
      <c r="M755" s="731"/>
      <c r="N755" s="731"/>
      <c r="O755" s="731"/>
      <c r="P755" s="731"/>
      <c r="Q755" s="731"/>
      <c r="R755" s="731"/>
      <c r="S755" s="731"/>
      <c r="T755" s="731"/>
      <c r="U755" s="731"/>
      <c r="V755" s="731"/>
      <c r="W755" s="731"/>
      <c r="X755" s="731"/>
      <c r="Y755" s="731"/>
      <c r="Z755" s="731"/>
      <c r="AA755" s="731"/>
      <c r="AB755" s="731"/>
    </row>
    <row r="756" spans="1:28" ht="15" x14ac:dyDescent="0.2">
      <c r="A756" s="732" t="s">
        <v>37</v>
      </c>
      <c r="B756" s="733"/>
      <c r="C756" s="733"/>
      <c r="D756" s="733"/>
      <c r="E756" s="733"/>
      <c r="F756" s="733"/>
      <c r="G756" s="733"/>
      <c r="H756" s="733"/>
      <c r="I756" s="733"/>
      <c r="J756" s="733"/>
      <c r="K756" s="733"/>
      <c r="L756" s="733"/>
      <c r="M756" s="733"/>
      <c r="N756" s="733"/>
      <c r="O756" s="733"/>
      <c r="P756" s="733"/>
      <c r="Q756" s="733"/>
      <c r="R756" s="733"/>
      <c r="S756" s="733"/>
      <c r="T756" s="733"/>
      <c r="U756" s="733"/>
      <c r="V756" s="733"/>
      <c r="W756" s="733"/>
      <c r="X756" s="733"/>
      <c r="Y756" s="733"/>
      <c r="Z756" s="733"/>
      <c r="AA756" s="733"/>
      <c r="AB756" s="733"/>
    </row>
    <row r="757" spans="1:28" ht="30" customHeight="1" x14ac:dyDescent="0.2">
      <c r="A757" s="476">
        <v>1</v>
      </c>
      <c r="B757" s="476">
        <v>30</v>
      </c>
      <c r="C757" s="476" t="s">
        <v>88</v>
      </c>
      <c r="D757" s="477">
        <v>1</v>
      </c>
      <c r="E757" s="539" t="s">
        <v>89</v>
      </c>
      <c r="F757" s="540"/>
      <c r="G757" s="478">
        <v>6</v>
      </c>
      <c r="H757" s="476" t="s">
        <v>7</v>
      </c>
      <c r="I757" s="476"/>
      <c r="J757" s="476"/>
      <c r="K757" s="476"/>
      <c r="L757" s="476">
        <v>0</v>
      </c>
      <c r="M757" s="479">
        <v>0</v>
      </c>
      <c r="N757" s="476" t="s">
        <v>106</v>
      </c>
      <c r="O757" s="476" t="s">
        <v>106</v>
      </c>
      <c r="P757" s="476" t="s">
        <v>106</v>
      </c>
      <c r="Q757" s="476" t="s">
        <v>107</v>
      </c>
      <c r="R757" s="476" t="s">
        <v>107</v>
      </c>
      <c r="S757" s="476" t="s">
        <v>55</v>
      </c>
      <c r="T757" s="476" t="s">
        <v>55</v>
      </c>
      <c r="U757" s="476" t="s">
        <v>55</v>
      </c>
      <c r="V757" s="476" t="s">
        <v>55</v>
      </c>
      <c r="W757" s="476" t="s">
        <v>55</v>
      </c>
      <c r="X757" s="476" t="s">
        <v>55</v>
      </c>
      <c r="Y757" s="476" t="s">
        <v>55</v>
      </c>
      <c r="Z757" s="541" t="s">
        <v>108</v>
      </c>
      <c r="AA757" s="541"/>
      <c r="AB757" s="541"/>
    </row>
    <row r="758" spans="1:28" ht="30" customHeight="1" x14ac:dyDescent="0.2">
      <c r="A758" s="480">
        <v>1</v>
      </c>
      <c r="B758" s="480">
        <v>30</v>
      </c>
      <c r="C758" s="480" t="s">
        <v>88</v>
      </c>
      <c r="D758" s="481">
        <v>2</v>
      </c>
      <c r="E758" s="539" t="s">
        <v>206</v>
      </c>
      <c r="F758" s="540"/>
      <c r="G758" s="482">
        <v>5</v>
      </c>
      <c r="H758" s="480" t="s">
        <v>7</v>
      </c>
      <c r="I758" s="480"/>
      <c r="J758" s="480"/>
      <c r="K758" s="480"/>
      <c r="L758" s="480">
        <v>0</v>
      </c>
      <c r="M758" s="483">
        <v>0</v>
      </c>
      <c r="N758" s="476" t="s">
        <v>106</v>
      </c>
      <c r="O758" s="476" t="s">
        <v>106</v>
      </c>
      <c r="P758" s="476" t="s">
        <v>107</v>
      </c>
      <c r="Q758" s="476" t="s">
        <v>107</v>
      </c>
      <c r="R758" s="476" t="s">
        <v>55</v>
      </c>
      <c r="S758" s="476" t="s">
        <v>55</v>
      </c>
      <c r="T758" s="476" t="s">
        <v>55</v>
      </c>
      <c r="U758" s="476" t="s">
        <v>55</v>
      </c>
      <c r="V758" s="476" t="s">
        <v>55</v>
      </c>
      <c r="W758" s="476" t="s">
        <v>55</v>
      </c>
      <c r="X758" s="476" t="s">
        <v>55</v>
      </c>
      <c r="Y758" s="476" t="s">
        <v>55</v>
      </c>
      <c r="Z758" s="541" t="s">
        <v>209</v>
      </c>
      <c r="AA758" s="541"/>
      <c r="AB758" s="540"/>
    </row>
    <row r="759" spans="1:28" ht="30" customHeight="1" x14ac:dyDescent="0.2">
      <c r="A759" s="480">
        <v>2</v>
      </c>
      <c r="B759" s="480">
        <v>70</v>
      </c>
      <c r="C759" s="480" t="s">
        <v>205</v>
      </c>
      <c r="D759" s="481">
        <v>3</v>
      </c>
      <c r="E759" s="539" t="s">
        <v>207</v>
      </c>
      <c r="F759" s="540"/>
      <c r="G759" s="482">
        <v>5</v>
      </c>
      <c r="H759" s="480"/>
      <c r="I759" s="480"/>
      <c r="J759" s="480" t="s">
        <v>7</v>
      </c>
      <c r="K759" s="480"/>
      <c r="L759" s="478">
        <v>22</v>
      </c>
      <c r="M759" s="512">
        <v>0</v>
      </c>
      <c r="N759" s="476" t="s">
        <v>212</v>
      </c>
      <c r="O759" s="476" t="s">
        <v>212</v>
      </c>
      <c r="P759" s="476" t="s">
        <v>212</v>
      </c>
      <c r="Q759" s="476" t="s">
        <v>210</v>
      </c>
      <c r="R759" s="476" t="s">
        <v>55</v>
      </c>
      <c r="S759" s="476" t="s">
        <v>55</v>
      </c>
      <c r="T759" s="476" t="s">
        <v>55</v>
      </c>
      <c r="U759" s="476" t="s">
        <v>55</v>
      </c>
      <c r="V759" s="476" t="s">
        <v>55</v>
      </c>
      <c r="W759" s="476" t="s">
        <v>57</v>
      </c>
      <c r="X759" s="476"/>
      <c r="Y759" s="476"/>
      <c r="Z759" s="541" t="s">
        <v>211</v>
      </c>
      <c r="AA759" s="541"/>
      <c r="AB759" s="540"/>
    </row>
    <row r="760" spans="1:28" ht="30" customHeight="1" x14ac:dyDescent="0.2">
      <c r="A760" s="480">
        <v>2</v>
      </c>
      <c r="B760" s="480">
        <v>70</v>
      </c>
      <c r="C760" s="480" t="s">
        <v>205</v>
      </c>
      <c r="D760" s="481">
        <v>4</v>
      </c>
      <c r="E760" s="539" t="s">
        <v>208</v>
      </c>
      <c r="F760" s="540"/>
      <c r="G760" s="482">
        <v>6</v>
      </c>
      <c r="H760" s="480"/>
      <c r="I760" s="480"/>
      <c r="J760" s="480" t="s">
        <v>7</v>
      </c>
      <c r="K760" s="480"/>
      <c r="L760" s="482">
        <v>35</v>
      </c>
      <c r="M760" s="485">
        <v>0</v>
      </c>
      <c r="N760" s="476" t="s">
        <v>212</v>
      </c>
      <c r="O760" s="476" t="s">
        <v>212</v>
      </c>
      <c r="P760" s="476" t="s">
        <v>55</v>
      </c>
      <c r="Q760" s="476" t="s">
        <v>55</v>
      </c>
      <c r="R760" s="476" t="s">
        <v>55</v>
      </c>
      <c r="S760" s="476" t="s">
        <v>55</v>
      </c>
      <c r="T760" s="476" t="s">
        <v>55</v>
      </c>
      <c r="U760" s="476" t="s">
        <v>55</v>
      </c>
      <c r="V760" s="476" t="s">
        <v>55</v>
      </c>
      <c r="W760" s="476" t="s">
        <v>55</v>
      </c>
      <c r="X760" s="476" t="s">
        <v>55</v>
      </c>
      <c r="Y760" s="476" t="s">
        <v>55</v>
      </c>
      <c r="Z760" s="541" t="s">
        <v>213</v>
      </c>
      <c r="AA760" s="541"/>
      <c r="AB760" s="540"/>
    </row>
    <row r="761" spans="1:28" ht="33" customHeight="1" x14ac:dyDescent="0.2">
      <c r="A761" s="522"/>
      <c r="B761" s="522"/>
      <c r="C761" s="522"/>
      <c r="D761" s="486">
        <v>1</v>
      </c>
      <c r="E761" s="529"/>
      <c r="F761" s="531"/>
      <c r="G761" s="522"/>
      <c r="H761" s="522"/>
      <c r="I761" s="522"/>
      <c r="J761" s="522"/>
      <c r="K761" s="522"/>
      <c r="L761" s="525"/>
      <c r="M761" s="525"/>
      <c r="N761" s="522"/>
      <c r="O761" s="522"/>
      <c r="P761" s="522"/>
      <c r="Q761" s="522"/>
      <c r="R761" s="522"/>
      <c r="S761" s="522"/>
      <c r="T761" s="522"/>
      <c r="U761" s="522"/>
      <c r="V761" s="522"/>
      <c r="W761" s="522"/>
      <c r="X761" s="522"/>
      <c r="Y761" s="522"/>
      <c r="Z761" s="529"/>
      <c r="AA761" s="530"/>
      <c r="AB761" s="531"/>
    </row>
    <row r="762" spans="1:28" ht="33" customHeight="1" x14ac:dyDescent="0.2">
      <c r="A762" s="523"/>
      <c r="B762" s="523"/>
      <c r="C762" s="523"/>
      <c r="D762" s="487">
        <v>2</v>
      </c>
      <c r="E762" s="529"/>
      <c r="F762" s="531"/>
      <c r="G762" s="522"/>
      <c r="H762" s="523"/>
      <c r="I762" s="523"/>
      <c r="J762" s="523"/>
      <c r="K762" s="523"/>
      <c r="L762" s="525"/>
      <c r="M762" s="525"/>
      <c r="N762" s="522"/>
      <c r="O762" s="522"/>
      <c r="P762" s="522"/>
      <c r="Q762" s="522"/>
      <c r="R762" s="522"/>
      <c r="S762" s="522"/>
      <c r="T762" s="522"/>
      <c r="U762" s="522"/>
      <c r="V762" s="522"/>
      <c r="W762" s="522"/>
      <c r="X762" s="522"/>
      <c r="Y762" s="522"/>
      <c r="Z762" s="529"/>
      <c r="AA762" s="530"/>
      <c r="AB762" s="531"/>
    </row>
    <row r="763" spans="1:28" ht="33" customHeight="1" x14ac:dyDescent="0.2">
      <c r="A763" s="523"/>
      <c r="B763" s="523"/>
      <c r="C763" s="523"/>
      <c r="D763" s="487">
        <v>3</v>
      </c>
      <c r="E763" s="529"/>
      <c r="F763" s="531"/>
      <c r="G763" s="522"/>
      <c r="H763" s="523"/>
      <c r="I763" s="523"/>
      <c r="J763" s="523"/>
      <c r="K763" s="523"/>
      <c r="L763" s="525"/>
      <c r="M763" s="525"/>
      <c r="N763" s="523"/>
      <c r="O763" s="523"/>
      <c r="P763" s="523"/>
      <c r="Q763" s="523"/>
      <c r="R763" s="523"/>
      <c r="S763" s="522"/>
      <c r="T763" s="522"/>
      <c r="U763" s="522"/>
      <c r="V763" s="522"/>
      <c r="W763" s="522"/>
      <c r="X763" s="522"/>
      <c r="Y763" s="522"/>
      <c r="Z763" s="529"/>
      <c r="AA763" s="530"/>
      <c r="AB763" s="531"/>
    </row>
    <row r="764" spans="1:28" ht="33" customHeight="1" x14ac:dyDescent="0.2">
      <c r="A764" s="523"/>
      <c r="B764" s="523"/>
      <c r="C764" s="523"/>
      <c r="D764" s="487">
        <v>4</v>
      </c>
      <c r="E764" s="529"/>
      <c r="F764" s="531"/>
      <c r="G764" s="522"/>
      <c r="H764" s="523"/>
      <c r="I764" s="523"/>
      <c r="J764" s="523"/>
      <c r="K764" s="523"/>
      <c r="L764" s="525"/>
      <c r="M764" s="525"/>
      <c r="N764" s="523"/>
      <c r="O764" s="523"/>
      <c r="P764" s="523"/>
      <c r="Q764" s="523"/>
      <c r="R764" s="523"/>
      <c r="S764" s="523"/>
      <c r="T764" s="523"/>
      <c r="U764" s="523"/>
      <c r="V764" s="523"/>
      <c r="W764" s="523"/>
      <c r="X764" s="523"/>
      <c r="Y764" s="523"/>
      <c r="Z764" s="529"/>
      <c r="AA764" s="530"/>
      <c r="AB764" s="531"/>
    </row>
    <row r="765" spans="1:28" ht="33" customHeight="1" x14ac:dyDescent="0.2">
      <c r="A765" s="523"/>
      <c r="B765" s="523"/>
      <c r="C765" s="523"/>
      <c r="D765" s="487">
        <v>5</v>
      </c>
      <c r="E765" s="532"/>
      <c r="F765" s="533"/>
      <c r="G765" s="522"/>
      <c r="H765" s="523"/>
      <c r="I765" s="523"/>
      <c r="J765" s="523"/>
      <c r="K765" s="523"/>
      <c r="L765" s="525"/>
      <c r="M765" s="525"/>
      <c r="N765" s="523"/>
      <c r="O765" s="523"/>
      <c r="P765" s="523"/>
      <c r="Q765" s="523"/>
      <c r="R765" s="523"/>
      <c r="S765" s="523"/>
      <c r="T765" s="523"/>
      <c r="U765" s="523"/>
      <c r="V765" s="523"/>
      <c r="W765" s="523"/>
      <c r="X765" s="523"/>
      <c r="Y765" s="523"/>
      <c r="Z765" s="529"/>
      <c r="AA765" s="530"/>
      <c r="AB765" s="531"/>
    </row>
    <row r="766" spans="1:28" ht="33" customHeight="1" x14ac:dyDescent="0.2">
      <c r="A766" s="523"/>
      <c r="B766" s="523"/>
      <c r="C766" s="523"/>
      <c r="D766" s="487">
        <v>6</v>
      </c>
      <c r="E766" s="532"/>
      <c r="F766" s="533"/>
      <c r="G766" s="522"/>
      <c r="H766" s="523"/>
      <c r="I766" s="523"/>
      <c r="J766" s="523"/>
      <c r="K766" s="523"/>
      <c r="L766" s="525"/>
      <c r="M766" s="525"/>
      <c r="N766" s="523"/>
      <c r="O766" s="523"/>
      <c r="P766" s="523"/>
      <c r="Q766" s="523"/>
      <c r="R766" s="523"/>
      <c r="S766" s="523"/>
      <c r="T766" s="523"/>
      <c r="U766" s="523"/>
      <c r="V766" s="523"/>
      <c r="W766" s="523"/>
      <c r="X766" s="523"/>
      <c r="Y766" s="523"/>
      <c r="Z766" s="529"/>
      <c r="AA766" s="530"/>
      <c r="AB766" s="531"/>
    </row>
    <row r="767" spans="1:28" ht="33" customHeight="1" x14ac:dyDescent="0.2">
      <c r="A767" s="523"/>
      <c r="B767" s="523"/>
      <c r="C767" s="523"/>
      <c r="D767" s="487">
        <v>7</v>
      </c>
      <c r="E767" s="532"/>
      <c r="F767" s="533"/>
      <c r="G767" s="522"/>
      <c r="H767" s="523"/>
      <c r="I767" s="523"/>
      <c r="J767" s="523"/>
      <c r="K767" s="523"/>
      <c r="L767" s="525"/>
      <c r="M767" s="525"/>
      <c r="N767" s="523"/>
      <c r="O767" s="523"/>
      <c r="P767" s="523"/>
      <c r="Q767" s="523"/>
      <c r="R767" s="523"/>
      <c r="S767" s="522"/>
      <c r="T767" s="522"/>
      <c r="U767" s="522"/>
      <c r="V767" s="522"/>
      <c r="W767" s="522"/>
      <c r="X767" s="522"/>
      <c r="Y767" s="522"/>
      <c r="Z767" s="529"/>
      <c r="AA767" s="530"/>
      <c r="AB767" s="531"/>
    </row>
    <row r="768" spans="1:28" ht="33" customHeight="1" x14ac:dyDescent="0.2">
      <c r="A768" s="523"/>
      <c r="B768" s="523"/>
      <c r="C768" s="523"/>
      <c r="D768" s="487">
        <v>8</v>
      </c>
      <c r="E768" s="532"/>
      <c r="F768" s="533"/>
      <c r="G768" s="522"/>
      <c r="H768" s="523"/>
      <c r="I768" s="523"/>
      <c r="J768" s="523"/>
      <c r="K768" s="523"/>
      <c r="L768" s="525"/>
      <c r="M768" s="525"/>
      <c r="N768" s="523"/>
      <c r="O768" s="523"/>
      <c r="P768" s="523"/>
      <c r="Q768" s="523"/>
      <c r="R768" s="523"/>
      <c r="S768" s="523"/>
      <c r="T768" s="523"/>
      <c r="U768" s="523"/>
      <c r="V768" s="523"/>
      <c r="W768" s="523"/>
      <c r="X768" s="523"/>
      <c r="Y768" s="523"/>
      <c r="Z768" s="529"/>
      <c r="AA768" s="530"/>
      <c r="AB768" s="531"/>
    </row>
    <row r="769" spans="1:28" ht="33" customHeight="1" x14ac:dyDescent="0.2">
      <c r="A769" s="523"/>
      <c r="B769" s="523"/>
      <c r="C769" s="523"/>
      <c r="D769" s="487">
        <v>9</v>
      </c>
      <c r="E769" s="532"/>
      <c r="F769" s="533"/>
      <c r="G769" s="522"/>
      <c r="H769" s="523"/>
      <c r="I769" s="523"/>
      <c r="J769" s="523"/>
      <c r="K769" s="523"/>
      <c r="L769" s="525"/>
      <c r="M769" s="525"/>
      <c r="N769" s="523"/>
      <c r="O769" s="523"/>
      <c r="P769" s="523"/>
      <c r="Q769" s="523"/>
      <c r="R769" s="523"/>
      <c r="S769" s="523"/>
      <c r="T769" s="523"/>
      <c r="U769" s="523"/>
      <c r="V769" s="523"/>
      <c r="W769" s="523"/>
      <c r="X769" s="523"/>
      <c r="Y769" s="523"/>
      <c r="Z769" s="529"/>
      <c r="AA769" s="530"/>
      <c r="AB769" s="531"/>
    </row>
    <row r="770" spans="1:28" ht="33" customHeight="1" x14ac:dyDescent="0.2">
      <c r="A770" s="523"/>
      <c r="B770" s="523"/>
      <c r="C770" s="523"/>
      <c r="D770" s="487">
        <v>10</v>
      </c>
      <c r="E770" s="532"/>
      <c r="F770" s="533"/>
      <c r="G770" s="522"/>
      <c r="H770" s="523"/>
      <c r="I770" s="523"/>
      <c r="J770" s="523"/>
      <c r="K770" s="523"/>
      <c r="L770" s="525"/>
      <c r="M770" s="525"/>
      <c r="N770" s="523"/>
      <c r="O770" s="523"/>
      <c r="P770" s="523"/>
      <c r="Q770" s="523"/>
      <c r="R770" s="523"/>
      <c r="S770" s="523"/>
      <c r="T770" s="523"/>
      <c r="U770" s="523"/>
      <c r="V770" s="523"/>
      <c r="W770" s="523"/>
      <c r="X770" s="523"/>
      <c r="Y770" s="523"/>
      <c r="Z770" s="529"/>
      <c r="AA770" s="530"/>
      <c r="AB770" s="531"/>
    </row>
    <row r="771" spans="1:28" ht="33" customHeight="1" x14ac:dyDescent="0.2">
      <c r="A771" s="523"/>
      <c r="B771" s="523"/>
      <c r="C771" s="523"/>
      <c r="D771" s="487">
        <v>11</v>
      </c>
      <c r="E771" s="532"/>
      <c r="F771" s="533"/>
      <c r="G771" s="522"/>
      <c r="H771" s="523"/>
      <c r="I771" s="523"/>
      <c r="J771" s="523"/>
      <c r="K771" s="523"/>
      <c r="L771" s="525"/>
      <c r="M771" s="525"/>
      <c r="N771" s="523"/>
      <c r="O771" s="523"/>
      <c r="P771" s="523"/>
      <c r="Q771" s="523"/>
      <c r="R771" s="523"/>
      <c r="S771" s="523"/>
      <c r="T771" s="523"/>
      <c r="U771" s="523"/>
      <c r="V771" s="523"/>
      <c r="W771" s="523"/>
      <c r="X771" s="523"/>
      <c r="Y771" s="523"/>
      <c r="Z771" s="529"/>
      <c r="AA771" s="530"/>
      <c r="AB771" s="531"/>
    </row>
    <row r="772" spans="1:28" ht="33" customHeight="1" x14ac:dyDescent="0.2">
      <c r="A772" s="523"/>
      <c r="B772" s="523"/>
      <c r="C772" s="523"/>
      <c r="D772" s="487">
        <v>12</v>
      </c>
      <c r="E772" s="532"/>
      <c r="F772" s="533"/>
      <c r="G772" s="522"/>
      <c r="H772" s="523"/>
      <c r="I772" s="523"/>
      <c r="J772" s="523"/>
      <c r="K772" s="523"/>
      <c r="L772" s="525"/>
      <c r="M772" s="525"/>
      <c r="N772" s="523"/>
      <c r="O772" s="523"/>
      <c r="P772" s="523"/>
      <c r="Q772" s="523"/>
      <c r="R772" s="523"/>
      <c r="S772" s="523"/>
      <c r="T772" s="523"/>
      <c r="U772" s="523"/>
      <c r="V772" s="523"/>
      <c r="W772" s="523"/>
      <c r="X772" s="523"/>
      <c r="Y772" s="523"/>
      <c r="Z772" s="529"/>
      <c r="AA772" s="530"/>
      <c r="AB772" s="531"/>
    </row>
    <row r="773" spans="1:28" ht="33" customHeight="1" x14ac:dyDescent="0.2">
      <c r="A773" s="523"/>
      <c r="B773" s="523"/>
      <c r="C773" s="523"/>
      <c r="D773" s="487">
        <v>13</v>
      </c>
      <c r="E773" s="532"/>
      <c r="F773" s="533"/>
      <c r="G773" s="522"/>
      <c r="H773" s="523"/>
      <c r="I773" s="523"/>
      <c r="J773" s="523"/>
      <c r="K773" s="523"/>
      <c r="L773" s="525"/>
      <c r="M773" s="525"/>
      <c r="N773" s="523"/>
      <c r="O773" s="523"/>
      <c r="P773" s="523"/>
      <c r="Q773" s="523"/>
      <c r="R773" s="523"/>
      <c r="S773" s="523"/>
      <c r="T773" s="523"/>
      <c r="U773" s="523"/>
      <c r="V773" s="523"/>
      <c r="W773" s="523"/>
      <c r="X773" s="523"/>
      <c r="Y773" s="523"/>
      <c r="Z773" s="529"/>
      <c r="AA773" s="530"/>
      <c r="AB773" s="531"/>
    </row>
    <row r="774" spans="1:28" ht="33" customHeight="1" x14ac:dyDescent="0.2">
      <c r="A774" s="523"/>
      <c r="B774" s="523"/>
      <c r="C774" s="523"/>
      <c r="D774" s="487">
        <v>14</v>
      </c>
      <c r="E774" s="532"/>
      <c r="F774" s="533"/>
      <c r="G774" s="522"/>
      <c r="H774" s="523"/>
      <c r="I774" s="523"/>
      <c r="J774" s="523"/>
      <c r="K774" s="523"/>
      <c r="L774" s="525"/>
      <c r="M774" s="525"/>
      <c r="N774" s="523"/>
      <c r="O774" s="523"/>
      <c r="P774" s="523"/>
      <c r="Q774" s="523"/>
      <c r="R774" s="523"/>
      <c r="S774" s="523"/>
      <c r="T774" s="523"/>
      <c r="U774" s="523"/>
      <c r="V774" s="523"/>
      <c r="W774" s="523"/>
      <c r="X774" s="523"/>
      <c r="Y774" s="523"/>
      <c r="Z774" s="529"/>
      <c r="AA774" s="530"/>
      <c r="AB774" s="531"/>
    </row>
    <row r="775" spans="1:28" ht="33" customHeight="1" x14ac:dyDescent="0.2">
      <c r="A775" s="523"/>
      <c r="B775" s="523"/>
      <c r="C775" s="523"/>
      <c r="D775" s="487">
        <v>15</v>
      </c>
      <c r="E775" s="532"/>
      <c r="F775" s="533"/>
      <c r="G775" s="523"/>
      <c r="H775" s="523"/>
      <c r="I775" s="523"/>
      <c r="J775" s="523"/>
      <c r="K775" s="523"/>
      <c r="L775" s="526"/>
      <c r="M775" s="526"/>
      <c r="N775" s="523"/>
      <c r="O775" s="523"/>
      <c r="P775" s="523"/>
      <c r="Q775" s="523"/>
      <c r="R775" s="523"/>
      <c r="S775" s="523"/>
      <c r="T775" s="523"/>
      <c r="U775" s="523"/>
      <c r="V775" s="523"/>
      <c r="W775" s="523"/>
      <c r="X775" s="523"/>
      <c r="Y775" s="523"/>
      <c r="Z775" s="529"/>
      <c r="AA775" s="530"/>
      <c r="AB775" s="531"/>
    </row>
    <row r="776" spans="1:28" ht="33" customHeight="1" x14ac:dyDescent="0.2">
      <c r="A776" s="523"/>
      <c r="B776" s="523"/>
      <c r="C776" s="523"/>
      <c r="D776" s="487">
        <v>16</v>
      </c>
      <c r="E776" s="532"/>
      <c r="F776" s="533"/>
      <c r="G776" s="523"/>
      <c r="H776" s="523"/>
      <c r="I776" s="523"/>
      <c r="J776" s="523"/>
      <c r="K776" s="523"/>
      <c r="L776" s="526"/>
      <c r="M776" s="526"/>
      <c r="N776" s="523"/>
      <c r="O776" s="523"/>
      <c r="P776" s="523"/>
      <c r="Q776" s="523"/>
      <c r="R776" s="523"/>
      <c r="S776" s="523"/>
      <c r="T776" s="523"/>
      <c r="U776" s="523"/>
      <c r="V776" s="523"/>
      <c r="W776" s="523"/>
      <c r="X776" s="523"/>
      <c r="Y776" s="523"/>
      <c r="Z776" s="529"/>
      <c r="AA776" s="530"/>
      <c r="AB776" s="531"/>
    </row>
    <row r="777" spans="1:28" ht="33" customHeight="1" x14ac:dyDescent="0.2">
      <c r="A777" s="523"/>
      <c r="B777" s="523"/>
      <c r="C777" s="523"/>
      <c r="D777" s="487">
        <v>17</v>
      </c>
      <c r="E777" s="532"/>
      <c r="F777" s="533"/>
      <c r="G777" s="523"/>
      <c r="H777" s="523"/>
      <c r="I777" s="523"/>
      <c r="J777" s="523"/>
      <c r="K777" s="523"/>
      <c r="L777" s="526"/>
      <c r="M777" s="526"/>
      <c r="N777" s="523"/>
      <c r="O777" s="523"/>
      <c r="P777" s="523"/>
      <c r="Q777" s="523"/>
      <c r="R777" s="523"/>
      <c r="S777" s="523"/>
      <c r="T777" s="523"/>
      <c r="U777" s="523"/>
      <c r="V777" s="523"/>
      <c r="W777" s="523"/>
      <c r="X777" s="523"/>
      <c r="Y777" s="523"/>
      <c r="Z777" s="529"/>
      <c r="AA777" s="530"/>
      <c r="AB777" s="531"/>
    </row>
    <row r="778" spans="1:28" ht="33" customHeight="1" x14ac:dyDescent="0.2">
      <c r="A778" s="523"/>
      <c r="B778" s="523"/>
      <c r="C778" s="523"/>
      <c r="D778" s="487">
        <v>18</v>
      </c>
      <c r="E778" s="532"/>
      <c r="F778" s="533"/>
      <c r="G778" s="523"/>
      <c r="H778" s="523"/>
      <c r="I778" s="523"/>
      <c r="J778" s="523"/>
      <c r="K778" s="523"/>
      <c r="L778" s="526"/>
      <c r="M778" s="526"/>
      <c r="N778" s="523"/>
      <c r="O778" s="523"/>
      <c r="P778" s="523"/>
      <c r="Q778" s="523"/>
      <c r="R778" s="523"/>
      <c r="S778" s="523"/>
      <c r="T778" s="523"/>
      <c r="U778" s="523"/>
      <c r="V778" s="523"/>
      <c r="W778" s="523"/>
      <c r="X778" s="523"/>
      <c r="Y778" s="523"/>
      <c r="Z778" s="529"/>
      <c r="AA778" s="530"/>
      <c r="AB778" s="531"/>
    </row>
    <row r="779" spans="1:28" ht="33" customHeight="1" x14ac:dyDescent="0.2">
      <c r="A779" s="523"/>
      <c r="B779" s="523"/>
      <c r="C779" s="523"/>
      <c r="D779" s="487">
        <v>19</v>
      </c>
      <c r="E779" s="532"/>
      <c r="F779" s="533"/>
      <c r="G779" s="523"/>
      <c r="H779" s="523"/>
      <c r="I779" s="523"/>
      <c r="J779" s="523"/>
      <c r="K779" s="523"/>
      <c r="L779" s="526"/>
      <c r="M779" s="526"/>
      <c r="N779" s="523"/>
      <c r="O779" s="523"/>
      <c r="P779" s="523"/>
      <c r="Q779" s="523"/>
      <c r="R779" s="523"/>
      <c r="S779" s="523"/>
      <c r="T779" s="523"/>
      <c r="U779" s="523"/>
      <c r="V779" s="523"/>
      <c r="W779" s="523"/>
      <c r="X779" s="523"/>
      <c r="Y779" s="523"/>
      <c r="Z779" s="529"/>
      <c r="AA779" s="530"/>
      <c r="AB779" s="531"/>
    </row>
    <row r="780" spans="1:28" ht="33" customHeight="1" x14ac:dyDescent="0.2">
      <c r="A780" s="523"/>
      <c r="B780" s="524"/>
      <c r="C780" s="524"/>
      <c r="D780" s="487">
        <v>20</v>
      </c>
      <c r="E780" s="532"/>
      <c r="F780" s="533"/>
      <c r="G780" s="523"/>
      <c r="H780" s="523"/>
      <c r="I780" s="523"/>
      <c r="J780" s="523"/>
      <c r="K780" s="523"/>
      <c r="L780" s="526"/>
      <c r="M780" s="526"/>
      <c r="N780" s="523"/>
      <c r="O780" s="523"/>
      <c r="P780" s="523"/>
      <c r="Q780" s="523"/>
      <c r="R780" s="523"/>
      <c r="S780" s="523"/>
      <c r="T780" s="523"/>
      <c r="U780" s="523"/>
      <c r="V780" s="523"/>
      <c r="W780" s="523"/>
      <c r="X780" s="523"/>
      <c r="Y780" s="523"/>
      <c r="Z780" s="529"/>
      <c r="AA780" s="530"/>
      <c r="AB780" s="531"/>
    </row>
    <row r="781" spans="1:28" ht="33" customHeight="1" x14ac:dyDescent="0.2">
      <c r="A781" s="488"/>
      <c r="B781" s="489" t="str">
        <f>IF(COUNTA(B761:B780,B755)=0,"",IF(COUNTIF($A$761:$A$780,1)=0,0,SUMIF($A$761:$A$780,"1",$B$761:$B$780)/COUNTIF($A$761:$A$780,1))+IF(COUNTIF($A$761:$A$780,2)=0,0,SUMIF($A$761:$A$780,"2",$B$761:$B$780)/COUNTIF($A$761:$A$780,2))+IF(COUNTIF($A$761:$A$780,3)=0,0,SUMIF($A$761:$A$780,"3",$B$761:$B$780)/COUNTIF($A$761:$A$780,3))+IF(COUNTIF($A$761:$A$780,4)=0,0,SUMIF($A$761:$A$780,"4",$B$761:$B$780)/COUNTIF($A$761:$A$780,4))+IF(COUNTIF($A$761:$A$780,5)=0,0,SUMIF($A$761:$A$780,"5",$B$761:$B$780)/COUNTIF($A$761:$A$780,5))+IF(COUNTIF($A$761:$A$780,6)=0,0,SUMIF($A$761:$A$780,"6",$B$761:$B$780)/COUNTIF($A$761:$A$780,6))+IF(COUNTIF($A$761:$A$780,7)=0,0,SUMIF($A$761:$A$780,"7",$B$761:$B$780)/COUNTIF($A$761:$A$780,7))+IF(COUNTIF($A$761:$A$780,8)=0,0,SUMIF($A$761:$A$780,"8",$B$761:$B$780)/COUNTIF($A$761:$A$780,8))+IF(COUNTIF($A$761:$A$780,9)=0,0,SUMIF($A$761:$A$780,"9",$B$761:$B$780)/COUNTIF($A$761:$A$780,9))+IF(COUNTIF($A$761:$A$780,10)=0,0,SUMIF($A$761:$A$780,"10",$B$761:$B$780)/COUNTIF($A$761:$A$780,10))+IF(COUNTIF($A$761:$A$780,11)=0,0,SUMIF($A$761:$A$780,"11",$B$761:$B$780)/COUNTIF($A$761:$A$780,11))+IF(COUNTIF($A$761:$A$780,12)=0,0,SUMIF($A$761:$A$780,"12",$B$761:$B$780)/COUNTIF($A$761:$A$780,12))+IF(COUNTIF($A$761:$A$780,13)=0,0,SUMIF($A$761:$A$780,"13",$B$761:$B$780)/COUNTIF($A$761:$A$780,13))+IF(COUNTIF($A$761:$A$780,14)=0,0,SUMIF($A$761:$A$780,"14",$B$761:$B$780)/COUNTIF($A$761:$A$780,14))+IF(COUNTIF($A$761:$A$780,15)=0,0,SUMIF($A$761:$A$780,"15",$B$761:$B$780)/COUNTIF($A$761:$A$780,15))+$B$755)</f>
        <v/>
      </c>
      <c r="C781" s="490" t="s">
        <v>5</v>
      </c>
      <c r="D781" s="491" t="s">
        <v>214</v>
      </c>
      <c r="E781" s="488"/>
      <c r="F781" s="488"/>
      <c r="G781" s="488"/>
      <c r="H781" s="488"/>
      <c r="I781" s="488"/>
      <c r="J781" s="488"/>
      <c r="K781" s="488"/>
      <c r="L781" s="492"/>
      <c r="M781" s="492"/>
      <c r="N781" s="488"/>
      <c r="O781" s="488"/>
      <c r="P781" s="488"/>
      <c r="Q781" s="488"/>
      <c r="R781" s="488"/>
      <c r="S781" s="488"/>
      <c r="T781" s="488"/>
      <c r="U781" s="488"/>
      <c r="V781" s="488"/>
      <c r="W781" s="488"/>
      <c r="X781" s="488"/>
      <c r="Y781" s="488"/>
      <c r="Z781" s="492"/>
      <c r="AA781" s="492"/>
      <c r="AB781" s="492"/>
    </row>
    <row r="782" spans="1:28" ht="17.25" customHeight="1" x14ac:dyDescent="0.2">
      <c r="A782" s="534" t="s">
        <v>484</v>
      </c>
      <c r="B782" s="535"/>
      <c r="C782" s="535"/>
      <c r="D782" s="534"/>
      <c r="E782" s="534"/>
      <c r="F782" s="534"/>
      <c r="G782" s="534"/>
      <c r="H782" s="534"/>
      <c r="I782" s="534"/>
      <c r="J782" s="534"/>
      <c r="K782" s="534"/>
      <c r="L782" s="534"/>
      <c r="M782" s="534"/>
      <c r="N782" s="534"/>
      <c r="O782" s="534"/>
      <c r="P782" s="534"/>
      <c r="Q782" s="534"/>
      <c r="R782" s="534"/>
      <c r="S782" s="534"/>
      <c r="T782" s="534"/>
      <c r="U782" s="534"/>
      <c r="V782" s="534"/>
      <c r="W782" s="534"/>
      <c r="X782" s="534"/>
      <c r="Y782" s="534"/>
      <c r="Z782" s="534"/>
      <c r="AA782" s="534"/>
      <c r="AB782" s="534"/>
    </row>
    <row r="783" spans="1:28" ht="17.25" customHeight="1" thickBot="1" x14ac:dyDescent="0.25">
      <c r="A783" s="535"/>
      <c r="B783" s="535"/>
      <c r="C783" s="535"/>
      <c r="D783" s="535"/>
      <c r="E783" s="535"/>
      <c r="F783" s="535"/>
      <c r="G783" s="535"/>
      <c r="H783" s="535"/>
      <c r="I783" s="535"/>
      <c r="J783" s="535"/>
      <c r="K783" s="535"/>
      <c r="L783" s="535"/>
      <c r="M783" s="535"/>
      <c r="N783" s="535"/>
      <c r="O783" s="535"/>
      <c r="P783" s="535"/>
      <c r="Q783" s="535"/>
      <c r="R783" s="535"/>
      <c r="S783" s="535"/>
      <c r="T783" s="535"/>
      <c r="U783" s="535"/>
      <c r="V783" s="535"/>
      <c r="W783" s="535"/>
      <c r="X783" s="535"/>
      <c r="Y783" s="535"/>
      <c r="Z783" s="535"/>
      <c r="AA783" s="535"/>
      <c r="AB783" s="535"/>
    </row>
    <row r="784" spans="1:28" ht="17.25" customHeight="1" thickBot="1" x14ac:dyDescent="0.25">
      <c r="A784" s="493"/>
      <c r="B784" s="493"/>
      <c r="C784" s="494"/>
      <c r="D784" s="521"/>
      <c r="E784" s="521"/>
      <c r="F784" s="521"/>
      <c r="G784" s="521"/>
      <c r="H784" s="521"/>
      <c r="I784" s="493"/>
      <c r="J784" s="493"/>
      <c r="K784" s="493"/>
      <c r="L784" s="493"/>
      <c r="M784" s="494"/>
      <c r="N784" s="493"/>
      <c r="O784" s="493"/>
      <c r="P784" s="493"/>
      <c r="Q784" s="493"/>
      <c r="R784" s="493"/>
      <c r="S784" s="493"/>
      <c r="T784" s="495"/>
      <c r="U784" s="396"/>
      <c r="V784" s="496" t="str">
        <f>IF(OR(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COUNTA(N779)-COUNTA(O779)&lt;0,COUNTA(O779)-COUNTA(P779)&lt;0,COUNTA(P779)-COUNTA(Q779)&lt;0,COUNTA(Q779)-COUNTA(R779)&lt;0,COUNTA(R779)-COUNTA(S779)&lt;0,COUNTA(S779)-COUNTA(T779)&lt;0,COUNTA(T779)-COUNTA(U779)&lt;0,COUNTA(U779)-COUNTA(V779)&lt;0,COUNTA(V779)-COUNTA(W779)&lt;0,COUNTA(W779)-COUNTA(X779)&lt;0,COUNTA(X779)-COUNTA(Y779)&lt;0,COUNTA(N780)-COUNTA(O780)&lt;0,COUNTA(O780)-COUNTA(P780)&lt;0,COUNTA(P780)-COUNTA(Q780)&lt;0,COUNTA(Q780)-COUNTA(R780)&lt;0,COUNTA(R780)-COUNTA(S780)&lt;0,COUNTA(S780)-COUNTA(T780)&lt;0,COUNTA(T780)-COUNTA(U780)&lt;0,COUNTA(U780)-COUNTA(V780)&lt;0,COUNTA(V780)-COUNTA(W780)&lt;0,COUNTA(W780)-COUNTA(X780)&lt;0,COUNTA(X780)-COUNTA(Y780)&lt;0),"Il ne peut pas y avoir de blancs entre deux valeurs renseignées dans les informations sur la texture et les horizons histiques dans un sondage.","")</f>
        <v/>
      </c>
      <c r="W784" s="497" t="str">
        <f>CONCATENATE(IF(AND($B$781&lt;&gt;"",$B$781&lt;&gt;100),"La somme des proportions des sous-ensembles homogènes dans le site n'est pas égale à 100%. ",""),IF(COUNTA($A$761:$A$780)&lt;&gt;COUNTA($M$761:$M$780),"L'horizon Ab doit être renseigné dans tous les sondages (valeur de 0 cm si absent). ",""),IF(COUNTA($A$761:$A$780)&lt;&gt;COUNTA($L$761:$L$780),"L'épisolum humifère doit être renseigné dans tous les sondages (valeur de 0 cm si absent). ",""),IF(MAX($L$761:$L$780)&gt;120,"La valeur maximale entrée pour l'épisolum humifère ne peut excéder 120 cm. ",""),IF(MAX($M$761:$M$780)&gt;120,"La valeur maximale entrée pour l'horizon Ab ne peut excéder 120 cm. ",""),IF(COUNTA($B$755,$B$761:$B$780)=0,"",IF(AND($J$456="X",MIN($B$761:$B$780,$B$755)*$T$107*100&lt;15625),"La part d'un sous-ensemble homogène est inférieure à la surface minimale cartographiable choisie (15 625 m²).",IF(AND($T$456="X",MIN($B$761:$B$780,$B$755)*$T$107*100&lt;2500),"La part d'un sous-ensemble homogène est inférieure à la surface minimale cartographiable choisie (2500 m²).",IF(AND($J$457="X",MIN($B$761:$B$780,$B$755)*$T$107*100&lt;625),"La part d'un sous-ensemble homogène est inférieure à la surface minimale cartographiable choisie (625 m²).",IF(AND($T$457="X",MIN($B$761:$B$780,$B$755)*$T$107*100&lt;156),"La part d'un sous-ensemble homogène est inférieure à la surface minimale cartographiable choisie (156 m²).",""))))),IF(OR(AND(MIN($G$761:$G$780)&gt;0,MIN($G$761:$G$780)&lt;4),MAX($G$761:$G$780)&gt;9),"Les valeurs de pH &gt; 9 ou &lt; 4 sont improbables. ",""),IF(OR(SUMIFS($L$761:$L$780,$H$761:$H$780,"x")&gt;0,SUMIFS($L$761:$L$780,$N$761:$N$780,{"TF";"TM";"TS"})&gt;0),"Il ne peut pas y avoir à la fois un épisolum humifère et un horizon histique ou de la tourbe en surface. ",""),IF(MAX($A$761:$A$780)&lt;16,"","Le n° des sous-ensembles homogènes doit être compris entre 0 et 15. "),IF(COUNTIF(N761:Y780,"A")+COUNTIF(N761:Y780,"AL")+COUNTIF(N761:Y780,"LA")+COUNTIF(N761:Y780,"L")+COUNTIF(N761:Y780,"LS")+COUNTIF(N761:Y780,"SL")+COUNTIF(N761:Y780,"S")+COUNTIF(N761:Y780,"TS")+COUNTIF(N761:Y780,"TM")+COUNTIF(N761:Y780,"TF")+COUNTIF(N761:Y780,"C")&lt;COUNTA(N761:Y780),"Erreur de saisie d'au moins une valeur renseignée dans les informations sur la texture et les horizons histiques.",""))</f>
        <v/>
      </c>
      <c r="X784" s="493"/>
      <c r="Y784" s="493"/>
      <c r="Z784" s="493"/>
      <c r="AA784" s="493"/>
      <c r="AB784" s="493"/>
    </row>
    <row r="785" spans="1:28" ht="17.25" customHeight="1" x14ac:dyDescent="0.2">
      <c r="A785" s="493"/>
      <c r="B785" s="493"/>
      <c r="C785" s="521"/>
      <c r="D785" s="494"/>
      <c r="E785" s="521"/>
      <c r="F785" s="521"/>
      <c r="G785" s="521"/>
      <c r="H785" s="521"/>
      <c r="I785" s="521"/>
      <c r="J785" s="493"/>
      <c r="K785" s="493"/>
      <c r="L785" s="493"/>
      <c r="M785" s="493"/>
      <c r="N785" s="493"/>
      <c r="O785" s="493"/>
      <c r="P785" s="493"/>
      <c r="Q785" s="493"/>
      <c r="R785" s="493"/>
      <c r="S785" s="493"/>
      <c r="T785" s="347"/>
      <c r="U785" s="347"/>
      <c r="V785" s="347"/>
      <c r="W785" s="398"/>
      <c r="X785" s="493"/>
      <c r="Y785" s="493"/>
      <c r="Z785" s="493"/>
      <c r="AA785" s="493"/>
      <c r="AB785" s="493"/>
    </row>
    <row r="786" spans="1:28" ht="18" customHeight="1" x14ac:dyDescent="0.2">
      <c r="A786" s="337"/>
      <c r="B786" s="337"/>
      <c r="C786" s="498" t="s">
        <v>272</v>
      </c>
      <c r="D786" s="337"/>
      <c r="E786" s="337"/>
      <c r="F786" s="337"/>
      <c r="G786" s="337"/>
      <c r="H786" s="337"/>
      <c r="I786" s="337"/>
      <c r="J786" s="337"/>
      <c r="K786" s="337"/>
      <c r="L786" s="337"/>
      <c r="M786" s="337"/>
      <c r="N786" s="337"/>
      <c r="O786" s="337"/>
      <c r="P786" s="337"/>
      <c r="Q786" s="337"/>
      <c r="R786" s="337"/>
      <c r="S786" s="337"/>
      <c r="T786" s="425"/>
      <c r="U786" s="425"/>
      <c r="V786" s="425"/>
      <c r="W786" s="425"/>
      <c r="X786" s="425"/>
      <c r="Y786" s="425"/>
      <c r="Z786" s="425"/>
      <c r="AA786" s="425"/>
    </row>
    <row r="787" spans="1:28" ht="18" customHeight="1" x14ac:dyDescent="0.2">
      <c r="A787" s="337"/>
      <c r="B787" s="337"/>
      <c r="C787" s="536"/>
      <c r="D787" s="537"/>
      <c r="E787" s="537"/>
      <c r="F787" s="537"/>
      <c r="G787" s="537"/>
      <c r="H787" s="537"/>
      <c r="I787" s="537"/>
      <c r="J787" s="537"/>
      <c r="K787" s="537"/>
      <c r="L787" s="537"/>
      <c r="M787" s="537"/>
      <c r="N787" s="537"/>
      <c r="O787" s="537"/>
      <c r="P787" s="537"/>
      <c r="Q787" s="537"/>
      <c r="R787" s="537"/>
      <c r="S787" s="537"/>
      <c r="T787" s="537"/>
      <c r="U787" s="537"/>
      <c r="V787" s="537"/>
      <c r="W787" s="538"/>
      <c r="X787" s="425"/>
      <c r="Y787" s="425"/>
      <c r="Z787" s="425"/>
      <c r="AA787" s="425"/>
    </row>
    <row r="788" spans="1:28" ht="17.25" customHeight="1" x14ac:dyDescent="0.2">
      <c r="A788" s="337"/>
      <c r="B788" s="337"/>
      <c r="C788" s="345"/>
      <c r="D788" s="337"/>
      <c r="E788" s="337"/>
      <c r="F788" s="337"/>
      <c r="G788" s="337"/>
      <c r="H788" s="337"/>
      <c r="I788" s="337"/>
      <c r="J788" s="337"/>
      <c r="K788" s="337"/>
      <c r="L788" s="337"/>
      <c r="M788" s="337"/>
      <c r="N788" s="337"/>
      <c r="O788" s="337"/>
    </row>
    <row r="789" spans="1:28" ht="17.25" customHeight="1" x14ac:dyDescent="0.2">
      <c r="A789" s="337"/>
      <c r="B789" s="337"/>
      <c r="C789" s="345"/>
      <c r="D789" s="337"/>
      <c r="E789" s="337"/>
      <c r="F789" s="337"/>
      <c r="G789" s="337"/>
      <c r="H789" s="337"/>
      <c r="I789" s="337"/>
      <c r="J789" s="337"/>
      <c r="K789" s="337"/>
      <c r="L789" s="337"/>
      <c r="M789" s="337"/>
      <c r="N789" s="337"/>
      <c r="O789" s="337"/>
    </row>
    <row r="790" spans="1:28" ht="33.75" customHeight="1" x14ac:dyDescent="0.2">
      <c r="A790" s="337"/>
      <c r="B790" s="337"/>
      <c r="C790" s="341" t="s">
        <v>390</v>
      </c>
      <c r="D790" s="695" t="s">
        <v>412</v>
      </c>
      <c r="E790" s="696"/>
      <c r="F790" s="696"/>
      <c r="G790" s="696"/>
      <c r="H790" s="696"/>
      <c r="I790" s="696"/>
      <c r="J790" s="696"/>
      <c r="K790" s="696"/>
      <c r="L790" s="696"/>
      <c r="M790" s="696"/>
      <c r="N790" s="696"/>
      <c r="O790" s="696"/>
      <c r="P790" s="696"/>
      <c r="Q790" s="696"/>
      <c r="R790" s="696"/>
      <c r="S790" s="696"/>
      <c r="T790" s="696"/>
      <c r="U790" s="696"/>
      <c r="V790" s="696"/>
      <c r="W790" s="696"/>
      <c r="X790" s="696"/>
      <c r="Y790" s="697"/>
    </row>
    <row r="791" spans="1:28" ht="16.5" customHeight="1" x14ac:dyDescent="0.2">
      <c r="A791" s="337"/>
      <c r="B791" s="337"/>
      <c r="C791" s="337"/>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row>
    <row r="792" spans="1:28" ht="18" customHeight="1" x14ac:dyDescent="0.2">
      <c r="A792" s="337"/>
      <c r="B792" s="337"/>
      <c r="C792" s="727" t="s">
        <v>121</v>
      </c>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row>
    <row r="793" spans="1:28" ht="18" customHeight="1" thickBot="1" x14ac:dyDescent="0.25">
      <c r="A793" s="337"/>
      <c r="B793" s="33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row>
    <row r="794" spans="1:28" ht="18" customHeight="1" thickBot="1" x14ac:dyDescent="0.25">
      <c r="A794" s="337"/>
      <c r="B794" s="337"/>
      <c r="C794" s="345"/>
      <c r="D794" s="337"/>
      <c r="E794" s="337"/>
      <c r="F794" s="337"/>
      <c r="G794" s="337"/>
      <c r="H794" s="337"/>
      <c r="I794" s="337"/>
      <c r="J794" s="337"/>
      <c r="K794" s="337"/>
      <c r="L794" s="337"/>
      <c r="M794" s="337"/>
      <c r="N794" s="337"/>
      <c r="O794" s="337"/>
      <c r="P794" s="337"/>
      <c r="Q794" s="337"/>
      <c r="R794" s="337"/>
      <c r="S794" s="337"/>
      <c r="T794" s="395"/>
      <c r="U794" s="396"/>
      <c r="V794" s="396"/>
      <c r="W794" s="397" t="str">
        <f>IF(AND(COUNTIF($H$761:$H$780,"X")=0,OR($J$797="X",$T$797="X")),"Il n'y a pas de traits d'hydromorphie histiques dans le site, la présence de fosses d'extraction de tourbe est donc peu probable.","")</f>
        <v/>
      </c>
      <c r="X794" s="425"/>
      <c r="Y794" s="425"/>
      <c r="Z794" s="425"/>
      <c r="AA794" s="425"/>
    </row>
    <row r="795" spans="1:28" ht="18" customHeight="1" x14ac:dyDescent="0.2">
      <c r="A795" s="337"/>
      <c r="B795" s="337"/>
      <c r="C795" s="583" t="s">
        <v>341</v>
      </c>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row>
    <row r="796" spans="1:28" ht="18" customHeight="1" x14ac:dyDescent="0.2">
      <c r="A796" s="337"/>
      <c r="B796" s="337"/>
      <c r="C796" s="592"/>
      <c r="D796" s="592"/>
      <c r="E796" s="592"/>
      <c r="F796" s="592"/>
      <c r="G796" s="592"/>
      <c r="H796" s="592"/>
      <c r="I796" s="592"/>
      <c r="J796" s="592"/>
      <c r="K796" s="592"/>
      <c r="L796" s="592"/>
      <c r="M796" s="592"/>
      <c r="N796" s="592"/>
      <c r="O796" s="592"/>
      <c r="P796" s="592"/>
      <c r="Q796" s="592"/>
      <c r="R796" s="592"/>
      <c r="S796" s="592"/>
      <c r="T796" s="592"/>
      <c r="U796" s="592"/>
      <c r="V796" s="592"/>
      <c r="W796" s="592"/>
      <c r="X796" s="592"/>
      <c r="Y796" s="592"/>
    </row>
    <row r="797" spans="1:28" ht="18" customHeight="1" x14ac:dyDescent="0.2">
      <c r="A797" s="337"/>
      <c r="B797" s="337"/>
      <c r="C797" s="354" t="s">
        <v>234</v>
      </c>
      <c r="D797" s="354"/>
      <c r="E797" s="337"/>
      <c r="H797" s="368"/>
      <c r="I797" s="353" t="s">
        <v>28</v>
      </c>
      <c r="J797" s="588"/>
      <c r="K797" s="588"/>
      <c r="P797" s="339"/>
      <c r="Q797" s="368"/>
      <c r="R797" s="368"/>
      <c r="S797" s="369" t="s">
        <v>29</v>
      </c>
      <c r="T797" s="588"/>
      <c r="U797" s="588"/>
      <c r="V797" s="588"/>
      <c r="W797" s="588"/>
    </row>
    <row r="798" spans="1:28" ht="18" customHeight="1" x14ac:dyDescent="0.2">
      <c r="A798" s="337"/>
      <c r="B798" s="337"/>
      <c r="C798" s="374"/>
      <c r="D798" s="374"/>
      <c r="E798" s="374"/>
      <c r="F798" s="374"/>
      <c r="G798" s="374"/>
      <c r="H798" s="374"/>
      <c r="I798" s="374"/>
      <c r="J798" s="374"/>
      <c r="K798" s="374"/>
      <c r="L798" s="374"/>
      <c r="M798" s="374"/>
      <c r="N798" s="374"/>
      <c r="O798" s="374"/>
      <c r="P798" s="374"/>
      <c r="Q798" s="374"/>
      <c r="R798" s="374"/>
      <c r="S798" s="374"/>
      <c r="T798" s="374"/>
      <c r="U798" s="374"/>
      <c r="V798" s="374"/>
      <c r="W798" s="374"/>
      <c r="X798" s="374"/>
      <c r="Y798" s="374"/>
    </row>
    <row r="799" spans="1:28" ht="18" customHeight="1" x14ac:dyDescent="0.2">
      <c r="A799" s="337"/>
      <c r="B799" s="337"/>
      <c r="C799" s="374"/>
      <c r="D799" s="374"/>
      <c r="E799" s="374"/>
      <c r="F799" s="374"/>
      <c r="G799" s="374"/>
      <c r="H799" s="374"/>
      <c r="I799" s="374"/>
      <c r="J799" s="374"/>
      <c r="K799" s="374"/>
      <c r="L799" s="374"/>
      <c r="M799" s="374"/>
      <c r="N799" s="374"/>
      <c r="O799" s="374"/>
      <c r="P799" s="374"/>
      <c r="Q799" s="374"/>
      <c r="R799" s="374"/>
      <c r="S799" s="374"/>
      <c r="T799" s="374"/>
      <c r="U799" s="374"/>
      <c r="V799" s="374"/>
      <c r="W799" s="374"/>
      <c r="X799" s="374"/>
      <c r="Y799" s="374"/>
    </row>
    <row r="800" spans="1:28" ht="35.25" customHeight="1" x14ac:dyDescent="0.2">
      <c r="A800" s="337"/>
      <c r="B800" s="337"/>
      <c r="C800" s="341">
        <v>3</v>
      </c>
      <c r="D800" s="695" t="s">
        <v>384</v>
      </c>
      <c r="E800" s="696"/>
      <c r="F800" s="696"/>
      <c r="G800" s="696"/>
      <c r="H800" s="696"/>
      <c r="I800" s="696"/>
      <c r="J800" s="696"/>
      <c r="K800" s="696"/>
      <c r="L800" s="696"/>
      <c r="M800" s="696"/>
      <c r="N800" s="696"/>
      <c r="O800" s="696"/>
      <c r="P800" s="696"/>
      <c r="Q800" s="696"/>
      <c r="R800" s="696"/>
      <c r="S800" s="696"/>
      <c r="T800" s="696"/>
      <c r="U800" s="696"/>
      <c r="V800" s="696"/>
      <c r="W800" s="696"/>
      <c r="X800" s="696"/>
      <c r="Y800" s="697"/>
    </row>
    <row r="801" spans="1:25" ht="18" customHeight="1" x14ac:dyDescent="0.2">
      <c r="A801" s="337"/>
      <c r="B801" s="337"/>
      <c r="C801" s="374"/>
      <c r="D801" s="374"/>
      <c r="E801" s="374"/>
      <c r="F801" s="374"/>
      <c r="G801" s="374"/>
      <c r="H801" s="374"/>
      <c r="I801" s="374"/>
      <c r="J801" s="374"/>
      <c r="K801" s="374"/>
      <c r="L801" s="374"/>
      <c r="M801" s="374"/>
      <c r="N801" s="374"/>
      <c r="O801" s="374"/>
      <c r="P801" s="374"/>
      <c r="Q801" s="374"/>
      <c r="R801" s="374"/>
      <c r="S801" s="374"/>
      <c r="T801" s="374"/>
      <c r="U801" s="374"/>
      <c r="V801" s="374"/>
      <c r="W801" s="374"/>
      <c r="X801" s="374"/>
      <c r="Y801" s="374"/>
    </row>
    <row r="802" spans="1:25" ht="18" customHeight="1" x14ac:dyDescent="0.2">
      <c r="A802" s="337"/>
      <c r="B802" s="337"/>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4"/>
    </row>
    <row r="803" spans="1:25" ht="33.75" customHeight="1" x14ac:dyDescent="0.2">
      <c r="A803" s="337"/>
      <c r="B803" s="337"/>
      <c r="C803" s="341" t="s">
        <v>389</v>
      </c>
      <c r="D803" s="695" t="s">
        <v>413</v>
      </c>
      <c r="E803" s="696"/>
      <c r="F803" s="696"/>
      <c r="G803" s="696"/>
      <c r="H803" s="696"/>
      <c r="I803" s="696"/>
      <c r="J803" s="696"/>
      <c r="K803" s="696"/>
      <c r="L803" s="696"/>
      <c r="M803" s="696"/>
      <c r="N803" s="696"/>
      <c r="O803" s="696"/>
      <c r="P803" s="696"/>
      <c r="Q803" s="696"/>
      <c r="R803" s="696"/>
      <c r="S803" s="696"/>
      <c r="T803" s="696"/>
      <c r="U803" s="696"/>
      <c r="V803" s="696"/>
      <c r="W803" s="696"/>
      <c r="X803" s="696"/>
      <c r="Y803" s="697"/>
    </row>
    <row r="804" spans="1:25" ht="18" customHeight="1" x14ac:dyDescent="0.2">
      <c r="A804" s="337"/>
      <c r="B804" s="337"/>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row>
    <row r="805" spans="1:25" ht="18" customHeight="1" x14ac:dyDescent="0.2">
      <c r="C805" s="581" t="s">
        <v>342</v>
      </c>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row>
    <row r="806" spans="1:25" ht="18" customHeight="1" x14ac:dyDescent="0.2">
      <c r="C806" s="337"/>
      <c r="D806" s="337"/>
      <c r="E806" s="337"/>
      <c r="F806" s="337"/>
      <c r="G806" s="337"/>
      <c r="H806" s="337"/>
      <c r="I806" s="337"/>
      <c r="J806" s="337"/>
      <c r="K806" s="394"/>
      <c r="L806" s="337"/>
      <c r="M806" s="337"/>
      <c r="N806" s="337"/>
      <c r="O806" s="337"/>
      <c r="S806" s="369" t="s">
        <v>343</v>
      </c>
      <c r="T806" s="590"/>
      <c r="U806" s="590"/>
      <c r="V806" s="590"/>
      <c r="W806" s="590"/>
      <c r="X806" s="591" t="s">
        <v>120</v>
      </c>
      <c r="Y806" s="591"/>
    </row>
    <row r="807" spans="1:25" ht="18" customHeight="1" x14ac:dyDescent="0.2">
      <c r="C807" s="337"/>
      <c r="D807" s="337"/>
      <c r="E807" s="337"/>
      <c r="F807" s="337"/>
      <c r="G807" s="337"/>
      <c r="H807" s="337"/>
      <c r="I807" s="411"/>
      <c r="J807" s="411"/>
      <c r="K807" s="394"/>
      <c r="L807" s="337"/>
      <c r="M807" s="337"/>
      <c r="N807" s="337"/>
      <c r="O807" s="337"/>
    </row>
    <row r="808" spans="1:25" ht="18" customHeight="1" x14ac:dyDescent="0.2">
      <c r="C808" s="337"/>
      <c r="D808" s="337"/>
      <c r="E808" s="337"/>
      <c r="F808" s="337"/>
      <c r="G808" s="337"/>
      <c r="H808" s="337"/>
      <c r="I808" s="501"/>
      <c r="J808" s="501"/>
      <c r="K808" s="394"/>
      <c r="L808" s="337"/>
      <c r="M808" s="337"/>
      <c r="N808" s="337"/>
      <c r="O808" s="337"/>
    </row>
    <row r="809" spans="1:25" ht="35.25" customHeight="1" x14ac:dyDescent="0.2">
      <c r="A809" s="337"/>
      <c r="B809" s="337"/>
      <c r="C809" s="341" t="s">
        <v>388</v>
      </c>
      <c r="D809" s="695" t="s">
        <v>414</v>
      </c>
      <c r="E809" s="696"/>
      <c r="F809" s="696"/>
      <c r="G809" s="696"/>
      <c r="H809" s="696"/>
      <c r="I809" s="696"/>
      <c r="J809" s="696"/>
      <c r="K809" s="696"/>
      <c r="L809" s="696"/>
      <c r="M809" s="696"/>
      <c r="N809" s="696"/>
      <c r="O809" s="696"/>
      <c r="P809" s="696"/>
      <c r="Q809" s="696"/>
      <c r="R809" s="696"/>
      <c r="S809" s="696"/>
      <c r="T809" s="696"/>
      <c r="U809" s="696"/>
      <c r="V809" s="696"/>
      <c r="W809" s="696"/>
      <c r="X809" s="696"/>
      <c r="Y809" s="697"/>
    </row>
    <row r="810" spans="1:25" ht="18" customHeight="1" x14ac:dyDescent="0.2">
      <c r="A810" s="337"/>
      <c r="B810" s="337"/>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row>
    <row r="811" spans="1:25" ht="18" customHeight="1" x14ac:dyDescent="0.2">
      <c r="C811" s="581" t="s">
        <v>344</v>
      </c>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row>
    <row r="812" spans="1:25" ht="18" customHeight="1" x14ac:dyDescent="0.2">
      <c r="C812" s="337"/>
      <c r="D812" s="337"/>
      <c r="E812" s="337"/>
      <c r="F812" s="337"/>
      <c r="G812" s="337"/>
      <c r="H812" s="337"/>
      <c r="I812" s="337"/>
      <c r="J812" s="337"/>
      <c r="K812" s="337"/>
      <c r="L812" s="337"/>
      <c r="M812" s="337"/>
      <c r="N812" s="337"/>
      <c r="O812" s="337"/>
      <c r="S812" s="369" t="s">
        <v>273</v>
      </c>
      <c r="T812" s="578"/>
      <c r="U812" s="578"/>
      <c r="V812" s="578"/>
      <c r="W812" s="578"/>
      <c r="X812" s="591" t="s">
        <v>112</v>
      </c>
      <c r="Y812" s="591"/>
    </row>
    <row r="813" spans="1:25" ht="18" customHeight="1" x14ac:dyDescent="0.2">
      <c r="C813" s="337"/>
      <c r="D813" s="337"/>
      <c r="E813" s="337"/>
      <c r="F813" s="337"/>
      <c r="G813" s="337"/>
      <c r="H813" s="337"/>
      <c r="I813" s="337"/>
      <c r="J813" s="337"/>
      <c r="K813" s="337"/>
      <c r="L813" s="337"/>
      <c r="M813" s="337"/>
      <c r="N813" s="337"/>
      <c r="O813" s="337"/>
    </row>
    <row r="814" spans="1:25" ht="18" customHeight="1" x14ac:dyDescent="0.2">
      <c r="C814" s="337"/>
      <c r="D814" s="337"/>
      <c r="E814" s="337"/>
      <c r="F814" s="337"/>
      <c r="G814" s="337"/>
      <c r="H814" s="337"/>
      <c r="I814" s="337"/>
      <c r="J814" s="337"/>
      <c r="K814" s="337"/>
      <c r="L814" s="337"/>
      <c r="M814" s="337"/>
      <c r="N814" s="337"/>
      <c r="O814" s="337"/>
    </row>
    <row r="815" spans="1:25" ht="18" customHeight="1" x14ac:dyDescent="0.2">
      <c r="C815" s="581" t="s">
        <v>345</v>
      </c>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row>
    <row r="816" spans="1:25" ht="18" customHeight="1" thickBot="1" x14ac:dyDescent="0.25">
      <c r="C816" s="337"/>
      <c r="D816" s="337"/>
      <c r="E816" s="337"/>
      <c r="F816" s="337"/>
      <c r="G816" s="337"/>
      <c r="H816" s="337"/>
      <c r="I816" s="337"/>
      <c r="J816" s="337"/>
      <c r="K816" s="337"/>
      <c r="L816" s="337"/>
      <c r="M816" s="337"/>
      <c r="N816" s="337"/>
      <c r="O816" s="337"/>
      <c r="S816" s="369" t="s">
        <v>274</v>
      </c>
      <c r="T816" s="701"/>
      <c r="U816" s="701"/>
      <c r="V816" s="701"/>
      <c r="W816" s="701"/>
      <c r="X816" s="703"/>
      <c r="Y816" s="703"/>
    </row>
    <row r="817" spans="1:25" ht="18" customHeight="1" thickBot="1" x14ac:dyDescent="0.25">
      <c r="C817" s="337"/>
      <c r="D817" s="337"/>
      <c r="E817" s="337"/>
      <c r="F817" s="337"/>
      <c r="G817" s="337"/>
      <c r="H817" s="337"/>
      <c r="I817" s="337"/>
      <c r="J817" s="337"/>
      <c r="K817" s="337"/>
      <c r="L817" s="337"/>
      <c r="M817" s="337"/>
      <c r="N817" s="337"/>
      <c r="O817" s="337"/>
      <c r="T817" s="502"/>
      <c r="U817" s="396"/>
      <c r="V817" s="396"/>
      <c r="W817" s="397" t="str">
        <f>IF(ISBLANK($T$816),"",CONCATENATE(IF($T$816&gt;0,"","Le nombre d'unités d'habitats EUNIS niveau 1 dans le site ne peut pas être égal à 0. "),IF($T$816&lt;SUM(IF(COUNTIF($C$465:$C$479,"A*")&gt;0,1,0),IF(COUNTIF($C$465:$C$479,"B*")&gt;0,1,0),IF(COUNTIF($C$465:$C$479,"C*")&gt;0,1,0),IF(COUNTIF($C$465:$C$479,"D*")&gt;0,1,0),IF(COUNTIF($C$465:$C$479,"E*")&gt;0,1,0),IF(COUNTIF($C$465:$C$479,"F*")&gt;0,1,0),IF(COUNTIF($C$465:$C$479,"G*")&gt;0,1,0),IF(COUNTIF($C$465:$C$479,"H*")&gt;0,1,0),IF(COUNTIF($C$465:$C$479,"I*")&gt;0,1,0),IF(COUNTIF($C$465:$C$479,"J*")&gt;0,1,0)),"La réponse donnée doit être supérieure ou égale au nombre d'habitats EUNIS niveau 1 détectés dans le site (question 39). ",""),IF(AND($T$816&gt;1,SUM(IF(COUNTIF($C$465:$C$479,"A*")&gt;0,1,0),IF(COUNTIF($C$465:$C$479,"B*")&gt;0,1,0),IF(COUNTIF($C$465:$C$479,"C*")&gt;0,1,0),IF(COUNTIF($C$465:$C$479,"D*")&gt;0,1,0),IF(COUNTIF($C$465:$C$479,"E*")&gt;0,1,0),IF(COUNTIF($C$465:$C$479,"F*")&gt;0,1,0),IF(COUNTIF($C$465:$C$479,"G*")&gt;0,1,0),IF(COUNTIF($C$465:$C$479,"H*")&gt;0,1,0),IF(COUNTIF($C$465:$C$479,"I*")&gt;0,1,0),IF(COUNTIF($C$465:$C$479,"J*")&gt;0,1,0))=1),"Il n’y a qu’un habitat EUNIS niveau 1 dans le site (question 39), il ne peut pas y avoir plusieurs unités d’habitats EUNIS niveau 1. ","")))</f>
        <v/>
      </c>
    </row>
    <row r="818" spans="1:25" ht="18" customHeight="1" x14ac:dyDescent="0.2">
      <c r="C818" s="337"/>
      <c r="D818" s="337"/>
      <c r="E818" s="337"/>
      <c r="F818" s="337"/>
      <c r="G818" s="337"/>
      <c r="H818" s="337"/>
      <c r="I818" s="337"/>
      <c r="J818" s="337"/>
      <c r="K818" s="337"/>
      <c r="L818" s="337"/>
      <c r="M818" s="337"/>
      <c r="N818" s="337"/>
      <c r="O818" s="337"/>
      <c r="T818" s="347"/>
      <c r="U818" s="347"/>
      <c r="V818" s="347"/>
      <c r="W818" s="398"/>
    </row>
    <row r="819" spans="1:25" ht="18" customHeight="1" x14ac:dyDescent="0.2">
      <c r="C819" s="583" t="s">
        <v>346</v>
      </c>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row>
    <row r="820" spans="1:25" ht="18" customHeight="1" x14ac:dyDescent="0.2">
      <c r="C820" s="592"/>
      <c r="D820" s="592"/>
      <c r="E820" s="592"/>
      <c r="F820" s="592"/>
      <c r="G820" s="592"/>
      <c r="H820" s="592"/>
      <c r="I820" s="592"/>
      <c r="J820" s="592"/>
      <c r="K820" s="592"/>
      <c r="L820" s="592"/>
      <c r="M820" s="592"/>
      <c r="N820" s="592"/>
      <c r="O820" s="592"/>
      <c r="P820" s="592"/>
      <c r="Q820" s="592"/>
      <c r="R820" s="592"/>
      <c r="S820" s="592"/>
      <c r="T820" s="592"/>
      <c r="U820" s="592"/>
      <c r="V820" s="592"/>
      <c r="W820" s="592"/>
      <c r="X820" s="592"/>
      <c r="Y820" s="592"/>
    </row>
    <row r="821" spans="1:25" ht="18" customHeight="1" x14ac:dyDescent="0.2">
      <c r="C821" s="728" t="s">
        <v>275</v>
      </c>
      <c r="D821" s="728"/>
      <c r="E821" s="728"/>
      <c r="F821" s="728"/>
      <c r="G821" s="728"/>
      <c r="H821" s="728"/>
      <c r="I821" s="728"/>
      <c r="J821" s="728"/>
      <c r="K821" s="728"/>
      <c r="L821" s="728"/>
      <c r="M821" s="728"/>
      <c r="N821" s="728"/>
      <c r="O821" s="728"/>
      <c r="P821" s="728"/>
      <c r="Q821" s="728"/>
      <c r="R821" s="728"/>
      <c r="S821" s="728"/>
      <c r="T821" s="514"/>
      <c r="U821" s="514"/>
      <c r="V821" s="514"/>
      <c r="W821" s="514"/>
      <c r="X821" s="513"/>
      <c r="Y821" s="513"/>
    </row>
    <row r="822" spans="1:25" ht="18" customHeight="1" thickBot="1" x14ac:dyDescent="0.25">
      <c r="C822" s="729"/>
      <c r="D822" s="729"/>
      <c r="E822" s="729"/>
      <c r="F822" s="729"/>
      <c r="G822" s="729"/>
      <c r="H822" s="729"/>
      <c r="I822" s="729"/>
      <c r="J822" s="729"/>
      <c r="K822" s="729"/>
      <c r="L822" s="729"/>
      <c r="M822" s="729"/>
      <c r="N822" s="729"/>
      <c r="O822" s="729"/>
      <c r="P822" s="729"/>
      <c r="Q822" s="729"/>
      <c r="R822" s="729"/>
      <c r="S822" s="729"/>
      <c r="T822" s="578"/>
      <c r="U822" s="578"/>
      <c r="V822" s="578"/>
      <c r="W822" s="578"/>
      <c r="X822" s="591" t="s">
        <v>112</v>
      </c>
      <c r="Y822" s="591"/>
    </row>
    <row r="823" spans="1:25" ht="18" customHeight="1" thickBot="1" x14ac:dyDescent="0.25">
      <c r="A823" s="337"/>
      <c r="B823" s="337"/>
      <c r="C823" s="337"/>
      <c r="D823" s="337"/>
      <c r="E823" s="337"/>
      <c r="F823" s="337"/>
      <c r="G823" s="337"/>
      <c r="H823" s="337"/>
      <c r="I823" s="337"/>
      <c r="J823" s="337"/>
      <c r="K823" s="337"/>
      <c r="L823" s="337"/>
      <c r="M823" s="337"/>
      <c r="N823" s="386"/>
      <c r="O823" s="380"/>
      <c r="T823" s="395"/>
      <c r="U823" s="396"/>
      <c r="V823" s="396"/>
      <c r="W823" s="397" t="str">
        <f>IF(OR($T$822="",$T$816=""),"",IF($T$822/$T$816&gt;1,"La distance maximale entre deux unités d'habitats est de 1 km.",""))</f>
        <v/>
      </c>
    </row>
    <row r="824" spans="1:25" ht="18" customHeight="1" x14ac:dyDescent="0.2">
      <c r="A824" s="337"/>
      <c r="B824" s="337"/>
      <c r="C824" s="337"/>
      <c r="D824" s="337"/>
      <c r="E824" s="337"/>
      <c r="F824" s="337"/>
      <c r="G824" s="337"/>
      <c r="H824" s="337"/>
      <c r="I824" s="337"/>
      <c r="J824" s="337"/>
      <c r="K824" s="337"/>
      <c r="L824" s="337"/>
      <c r="M824" s="337"/>
      <c r="N824" s="386"/>
      <c r="O824" s="380"/>
    </row>
    <row r="825" spans="1:25" ht="33.75" customHeight="1" x14ac:dyDescent="0.2">
      <c r="A825" s="337"/>
      <c r="B825" s="337"/>
      <c r="C825" s="341" t="s">
        <v>387</v>
      </c>
      <c r="D825" s="695" t="s">
        <v>412</v>
      </c>
      <c r="E825" s="696"/>
      <c r="F825" s="696"/>
      <c r="G825" s="696"/>
      <c r="H825" s="696"/>
      <c r="I825" s="696"/>
      <c r="J825" s="696"/>
      <c r="K825" s="696"/>
      <c r="L825" s="696"/>
      <c r="M825" s="696"/>
      <c r="N825" s="696"/>
      <c r="O825" s="696"/>
      <c r="P825" s="696"/>
      <c r="Q825" s="696"/>
      <c r="R825" s="696"/>
      <c r="S825" s="696"/>
      <c r="T825" s="696"/>
      <c r="U825" s="696"/>
      <c r="V825" s="696"/>
      <c r="W825" s="696"/>
      <c r="X825" s="696"/>
      <c r="Y825" s="697"/>
    </row>
    <row r="826" spans="1:25" ht="18" customHeight="1" x14ac:dyDescent="0.2">
      <c r="A826" s="337"/>
      <c r="B826" s="337"/>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row>
    <row r="827" spans="1:25" ht="18" customHeight="1" x14ac:dyDescent="0.2">
      <c r="A827" s="337"/>
      <c r="B827" s="337"/>
      <c r="C827" s="583" t="s">
        <v>347</v>
      </c>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row>
    <row r="828" spans="1:25" ht="18" customHeight="1" x14ac:dyDescent="0.2">
      <c r="A828" s="337"/>
      <c r="B828" s="337"/>
      <c r="C828" s="592"/>
      <c r="D828" s="592"/>
      <c r="E828" s="592"/>
      <c r="F828" s="592"/>
      <c r="G828" s="592"/>
      <c r="H828" s="592"/>
      <c r="I828" s="592"/>
      <c r="J828" s="592"/>
      <c r="K828" s="592"/>
      <c r="L828" s="592"/>
      <c r="M828" s="592"/>
      <c r="N828" s="592"/>
      <c r="O828" s="592"/>
      <c r="P828" s="592"/>
      <c r="Q828" s="592"/>
      <c r="R828" s="592"/>
      <c r="S828" s="592"/>
      <c r="T828" s="592"/>
      <c r="U828" s="592"/>
      <c r="V828" s="592"/>
      <c r="W828" s="592"/>
      <c r="X828" s="592"/>
      <c r="Y828" s="592"/>
    </row>
    <row r="829" spans="1:25" ht="18" customHeight="1" x14ac:dyDescent="0.2">
      <c r="A829" s="337"/>
      <c r="B829" s="337"/>
      <c r="C829" s="718"/>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20"/>
    </row>
    <row r="830" spans="1:25" ht="18" customHeight="1" x14ac:dyDescent="0.2">
      <c r="A830" s="337"/>
      <c r="B830" s="337"/>
      <c r="C830" s="721"/>
      <c r="D830" s="722"/>
      <c r="E830" s="722"/>
      <c r="F830" s="722"/>
      <c r="G830" s="722"/>
      <c r="H830" s="722"/>
      <c r="I830" s="722"/>
      <c r="J830" s="722"/>
      <c r="K830" s="722"/>
      <c r="L830" s="722"/>
      <c r="M830" s="722"/>
      <c r="N830" s="722"/>
      <c r="O830" s="722"/>
      <c r="P830" s="722"/>
      <c r="Q830" s="722"/>
      <c r="R830" s="722"/>
      <c r="S830" s="722"/>
      <c r="T830" s="722"/>
      <c r="U830" s="722"/>
      <c r="V830" s="722"/>
      <c r="W830" s="722"/>
      <c r="X830" s="722"/>
      <c r="Y830" s="723"/>
    </row>
    <row r="831" spans="1:25" ht="18" customHeight="1" x14ac:dyDescent="0.2">
      <c r="A831" s="337"/>
      <c r="B831" s="337"/>
      <c r="C831" s="721"/>
      <c r="D831" s="722"/>
      <c r="E831" s="722"/>
      <c r="F831" s="722"/>
      <c r="G831" s="722"/>
      <c r="H831" s="722"/>
      <c r="I831" s="722"/>
      <c r="J831" s="722"/>
      <c r="K831" s="722"/>
      <c r="L831" s="722"/>
      <c r="M831" s="722"/>
      <c r="N831" s="722"/>
      <c r="O831" s="722"/>
      <c r="P831" s="722"/>
      <c r="Q831" s="722"/>
      <c r="R831" s="722"/>
      <c r="S831" s="722"/>
      <c r="T831" s="722"/>
      <c r="U831" s="722"/>
      <c r="V831" s="722"/>
      <c r="W831" s="722"/>
      <c r="X831" s="722"/>
      <c r="Y831" s="723"/>
    </row>
    <row r="832" spans="1:25" ht="18" customHeight="1" x14ac:dyDescent="0.2">
      <c r="C832" s="721"/>
      <c r="D832" s="722"/>
      <c r="E832" s="722"/>
      <c r="F832" s="722"/>
      <c r="G832" s="722"/>
      <c r="H832" s="722"/>
      <c r="I832" s="722"/>
      <c r="J832" s="722"/>
      <c r="K832" s="722"/>
      <c r="L832" s="722"/>
      <c r="M832" s="722"/>
      <c r="N832" s="722"/>
      <c r="O832" s="722"/>
      <c r="P832" s="722"/>
      <c r="Q832" s="722"/>
      <c r="R832" s="722"/>
      <c r="S832" s="722"/>
      <c r="T832" s="722"/>
      <c r="U832" s="722"/>
      <c r="V832" s="722"/>
      <c r="W832" s="722"/>
      <c r="X832" s="722"/>
      <c r="Y832" s="723"/>
    </row>
    <row r="833" spans="3:25" ht="18" customHeight="1" x14ac:dyDescent="0.2">
      <c r="C833" s="721"/>
      <c r="D833" s="722"/>
      <c r="E833" s="722"/>
      <c r="F833" s="722"/>
      <c r="G833" s="722"/>
      <c r="H833" s="722"/>
      <c r="I833" s="722"/>
      <c r="J833" s="722"/>
      <c r="K833" s="722"/>
      <c r="L833" s="722"/>
      <c r="M833" s="722"/>
      <c r="N833" s="722"/>
      <c r="O833" s="722"/>
      <c r="P833" s="722"/>
      <c r="Q833" s="722"/>
      <c r="R833" s="722"/>
      <c r="S833" s="722"/>
      <c r="T833" s="722"/>
      <c r="U833" s="722"/>
      <c r="V833" s="722"/>
      <c r="W833" s="722"/>
      <c r="X833" s="722"/>
      <c r="Y833" s="723"/>
    </row>
    <row r="834" spans="3:25" ht="18" customHeight="1" x14ac:dyDescent="0.2">
      <c r="C834" s="721"/>
      <c r="D834" s="722"/>
      <c r="E834" s="722"/>
      <c r="F834" s="722"/>
      <c r="G834" s="722"/>
      <c r="H834" s="722"/>
      <c r="I834" s="722"/>
      <c r="J834" s="722"/>
      <c r="K834" s="722"/>
      <c r="L834" s="722"/>
      <c r="M834" s="722"/>
      <c r="N834" s="722"/>
      <c r="O834" s="722"/>
      <c r="P834" s="722"/>
      <c r="Q834" s="722"/>
      <c r="R834" s="722"/>
      <c r="S834" s="722"/>
      <c r="T834" s="722"/>
      <c r="U834" s="722"/>
      <c r="V834" s="722"/>
      <c r="W834" s="722"/>
      <c r="X834" s="722"/>
      <c r="Y834" s="723"/>
    </row>
    <row r="835" spans="3:25" ht="18" customHeight="1" x14ac:dyDescent="0.2">
      <c r="C835" s="721"/>
      <c r="D835" s="722"/>
      <c r="E835" s="722"/>
      <c r="F835" s="722"/>
      <c r="G835" s="722"/>
      <c r="H835" s="722"/>
      <c r="I835" s="722"/>
      <c r="J835" s="722"/>
      <c r="K835" s="722"/>
      <c r="L835" s="722"/>
      <c r="M835" s="722"/>
      <c r="N835" s="722"/>
      <c r="O835" s="722"/>
      <c r="P835" s="722"/>
      <c r="Q835" s="722"/>
      <c r="R835" s="722"/>
      <c r="S835" s="722"/>
      <c r="T835" s="722"/>
      <c r="U835" s="722"/>
      <c r="V835" s="722"/>
      <c r="W835" s="722"/>
      <c r="X835" s="722"/>
      <c r="Y835" s="723"/>
    </row>
    <row r="836" spans="3:25" ht="18" customHeight="1" x14ac:dyDescent="0.2">
      <c r="C836" s="721"/>
      <c r="D836" s="722"/>
      <c r="E836" s="722"/>
      <c r="F836" s="722"/>
      <c r="G836" s="722"/>
      <c r="H836" s="722"/>
      <c r="I836" s="722"/>
      <c r="J836" s="722"/>
      <c r="K836" s="722"/>
      <c r="L836" s="722"/>
      <c r="M836" s="722"/>
      <c r="N836" s="722"/>
      <c r="O836" s="722"/>
      <c r="P836" s="722"/>
      <c r="Q836" s="722"/>
      <c r="R836" s="722"/>
      <c r="S836" s="722"/>
      <c r="T836" s="722"/>
      <c r="U836" s="722"/>
      <c r="V836" s="722"/>
      <c r="W836" s="722"/>
      <c r="X836" s="722"/>
      <c r="Y836" s="723"/>
    </row>
    <row r="837" spans="3:25" ht="18" customHeight="1" x14ac:dyDescent="0.2">
      <c r="C837" s="721"/>
      <c r="D837" s="722"/>
      <c r="E837" s="722"/>
      <c r="F837" s="722"/>
      <c r="G837" s="722"/>
      <c r="H837" s="722"/>
      <c r="I837" s="722"/>
      <c r="J837" s="722"/>
      <c r="K837" s="722"/>
      <c r="L837" s="722"/>
      <c r="M837" s="722"/>
      <c r="N837" s="722"/>
      <c r="O837" s="722"/>
      <c r="P837" s="722"/>
      <c r="Q837" s="722"/>
      <c r="R837" s="722"/>
      <c r="S837" s="722"/>
      <c r="T837" s="722"/>
      <c r="U837" s="722"/>
      <c r="V837" s="722"/>
      <c r="W837" s="722"/>
      <c r="X837" s="722"/>
      <c r="Y837" s="723"/>
    </row>
    <row r="838" spans="3:25" ht="18" customHeight="1" x14ac:dyDescent="0.2">
      <c r="C838" s="721"/>
      <c r="D838" s="722"/>
      <c r="E838" s="722"/>
      <c r="F838" s="722"/>
      <c r="G838" s="722"/>
      <c r="H838" s="722"/>
      <c r="I838" s="722"/>
      <c r="J838" s="722"/>
      <c r="K838" s="722"/>
      <c r="L838" s="722"/>
      <c r="M838" s="722"/>
      <c r="N838" s="722"/>
      <c r="O838" s="722"/>
      <c r="P838" s="722"/>
      <c r="Q838" s="722"/>
      <c r="R838" s="722"/>
      <c r="S838" s="722"/>
      <c r="T838" s="722"/>
      <c r="U838" s="722"/>
      <c r="V838" s="722"/>
      <c r="W838" s="722"/>
      <c r="X838" s="722"/>
      <c r="Y838" s="723"/>
    </row>
    <row r="839" spans="3:25" ht="18" customHeight="1" x14ac:dyDescent="0.2">
      <c r="C839" s="721"/>
      <c r="D839" s="722"/>
      <c r="E839" s="722"/>
      <c r="F839" s="722"/>
      <c r="G839" s="722"/>
      <c r="H839" s="722"/>
      <c r="I839" s="722"/>
      <c r="J839" s="722"/>
      <c r="K839" s="722"/>
      <c r="L839" s="722"/>
      <c r="M839" s="722"/>
      <c r="N839" s="722"/>
      <c r="O839" s="722"/>
      <c r="P839" s="722"/>
      <c r="Q839" s="722"/>
      <c r="R839" s="722"/>
      <c r="S839" s="722"/>
      <c r="T839" s="722"/>
      <c r="U839" s="722"/>
      <c r="V839" s="722"/>
      <c r="W839" s="722"/>
      <c r="X839" s="722"/>
      <c r="Y839" s="723"/>
    </row>
    <row r="840" spans="3:25" ht="18" customHeight="1" x14ac:dyDescent="0.2">
      <c r="C840" s="721"/>
      <c r="D840" s="722"/>
      <c r="E840" s="722"/>
      <c r="F840" s="722"/>
      <c r="G840" s="722"/>
      <c r="H840" s="722"/>
      <c r="I840" s="722"/>
      <c r="J840" s="722"/>
      <c r="K840" s="722"/>
      <c r="L840" s="722"/>
      <c r="M840" s="722"/>
      <c r="N840" s="722"/>
      <c r="O840" s="722"/>
      <c r="P840" s="722"/>
      <c r="Q840" s="722"/>
      <c r="R840" s="722"/>
      <c r="S840" s="722"/>
      <c r="T840" s="722"/>
      <c r="U840" s="722"/>
      <c r="V840" s="722"/>
      <c r="W840" s="722"/>
      <c r="X840" s="722"/>
      <c r="Y840" s="723"/>
    </row>
    <row r="841" spans="3:25" ht="18" customHeight="1" x14ac:dyDescent="0.2">
      <c r="C841" s="721"/>
      <c r="D841" s="722"/>
      <c r="E841" s="722"/>
      <c r="F841" s="722"/>
      <c r="G841" s="722"/>
      <c r="H841" s="722"/>
      <c r="I841" s="722"/>
      <c r="J841" s="722"/>
      <c r="K841" s="722"/>
      <c r="L841" s="722"/>
      <c r="M841" s="722"/>
      <c r="N841" s="722"/>
      <c r="O841" s="722"/>
      <c r="P841" s="722"/>
      <c r="Q841" s="722"/>
      <c r="R841" s="722"/>
      <c r="S841" s="722"/>
      <c r="T841" s="722"/>
      <c r="U841" s="722"/>
      <c r="V841" s="722"/>
      <c r="W841" s="722"/>
      <c r="X841" s="722"/>
      <c r="Y841" s="723"/>
    </row>
    <row r="842" spans="3:25" ht="18" customHeight="1" x14ac:dyDescent="0.2">
      <c r="C842" s="721"/>
      <c r="D842" s="722"/>
      <c r="E842" s="722"/>
      <c r="F842" s="722"/>
      <c r="G842" s="722"/>
      <c r="H842" s="722"/>
      <c r="I842" s="722"/>
      <c r="J842" s="722"/>
      <c r="K842" s="722"/>
      <c r="L842" s="722"/>
      <c r="M842" s="722"/>
      <c r="N842" s="722"/>
      <c r="O842" s="722"/>
      <c r="P842" s="722"/>
      <c r="Q842" s="722"/>
      <c r="R842" s="722"/>
      <c r="S842" s="722"/>
      <c r="T842" s="722"/>
      <c r="U842" s="722"/>
      <c r="V842" s="722"/>
      <c r="W842" s="722"/>
      <c r="X842" s="722"/>
      <c r="Y842" s="723"/>
    </row>
    <row r="843" spans="3:25" ht="18" customHeight="1" x14ac:dyDescent="0.2">
      <c r="C843" s="721"/>
      <c r="D843" s="722"/>
      <c r="E843" s="722"/>
      <c r="F843" s="722"/>
      <c r="G843" s="722"/>
      <c r="H843" s="722"/>
      <c r="I843" s="722"/>
      <c r="J843" s="722"/>
      <c r="K843" s="722"/>
      <c r="L843" s="722"/>
      <c r="M843" s="722"/>
      <c r="N843" s="722"/>
      <c r="O843" s="722"/>
      <c r="P843" s="722"/>
      <c r="Q843" s="722"/>
      <c r="R843" s="722"/>
      <c r="S843" s="722"/>
      <c r="T843" s="722"/>
      <c r="U843" s="722"/>
      <c r="V843" s="722"/>
      <c r="W843" s="722"/>
      <c r="X843" s="722"/>
      <c r="Y843" s="723"/>
    </row>
    <row r="844" spans="3:25" ht="18" customHeight="1" x14ac:dyDescent="0.2">
      <c r="C844" s="721"/>
      <c r="D844" s="722"/>
      <c r="E844" s="722"/>
      <c r="F844" s="722"/>
      <c r="G844" s="722"/>
      <c r="H844" s="722"/>
      <c r="I844" s="722"/>
      <c r="J844" s="722"/>
      <c r="K844" s="722"/>
      <c r="L844" s="722"/>
      <c r="M844" s="722"/>
      <c r="N844" s="722"/>
      <c r="O844" s="722"/>
      <c r="P844" s="722"/>
      <c r="Q844" s="722"/>
      <c r="R844" s="722"/>
      <c r="S844" s="722"/>
      <c r="T844" s="722"/>
      <c r="U844" s="722"/>
      <c r="V844" s="722"/>
      <c r="W844" s="722"/>
      <c r="X844" s="722"/>
      <c r="Y844" s="723"/>
    </row>
    <row r="845" spans="3:25" ht="18" customHeight="1" x14ac:dyDescent="0.2">
      <c r="C845" s="721"/>
      <c r="D845" s="722"/>
      <c r="E845" s="722"/>
      <c r="F845" s="722"/>
      <c r="G845" s="722"/>
      <c r="H845" s="722"/>
      <c r="I845" s="722"/>
      <c r="J845" s="722"/>
      <c r="K845" s="722"/>
      <c r="L845" s="722"/>
      <c r="M845" s="722"/>
      <c r="N845" s="722"/>
      <c r="O845" s="722"/>
      <c r="P845" s="722"/>
      <c r="Q845" s="722"/>
      <c r="R845" s="722"/>
      <c r="S845" s="722"/>
      <c r="T845" s="722"/>
      <c r="U845" s="722"/>
      <c r="V845" s="722"/>
      <c r="W845" s="722"/>
      <c r="X845" s="722"/>
      <c r="Y845" s="723"/>
    </row>
    <row r="846" spans="3:25" ht="18" customHeight="1" x14ac:dyDescent="0.2">
      <c r="C846" s="721"/>
      <c r="D846" s="722"/>
      <c r="E846" s="722"/>
      <c r="F846" s="722"/>
      <c r="G846" s="722"/>
      <c r="H846" s="722"/>
      <c r="I846" s="722"/>
      <c r="J846" s="722"/>
      <c r="K846" s="722"/>
      <c r="L846" s="722"/>
      <c r="M846" s="722"/>
      <c r="N846" s="722"/>
      <c r="O846" s="722"/>
      <c r="P846" s="722"/>
      <c r="Q846" s="722"/>
      <c r="R846" s="722"/>
      <c r="S846" s="722"/>
      <c r="T846" s="722"/>
      <c r="U846" s="722"/>
      <c r="V846" s="722"/>
      <c r="W846" s="722"/>
      <c r="X846" s="722"/>
      <c r="Y846" s="723"/>
    </row>
    <row r="847" spans="3:25" ht="18" customHeight="1" x14ac:dyDescent="0.2">
      <c r="C847" s="721"/>
      <c r="D847" s="722"/>
      <c r="E847" s="722"/>
      <c r="F847" s="722"/>
      <c r="G847" s="722"/>
      <c r="H847" s="722"/>
      <c r="I847" s="722"/>
      <c r="J847" s="722"/>
      <c r="K847" s="722"/>
      <c r="L847" s="722"/>
      <c r="M847" s="722"/>
      <c r="N847" s="722"/>
      <c r="O847" s="722"/>
      <c r="P847" s="722"/>
      <c r="Q847" s="722"/>
      <c r="R847" s="722"/>
      <c r="S847" s="722"/>
      <c r="T847" s="722"/>
      <c r="U847" s="722"/>
      <c r="V847" s="722"/>
      <c r="W847" s="722"/>
      <c r="X847" s="722"/>
      <c r="Y847" s="723"/>
    </row>
    <row r="848" spans="3:25" ht="18" customHeight="1" x14ac:dyDescent="0.2">
      <c r="C848" s="721"/>
      <c r="D848" s="722"/>
      <c r="E848" s="722"/>
      <c r="F848" s="722"/>
      <c r="G848" s="722"/>
      <c r="H848" s="722"/>
      <c r="I848" s="722"/>
      <c r="J848" s="722"/>
      <c r="K848" s="722"/>
      <c r="L848" s="722"/>
      <c r="M848" s="722"/>
      <c r="N848" s="722"/>
      <c r="O848" s="722"/>
      <c r="P848" s="722"/>
      <c r="Q848" s="722"/>
      <c r="R848" s="722"/>
      <c r="S848" s="722"/>
      <c r="T848" s="722"/>
      <c r="U848" s="722"/>
      <c r="V848" s="722"/>
      <c r="W848" s="722"/>
      <c r="X848" s="722"/>
      <c r="Y848" s="723"/>
    </row>
    <row r="849" spans="3:25" ht="18" customHeight="1" x14ac:dyDescent="0.2">
      <c r="C849" s="721"/>
      <c r="D849" s="722"/>
      <c r="E849" s="722"/>
      <c r="F849" s="722"/>
      <c r="G849" s="722"/>
      <c r="H849" s="722"/>
      <c r="I849" s="722"/>
      <c r="J849" s="722"/>
      <c r="K849" s="722"/>
      <c r="L849" s="722"/>
      <c r="M849" s="722"/>
      <c r="N849" s="722"/>
      <c r="O849" s="722"/>
      <c r="P849" s="722"/>
      <c r="Q849" s="722"/>
      <c r="R849" s="722"/>
      <c r="S849" s="722"/>
      <c r="T849" s="722"/>
      <c r="U849" s="722"/>
      <c r="V849" s="722"/>
      <c r="W849" s="722"/>
      <c r="X849" s="722"/>
      <c r="Y849" s="723"/>
    </row>
    <row r="850" spans="3:25" ht="18" customHeight="1" x14ac:dyDescent="0.2">
      <c r="C850" s="721"/>
      <c r="D850" s="722"/>
      <c r="E850" s="722"/>
      <c r="F850" s="722"/>
      <c r="G850" s="722"/>
      <c r="H850" s="722"/>
      <c r="I850" s="722"/>
      <c r="J850" s="722"/>
      <c r="K850" s="722"/>
      <c r="L850" s="722"/>
      <c r="M850" s="722"/>
      <c r="N850" s="722"/>
      <c r="O850" s="722"/>
      <c r="P850" s="722"/>
      <c r="Q850" s="722"/>
      <c r="R850" s="722"/>
      <c r="S850" s="722"/>
      <c r="T850" s="722"/>
      <c r="U850" s="722"/>
      <c r="V850" s="722"/>
      <c r="W850" s="722"/>
      <c r="X850" s="722"/>
      <c r="Y850" s="723"/>
    </row>
    <row r="851" spans="3:25" ht="18" customHeight="1" x14ac:dyDescent="0.2">
      <c r="C851" s="721"/>
      <c r="D851" s="722"/>
      <c r="E851" s="722"/>
      <c r="F851" s="722"/>
      <c r="G851" s="722"/>
      <c r="H851" s="722"/>
      <c r="I851" s="722"/>
      <c r="J851" s="722"/>
      <c r="K851" s="722"/>
      <c r="L851" s="722"/>
      <c r="M851" s="722"/>
      <c r="N851" s="722"/>
      <c r="O851" s="722"/>
      <c r="P851" s="722"/>
      <c r="Q851" s="722"/>
      <c r="R851" s="722"/>
      <c r="S851" s="722"/>
      <c r="T851" s="722"/>
      <c r="U851" s="722"/>
      <c r="V851" s="722"/>
      <c r="W851" s="722"/>
      <c r="X851" s="722"/>
      <c r="Y851" s="723"/>
    </row>
    <row r="852" spans="3:25" ht="18" customHeight="1" x14ac:dyDescent="0.2">
      <c r="C852" s="721"/>
      <c r="D852" s="722"/>
      <c r="E852" s="722"/>
      <c r="F852" s="722"/>
      <c r="G852" s="722"/>
      <c r="H852" s="722"/>
      <c r="I852" s="722"/>
      <c r="J852" s="722"/>
      <c r="K852" s="722"/>
      <c r="L852" s="722"/>
      <c r="M852" s="722"/>
      <c r="N852" s="722"/>
      <c r="O852" s="722"/>
      <c r="P852" s="722"/>
      <c r="Q852" s="722"/>
      <c r="R852" s="722"/>
      <c r="S852" s="722"/>
      <c r="T852" s="722"/>
      <c r="U852" s="722"/>
      <c r="V852" s="722"/>
      <c r="W852" s="722"/>
      <c r="X852" s="722"/>
      <c r="Y852" s="723"/>
    </row>
    <row r="853" spans="3:25" ht="18" customHeight="1" x14ac:dyDescent="0.2">
      <c r="C853" s="721"/>
      <c r="D853" s="722"/>
      <c r="E853" s="722"/>
      <c r="F853" s="722"/>
      <c r="G853" s="722"/>
      <c r="H853" s="722"/>
      <c r="I853" s="722"/>
      <c r="J853" s="722"/>
      <c r="K853" s="722"/>
      <c r="L853" s="722"/>
      <c r="M853" s="722"/>
      <c r="N853" s="722"/>
      <c r="O853" s="722"/>
      <c r="P853" s="722"/>
      <c r="Q853" s="722"/>
      <c r="R853" s="722"/>
      <c r="S853" s="722"/>
      <c r="T853" s="722"/>
      <c r="U853" s="722"/>
      <c r="V853" s="722"/>
      <c r="W853" s="722"/>
      <c r="X853" s="722"/>
      <c r="Y853" s="723"/>
    </row>
    <row r="854" spans="3:25" ht="18" customHeight="1" x14ac:dyDescent="0.2">
      <c r="C854" s="721"/>
      <c r="D854" s="722"/>
      <c r="E854" s="722"/>
      <c r="F854" s="722"/>
      <c r="G854" s="722"/>
      <c r="H854" s="722"/>
      <c r="I854" s="722"/>
      <c r="J854" s="722"/>
      <c r="K854" s="722"/>
      <c r="L854" s="722"/>
      <c r="M854" s="722"/>
      <c r="N854" s="722"/>
      <c r="O854" s="722"/>
      <c r="P854" s="722"/>
      <c r="Q854" s="722"/>
      <c r="R854" s="722"/>
      <c r="S854" s="722"/>
      <c r="T854" s="722"/>
      <c r="U854" s="722"/>
      <c r="V854" s="722"/>
      <c r="W854" s="722"/>
      <c r="X854" s="722"/>
      <c r="Y854" s="723"/>
    </row>
    <row r="855" spans="3:25" ht="18" customHeight="1" x14ac:dyDescent="0.2">
      <c r="C855" s="721"/>
      <c r="D855" s="722"/>
      <c r="E855" s="722"/>
      <c r="F855" s="722"/>
      <c r="G855" s="722"/>
      <c r="H855" s="722"/>
      <c r="I855" s="722"/>
      <c r="J855" s="722"/>
      <c r="K855" s="722"/>
      <c r="L855" s="722"/>
      <c r="M855" s="722"/>
      <c r="N855" s="722"/>
      <c r="O855" s="722"/>
      <c r="P855" s="722"/>
      <c r="Q855" s="722"/>
      <c r="R855" s="722"/>
      <c r="S855" s="722"/>
      <c r="T855" s="722"/>
      <c r="U855" s="722"/>
      <c r="V855" s="722"/>
      <c r="W855" s="722"/>
      <c r="X855" s="722"/>
      <c r="Y855" s="723"/>
    </row>
    <row r="856" spans="3:25" ht="18" customHeight="1" x14ac:dyDescent="0.2">
      <c r="C856" s="721"/>
      <c r="D856" s="722"/>
      <c r="E856" s="722"/>
      <c r="F856" s="722"/>
      <c r="G856" s="722"/>
      <c r="H856" s="722"/>
      <c r="I856" s="722"/>
      <c r="J856" s="722"/>
      <c r="K856" s="722"/>
      <c r="L856" s="722"/>
      <c r="M856" s="722"/>
      <c r="N856" s="722"/>
      <c r="O856" s="722"/>
      <c r="P856" s="722"/>
      <c r="Q856" s="722"/>
      <c r="R856" s="722"/>
      <c r="S856" s="722"/>
      <c r="T856" s="722"/>
      <c r="U856" s="722"/>
      <c r="V856" s="722"/>
      <c r="W856" s="722"/>
      <c r="X856" s="722"/>
      <c r="Y856" s="723"/>
    </row>
    <row r="857" spans="3:25" ht="18" customHeight="1" x14ac:dyDescent="0.2">
      <c r="C857" s="721"/>
      <c r="D857" s="722"/>
      <c r="E857" s="722"/>
      <c r="F857" s="722"/>
      <c r="G857" s="722"/>
      <c r="H857" s="722"/>
      <c r="I857" s="722"/>
      <c r="J857" s="722"/>
      <c r="K857" s="722"/>
      <c r="L857" s="722"/>
      <c r="M857" s="722"/>
      <c r="N857" s="722"/>
      <c r="O857" s="722"/>
      <c r="P857" s="722"/>
      <c r="Q857" s="722"/>
      <c r="R857" s="722"/>
      <c r="S857" s="722"/>
      <c r="T857" s="722"/>
      <c r="U857" s="722"/>
      <c r="V857" s="722"/>
      <c r="W857" s="722"/>
      <c r="X857" s="722"/>
      <c r="Y857" s="723"/>
    </row>
    <row r="858" spans="3:25" ht="18" customHeight="1" x14ac:dyDescent="0.2">
      <c r="C858" s="721"/>
      <c r="D858" s="722"/>
      <c r="E858" s="722"/>
      <c r="F858" s="722"/>
      <c r="G858" s="722"/>
      <c r="H858" s="722"/>
      <c r="I858" s="722"/>
      <c r="J858" s="722"/>
      <c r="K858" s="722"/>
      <c r="L858" s="722"/>
      <c r="M858" s="722"/>
      <c r="N858" s="722"/>
      <c r="O858" s="722"/>
      <c r="P858" s="722"/>
      <c r="Q858" s="722"/>
      <c r="R858" s="722"/>
      <c r="S858" s="722"/>
      <c r="T858" s="722"/>
      <c r="U858" s="722"/>
      <c r="V858" s="722"/>
      <c r="W858" s="722"/>
      <c r="X858" s="722"/>
      <c r="Y858" s="723"/>
    </row>
    <row r="859" spans="3:25" ht="18" customHeight="1" x14ac:dyDescent="0.2">
      <c r="C859" s="721"/>
      <c r="D859" s="722"/>
      <c r="E859" s="722"/>
      <c r="F859" s="722"/>
      <c r="G859" s="722"/>
      <c r="H859" s="722"/>
      <c r="I859" s="722"/>
      <c r="J859" s="722"/>
      <c r="K859" s="722"/>
      <c r="L859" s="722"/>
      <c r="M859" s="722"/>
      <c r="N859" s="722"/>
      <c r="O859" s="722"/>
      <c r="P859" s="722"/>
      <c r="Q859" s="722"/>
      <c r="R859" s="722"/>
      <c r="S859" s="722"/>
      <c r="T859" s="722"/>
      <c r="U859" s="722"/>
      <c r="V859" s="722"/>
      <c r="W859" s="722"/>
      <c r="X859" s="722"/>
      <c r="Y859" s="723"/>
    </row>
    <row r="860" spans="3:25" ht="18" customHeight="1" x14ac:dyDescent="0.2">
      <c r="C860" s="721"/>
      <c r="D860" s="722"/>
      <c r="E860" s="722"/>
      <c r="F860" s="722"/>
      <c r="G860" s="722"/>
      <c r="H860" s="722"/>
      <c r="I860" s="722"/>
      <c r="J860" s="722"/>
      <c r="K860" s="722"/>
      <c r="L860" s="722"/>
      <c r="M860" s="722"/>
      <c r="N860" s="722"/>
      <c r="O860" s="722"/>
      <c r="P860" s="722"/>
      <c r="Q860" s="722"/>
      <c r="R860" s="722"/>
      <c r="S860" s="722"/>
      <c r="T860" s="722"/>
      <c r="U860" s="722"/>
      <c r="V860" s="722"/>
      <c r="W860" s="722"/>
      <c r="X860" s="722"/>
      <c r="Y860" s="723"/>
    </row>
    <row r="861" spans="3:25" ht="18" customHeight="1" x14ac:dyDescent="0.2">
      <c r="C861" s="721"/>
      <c r="D861" s="722"/>
      <c r="E861" s="722"/>
      <c r="F861" s="722"/>
      <c r="G861" s="722"/>
      <c r="H861" s="722"/>
      <c r="I861" s="722"/>
      <c r="J861" s="722"/>
      <c r="K861" s="722"/>
      <c r="L861" s="722"/>
      <c r="M861" s="722"/>
      <c r="N861" s="722"/>
      <c r="O861" s="722"/>
      <c r="P861" s="722"/>
      <c r="Q861" s="722"/>
      <c r="R861" s="722"/>
      <c r="S861" s="722"/>
      <c r="T861" s="722"/>
      <c r="U861" s="722"/>
      <c r="V861" s="722"/>
      <c r="W861" s="722"/>
      <c r="X861" s="722"/>
      <c r="Y861" s="723"/>
    </row>
    <row r="862" spans="3:25" ht="18" customHeight="1" x14ac:dyDescent="0.2">
      <c r="C862" s="721"/>
      <c r="D862" s="722"/>
      <c r="E862" s="722"/>
      <c r="F862" s="722"/>
      <c r="G862" s="722"/>
      <c r="H862" s="722"/>
      <c r="I862" s="722"/>
      <c r="J862" s="722"/>
      <c r="K862" s="722"/>
      <c r="L862" s="722"/>
      <c r="M862" s="722"/>
      <c r="N862" s="722"/>
      <c r="O862" s="722"/>
      <c r="P862" s="722"/>
      <c r="Q862" s="722"/>
      <c r="R862" s="722"/>
      <c r="S862" s="722"/>
      <c r="T862" s="722"/>
      <c r="U862" s="722"/>
      <c r="V862" s="722"/>
      <c r="W862" s="722"/>
      <c r="X862" s="722"/>
      <c r="Y862" s="723"/>
    </row>
    <row r="863" spans="3:25" ht="18" customHeight="1" x14ac:dyDescent="0.2">
      <c r="C863" s="721"/>
      <c r="D863" s="722"/>
      <c r="E863" s="722"/>
      <c r="F863" s="722"/>
      <c r="G863" s="722"/>
      <c r="H863" s="722"/>
      <c r="I863" s="722"/>
      <c r="J863" s="722"/>
      <c r="K863" s="722"/>
      <c r="L863" s="722"/>
      <c r="M863" s="722"/>
      <c r="N863" s="722"/>
      <c r="O863" s="722"/>
      <c r="P863" s="722"/>
      <c r="Q863" s="722"/>
      <c r="R863" s="722"/>
      <c r="S863" s="722"/>
      <c r="T863" s="722"/>
      <c r="U863" s="722"/>
      <c r="V863" s="722"/>
      <c r="W863" s="722"/>
      <c r="X863" s="722"/>
      <c r="Y863" s="723"/>
    </row>
    <row r="864" spans="3:25" ht="18" customHeight="1" x14ac:dyDescent="0.2">
      <c r="C864" s="721"/>
      <c r="D864" s="722"/>
      <c r="E864" s="722"/>
      <c r="F864" s="722"/>
      <c r="G864" s="722"/>
      <c r="H864" s="722"/>
      <c r="I864" s="722"/>
      <c r="J864" s="722"/>
      <c r="K864" s="722"/>
      <c r="L864" s="722"/>
      <c r="M864" s="722"/>
      <c r="N864" s="722"/>
      <c r="O864" s="722"/>
      <c r="P864" s="722"/>
      <c r="Q864" s="722"/>
      <c r="R864" s="722"/>
      <c r="S864" s="722"/>
      <c r="T864" s="722"/>
      <c r="U864" s="722"/>
      <c r="V864" s="722"/>
      <c r="W864" s="722"/>
      <c r="X864" s="722"/>
      <c r="Y864" s="723"/>
    </row>
    <row r="865" spans="3:25" ht="18" customHeight="1" x14ac:dyDescent="0.2">
      <c r="C865" s="721"/>
      <c r="D865" s="722"/>
      <c r="E865" s="722"/>
      <c r="F865" s="722"/>
      <c r="G865" s="722"/>
      <c r="H865" s="722"/>
      <c r="I865" s="722"/>
      <c r="J865" s="722"/>
      <c r="K865" s="722"/>
      <c r="L865" s="722"/>
      <c r="M865" s="722"/>
      <c r="N865" s="722"/>
      <c r="O865" s="722"/>
      <c r="P865" s="722"/>
      <c r="Q865" s="722"/>
      <c r="R865" s="722"/>
      <c r="S865" s="722"/>
      <c r="T865" s="722"/>
      <c r="U865" s="722"/>
      <c r="V865" s="722"/>
      <c r="W865" s="722"/>
      <c r="X865" s="722"/>
      <c r="Y865" s="723"/>
    </row>
    <row r="866" spans="3:25" ht="18" customHeight="1" x14ac:dyDescent="0.2">
      <c r="C866" s="721"/>
      <c r="D866" s="722"/>
      <c r="E866" s="722"/>
      <c r="F866" s="722"/>
      <c r="G866" s="722"/>
      <c r="H866" s="722"/>
      <c r="I866" s="722"/>
      <c r="J866" s="722"/>
      <c r="K866" s="722"/>
      <c r="L866" s="722"/>
      <c r="M866" s="722"/>
      <c r="N866" s="722"/>
      <c r="O866" s="722"/>
      <c r="P866" s="722"/>
      <c r="Q866" s="722"/>
      <c r="R866" s="722"/>
      <c r="S866" s="722"/>
      <c r="T866" s="722"/>
      <c r="U866" s="722"/>
      <c r="V866" s="722"/>
      <c r="W866" s="722"/>
      <c r="X866" s="722"/>
      <c r="Y866" s="723"/>
    </row>
    <row r="867" spans="3:25" ht="18" customHeight="1" x14ac:dyDescent="0.2">
      <c r="C867" s="721"/>
      <c r="D867" s="722"/>
      <c r="E867" s="722"/>
      <c r="F867" s="722"/>
      <c r="G867" s="722"/>
      <c r="H867" s="722"/>
      <c r="I867" s="722"/>
      <c r="J867" s="722"/>
      <c r="K867" s="722"/>
      <c r="L867" s="722"/>
      <c r="M867" s="722"/>
      <c r="N867" s="722"/>
      <c r="O867" s="722"/>
      <c r="P867" s="722"/>
      <c r="Q867" s="722"/>
      <c r="R867" s="722"/>
      <c r="S867" s="722"/>
      <c r="T867" s="722"/>
      <c r="U867" s="722"/>
      <c r="V867" s="722"/>
      <c r="W867" s="722"/>
      <c r="X867" s="722"/>
      <c r="Y867" s="723"/>
    </row>
    <row r="868" spans="3:25" ht="18" customHeight="1" x14ac:dyDescent="0.2">
      <c r="C868" s="721"/>
      <c r="D868" s="722"/>
      <c r="E868" s="722"/>
      <c r="F868" s="722"/>
      <c r="G868" s="722"/>
      <c r="H868" s="722"/>
      <c r="I868" s="722"/>
      <c r="J868" s="722"/>
      <c r="K868" s="722"/>
      <c r="L868" s="722"/>
      <c r="M868" s="722"/>
      <c r="N868" s="722"/>
      <c r="O868" s="722"/>
      <c r="P868" s="722"/>
      <c r="Q868" s="722"/>
      <c r="R868" s="722"/>
      <c r="S868" s="722"/>
      <c r="T868" s="722"/>
      <c r="U868" s="722"/>
      <c r="V868" s="722"/>
      <c r="W868" s="722"/>
      <c r="X868" s="722"/>
      <c r="Y868" s="723"/>
    </row>
    <row r="869" spans="3:25" ht="18" customHeight="1" x14ac:dyDescent="0.2">
      <c r="C869" s="721"/>
      <c r="D869" s="722"/>
      <c r="E869" s="722"/>
      <c r="F869" s="722"/>
      <c r="G869" s="722"/>
      <c r="H869" s="722"/>
      <c r="I869" s="722"/>
      <c r="J869" s="722"/>
      <c r="K869" s="722"/>
      <c r="L869" s="722"/>
      <c r="M869" s="722"/>
      <c r="N869" s="722"/>
      <c r="O869" s="722"/>
      <c r="P869" s="722"/>
      <c r="Q869" s="722"/>
      <c r="R869" s="722"/>
      <c r="S869" s="722"/>
      <c r="T869" s="722"/>
      <c r="U869" s="722"/>
      <c r="V869" s="722"/>
      <c r="W869" s="722"/>
      <c r="X869" s="722"/>
      <c r="Y869" s="723"/>
    </row>
    <row r="870" spans="3:25" ht="18" customHeight="1" x14ac:dyDescent="0.2">
      <c r="C870" s="721"/>
      <c r="D870" s="722"/>
      <c r="E870" s="722"/>
      <c r="F870" s="722"/>
      <c r="G870" s="722"/>
      <c r="H870" s="722"/>
      <c r="I870" s="722"/>
      <c r="J870" s="722"/>
      <c r="K870" s="722"/>
      <c r="L870" s="722"/>
      <c r="M870" s="722"/>
      <c r="N870" s="722"/>
      <c r="O870" s="722"/>
      <c r="P870" s="722"/>
      <c r="Q870" s="722"/>
      <c r="R870" s="722"/>
      <c r="S870" s="722"/>
      <c r="T870" s="722"/>
      <c r="U870" s="722"/>
      <c r="V870" s="722"/>
      <c r="W870" s="722"/>
      <c r="X870" s="722"/>
      <c r="Y870" s="723"/>
    </row>
    <row r="871" spans="3:25" ht="18" customHeight="1" x14ac:dyDescent="0.2">
      <c r="C871" s="721"/>
      <c r="D871" s="722"/>
      <c r="E871" s="722"/>
      <c r="F871" s="722"/>
      <c r="G871" s="722"/>
      <c r="H871" s="722"/>
      <c r="I871" s="722"/>
      <c r="J871" s="722"/>
      <c r="K871" s="722"/>
      <c r="L871" s="722"/>
      <c r="M871" s="722"/>
      <c r="N871" s="722"/>
      <c r="O871" s="722"/>
      <c r="P871" s="722"/>
      <c r="Q871" s="722"/>
      <c r="R871" s="722"/>
      <c r="S871" s="722"/>
      <c r="T871" s="722"/>
      <c r="U871" s="722"/>
      <c r="V871" s="722"/>
      <c r="W871" s="722"/>
      <c r="X871" s="722"/>
      <c r="Y871" s="723"/>
    </row>
    <row r="872" spans="3:25" ht="18" customHeight="1" x14ac:dyDescent="0.2">
      <c r="C872" s="721"/>
      <c r="D872" s="722"/>
      <c r="E872" s="722"/>
      <c r="F872" s="722"/>
      <c r="G872" s="722"/>
      <c r="H872" s="722"/>
      <c r="I872" s="722"/>
      <c r="J872" s="722"/>
      <c r="K872" s="722"/>
      <c r="L872" s="722"/>
      <c r="M872" s="722"/>
      <c r="N872" s="722"/>
      <c r="O872" s="722"/>
      <c r="P872" s="722"/>
      <c r="Q872" s="722"/>
      <c r="R872" s="722"/>
      <c r="S872" s="722"/>
      <c r="T872" s="722"/>
      <c r="U872" s="722"/>
      <c r="V872" s="722"/>
      <c r="W872" s="722"/>
      <c r="X872" s="722"/>
      <c r="Y872" s="723"/>
    </row>
    <row r="873" spans="3:25" ht="18" customHeight="1" x14ac:dyDescent="0.2">
      <c r="C873" s="721"/>
      <c r="D873" s="722"/>
      <c r="E873" s="722"/>
      <c r="F873" s="722"/>
      <c r="G873" s="722"/>
      <c r="H873" s="722"/>
      <c r="I873" s="722"/>
      <c r="J873" s="722"/>
      <c r="K873" s="722"/>
      <c r="L873" s="722"/>
      <c r="M873" s="722"/>
      <c r="N873" s="722"/>
      <c r="O873" s="722"/>
      <c r="P873" s="722"/>
      <c r="Q873" s="722"/>
      <c r="R873" s="722"/>
      <c r="S873" s="722"/>
      <c r="T873" s="722"/>
      <c r="U873" s="722"/>
      <c r="V873" s="722"/>
      <c r="W873" s="722"/>
      <c r="X873" s="722"/>
      <c r="Y873" s="723"/>
    </row>
    <row r="874" spans="3:25" ht="18" customHeight="1" x14ac:dyDescent="0.2">
      <c r="C874" s="721"/>
      <c r="D874" s="722"/>
      <c r="E874" s="722"/>
      <c r="F874" s="722"/>
      <c r="G874" s="722"/>
      <c r="H874" s="722"/>
      <c r="I874" s="722"/>
      <c r="J874" s="722"/>
      <c r="K874" s="722"/>
      <c r="L874" s="722"/>
      <c r="M874" s="722"/>
      <c r="N874" s="722"/>
      <c r="O874" s="722"/>
      <c r="P874" s="722"/>
      <c r="Q874" s="722"/>
      <c r="R874" s="722"/>
      <c r="S874" s="722"/>
      <c r="T874" s="722"/>
      <c r="U874" s="722"/>
      <c r="V874" s="722"/>
      <c r="W874" s="722"/>
      <c r="X874" s="722"/>
      <c r="Y874" s="723"/>
    </row>
    <row r="875" spans="3:25" ht="18" customHeight="1" x14ac:dyDescent="0.2">
      <c r="C875" s="721"/>
      <c r="D875" s="722"/>
      <c r="E875" s="722"/>
      <c r="F875" s="722"/>
      <c r="G875" s="722"/>
      <c r="H875" s="722"/>
      <c r="I875" s="722"/>
      <c r="J875" s="722"/>
      <c r="K875" s="722"/>
      <c r="L875" s="722"/>
      <c r="M875" s="722"/>
      <c r="N875" s="722"/>
      <c r="O875" s="722"/>
      <c r="P875" s="722"/>
      <c r="Q875" s="722"/>
      <c r="R875" s="722"/>
      <c r="S875" s="722"/>
      <c r="T875" s="722"/>
      <c r="U875" s="722"/>
      <c r="V875" s="722"/>
      <c r="W875" s="722"/>
      <c r="X875" s="722"/>
      <c r="Y875" s="723"/>
    </row>
    <row r="876" spans="3:25" ht="18" customHeight="1" x14ac:dyDescent="0.2">
      <c r="C876" s="721"/>
      <c r="D876" s="722"/>
      <c r="E876" s="722"/>
      <c r="F876" s="722"/>
      <c r="G876" s="722"/>
      <c r="H876" s="722"/>
      <c r="I876" s="722"/>
      <c r="J876" s="722"/>
      <c r="K876" s="722"/>
      <c r="L876" s="722"/>
      <c r="M876" s="722"/>
      <c r="N876" s="722"/>
      <c r="O876" s="722"/>
      <c r="P876" s="722"/>
      <c r="Q876" s="722"/>
      <c r="R876" s="722"/>
      <c r="S876" s="722"/>
      <c r="T876" s="722"/>
      <c r="U876" s="722"/>
      <c r="V876" s="722"/>
      <c r="W876" s="722"/>
      <c r="X876" s="722"/>
      <c r="Y876" s="723"/>
    </row>
    <row r="877" spans="3:25" ht="18" customHeight="1" x14ac:dyDescent="0.2">
      <c r="C877" s="721"/>
      <c r="D877" s="722"/>
      <c r="E877" s="722"/>
      <c r="F877" s="722"/>
      <c r="G877" s="722"/>
      <c r="H877" s="722"/>
      <c r="I877" s="722"/>
      <c r="J877" s="722"/>
      <c r="K877" s="722"/>
      <c r="L877" s="722"/>
      <c r="M877" s="722"/>
      <c r="N877" s="722"/>
      <c r="O877" s="722"/>
      <c r="P877" s="722"/>
      <c r="Q877" s="722"/>
      <c r="R877" s="722"/>
      <c r="S877" s="722"/>
      <c r="T877" s="722"/>
      <c r="U877" s="722"/>
      <c r="V877" s="722"/>
      <c r="W877" s="722"/>
      <c r="X877" s="722"/>
      <c r="Y877" s="723"/>
    </row>
    <row r="878" spans="3:25" ht="18" customHeight="1" x14ac:dyDescent="0.2">
      <c r="C878" s="721"/>
      <c r="D878" s="722"/>
      <c r="E878" s="722"/>
      <c r="F878" s="722"/>
      <c r="G878" s="722"/>
      <c r="H878" s="722"/>
      <c r="I878" s="722"/>
      <c r="J878" s="722"/>
      <c r="K878" s="722"/>
      <c r="L878" s="722"/>
      <c r="M878" s="722"/>
      <c r="N878" s="722"/>
      <c r="O878" s="722"/>
      <c r="P878" s="722"/>
      <c r="Q878" s="722"/>
      <c r="R878" s="722"/>
      <c r="S878" s="722"/>
      <c r="T878" s="722"/>
      <c r="U878" s="722"/>
      <c r="V878" s="722"/>
      <c r="W878" s="722"/>
      <c r="X878" s="722"/>
      <c r="Y878" s="723"/>
    </row>
    <row r="879" spans="3:25" ht="18" customHeight="1" x14ac:dyDescent="0.2">
      <c r="C879" s="721"/>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3"/>
    </row>
    <row r="880" spans="3:25" ht="18" customHeight="1" x14ac:dyDescent="0.2">
      <c r="C880" s="721"/>
      <c r="D880" s="722"/>
      <c r="E880" s="722"/>
      <c r="F880" s="722"/>
      <c r="G880" s="722"/>
      <c r="H880" s="722"/>
      <c r="I880" s="722"/>
      <c r="J880" s="722"/>
      <c r="K880" s="722"/>
      <c r="L880" s="722"/>
      <c r="M880" s="722"/>
      <c r="N880" s="722"/>
      <c r="O880" s="722"/>
      <c r="P880" s="722"/>
      <c r="Q880" s="722"/>
      <c r="R880" s="722"/>
      <c r="S880" s="722"/>
      <c r="T880" s="722"/>
      <c r="U880" s="722"/>
      <c r="V880" s="722"/>
      <c r="W880" s="722"/>
      <c r="X880" s="722"/>
      <c r="Y880" s="723"/>
    </row>
    <row r="881" spans="3:25" ht="18" customHeight="1" x14ac:dyDescent="0.2">
      <c r="C881" s="721"/>
      <c r="D881" s="722"/>
      <c r="E881" s="722"/>
      <c r="F881" s="722"/>
      <c r="G881" s="722"/>
      <c r="H881" s="722"/>
      <c r="I881" s="722"/>
      <c r="J881" s="722"/>
      <c r="K881" s="722"/>
      <c r="L881" s="722"/>
      <c r="M881" s="722"/>
      <c r="N881" s="722"/>
      <c r="O881" s="722"/>
      <c r="P881" s="722"/>
      <c r="Q881" s="722"/>
      <c r="R881" s="722"/>
      <c r="S881" s="722"/>
      <c r="T881" s="722"/>
      <c r="U881" s="722"/>
      <c r="V881" s="722"/>
      <c r="W881" s="722"/>
      <c r="X881" s="722"/>
      <c r="Y881" s="723"/>
    </row>
    <row r="882" spans="3:25" ht="18" customHeight="1" x14ac:dyDescent="0.2">
      <c r="C882" s="721"/>
      <c r="D882" s="722"/>
      <c r="E882" s="722"/>
      <c r="F882" s="722"/>
      <c r="G882" s="722"/>
      <c r="H882" s="722"/>
      <c r="I882" s="722"/>
      <c r="J882" s="722"/>
      <c r="K882" s="722"/>
      <c r="L882" s="722"/>
      <c r="M882" s="722"/>
      <c r="N882" s="722"/>
      <c r="O882" s="722"/>
      <c r="P882" s="722"/>
      <c r="Q882" s="722"/>
      <c r="R882" s="722"/>
      <c r="S882" s="722"/>
      <c r="T882" s="722"/>
      <c r="U882" s="722"/>
      <c r="V882" s="722"/>
      <c r="W882" s="722"/>
      <c r="X882" s="722"/>
      <c r="Y882" s="723"/>
    </row>
    <row r="883" spans="3:25" ht="18" customHeight="1" x14ac:dyDescent="0.2">
      <c r="C883" s="721"/>
      <c r="D883" s="722"/>
      <c r="E883" s="722"/>
      <c r="F883" s="722"/>
      <c r="G883" s="722"/>
      <c r="H883" s="722"/>
      <c r="I883" s="722"/>
      <c r="J883" s="722"/>
      <c r="K883" s="722"/>
      <c r="L883" s="722"/>
      <c r="M883" s="722"/>
      <c r="N883" s="722"/>
      <c r="O883" s="722"/>
      <c r="P883" s="722"/>
      <c r="Q883" s="722"/>
      <c r="R883" s="722"/>
      <c r="S883" s="722"/>
      <c r="T883" s="722"/>
      <c r="U883" s="722"/>
      <c r="V883" s="722"/>
      <c r="W883" s="722"/>
      <c r="X883" s="722"/>
      <c r="Y883" s="723"/>
    </row>
    <row r="884" spans="3:25" ht="18" customHeight="1" x14ac:dyDescent="0.2">
      <c r="C884" s="721"/>
      <c r="D884" s="722"/>
      <c r="E884" s="722"/>
      <c r="F884" s="722"/>
      <c r="G884" s="722"/>
      <c r="H884" s="722"/>
      <c r="I884" s="722"/>
      <c r="J884" s="722"/>
      <c r="K884" s="722"/>
      <c r="L884" s="722"/>
      <c r="M884" s="722"/>
      <c r="N884" s="722"/>
      <c r="O884" s="722"/>
      <c r="P884" s="722"/>
      <c r="Q884" s="722"/>
      <c r="R884" s="722"/>
      <c r="S884" s="722"/>
      <c r="T884" s="722"/>
      <c r="U884" s="722"/>
      <c r="V884" s="722"/>
      <c r="W884" s="722"/>
      <c r="X884" s="722"/>
      <c r="Y884" s="723"/>
    </row>
    <row r="885" spans="3:25" ht="18" customHeight="1" x14ac:dyDescent="0.2">
      <c r="C885" s="721"/>
      <c r="D885" s="722"/>
      <c r="E885" s="722"/>
      <c r="F885" s="722"/>
      <c r="G885" s="722"/>
      <c r="H885" s="722"/>
      <c r="I885" s="722"/>
      <c r="J885" s="722"/>
      <c r="K885" s="722"/>
      <c r="L885" s="722"/>
      <c r="M885" s="722"/>
      <c r="N885" s="722"/>
      <c r="O885" s="722"/>
      <c r="P885" s="722"/>
      <c r="Q885" s="722"/>
      <c r="R885" s="722"/>
      <c r="S885" s="722"/>
      <c r="T885" s="722"/>
      <c r="U885" s="722"/>
      <c r="V885" s="722"/>
      <c r="W885" s="722"/>
      <c r="X885" s="722"/>
      <c r="Y885" s="723"/>
    </row>
    <row r="886" spans="3:25" ht="18" customHeight="1" x14ac:dyDescent="0.2">
      <c r="C886" s="721"/>
      <c r="D886" s="722"/>
      <c r="E886" s="722"/>
      <c r="F886" s="722"/>
      <c r="G886" s="722"/>
      <c r="H886" s="722"/>
      <c r="I886" s="722"/>
      <c r="J886" s="722"/>
      <c r="K886" s="722"/>
      <c r="L886" s="722"/>
      <c r="M886" s="722"/>
      <c r="N886" s="722"/>
      <c r="O886" s="722"/>
      <c r="P886" s="722"/>
      <c r="Q886" s="722"/>
      <c r="R886" s="722"/>
      <c r="S886" s="722"/>
      <c r="T886" s="722"/>
      <c r="U886" s="722"/>
      <c r="V886" s="722"/>
      <c r="W886" s="722"/>
      <c r="X886" s="722"/>
      <c r="Y886" s="723"/>
    </row>
    <row r="887" spans="3:25" ht="18" customHeight="1" x14ac:dyDescent="0.2">
      <c r="C887" s="721"/>
      <c r="D887" s="722"/>
      <c r="E887" s="722"/>
      <c r="F887" s="722"/>
      <c r="G887" s="722"/>
      <c r="H887" s="722"/>
      <c r="I887" s="722"/>
      <c r="J887" s="722"/>
      <c r="K887" s="722"/>
      <c r="L887" s="722"/>
      <c r="M887" s="722"/>
      <c r="N887" s="722"/>
      <c r="O887" s="722"/>
      <c r="P887" s="722"/>
      <c r="Q887" s="722"/>
      <c r="R887" s="722"/>
      <c r="S887" s="722"/>
      <c r="T887" s="722"/>
      <c r="U887" s="722"/>
      <c r="V887" s="722"/>
      <c r="W887" s="722"/>
      <c r="X887" s="722"/>
      <c r="Y887" s="723"/>
    </row>
    <row r="888" spans="3:25" ht="18" customHeight="1" x14ac:dyDescent="0.2">
      <c r="C888" s="721"/>
      <c r="D888" s="722"/>
      <c r="E888" s="722"/>
      <c r="F888" s="722"/>
      <c r="G888" s="722"/>
      <c r="H888" s="722"/>
      <c r="I888" s="722"/>
      <c r="J888" s="722"/>
      <c r="K888" s="722"/>
      <c r="L888" s="722"/>
      <c r="M888" s="722"/>
      <c r="N888" s="722"/>
      <c r="O888" s="722"/>
      <c r="P888" s="722"/>
      <c r="Q888" s="722"/>
      <c r="R888" s="722"/>
      <c r="S888" s="722"/>
      <c r="T888" s="722"/>
      <c r="U888" s="722"/>
      <c r="V888" s="722"/>
      <c r="W888" s="722"/>
      <c r="X888" s="722"/>
      <c r="Y888" s="723"/>
    </row>
    <row r="889" spans="3:25" ht="18" customHeight="1" x14ac:dyDescent="0.2">
      <c r="C889" s="721"/>
      <c r="D889" s="722"/>
      <c r="E889" s="722"/>
      <c r="F889" s="722"/>
      <c r="G889" s="722"/>
      <c r="H889" s="722"/>
      <c r="I889" s="722"/>
      <c r="J889" s="722"/>
      <c r="K889" s="722"/>
      <c r="L889" s="722"/>
      <c r="M889" s="722"/>
      <c r="N889" s="722"/>
      <c r="O889" s="722"/>
      <c r="P889" s="722"/>
      <c r="Q889" s="722"/>
      <c r="R889" s="722"/>
      <c r="S889" s="722"/>
      <c r="T889" s="722"/>
      <c r="U889" s="722"/>
      <c r="V889" s="722"/>
      <c r="W889" s="722"/>
      <c r="X889" s="722"/>
      <c r="Y889" s="723"/>
    </row>
    <row r="890" spans="3:25" ht="18" customHeight="1" x14ac:dyDescent="0.2">
      <c r="C890" s="721"/>
      <c r="D890" s="722"/>
      <c r="E890" s="722"/>
      <c r="F890" s="722"/>
      <c r="G890" s="722"/>
      <c r="H890" s="722"/>
      <c r="I890" s="722"/>
      <c r="J890" s="722"/>
      <c r="K890" s="722"/>
      <c r="L890" s="722"/>
      <c r="M890" s="722"/>
      <c r="N890" s="722"/>
      <c r="O890" s="722"/>
      <c r="P890" s="722"/>
      <c r="Q890" s="722"/>
      <c r="R890" s="722"/>
      <c r="S890" s="722"/>
      <c r="T890" s="722"/>
      <c r="U890" s="722"/>
      <c r="V890" s="722"/>
      <c r="W890" s="722"/>
      <c r="X890" s="722"/>
      <c r="Y890" s="723"/>
    </row>
    <row r="891" spans="3:25" ht="18" customHeight="1" x14ac:dyDescent="0.2">
      <c r="C891" s="721"/>
      <c r="D891" s="722"/>
      <c r="E891" s="722"/>
      <c r="F891" s="722"/>
      <c r="G891" s="722"/>
      <c r="H891" s="722"/>
      <c r="I891" s="722"/>
      <c r="J891" s="722"/>
      <c r="K891" s="722"/>
      <c r="L891" s="722"/>
      <c r="M891" s="722"/>
      <c r="N891" s="722"/>
      <c r="O891" s="722"/>
      <c r="P891" s="722"/>
      <c r="Q891" s="722"/>
      <c r="R891" s="722"/>
      <c r="S891" s="722"/>
      <c r="T891" s="722"/>
      <c r="U891" s="722"/>
      <c r="V891" s="722"/>
      <c r="W891" s="722"/>
      <c r="X891" s="722"/>
      <c r="Y891" s="723"/>
    </row>
    <row r="892" spans="3:25" ht="18" customHeight="1" x14ac:dyDescent="0.2">
      <c r="C892" s="721"/>
      <c r="D892" s="722"/>
      <c r="E892" s="722"/>
      <c r="F892" s="722"/>
      <c r="G892" s="722"/>
      <c r="H892" s="722"/>
      <c r="I892" s="722"/>
      <c r="J892" s="722"/>
      <c r="K892" s="722"/>
      <c r="L892" s="722"/>
      <c r="M892" s="722"/>
      <c r="N892" s="722"/>
      <c r="O892" s="722"/>
      <c r="P892" s="722"/>
      <c r="Q892" s="722"/>
      <c r="R892" s="722"/>
      <c r="S892" s="722"/>
      <c r="T892" s="722"/>
      <c r="U892" s="722"/>
      <c r="V892" s="722"/>
      <c r="W892" s="722"/>
      <c r="X892" s="722"/>
      <c r="Y892" s="723"/>
    </row>
    <row r="893" spans="3:25" ht="18" customHeight="1" x14ac:dyDescent="0.2">
      <c r="C893" s="721"/>
      <c r="D893" s="722"/>
      <c r="E893" s="722"/>
      <c r="F893" s="722"/>
      <c r="G893" s="722"/>
      <c r="H893" s="722"/>
      <c r="I893" s="722"/>
      <c r="J893" s="722"/>
      <c r="K893" s="722"/>
      <c r="L893" s="722"/>
      <c r="M893" s="722"/>
      <c r="N893" s="722"/>
      <c r="O893" s="722"/>
      <c r="P893" s="722"/>
      <c r="Q893" s="722"/>
      <c r="R893" s="722"/>
      <c r="S893" s="722"/>
      <c r="T893" s="722"/>
      <c r="U893" s="722"/>
      <c r="V893" s="722"/>
      <c r="W893" s="722"/>
      <c r="X893" s="722"/>
      <c r="Y893" s="723"/>
    </row>
    <row r="894" spans="3:25" ht="18" customHeight="1" x14ac:dyDescent="0.2">
      <c r="C894" s="721"/>
      <c r="D894" s="722"/>
      <c r="E894" s="722"/>
      <c r="F894" s="722"/>
      <c r="G894" s="722"/>
      <c r="H894" s="722"/>
      <c r="I894" s="722"/>
      <c r="J894" s="722"/>
      <c r="K894" s="722"/>
      <c r="L894" s="722"/>
      <c r="M894" s="722"/>
      <c r="N894" s="722"/>
      <c r="O894" s="722"/>
      <c r="P894" s="722"/>
      <c r="Q894" s="722"/>
      <c r="R894" s="722"/>
      <c r="S894" s="722"/>
      <c r="T894" s="722"/>
      <c r="U894" s="722"/>
      <c r="V894" s="722"/>
      <c r="W894" s="722"/>
      <c r="X894" s="722"/>
      <c r="Y894" s="723"/>
    </row>
    <row r="895" spans="3:25" ht="18" customHeight="1" x14ac:dyDescent="0.2">
      <c r="C895" s="721"/>
      <c r="D895" s="722"/>
      <c r="E895" s="722"/>
      <c r="F895" s="722"/>
      <c r="G895" s="722"/>
      <c r="H895" s="722"/>
      <c r="I895" s="722"/>
      <c r="J895" s="722"/>
      <c r="K895" s="722"/>
      <c r="L895" s="722"/>
      <c r="M895" s="722"/>
      <c r="N895" s="722"/>
      <c r="O895" s="722"/>
      <c r="P895" s="722"/>
      <c r="Q895" s="722"/>
      <c r="R895" s="722"/>
      <c r="S895" s="722"/>
      <c r="T895" s="722"/>
      <c r="U895" s="722"/>
      <c r="V895" s="722"/>
      <c r="W895" s="722"/>
      <c r="X895" s="722"/>
      <c r="Y895" s="723"/>
    </row>
    <row r="896" spans="3:25" ht="18" customHeight="1" x14ac:dyDescent="0.2">
      <c r="C896" s="721"/>
      <c r="D896" s="722"/>
      <c r="E896" s="722"/>
      <c r="F896" s="722"/>
      <c r="G896" s="722"/>
      <c r="H896" s="722"/>
      <c r="I896" s="722"/>
      <c r="J896" s="722"/>
      <c r="K896" s="722"/>
      <c r="L896" s="722"/>
      <c r="M896" s="722"/>
      <c r="N896" s="722"/>
      <c r="O896" s="722"/>
      <c r="P896" s="722"/>
      <c r="Q896" s="722"/>
      <c r="R896" s="722"/>
      <c r="S896" s="722"/>
      <c r="T896" s="722"/>
      <c r="U896" s="722"/>
      <c r="V896" s="722"/>
      <c r="W896" s="722"/>
      <c r="X896" s="722"/>
      <c r="Y896" s="723"/>
    </row>
    <row r="897" spans="3:25" ht="18" customHeight="1" x14ac:dyDescent="0.2">
      <c r="C897" s="721"/>
      <c r="D897" s="722"/>
      <c r="E897" s="722"/>
      <c r="F897" s="722"/>
      <c r="G897" s="722"/>
      <c r="H897" s="722"/>
      <c r="I897" s="722"/>
      <c r="J897" s="722"/>
      <c r="K897" s="722"/>
      <c r="L897" s="722"/>
      <c r="M897" s="722"/>
      <c r="N897" s="722"/>
      <c r="O897" s="722"/>
      <c r="P897" s="722"/>
      <c r="Q897" s="722"/>
      <c r="R897" s="722"/>
      <c r="S897" s="722"/>
      <c r="T897" s="722"/>
      <c r="U897" s="722"/>
      <c r="V897" s="722"/>
      <c r="W897" s="722"/>
      <c r="X897" s="722"/>
      <c r="Y897" s="723"/>
    </row>
    <row r="898" spans="3:25" ht="18" customHeight="1" x14ac:dyDescent="0.2">
      <c r="C898" s="721"/>
      <c r="D898" s="722"/>
      <c r="E898" s="722"/>
      <c r="F898" s="722"/>
      <c r="G898" s="722"/>
      <c r="H898" s="722"/>
      <c r="I898" s="722"/>
      <c r="J898" s="722"/>
      <c r="K898" s="722"/>
      <c r="L898" s="722"/>
      <c r="M898" s="722"/>
      <c r="N898" s="722"/>
      <c r="O898" s="722"/>
      <c r="P898" s="722"/>
      <c r="Q898" s="722"/>
      <c r="R898" s="722"/>
      <c r="S898" s="722"/>
      <c r="T898" s="722"/>
      <c r="U898" s="722"/>
      <c r="V898" s="722"/>
      <c r="W898" s="722"/>
      <c r="X898" s="722"/>
      <c r="Y898" s="723"/>
    </row>
    <row r="899" spans="3:25" ht="18" customHeight="1" x14ac:dyDescent="0.2">
      <c r="C899" s="721"/>
      <c r="D899" s="722"/>
      <c r="E899" s="722"/>
      <c r="F899" s="722"/>
      <c r="G899" s="722"/>
      <c r="H899" s="722"/>
      <c r="I899" s="722"/>
      <c r="J899" s="722"/>
      <c r="K899" s="722"/>
      <c r="L899" s="722"/>
      <c r="M899" s="722"/>
      <c r="N899" s="722"/>
      <c r="O899" s="722"/>
      <c r="P899" s="722"/>
      <c r="Q899" s="722"/>
      <c r="R899" s="722"/>
      <c r="S899" s="722"/>
      <c r="T899" s="722"/>
      <c r="U899" s="722"/>
      <c r="V899" s="722"/>
      <c r="W899" s="722"/>
      <c r="X899" s="722"/>
      <c r="Y899" s="723"/>
    </row>
    <row r="900" spans="3:25" ht="18" customHeight="1" x14ac:dyDescent="0.2">
      <c r="C900" s="724"/>
      <c r="D900" s="725"/>
      <c r="E900" s="725"/>
      <c r="F900" s="725"/>
      <c r="G900" s="725"/>
      <c r="H900" s="725"/>
      <c r="I900" s="725"/>
      <c r="J900" s="725"/>
      <c r="K900" s="725"/>
      <c r="L900" s="725"/>
      <c r="M900" s="725"/>
      <c r="N900" s="725"/>
      <c r="O900" s="725"/>
      <c r="P900" s="725"/>
      <c r="Q900" s="725"/>
      <c r="R900" s="725"/>
      <c r="S900" s="725"/>
      <c r="T900" s="725"/>
      <c r="U900" s="725"/>
      <c r="V900" s="725"/>
      <c r="W900" s="725"/>
      <c r="X900" s="725"/>
      <c r="Y900" s="726"/>
    </row>
  </sheetData>
  <mergeCells count="624">
    <mergeCell ref="C821:S822"/>
    <mergeCell ref="T822:W822"/>
    <mergeCell ref="X822:Y822"/>
    <mergeCell ref="D825:Y825"/>
    <mergeCell ref="C827:Y828"/>
    <mergeCell ref="C829:Y900"/>
    <mergeCell ref="T812:W812"/>
    <mergeCell ref="X812:Y812"/>
    <mergeCell ref="C815:Y815"/>
    <mergeCell ref="T816:W816"/>
    <mergeCell ref="X816:Y816"/>
    <mergeCell ref="C819:Y820"/>
    <mergeCell ref="D803:Y803"/>
    <mergeCell ref="C805:Y805"/>
    <mergeCell ref="T806:W806"/>
    <mergeCell ref="X806:Y806"/>
    <mergeCell ref="D809:Y809"/>
    <mergeCell ref="C811:Y811"/>
    <mergeCell ref="D790:Y790"/>
    <mergeCell ref="C792:Y793"/>
    <mergeCell ref="C795:Y796"/>
    <mergeCell ref="J797:K797"/>
    <mergeCell ref="T797:W797"/>
    <mergeCell ref="D800:Y800"/>
    <mergeCell ref="E779:F779"/>
    <mergeCell ref="Z779:AB779"/>
    <mergeCell ref="E780:F780"/>
    <mergeCell ref="Z780:AB780"/>
    <mergeCell ref="A782:AB783"/>
    <mergeCell ref="C787:W787"/>
    <mergeCell ref="E776:F776"/>
    <mergeCell ref="Z776:AB776"/>
    <mergeCell ref="E777:F777"/>
    <mergeCell ref="Z777:AB777"/>
    <mergeCell ref="E778:F778"/>
    <mergeCell ref="Z778:AB778"/>
    <mergeCell ref="E773:F773"/>
    <mergeCell ref="Z773:AB773"/>
    <mergeCell ref="E774:F774"/>
    <mergeCell ref="Z774:AB774"/>
    <mergeCell ref="E775:F775"/>
    <mergeCell ref="Z775:AB775"/>
    <mergeCell ref="E770:F770"/>
    <mergeCell ref="Z770:AB770"/>
    <mergeCell ref="E771:F771"/>
    <mergeCell ref="Z771:AB771"/>
    <mergeCell ref="E772:F772"/>
    <mergeCell ref="Z772:AB772"/>
    <mergeCell ref="E767:F767"/>
    <mergeCell ref="Z767:AB767"/>
    <mergeCell ref="E768:F768"/>
    <mergeCell ref="Z768:AB768"/>
    <mergeCell ref="E769:F769"/>
    <mergeCell ref="Z769:AB769"/>
    <mergeCell ref="E764:F764"/>
    <mergeCell ref="Z764:AB764"/>
    <mergeCell ref="E765:F765"/>
    <mergeCell ref="Z765:AB765"/>
    <mergeCell ref="E766:F766"/>
    <mergeCell ref="Z766:AB766"/>
    <mergeCell ref="E761:F761"/>
    <mergeCell ref="Z761:AB761"/>
    <mergeCell ref="E762:F762"/>
    <mergeCell ref="Z762:AB762"/>
    <mergeCell ref="E763:F763"/>
    <mergeCell ref="Z763:AB763"/>
    <mergeCell ref="E758:F758"/>
    <mergeCell ref="Z758:AB758"/>
    <mergeCell ref="E759:F759"/>
    <mergeCell ref="Z759:AB759"/>
    <mergeCell ref="E760:F760"/>
    <mergeCell ref="Z760:AB760"/>
    <mergeCell ref="D755:AB755"/>
    <mergeCell ref="A756:AB756"/>
    <mergeCell ref="E757:F757"/>
    <mergeCell ref="Z757:AB757"/>
    <mergeCell ref="J747:J754"/>
    <mergeCell ref="K747:K754"/>
    <mergeCell ref="N747:S747"/>
    <mergeCell ref="T747:Y747"/>
    <mergeCell ref="N748:S748"/>
    <mergeCell ref="T748:Y748"/>
    <mergeCell ref="N749:S749"/>
    <mergeCell ref="T749:Y749"/>
    <mergeCell ref="N750:S750"/>
    <mergeCell ref="T750:Y753"/>
    <mergeCell ref="M745:M754"/>
    <mergeCell ref="N745:Y745"/>
    <mergeCell ref="Z745:Z754"/>
    <mergeCell ref="AA745:AA754"/>
    <mergeCell ref="AB745:AB754"/>
    <mergeCell ref="H746:K746"/>
    <mergeCell ref="N746:S746"/>
    <mergeCell ref="T746:Y746"/>
    <mergeCell ref="H747:H754"/>
    <mergeCell ref="I747:I754"/>
    <mergeCell ref="D742:Y742"/>
    <mergeCell ref="C744:Y744"/>
    <mergeCell ref="A745:A754"/>
    <mergeCell ref="B745:B754"/>
    <mergeCell ref="C745:C754"/>
    <mergeCell ref="D745:D754"/>
    <mergeCell ref="E745:F754"/>
    <mergeCell ref="G745:G754"/>
    <mergeCell ref="H745:K745"/>
    <mergeCell ref="L745:L754"/>
    <mergeCell ref="N751:S751"/>
    <mergeCell ref="N752:S752"/>
    <mergeCell ref="N753:S753"/>
    <mergeCell ref="C736:S737"/>
    <mergeCell ref="T736:W737"/>
    <mergeCell ref="X736:Y737"/>
    <mergeCell ref="C738:S739"/>
    <mergeCell ref="T738:W739"/>
    <mergeCell ref="X738:Y739"/>
    <mergeCell ref="C732:S733"/>
    <mergeCell ref="T732:W733"/>
    <mergeCell ref="X732:Y733"/>
    <mergeCell ref="C734:S735"/>
    <mergeCell ref="T734:W735"/>
    <mergeCell ref="X734:Y735"/>
    <mergeCell ref="C725:Y725"/>
    <mergeCell ref="T726:W726"/>
    <mergeCell ref="X726:Y726"/>
    <mergeCell ref="C729:Y730"/>
    <mergeCell ref="C731:S731"/>
    <mergeCell ref="T731:Y731"/>
    <mergeCell ref="J717:K717"/>
    <mergeCell ref="T717:W717"/>
    <mergeCell ref="J718:K718"/>
    <mergeCell ref="C721:Y721"/>
    <mergeCell ref="J722:K722"/>
    <mergeCell ref="T722:W722"/>
    <mergeCell ref="J711:K711"/>
    <mergeCell ref="T711:W711"/>
    <mergeCell ref="C714:Y714"/>
    <mergeCell ref="J715:K715"/>
    <mergeCell ref="T715:W715"/>
    <mergeCell ref="J716:K716"/>
    <mergeCell ref="T716:W716"/>
    <mergeCell ref="C702:Y702"/>
    <mergeCell ref="J703:K703"/>
    <mergeCell ref="T703:W703"/>
    <mergeCell ref="D706:Y706"/>
    <mergeCell ref="C708:Y708"/>
    <mergeCell ref="C710:Y710"/>
    <mergeCell ref="C694:Y694"/>
    <mergeCell ref="J695:K695"/>
    <mergeCell ref="T695:W695"/>
    <mergeCell ref="C698:Y698"/>
    <mergeCell ref="T699:W699"/>
    <mergeCell ref="X699:Y699"/>
    <mergeCell ref="C685:Y685"/>
    <mergeCell ref="J686:K686"/>
    <mergeCell ref="T686:W686"/>
    <mergeCell ref="C689:Y690"/>
    <mergeCell ref="T691:W691"/>
    <mergeCell ref="X691:Y691"/>
    <mergeCell ref="C674:Y674"/>
    <mergeCell ref="C676:Y676"/>
    <mergeCell ref="J677:K677"/>
    <mergeCell ref="T677:W677"/>
    <mergeCell ref="C680:Y681"/>
    <mergeCell ref="J682:K682"/>
    <mergeCell ref="T682:W682"/>
    <mergeCell ref="J669:K669"/>
    <mergeCell ref="N669:P669"/>
    <mergeCell ref="Q669:R669"/>
    <mergeCell ref="T669:W669"/>
    <mergeCell ref="X669:Y669"/>
    <mergeCell ref="J670:K670"/>
    <mergeCell ref="N670:P670"/>
    <mergeCell ref="Q670:R670"/>
    <mergeCell ref="T670:W670"/>
    <mergeCell ref="X670:Y670"/>
    <mergeCell ref="C665:Y666"/>
    <mergeCell ref="J667:L667"/>
    <mergeCell ref="N667:R668"/>
    <mergeCell ref="T667:Y667"/>
    <mergeCell ref="J668:L668"/>
    <mergeCell ref="T668:Y668"/>
    <mergeCell ref="D658:Y658"/>
    <mergeCell ref="C660:Y660"/>
    <mergeCell ref="J661:K661"/>
    <mergeCell ref="T661:W661"/>
    <mergeCell ref="J662:K662"/>
    <mergeCell ref="T662:W662"/>
    <mergeCell ref="C653:Y653"/>
    <mergeCell ref="C654:S654"/>
    <mergeCell ref="T654:W654"/>
    <mergeCell ref="X654:Y654"/>
    <mergeCell ref="C655:S655"/>
    <mergeCell ref="T655:W655"/>
    <mergeCell ref="X655:Y655"/>
    <mergeCell ref="C650:Y650"/>
    <mergeCell ref="D651:S651"/>
    <mergeCell ref="T651:W651"/>
    <mergeCell ref="X651:Y651"/>
    <mergeCell ref="D652:S652"/>
    <mergeCell ref="T652:W652"/>
    <mergeCell ref="X652:Y652"/>
    <mergeCell ref="D648:S648"/>
    <mergeCell ref="T648:W648"/>
    <mergeCell ref="X648:Y648"/>
    <mergeCell ref="D649:S649"/>
    <mergeCell ref="T649:W649"/>
    <mergeCell ref="X649:Y649"/>
    <mergeCell ref="C641:S641"/>
    <mergeCell ref="T641:W641"/>
    <mergeCell ref="X641:Y641"/>
    <mergeCell ref="C644:Y645"/>
    <mergeCell ref="C646:S646"/>
    <mergeCell ref="C647:Y647"/>
    <mergeCell ref="C638:S638"/>
    <mergeCell ref="D639:S639"/>
    <mergeCell ref="T639:W639"/>
    <mergeCell ref="X639:Y639"/>
    <mergeCell ref="D640:S640"/>
    <mergeCell ref="T640:W640"/>
    <mergeCell ref="X640:Y640"/>
    <mergeCell ref="C631:S631"/>
    <mergeCell ref="T631:W631"/>
    <mergeCell ref="X631:Y631"/>
    <mergeCell ref="C634:Y635"/>
    <mergeCell ref="C636:S636"/>
    <mergeCell ref="C637:S637"/>
    <mergeCell ref="T637:W637"/>
    <mergeCell ref="X637:Y637"/>
    <mergeCell ref="C629:S629"/>
    <mergeCell ref="T629:W629"/>
    <mergeCell ref="X629:Y629"/>
    <mergeCell ref="C630:S630"/>
    <mergeCell ref="T630:W630"/>
    <mergeCell ref="X630:Y630"/>
    <mergeCell ref="D627:S627"/>
    <mergeCell ref="T627:W627"/>
    <mergeCell ref="X627:Y627"/>
    <mergeCell ref="D628:S628"/>
    <mergeCell ref="T628:W628"/>
    <mergeCell ref="X628:Y628"/>
    <mergeCell ref="D624:S624"/>
    <mergeCell ref="T624:W624"/>
    <mergeCell ref="X624:Y624"/>
    <mergeCell ref="C625:Y625"/>
    <mergeCell ref="D626:S626"/>
    <mergeCell ref="T626:W626"/>
    <mergeCell ref="X626:Y626"/>
    <mergeCell ref="C621:Y621"/>
    <mergeCell ref="D622:S622"/>
    <mergeCell ref="T622:W622"/>
    <mergeCell ref="X622:Y622"/>
    <mergeCell ref="D623:S623"/>
    <mergeCell ref="T623:W623"/>
    <mergeCell ref="X623:Y623"/>
    <mergeCell ref="D615:Y615"/>
    <mergeCell ref="C617:Y617"/>
    <mergeCell ref="C618:S618"/>
    <mergeCell ref="C619:S620"/>
    <mergeCell ref="T619:W620"/>
    <mergeCell ref="X619:Y620"/>
    <mergeCell ref="F611:H611"/>
    <mergeCell ref="I611:K611"/>
    <mergeCell ref="L611:N611"/>
    <mergeCell ref="O611:T611"/>
    <mergeCell ref="F612:H612"/>
    <mergeCell ref="I612:K612"/>
    <mergeCell ref="L612:N612"/>
    <mergeCell ref="O612:T612"/>
    <mergeCell ref="F609:H609"/>
    <mergeCell ref="I609:K609"/>
    <mergeCell ref="L609:N609"/>
    <mergeCell ref="O609:T609"/>
    <mergeCell ref="F610:H610"/>
    <mergeCell ref="I610:K610"/>
    <mergeCell ref="L610:N610"/>
    <mergeCell ref="O610:T610"/>
    <mergeCell ref="G599:S600"/>
    <mergeCell ref="T600:W600"/>
    <mergeCell ref="X600:Y600"/>
    <mergeCell ref="D603:Y603"/>
    <mergeCell ref="J605:K605"/>
    <mergeCell ref="F608:H608"/>
    <mergeCell ref="I608:K608"/>
    <mergeCell ref="L608:N608"/>
    <mergeCell ref="O608:T608"/>
    <mergeCell ref="C586:Y587"/>
    <mergeCell ref="C588:Y589"/>
    <mergeCell ref="C592:Y593"/>
    <mergeCell ref="J594:K594"/>
    <mergeCell ref="T594:W594"/>
    <mergeCell ref="C597:Y598"/>
    <mergeCell ref="C568:Y569"/>
    <mergeCell ref="D572:Y572"/>
    <mergeCell ref="C574:Y575"/>
    <mergeCell ref="C576:Y577"/>
    <mergeCell ref="C580:Y581"/>
    <mergeCell ref="C582:Y583"/>
    <mergeCell ref="C559:Y560"/>
    <mergeCell ref="C561:Y561"/>
    <mergeCell ref="C562:Y563"/>
    <mergeCell ref="C564:Y564"/>
    <mergeCell ref="C565:Y566"/>
    <mergeCell ref="C567:Y567"/>
    <mergeCell ref="C545:Y545"/>
    <mergeCell ref="C546:Y547"/>
    <mergeCell ref="C550:Y551"/>
    <mergeCell ref="C552:Y553"/>
    <mergeCell ref="C556:Y557"/>
    <mergeCell ref="C558:Y558"/>
    <mergeCell ref="C536:Y536"/>
    <mergeCell ref="C537:Y538"/>
    <mergeCell ref="C539:Y539"/>
    <mergeCell ref="C540:Y541"/>
    <mergeCell ref="C542:Y542"/>
    <mergeCell ref="C543:Y544"/>
    <mergeCell ref="C525:Y525"/>
    <mergeCell ref="C526:Y526"/>
    <mergeCell ref="D529:Y529"/>
    <mergeCell ref="C531:Y532"/>
    <mergeCell ref="C533:Y533"/>
    <mergeCell ref="C534:Y535"/>
    <mergeCell ref="C513:Y513"/>
    <mergeCell ref="C514:Y514"/>
    <mergeCell ref="D517:Y517"/>
    <mergeCell ref="C518:Y519"/>
    <mergeCell ref="C521:Y521"/>
    <mergeCell ref="J522:K522"/>
    <mergeCell ref="T522:W522"/>
    <mergeCell ref="T504:W504"/>
    <mergeCell ref="X504:Y504"/>
    <mergeCell ref="C507:Y507"/>
    <mergeCell ref="J508:K508"/>
    <mergeCell ref="T508:W508"/>
    <mergeCell ref="D511:Y511"/>
    <mergeCell ref="C495:Y495"/>
    <mergeCell ref="C497:Y497"/>
    <mergeCell ref="T498:W498"/>
    <mergeCell ref="X498:Y498"/>
    <mergeCell ref="C501:Y502"/>
    <mergeCell ref="T503:W503"/>
    <mergeCell ref="X503:Y503"/>
    <mergeCell ref="C484:Y485"/>
    <mergeCell ref="C486:Y487"/>
    <mergeCell ref="C490:Y490"/>
    <mergeCell ref="T491:W491"/>
    <mergeCell ref="X491:Y491"/>
    <mergeCell ref="D494:Y494"/>
    <mergeCell ref="C479:E479"/>
    <mergeCell ref="F479:S479"/>
    <mergeCell ref="T479:W479"/>
    <mergeCell ref="X479:Y479"/>
    <mergeCell ref="C480:S480"/>
    <mergeCell ref="T480:W480"/>
    <mergeCell ref="X480:Y480"/>
    <mergeCell ref="C477:E477"/>
    <mergeCell ref="F477:S477"/>
    <mergeCell ref="T477:W477"/>
    <mergeCell ref="X477:Y477"/>
    <mergeCell ref="C478:E478"/>
    <mergeCell ref="F478:S478"/>
    <mergeCell ref="T478:W478"/>
    <mergeCell ref="X478:Y478"/>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59:Y460"/>
    <mergeCell ref="C462:E462"/>
    <mergeCell ref="F462:S462"/>
    <mergeCell ref="T462:Y462"/>
    <mergeCell ref="C463:Y463"/>
    <mergeCell ref="C464:E464"/>
    <mergeCell ref="F464:S464"/>
    <mergeCell ref="T464:W464"/>
    <mergeCell ref="X464:Y464"/>
    <mergeCell ref="B461:AA461"/>
    <mergeCell ref="D452:Y452"/>
    <mergeCell ref="C453:Y454"/>
    <mergeCell ref="J456:K456"/>
    <mergeCell ref="T456:W456"/>
    <mergeCell ref="J457:K457"/>
    <mergeCell ref="T457:W457"/>
    <mergeCell ref="C443:Y443"/>
    <mergeCell ref="J444:K444"/>
    <mergeCell ref="T444:W444"/>
    <mergeCell ref="C447:Y448"/>
    <mergeCell ref="J449:K449"/>
    <mergeCell ref="T449:W449"/>
    <mergeCell ref="B455:AA455"/>
    <mergeCell ref="J429:K429"/>
    <mergeCell ref="T429:W429"/>
    <mergeCell ref="C432:Y434"/>
    <mergeCell ref="C435:Y436"/>
    <mergeCell ref="C439:Y439"/>
    <mergeCell ref="J440:K440"/>
    <mergeCell ref="T440:W440"/>
    <mergeCell ref="C416:Y418"/>
    <mergeCell ref="C419:Y420"/>
    <mergeCell ref="C423:Y423"/>
    <mergeCell ref="T424:W424"/>
    <mergeCell ref="X424:Y424"/>
    <mergeCell ref="C427:Y428"/>
    <mergeCell ref="C407:Y407"/>
    <mergeCell ref="T408:W408"/>
    <mergeCell ref="X408:Y408"/>
    <mergeCell ref="C411:Y412"/>
    <mergeCell ref="J413:K413"/>
    <mergeCell ref="T413:W413"/>
    <mergeCell ref="T398:W398"/>
    <mergeCell ref="X398:Y398"/>
    <mergeCell ref="T399:W399"/>
    <mergeCell ref="X399:Y399"/>
    <mergeCell ref="C402:Y403"/>
    <mergeCell ref="J404:K404"/>
    <mergeCell ref="T404:W404"/>
    <mergeCell ref="C390:Y392"/>
    <mergeCell ref="T393:W393"/>
    <mergeCell ref="X393:Y393"/>
    <mergeCell ref="T394:W394"/>
    <mergeCell ref="X394:Y394"/>
    <mergeCell ref="C397:Y397"/>
    <mergeCell ref="C380:Y381"/>
    <mergeCell ref="T382:W382"/>
    <mergeCell ref="X382:Y382"/>
    <mergeCell ref="C385:Y386"/>
    <mergeCell ref="T387:W387"/>
    <mergeCell ref="X387:Y387"/>
    <mergeCell ref="D371:S371"/>
    <mergeCell ref="T371:W371"/>
    <mergeCell ref="X371:Y371"/>
    <mergeCell ref="C375:Y375"/>
    <mergeCell ref="C376:G377"/>
    <mergeCell ref="J376:K376"/>
    <mergeCell ref="T376:W376"/>
    <mergeCell ref="J377:K377"/>
    <mergeCell ref="E369:S369"/>
    <mergeCell ref="T369:W369"/>
    <mergeCell ref="X369:Y369"/>
    <mergeCell ref="E370:S370"/>
    <mergeCell ref="T370:W370"/>
    <mergeCell ref="X370:Y370"/>
    <mergeCell ref="E367:S367"/>
    <mergeCell ref="T367:W367"/>
    <mergeCell ref="X367:Y367"/>
    <mergeCell ref="E368:S368"/>
    <mergeCell ref="T368:W368"/>
    <mergeCell ref="X368:Y368"/>
    <mergeCell ref="E365:S365"/>
    <mergeCell ref="T365:W365"/>
    <mergeCell ref="X365:Y365"/>
    <mergeCell ref="E366:S366"/>
    <mergeCell ref="T366:W366"/>
    <mergeCell ref="X366:Y366"/>
    <mergeCell ref="E363:S363"/>
    <mergeCell ref="T363:W363"/>
    <mergeCell ref="X363:Y363"/>
    <mergeCell ref="E364:S364"/>
    <mergeCell ref="T364:W364"/>
    <mergeCell ref="X364:Y364"/>
    <mergeCell ref="E361:S361"/>
    <mergeCell ref="T361:W361"/>
    <mergeCell ref="X361:Y361"/>
    <mergeCell ref="E362:S362"/>
    <mergeCell ref="T362:W362"/>
    <mergeCell ref="X362:Y362"/>
    <mergeCell ref="G352:H352"/>
    <mergeCell ref="C355:Y355"/>
    <mergeCell ref="T356:W356"/>
    <mergeCell ref="X356:Y356"/>
    <mergeCell ref="C359:Y359"/>
    <mergeCell ref="C360:S360"/>
    <mergeCell ref="T360:Y360"/>
    <mergeCell ref="T296:W296"/>
    <mergeCell ref="X296:Y296"/>
    <mergeCell ref="D300:Y300"/>
    <mergeCell ref="C302:Y302"/>
    <mergeCell ref="C303:Y304"/>
    <mergeCell ref="C305:Y351"/>
    <mergeCell ref="C242:Y287"/>
    <mergeCell ref="G288:H288"/>
    <mergeCell ref="C291:Y291"/>
    <mergeCell ref="T292:W292"/>
    <mergeCell ref="X292:Y292"/>
    <mergeCell ref="C295:Y295"/>
    <mergeCell ref="C233:Y233"/>
    <mergeCell ref="T234:W234"/>
    <mergeCell ref="X234:Y234"/>
    <mergeCell ref="D237:Y237"/>
    <mergeCell ref="C239:Y239"/>
    <mergeCell ref="C240:Y241"/>
    <mergeCell ref="C225:Y225"/>
    <mergeCell ref="J226:K226"/>
    <mergeCell ref="T226:W226"/>
    <mergeCell ref="C229:Y229"/>
    <mergeCell ref="T230:W230"/>
    <mergeCell ref="X230:Y230"/>
    <mergeCell ref="C216:Y216"/>
    <mergeCell ref="T217:W217"/>
    <mergeCell ref="C220:Y220"/>
    <mergeCell ref="T221:W221"/>
    <mergeCell ref="X221:Y221"/>
    <mergeCell ref="T222:W222"/>
    <mergeCell ref="X222:Y222"/>
    <mergeCell ref="J197:K197"/>
    <mergeCell ref="C198:Y200"/>
    <mergeCell ref="C203:Y204"/>
    <mergeCell ref="C205:Y207"/>
    <mergeCell ref="C210:Y210"/>
    <mergeCell ref="T213:W213"/>
    <mergeCell ref="X213:Y213"/>
    <mergeCell ref="C194:G196"/>
    <mergeCell ref="J194:K194"/>
    <mergeCell ref="T194:W194"/>
    <mergeCell ref="J195:K195"/>
    <mergeCell ref="T195:W195"/>
    <mergeCell ref="J196:K196"/>
    <mergeCell ref="G197:I197"/>
    <mergeCell ref="B211:Z212"/>
    <mergeCell ref="T139:W139"/>
    <mergeCell ref="X139:Y139"/>
    <mergeCell ref="C142:Y142"/>
    <mergeCell ref="C143:Y144"/>
    <mergeCell ref="C145:Y190"/>
    <mergeCell ref="C193:Y193"/>
    <mergeCell ref="C126:Y127"/>
    <mergeCell ref="C128:Y128"/>
    <mergeCell ref="C131:Y131"/>
    <mergeCell ref="T132:W132"/>
    <mergeCell ref="D135:Y135"/>
    <mergeCell ref="C137:Y138"/>
    <mergeCell ref="C120:Y120"/>
    <mergeCell ref="J121:K121"/>
    <mergeCell ref="T121:W121"/>
    <mergeCell ref="J122:K122"/>
    <mergeCell ref="T122:W122"/>
    <mergeCell ref="J123:K123"/>
    <mergeCell ref="C110:Y110"/>
    <mergeCell ref="T111:W111"/>
    <mergeCell ref="T112:W112"/>
    <mergeCell ref="T113:W113"/>
    <mergeCell ref="C116:Y116"/>
    <mergeCell ref="G117:Y117"/>
    <mergeCell ref="C53:Y53"/>
    <mergeCell ref="C54:Y102"/>
    <mergeCell ref="G103:H103"/>
    <mergeCell ref="T107:W107"/>
    <mergeCell ref="X107:Y107"/>
    <mergeCell ref="C34:Y34"/>
    <mergeCell ref="C35:Y38"/>
    <mergeCell ref="D41:Y41"/>
    <mergeCell ref="C44:Y44"/>
    <mergeCell ref="C47:Y47"/>
    <mergeCell ref="C50:Y50"/>
    <mergeCell ref="C105:Y105"/>
    <mergeCell ref="B106:AA106"/>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B1:Z3"/>
    <mergeCell ref="B4:Z14"/>
    <mergeCell ref="C17:Y20"/>
    <mergeCell ref="D23:Y23"/>
    <mergeCell ref="K26:L26"/>
    <mergeCell ref="F28:H28"/>
    <mergeCell ref="I28:K28"/>
    <mergeCell ref="L28:N28"/>
    <mergeCell ref="O28:T28"/>
  </mergeCells>
  <conditionalFormatting sqref="B198">
    <cfRule type="expression" dxfId="2"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60" fitToHeight="0" pageOrder="overThenDown" orientation="portrait" r:id="rId1"/>
  <headerFooter>
    <oddHeader>&amp;C&amp;A</oddHeader>
    <oddFooter>&amp;CPage &amp;P</oddFooter>
  </headerFooter>
  <rowBreaks count="18" manualBreakCount="18">
    <brk id="52" max="28" man="1"/>
    <brk id="104" max="27" man="1"/>
    <brk id="141" max="28" man="1"/>
    <brk id="192" max="27" man="1"/>
    <brk id="236" max="28" man="1"/>
    <brk id="299" max="27" man="1"/>
    <brk id="358" max="27" man="1"/>
    <brk id="374" max="27" man="1"/>
    <brk id="431" max="27" man="1"/>
    <brk id="493" max="27" man="1"/>
    <brk id="528" max="27" man="1"/>
    <brk id="602" max="27" man="1"/>
    <brk id="657" max="27" man="1"/>
    <brk id="705" max="27" man="1"/>
    <brk id="741" max="16383" man="1"/>
    <brk id="785" max="27" man="1"/>
    <brk id="799" max="27" man="1"/>
    <brk id="824" max="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00"/>
    <pageSetUpPr fitToPage="1"/>
  </sheetPr>
  <dimension ref="A1:AB900"/>
  <sheetViews>
    <sheetView showGridLines="0" showRowColHeaders="0" view="pageBreakPreview" zoomScale="70" zoomScaleNormal="100" zoomScaleSheetLayoutView="70" workbookViewId="0">
      <selection activeCell="B1" sqref="B1:Z3"/>
    </sheetView>
  </sheetViews>
  <sheetFormatPr baseColWidth="10" defaultColWidth="11" defaultRowHeight="18" customHeight="1" x14ac:dyDescent="0.2"/>
  <cols>
    <col min="1" max="4" width="7.5" style="339" customWidth="1"/>
    <col min="5" max="5" width="6.75" style="339" customWidth="1"/>
    <col min="6" max="6" width="7" style="339" customWidth="1"/>
    <col min="7" max="13" width="7.5" style="339" customWidth="1"/>
    <col min="14" max="15" width="4.25" style="339" customWidth="1"/>
    <col min="16" max="16" width="4.5" style="338" customWidth="1"/>
    <col min="17" max="25" width="4.25" style="339" customWidth="1"/>
    <col min="26" max="26" width="4.5" style="339" customWidth="1"/>
    <col min="27" max="28" width="4.375" style="339" customWidth="1"/>
    <col min="29" max="16384" width="11" style="339"/>
  </cols>
  <sheetData>
    <row r="1" spans="1:28" ht="18" customHeight="1" x14ac:dyDescent="0.2">
      <c r="A1" s="333"/>
      <c r="B1" s="707" t="s">
        <v>386</v>
      </c>
      <c r="C1" s="707"/>
      <c r="D1" s="707"/>
      <c r="E1" s="707"/>
      <c r="F1" s="707"/>
      <c r="G1" s="707"/>
      <c r="H1" s="707"/>
      <c r="I1" s="707"/>
      <c r="J1" s="707"/>
      <c r="K1" s="707"/>
      <c r="L1" s="707"/>
      <c r="M1" s="707"/>
      <c r="N1" s="707"/>
      <c r="O1" s="707"/>
      <c r="P1" s="707"/>
      <c r="Q1" s="707"/>
      <c r="R1" s="707"/>
      <c r="S1" s="707"/>
      <c r="T1" s="707"/>
      <c r="U1" s="707"/>
      <c r="V1" s="707"/>
      <c r="W1" s="707"/>
      <c r="X1" s="707"/>
      <c r="Y1" s="707"/>
      <c r="Z1" s="707"/>
      <c r="AA1" s="334"/>
      <c r="AB1" s="334"/>
    </row>
    <row r="2" spans="1:28" ht="18" customHeight="1" x14ac:dyDescent="0.2">
      <c r="A2" s="333"/>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334"/>
      <c r="AB2" s="334"/>
    </row>
    <row r="3" spans="1:28" ht="18" customHeight="1" x14ac:dyDescent="0.2">
      <c r="A3" s="333"/>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334"/>
      <c r="AB3" s="334"/>
    </row>
    <row r="4" spans="1:28" ht="18" customHeight="1" x14ac:dyDescent="0.2">
      <c r="A4" s="333"/>
      <c r="B4" s="706" t="s">
        <v>502</v>
      </c>
      <c r="C4" s="706"/>
      <c r="D4" s="706"/>
      <c r="E4" s="706"/>
      <c r="F4" s="706"/>
      <c r="G4" s="706"/>
      <c r="H4" s="706"/>
      <c r="I4" s="706"/>
      <c r="J4" s="706"/>
      <c r="K4" s="706"/>
      <c r="L4" s="706"/>
      <c r="M4" s="706"/>
      <c r="N4" s="706"/>
      <c r="O4" s="706"/>
      <c r="P4" s="706"/>
      <c r="Q4" s="706"/>
      <c r="R4" s="706"/>
      <c r="S4" s="706"/>
      <c r="T4" s="706"/>
      <c r="U4" s="706"/>
      <c r="V4" s="706"/>
      <c r="W4" s="706"/>
      <c r="X4" s="706"/>
      <c r="Y4" s="706"/>
      <c r="Z4" s="706"/>
      <c r="AA4" s="335"/>
      <c r="AB4" s="335"/>
    </row>
    <row r="5" spans="1:28" ht="18" customHeight="1" x14ac:dyDescent="0.2">
      <c r="A5" s="333"/>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335"/>
      <c r="AB5" s="335"/>
    </row>
    <row r="6" spans="1:28" ht="18" customHeight="1" x14ac:dyDescent="0.2">
      <c r="A6" s="333"/>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335"/>
      <c r="AB6" s="335"/>
    </row>
    <row r="7" spans="1:28" ht="18" customHeight="1" x14ac:dyDescent="0.2">
      <c r="A7" s="333"/>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335"/>
      <c r="AB7" s="335"/>
    </row>
    <row r="8" spans="1:28" ht="18" customHeight="1" x14ac:dyDescent="0.2">
      <c r="A8" s="333"/>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335"/>
      <c r="AB8" s="335"/>
    </row>
    <row r="9" spans="1:28" ht="18" customHeight="1" x14ac:dyDescent="0.2">
      <c r="A9" s="333"/>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335"/>
      <c r="AB9" s="335"/>
    </row>
    <row r="10" spans="1:28" ht="18" customHeight="1" x14ac:dyDescent="0.2">
      <c r="A10" s="333"/>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335"/>
      <c r="AB10" s="335"/>
    </row>
    <row r="11" spans="1:28" ht="18" customHeight="1" x14ac:dyDescent="0.2">
      <c r="A11" s="333"/>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335"/>
      <c r="AB11" s="335"/>
    </row>
    <row r="12" spans="1:28" ht="18" customHeight="1" x14ac:dyDescent="0.2">
      <c r="A12" s="333"/>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335"/>
      <c r="AB12" s="335"/>
    </row>
    <row r="13" spans="1:28" ht="18" customHeight="1" x14ac:dyDescent="0.2">
      <c r="A13" s="333"/>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335"/>
      <c r="AB13" s="335"/>
    </row>
    <row r="14" spans="1:28" ht="18" customHeight="1" x14ac:dyDescent="0.2">
      <c r="A14" s="333"/>
      <c r="B14" s="706"/>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335"/>
      <c r="AB14" s="335"/>
    </row>
    <row r="15" spans="1:28" ht="18" customHeight="1" x14ac:dyDescent="0.2">
      <c r="A15" s="333"/>
      <c r="B15" s="336" t="s">
        <v>1527</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2">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2">
      <c r="A17" s="333"/>
      <c r="B17" s="333"/>
      <c r="C17" s="708" t="s">
        <v>548</v>
      </c>
      <c r="D17" s="709"/>
      <c r="E17" s="709"/>
      <c r="F17" s="709"/>
      <c r="G17" s="709"/>
      <c r="H17" s="709"/>
      <c r="I17" s="709"/>
      <c r="J17" s="709"/>
      <c r="K17" s="709"/>
      <c r="L17" s="709"/>
      <c r="M17" s="709"/>
      <c r="N17" s="709"/>
      <c r="O17" s="709"/>
      <c r="P17" s="709"/>
      <c r="Q17" s="709"/>
      <c r="R17" s="709"/>
      <c r="S17" s="709"/>
      <c r="T17" s="709"/>
      <c r="U17" s="709"/>
      <c r="V17" s="709"/>
      <c r="W17" s="709"/>
      <c r="X17" s="709"/>
      <c r="Y17" s="710"/>
      <c r="Z17" s="333"/>
      <c r="AA17" s="333"/>
      <c r="AB17" s="333"/>
    </row>
    <row r="18" spans="1:28" ht="18" customHeight="1" x14ac:dyDescent="0.2">
      <c r="A18" s="333"/>
      <c r="B18" s="333"/>
      <c r="C18" s="711"/>
      <c r="D18" s="712"/>
      <c r="E18" s="712"/>
      <c r="F18" s="712"/>
      <c r="G18" s="712"/>
      <c r="H18" s="712"/>
      <c r="I18" s="712"/>
      <c r="J18" s="712"/>
      <c r="K18" s="712"/>
      <c r="L18" s="712"/>
      <c r="M18" s="712"/>
      <c r="N18" s="712"/>
      <c r="O18" s="712"/>
      <c r="P18" s="712"/>
      <c r="Q18" s="712"/>
      <c r="R18" s="712"/>
      <c r="S18" s="712"/>
      <c r="T18" s="712"/>
      <c r="U18" s="712"/>
      <c r="V18" s="712"/>
      <c r="W18" s="712"/>
      <c r="X18" s="712"/>
      <c r="Y18" s="713"/>
      <c r="Z18" s="333"/>
      <c r="AA18" s="333"/>
      <c r="AB18" s="333"/>
    </row>
    <row r="19" spans="1:28" ht="18" customHeight="1" x14ac:dyDescent="0.2">
      <c r="A19" s="333"/>
      <c r="B19" s="333"/>
      <c r="C19" s="711"/>
      <c r="D19" s="712"/>
      <c r="E19" s="712"/>
      <c r="F19" s="712"/>
      <c r="G19" s="712"/>
      <c r="H19" s="712"/>
      <c r="I19" s="712"/>
      <c r="J19" s="712"/>
      <c r="K19" s="712"/>
      <c r="L19" s="712"/>
      <c r="M19" s="712"/>
      <c r="N19" s="712"/>
      <c r="O19" s="712"/>
      <c r="P19" s="712"/>
      <c r="Q19" s="712"/>
      <c r="R19" s="712"/>
      <c r="S19" s="712"/>
      <c r="T19" s="712"/>
      <c r="U19" s="712"/>
      <c r="V19" s="712"/>
      <c r="W19" s="712"/>
      <c r="X19" s="712"/>
      <c r="Y19" s="713"/>
      <c r="Z19" s="333"/>
      <c r="AA19" s="333"/>
      <c r="AB19" s="333"/>
    </row>
    <row r="20" spans="1:28" ht="18" customHeight="1" x14ac:dyDescent="0.2">
      <c r="A20" s="333"/>
      <c r="B20" s="333"/>
      <c r="C20" s="714"/>
      <c r="D20" s="715"/>
      <c r="E20" s="715"/>
      <c r="F20" s="715"/>
      <c r="G20" s="715"/>
      <c r="H20" s="715"/>
      <c r="I20" s="715"/>
      <c r="J20" s="715"/>
      <c r="K20" s="715"/>
      <c r="L20" s="715"/>
      <c r="M20" s="715"/>
      <c r="N20" s="715"/>
      <c r="O20" s="715"/>
      <c r="P20" s="715"/>
      <c r="Q20" s="715"/>
      <c r="R20" s="715"/>
      <c r="S20" s="715"/>
      <c r="T20" s="715"/>
      <c r="U20" s="715"/>
      <c r="V20" s="715"/>
      <c r="W20" s="715"/>
      <c r="X20" s="715"/>
      <c r="Y20" s="716"/>
      <c r="Z20" s="333"/>
      <c r="AA20" s="333"/>
      <c r="AB20" s="333"/>
    </row>
    <row r="21" spans="1:28" ht="18" customHeight="1" x14ac:dyDescent="0.2">
      <c r="A21" s="337"/>
      <c r="B21" s="337"/>
      <c r="C21" s="337"/>
      <c r="D21" s="337"/>
      <c r="E21" s="337"/>
      <c r="F21" s="337"/>
      <c r="G21" s="337"/>
      <c r="H21" s="337"/>
      <c r="I21" s="337"/>
      <c r="J21" s="337"/>
      <c r="K21" s="337"/>
      <c r="L21" s="337"/>
      <c r="M21" s="337"/>
      <c r="N21" s="337"/>
      <c r="O21" s="337"/>
    </row>
    <row r="22" spans="1:28" ht="18" customHeight="1" x14ac:dyDescent="0.2">
      <c r="A22" s="337"/>
      <c r="B22" s="337"/>
      <c r="C22" s="337"/>
      <c r="D22" s="337"/>
      <c r="E22" s="337"/>
      <c r="F22" s="337"/>
      <c r="G22" s="337"/>
      <c r="H22" s="337"/>
      <c r="I22" s="337"/>
      <c r="J22" s="337"/>
      <c r="K22" s="337"/>
      <c r="L22" s="337"/>
      <c r="M22" s="337"/>
      <c r="N22" s="337"/>
      <c r="O22" s="337"/>
    </row>
    <row r="23" spans="1:28" s="342" customFormat="1" ht="36" customHeight="1" x14ac:dyDescent="0.2">
      <c r="A23" s="340"/>
      <c r="B23" s="340"/>
      <c r="C23" s="341">
        <v>1</v>
      </c>
      <c r="D23" s="695" t="s">
        <v>381</v>
      </c>
      <c r="E23" s="696"/>
      <c r="F23" s="696"/>
      <c r="G23" s="696"/>
      <c r="H23" s="696"/>
      <c r="I23" s="696"/>
      <c r="J23" s="696"/>
      <c r="K23" s="696"/>
      <c r="L23" s="696"/>
      <c r="M23" s="696"/>
      <c r="N23" s="696"/>
      <c r="O23" s="696"/>
      <c r="P23" s="696"/>
      <c r="Q23" s="696"/>
      <c r="R23" s="696"/>
      <c r="S23" s="696"/>
      <c r="T23" s="696"/>
      <c r="U23" s="696"/>
      <c r="V23" s="696"/>
      <c r="W23" s="696"/>
      <c r="X23" s="696"/>
      <c r="Y23" s="697"/>
    </row>
    <row r="24" spans="1:28" ht="18" customHeight="1" x14ac:dyDescent="0.2">
      <c r="A24" s="337"/>
      <c r="B24" s="337"/>
      <c r="C24" s="337"/>
      <c r="D24" s="337"/>
      <c r="E24" s="337"/>
      <c r="F24" s="337"/>
      <c r="G24" s="337"/>
      <c r="H24" s="337"/>
      <c r="I24" s="337"/>
      <c r="J24" s="337"/>
      <c r="K24" s="337"/>
      <c r="L24" s="337"/>
      <c r="M24" s="337"/>
      <c r="N24" s="337"/>
      <c r="O24" s="337"/>
    </row>
    <row r="25" spans="1:28" ht="18" customHeight="1" x14ac:dyDescent="0.2">
      <c r="A25" s="337"/>
      <c r="B25" s="337"/>
      <c r="C25" s="337"/>
      <c r="D25" s="337"/>
      <c r="E25" s="337"/>
      <c r="F25" s="337"/>
      <c r="G25" s="337"/>
      <c r="H25" s="337"/>
      <c r="I25" s="337"/>
      <c r="J25" s="337"/>
      <c r="K25" s="337"/>
      <c r="L25" s="337"/>
      <c r="M25" s="337"/>
      <c r="N25" s="337"/>
      <c r="O25" s="337"/>
    </row>
    <row r="26" spans="1:28" ht="18" customHeight="1" x14ac:dyDescent="0.2">
      <c r="A26" s="337"/>
      <c r="B26" s="337"/>
      <c r="C26" s="340"/>
      <c r="D26" s="340"/>
      <c r="E26" s="340"/>
      <c r="F26" s="340"/>
      <c r="G26" s="340"/>
      <c r="H26" s="340"/>
      <c r="I26" s="340"/>
      <c r="J26" s="343" t="s">
        <v>266</v>
      </c>
      <c r="K26" s="717"/>
      <c r="L26" s="717"/>
      <c r="M26" s="340"/>
      <c r="N26" s="337"/>
      <c r="O26" s="337"/>
    </row>
    <row r="27" spans="1:28" ht="18" customHeight="1" x14ac:dyDescent="0.2">
      <c r="A27" s="337"/>
      <c r="B27" s="337"/>
      <c r="C27" s="344" t="s">
        <v>230</v>
      </c>
      <c r="D27" s="340"/>
      <c r="E27" s="340"/>
      <c r="F27" s="340"/>
      <c r="G27" s="340"/>
      <c r="H27" s="340"/>
      <c r="I27" s="340"/>
      <c r="J27" s="340"/>
      <c r="K27" s="345"/>
      <c r="L27" s="340"/>
      <c r="M27" s="340"/>
      <c r="N27" s="337"/>
      <c r="O27" s="337"/>
    </row>
    <row r="28" spans="1:28" ht="18" customHeight="1" x14ac:dyDescent="0.2">
      <c r="A28" s="337"/>
      <c r="B28" s="337"/>
      <c r="C28" s="337"/>
      <c r="D28" s="337"/>
      <c r="E28" s="337"/>
      <c r="F28" s="640" t="s">
        <v>0</v>
      </c>
      <c r="G28" s="640"/>
      <c r="H28" s="640"/>
      <c r="I28" s="640" t="s">
        <v>1</v>
      </c>
      <c r="J28" s="640"/>
      <c r="K28" s="640"/>
      <c r="L28" s="640" t="s">
        <v>2</v>
      </c>
      <c r="M28" s="640"/>
      <c r="N28" s="640"/>
      <c r="O28" s="640" t="s">
        <v>3</v>
      </c>
      <c r="P28" s="640"/>
      <c r="Q28" s="640"/>
      <c r="R28" s="640"/>
      <c r="S28" s="640"/>
      <c r="T28" s="640"/>
    </row>
    <row r="29" spans="1:28" ht="18" customHeight="1" x14ac:dyDescent="0.2">
      <c r="A29" s="337"/>
      <c r="B29" s="337"/>
      <c r="C29" s="337"/>
      <c r="D29" s="337"/>
      <c r="E29" s="337"/>
      <c r="F29" s="638"/>
      <c r="G29" s="638"/>
      <c r="H29" s="638"/>
      <c r="I29" s="638"/>
      <c r="J29" s="638"/>
      <c r="K29" s="638"/>
      <c r="L29" s="638"/>
      <c r="M29" s="638"/>
      <c r="N29" s="638"/>
      <c r="O29" s="638"/>
      <c r="P29" s="638"/>
      <c r="Q29" s="638"/>
      <c r="R29" s="638"/>
      <c r="S29" s="638"/>
      <c r="T29" s="638"/>
    </row>
    <row r="30" spans="1:28" ht="18" customHeight="1" x14ac:dyDescent="0.2">
      <c r="A30" s="337"/>
      <c r="B30" s="337"/>
      <c r="C30" s="337"/>
      <c r="D30" s="337"/>
      <c r="E30" s="337"/>
      <c r="F30" s="638"/>
      <c r="G30" s="638"/>
      <c r="H30" s="638"/>
      <c r="I30" s="638"/>
      <c r="J30" s="638"/>
      <c r="K30" s="638"/>
      <c r="L30" s="638"/>
      <c r="M30" s="638"/>
      <c r="N30" s="638"/>
      <c r="O30" s="638"/>
      <c r="P30" s="638"/>
      <c r="Q30" s="638"/>
      <c r="R30" s="638"/>
      <c r="S30" s="638"/>
      <c r="T30" s="638"/>
    </row>
    <row r="31" spans="1:28" ht="18" customHeight="1" x14ac:dyDescent="0.2">
      <c r="A31" s="337"/>
      <c r="B31" s="337"/>
      <c r="C31" s="337"/>
      <c r="D31" s="337"/>
      <c r="E31" s="337"/>
      <c r="F31" s="638"/>
      <c r="G31" s="638"/>
      <c r="H31" s="638"/>
      <c r="I31" s="638"/>
      <c r="J31" s="638"/>
      <c r="K31" s="638"/>
      <c r="L31" s="638"/>
      <c r="M31" s="638"/>
      <c r="N31" s="638"/>
      <c r="O31" s="638"/>
      <c r="P31" s="638"/>
      <c r="Q31" s="638"/>
      <c r="R31" s="638"/>
      <c r="S31" s="638"/>
      <c r="T31" s="638"/>
    </row>
    <row r="32" spans="1:28" ht="18" customHeight="1" x14ac:dyDescent="0.2">
      <c r="A32" s="337"/>
      <c r="B32" s="337"/>
      <c r="C32" s="337"/>
      <c r="D32" s="337"/>
      <c r="E32" s="337"/>
      <c r="F32" s="638"/>
      <c r="G32" s="638"/>
      <c r="H32" s="638"/>
      <c r="I32" s="638"/>
      <c r="J32" s="638"/>
      <c r="K32" s="638"/>
      <c r="L32" s="638"/>
      <c r="M32" s="638"/>
      <c r="N32" s="638"/>
      <c r="O32" s="638"/>
      <c r="P32" s="638"/>
      <c r="Q32" s="638"/>
      <c r="R32" s="638"/>
      <c r="S32" s="638"/>
      <c r="T32" s="638"/>
    </row>
    <row r="33" spans="1:25" ht="18" customHeight="1" x14ac:dyDescent="0.2">
      <c r="C33" s="31"/>
      <c r="D33" s="31"/>
      <c r="E33" s="31"/>
      <c r="F33" s="345"/>
      <c r="G33" s="31"/>
      <c r="H33" s="31"/>
    </row>
    <row r="34" spans="1:25" ht="18" customHeight="1" x14ac:dyDescent="0.2">
      <c r="C34" s="685" t="s">
        <v>277</v>
      </c>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1:25" ht="18" customHeight="1" x14ac:dyDescent="0.2">
      <c r="C35" s="792"/>
      <c r="D35" s="792"/>
      <c r="E35" s="792"/>
      <c r="F35" s="792"/>
      <c r="G35" s="792"/>
      <c r="H35" s="792"/>
      <c r="I35" s="792"/>
      <c r="J35" s="792"/>
      <c r="K35" s="792"/>
      <c r="L35" s="792"/>
      <c r="M35" s="792"/>
      <c r="N35" s="792"/>
      <c r="O35" s="792"/>
      <c r="P35" s="792"/>
      <c r="Q35" s="792"/>
      <c r="R35" s="792"/>
      <c r="S35" s="792"/>
      <c r="T35" s="792"/>
      <c r="U35" s="792"/>
      <c r="V35" s="792"/>
      <c r="W35" s="792"/>
      <c r="X35" s="792"/>
      <c r="Y35" s="792"/>
    </row>
    <row r="36" spans="1:25" ht="18" customHeight="1" x14ac:dyDescent="0.2">
      <c r="C36" s="792"/>
      <c r="D36" s="792"/>
      <c r="E36" s="792"/>
      <c r="F36" s="792"/>
      <c r="G36" s="792"/>
      <c r="H36" s="792"/>
      <c r="I36" s="792"/>
      <c r="J36" s="792"/>
      <c r="K36" s="792"/>
      <c r="L36" s="792"/>
      <c r="M36" s="792"/>
      <c r="N36" s="792"/>
      <c r="O36" s="792"/>
      <c r="P36" s="792"/>
      <c r="Q36" s="792"/>
      <c r="R36" s="792"/>
      <c r="S36" s="792"/>
      <c r="T36" s="792"/>
      <c r="U36" s="792"/>
      <c r="V36" s="792"/>
      <c r="W36" s="792"/>
      <c r="X36" s="792"/>
      <c r="Y36" s="792"/>
    </row>
    <row r="37" spans="1:25" ht="18" customHeight="1" x14ac:dyDescent="0.2">
      <c r="C37" s="792"/>
      <c r="D37" s="792"/>
      <c r="E37" s="792"/>
      <c r="F37" s="792"/>
      <c r="G37" s="792"/>
      <c r="H37" s="792"/>
      <c r="I37" s="792"/>
      <c r="J37" s="792"/>
      <c r="K37" s="792"/>
      <c r="L37" s="792"/>
      <c r="M37" s="792"/>
      <c r="N37" s="792"/>
      <c r="O37" s="792"/>
      <c r="P37" s="792"/>
      <c r="Q37" s="792"/>
      <c r="R37" s="792"/>
      <c r="S37" s="792"/>
      <c r="T37" s="792"/>
      <c r="U37" s="792"/>
      <c r="V37" s="792"/>
      <c r="W37" s="792"/>
      <c r="X37" s="792"/>
      <c r="Y37" s="792"/>
    </row>
    <row r="38" spans="1:25" ht="18" customHeight="1" x14ac:dyDescent="0.2">
      <c r="C38" s="792"/>
      <c r="D38" s="792"/>
      <c r="E38" s="792"/>
      <c r="F38" s="792"/>
      <c r="G38" s="792"/>
      <c r="H38" s="792"/>
      <c r="I38" s="792"/>
      <c r="J38" s="792"/>
      <c r="K38" s="792"/>
      <c r="L38" s="792"/>
      <c r="M38" s="792"/>
      <c r="N38" s="792"/>
      <c r="O38" s="792"/>
      <c r="P38" s="792"/>
      <c r="Q38" s="792"/>
      <c r="R38" s="792"/>
      <c r="S38" s="792"/>
      <c r="T38" s="792"/>
      <c r="U38" s="792"/>
      <c r="V38" s="792"/>
      <c r="W38" s="792"/>
      <c r="X38" s="792"/>
      <c r="Y38" s="792"/>
    </row>
    <row r="39" spans="1:25" ht="18" customHeight="1" x14ac:dyDescent="0.2">
      <c r="C39" s="31"/>
      <c r="D39" s="31"/>
      <c r="E39" s="31"/>
      <c r="F39" s="345"/>
      <c r="G39" s="31"/>
      <c r="H39" s="31"/>
    </row>
    <row r="40" spans="1:25" ht="18" customHeight="1" x14ac:dyDescent="0.2">
      <c r="C40" s="31"/>
      <c r="D40" s="31"/>
      <c r="E40" s="31"/>
      <c r="F40" s="345"/>
      <c r="G40" s="31"/>
      <c r="H40" s="31"/>
    </row>
    <row r="41" spans="1:25" ht="36" customHeight="1" x14ac:dyDescent="0.2">
      <c r="A41" s="337"/>
      <c r="B41" s="337"/>
      <c r="C41" s="341" t="s">
        <v>382</v>
      </c>
      <c r="D41" s="695" t="s">
        <v>383</v>
      </c>
      <c r="E41" s="696"/>
      <c r="F41" s="696"/>
      <c r="G41" s="696"/>
      <c r="H41" s="696"/>
      <c r="I41" s="696"/>
      <c r="J41" s="696"/>
      <c r="K41" s="696"/>
      <c r="L41" s="696"/>
      <c r="M41" s="696"/>
      <c r="N41" s="696"/>
      <c r="O41" s="696"/>
      <c r="P41" s="696"/>
      <c r="Q41" s="696"/>
      <c r="R41" s="696"/>
      <c r="S41" s="696"/>
      <c r="T41" s="696"/>
      <c r="U41" s="696"/>
      <c r="V41" s="696"/>
      <c r="W41" s="696"/>
      <c r="X41" s="696"/>
      <c r="Y41" s="697"/>
    </row>
    <row r="42" spans="1:25" s="347" customFormat="1" ht="18" customHeight="1" x14ac:dyDescent="0.2">
      <c r="A42" s="346"/>
      <c r="B42" s="346"/>
      <c r="C42" s="517"/>
      <c r="D42" s="517"/>
      <c r="E42" s="517"/>
      <c r="F42" s="517"/>
      <c r="G42" s="517"/>
      <c r="H42" s="517"/>
      <c r="I42" s="517"/>
      <c r="J42" s="517"/>
      <c r="K42" s="517"/>
      <c r="L42" s="517"/>
      <c r="M42" s="517"/>
      <c r="N42" s="517"/>
      <c r="O42" s="517"/>
      <c r="P42" s="517"/>
      <c r="Q42" s="517"/>
      <c r="R42" s="517"/>
      <c r="S42" s="517"/>
      <c r="T42" s="517"/>
      <c r="U42" s="517"/>
      <c r="V42" s="517"/>
      <c r="W42" s="517"/>
      <c r="X42" s="517"/>
      <c r="Y42" s="517"/>
    </row>
    <row r="43" spans="1:25" ht="18" customHeight="1" x14ac:dyDescent="0.2">
      <c r="A43" s="337"/>
      <c r="B43" s="337"/>
      <c r="C43" s="348" t="s">
        <v>278</v>
      </c>
      <c r="D43" s="348"/>
      <c r="E43" s="348"/>
      <c r="F43" s="349"/>
      <c r="G43" s="349"/>
      <c r="H43" s="349"/>
      <c r="I43" s="349"/>
      <c r="J43" s="349"/>
      <c r="K43" s="349"/>
      <c r="L43" s="349"/>
      <c r="M43" s="349"/>
      <c r="N43" s="349"/>
      <c r="O43" s="349"/>
      <c r="P43" s="349"/>
      <c r="Q43" s="349"/>
      <c r="R43" s="349"/>
      <c r="S43" s="349"/>
      <c r="T43" s="349"/>
      <c r="U43" s="349"/>
      <c r="V43" s="349"/>
      <c r="W43" s="349"/>
      <c r="X43" s="349"/>
      <c r="Y43" s="349"/>
    </row>
    <row r="44" spans="1:25" ht="18" customHeight="1" x14ac:dyDescent="0.2">
      <c r="C44" s="536"/>
      <c r="D44" s="537"/>
      <c r="E44" s="537"/>
      <c r="F44" s="537"/>
      <c r="G44" s="537"/>
      <c r="H44" s="537"/>
      <c r="I44" s="537"/>
      <c r="J44" s="537"/>
      <c r="K44" s="537"/>
      <c r="L44" s="537"/>
      <c r="M44" s="537"/>
      <c r="N44" s="537"/>
      <c r="O44" s="537"/>
      <c r="P44" s="537"/>
      <c r="Q44" s="537"/>
      <c r="R44" s="537"/>
      <c r="S44" s="537"/>
      <c r="T44" s="537"/>
      <c r="U44" s="537"/>
      <c r="V44" s="537"/>
      <c r="W44" s="537"/>
      <c r="X44" s="537"/>
      <c r="Y44" s="538"/>
    </row>
    <row r="45" spans="1:25" ht="18" customHeight="1" x14ac:dyDescent="0.2">
      <c r="C45" s="345"/>
      <c r="P45" s="339"/>
    </row>
    <row r="46" spans="1:25" ht="18" customHeight="1" x14ac:dyDescent="0.2">
      <c r="A46" s="337"/>
      <c r="B46" s="337"/>
      <c r="C46" s="344" t="s">
        <v>279</v>
      </c>
      <c r="D46" s="340"/>
      <c r="E46" s="349"/>
      <c r="F46" s="349"/>
      <c r="G46" s="349"/>
      <c r="H46" s="349"/>
      <c r="I46" s="349"/>
      <c r="J46" s="349"/>
      <c r="K46" s="349"/>
      <c r="L46" s="349"/>
      <c r="M46" s="349"/>
      <c r="N46" s="349"/>
      <c r="O46" s="349"/>
      <c r="P46" s="349"/>
      <c r="Q46" s="349"/>
      <c r="R46" s="349"/>
      <c r="S46" s="349"/>
      <c r="T46" s="349"/>
      <c r="U46" s="349"/>
      <c r="V46" s="349"/>
      <c r="W46" s="349"/>
      <c r="X46" s="349"/>
      <c r="Y46" s="349"/>
    </row>
    <row r="47" spans="1:25" ht="18" customHeight="1" x14ac:dyDescent="0.2">
      <c r="C47" s="536"/>
      <c r="D47" s="537"/>
      <c r="E47" s="537"/>
      <c r="F47" s="537"/>
      <c r="G47" s="537"/>
      <c r="H47" s="537"/>
      <c r="I47" s="537"/>
      <c r="J47" s="537"/>
      <c r="K47" s="537"/>
      <c r="L47" s="537"/>
      <c r="M47" s="537"/>
      <c r="N47" s="537"/>
      <c r="O47" s="537"/>
      <c r="P47" s="537"/>
      <c r="Q47" s="537"/>
      <c r="R47" s="537"/>
      <c r="S47" s="537"/>
      <c r="T47" s="537"/>
      <c r="U47" s="537"/>
      <c r="V47" s="537"/>
      <c r="W47" s="537"/>
      <c r="X47" s="537"/>
      <c r="Y47" s="538"/>
    </row>
    <row r="48" spans="1:25" ht="18" customHeight="1" x14ac:dyDescent="0.2">
      <c r="C48" s="345"/>
      <c r="P48" s="339"/>
    </row>
    <row r="49" spans="1:25" ht="18" customHeight="1" x14ac:dyDescent="0.2">
      <c r="A49" s="337"/>
      <c r="B49" s="337"/>
      <c r="C49" s="344" t="s">
        <v>280</v>
      </c>
      <c r="D49" s="340"/>
      <c r="E49" s="349"/>
      <c r="F49" s="349"/>
      <c r="G49" s="349"/>
      <c r="H49" s="349"/>
      <c r="I49" s="349"/>
      <c r="J49" s="349"/>
      <c r="K49" s="349"/>
      <c r="L49" s="349"/>
      <c r="M49" s="349"/>
      <c r="N49" s="349"/>
      <c r="O49" s="349"/>
      <c r="P49" s="349"/>
      <c r="Q49" s="349"/>
      <c r="R49" s="349"/>
      <c r="S49" s="349"/>
      <c r="T49" s="349"/>
      <c r="U49" s="349"/>
      <c r="V49" s="349"/>
      <c r="W49" s="349"/>
      <c r="X49" s="349"/>
      <c r="Y49" s="349"/>
    </row>
    <row r="50" spans="1:25" ht="18" customHeight="1" x14ac:dyDescent="0.2">
      <c r="A50" s="337"/>
      <c r="B50" s="337"/>
      <c r="C50" s="536"/>
      <c r="D50" s="537"/>
      <c r="E50" s="537"/>
      <c r="F50" s="537"/>
      <c r="G50" s="537"/>
      <c r="H50" s="537"/>
      <c r="I50" s="537"/>
      <c r="J50" s="537"/>
      <c r="K50" s="537"/>
      <c r="L50" s="537"/>
      <c r="M50" s="537"/>
      <c r="N50" s="537"/>
      <c r="O50" s="537"/>
      <c r="P50" s="537"/>
      <c r="Q50" s="537"/>
      <c r="R50" s="537"/>
      <c r="S50" s="537"/>
      <c r="T50" s="537"/>
      <c r="U50" s="537"/>
      <c r="V50" s="537"/>
      <c r="W50" s="537"/>
      <c r="X50" s="537"/>
      <c r="Y50" s="538"/>
    </row>
    <row r="51" spans="1:25" ht="18" customHeight="1" x14ac:dyDescent="0.2">
      <c r="A51" s="337"/>
      <c r="B51" s="337"/>
      <c r="C51" s="345"/>
      <c r="D51" s="337"/>
      <c r="E51" s="337"/>
      <c r="F51" s="337"/>
      <c r="G51" s="337"/>
      <c r="H51" s="337"/>
      <c r="I51" s="337"/>
      <c r="J51" s="337"/>
      <c r="K51" s="337"/>
      <c r="L51" s="337"/>
      <c r="M51" s="337"/>
      <c r="N51" s="337"/>
      <c r="O51" s="337"/>
    </row>
    <row r="52" spans="1:25" ht="18" customHeight="1" x14ac:dyDescent="0.2">
      <c r="A52" s="337"/>
      <c r="B52" s="337"/>
      <c r="C52" s="345"/>
      <c r="D52" s="337"/>
      <c r="E52" s="337"/>
      <c r="F52" s="337"/>
      <c r="G52" s="337"/>
      <c r="H52" s="337"/>
      <c r="I52" s="337"/>
      <c r="J52" s="337"/>
      <c r="K52" s="337"/>
      <c r="L52" s="337"/>
      <c r="M52" s="337"/>
      <c r="N52" s="337"/>
      <c r="O52" s="337"/>
    </row>
    <row r="53" spans="1:25" ht="18" customHeight="1" x14ac:dyDescent="0.2">
      <c r="A53" s="337"/>
      <c r="B53" s="337"/>
      <c r="C53" s="791" t="s">
        <v>231</v>
      </c>
      <c r="D53" s="791"/>
      <c r="E53" s="791"/>
      <c r="F53" s="791"/>
      <c r="G53" s="791"/>
      <c r="H53" s="791"/>
      <c r="I53" s="791"/>
      <c r="J53" s="791"/>
      <c r="K53" s="791"/>
      <c r="L53" s="791"/>
      <c r="M53" s="791"/>
      <c r="N53" s="791"/>
      <c r="O53" s="791"/>
      <c r="P53" s="791"/>
      <c r="Q53" s="791"/>
      <c r="R53" s="791"/>
      <c r="S53" s="791"/>
      <c r="T53" s="791"/>
      <c r="U53" s="791"/>
      <c r="V53" s="791"/>
      <c r="W53" s="791"/>
      <c r="X53" s="791"/>
      <c r="Y53" s="791"/>
    </row>
    <row r="54" spans="1:25" ht="18" customHeight="1" x14ac:dyDescent="0.2">
      <c r="A54" s="337"/>
      <c r="B54" s="337"/>
      <c r="C54" s="686"/>
      <c r="D54" s="687"/>
      <c r="E54" s="687"/>
      <c r="F54" s="687"/>
      <c r="G54" s="687"/>
      <c r="H54" s="687"/>
      <c r="I54" s="687"/>
      <c r="J54" s="687"/>
      <c r="K54" s="687"/>
      <c r="L54" s="687"/>
      <c r="M54" s="687"/>
      <c r="N54" s="687"/>
      <c r="O54" s="687"/>
      <c r="P54" s="687"/>
      <c r="Q54" s="687"/>
      <c r="R54" s="687"/>
      <c r="S54" s="687"/>
      <c r="T54" s="687"/>
      <c r="U54" s="687"/>
      <c r="V54" s="687"/>
      <c r="W54" s="687"/>
      <c r="X54" s="687"/>
      <c r="Y54" s="688"/>
    </row>
    <row r="55" spans="1:25" ht="18" customHeight="1" x14ac:dyDescent="0.2">
      <c r="A55" s="337"/>
      <c r="B55" s="337"/>
      <c r="C55" s="689"/>
      <c r="D55" s="690"/>
      <c r="E55" s="690"/>
      <c r="F55" s="690"/>
      <c r="G55" s="690"/>
      <c r="H55" s="690"/>
      <c r="I55" s="690"/>
      <c r="J55" s="690"/>
      <c r="K55" s="690"/>
      <c r="L55" s="690"/>
      <c r="M55" s="690"/>
      <c r="N55" s="690"/>
      <c r="O55" s="690"/>
      <c r="P55" s="690"/>
      <c r="Q55" s="690"/>
      <c r="R55" s="690"/>
      <c r="S55" s="690"/>
      <c r="T55" s="690"/>
      <c r="U55" s="690"/>
      <c r="V55" s="690"/>
      <c r="W55" s="690"/>
      <c r="X55" s="690"/>
      <c r="Y55" s="691"/>
    </row>
    <row r="56" spans="1:25" ht="18" customHeight="1" x14ac:dyDescent="0.2">
      <c r="A56" s="337"/>
      <c r="B56" s="337"/>
      <c r="C56" s="689"/>
      <c r="D56" s="690"/>
      <c r="E56" s="690"/>
      <c r="F56" s="690"/>
      <c r="G56" s="690"/>
      <c r="H56" s="690"/>
      <c r="I56" s="690"/>
      <c r="J56" s="690"/>
      <c r="K56" s="690"/>
      <c r="L56" s="690"/>
      <c r="M56" s="690"/>
      <c r="N56" s="690"/>
      <c r="O56" s="690"/>
      <c r="P56" s="690"/>
      <c r="Q56" s="690"/>
      <c r="R56" s="690"/>
      <c r="S56" s="690"/>
      <c r="T56" s="690"/>
      <c r="U56" s="690"/>
      <c r="V56" s="690"/>
      <c r="W56" s="690"/>
      <c r="X56" s="690"/>
      <c r="Y56" s="691"/>
    </row>
    <row r="57" spans="1:25" ht="18" customHeight="1" x14ac:dyDescent="0.2">
      <c r="A57" s="337"/>
      <c r="B57" s="337"/>
      <c r="C57" s="689"/>
      <c r="D57" s="690"/>
      <c r="E57" s="690"/>
      <c r="F57" s="690"/>
      <c r="G57" s="690"/>
      <c r="H57" s="690"/>
      <c r="I57" s="690"/>
      <c r="J57" s="690"/>
      <c r="K57" s="690"/>
      <c r="L57" s="690"/>
      <c r="M57" s="690"/>
      <c r="N57" s="690"/>
      <c r="O57" s="690"/>
      <c r="P57" s="690"/>
      <c r="Q57" s="690"/>
      <c r="R57" s="690"/>
      <c r="S57" s="690"/>
      <c r="T57" s="690"/>
      <c r="U57" s="690"/>
      <c r="V57" s="690"/>
      <c r="W57" s="690"/>
      <c r="X57" s="690"/>
      <c r="Y57" s="691"/>
    </row>
    <row r="58" spans="1:25" ht="18" customHeight="1" x14ac:dyDescent="0.2">
      <c r="A58" s="337"/>
      <c r="B58" s="337"/>
      <c r="C58" s="689"/>
      <c r="D58" s="690"/>
      <c r="E58" s="690"/>
      <c r="F58" s="690"/>
      <c r="G58" s="690"/>
      <c r="H58" s="690"/>
      <c r="I58" s="690"/>
      <c r="J58" s="690"/>
      <c r="K58" s="690"/>
      <c r="L58" s="690"/>
      <c r="M58" s="690"/>
      <c r="N58" s="690"/>
      <c r="O58" s="690"/>
      <c r="P58" s="690"/>
      <c r="Q58" s="690"/>
      <c r="R58" s="690"/>
      <c r="S58" s="690"/>
      <c r="T58" s="690"/>
      <c r="U58" s="690"/>
      <c r="V58" s="690"/>
      <c r="W58" s="690"/>
      <c r="X58" s="690"/>
      <c r="Y58" s="691"/>
    </row>
    <row r="59" spans="1:25" ht="18" customHeight="1" x14ac:dyDescent="0.2">
      <c r="A59" s="337"/>
      <c r="B59" s="337"/>
      <c r="C59" s="689"/>
      <c r="D59" s="690"/>
      <c r="E59" s="690"/>
      <c r="F59" s="690"/>
      <c r="G59" s="690"/>
      <c r="H59" s="690"/>
      <c r="I59" s="690"/>
      <c r="J59" s="690"/>
      <c r="K59" s="690"/>
      <c r="L59" s="690"/>
      <c r="M59" s="690"/>
      <c r="N59" s="690"/>
      <c r="O59" s="690"/>
      <c r="P59" s="690"/>
      <c r="Q59" s="690"/>
      <c r="R59" s="690"/>
      <c r="S59" s="690"/>
      <c r="T59" s="690"/>
      <c r="U59" s="690"/>
      <c r="V59" s="690"/>
      <c r="W59" s="690"/>
      <c r="X59" s="690"/>
      <c r="Y59" s="691"/>
    </row>
    <row r="60" spans="1:25" ht="18" customHeight="1" x14ac:dyDescent="0.2">
      <c r="A60" s="337"/>
      <c r="B60" s="337"/>
      <c r="C60" s="689"/>
      <c r="D60" s="690"/>
      <c r="E60" s="690"/>
      <c r="F60" s="690"/>
      <c r="G60" s="690"/>
      <c r="H60" s="690"/>
      <c r="I60" s="690"/>
      <c r="J60" s="690"/>
      <c r="K60" s="690"/>
      <c r="L60" s="690"/>
      <c r="M60" s="690"/>
      <c r="N60" s="690"/>
      <c r="O60" s="690"/>
      <c r="P60" s="690"/>
      <c r="Q60" s="690"/>
      <c r="R60" s="690"/>
      <c r="S60" s="690"/>
      <c r="T60" s="690"/>
      <c r="U60" s="690"/>
      <c r="V60" s="690"/>
      <c r="W60" s="690"/>
      <c r="X60" s="690"/>
      <c r="Y60" s="691"/>
    </row>
    <row r="61" spans="1:25" ht="18" customHeight="1" x14ac:dyDescent="0.2">
      <c r="A61" s="337"/>
      <c r="B61" s="337"/>
      <c r="C61" s="689"/>
      <c r="D61" s="690"/>
      <c r="E61" s="690"/>
      <c r="F61" s="690"/>
      <c r="G61" s="690"/>
      <c r="H61" s="690"/>
      <c r="I61" s="690"/>
      <c r="J61" s="690"/>
      <c r="K61" s="690"/>
      <c r="L61" s="690"/>
      <c r="M61" s="690"/>
      <c r="N61" s="690"/>
      <c r="O61" s="690"/>
      <c r="P61" s="690"/>
      <c r="Q61" s="690"/>
      <c r="R61" s="690"/>
      <c r="S61" s="690"/>
      <c r="T61" s="690"/>
      <c r="U61" s="690"/>
      <c r="V61" s="690"/>
      <c r="W61" s="690"/>
      <c r="X61" s="690"/>
      <c r="Y61" s="691"/>
    </row>
    <row r="62" spans="1:25" ht="18" customHeight="1" x14ac:dyDescent="0.2">
      <c r="A62" s="337"/>
      <c r="B62" s="337"/>
      <c r="C62" s="689"/>
      <c r="D62" s="690"/>
      <c r="E62" s="690"/>
      <c r="F62" s="690"/>
      <c r="G62" s="690"/>
      <c r="H62" s="690"/>
      <c r="I62" s="690"/>
      <c r="J62" s="690"/>
      <c r="K62" s="690"/>
      <c r="L62" s="690"/>
      <c r="M62" s="690"/>
      <c r="N62" s="690"/>
      <c r="O62" s="690"/>
      <c r="P62" s="690"/>
      <c r="Q62" s="690"/>
      <c r="R62" s="690"/>
      <c r="S62" s="690"/>
      <c r="T62" s="690"/>
      <c r="U62" s="690"/>
      <c r="V62" s="690"/>
      <c r="W62" s="690"/>
      <c r="X62" s="690"/>
      <c r="Y62" s="691"/>
    </row>
    <row r="63" spans="1:25" ht="18" customHeight="1" x14ac:dyDescent="0.2">
      <c r="A63" s="337"/>
      <c r="B63" s="337"/>
      <c r="C63" s="689"/>
      <c r="D63" s="690"/>
      <c r="E63" s="690"/>
      <c r="F63" s="690"/>
      <c r="G63" s="690"/>
      <c r="H63" s="690"/>
      <c r="I63" s="690"/>
      <c r="J63" s="690"/>
      <c r="K63" s="690"/>
      <c r="L63" s="690"/>
      <c r="M63" s="690"/>
      <c r="N63" s="690"/>
      <c r="O63" s="690"/>
      <c r="P63" s="690"/>
      <c r="Q63" s="690"/>
      <c r="R63" s="690"/>
      <c r="S63" s="690"/>
      <c r="T63" s="690"/>
      <c r="U63" s="690"/>
      <c r="V63" s="690"/>
      <c r="W63" s="690"/>
      <c r="X63" s="690"/>
      <c r="Y63" s="691"/>
    </row>
    <row r="64" spans="1:25" ht="18" customHeight="1" x14ac:dyDescent="0.2">
      <c r="A64" s="337"/>
      <c r="B64" s="337"/>
      <c r="C64" s="689"/>
      <c r="D64" s="690"/>
      <c r="E64" s="690"/>
      <c r="F64" s="690"/>
      <c r="G64" s="690"/>
      <c r="H64" s="690"/>
      <c r="I64" s="690"/>
      <c r="J64" s="690"/>
      <c r="K64" s="690"/>
      <c r="L64" s="690"/>
      <c r="M64" s="690"/>
      <c r="N64" s="690"/>
      <c r="O64" s="690"/>
      <c r="P64" s="690"/>
      <c r="Q64" s="690"/>
      <c r="R64" s="690"/>
      <c r="S64" s="690"/>
      <c r="T64" s="690"/>
      <c r="U64" s="690"/>
      <c r="V64" s="690"/>
      <c r="W64" s="690"/>
      <c r="X64" s="690"/>
      <c r="Y64" s="691"/>
    </row>
    <row r="65" spans="1:25" ht="18" customHeight="1" x14ac:dyDescent="0.2">
      <c r="A65" s="337"/>
      <c r="B65" s="337"/>
      <c r="C65" s="689"/>
      <c r="D65" s="690"/>
      <c r="E65" s="690"/>
      <c r="F65" s="690"/>
      <c r="G65" s="690"/>
      <c r="H65" s="690"/>
      <c r="I65" s="690"/>
      <c r="J65" s="690"/>
      <c r="K65" s="690"/>
      <c r="L65" s="690"/>
      <c r="M65" s="690"/>
      <c r="N65" s="690"/>
      <c r="O65" s="690"/>
      <c r="P65" s="690"/>
      <c r="Q65" s="690"/>
      <c r="R65" s="690"/>
      <c r="S65" s="690"/>
      <c r="T65" s="690"/>
      <c r="U65" s="690"/>
      <c r="V65" s="690"/>
      <c r="W65" s="690"/>
      <c r="X65" s="690"/>
      <c r="Y65" s="691"/>
    </row>
    <row r="66" spans="1:25" ht="18" customHeight="1" x14ac:dyDescent="0.2">
      <c r="A66" s="337"/>
      <c r="B66" s="337"/>
      <c r="C66" s="689"/>
      <c r="D66" s="690"/>
      <c r="E66" s="690"/>
      <c r="F66" s="690"/>
      <c r="G66" s="690"/>
      <c r="H66" s="690"/>
      <c r="I66" s="690"/>
      <c r="J66" s="690"/>
      <c r="K66" s="690"/>
      <c r="L66" s="690"/>
      <c r="M66" s="690"/>
      <c r="N66" s="690"/>
      <c r="O66" s="690"/>
      <c r="P66" s="690"/>
      <c r="Q66" s="690"/>
      <c r="R66" s="690"/>
      <c r="S66" s="690"/>
      <c r="T66" s="690"/>
      <c r="U66" s="690"/>
      <c r="V66" s="690"/>
      <c r="W66" s="690"/>
      <c r="X66" s="690"/>
      <c r="Y66" s="691"/>
    </row>
    <row r="67" spans="1:25" ht="18" customHeight="1" x14ac:dyDescent="0.2">
      <c r="A67" s="337"/>
      <c r="B67" s="337"/>
      <c r="C67" s="689"/>
      <c r="D67" s="690"/>
      <c r="E67" s="690"/>
      <c r="F67" s="690"/>
      <c r="G67" s="690"/>
      <c r="H67" s="690"/>
      <c r="I67" s="690"/>
      <c r="J67" s="690"/>
      <c r="K67" s="690"/>
      <c r="L67" s="690"/>
      <c r="M67" s="690"/>
      <c r="N67" s="690"/>
      <c r="O67" s="690"/>
      <c r="P67" s="690"/>
      <c r="Q67" s="690"/>
      <c r="R67" s="690"/>
      <c r="S67" s="690"/>
      <c r="T67" s="690"/>
      <c r="U67" s="690"/>
      <c r="V67" s="690"/>
      <c r="W67" s="690"/>
      <c r="X67" s="690"/>
      <c r="Y67" s="691"/>
    </row>
    <row r="68" spans="1:25" ht="18" customHeight="1" x14ac:dyDescent="0.2">
      <c r="A68" s="337"/>
      <c r="B68" s="337"/>
      <c r="C68" s="689"/>
      <c r="D68" s="690"/>
      <c r="E68" s="690"/>
      <c r="F68" s="690"/>
      <c r="G68" s="690"/>
      <c r="H68" s="690"/>
      <c r="I68" s="690"/>
      <c r="J68" s="690"/>
      <c r="K68" s="690"/>
      <c r="L68" s="690"/>
      <c r="M68" s="690"/>
      <c r="N68" s="690"/>
      <c r="O68" s="690"/>
      <c r="P68" s="690"/>
      <c r="Q68" s="690"/>
      <c r="R68" s="690"/>
      <c r="S68" s="690"/>
      <c r="T68" s="690"/>
      <c r="U68" s="690"/>
      <c r="V68" s="690"/>
      <c r="W68" s="690"/>
      <c r="X68" s="690"/>
      <c r="Y68" s="691"/>
    </row>
    <row r="69" spans="1:25" ht="18" customHeight="1" x14ac:dyDescent="0.2">
      <c r="A69" s="337"/>
      <c r="B69" s="337"/>
      <c r="C69" s="689"/>
      <c r="D69" s="690"/>
      <c r="E69" s="690"/>
      <c r="F69" s="690"/>
      <c r="G69" s="690"/>
      <c r="H69" s="690"/>
      <c r="I69" s="690"/>
      <c r="J69" s="690"/>
      <c r="K69" s="690"/>
      <c r="L69" s="690"/>
      <c r="M69" s="690"/>
      <c r="N69" s="690"/>
      <c r="O69" s="690"/>
      <c r="P69" s="690"/>
      <c r="Q69" s="690"/>
      <c r="R69" s="690"/>
      <c r="S69" s="690"/>
      <c r="T69" s="690"/>
      <c r="U69" s="690"/>
      <c r="V69" s="690"/>
      <c r="W69" s="690"/>
      <c r="X69" s="690"/>
      <c r="Y69" s="691"/>
    </row>
    <row r="70" spans="1:25" ht="18" customHeight="1" x14ac:dyDescent="0.2">
      <c r="A70" s="337"/>
      <c r="B70" s="337"/>
      <c r="C70" s="689"/>
      <c r="D70" s="690"/>
      <c r="E70" s="690"/>
      <c r="F70" s="690"/>
      <c r="G70" s="690"/>
      <c r="H70" s="690"/>
      <c r="I70" s="690"/>
      <c r="J70" s="690"/>
      <c r="K70" s="690"/>
      <c r="L70" s="690"/>
      <c r="M70" s="690"/>
      <c r="N70" s="690"/>
      <c r="O70" s="690"/>
      <c r="P70" s="690"/>
      <c r="Q70" s="690"/>
      <c r="R70" s="690"/>
      <c r="S70" s="690"/>
      <c r="T70" s="690"/>
      <c r="U70" s="690"/>
      <c r="V70" s="690"/>
      <c r="W70" s="690"/>
      <c r="X70" s="690"/>
      <c r="Y70" s="691"/>
    </row>
    <row r="71" spans="1:25" ht="18" customHeight="1" x14ac:dyDescent="0.2">
      <c r="A71" s="337"/>
      <c r="B71" s="337"/>
      <c r="C71" s="689"/>
      <c r="D71" s="690"/>
      <c r="E71" s="690"/>
      <c r="F71" s="690"/>
      <c r="G71" s="690"/>
      <c r="H71" s="690"/>
      <c r="I71" s="690"/>
      <c r="J71" s="690"/>
      <c r="K71" s="690"/>
      <c r="L71" s="690"/>
      <c r="M71" s="690"/>
      <c r="N71" s="690"/>
      <c r="O71" s="690"/>
      <c r="P71" s="690"/>
      <c r="Q71" s="690"/>
      <c r="R71" s="690"/>
      <c r="S71" s="690"/>
      <c r="T71" s="690"/>
      <c r="U71" s="690"/>
      <c r="V71" s="690"/>
      <c r="W71" s="690"/>
      <c r="X71" s="690"/>
      <c r="Y71" s="691"/>
    </row>
    <row r="72" spans="1:25" ht="18" customHeight="1" x14ac:dyDescent="0.2">
      <c r="A72" s="337"/>
      <c r="B72" s="337"/>
      <c r="C72" s="689"/>
      <c r="D72" s="690"/>
      <c r="E72" s="690"/>
      <c r="F72" s="690"/>
      <c r="G72" s="690"/>
      <c r="H72" s="690"/>
      <c r="I72" s="690"/>
      <c r="J72" s="690"/>
      <c r="K72" s="690"/>
      <c r="L72" s="690"/>
      <c r="M72" s="690"/>
      <c r="N72" s="690"/>
      <c r="O72" s="690"/>
      <c r="P72" s="690"/>
      <c r="Q72" s="690"/>
      <c r="R72" s="690"/>
      <c r="S72" s="690"/>
      <c r="T72" s="690"/>
      <c r="U72" s="690"/>
      <c r="V72" s="690"/>
      <c r="W72" s="690"/>
      <c r="X72" s="690"/>
      <c r="Y72" s="691"/>
    </row>
    <row r="73" spans="1:25" ht="18" customHeight="1" x14ac:dyDescent="0.2">
      <c r="A73" s="337"/>
      <c r="B73" s="337"/>
      <c r="C73" s="689"/>
      <c r="D73" s="690"/>
      <c r="E73" s="690"/>
      <c r="F73" s="690"/>
      <c r="G73" s="690"/>
      <c r="H73" s="690"/>
      <c r="I73" s="690"/>
      <c r="J73" s="690"/>
      <c r="K73" s="690"/>
      <c r="L73" s="690"/>
      <c r="M73" s="690"/>
      <c r="N73" s="690"/>
      <c r="O73" s="690"/>
      <c r="P73" s="690"/>
      <c r="Q73" s="690"/>
      <c r="R73" s="690"/>
      <c r="S73" s="690"/>
      <c r="T73" s="690"/>
      <c r="U73" s="690"/>
      <c r="V73" s="690"/>
      <c r="W73" s="690"/>
      <c r="X73" s="690"/>
      <c r="Y73" s="691"/>
    </row>
    <row r="74" spans="1:25" ht="18" customHeight="1" x14ac:dyDescent="0.2">
      <c r="A74" s="337"/>
      <c r="B74" s="337"/>
      <c r="C74" s="689"/>
      <c r="D74" s="690"/>
      <c r="E74" s="690"/>
      <c r="F74" s="690"/>
      <c r="G74" s="690"/>
      <c r="H74" s="690"/>
      <c r="I74" s="690"/>
      <c r="J74" s="690"/>
      <c r="K74" s="690"/>
      <c r="L74" s="690"/>
      <c r="M74" s="690"/>
      <c r="N74" s="690"/>
      <c r="O74" s="690"/>
      <c r="P74" s="690"/>
      <c r="Q74" s="690"/>
      <c r="R74" s="690"/>
      <c r="S74" s="690"/>
      <c r="T74" s="690"/>
      <c r="U74" s="690"/>
      <c r="V74" s="690"/>
      <c r="W74" s="690"/>
      <c r="X74" s="690"/>
      <c r="Y74" s="691"/>
    </row>
    <row r="75" spans="1:25" ht="18" customHeight="1" x14ac:dyDescent="0.2">
      <c r="A75" s="337"/>
      <c r="B75" s="337"/>
      <c r="C75" s="689"/>
      <c r="D75" s="690"/>
      <c r="E75" s="690"/>
      <c r="F75" s="690"/>
      <c r="G75" s="690"/>
      <c r="H75" s="690"/>
      <c r="I75" s="690"/>
      <c r="J75" s="690"/>
      <c r="K75" s="690"/>
      <c r="L75" s="690"/>
      <c r="M75" s="690"/>
      <c r="N75" s="690"/>
      <c r="O75" s="690"/>
      <c r="P75" s="690"/>
      <c r="Q75" s="690"/>
      <c r="R75" s="690"/>
      <c r="S75" s="690"/>
      <c r="T75" s="690"/>
      <c r="U75" s="690"/>
      <c r="V75" s="690"/>
      <c r="W75" s="690"/>
      <c r="X75" s="690"/>
      <c r="Y75" s="691"/>
    </row>
    <row r="76" spans="1:25" ht="18" customHeight="1" x14ac:dyDescent="0.2">
      <c r="A76" s="337"/>
      <c r="B76" s="337"/>
      <c r="C76" s="689"/>
      <c r="D76" s="690"/>
      <c r="E76" s="690"/>
      <c r="F76" s="690"/>
      <c r="G76" s="690"/>
      <c r="H76" s="690"/>
      <c r="I76" s="690"/>
      <c r="J76" s="690"/>
      <c r="K76" s="690"/>
      <c r="L76" s="690"/>
      <c r="M76" s="690"/>
      <c r="N76" s="690"/>
      <c r="O76" s="690"/>
      <c r="P76" s="690"/>
      <c r="Q76" s="690"/>
      <c r="R76" s="690"/>
      <c r="S76" s="690"/>
      <c r="T76" s="690"/>
      <c r="U76" s="690"/>
      <c r="V76" s="690"/>
      <c r="W76" s="690"/>
      <c r="X76" s="690"/>
      <c r="Y76" s="691"/>
    </row>
    <row r="77" spans="1:25" ht="18" customHeight="1" x14ac:dyDescent="0.2">
      <c r="A77" s="337"/>
      <c r="B77" s="337"/>
      <c r="C77" s="689"/>
      <c r="D77" s="690"/>
      <c r="E77" s="690"/>
      <c r="F77" s="690"/>
      <c r="G77" s="690"/>
      <c r="H77" s="690"/>
      <c r="I77" s="690"/>
      <c r="J77" s="690"/>
      <c r="K77" s="690"/>
      <c r="L77" s="690"/>
      <c r="M77" s="690"/>
      <c r="N77" s="690"/>
      <c r="O77" s="690"/>
      <c r="P77" s="690"/>
      <c r="Q77" s="690"/>
      <c r="R77" s="690"/>
      <c r="S77" s="690"/>
      <c r="T77" s="690"/>
      <c r="U77" s="690"/>
      <c r="V77" s="690"/>
      <c r="W77" s="690"/>
      <c r="X77" s="690"/>
      <c r="Y77" s="691"/>
    </row>
    <row r="78" spans="1:25" ht="18" customHeight="1" x14ac:dyDescent="0.2">
      <c r="A78" s="337"/>
      <c r="B78" s="337"/>
      <c r="C78" s="689"/>
      <c r="D78" s="690"/>
      <c r="E78" s="690"/>
      <c r="F78" s="690"/>
      <c r="G78" s="690"/>
      <c r="H78" s="690"/>
      <c r="I78" s="690"/>
      <c r="J78" s="690"/>
      <c r="K78" s="690"/>
      <c r="L78" s="690"/>
      <c r="M78" s="690"/>
      <c r="N78" s="690"/>
      <c r="O78" s="690"/>
      <c r="P78" s="690"/>
      <c r="Q78" s="690"/>
      <c r="R78" s="690"/>
      <c r="S78" s="690"/>
      <c r="T78" s="690"/>
      <c r="U78" s="690"/>
      <c r="V78" s="690"/>
      <c r="W78" s="690"/>
      <c r="X78" s="690"/>
      <c r="Y78" s="691"/>
    </row>
    <row r="79" spans="1:25" ht="18" customHeight="1" x14ac:dyDescent="0.2">
      <c r="A79" s="337"/>
      <c r="B79" s="337"/>
      <c r="C79" s="689"/>
      <c r="D79" s="690"/>
      <c r="E79" s="690"/>
      <c r="F79" s="690"/>
      <c r="G79" s="690"/>
      <c r="H79" s="690"/>
      <c r="I79" s="690"/>
      <c r="J79" s="690"/>
      <c r="K79" s="690"/>
      <c r="L79" s="690"/>
      <c r="M79" s="690"/>
      <c r="N79" s="690"/>
      <c r="O79" s="690"/>
      <c r="P79" s="690"/>
      <c r="Q79" s="690"/>
      <c r="R79" s="690"/>
      <c r="S79" s="690"/>
      <c r="T79" s="690"/>
      <c r="U79" s="690"/>
      <c r="V79" s="690"/>
      <c r="W79" s="690"/>
      <c r="X79" s="690"/>
      <c r="Y79" s="691"/>
    </row>
    <row r="80" spans="1:25" ht="18" customHeight="1" x14ac:dyDescent="0.2">
      <c r="A80" s="337"/>
      <c r="B80" s="337"/>
      <c r="C80" s="689"/>
      <c r="D80" s="690"/>
      <c r="E80" s="690"/>
      <c r="F80" s="690"/>
      <c r="G80" s="690"/>
      <c r="H80" s="690"/>
      <c r="I80" s="690"/>
      <c r="J80" s="690"/>
      <c r="K80" s="690"/>
      <c r="L80" s="690"/>
      <c r="M80" s="690"/>
      <c r="N80" s="690"/>
      <c r="O80" s="690"/>
      <c r="P80" s="690"/>
      <c r="Q80" s="690"/>
      <c r="R80" s="690"/>
      <c r="S80" s="690"/>
      <c r="T80" s="690"/>
      <c r="U80" s="690"/>
      <c r="V80" s="690"/>
      <c r="W80" s="690"/>
      <c r="X80" s="690"/>
      <c r="Y80" s="691"/>
    </row>
    <row r="81" spans="1:25" ht="18" customHeight="1" x14ac:dyDescent="0.2">
      <c r="A81" s="337"/>
      <c r="B81" s="337"/>
      <c r="C81" s="689"/>
      <c r="D81" s="690"/>
      <c r="E81" s="690"/>
      <c r="F81" s="690"/>
      <c r="G81" s="690"/>
      <c r="H81" s="690"/>
      <c r="I81" s="690"/>
      <c r="J81" s="690"/>
      <c r="K81" s="690"/>
      <c r="L81" s="690"/>
      <c r="M81" s="690"/>
      <c r="N81" s="690"/>
      <c r="O81" s="690"/>
      <c r="P81" s="690"/>
      <c r="Q81" s="690"/>
      <c r="R81" s="690"/>
      <c r="S81" s="690"/>
      <c r="T81" s="690"/>
      <c r="U81" s="690"/>
      <c r="V81" s="690"/>
      <c r="W81" s="690"/>
      <c r="X81" s="690"/>
      <c r="Y81" s="691"/>
    </row>
    <row r="82" spans="1:25" ht="18" customHeight="1" x14ac:dyDescent="0.2">
      <c r="A82" s="337"/>
      <c r="B82" s="337"/>
      <c r="C82" s="689"/>
      <c r="D82" s="690"/>
      <c r="E82" s="690"/>
      <c r="F82" s="690"/>
      <c r="G82" s="690"/>
      <c r="H82" s="690"/>
      <c r="I82" s="690"/>
      <c r="J82" s="690"/>
      <c r="K82" s="690"/>
      <c r="L82" s="690"/>
      <c r="M82" s="690"/>
      <c r="N82" s="690"/>
      <c r="O82" s="690"/>
      <c r="P82" s="690"/>
      <c r="Q82" s="690"/>
      <c r="R82" s="690"/>
      <c r="S82" s="690"/>
      <c r="T82" s="690"/>
      <c r="U82" s="690"/>
      <c r="V82" s="690"/>
      <c r="W82" s="690"/>
      <c r="X82" s="690"/>
      <c r="Y82" s="691"/>
    </row>
    <row r="83" spans="1:25" ht="18" customHeight="1" x14ac:dyDescent="0.2">
      <c r="A83" s="337"/>
      <c r="B83" s="337"/>
      <c r="C83" s="689"/>
      <c r="D83" s="690"/>
      <c r="E83" s="690"/>
      <c r="F83" s="690"/>
      <c r="G83" s="690"/>
      <c r="H83" s="690"/>
      <c r="I83" s="690"/>
      <c r="J83" s="690"/>
      <c r="K83" s="690"/>
      <c r="L83" s="690"/>
      <c r="M83" s="690"/>
      <c r="N83" s="690"/>
      <c r="O83" s="690"/>
      <c r="P83" s="690"/>
      <c r="Q83" s="690"/>
      <c r="R83" s="690"/>
      <c r="S83" s="690"/>
      <c r="T83" s="690"/>
      <c r="U83" s="690"/>
      <c r="V83" s="690"/>
      <c r="W83" s="690"/>
      <c r="X83" s="690"/>
      <c r="Y83" s="691"/>
    </row>
    <row r="84" spans="1:25" ht="18" customHeight="1" x14ac:dyDescent="0.2">
      <c r="A84" s="337"/>
      <c r="B84" s="337"/>
      <c r="C84" s="689"/>
      <c r="D84" s="690"/>
      <c r="E84" s="690"/>
      <c r="F84" s="690"/>
      <c r="G84" s="690"/>
      <c r="H84" s="690"/>
      <c r="I84" s="690"/>
      <c r="J84" s="690"/>
      <c r="K84" s="690"/>
      <c r="L84" s="690"/>
      <c r="M84" s="690"/>
      <c r="N84" s="690"/>
      <c r="O84" s="690"/>
      <c r="P84" s="690"/>
      <c r="Q84" s="690"/>
      <c r="R84" s="690"/>
      <c r="S84" s="690"/>
      <c r="T84" s="690"/>
      <c r="U84" s="690"/>
      <c r="V84" s="690"/>
      <c r="W84" s="690"/>
      <c r="X84" s="690"/>
      <c r="Y84" s="691"/>
    </row>
    <row r="85" spans="1:25" ht="18" customHeight="1" x14ac:dyDescent="0.2">
      <c r="A85" s="337"/>
      <c r="B85" s="337"/>
      <c r="C85" s="689"/>
      <c r="D85" s="690"/>
      <c r="E85" s="690"/>
      <c r="F85" s="690"/>
      <c r="G85" s="690"/>
      <c r="H85" s="690"/>
      <c r="I85" s="690"/>
      <c r="J85" s="690"/>
      <c r="K85" s="690"/>
      <c r="L85" s="690"/>
      <c r="M85" s="690"/>
      <c r="N85" s="690"/>
      <c r="O85" s="690"/>
      <c r="P85" s="690"/>
      <c r="Q85" s="690"/>
      <c r="R85" s="690"/>
      <c r="S85" s="690"/>
      <c r="T85" s="690"/>
      <c r="U85" s="690"/>
      <c r="V85" s="690"/>
      <c r="W85" s="690"/>
      <c r="X85" s="690"/>
      <c r="Y85" s="691"/>
    </row>
    <row r="86" spans="1:25" ht="18" customHeight="1" x14ac:dyDescent="0.2">
      <c r="A86" s="337"/>
      <c r="B86" s="337"/>
      <c r="C86" s="689"/>
      <c r="D86" s="690"/>
      <c r="E86" s="690"/>
      <c r="F86" s="690"/>
      <c r="G86" s="690"/>
      <c r="H86" s="690"/>
      <c r="I86" s="690"/>
      <c r="J86" s="690"/>
      <c r="K86" s="690"/>
      <c r="L86" s="690"/>
      <c r="M86" s="690"/>
      <c r="N86" s="690"/>
      <c r="O86" s="690"/>
      <c r="P86" s="690"/>
      <c r="Q86" s="690"/>
      <c r="R86" s="690"/>
      <c r="S86" s="690"/>
      <c r="T86" s="690"/>
      <c r="U86" s="690"/>
      <c r="V86" s="690"/>
      <c r="W86" s="690"/>
      <c r="X86" s="690"/>
      <c r="Y86" s="691"/>
    </row>
    <row r="87" spans="1:25" ht="18" customHeight="1" x14ac:dyDescent="0.2">
      <c r="A87" s="337"/>
      <c r="B87" s="337"/>
      <c r="C87" s="689"/>
      <c r="D87" s="690"/>
      <c r="E87" s="690"/>
      <c r="F87" s="690"/>
      <c r="G87" s="690"/>
      <c r="H87" s="690"/>
      <c r="I87" s="690"/>
      <c r="J87" s="690"/>
      <c r="K87" s="690"/>
      <c r="L87" s="690"/>
      <c r="M87" s="690"/>
      <c r="N87" s="690"/>
      <c r="O87" s="690"/>
      <c r="P87" s="690"/>
      <c r="Q87" s="690"/>
      <c r="R87" s="690"/>
      <c r="S87" s="690"/>
      <c r="T87" s="690"/>
      <c r="U87" s="690"/>
      <c r="V87" s="690"/>
      <c r="W87" s="690"/>
      <c r="X87" s="690"/>
      <c r="Y87" s="691"/>
    </row>
    <row r="88" spans="1:25" ht="18" customHeight="1" x14ac:dyDescent="0.2">
      <c r="A88" s="337"/>
      <c r="B88" s="337"/>
      <c r="C88" s="689"/>
      <c r="D88" s="690"/>
      <c r="E88" s="690"/>
      <c r="F88" s="690"/>
      <c r="G88" s="690"/>
      <c r="H88" s="690"/>
      <c r="I88" s="690"/>
      <c r="J88" s="690"/>
      <c r="K88" s="690"/>
      <c r="L88" s="690"/>
      <c r="M88" s="690"/>
      <c r="N88" s="690"/>
      <c r="O88" s="690"/>
      <c r="P88" s="690"/>
      <c r="Q88" s="690"/>
      <c r="R88" s="690"/>
      <c r="S88" s="690"/>
      <c r="T88" s="690"/>
      <c r="U88" s="690"/>
      <c r="V88" s="690"/>
      <c r="W88" s="690"/>
      <c r="X88" s="690"/>
      <c r="Y88" s="691"/>
    </row>
    <row r="89" spans="1:25" ht="18" customHeight="1" x14ac:dyDescent="0.2">
      <c r="A89" s="337"/>
      <c r="B89" s="337"/>
      <c r="C89" s="689"/>
      <c r="D89" s="690"/>
      <c r="E89" s="690"/>
      <c r="F89" s="690"/>
      <c r="G89" s="690"/>
      <c r="H89" s="690"/>
      <c r="I89" s="690"/>
      <c r="J89" s="690"/>
      <c r="K89" s="690"/>
      <c r="L89" s="690"/>
      <c r="M89" s="690"/>
      <c r="N89" s="690"/>
      <c r="O89" s="690"/>
      <c r="P89" s="690"/>
      <c r="Q89" s="690"/>
      <c r="R89" s="690"/>
      <c r="S89" s="690"/>
      <c r="T89" s="690"/>
      <c r="U89" s="690"/>
      <c r="V89" s="690"/>
      <c r="W89" s="690"/>
      <c r="X89" s="690"/>
      <c r="Y89" s="691"/>
    </row>
    <row r="90" spans="1:25" ht="18" customHeight="1" x14ac:dyDescent="0.2">
      <c r="A90" s="337"/>
      <c r="B90" s="337"/>
      <c r="C90" s="689"/>
      <c r="D90" s="690"/>
      <c r="E90" s="690"/>
      <c r="F90" s="690"/>
      <c r="G90" s="690"/>
      <c r="H90" s="690"/>
      <c r="I90" s="690"/>
      <c r="J90" s="690"/>
      <c r="K90" s="690"/>
      <c r="L90" s="690"/>
      <c r="M90" s="690"/>
      <c r="N90" s="690"/>
      <c r="O90" s="690"/>
      <c r="P90" s="690"/>
      <c r="Q90" s="690"/>
      <c r="R90" s="690"/>
      <c r="S90" s="690"/>
      <c r="T90" s="690"/>
      <c r="U90" s="690"/>
      <c r="V90" s="690"/>
      <c r="W90" s="690"/>
      <c r="X90" s="690"/>
      <c r="Y90" s="691"/>
    </row>
    <row r="91" spans="1:25" ht="18" customHeight="1" x14ac:dyDescent="0.2">
      <c r="A91" s="337"/>
      <c r="B91" s="337"/>
      <c r="C91" s="689"/>
      <c r="D91" s="690"/>
      <c r="E91" s="690"/>
      <c r="F91" s="690"/>
      <c r="G91" s="690"/>
      <c r="H91" s="690"/>
      <c r="I91" s="690"/>
      <c r="J91" s="690"/>
      <c r="K91" s="690"/>
      <c r="L91" s="690"/>
      <c r="M91" s="690"/>
      <c r="N91" s="690"/>
      <c r="O91" s="690"/>
      <c r="P91" s="690"/>
      <c r="Q91" s="690"/>
      <c r="R91" s="690"/>
      <c r="S91" s="690"/>
      <c r="T91" s="690"/>
      <c r="U91" s="690"/>
      <c r="V91" s="690"/>
      <c r="W91" s="690"/>
      <c r="X91" s="690"/>
      <c r="Y91" s="691"/>
    </row>
    <row r="92" spans="1:25" ht="18" customHeight="1" x14ac:dyDescent="0.2">
      <c r="A92" s="337"/>
      <c r="B92" s="337"/>
      <c r="C92" s="689"/>
      <c r="D92" s="690"/>
      <c r="E92" s="690"/>
      <c r="F92" s="690"/>
      <c r="G92" s="690"/>
      <c r="H92" s="690"/>
      <c r="I92" s="690"/>
      <c r="J92" s="690"/>
      <c r="K92" s="690"/>
      <c r="L92" s="690"/>
      <c r="M92" s="690"/>
      <c r="N92" s="690"/>
      <c r="O92" s="690"/>
      <c r="P92" s="690"/>
      <c r="Q92" s="690"/>
      <c r="R92" s="690"/>
      <c r="S92" s="690"/>
      <c r="T92" s="690"/>
      <c r="U92" s="690"/>
      <c r="V92" s="690"/>
      <c r="W92" s="690"/>
      <c r="X92" s="690"/>
      <c r="Y92" s="691"/>
    </row>
    <row r="93" spans="1:25" ht="18" customHeight="1" x14ac:dyDescent="0.2">
      <c r="A93" s="337"/>
      <c r="B93" s="337"/>
      <c r="C93" s="689"/>
      <c r="D93" s="690"/>
      <c r="E93" s="690"/>
      <c r="F93" s="690"/>
      <c r="G93" s="690"/>
      <c r="H93" s="690"/>
      <c r="I93" s="690"/>
      <c r="J93" s="690"/>
      <c r="K93" s="690"/>
      <c r="L93" s="690"/>
      <c r="M93" s="690"/>
      <c r="N93" s="690"/>
      <c r="O93" s="690"/>
      <c r="P93" s="690"/>
      <c r="Q93" s="690"/>
      <c r="R93" s="690"/>
      <c r="S93" s="690"/>
      <c r="T93" s="690"/>
      <c r="U93" s="690"/>
      <c r="V93" s="690"/>
      <c r="W93" s="690"/>
      <c r="X93" s="690"/>
      <c r="Y93" s="691"/>
    </row>
    <row r="94" spans="1:25" ht="18" customHeight="1" x14ac:dyDescent="0.2">
      <c r="A94" s="337"/>
      <c r="B94" s="337"/>
      <c r="C94" s="689"/>
      <c r="D94" s="690"/>
      <c r="E94" s="690"/>
      <c r="F94" s="690"/>
      <c r="G94" s="690"/>
      <c r="H94" s="690"/>
      <c r="I94" s="690"/>
      <c r="J94" s="690"/>
      <c r="K94" s="690"/>
      <c r="L94" s="690"/>
      <c r="M94" s="690"/>
      <c r="N94" s="690"/>
      <c r="O94" s="690"/>
      <c r="P94" s="690"/>
      <c r="Q94" s="690"/>
      <c r="R94" s="690"/>
      <c r="S94" s="690"/>
      <c r="T94" s="690"/>
      <c r="U94" s="690"/>
      <c r="V94" s="690"/>
      <c r="W94" s="690"/>
      <c r="X94" s="690"/>
      <c r="Y94" s="691"/>
    </row>
    <row r="95" spans="1:25" ht="18" customHeight="1" x14ac:dyDescent="0.2">
      <c r="A95" s="337"/>
      <c r="B95" s="337"/>
      <c r="C95" s="689"/>
      <c r="D95" s="690"/>
      <c r="E95" s="690"/>
      <c r="F95" s="690"/>
      <c r="G95" s="690"/>
      <c r="H95" s="690"/>
      <c r="I95" s="690"/>
      <c r="J95" s="690"/>
      <c r="K95" s="690"/>
      <c r="L95" s="690"/>
      <c r="M95" s="690"/>
      <c r="N95" s="690"/>
      <c r="O95" s="690"/>
      <c r="P95" s="690"/>
      <c r="Q95" s="690"/>
      <c r="R95" s="690"/>
      <c r="S95" s="690"/>
      <c r="T95" s="690"/>
      <c r="U95" s="690"/>
      <c r="V95" s="690"/>
      <c r="W95" s="690"/>
      <c r="X95" s="690"/>
      <c r="Y95" s="691"/>
    </row>
    <row r="96" spans="1:25" ht="18" customHeight="1" x14ac:dyDescent="0.2">
      <c r="A96" s="337"/>
      <c r="B96" s="337"/>
      <c r="C96" s="689"/>
      <c r="D96" s="690"/>
      <c r="E96" s="690"/>
      <c r="F96" s="690"/>
      <c r="G96" s="690"/>
      <c r="H96" s="690"/>
      <c r="I96" s="690"/>
      <c r="J96" s="690"/>
      <c r="K96" s="690"/>
      <c r="L96" s="690"/>
      <c r="M96" s="690"/>
      <c r="N96" s="690"/>
      <c r="O96" s="690"/>
      <c r="P96" s="690"/>
      <c r="Q96" s="690"/>
      <c r="R96" s="690"/>
      <c r="S96" s="690"/>
      <c r="T96" s="690"/>
      <c r="U96" s="690"/>
      <c r="V96" s="690"/>
      <c r="W96" s="690"/>
      <c r="X96" s="690"/>
      <c r="Y96" s="691"/>
    </row>
    <row r="97" spans="1:27" ht="18" customHeight="1" x14ac:dyDescent="0.2">
      <c r="A97" s="337"/>
      <c r="B97" s="337"/>
      <c r="C97" s="689"/>
      <c r="D97" s="690"/>
      <c r="E97" s="690"/>
      <c r="F97" s="690"/>
      <c r="G97" s="690"/>
      <c r="H97" s="690"/>
      <c r="I97" s="690"/>
      <c r="J97" s="690"/>
      <c r="K97" s="690"/>
      <c r="L97" s="690"/>
      <c r="M97" s="690"/>
      <c r="N97" s="690"/>
      <c r="O97" s="690"/>
      <c r="P97" s="690"/>
      <c r="Q97" s="690"/>
      <c r="R97" s="690"/>
      <c r="S97" s="690"/>
      <c r="T97" s="690"/>
      <c r="U97" s="690"/>
      <c r="V97" s="690"/>
      <c r="W97" s="690"/>
      <c r="X97" s="690"/>
      <c r="Y97" s="691"/>
    </row>
    <row r="98" spans="1:27" ht="18" customHeight="1" x14ac:dyDescent="0.2">
      <c r="A98" s="337"/>
      <c r="B98" s="337"/>
      <c r="C98" s="689"/>
      <c r="D98" s="690"/>
      <c r="E98" s="690"/>
      <c r="F98" s="690"/>
      <c r="G98" s="690"/>
      <c r="H98" s="690"/>
      <c r="I98" s="690"/>
      <c r="J98" s="690"/>
      <c r="K98" s="690"/>
      <c r="L98" s="690"/>
      <c r="M98" s="690"/>
      <c r="N98" s="690"/>
      <c r="O98" s="690"/>
      <c r="P98" s="690"/>
      <c r="Q98" s="690"/>
      <c r="R98" s="690"/>
      <c r="S98" s="690"/>
      <c r="T98" s="690"/>
      <c r="U98" s="690"/>
      <c r="V98" s="690"/>
      <c r="W98" s="690"/>
      <c r="X98" s="690"/>
      <c r="Y98" s="691"/>
    </row>
    <row r="99" spans="1:27" ht="18" customHeight="1" x14ac:dyDescent="0.2">
      <c r="A99" s="337"/>
      <c r="B99" s="337"/>
      <c r="C99" s="689"/>
      <c r="D99" s="690"/>
      <c r="E99" s="690"/>
      <c r="F99" s="690"/>
      <c r="G99" s="690"/>
      <c r="H99" s="690"/>
      <c r="I99" s="690"/>
      <c r="J99" s="690"/>
      <c r="K99" s="690"/>
      <c r="L99" s="690"/>
      <c r="M99" s="690"/>
      <c r="N99" s="690"/>
      <c r="O99" s="690"/>
      <c r="P99" s="690"/>
      <c r="Q99" s="690"/>
      <c r="R99" s="690"/>
      <c r="S99" s="690"/>
      <c r="T99" s="690"/>
      <c r="U99" s="690"/>
      <c r="V99" s="690"/>
      <c r="W99" s="690"/>
      <c r="X99" s="690"/>
      <c r="Y99" s="691"/>
    </row>
    <row r="100" spans="1:27" ht="18" customHeight="1" x14ac:dyDescent="0.2">
      <c r="A100" s="337"/>
      <c r="B100" s="337"/>
      <c r="C100" s="689"/>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1"/>
    </row>
    <row r="101" spans="1:27" ht="18" customHeight="1" x14ac:dyDescent="0.2">
      <c r="A101" s="337"/>
      <c r="B101" s="337"/>
      <c r="C101" s="689"/>
      <c r="D101" s="690"/>
      <c r="E101" s="690"/>
      <c r="F101" s="690"/>
      <c r="G101" s="690"/>
      <c r="H101" s="690"/>
      <c r="I101" s="690"/>
      <c r="J101" s="690"/>
      <c r="K101" s="690"/>
      <c r="L101" s="690"/>
      <c r="M101" s="690"/>
      <c r="N101" s="690"/>
      <c r="O101" s="690"/>
      <c r="P101" s="690"/>
      <c r="Q101" s="690"/>
      <c r="R101" s="690"/>
      <c r="S101" s="690"/>
      <c r="T101" s="690"/>
      <c r="U101" s="690"/>
      <c r="V101" s="690"/>
      <c r="W101" s="690"/>
      <c r="X101" s="690"/>
      <c r="Y101" s="691"/>
    </row>
    <row r="102" spans="1:27" ht="18" customHeight="1" x14ac:dyDescent="0.2">
      <c r="A102" s="337"/>
      <c r="B102" s="337"/>
      <c r="C102" s="692"/>
      <c r="D102" s="693"/>
      <c r="E102" s="693"/>
      <c r="F102" s="693"/>
      <c r="G102" s="693"/>
      <c r="H102" s="693"/>
      <c r="I102" s="693"/>
      <c r="J102" s="693"/>
      <c r="K102" s="693"/>
      <c r="L102" s="693"/>
      <c r="M102" s="693"/>
      <c r="N102" s="693"/>
      <c r="O102" s="693"/>
      <c r="P102" s="693"/>
      <c r="Q102" s="693"/>
      <c r="R102" s="693"/>
      <c r="S102" s="693"/>
      <c r="T102" s="693"/>
      <c r="U102" s="693"/>
      <c r="V102" s="693"/>
      <c r="W102" s="693"/>
      <c r="X102" s="693"/>
      <c r="Y102" s="694"/>
    </row>
    <row r="103" spans="1:27" ht="18" customHeight="1" x14ac:dyDescent="0.2">
      <c r="A103" s="337"/>
      <c r="B103" s="337"/>
      <c r="C103" s="350"/>
      <c r="D103" s="350"/>
      <c r="E103" s="350"/>
      <c r="F103" s="351" t="s">
        <v>363</v>
      </c>
      <c r="G103" s="536"/>
      <c r="H103" s="538"/>
      <c r="I103" s="345"/>
      <c r="J103" s="337"/>
      <c r="K103" s="337"/>
      <c r="L103" s="337"/>
      <c r="M103" s="337"/>
      <c r="N103" s="337"/>
      <c r="O103" s="337"/>
    </row>
    <row r="104" spans="1:27" ht="18" customHeight="1" x14ac:dyDescent="0.2">
      <c r="A104" s="337"/>
      <c r="B104" s="337"/>
      <c r="C104" s="515"/>
      <c r="D104" s="515"/>
      <c r="E104" s="515"/>
      <c r="F104" s="515"/>
      <c r="G104" s="352"/>
      <c r="H104" s="352"/>
      <c r="I104" s="337"/>
      <c r="J104" s="337"/>
      <c r="K104" s="337"/>
      <c r="L104" s="337"/>
      <c r="M104" s="337"/>
      <c r="N104" s="337"/>
      <c r="O104" s="337"/>
    </row>
    <row r="105" spans="1:27" ht="18" customHeight="1" x14ac:dyDescent="0.2">
      <c r="A105" s="337"/>
      <c r="B105" s="337"/>
      <c r="C105" s="581" t="s">
        <v>232</v>
      </c>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row>
    <row r="106" spans="1:27" ht="18" customHeight="1" x14ac:dyDescent="0.2">
      <c r="A106" s="337"/>
      <c r="B106" s="705" t="str">
        <f>IF(OR(C17="SITE IMPACTE - AVEC IMPACT ENVISAGE
(SIMULATION)",C17="SITE IMPACTE - APRES IMPACT"),"L'aire qui n'est plus en zone humide (par ex. bâti, route) dans le site du fait de l'aménagement n'apparaît pas dans l'état avec impact envisagé ou après impact.","")</f>
        <v/>
      </c>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row>
    <row r="107" spans="1:27" ht="18" customHeight="1" x14ac:dyDescent="0.2">
      <c r="A107" s="337"/>
      <c r="B107" s="337"/>
      <c r="C107" s="337"/>
      <c r="D107" s="337"/>
      <c r="E107" s="337"/>
      <c r="F107" s="337"/>
      <c r="G107" s="337"/>
      <c r="H107" s="337"/>
      <c r="I107" s="337"/>
      <c r="J107" s="337"/>
      <c r="K107" s="337"/>
      <c r="L107" s="337"/>
      <c r="M107" s="337"/>
      <c r="N107" s="337"/>
      <c r="O107" s="337"/>
      <c r="S107" s="353" t="s">
        <v>233</v>
      </c>
      <c r="T107" s="578"/>
      <c r="U107" s="578"/>
      <c r="V107" s="578"/>
      <c r="W107" s="578"/>
      <c r="X107" s="591" t="s">
        <v>111</v>
      </c>
      <c r="Y107" s="591"/>
    </row>
    <row r="108" spans="1:27" ht="18" customHeight="1" x14ac:dyDescent="0.2">
      <c r="A108" s="337"/>
      <c r="B108" s="337"/>
      <c r="C108" s="345"/>
      <c r="D108" s="337"/>
      <c r="E108" s="337"/>
      <c r="F108" s="337"/>
      <c r="G108" s="337"/>
      <c r="H108" s="337"/>
      <c r="I108" s="337"/>
      <c r="J108" s="337"/>
      <c r="K108" s="337"/>
      <c r="L108" s="337"/>
      <c r="M108" s="337"/>
      <c r="N108" s="337"/>
      <c r="O108" s="337"/>
    </row>
    <row r="109" spans="1:27" ht="18" customHeight="1" x14ac:dyDescent="0.2">
      <c r="A109" s="337"/>
      <c r="B109" s="337"/>
      <c r="C109" s="345"/>
      <c r="D109" s="337"/>
      <c r="E109" s="337"/>
      <c r="F109" s="337"/>
      <c r="G109" s="337"/>
      <c r="H109" s="337"/>
      <c r="I109" s="337"/>
      <c r="J109" s="337"/>
      <c r="K109" s="337"/>
      <c r="L109" s="337"/>
      <c r="M109" s="337"/>
      <c r="N109" s="337"/>
      <c r="O109" s="337"/>
    </row>
    <row r="110" spans="1:27" ht="18" customHeight="1" x14ac:dyDescent="0.2">
      <c r="A110" s="337"/>
      <c r="B110" s="337"/>
      <c r="C110" s="581" t="s">
        <v>281</v>
      </c>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row>
    <row r="111" spans="1:27" ht="18" customHeight="1" x14ac:dyDescent="0.2">
      <c r="A111" s="337"/>
      <c r="B111" s="337"/>
      <c r="C111" s="354" t="s">
        <v>234</v>
      </c>
      <c r="D111" s="354"/>
      <c r="E111" s="354"/>
      <c r="F111" s="355"/>
      <c r="G111" s="354"/>
      <c r="H111" s="355"/>
      <c r="I111" s="355"/>
      <c r="J111" s="356"/>
      <c r="K111" s="356"/>
      <c r="L111" s="356"/>
      <c r="M111" s="356"/>
      <c r="N111" s="356"/>
      <c r="O111" s="356"/>
      <c r="P111" s="356"/>
      <c r="Q111" s="356"/>
      <c r="R111" s="356"/>
      <c r="S111" s="357" t="s">
        <v>50</v>
      </c>
      <c r="T111" s="665"/>
      <c r="U111" s="666"/>
      <c r="V111" s="666"/>
      <c r="W111" s="667"/>
      <c r="X111" s="358"/>
      <c r="Y111" s="359"/>
    </row>
    <row r="112" spans="1:27" ht="18" customHeight="1" x14ac:dyDescent="0.2">
      <c r="A112" s="337"/>
      <c r="B112" s="337"/>
      <c r="C112" s="360"/>
      <c r="D112" s="32"/>
      <c r="E112" s="32"/>
      <c r="F112" s="361"/>
      <c r="G112" s="361"/>
      <c r="H112" s="361"/>
      <c r="I112" s="361"/>
      <c r="J112" s="361"/>
      <c r="K112" s="346"/>
      <c r="L112" s="346"/>
      <c r="M112" s="346"/>
      <c r="N112" s="346"/>
      <c r="O112" s="346"/>
      <c r="P112" s="346"/>
      <c r="Q112" s="346"/>
      <c r="R112" s="346"/>
      <c r="S112" s="362" t="s">
        <v>51</v>
      </c>
      <c r="T112" s="638"/>
      <c r="U112" s="638"/>
      <c r="V112" s="638"/>
      <c r="W112" s="638"/>
      <c r="X112" s="363"/>
      <c r="Y112" s="364"/>
    </row>
    <row r="113" spans="1:25" ht="18" customHeight="1" x14ac:dyDescent="0.2">
      <c r="A113" s="337"/>
      <c r="B113" s="337"/>
      <c r="C113" s="365"/>
      <c r="D113" s="32"/>
      <c r="E113" s="32"/>
      <c r="F113" s="361"/>
      <c r="G113" s="361"/>
      <c r="H113" s="361"/>
      <c r="I113" s="361"/>
      <c r="J113" s="361"/>
      <c r="K113" s="346"/>
      <c r="L113" s="346"/>
      <c r="M113" s="346"/>
      <c r="N113" s="346"/>
      <c r="O113" s="346"/>
      <c r="P113" s="346"/>
      <c r="Q113" s="346"/>
      <c r="R113" s="346"/>
      <c r="S113" s="362" t="s">
        <v>276</v>
      </c>
      <c r="T113" s="638"/>
      <c r="U113" s="638"/>
      <c r="V113" s="638"/>
      <c r="W113" s="638"/>
      <c r="X113" s="363"/>
      <c r="Y113" s="364"/>
    </row>
    <row r="114" spans="1:25" ht="18" customHeight="1" x14ac:dyDescent="0.2">
      <c r="A114" s="337"/>
      <c r="B114" s="337"/>
      <c r="C114" s="345"/>
      <c r="D114" s="337"/>
      <c r="E114" s="337"/>
      <c r="F114" s="361"/>
      <c r="G114" s="337"/>
      <c r="H114" s="337"/>
      <c r="I114" s="337"/>
      <c r="J114" s="337"/>
      <c r="K114" s="337"/>
      <c r="L114" s="337"/>
      <c r="M114" s="337"/>
      <c r="N114" s="337"/>
      <c r="O114" s="337"/>
    </row>
    <row r="115" spans="1:25" ht="18" customHeight="1" x14ac:dyDescent="0.2">
      <c r="A115" s="337"/>
      <c r="B115" s="337"/>
      <c r="C115" s="345"/>
      <c r="D115" s="337"/>
      <c r="E115" s="337"/>
      <c r="F115" s="361"/>
      <c r="G115" s="337"/>
      <c r="H115" s="337"/>
      <c r="I115" s="337"/>
      <c r="J115" s="337"/>
      <c r="K115" s="337"/>
      <c r="L115" s="337"/>
      <c r="M115" s="337"/>
      <c r="N115" s="337"/>
      <c r="O115" s="337"/>
    </row>
    <row r="116" spans="1:25" ht="18" customHeight="1" x14ac:dyDescent="0.2">
      <c r="A116" s="337"/>
      <c r="B116" s="337"/>
      <c r="C116" s="581" t="s">
        <v>757</v>
      </c>
      <c r="D116" s="581"/>
      <c r="E116" s="581"/>
      <c r="F116" s="581"/>
      <c r="G116" s="704"/>
      <c r="H116" s="704"/>
      <c r="I116" s="704"/>
      <c r="J116" s="704"/>
      <c r="K116" s="704"/>
      <c r="L116" s="704"/>
      <c r="M116" s="704"/>
      <c r="N116" s="704"/>
      <c r="O116" s="704"/>
      <c r="P116" s="704"/>
      <c r="Q116" s="704"/>
      <c r="R116" s="704"/>
      <c r="S116" s="704"/>
      <c r="T116" s="704"/>
      <c r="U116" s="704"/>
      <c r="V116" s="704"/>
      <c r="W116" s="704"/>
      <c r="X116" s="704"/>
      <c r="Y116" s="704"/>
    </row>
    <row r="117" spans="1:25" ht="18" customHeight="1" x14ac:dyDescent="0.2">
      <c r="A117" s="337"/>
      <c r="B117" s="337"/>
      <c r="D117" s="367"/>
      <c r="F117" s="362" t="s">
        <v>235</v>
      </c>
      <c r="G117" s="536"/>
      <c r="H117" s="537"/>
      <c r="I117" s="537"/>
      <c r="J117" s="537"/>
      <c r="K117" s="537"/>
      <c r="L117" s="537"/>
      <c r="M117" s="537"/>
      <c r="N117" s="537"/>
      <c r="O117" s="537"/>
      <c r="P117" s="537"/>
      <c r="Q117" s="537"/>
      <c r="R117" s="537"/>
      <c r="S117" s="537"/>
      <c r="T117" s="537"/>
      <c r="U117" s="537"/>
      <c r="V117" s="537"/>
      <c r="W117" s="537"/>
      <c r="X117" s="537"/>
      <c r="Y117" s="538"/>
    </row>
    <row r="118" spans="1:25" ht="18" customHeight="1" x14ac:dyDescent="0.2">
      <c r="C118" s="345"/>
      <c r="D118" s="367"/>
    </row>
    <row r="119" spans="1:25" ht="18" customHeight="1" x14ac:dyDescent="0.2">
      <c r="C119" s="345"/>
      <c r="D119" s="367"/>
    </row>
    <row r="120" spans="1:25" ht="18" customHeight="1" x14ac:dyDescent="0.2">
      <c r="A120" s="337"/>
      <c r="B120" s="337"/>
      <c r="C120" s="581" t="s">
        <v>282</v>
      </c>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row>
    <row r="121" spans="1:25" ht="18" customHeight="1" x14ac:dyDescent="0.2">
      <c r="A121" s="337"/>
      <c r="B121" s="337"/>
      <c r="C121" s="354" t="s">
        <v>236</v>
      </c>
      <c r="D121" s="354"/>
      <c r="E121" s="337"/>
      <c r="F121" s="368"/>
      <c r="G121" s="368"/>
      <c r="H121" s="368"/>
      <c r="I121" s="353" t="s">
        <v>21</v>
      </c>
      <c r="J121" s="588"/>
      <c r="K121" s="588"/>
      <c r="P121" s="368"/>
      <c r="Q121" s="368"/>
      <c r="S121" s="353" t="s">
        <v>53</v>
      </c>
      <c r="T121" s="588"/>
      <c r="U121" s="588"/>
      <c r="V121" s="588"/>
      <c r="W121" s="588"/>
    </row>
    <row r="122" spans="1:25" ht="18" customHeight="1" x14ac:dyDescent="0.2">
      <c r="A122" s="337"/>
      <c r="B122" s="337"/>
      <c r="C122" s="354"/>
      <c r="D122" s="354"/>
      <c r="E122" s="337"/>
      <c r="F122" s="367"/>
      <c r="G122" s="367"/>
      <c r="H122" s="367"/>
      <c r="I122" s="369" t="s">
        <v>52</v>
      </c>
      <c r="J122" s="588"/>
      <c r="K122" s="588"/>
      <c r="P122" s="367"/>
      <c r="Q122" s="368"/>
      <c r="S122" s="353" t="s">
        <v>23</v>
      </c>
      <c r="T122" s="588"/>
      <c r="U122" s="588"/>
      <c r="V122" s="588"/>
      <c r="W122" s="588"/>
    </row>
    <row r="123" spans="1:25" ht="18" customHeight="1" x14ac:dyDescent="0.2">
      <c r="A123" s="337"/>
      <c r="B123" s="337"/>
      <c r="C123" s="337"/>
      <c r="D123" s="337"/>
      <c r="E123" s="337"/>
      <c r="F123" s="368"/>
      <c r="G123" s="368"/>
      <c r="H123" s="367"/>
      <c r="I123" s="353" t="s">
        <v>22</v>
      </c>
      <c r="J123" s="588"/>
      <c r="K123" s="588"/>
      <c r="P123" s="367"/>
      <c r="Q123" s="367"/>
    </row>
    <row r="124" spans="1:25" ht="18" customHeight="1" x14ac:dyDescent="0.2">
      <c r="A124" s="337"/>
      <c r="B124" s="337"/>
      <c r="C124" s="345"/>
      <c r="D124" s="337"/>
      <c r="E124" s="337"/>
      <c r="F124" s="337"/>
      <c r="G124" s="337"/>
      <c r="H124" s="337"/>
      <c r="I124" s="337"/>
      <c r="J124" s="337"/>
      <c r="K124" s="337"/>
      <c r="L124" s="337"/>
      <c r="M124" s="337"/>
      <c r="N124" s="337"/>
      <c r="O124" s="337"/>
    </row>
    <row r="125" spans="1:25" ht="18" customHeight="1" x14ac:dyDescent="0.2">
      <c r="A125" s="337"/>
      <c r="B125" s="337"/>
      <c r="C125" s="345"/>
      <c r="D125" s="337"/>
      <c r="E125" s="337"/>
      <c r="F125" s="337"/>
      <c r="G125" s="337"/>
      <c r="H125" s="337"/>
      <c r="I125" s="337"/>
      <c r="J125" s="337"/>
      <c r="K125" s="337"/>
      <c r="L125" s="337"/>
      <c r="M125" s="337"/>
      <c r="N125" s="337"/>
      <c r="O125" s="337"/>
    </row>
    <row r="126" spans="1:25" ht="18" customHeight="1" x14ac:dyDescent="0.2">
      <c r="A126" s="337"/>
      <c r="B126" s="337"/>
      <c r="C126" s="583" t="s">
        <v>283</v>
      </c>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row>
    <row r="127" spans="1:25" ht="18" customHeight="1" x14ac:dyDescent="0.2">
      <c r="A127" s="337"/>
      <c r="B127" s="337"/>
      <c r="C127" s="592"/>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row>
    <row r="128" spans="1:25" ht="18" customHeight="1" x14ac:dyDescent="0.2">
      <c r="A128" s="337"/>
      <c r="B128" s="337"/>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row>
    <row r="129" spans="1:25" ht="18" customHeight="1" x14ac:dyDescent="0.2">
      <c r="C129" s="345"/>
      <c r="D129" s="520"/>
      <c r="E129" s="370"/>
      <c r="F129" s="370"/>
      <c r="G129" s="370"/>
      <c r="H129" s="370"/>
      <c r="I129" s="370"/>
      <c r="J129" s="370"/>
      <c r="K129" s="370"/>
      <c r="L129" s="370"/>
    </row>
    <row r="130" spans="1:25" ht="18" customHeight="1" x14ac:dyDescent="0.2">
      <c r="C130" s="345"/>
      <c r="D130" s="520"/>
      <c r="E130" s="370"/>
      <c r="F130" s="370"/>
      <c r="G130" s="370"/>
      <c r="H130" s="370"/>
      <c r="I130" s="370"/>
      <c r="J130" s="370"/>
      <c r="K130" s="370"/>
      <c r="L130" s="370"/>
    </row>
    <row r="131" spans="1:25" ht="18" customHeight="1" x14ac:dyDescent="0.2">
      <c r="C131" s="581" t="s">
        <v>284</v>
      </c>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row>
    <row r="132" spans="1:25" ht="18" customHeight="1" x14ac:dyDescent="0.2">
      <c r="C132" s="365"/>
      <c r="D132" s="365"/>
      <c r="S132" s="369" t="s">
        <v>237</v>
      </c>
      <c r="T132" s="701"/>
      <c r="U132" s="701"/>
      <c r="V132" s="701"/>
      <c r="W132" s="701"/>
      <c r="X132" s="371"/>
      <c r="Y132" s="372"/>
    </row>
    <row r="133" spans="1:25" ht="18" customHeight="1" x14ac:dyDescent="0.2">
      <c r="C133" s="345"/>
      <c r="D133" s="520"/>
      <c r="E133" s="370"/>
      <c r="F133" s="370"/>
      <c r="G133" s="370"/>
      <c r="H133" s="370"/>
      <c r="I133" s="370"/>
      <c r="J133" s="370"/>
      <c r="K133" s="370"/>
      <c r="L133" s="370"/>
    </row>
    <row r="134" spans="1:25" ht="18" customHeight="1" x14ac:dyDescent="0.2">
      <c r="C134" s="345"/>
      <c r="D134" s="520"/>
      <c r="E134" s="370"/>
      <c r="F134" s="370"/>
      <c r="G134" s="370"/>
      <c r="H134" s="370"/>
      <c r="I134" s="370"/>
      <c r="J134" s="370"/>
      <c r="K134" s="370"/>
      <c r="L134" s="370"/>
    </row>
    <row r="135" spans="1:25" ht="33.75" customHeight="1" x14ac:dyDescent="0.2">
      <c r="A135" s="337"/>
      <c r="B135" s="337"/>
      <c r="C135" s="341" t="s">
        <v>403</v>
      </c>
      <c r="D135" s="695" t="s">
        <v>44</v>
      </c>
      <c r="E135" s="696"/>
      <c r="F135" s="696"/>
      <c r="G135" s="696"/>
      <c r="H135" s="696"/>
      <c r="I135" s="696"/>
      <c r="J135" s="696"/>
      <c r="K135" s="696"/>
      <c r="L135" s="696"/>
      <c r="M135" s="696"/>
      <c r="N135" s="696"/>
      <c r="O135" s="696"/>
      <c r="P135" s="696"/>
      <c r="Q135" s="696"/>
      <c r="R135" s="696"/>
      <c r="S135" s="696"/>
      <c r="T135" s="696"/>
      <c r="U135" s="696"/>
      <c r="V135" s="696"/>
      <c r="W135" s="696"/>
      <c r="X135" s="696"/>
      <c r="Y135" s="697"/>
    </row>
    <row r="136" spans="1:25" ht="18" customHeight="1" x14ac:dyDescent="0.2">
      <c r="A136" s="337"/>
      <c r="B136" s="337"/>
      <c r="C136" s="517"/>
      <c r="D136" s="517"/>
      <c r="E136" s="517"/>
      <c r="F136" s="517"/>
      <c r="G136" s="517"/>
      <c r="H136" s="517"/>
      <c r="I136" s="517"/>
      <c r="J136" s="517"/>
      <c r="K136" s="517"/>
      <c r="L136" s="517"/>
      <c r="M136" s="517"/>
      <c r="N136" s="517"/>
      <c r="O136" s="517"/>
      <c r="P136" s="517"/>
      <c r="Q136" s="517"/>
      <c r="R136" s="517"/>
      <c r="S136" s="517"/>
      <c r="T136" s="517"/>
      <c r="U136" s="517"/>
      <c r="V136" s="517"/>
      <c r="W136" s="517"/>
      <c r="X136" s="517"/>
      <c r="Y136" s="517"/>
    </row>
    <row r="137" spans="1:25" ht="18" customHeight="1" x14ac:dyDescent="0.2">
      <c r="A137" s="337"/>
      <c r="B137" s="337"/>
      <c r="C137" s="583" t="s">
        <v>364</v>
      </c>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row>
    <row r="138" spans="1:25" ht="18" customHeight="1" x14ac:dyDescent="0.2">
      <c r="A138" s="337"/>
      <c r="B138" s="337"/>
      <c r="C138" s="592"/>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row>
    <row r="139" spans="1:25" ht="18" customHeight="1" thickBot="1" x14ac:dyDescent="0.25">
      <c r="A139" s="337"/>
      <c r="B139" s="337"/>
      <c r="C139" s="373"/>
      <c r="D139" s="373"/>
      <c r="E139" s="374"/>
      <c r="F139" s="374"/>
      <c r="G139" s="374"/>
      <c r="H139" s="374"/>
      <c r="I139" s="374"/>
      <c r="J139" s="374"/>
      <c r="K139" s="373"/>
      <c r="L139" s="373"/>
      <c r="M139" s="374"/>
      <c r="N139" s="374"/>
      <c r="O139" s="374"/>
      <c r="P139" s="374"/>
      <c r="Q139" s="374"/>
      <c r="R139" s="374"/>
      <c r="S139" s="362" t="s">
        <v>238</v>
      </c>
      <c r="T139" s="702"/>
      <c r="U139" s="702"/>
      <c r="V139" s="702"/>
      <c r="W139" s="702"/>
      <c r="X139" s="703"/>
      <c r="Y139" s="703"/>
    </row>
    <row r="140" spans="1:25" ht="18" customHeight="1" thickBot="1" x14ac:dyDescent="0.25">
      <c r="A140" s="337"/>
      <c r="B140" s="337"/>
      <c r="C140" s="345"/>
      <c r="D140" s="517"/>
      <c r="E140" s="517"/>
      <c r="F140" s="517"/>
      <c r="G140" s="517"/>
      <c r="H140" s="517"/>
      <c r="I140" s="517"/>
      <c r="J140" s="517"/>
      <c r="K140" s="517"/>
      <c r="L140" s="517"/>
      <c r="M140" s="517"/>
      <c r="N140" s="517"/>
      <c r="O140" s="517"/>
      <c r="P140" s="517"/>
      <c r="Q140" s="517"/>
      <c r="R140" s="517"/>
      <c r="S140" s="517"/>
      <c r="T140" s="375"/>
      <c r="U140" s="376"/>
      <c r="V140" s="376"/>
      <c r="W140" s="377" t="str">
        <f>CONCATENATE(IF($T$139="","",IF($T$139&gt;8,"Le rang de Strahler maximal est de 8 dans la BD CARTHAGE","")),IF(AND(OR($J$121="X",$J$122="X"),$T$139=""),"Site alluvial ou riverain des étendues d'eau, renseignez un rang de Strahler.",""))</f>
        <v/>
      </c>
      <c r="X140" s="517"/>
      <c r="Y140" s="517"/>
    </row>
    <row r="141" spans="1:25" ht="18" customHeight="1" x14ac:dyDescent="0.2">
      <c r="A141" s="337"/>
      <c r="B141" s="337"/>
      <c r="C141" s="345"/>
      <c r="D141" s="517"/>
      <c r="E141" s="517"/>
      <c r="F141" s="517"/>
      <c r="G141" s="517"/>
      <c r="H141" s="517"/>
      <c r="I141" s="517"/>
      <c r="J141" s="517"/>
      <c r="K141" s="517"/>
      <c r="L141" s="517"/>
      <c r="M141" s="517"/>
      <c r="N141" s="517"/>
      <c r="O141" s="517"/>
      <c r="P141" s="517"/>
      <c r="Q141" s="517"/>
      <c r="R141" s="517"/>
      <c r="S141" s="517"/>
      <c r="T141" s="517"/>
      <c r="U141" s="517"/>
      <c r="V141" s="517"/>
      <c r="W141" s="378"/>
      <c r="X141" s="517"/>
      <c r="Y141" s="517"/>
    </row>
    <row r="142" spans="1:25" ht="18" customHeight="1" x14ac:dyDescent="0.2">
      <c r="A142" s="337"/>
      <c r="B142" s="337"/>
      <c r="C142" s="581" t="s">
        <v>777</v>
      </c>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row>
    <row r="143" spans="1:25" ht="18" customHeight="1" x14ac:dyDescent="0.2">
      <c r="A143" s="337"/>
      <c r="B143" s="337"/>
      <c r="C143" s="684" t="s">
        <v>365</v>
      </c>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row>
    <row r="144" spans="1:25" ht="18" customHeight="1" x14ac:dyDescent="0.2">
      <c r="A144" s="337"/>
      <c r="B144" s="337"/>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row>
    <row r="145" spans="1:25" ht="18" customHeight="1" x14ac:dyDescent="0.2">
      <c r="A145" s="337"/>
      <c r="B145" s="337"/>
      <c r="C145" s="686"/>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8"/>
    </row>
    <row r="146" spans="1:25" ht="18" customHeight="1" x14ac:dyDescent="0.2">
      <c r="A146" s="337"/>
      <c r="B146" s="337"/>
      <c r="C146" s="689"/>
      <c r="D146" s="690"/>
      <c r="E146" s="690"/>
      <c r="F146" s="690"/>
      <c r="G146" s="690"/>
      <c r="H146" s="690"/>
      <c r="I146" s="690"/>
      <c r="J146" s="690"/>
      <c r="K146" s="690"/>
      <c r="L146" s="690"/>
      <c r="M146" s="690"/>
      <c r="N146" s="690"/>
      <c r="O146" s="690"/>
      <c r="P146" s="690"/>
      <c r="Q146" s="690"/>
      <c r="R146" s="690"/>
      <c r="S146" s="690"/>
      <c r="T146" s="690"/>
      <c r="U146" s="690"/>
      <c r="V146" s="690"/>
      <c r="W146" s="690"/>
      <c r="X146" s="690"/>
      <c r="Y146" s="691"/>
    </row>
    <row r="147" spans="1:25" ht="18" customHeight="1" x14ac:dyDescent="0.2">
      <c r="A147" s="337"/>
      <c r="B147" s="337"/>
      <c r="C147" s="689"/>
      <c r="D147" s="690"/>
      <c r="E147" s="690"/>
      <c r="F147" s="690"/>
      <c r="G147" s="690"/>
      <c r="H147" s="690"/>
      <c r="I147" s="690"/>
      <c r="J147" s="690"/>
      <c r="K147" s="690"/>
      <c r="L147" s="690"/>
      <c r="M147" s="690"/>
      <c r="N147" s="690"/>
      <c r="O147" s="690"/>
      <c r="P147" s="690"/>
      <c r="Q147" s="690"/>
      <c r="R147" s="690"/>
      <c r="S147" s="690"/>
      <c r="T147" s="690"/>
      <c r="U147" s="690"/>
      <c r="V147" s="690"/>
      <c r="W147" s="690"/>
      <c r="X147" s="690"/>
      <c r="Y147" s="691"/>
    </row>
    <row r="148" spans="1:25" ht="18" customHeight="1" x14ac:dyDescent="0.2">
      <c r="A148" s="337"/>
      <c r="B148" s="337"/>
      <c r="C148" s="689"/>
      <c r="D148" s="690"/>
      <c r="E148" s="690"/>
      <c r="F148" s="690"/>
      <c r="G148" s="690"/>
      <c r="H148" s="690"/>
      <c r="I148" s="690"/>
      <c r="J148" s="690"/>
      <c r="K148" s="690"/>
      <c r="L148" s="690"/>
      <c r="M148" s="690"/>
      <c r="N148" s="690"/>
      <c r="O148" s="690"/>
      <c r="P148" s="690"/>
      <c r="Q148" s="690"/>
      <c r="R148" s="690"/>
      <c r="S148" s="690"/>
      <c r="T148" s="690"/>
      <c r="U148" s="690"/>
      <c r="V148" s="690"/>
      <c r="W148" s="690"/>
      <c r="X148" s="690"/>
      <c r="Y148" s="691"/>
    </row>
    <row r="149" spans="1:25" ht="18" customHeight="1" x14ac:dyDescent="0.2">
      <c r="A149" s="337"/>
      <c r="B149" s="337"/>
      <c r="C149" s="689"/>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1"/>
    </row>
    <row r="150" spans="1:25" ht="18" customHeight="1" x14ac:dyDescent="0.2">
      <c r="A150" s="337"/>
      <c r="B150" s="337"/>
      <c r="C150" s="689"/>
      <c r="D150" s="690"/>
      <c r="E150" s="690"/>
      <c r="F150" s="690"/>
      <c r="G150" s="690"/>
      <c r="H150" s="690"/>
      <c r="I150" s="690"/>
      <c r="J150" s="690"/>
      <c r="K150" s="690"/>
      <c r="L150" s="690"/>
      <c r="M150" s="690"/>
      <c r="N150" s="690"/>
      <c r="O150" s="690"/>
      <c r="P150" s="690"/>
      <c r="Q150" s="690"/>
      <c r="R150" s="690"/>
      <c r="S150" s="690"/>
      <c r="T150" s="690"/>
      <c r="U150" s="690"/>
      <c r="V150" s="690"/>
      <c r="W150" s="690"/>
      <c r="X150" s="690"/>
      <c r="Y150" s="691"/>
    </row>
    <row r="151" spans="1:25" ht="18" customHeight="1" x14ac:dyDescent="0.2">
      <c r="A151" s="337"/>
      <c r="B151" s="337"/>
      <c r="C151" s="689"/>
      <c r="D151" s="690"/>
      <c r="E151" s="690"/>
      <c r="F151" s="690"/>
      <c r="G151" s="690"/>
      <c r="H151" s="690"/>
      <c r="I151" s="690"/>
      <c r="J151" s="690"/>
      <c r="K151" s="690"/>
      <c r="L151" s="690"/>
      <c r="M151" s="690"/>
      <c r="N151" s="690"/>
      <c r="O151" s="690"/>
      <c r="P151" s="690"/>
      <c r="Q151" s="690"/>
      <c r="R151" s="690"/>
      <c r="S151" s="690"/>
      <c r="T151" s="690"/>
      <c r="U151" s="690"/>
      <c r="V151" s="690"/>
      <c r="W151" s="690"/>
      <c r="X151" s="690"/>
      <c r="Y151" s="691"/>
    </row>
    <row r="152" spans="1:25" ht="18" customHeight="1" x14ac:dyDescent="0.2">
      <c r="A152" s="337"/>
      <c r="B152" s="337"/>
      <c r="C152" s="689"/>
      <c r="D152" s="690"/>
      <c r="E152" s="690"/>
      <c r="F152" s="690"/>
      <c r="G152" s="690"/>
      <c r="H152" s="690"/>
      <c r="I152" s="690"/>
      <c r="J152" s="690"/>
      <c r="K152" s="690"/>
      <c r="L152" s="690"/>
      <c r="M152" s="690"/>
      <c r="N152" s="690"/>
      <c r="O152" s="690"/>
      <c r="P152" s="690"/>
      <c r="Q152" s="690"/>
      <c r="R152" s="690"/>
      <c r="S152" s="690"/>
      <c r="T152" s="690"/>
      <c r="U152" s="690"/>
      <c r="V152" s="690"/>
      <c r="W152" s="690"/>
      <c r="X152" s="690"/>
      <c r="Y152" s="691"/>
    </row>
    <row r="153" spans="1:25" ht="18" customHeight="1" x14ac:dyDescent="0.2">
      <c r="A153" s="337"/>
      <c r="B153" s="337"/>
      <c r="C153" s="689"/>
      <c r="D153" s="690"/>
      <c r="E153" s="690"/>
      <c r="F153" s="690"/>
      <c r="G153" s="690"/>
      <c r="H153" s="690"/>
      <c r="I153" s="690"/>
      <c r="J153" s="690"/>
      <c r="K153" s="690"/>
      <c r="L153" s="690"/>
      <c r="M153" s="690"/>
      <c r="N153" s="690"/>
      <c r="O153" s="690"/>
      <c r="P153" s="690"/>
      <c r="Q153" s="690"/>
      <c r="R153" s="690"/>
      <c r="S153" s="690"/>
      <c r="T153" s="690"/>
      <c r="U153" s="690"/>
      <c r="V153" s="690"/>
      <c r="W153" s="690"/>
      <c r="X153" s="690"/>
      <c r="Y153" s="691"/>
    </row>
    <row r="154" spans="1:25" ht="18" customHeight="1" x14ac:dyDescent="0.2">
      <c r="A154" s="337"/>
      <c r="B154" s="337"/>
      <c r="C154" s="689"/>
      <c r="D154" s="690"/>
      <c r="E154" s="690"/>
      <c r="F154" s="690"/>
      <c r="G154" s="690"/>
      <c r="H154" s="690"/>
      <c r="I154" s="690"/>
      <c r="J154" s="690"/>
      <c r="K154" s="690"/>
      <c r="L154" s="690"/>
      <c r="M154" s="690"/>
      <c r="N154" s="690"/>
      <c r="O154" s="690"/>
      <c r="P154" s="690"/>
      <c r="Q154" s="690"/>
      <c r="R154" s="690"/>
      <c r="S154" s="690"/>
      <c r="T154" s="690"/>
      <c r="U154" s="690"/>
      <c r="V154" s="690"/>
      <c r="W154" s="690"/>
      <c r="X154" s="690"/>
      <c r="Y154" s="691"/>
    </row>
    <row r="155" spans="1:25" ht="18" customHeight="1" x14ac:dyDescent="0.2">
      <c r="A155" s="337"/>
      <c r="B155" s="337"/>
      <c r="C155" s="689"/>
      <c r="D155" s="690"/>
      <c r="E155" s="690"/>
      <c r="F155" s="690"/>
      <c r="G155" s="690"/>
      <c r="H155" s="690"/>
      <c r="I155" s="690"/>
      <c r="J155" s="690"/>
      <c r="K155" s="690"/>
      <c r="L155" s="690"/>
      <c r="M155" s="690"/>
      <c r="N155" s="690"/>
      <c r="O155" s="690"/>
      <c r="P155" s="690"/>
      <c r="Q155" s="690"/>
      <c r="R155" s="690"/>
      <c r="S155" s="690"/>
      <c r="T155" s="690"/>
      <c r="U155" s="690"/>
      <c r="V155" s="690"/>
      <c r="W155" s="690"/>
      <c r="X155" s="690"/>
      <c r="Y155" s="691"/>
    </row>
    <row r="156" spans="1:25" ht="18" customHeight="1" x14ac:dyDescent="0.2">
      <c r="A156" s="337"/>
      <c r="B156" s="337"/>
      <c r="C156" s="689"/>
      <c r="D156" s="690"/>
      <c r="E156" s="690"/>
      <c r="F156" s="690"/>
      <c r="G156" s="690"/>
      <c r="H156" s="690"/>
      <c r="I156" s="690"/>
      <c r="J156" s="690"/>
      <c r="K156" s="690"/>
      <c r="L156" s="690"/>
      <c r="M156" s="690"/>
      <c r="N156" s="690"/>
      <c r="O156" s="690"/>
      <c r="P156" s="690"/>
      <c r="Q156" s="690"/>
      <c r="R156" s="690"/>
      <c r="S156" s="690"/>
      <c r="T156" s="690"/>
      <c r="U156" s="690"/>
      <c r="V156" s="690"/>
      <c r="W156" s="690"/>
      <c r="X156" s="690"/>
      <c r="Y156" s="691"/>
    </row>
    <row r="157" spans="1:25" ht="18" customHeight="1" x14ac:dyDescent="0.2">
      <c r="A157" s="337"/>
      <c r="B157" s="337"/>
      <c r="C157" s="689"/>
      <c r="D157" s="690"/>
      <c r="E157" s="690"/>
      <c r="F157" s="690"/>
      <c r="G157" s="690"/>
      <c r="H157" s="690"/>
      <c r="I157" s="690"/>
      <c r="J157" s="690"/>
      <c r="K157" s="690"/>
      <c r="L157" s="690"/>
      <c r="M157" s="690"/>
      <c r="N157" s="690"/>
      <c r="O157" s="690"/>
      <c r="P157" s="690"/>
      <c r="Q157" s="690"/>
      <c r="R157" s="690"/>
      <c r="S157" s="690"/>
      <c r="T157" s="690"/>
      <c r="U157" s="690"/>
      <c r="V157" s="690"/>
      <c r="W157" s="690"/>
      <c r="X157" s="690"/>
      <c r="Y157" s="691"/>
    </row>
    <row r="158" spans="1:25" ht="18" customHeight="1" x14ac:dyDescent="0.2">
      <c r="A158" s="337"/>
      <c r="B158" s="337"/>
      <c r="C158" s="689"/>
      <c r="D158" s="690"/>
      <c r="E158" s="690"/>
      <c r="F158" s="690"/>
      <c r="G158" s="690"/>
      <c r="H158" s="690"/>
      <c r="I158" s="690"/>
      <c r="J158" s="690"/>
      <c r="K158" s="690"/>
      <c r="L158" s="690"/>
      <c r="M158" s="690"/>
      <c r="N158" s="690"/>
      <c r="O158" s="690"/>
      <c r="P158" s="690"/>
      <c r="Q158" s="690"/>
      <c r="R158" s="690"/>
      <c r="S158" s="690"/>
      <c r="T158" s="690"/>
      <c r="U158" s="690"/>
      <c r="V158" s="690"/>
      <c r="W158" s="690"/>
      <c r="X158" s="690"/>
      <c r="Y158" s="691"/>
    </row>
    <row r="159" spans="1:25" ht="18" customHeight="1" x14ac:dyDescent="0.2">
      <c r="A159" s="337"/>
      <c r="B159" s="337"/>
      <c r="C159" s="689"/>
      <c r="D159" s="690"/>
      <c r="E159" s="690"/>
      <c r="F159" s="690"/>
      <c r="G159" s="690"/>
      <c r="H159" s="690"/>
      <c r="I159" s="690"/>
      <c r="J159" s="690"/>
      <c r="K159" s="690"/>
      <c r="L159" s="690"/>
      <c r="M159" s="690"/>
      <c r="N159" s="690"/>
      <c r="O159" s="690"/>
      <c r="P159" s="690"/>
      <c r="Q159" s="690"/>
      <c r="R159" s="690"/>
      <c r="S159" s="690"/>
      <c r="T159" s="690"/>
      <c r="U159" s="690"/>
      <c r="V159" s="690"/>
      <c r="W159" s="690"/>
      <c r="X159" s="690"/>
      <c r="Y159" s="691"/>
    </row>
    <row r="160" spans="1:25" ht="18" customHeight="1" x14ac:dyDescent="0.2">
      <c r="A160" s="337"/>
      <c r="B160" s="337"/>
      <c r="C160" s="689"/>
      <c r="D160" s="690"/>
      <c r="E160" s="690"/>
      <c r="F160" s="690"/>
      <c r="G160" s="690"/>
      <c r="H160" s="690"/>
      <c r="I160" s="690"/>
      <c r="J160" s="690"/>
      <c r="K160" s="690"/>
      <c r="L160" s="690"/>
      <c r="M160" s="690"/>
      <c r="N160" s="690"/>
      <c r="O160" s="690"/>
      <c r="P160" s="690"/>
      <c r="Q160" s="690"/>
      <c r="R160" s="690"/>
      <c r="S160" s="690"/>
      <c r="T160" s="690"/>
      <c r="U160" s="690"/>
      <c r="V160" s="690"/>
      <c r="W160" s="690"/>
      <c r="X160" s="690"/>
      <c r="Y160" s="691"/>
    </row>
    <row r="161" spans="1:25" ht="18" customHeight="1" x14ac:dyDescent="0.2">
      <c r="A161" s="337"/>
      <c r="B161" s="337"/>
      <c r="C161" s="689"/>
      <c r="D161" s="690"/>
      <c r="E161" s="690"/>
      <c r="F161" s="690"/>
      <c r="G161" s="690"/>
      <c r="H161" s="690"/>
      <c r="I161" s="690"/>
      <c r="J161" s="690"/>
      <c r="K161" s="690"/>
      <c r="L161" s="690"/>
      <c r="M161" s="690"/>
      <c r="N161" s="690"/>
      <c r="O161" s="690"/>
      <c r="P161" s="690"/>
      <c r="Q161" s="690"/>
      <c r="R161" s="690"/>
      <c r="S161" s="690"/>
      <c r="T161" s="690"/>
      <c r="U161" s="690"/>
      <c r="V161" s="690"/>
      <c r="W161" s="690"/>
      <c r="X161" s="690"/>
      <c r="Y161" s="691"/>
    </row>
    <row r="162" spans="1:25" ht="18" customHeight="1" x14ac:dyDescent="0.2">
      <c r="A162" s="337"/>
      <c r="B162" s="337"/>
      <c r="C162" s="689"/>
      <c r="D162" s="690"/>
      <c r="E162" s="690"/>
      <c r="F162" s="690"/>
      <c r="G162" s="690"/>
      <c r="H162" s="690"/>
      <c r="I162" s="690"/>
      <c r="J162" s="690"/>
      <c r="K162" s="690"/>
      <c r="L162" s="690"/>
      <c r="M162" s="690"/>
      <c r="N162" s="690"/>
      <c r="O162" s="690"/>
      <c r="P162" s="690"/>
      <c r="Q162" s="690"/>
      <c r="R162" s="690"/>
      <c r="S162" s="690"/>
      <c r="T162" s="690"/>
      <c r="U162" s="690"/>
      <c r="V162" s="690"/>
      <c r="W162" s="690"/>
      <c r="X162" s="690"/>
      <c r="Y162" s="691"/>
    </row>
    <row r="163" spans="1:25" ht="18" customHeight="1" x14ac:dyDescent="0.2">
      <c r="A163" s="337"/>
      <c r="B163" s="337"/>
      <c r="C163" s="689"/>
      <c r="D163" s="690"/>
      <c r="E163" s="690"/>
      <c r="F163" s="690"/>
      <c r="G163" s="690"/>
      <c r="H163" s="690"/>
      <c r="I163" s="690"/>
      <c r="J163" s="690"/>
      <c r="K163" s="690"/>
      <c r="L163" s="690"/>
      <c r="M163" s="690"/>
      <c r="N163" s="690"/>
      <c r="O163" s="690"/>
      <c r="P163" s="690"/>
      <c r="Q163" s="690"/>
      <c r="R163" s="690"/>
      <c r="S163" s="690"/>
      <c r="T163" s="690"/>
      <c r="U163" s="690"/>
      <c r="V163" s="690"/>
      <c r="W163" s="690"/>
      <c r="X163" s="690"/>
      <c r="Y163" s="691"/>
    </row>
    <row r="164" spans="1:25" ht="18" customHeight="1" x14ac:dyDescent="0.2">
      <c r="A164" s="337"/>
      <c r="B164" s="337"/>
      <c r="C164" s="689"/>
      <c r="D164" s="690"/>
      <c r="E164" s="690"/>
      <c r="F164" s="690"/>
      <c r="G164" s="690"/>
      <c r="H164" s="690"/>
      <c r="I164" s="690"/>
      <c r="J164" s="690"/>
      <c r="K164" s="690"/>
      <c r="L164" s="690"/>
      <c r="M164" s="690"/>
      <c r="N164" s="690"/>
      <c r="O164" s="690"/>
      <c r="P164" s="690"/>
      <c r="Q164" s="690"/>
      <c r="R164" s="690"/>
      <c r="S164" s="690"/>
      <c r="T164" s="690"/>
      <c r="U164" s="690"/>
      <c r="V164" s="690"/>
      <c r="W164" s="690"/>
      <c r="X164" s="690"/>
      <c r="Y164" s="691"/>
    </row>
    <row r="165" spans="1:25" ht="18" customHeight="1" x14ac:dyDescent="0.2">
      <c r="A165" s="337"/>
      <c r="B165" s="337"/>
      <c r="C165" s="689"/>
      <c r="D165" s="690"/>
      <c r="E165" s="690"/>
      <c r="F165" s="690"/>
      <c r="G165" s="690"/>
      <c r="H165" s="690"/>
      <c r="I165" s="690"/>
      <c r="J165" s="690"/>
      <c r="K165" s="690"/>
      <c r="L165" s="690"/>
      <c r="M165" s="690"/>
      <c r="N165" s="690"/>
      <c r="O165" s="690"/>
      <c r="P165" s="690"/>
      <c r="Q165" s="690"/>
      <c r="R165" s="690"/>
      <c r="S165" s="690"/>
      <c r="T165" s="690"/>
      <c r="U165" s="690"/>
      <c r="V165" s="690"/>
      <c r="W165" s="690"/>
      <c r="X165" s="690"/>
      <c r="Y165" s="691"/>
    </row>
    <row r="166" spans="1:25" ht="18" customHeight="1" x14ac:dyDescent="0.2">
      <c r="A166" s="337"/>
      <c r="B166" s="337"/>
      <c r="C166" s="689"/>
      <c r="D166" s="690"/>
      <c r="E166" s="690"/>
      <c r="F166" s="690"/>
      <c r="G166" s="690"/>
      <c r="H166" s="690"/>
      <c r="I166" s="690"/>
      <c r="J166" s="690"/>
      <c r="K166" s="690"/>
      <c r="L166" s="690"/>
      <c r="M166" s="690"/>
      <c r="N166" s="690"/>
      <c r="O166" s="690"/>
      <c r="P166" s="690"/>
      <c r="Q166" s="690"/>
      <c r="R166" s="690"/>
      <c r="S166" s="690"/>
      <c r="T166" s="690"/>
      <c r="U166" s="690"/>
      <c r="V166" s="690"/>
      <c r="W166" s="690"/>
      <c r="X166" s="690"/>
      <c r="Y166" s="691"/>
    </row>
    <row r="167" spans="1:25" ht="18" customHeight="1" x14ac:dyDescent="0.2">
      <c r="A167" s="337"/>
      <c r="B167" s="337"/>
      <c r="C167" s="689"/>
      <c r="D167" s="690"/>
      <c r="E167" s="690"/>
      <c r="F167" s="690"/>
      <c r="G167" s="690"/>
      <c r="H167" s="690"/>
      <c r="I167" s="690"/>
      <c r="J167" s="690"/>
      <c r="K167" s="690"/>
      <c r="L167" s="690"/>
      <c r="M167" s="690"/>
      <c r="N167" s="690"/>
      <c r="O167" s="690"/>
      <c r="P167" s="690"/>
      <c r="Q167" s="690"/>
      <c r="R167" s="690"/>
      <c r="S167" s="690"/>
      <c r="T167" s="690"/>
      <c r="U167" s="690"/>
      <c r="V167" s="690"/>
      <c r="W167" s="690"/>
      <c r="X167" s="690"/>
      <c r="Y167" s="691"/>
    </row>
    <row r="168" spans="1:25" ht="18" customHeight="1" x14ac:dyDescent="0.2">
      <c r="A168" s="337"/>
      <c r="B168" s="337"/>
      <c r="C168" s="689"/>
      <c r="D168" s="690"/>
      <c r="E168" s="690"/>
      <c r="F168" s="690"/>
      <c r="G168" s="690"/>
      <c r="H168" s="690"/>
      <c r="I168" s="690"/>
      <c r="J168" s="690"/>
      <c r="K168" s="690"/>
      <c r="L168" s="690"/>
      <c r="M168" s="690"/>
      <c r="N168" s="690"/>
      <c r="O168" s="690"/>
      <c r="P168" s="690"/>
      <c r="Q168" s="690"/>
      <c r="R168" s="690"/>
      <c r="S168" s="690"/>
      <c r="T168" s="690"/>
      <c r="U168" s="690"/>
      <c r="V168" s="690"/>
      <c r="W168" s="690"/>
      <c r="X168" s="690"/>
      <c r="Y168" s="691"/>
    </row>
    <row r="169" spans="1:25" ht="18" customHeight="1" x14ac:dyDescent="0.2">
      <c r="A169" s="337"/>
      <c r="B169" s="337"/>
      <c r="C169" s="689"/>
      <c r="D169" s="690"/>
      <c r="E169" s="690"/>
      <c r="F169" s="690"/>
      <c r="G169" s="690"/>
      <c r="H169" s="690"/>
      <c r="I169" s="690"/>
      <c r="J169" s="690"/>
      <c r="K169" s="690"/>
      <c r="L169" s="690"/>
      <c r="M169" s="690"/>
      <c r="N169" s="690"/>
      <c r="O169" s="690"/>
      <c r="P169" s="690"/>
      <c r="Q169" s="690"/>
      <c r="R169" s="690"/>
      <c r="S169" s="690"/>
      <c r="T169" s="690"/>
      <c r="U169" s="690"/>
      <c r="V169" s="690"/>
      <c r="W169" s="690"/>
      <c r="X169" s="690"/>
      <c r="Y169" s="691"/>
    </row>
    <row r="170" spans="1:25" ht="18" customHeight="1" x14ac:dyDescent="0.2">
      <c r="A170" s="337"/>
      <c r="B170" s="337"/>
      <c r="C170" s="689"/>
      <c r="D170" s="690"/>
      <c r="E170" s="690"/>
      <c r="F170" s="690"/>
      <c r="G170" s="690"/>
      <c r="H170" s="690"/>
      <c r="I170" s="690"/>
      <c r="J170" s="690"/>
      <c r="K170" s="690"/>
      <c r="L170" s="690"/>
      <c r="M170" s="690"/>
      <c r="N170" s="690"/>
      <c r="O170" s="690"/>
      <c r="P170" s="690"/>
      <c r="Q170" s="690"/>
      <c r="R170" s="690"/>
      <c r="S170" s="690"/>
      <c r="T170" s="690"/>
      <c r="U170" s="690"/>
      <c r="V170" s="690"/>
      <c r="W170" s="690"/>
      <c r="X170" s="690"/>
      <c r="Y170" s="691"/>
    </row>
    <row r="171" spans="1:25" ht="18" customHeight="1" x14ac:dyDescent="0.2">
      <c r="A171" s="337"/>
      <c r="B171" s="337"/>
      <c r="C171" s="689"/>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1"/>
    </row>
    <row r="172" spans="1:25" ht="18" customHeight="1" x14ac:dyDescent="0.2">
      <c r="A172" s="337"/>
      <c r="B172" s="337"/>
      <c r="C172" s="689"/>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1"/>
    </row>
    <row r="173" spans="1:25" ht="18" customHeight="1" x14ac:dyDescent="0.2">
      <c r="A173" s="337"/>
      <c r="B173" s="337"/>
      <c r="C173" s="689"/>
      <c r="D173" s="690"/>
      <c r="E173" s="690"/>
      <c r="F173" s="690"/>
      <c r="G173" s="690"/>
      <c r="H173" s="690"/>
      <c r="I173" s="690"/>
      <c r="J173" s="690"/>
      <c r="K173" s="690"/>
      <c r="L173" s="690"/>
      <c r="M173" s="690"/>
      <c r="N173" s="690"/>
      <c r="O173" s="690"/>
      <c r="P173" s="690"/>
      <c r="Q173" s="690"/>
      <c r="R173" s="690"/>
      <c r="S173" s="690"/>
      <c r="T173" s="690"/>
      <c r="U173" s="690"/>
      <c r="V173" s="690"/>
      <c r="W173" s="690"/>
      <c r="X173" s="690"/>
      <c r="Y173" s="691"/>
    </row>
    <row r="174" spans="1:25" ht="18" customHeight="1" x14ac:dyDescent="0.2">
      <c r="A174" s="337"/>
      <c r="B174" s="337"/>
      <c r="C174" s="689"/>
      <c r="D174" s="690"/>
      <c r="E174" s="690"/>
      <c r="F174" s="690"/>
      <c r="G174" s="690"/>
      <c r="H174" s="690"/>
      <c r="I174" s="690"/>
      <c r="J174" s="690"/>
      <c r="K174" s="690"/>
      <c r="L174" s="690"/>
      <c r="M174" s="690"/>
      <c r="N174" s="690"/>
      <c r="O174" s="690"/>
      <c r="P174" s="690"/>
      <c r="Q174" s="690"/>
      <c r="R174" s="690"/>
      <c r="S174" s="690"/>
      <c r="T174" s="690"/>
      <c r="U174" s="690"/>
      <c r="V174" s="690"/>
      <c r="W174" s="690"/>
      <c r="X174" s="690"/>
      <c r="Y174" s="691"/>
    </row>
    <row r="175" spans="1:25" ht="18" customHeight="1" x14ac:dyDescent="0.2">
      <c r="A175" s="337"/>
      <c r="B175" s="337"/>
      <c r="C175" s="689"/>
      <c r="D175" s="690"/>
      <c r="E175" s="690"/>
      <c r="F175" s="690"/>
      <c r="G175" s="690"/>
      <c r="H175" s="690"/>
      <c r="I175" s="690"/>
      <c r="J175" s="690"/>
      <c r="K175" s="690"/>
      <c r="L175" s="690"/>
      <c r="M175" s="690"/>
      <c r="N175" s="690"/>
      <c r="O175" s="690"/>
      <c r="P175" s="690"/>
      <c r="Q175" s="690"/>
      <c r="R175" s="690"/>
      <c r="S175" s="690"/>
      <c r="T175" s="690"/>
      <c r="U175" s="690"/>
      <c r="V175" s="690"/>
      <c r="W175" s="690"/>
      <c r="X175" s="690"/>
      <c r="Y175" s="691"/>
    </row>
    <row r="176" spans="1:25" ht="18" customHeight="1" x14ac:dyDescent="0.2">
      <c r="A176" s="337"/>
      <c r="B176" s="337"/>
      <c r="C176" s="689"/>
      <c r="D176" s="690"/>
      <c r="E176" s="690"/>
      <c r="F176" s="690"/>
      <c r="G176" s="690"/>
      <c r="H176" s="690"/>
      <c r="I176" s="690"/>
      <c r="J176" s="690"/>
      <c r="K176" s="690"/>
      <c r="L176" s="690"/>
      <c r="M176" s="690"/>
      <c r="N176" s="690"/>
      <c r="O176" s="690"/>
      <c r="P176" s="690"/>
      <c r="Q176" s="690"/>
      <c r="R176" s="690"/>
      <c r="S176" s="690"/>
      <c r="T176" s="690"/>
      <c r="U176" s="690"/>
      <c r="V176" s="690"/>
      <c r="W176" s="690"/>
      <c r="X176" s="690"/>
      <c r="Y176" s="691"/>
    </row>
    <row r="177" spans="1:25" ht="18" customHeight="1" x14ac:dyDescent="0.2">
      <c r="A177" s="337"/>
      <c r="B177" s="337"/>
      <c r="C177" s="689"/>
      <c r="D177" s="690"/>
      <c r="E177" s="690"/>
      <c r="F177" s="690"/>
      <c r="G177" s="690"/>
      <c r="H177" s="690"/>
      <c r="I177" s="690"/>
      <c r="J177" s="690"/>
      <c r="K177" s="690"/>
      <c r="L177" s="690"/>
      <c r="M177" s="690"/>
      <c r="N177" s="690"/>
      <c r="O177" s="690"/>
      <c r="P177" s="690"/>
      <c r="Q177" s="690"/>
      <c r="R177" s="690"/>
      <c r="S177" s="690"/>
      <c r="T177" s="690"/>
      <c r="U177" s="690"/>
      <c r="V177" s="690"/>
      <c r="W177" s="690"/>
      <c r="X177" s="690"/>
      <c r="Y177" s="691"/>
    </row>
    <row r="178" spans="1:25" ht="18" customHeight="1" x14ac:dyDescent="0.2">
      <c r="A178" s="337"/>
      <c r="B178" s="337"/>
      <c r="C178" s="689"/>
      <c r="D178" s="690"/>
      <c r="E178" s="690"/>
      <c r="F178" s="690"/>
      <c r="G178" s="690"/>
      <c r="H178" s="690"/>
      <c r="I178" s="690"/>
      <c r="J178" s="690"/>
      <c r="K178" s="690"/>
      <c r="L178" s="690"/>
      <c r="M178" s="690"/>
      <c r="N178" s="690"/>
      <c r="O178" s="690"/>
      <c r="P178" s="690"/>
      <c r="Q178" s="690"/>
      <c r="R178" s="690"/>
      <c r="S178" s="690"/>
      <c r="T178" s="690"/>
      <c r="U178" s="690"/>
      <c r="V178" s="690"/>
      <c r="W178" s="690"/>
      <c r="X178" s="690"/>
      <c r="Y178" s="691"/>
    </row>
    <row r="179" spans="1:25" ht="18" customHeight="1" x14ac:dyDescent="0.2">
      <c r="A179" s="337"/>
      <c r="B179" s="337"/>
      <c r="C179" s="689"/>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1"/>
    </row>
    <row r="180" spans="1:25" ht="18" customHeight="1" x14ac:dyDescent="0.2">
      <c r="A180" s="337"/>
      <c r="B180" s="337"/>
      <c r="C180" s="689"/>
      <c r="D180" s="690"/>
      <c r="E180" s="690"/>
      <c r="F180" s="690"/>
      <c r="G180" s="690"/>
      <c r="H180" s="690"/>
      <c r="I180" s="690"/>
      <c r="J180" s="690"/>
      <c r="K180" s="690"/>
      <c r="L180" s="690"/>
      <c r="M180" s="690"/>
      <c r="N180" s="690"/>
      <c r="O180" s="690"/>
      <c r="P180" s="690"/>
      <c r="Q180" s="690"/>
      <c r="R180" s="690"/>
      <c r="S180" s="690"/>
      <c r="T180" s="690"/>
      <c r="U180" s="690"/>
      <c r="V180" s="690"/>
      <c r="W180" s="690"/>
      <c r="X180" s="690"/>
      <c r="Y180" s="691"/>
    </row>
    <row r="181" spans="1:25" ht="18" customHeight="1" x14ac:dyDescent="0.2">
      <c r="A181" s="337"/>
      <c r="B181" s="337"/>
      <c r="C181" s="689"/>
      <c r="D181" s="690"/>
      <c r="E181" s="690"/>
      <c r="F181" s="690"/>
      <c r="G181" s="690"/>
      <c r="H181" s="690"/>
      <c r="I181" s="690"/>
      <c r="J181" s="690"/>
      <c r="K181" s="690"/>
      <c r="L181" s="690"/>
      <c r="M181" s="690"/>
      <c r="N181" s="690"/>
      <c r="O181" s="690"/>
      <c r="P181" s="690"/>
      <c r="Q181" s="690"/>
      <c r="R181" s="690"/>
      <c r="S181" s="690"/>
      <c r="T181" s="690"/>
      <c r="U181" s="690"/>
      <c r="V181" s="690"/>
      <c r="W181" s="690"/>
      <c r="X181" s="690"/>
      <c r="Y181" s="691"/>
    </row>
    <row r="182" spans="1:25" ht="18" customHeight="1" x14ac:dyDescent="0.2">
      <c r="A182" s="337"/>
      <c r="B182" s="337"/>
      <c r="C182" s="689"/>
      <c r="D182" s="690"/>
      <c r="E182" s="690"/>
      <c r="F182" s="690"/>
      <c r="G182" s="690"/>
      <c r="H182" s="690"/>
      <c r="I182" s="690"/>
      <c r="J182" s="690"/>
      <c r="K182" s="690"/>
      <c r="L182" s="690"/>
      <c r="M182" s="690"/>
      <c r="N182" s="690"/>
      <c r="O182" s="690"/>
      <c r="P182" s="690"/>
      <c r="Q182" s="690"/>
      <c r="R182" s="690"/>
      <c r="S182" s="690"/>
      <c r="T182" s="690"/>
      <c r="U182" s="690"/>
      <c r="V182" s="690"/>
      <c r="W182" s="690"/>
      <c r="X182" s="690"/>
      <c r="Y182" s="691"/>
    </row>
    <row r="183" spans="1:25" ht="18" customHeight="1" x14ac:dyDescent="0.2">
      <c r="A183" s="337"/>
      <c r="B183" s="337"/>
      <c r="C183" s="689"/>
      <c r="D183" s="690"/>
      <c r="E183" s="690"/>
      <c r="F183" s="690"/>
      <c r="G183" s="690"/>
      <c r="H183" s="690"/>
      <c r="I183" s="690"/>
      <c r="J183" s="690"/>
      <c r="K183" s="690"/>
      <c r="L183" s="690"/>
      <c r="M183" s="690"/>
      <c r="N183" s="690"/>
      <c r="O183" s="690"/>
      <c r="P183" s="690"/>
      <c r="Q183" s="690"/>
      <c r="R183" s="690"/>
      <c r="S183" s="690"/>
      <c r="T183" s="690"/>
      <c r="U183" s="690"/>
      <c r="V183" s="690"/>
      <c r="W183" s="690"/>
      <c r="X183" s="690"/>
      <c r="Y183" s="691"/>
    </row>
    <row r="184" spans="1:25" ht="18" customHeight="1" x14ac:dyDescent="0.2">
      <c r="A184" s="337"/>
      <c r="B184" s="337"/>
      <c r="C184" s="689"/>
      <c r="D184" s="690"/>
      <c r="E184" s="690"/>
      <c r="F184" s="690"/>
      <c r="G184" s="690"/>
      <c r="H184" s="690"/>
      <c r="I184" s="690"/>
      <c r="J184" s="690"/>
      <c r="K184" s="690"/>
      <c r="L184" s="690"/>
      <c r="M184" s="690"/>
      <c r="N184" s="690"/>
      <c r="O184" s="690"/>
      <c r="P184" s="690"/>
      <c r="Q184" s="690"/>
      <c r="R184" s="690"/>
      <c r="S184" s="690"/>
      <c r="T184" s="690"/>
      <c r="U184" s="690"/>
      <c r="V184" s="690"/>
      <c r="W184" s="690"/>
      <c r="X184" s="690"/>
      <c r="Y184" s="691"/>
    </row>
    <row r="185" spans="1:25" ht="18" customHeight="1" x14ac:dyDescent="0.2">
      <c r="A185" s="337"/>
      <c r="B185" s="337"/>
      <c r="C185" s="689"/>
      <c r="D185" s="690"/>
      <c r="E185" s="690"/>
      <c r="F185" s="690"/>
      <c r="G185" s="690"/>
      <c r="H185" s="690"/>
      <c r="I185" s="690"/>
      <c r="J185" s="690"/>
      <c r="K185" s="690"/>
      <c r="L185" s="690"/>
      <c r="M185" s="690"/>
      <c r="N185" s="690"/>
      <c r="O185" s="690"/>
      <c r="P185" s="690"/>
      <c r="Q185" s="690"/>
      <c r="R185" s="690"/>
      <c r="S185" s="690"/>
      <c r="T185" s="690"/>
      <c r="U185" s="690"/>
      <c r="V185" s="690"/>
      <c r="W185" s="690"/>
      <c r="X185" s="690"/>
      <c r="Y185" s="691"/>
    </row>
    <row r="186" spans="1:25" ht="18" customHeight="1" x14ac:dyDescent="0.2">
      <c r="A186" s="337"/>
      <c r="B186" s="337"/>
      <c r="C186" s="689"/>
      <c r="D186" s="690"/>
      <c r="E186" s="690"/>
      <c r="F186" s="690"/>
      <c r="G186" s="690"/>
      <c r="H186" s="690"/>
      <c r="I186" s="690"/>
      <c r="J186" s="690"/>
      <c r="K186" s="690"/>
      <c r="L186" s="690"/>
      <c r="M186" s="690"/>
      <c r="N186" s="690"/>
      <c r="O186" s="690"/>
      <c r="P186" s="690"/>
      <c r="Q186" s="690"/>
      <c r="R186" s="690"/>
      <c r="S186" s="690"/>
      <c r="T186" s="690"/>
      <c r="U186" s="690"/>
      <c r="V186" s="690"/>
      <c r="W186" s="690"/>
      <c r="X186" s="690"/>
      <c r="Y186" s="691"/>
    </row>
    <row r="187" spans="1:25" ht="18" customHeight="1" x14ac:dyDescent="0.2">
      <c r="A187" s="337"/>
      <c r="B187" s="337"/>
      <c r="C187" s="689"/>
      <c r="D187" s="690"/>
      <c r="E187" s="690"/>
      <c r="F187" s="690"/>
      <c r="G187" s="690"/>
      <c r="H187" s="690"/>
      <c r="I187" s="690"/>
      <c r="J187" s="690"/>
      <c r="K187" s="690"/>
      <c r="L187" s="690"/>
      <c r="M187" s="690"/>
      <c r="N187" s="690"/>
      <c r="O187" s="690"/>
      <c r="P187" s="690"/>
      <c r="Q187" s="690"/>
      <c r="R187" s="690"/>
      <c r="S187" s="690"/>
      <c r="T187" s="690"/>
      <c r="U187" s="690"/>
      <c r="V187" s="690"/>
      <c r="W187" s="690"/>
      <c r="X187" s="690"/>
      <c r="Y187" s="691"/>
    </row>
    <row r="188" spans="1:25" ht="18" customHeight="1" x14ac:dyDescent="0.2">
      <c r="A188" s="337"/>
      <c r="B188" s="337"/>
      <c r="C188" s="689"/>
      <c r="D188" s="690"/>
      <c r="E188" s="690"/>
      <c r="F188" s="690"/>
      <c r="G188" s="690"/>
      <c r="H188" s="690"/>
      <c r="I188" s="690"/>
      <c r="J188" s="690"/>
      <c r="K188" s="690"/>
      <c r="L188" s="690"/>
      <c r="M188" s="690"/>
      <c r="N188" s="690"/>
      <c r="O188" s="690"/>
      <c r="P188" s="690"/>
      <c r="Q188" s="690"/>
      <c r="R188" s="690"/>
      <c r="S188" s="690"/>
      <c r="T188" s="690"/>
      <c r="U188" s="690"/>
      <c r="V188" s="690"/>
      <c r="W188" s="690"/>
      <c r="X188" s="690"/>
      <c r="Y188" s="691"/>
    </row>
    <row r="189" spans="1:25" ht="18" customHeight="1" x14ac:dyDescent="0.2">
      <c r="A189" s="337"/>
      <c r="B189" s="337"/>
      <c r="C189" s="689"/>
      <c r="D189" s="690"/>
      <c r="E189" s="690"/>
      <c r="F189" s="690"/>
      <c r="G189" s="690"/>
      <c r="H189" s="690"/>
      <c r="I189" s="690"/>
      <c r="J189" s="690"/>
      <c r="K189" s="690"/>
      <c r="L189" s="690"/>
      <c r="M189" s="690"/>
      <c r="N189" s="690"/>
      <c r="O189" s="690"/>
      <c r="P189" s="690"/>
      <c r="Q189" s="690"/>
      <c r="R189" s="690"/>
      <c r="S189" s="690"/>
      <c r="T189" s="690"/>
      <c r="U189" s="690"/>
      <c r="V189" s="690"/>
      <c r="W189" s="690"/>
      <c r="X189" s="690"/>
      <c r="Y189" s="691"/>
    </row>
    <row r="190" spans="1:25" ht="18" customHeight="1" x14ac:dyDescent="0.2">
      <c r="A190" s="337"/>
      <c r="B190" s="337"/>
      <c r="C190" s="692"/>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4"/>
    </row>
    <row r="191" spans="1:25" ht="18" customHeight="1" x14ac:dyDescent="0.2">
      <c r="A191" s="337"/>
      <c r="B191" s="337"/>
      <c r="C191" s="379"/>
      <c r="D191" s="379"/>
      <c r="E191" s="379"/>
      <c r="F191" s="379"/>
      <c r="G191" s="379"/>
      <c r="H191" s="379"/>
      <c r="I191" s="379"/>
      <c r="J191" s="379"/>
      <c r="K191" s="379"/>
      <c r="L191" s="379"/>
      <c r="M191" s="379"/>
      <c r="N191" s="379"/>
      <c r="O191" s="380"/>
    </row>
    <row r="192" spans="1:25" ht="18" customHeight="1" x14ac:dyDescent="0.2">
      <c r="A192" s="337"/>
      <c r="B192" s="337"/>
      <c r="C192" s="379"/>
      <c r="D192" s="379"/>
      <c r="E192" s="379"/>
      <c r="F192" s="379"/>
      <c r="G192" s="379"/>
      <c r="H192" s="379"/>
      <c r="I192" s="379"/>
      <c r="J192" s="379"/>
      <c r="K192" s="379"/>
      <c r="L192" s="379"/>
      <c r="M192" s="379"/>
      <c r="N192" s="379"/>
      <c r="O192" s="380"/>
    </row>
    <row r="193" spans="1:25" ht="18" customHeight="1" x14ac:dyDescent="0.2">
      <c r="A193" s="337"/>
      <c r="B193" s="337"/>
      <c r="C193" s="581" t="s">
        <v>285</v>
      </c>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row>
    <row r="194" spans="1:25" ht="18" customHeight="1" x14ac:dyDescent="0.2">
      <c r="A194" s="337"/>
      <c r="B194" s="337"/>
      <c r="C194" s="783" t="s">
        <v>234</v>
      </c>
      <c r="D194" s="783"/>
      <c r="E194" s="783"/>
      <c r="F194" s="783"/>
      <c r="G194" s="783"/>
      <c r="I194" s="353" t="s">
        <v>24</v>
      </c>
      <c r="J194" s="588"/>
      <c r="K194" s="588"/>
      <c r="P194" s="339"/>
      <c r="S194" s="353" t="s">
        <v>25</v>
      </c>
      <c r="T194" s="588"/>
      <c r="U194" s="588"/>
      <c r="V194" s="588"/>
      <c r="W194" s="588"/>
    </row>
    <row r="195" spans="1:25" ht="18" customHeight="1" x14ac:dyDescent="0.2">
      <c r="A195" s="337"/>
      <c r="B195" s="337"/>
      <c r="C195" s="784"/>
      <c r="D195" s="784"/>
      <c r="E195" s="784"/>
      <c r="F195" s="784"/>
      <c r="G195" s="784"/>
      <c r="H195" s="337"/>
      <c r="I195" s="369" t="s">
        <v>26</v>
      </c>
      <c r="J195" s="588"/>
      <c r="K195" s="588"/>
      <c r="P195" s="339"/>
      <c r="S195" s="353" t="s">
        <v>27</v>
      </c>
      <c r="T195" s="588"/>
      <c r="U195" s="588"/>
      <c r="V195" s="588"/>
      <c r="W195" s="588"/>
    </row>
    <row r="196" spans="1:25" ht="18" customHeight="1" x14ac:dyDescent="0.2">
      <c r="A196" s="337"/>
      <c r="B196" s="337"/>
      <c r="C196" s="784"/>
      <c r="D196" s="784"/>
      <c r="E196" s="784"/>
      <c r="F196" s="784"/>
      <c r="G196" s="784"/>
      <c r="H196" s="337"/>
      <c r="I196" s="353" t="s">
        <v>54</v>
      </c>
      <c r="J196" s="588"/>
      <c r="K196" s="588"/>
      <c r="P196" s="367"/>
      <c r="Q196" s="367"/>
    </row>
    <row r="197" spans="1:25" ht="18" customHeight="1" x14ac:dyDescent="0.2">
      <c r="A197" s="337"/>
      <c r="B197" s="337"/>
      <c r="C197" s="381"/>
      <c r="D197" s="381"/>
      <c r="E197" s="381"/>
      <c r="F197" s="381"/>
      <c r="G197" s="786" t="s">
        <v>239</v>
      </c>
      <c r="H197" s="786"/>
      <c r="I197" s="787"/>
      <c r="J197" s="588"/>
      <c r="K197" s="588"/>
      <c r="L197" s="381"/>
      <c r="M197" s="381"/>
      <c r="N197" s="381"/>
      <c r="O197" s="381"/>
      <c r="P197" s="381"/>
      <c r="Q197" s="381"/>
      <c r="R197" s="381"/>
      <c r="S197" s="381"/>
      <c r="T197" s="381"/>
      <c r="U197" s="381"/>
      <c r="V197" s="381"/>
      <c r="W197" s="381"/>
      <c r="X197" s="381"/>
      <c r="Y197" s="381"/>
    </row>
    <row r="198" spans="1:25" ht="18" customHeight="1" x14ac:dyDescent="0.2">
      <c r="A198" s="337"/>
      <c r="B198" s="337"/>
      <c r="C198" s="793"/>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5"/>
    </row>
    <row r="199" spans="1:25" ht="18" customHeight="1" x14ac:dyDescent="0.2">
      <c r="A199" s="337"/>
      <c r="B199" s="337"/>
      <c r="C199" s="796"/>
      <c r="D199" s="797"/>
      <c r="E199" s="797"/>
      <c r="F199" s="797"/>
      <c r="G199" s="797"/>
      <c r="H199" s="797"/>
      <c r="I199" s="797"/>
      <c r="J199" s="797"/>
      <c r="K199" s="797"/>
      <c r="L199" s="797"/>
      <c r="M199" s="797"/>
      <c r="N199" s="797"/>
      <c r="O199" s="797"/>
      <c r="P199" s="797"/>
      <c r="Q199" s="797"/>
      <c r="R199" s="797"/>
      <c r="S199" s="797"/>
      <c r="T199" s="797"/>
      <c r="U199" s="797"/>
      <c r="V199" s="797"/>
      <c r="W199" s="797"/>
      <c r="X199" s="797"/>
      <c r="Y199" s="798"/>
    </row>
    <row r="200" spans="1:25" ht="18" customHeight="1" x14ac:dyDescent="0.2">
      <c r="A200" s="337"/>
      <c r="B200" s="337"/>
      <c r="C200" s="799"/>
      <c r="D200" s="800"/>
      <c r="E200" s="800"/>
      <c r="F200" s="800"/>
      <c r="G200" s="800"/>
      <c r="H200" s="800"/>
      <c r="I200" s="800"/>
      <c r="J200" s="800"/>
      <c r="K200" s="800"/>
      <c r="L200" s="800"/>
      <c r="M200" s="800"/>
      <c r="N200" s="800"/>
      <c r="O200" s="800"/>
      <c r="P200" s="800"/>
      <c r="Q200" s="800"/>
      <c r="R200" s="800"/>
      <c r="S200" s="800"/>
      <c r="T200" s="800"/>
      <c r="U200" s="800"/>
      <c r="V200" s="800"/>
      <c r="W200" s="800"/>
      <c r="X200" s="800"/>
      <c r="Y200" s="801"/>
    </row>
    <row r="201" spans="1:25" ht="18" customHeight="1" x14ac:dyDescent="0.2">
      <c r="A201" s="337"/>
      <c r="B201" s="337"/>
      <c r="C201" s="345"/>
      <c r="D201" s="379"/>
      <c r="E201" s="379"/>
      <c r="F201" s="379"/>
      <c r="G201" s="379"/>
      <c r="H201" s="379"/>
      <c r="I201" s="379"/>
      <c r="J201" s="379"/>
      <c r="K201" s="379"/>
      <c r="L201" s="379"/>
      <c r="M201" s="379"/>
      <c r="N201" s="379"/>
      <c r="O201" s="380"/>
    </row>
    <row r="202" spans="1:25" ht="18" customHeight="1" x14ac:dyDescent="0.2">
      <c r="A202" s="337"/>
      <c r="B202" s="337"/>
      <c r="C202" s="345"/>
      <c r="D202" s="379"/>
      <c r="E202" s="379"/>
      <c r="F202" s="379"/>
      <c r="G202" s="379"/>
      <c r="H202" s="379"/>
      <c r="I202" s="379"/>
      <c r="J202" s="379"/>
      <c r="K202" s="379"/>
      <c r="L202" s="379"/>
      <c r="M202" s="379"/>
      <c r="N202" s="379"/>
      <c r="O202" s="380"/>
    </row>
    <row r="203" spans="1:25" ht="18" customHeight="1" x14ac:dyDescent="0.2">
      <c r="A203" s="337"/>
      <c r="B203" s="337"/>
      <c r="C203" s="583" t="s">
        <v>286</v>
      </c>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row>
    <row r="204" spans="1:25" ht="18" customHeight="1" x14ac:dyDescent="0.2">
      <c r="A204" s="337"/>
      <c r="B204" s="337"/>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row>
    <row r="205" spans="1:25" ht="18" customHeight="1" x14ac:dyDescent="0.2">
      <c r="A205" s="337"/>
      <c r="B205" s="337"/>
      <c r="C205" s="669"/>
      <c r="D205" s="670"/>
      <c r="E205" s="670"/>
      <c r="F205" s="670"/>
      <c r="G205" s="670"/>
      <c r="H205" s="670"/>
      <c r="I205" s="670"/>
      <c r="J205" s="670"/>
      <c r="K205" s="670"/>
      <c r="L205" s="670"/>
      <c r="M205" s="670"/>
      <c r="N205" s="670"/>
      <c r="O205" s="670"/>
      <c r="P205" s="670"/>
      <c r="Q205" s="670"/>
      <c r="R205" s="670"/>
      <c r="S205" s="670"/>
      <c r="T205" s="670"/>
      <c r="U205" s="670"/>
      <c r="V205" s="670"/>
      <c r="W205" s="670"/>
      <c r="X205" s="670"/>
      <c r="Y205" s="671"/>
    </row>
    <row r="206" spans="1:25" ht="18" customHeight="1" x14ac:dyDescent="0.2">
      <c r="A206" s="337"/>
      <c r="B206" s="337"/>
      <c r="C206" s="802"/>
      <c r="D206" s="803"/>
      <c r="E206" s="803"/>
      <c r="F206" s="803"/>
      <c r="G206" s="803"/>
      <c r="H206" s="803"/>
      <c r="I206" s="803"/>
      <c r="J206" s="803"/>
      <c r="K206" s="803"/>
      <c r="L206" s="803"/>
      <c r="M206" s="803"/>
      <c r="N206" s="803"/>
      <c r="O206" s="803"/>
      <c r="P206" s="803"/>
      <c r="Q206" s="803"/>
      <c r="R206" s="803"/>
      <c r="S206" s="803"/>
      <c r="T206" s="803"/>
      <c r="U206" s="803"/>
      <c r="V206" s="803"/>
      <c r="W206" s="803"/>
      <c r="X206" s="803"/>
      <c r="Y206" s="804"/>
    </row>
    <row r="207" spans="1:25" ht="18" customHeight="1" x14ac:dyDescent="0.2">
      <c r="A207" s="337"/>
      <c r="B207" s="337"/>
      <c r="C207" s="672"/>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4"/>
    </row>
    <row r="208" spans="1:25" ht="18" customHeight="1" x14ac:dyDescent="0.2">
      <c r="A208" s="337"/>
      <c r="B208" s="337"/>
      <c r="C208" s="379"/>
      <c r="D208" s="379"/>
      <c r="E208" s="379"/>
      <c r="F208" s="379"/>
      <c r="G208" s="379"/>
      <c r="H208" s="379"/>
      <c r="I208" s="379"/>
      <c r="J208" s="379"/>
      <c r="K208" s="379"/>
      <c r="L208" s="379"/>
      <c r="M208" s="379"/>
      <c r="N208" s="379"/>
      <c r="O208" s="380"/>
    </row>
    <row r="209" spans="1:26" ht="18" customHeight="1" x14ac:dyDescent="0.2">
      <c r="A209" s="337"/>
      <c r="B209" s="337"/>
      <c r="C209" s="379"/>
      <c r="D209" s="379"/>
      <c r="E209" s="379"/>
      <c r="F209" s="379"/>
      <c r="G209" s="379"/>
      <c r="H209" s="379"/>
      <c r="I209" s="379"/>
      <c r="J209" s="379"/>
      <c r="K209" s="379"/>
      <c r="L209" s="379"/>
      <c r="M209" s="379"/>
      <c r="N209" s="379"/>
      <c r="O209" s="380"/>
    </row>
    <row r="210" spans="1:26" ht="18" customHeight="1" x14ac:dyDescent="0.2">
      <c r="A210" s="337"/>
      <c r="B210" s="337"/>
      <c r="C210" s="581" t="s">
        <v>287</v>
      </c>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row>
    <row r="211" spans="1:26" ht="18" customHeight="1" x14ac:dyDescent="0.2">
      <c r="A211" s="337"/>
      <c r="B211" s="788" t="s">
        <v>1528</v>
      </c>
      <c r="C211" s="789"/>
      <c r="D211" s="789"/>
      <c r="E211" s="789"/>
      <c r="F211" s="789"/>
      <c r="G211" s="789"/>
      <c r="H211" s="789"/>
      <c r="I211" s="789"/>
      <c r="J211" s="789"/>
      <c r="K211" s="789"/>
      <c r="L211" s="789"/>
      <c r="M211" s="789"/>
      <c r="N211" s="789"/>
      <c r="O211" s="789"/>
      <c r="P211" s="789"/>
      <c r="Q211" s="789"/>
      <c r="R211" s="789"/>
      <c r="S211" s="789"/>
      <c r="T211" s="789"/>
      <c r="U211" s="789"/>
      <c r="V211" s="789"/>
      <c r="W211" s="789"/>
      <c r="X211" s="789"/>
      <c r="Y211" s="789"/>
      <c r="Z211" s="789"/>
    </row>
    <row r="212" spans="1:26" ht="18" customHeight="1" x14ac:dyDescent="0.2">
      <c r="A212" s="337"/>
      <c r="B212" s="789"/>
      <c r="C212" s="789"/>
      <c r="D212" s="789"/>
      <c r="E212" s="789"/>
      <c r="F212" s="789"/>
      <c r="G212" s="789"/>
      <c r="H212" s="789"/>
      <c r="I212" s="789"/>
      <c r="J212" s="789"/>
      <c r="K212" s="789"/>
      <c r="L212" s="789"/>
      <c r="M212" s="789"/>
      <c r="N212" s="789"/>
      <c r="O212" s="789"/>
      <c r="P212" s="789"/>
      <c r="Q212" s="789"/>
      <c r="R212" s="789"/>
      <c r="S212" s="789"/>
      <c r="T212" s="789"/>
      <c r="U212" s="789"/>
      <c r="V212" s="789"/>
      <c r="W212" s="789"/>
      <c r="X212" s="789"/>
      <c r="Y212" s="789"/>
      <c r="Z212" s="789"/>
    </row>
    <row r="213" spans="1:26" ht="18" customHeight="1" thickBot="1" x14ac:dyDescent="0.25">
      <c r="A213" s="337"/>
      <c r="B213" s="337"/>
      <c r="C213" s="337"/>
      <c r="D213" s="337"/>
      <c r="E213" s="337"/>
      <c r="F213" s="337"/>
      <c r="G213" s="337"/>
      <c r="H213" s="337"/>
      <c r="I213" s="337"/>
      <c r="J213" s="337"/>
      <c r="K213" s="368"/>
      <c r="L213" s="368"/>
      <c r="M213" s="337"/>
      <c r="N213" s="337"/>
      <c r="O213" s="380"/>
      <c r="S213" s="353" t="s">
        <v>240</v>
      </c>
      <c r="T213" s="785"/>
      <c r="U213" s="785"/>
      <c r="V213" s="785"/>
      <c r="W213" s="785"/>
      <c r="X213" s="591" t="s">
        <v>111</v>
      </c>
      <c r="Y213" s="591"/>
    </row>
    <row r="214" spans="1:26" ht="18" customHeight="1" thickBot="1" x14ac:dyDescent="0.25">
      <c r="A214" s="337"/>
      <c r="B214" s="337"/>
      <c r="C214" s="345"/>
      <c r="D214" s="382"/>
      <c r="E214" s="382"/>
      <c r="F214" s="382"/>
      <c r="G214" s="382"/>
      <c r="H214" s="382"/>
      <c r="I214" s="382"/>
      <c r="J214" s="382"/>
      <c r="K214" s="382"/>
      <c r="L214" s="382"/>
      <c r="M214" s="383"/>
      <c r="N214" s="382"/>
      <c r="O214" s="382"/>
      <c r="P214" s="382"/>
      <c r="Q214" s="382"/>
      <c r="R214" s="382"/>
      <c r="S214" s="384"/>
      <c r="T214" s="375"/>
      <c r="U214" s="385"/>
      <c r="V214" s="385"/>
      <c r="W214" s="377" t="str">
        <f>IF($T$213="","",IF($T$213&lt;$T$107,"La superficie de la zone contributive ne peut pas être inférieure à la superficie du site",""))</f>
        <v/>
      </c>
      <c r="X214" s="382"/>
      <c r="Y214" s="382"/>
    </row>
    <row r="215" spans="1:26" ht="18" customHeight="1" x14ac:dyDescent="0.2">
      <c r="A215" s="337"/>
      <c r="B215" s="337"/>
      <c r="C215" s="345"/>
      <c r="D215" s="382"/>
      <c r="E215" s="382"/>
      <c r="F215" s="382"/>
      <c r="G215" s="382"/>
      <c r="H215" s="382"/>
      <c r="I215" s="382"/>
      <c r="J215" s="382"/>
      <c r="K215" s="382"/>
      <c r="L215" s="382"/>
      <c r="M215" s="383"/>
      <c r="N215" s="382"/>
      <c r="O215" s="382"/>
      <c r="P215" s="382"/>
      <c r="Q215" s="382"/>
      <c r="R215" s="382"/>
      <c r="S215" s="384"/>
      <c r="T215" s="382"/>
      <c r="U215" s="382"/>
      <c r="V215" s="382"/>
      <c r="W215" s="378"/>
      <c r="X215" s="382"/>
      <c r="Y215" s="382"/>
    </row>
    <row r="216" spans="1:26" ht="18" customHeight="1" x14ac:dyDescent="0.2">
      <c r="A216" s="337"/>
      <c r="B216" s="337"/>
      <c r="C216" s="592" t="s">
        <v>288</v>
      </c>
      <c r="D216" s="592"/>
      <c r="E216" s="592"/>
      <c r="F216" s="592"/>
      <c r="G216" s="592"/>
      <c r="H216" s="592"/>
      <c r="I216" s="592"/>
      <c r="J216" s="592"/>
      <c r="K216" s="592"/>
      <c r="L216" s="592"/>
      <c r="M216" s="592"/>
      <c r="N216" s="592"/>
      <c r="O216" s="592"/>
      <c r="P216" s="592"/>
      <c r="Q216" s="592"/>
      <c r="R216" s="592"/>
      <c r="S216" s="592"/>
      <c r="T216" s="592"/>
      <c r="U216" s="592"/>
      <c r="V216" s="592"/>
      <c r="W216" s="592"/>
      <c r="X216" s="592"/>
      <c r="Y216" s="592"/>
    </row>
    <row r="217" spans="1:26" ht="18" customHeight="1" x14ac:dyDescent="0.2">
      <c r="A217" s="337"/>
      <c r="B217" s="337"/>
      <c r="C217" s="337"/>
      <c r="D217" s="337"/>
      <c r="E217" s="337"/>
      <c r="F217" s="337"/>
      <c r="G217" s="337"/>
      <c r="H217" s="337"/>
      <c r="I217" s="337"/>
      <c r="J217" s="337"/>
      <c r="K217" s="337"/>
      <c r="L217" s="337"/>
      <c r="M217" s="337"/>
      <c r="N217" s="337"/>
      <c r="O217" s="337"/>
      <c r="P217" s="337"/>
      <c r="S217" s="353" t="s">
        <v>241</v>
      </c>
      <c r="T217" s="701"/>
      <c r="U217" s="701"/>
      <c r="V217" s="701"/>
      <c r="W217" s="701"/>
      <c r="X217" s="371"/>
      <c r="Y217" s="372"/>
    </row>
    <row r="218" spans="1:26" ht="18" customHeight="1" x14ac:dyDescent="0.2">
      <c r="A218" s="337"/>
      <c r="B218" s="337"/>
      <c r="C218" s="345"/>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row>
    <row r="219" spans="1:26" ht="18" customHeight="1" x14ac:dyDescent="0.2">
      <c r="A219" s="337"/>
      <c r="B219" s="337"/>
      <c r="C219" s="345"/>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row>
    <row r="220" spans="1:26" ht="18" customHeight="1" x14ac:dyDescent="0.2">
      <c r="A220" s="337"/>
      <c r="B220" s="337"/>
      <c r="C220" s="592" t="s">
        <v>289</v>
      </c>
      <c r="D220" s="592"/>
      <c r="E220" s="592"/>
      <c r="F220" s="592"/>
      <c r="G220" s="592"/>
      <c r="H220" s="592"/>
      <c r="I220" s="592"/>
      <c r="J220" s="592"/>
      <c r="K220" s="592"/>
      <c r="L220" s="592"/>
      <c r="M220" s="592"/>
      <c r="N220" s="592"/>
      <c r="O220" s="592"/>
      <c r="P220" s="592"/>
      <c r="Q220" s="592"/>
      <c r="R220" s="592"/>
      <c r="S220" s="592"/>
      <c r="T220" s="592"/>
      <c r="U220" s="592"/>
      <c r="V220" s="592"/>
      <c r="W220" s="592"/>
      <c r="X220" s="592"/>
      <c r="Y220" s="592"/>
    </row>
    <row r="221" spans="1:26" ht="18" customHeight="1" x14ac:dyDescent="0.2">
      <c r="A221" s="337"/>
      <c r="B221" s="337"/>
      <c r="C221" s="356"/>
      <c r="D221" s="356"/>
      <c r="E221" s="356"/>
      <c r="F221" s="356"/>
      <c r="G221" s="356"/>
      <c r="H221" s="356"/>
      <c r="I221" s="362"/>
      <c r="J221" s="356"/>
      <c r="K221" s="379"/>
      <c r="L221" s="379"/>
      <c r="M221" s="379"/>
      <c r="N221" s="379"/>
      <c r="O221" s="380"/>
      <c r="S221" s="357" t="s">
        <v>242</v>
      </c>
      <c r="T221" s="578"/>
      <c r="U221" s="578"/>
      <c r="V221" s="578"/>
      <c r="W221" s="578"/>
      <c r="X221" s="591" t="s">
        <v>111</v>
      </c>
      <c r="Y221" s="591"/>
    </row>
    <row r="222" spans="1:26" ht="18" customHeight="1" thickBot="1" x14ac:dyDescent="0.25">
      <c r="A222" s="337"/>
      <c r="B222" s="337"/>
      <c r="C222" s="346"/>
      <c r="D222" s="346"/>
      <c r="E222" s="346"/>
      <c r="F222" s="346"/>
      <c r="G222" s="346"/>
      <c r="H222" s="346"/>
      <c r="I222" s="362"/>
      <c r="J222" s="346"/>
      <c r="K222" s="379"/>
      <c r="L222" s="379"/>
      <c r="M222" s="379"/>
      <c r="N222" s="379"/>
      <c r="O222" s="380"/>
      <c r="S222" s="362" t="s">
        <v>243</v>
      </c>
      <c r="T222" s="785"/>
      <c r="U222" s="785"/>
      <c r="V222" s="785"/>
      <c r="W222" s="785"/>
      <c r="X222" s="591" t="s">
        <v>111</v>
      </c>
      <c r="Y222" s="591"/>
    </row>
    <row r="223" spans="1:26" ht="18" customHeight="1" thickBot="1" x14ac:dyDescent="0.25">
      <c r="A223" s="337"/>
      <c r="B223" s="337"/>
      <c r="C223" s="345"/>
      <c r="D223" s="382"/>
      <c r="E223" s="382"/>
      <c r="F223" s="382"/>
      <c r="G223" s="382"/>
      <c r="H223" s="382"/>
      <c r="I223" s="382"/>
      <c r="J223" s="382"/>
      <c r="K223" s="382"/>
      <c r="L223" s="382"/>
      <c r="M223" s="382"/>
      <c r="N223" s="382"/>
      <c r="O223" s="382"/>
      <c r="P223" s="382"/>
      <c r="Q223" s="382"/>
      <c r="R223" s="382"/>
      <c r="S223" s="382"/>
      <c r="T223" s="375"/>
      <c r="U223" s="385"/>
      <c r="V223" s="385"/>
      <c r="W223" s="377" t="str">
        <f>IF(AND(ISBLANK($T$221),ISBLANK($T$222)),"",IF(SUM($T$221,$T$222)&gt;$T$213,"La somme des superficies des surfaces enherbées et cultivées ne peut pas être supérieure à la superficie de la zone contributive.",""))</f>
        <v/>
      </c>
      <c r="X223" s="382"/>
      <c r="Y223" s="382"/>
    </row>
    <row r="224" spans="1:26" ht="18" customHeight="1" x14ac:dyDescent="0.2">
      <c r="A224" s="337"/>
      <c r="B224" s="337"/>
      <c r="C224" s="345"/>
      <c r="D224" s="382"/>
      <c r="E224" s="382"/>
      <c r="F224" s="382"/>
      <c r="G224" s="382"/>
      <c r="H224" s="382"/>
      <c r="I224" s="382"/>
      <c r="J224" s="382"/>
      <c r="K224" s="382"/>
      <c r="L224" s="382"/>
      <c r="M224" s="382"/>
      <c r="N224" s="382"/>
      <c r="O224" s="382"/>
      <c r="P224" s="382"/>
      <c r="Q224" s="382"/>
      <c r="R224" s="382"/>
      <c r="S224" s="382"/>
      <c r="T224" s="382"/>
      <c r="U224" s="382"/>
      <c r="V224" s="382"/>
      <c r="W224" s="378"/>
      <c r="X224" s="382"/>
      <c r="Y224" s="382"/>
    </row>
    <row r="225" spans="1:25" ht="18" customHeight="1" x14ac:dyDescent="0.2">
      <c r="A225" s="337"/>
      <c r="B225" s="337"/>
      <c r="C225" s="592" t="s">
        <v>290</v>
      </c>
      <c r="D225" s="592"/>
      <c r="E225" s="592"/>
      <c r="F225" s="592"/>
      <c r="G225" s="592"/>
      <c r="H225" s="592"/>
      <c r="I225" s="592"/>
      <c r="J225" s="592"/>
      <c r="K225" s="592"/>
      <c r="L225" s="592"/>
      <c r="M225" s="592"/>
      <c r="N225" s="592"/>
      <c r="O225" s="592"/>
      <c r="P225" s="592"/>
      <c r="Q225" s="592"/>
      <c r="R225" s="592"/>
      <c r="S225" s="592"/>
      <c r="T225" s="592"/>
      <c r="U225" s="592"/>
      <c r="V225" s="592"/>
      <c r="W225" s="592"/>
      <c r="X225" s="592"/>
      <c r="Y225" s="592"/>
    </row>
    <row r="226" spans="1:25" ht="18" customHeight="1" x14ac:dyDescent="0.2">
      <c r="A226" s="337"/>
      <c r="B226" s="337"/>
      <c r="C226" s="354" t="s">
        <v>234</v>
      </c>
      <c r="D226" s="354"/>
      <c r="E226" s="337"/>
      <c r="F226" s="368"/>
      <c r="G226" s="368"/>
      <c r="H226" s="368"/>
      <c r="I226" s="353" t="s">
        <v>28</v>
      </c>
      <c r="J226" s="588"/>
      <c r="K226" s="588"/>
      <c r="N226" s="368"/>
      <c r="P226" s="368"/>
      <c r="Q226" s="368"/>
      <c r="S226" s="369" t="s">
        <v>29</v>
      </c>
      <c r="T226" s="588"/>
      <c r="U226" s="588"/>
      <c r="V226" s="588"/>
      <c r="W226" s="588"/>
    </row>
    <row r="227" spans="1:25" ht="18" customHeight="1" x14ac:dyDescent="0.2">
      <c r="A227" s="337"/>
      <c r="B227" s="337"/>
      <c r="C227" s="345"/>
      <c r="D227" s="337"/>
      <c r="E227" s="337"/>
      <c r="F227" s="337"/>
      <c r="G227" s="337"/>
      <c r="H227" s="337"/>
      <c r="I227" s="337"/>
      <c r="J227" s="337"/>
      <c r="K227" s="337"/>
      <c r="L227" s="337"/>
      <c r="M227" s="337"/>
      <c r="N227" s="386"/>
      <c r="O227" s="380"/>
    </row>
    <row r="228" spans="1:25" ht="18" customHeight="1" x14ac:dyDescent="0.2">
      <c r="A228" s="337"/>
      <c r="B228" s="337"/>
      <c r="C228" s="345"/>
      <c r="D228" s="337"/>
      <c r="E228" s="337"/>
      <c r="F228" s="337"/>
      <c r="G228" s="337"/>
      <c r="H228" s="337"/>
      <c r="I228" s="337"/>
      <c r="J228" s="337"/>
      <c r="K228" s="337"/>
      <c r="L228" s="337"/>
      <c r="M228" s="337"/>
      <c r="N228" s="386"/>
      <c r="O228" s="380"/>
    </row>
    <row r="229" spans="1:25" ht="18" customHeight="1" x14ac:dyDescent="0.2">
      <c r="A229" s="337"/>
      <c r="B229" s="337"/>
      <c r="C229" s="581" t="s">
        <v>291</v>
      </c>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row>
    <row r="230" spans="1:25" ht="18" customHeight="1" thickBot="1" x14ac:dyDescent="0.25">
      <c r="A230" s="337"/>
      <c r="B230" s="337"/>
      <c r="C230" s="337"/>
      <c r="D230" s="337"/>
      <c r="E230" s="337"/>
      <c r="F230" s="337"/>
      <c r="G230" s="337"/>
      <c r="H230" s="337"/>
      <c r="I230" s="337"/>
      <c r="J230" s="337"/>
      <c r="K230" s="386"/>
      <c r="L230" s="386"/>
      <c r="M230" s="386"/>
      <c r="N230" s="386"/>
      <c r="O230" s="380"/>
      <c r="S230" s="353" t="s">
        <v>244</v>
      </c>
      <c r="T230" s="578"/>
      <c r="U230" s="578"/>
      <c r="V230" s="578"/>
      <c r="W230" s="578"/>
      <c r="X230" s="591" t="s">
        <v>111</v>
      </c>
      <c r="Y230" s="591"/>
    </row>
    <row r="231" spans="1:25" ht="18" customHeight="1" thickBot="1" x14ac:dyDescent="0.25">
      <c r="A231" s="337"/>
      <c r="B231" s="337"/>
      <c r="C231" s="345"/>
      <c r="D231" s="337"/>
      <c r="E231" s="337"/>
      <c r="F231" s="337"/>
      <c r="G231" s="337"/>
      <c r="H231" s="337"/>
      <c r="I231" s="337"/>
      <c r="J231" s="337"/>
      <c r="K231" s="337"/>
      <c r="L231" s="337"/>
      <c r="M231" s="337"/>
      <c r="N231" s="386"/>
      <c r="O231" s="380"/>
      <c r="T231" s="375"/>
      <c r="U231" s="385"/>
      <c r="V231" s="385"/>
      <c r="W231" s="377" t="str">
        <f>IF($T$230="","",IF($T$230&gt;$T$213,"La superficie des surfaces construites ne peut pas être supérieure à la superficie de la zone contributive",""))</f>
        <v/>
      </c>
    </row>
    <row r="232" spans="1:25" ht="18" customHeight="1" x14ac:dyDescent="0.2">
      <c r="A232" s="337"/>
      <c r="B232" s="337"/>
      <c r="C232" s="345"/>
      <c r="D232" s="337"/>
      <c r="E232" s="337"/>
      <c r="F232" s="337"/>
      <c r="G232" s="337"/>
      <c r="H232" s="337"/>
      <c r="I232" s="337"/>
      <c r="J232" s="337"/>
      <c r="K232" s="337"/>
      <c r="L232" s="337"/>
      <c r="M232" s="337"/>
      <c r="N232" s="386"/>
      <c r="O232" s="380"/>
      <c r="W232" s="387"/>
    </row>
    <row r="233" spans="1:25" ht="18" customHeight="1" x14ac:dyDescent="0.2">
      <c r="A233" s="337"/>
      <c r="B233" s="337"/>
      <c r="C233" s="581" t="s">
        <v>292</v>
      </c>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row>
    <row r="234" spans="1:25" ht="18" customHeight="1" x14ac:dyDescent="0.2">
      <c r="A234" s="337"/>
      <c r="B234" s="337"/>
      <c r="C234" s="388"/>
      <c r="D234" s="388"/>
      <c r="E234" s="388"/>
      <c r="F234" s="388"/>
      <c r="G234" s="388"/>
      <c r="H234" s="388"/>
      <c r="I234" s="356"/>
      <c r="J234" s="346"/>
      <c r="K234" s="389"/>
      <c r="L234" s="389"/>
      <c r="M234" s="373"/>
      <c r="N234" s="386"/>
      <c r="O234" s="380"/>
      <c r="S234" s="357" t="s">
        <v>245</v>
      </c>
      <c r="T234" s="578"/>
      <c r="U234" s="578"/>
      <c r="V234" s="578"/>
      <c r="W234" s="578"/>
      <c r="X234" s="591" t="s">
        <v>112</v>
      </c>
      <c r="Y234" s="591"/>
    </row>
    <row r="235" spans="1:25" ht="18" customHeight="1" x14ac:dyDescent="0.2">
      <c r="A235" s="337"/>
      <c r="B235" s="337"/>
      <c r="C235" s="345"/>
      <c r="D235" s="337"/>
      <c r="E235" s="337"/>
      <c r="F235" s="337"/>
      <c r="G235" s="337"/>
      <c r="H235" s="337"/>
      <c r="I235" s="337"/>
      <c r="J235" s="337"/>
      <c r="K235" s="337"/>
      <c r="L235" s="337"/>
      <c r="M235" s="337"/>
      <c r="N235" s="386"/>
      <c r="O235" s="380"/>
    </row>
    <row r="236" spans="1:25" ht="18" customHeight="1" x14ac:dyDescent="0.2">
      <c r="A236" s="337"/>
      <c r="B236" s="337"/>
      <c r="C236" s="345"/>
      <c r="D236" s="337"/>
      <c r="E236" s="337"/>
      <c r="F236" s="337"/>
      <c r="G236" s="337"/>
      <c r="H236" s="337"/>
      <c r="I236" s="337"/>
      <c r="J236" s="337"/>
      <c r="K236" s="337"/>
      <c r="L236" s="337"/>
      <c r="M236" s="337"/>
      <c r="N236" s="386"/>
      <c r="O236" s="380"/>
    </row>
    <row r="237" spans="1:25" ht="35.25" customHeight="1" x14ac:dyDescent="0.2">
      <c r="A237" s="337"/>
      <c r="B237" s="337"/>
      <c r="C237" s="341" t="s">
        <v>402</v>
      </c>
      <c r="D237" s="695" t="s">
        <v>404</v>
      </c>
      <c r="E237" s="696"/>
      <c r="F237" s="696"/>
      <c r="G237" s="696"/>
      <c r="H237" s="696"/>
      <c r="I237" s="696"/>
      <c r="J237" s="696"/>
      <c r="K237" s="696"/>
      <c r="L237" s="696"/>
      <c r="M237" s="696"/>
      <c r="N237" s="696"/>
      <c r="O237" s="696"/>
      <c r="P237" s="696"/>
      <c r="Q237" s="696"/>
      <c r="R237" s="696"/>
      <c r="S237" s="696"/>
      <c r="T237" s="696"/>
      <c r="U237" s="696"/>
      <c r="V237" s="696"/>
      <c r="W237" s="696"/>
      <c r="X237" s="696"/>
      <c r="Y237" s="697"/>
    </row>
    <row r="238" spans="1:25" ht="18" customHeight="1" x14ac:dyDescent="0.2">
      <c r="A238" s="337"/>
      <c r="B238" s="337"/>
      <c r="C238" s="517"/>
      <c r="D238" s="517"/>
      <c r="E238" s="517"/>
      <c r="F238" s="517"/>
      <c r="G238" s="517"/>
      <c r="H238" s="517"/>
      <c r="I238" s="517"/>
      <c r="J238" s="517"/>
      <c r="K238" s="517"/>
      <c r="L238" s="517"/>
      <c r="M238" s="517"/>
      <c r="N238" s="517"/>
      <c r="O238" s="517"/>
      <c r="P238" s="517"/>
      <c r="Q238" s="517"/>
      <c r="R238" s="517"/>
      <c r="S238" s="517"/>
      <c r="T238" s="517"/>
      <c r="U238" s="517"/>
      <c r="V238" s="517"/>
      <c r="W238" s="517"/>
      <c r="X238" s="517"/>
      <c r="Y238" s="517"/>
    </row>
    <row r="239" spans="1:25" ht="18" customHeight="1" x14ac:dyDescent="0.2">
      <c r="A239" s="337"/>
      <c r="B239" s="337"/>
      <c r="C239" s="581" t="s">
        <v>366</v>
      </c>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row>
    <row r="240" spans="1:25" ht="18" customHeight="1" x14ac:dyDescent="0.2">
      <c r="A240" s="337"/>
      <c r="B240" s="337"/>
      <c r="C240" s="684" t="s">
        <v>246</v>
      </c>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row>
    <row r="241" spans="1:25" ht="18" customHeight="1" x14ac:dyDescent="0.2">
      <c r="A241" s="337"/>
      <c r="B241" s="337"/>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row>
    <row r="242" spans="1:25" ht="18" customHeight="1" x14ac:dyDescent="0.2">
      <c r="A242" s="337"/>
      <c r="B242" s="337"/>
      <c r="C242" s="686"/>
      <c r="D242" s="687"/>
      <c r="E242" s="687"/>
      <c r="F242" s="687"/>
      <c r="G242" s="687"/>
      <c r="H242" s="687"/>
      <c r="I242" s="687"/>
      <c r="J242" s="687"/>
      <c r="K242" s="687"/>
      <c r="L242" s="687"/>
      <c r="M242" s="687"/>
      <c r="N242" s="687"/>
      <c r="O242" s="687"/>
      <c r="P242" s="687"/>
      <c r="Q242" s="687"/>
      <c r="R242" s="687"/>
      <c r="S242" s="687"/>
      <c r="T242" s="687"/>
      <c r="U242" s="687"/>
      <c r="V242" s="687"/>
      <c r="W242" s="687"/>
      <c r="X242" s="687"/>
      <c r="Y242" s="688"/>
    </row>
    <row r="243" spans="1:25" ht="18" customHeight="1" x14ac:dyDescent="0.2">
      <c r="A243" s="337"/>
      <c r="B243" s="337"/>
      <c r="C243" s="689"/>
      <c r="D243" s="690"/>
      <c r="E243" s="690"/>
      <c r="F243" s="690"/>
      <c r="G243" s="690"/>
      <c r="H243" s="690"/>
      <c r="I243" s="690"/>
      <c r="J243" s="690"/>
      <c r="K243" s="690"/>
      <c r="L243" s="690"/>
      <c r="M243" s="690"/>
      <c r="N243" s="690"/>
      <c r="O243" s="690"/>
      <c r="P243" s="690"/>
      <c r="Q243" s="690"/>
      <c r="R243" s="690"/>
      <c r="S243" s="690"/>
      <c r="T243" s="690"/>
      <c r="U243" s="690"/>
      <c r="V243" s="690"/>
      <c r="W243" s="690"/>
      <c r="X243" s="690"/>
      <c r="Y243" s="691"/>
    </row>
    <row r="244" spans="1:25" ht="18" customHeight="1" x14ac:dyDescent="0.2">
      <c r="A244" s="337"/>
      <c r="B244" s="337"/>
      <c r="C244" s="689"/>
      <c r="D244" s="690"/>
      <c r="E244" s="690"/>
      <c r="F244" s="690"/>
      <c r="G244" s="690"/>
      <c r="H244" s="690"/>
      <c r="I244" s="690"/>
      <c r="J244" s="690"/>
      <c r="K244" s="690"/>
      <c r="L244" s="690"/>
      <c r="M244" s="690"/>
      <c r="N244" s="690"/>
      <c r="O244" s="690"/>
      <c r="P244" s="690"/>
      <c r="Q244" s="690"/>
      <c r="R244" s="690"/>
      <c r="S244" s="690"/>
      <c r="T244" s="690"/>
      <c r="U244" s="690"/>
      <c r="V244" s="690"/>
      <c r="W244" s="690"/>
      <c r="X244" s="690"/>
      <c r="Y244" s="691"/>
    </row>
    <row r="245" spans="1:25" ht="18" customHeight="1" x14ac:dyDescent="0.2">
      <c r="A245" s="337"/>
      <c r="B245" s="337"/>
      <c r="C245" s="689"/>
      <c r="D245" s="690"/>
      <c r="E245" s="690"/>
      <c r="F245" s="690"/>
      <c r="G245" s="690"/>
      <c r="H245" s="690"/>
      <c r="I245" s="690"/>
      <c r="J245" s="690"/>
      <c r="K245" s="690"/>
      <c r="L245" s="690"/>
      <c r="M245" s="690"/>
      <c r="N245" s="690"/>
      <c r="O245" s="690"/>
      <c r="P245" s="690"/>
      <c r="Q245" s="690"/>
      <c r="R245" s="690"/>
      <c r="S245" s="690"/>
      <c r="T245" s="690"/>
      <c r="U245" s="690"/>
      <c r="V245" s="690"/>
      <c r="W245" s="690"/>
      <c r="X245" s="690"/>
      <c r="Y245" s="691"/>
    </row>
    <row r="246" spans="1:25" ht="18" customHeight="1" x14ac:dyDescent="0.2">
      <c r="A246" s="337"/>
      <c r="B246" s="337"/>
      <c r="C246" s="689"/>
      <c r="D246" s="690"/>
      <c r="E246" s="690"/>
      <c r="F246" s="690"/>
      <c r="G246" s="690"/>
      <c r="H246" s="690"/>
      <c r="I246" s="690"/>
      <c r="J246" s="690"/>
      <c r="K246" s="690"/>
      <c r="L246" s="690"/>
      <c r="M246" s="690"/>
      <c r="N246" s="690"/>
      <c r="O246" s="690"/>
      <c r="P246" s="690"/>
      <c r="Q246" s="690"/>
      <c r="R246" s="690"/>
      <c r="S246" s="690"/>
      <c r="T246" s="690"/>
      <c r="U246" s="690"/>
      <c r="V246" s="690"/>
      <c r="W246" s="690"/>
      <c r="X246" s="690"/>
      <c r="Y246" s="691"/>
    </row>
    <row r="247" spans="1:25" ht="18" customHeight="1" x14ac:dyDescent="0.2">
      <c r="A247" s="337"/>
      <c r="B247" s="337"/>
      <c r="C247" s="689"/>
      <c r="D247" s="690"/>
      <c r="E247" s="690"/>
      <c r="F247" s="690"/>
      <c r="G247" s="690"/>
      <c r="H247" s="690"/>
      <c r="I247" s="690"/>
      <c r="J247" s="690"/>
      <c r="K247" s="690"/>
      <c r="L247" s="690"/>
      <c r="M247" s="690"/>
      <c r="N247" s="690"/>
      <c r="O247" s="690"/>
      <c r="P247" s="690"/>
      <c r="Q247" s="690"/>
      <c r="R247" s="690"/>
      <c r="S247" s="690"/>
      <c r="T247" s="690"/>
      <c r="U247" s="690"/>
      <c r="V247" s="690"/>
      <c r="W247" s="690"/>
      <c r="X247" s="690"/>
      <c r="Y247" s="691"/>
    </row>
    <row r="248" spans="1:25" ht="18" customHeight="1" x14ac:dyDescent="0.2">
      <c r="A248" s="337"/>
      <c r="B248" s="337"/>
      <c r="C248" s="689"/>
      <c r="D248" s="690"/>
      <c r="E248" s="690"/>
      <c r="F248" s="690"/>
      <c r="G248" s="690"/>
      <c r="H248" s="690"/>
      <c r="I248" s="690"/>
      <c r="J248" s="690"/>
      <c r="K248" s="690"/>
      <c r="L248" s="690"/>
      <c r="M248" s="690"/>
      <c r="N248" s="690"/>
      <c r="O248" s="690"/>
      <c r="P248" s="690"/>
      <c r="Q248" s="690"/>
      <c r="R248" s="690"/>
      <c r="S248" s="690"/>
      <c r="T248" s="690"/>
      <c r="U248" s="690"/>
      <c r="V248" s="690"/>
      <c r="W248" s="690"/>
      <c r="X248" s="690"/>
      <c r="Y248" s="691"/>
    </row>
    <row r="249" spans="1:25" ht="18" customHeight="1" x14ac:dyDescent="0.2">
      <c r="A249" s="337"/>
      <c r="B249" s="337"/>
      <c r="C249" s="689"/>
      <c r="D249" s="690"/>
      <c r="E249" s="690"/>
      <c r="F249" s="690"/>
      <c r="G249" s="690"/>
      <c r="H249" s="690"/>
      <c r="I249" s="690"/>
      <c r="J249" s="690"/>
      <c r="K249" s="690"/>
      <c r="L249" s="690"/>
      <c r="M249" s="690"/>
      <c r="N249" s="690"/>
      <c r="O249" s="690"/>
      <c r="P249" s="690"/>
      <c r="Q249" s="690"/>
      <c r="R249" s="690"/>
      <c r="S249" s="690"/>
      <c r="T249" s="690"/>
      <c r="U249" s="690"/>
      <c r="V249" s="690"/>
      <c r="W249" s="690"/>
      <c r="X249" s="690"/>
      <c r="Y249" s="691"/>
    </row>
    <row r="250" spans="1:25" ht="18" customHeight="1" x14ac:dyDescent="0.2">
      <c r="A250" s="337"/>
      <c r="B250" s="337"/>
      <c r="C250" s="689"/>
      <c r="D250" s="690"/>
      <c r="E250" s="690"/>
      <c r="F250" s="690"/>
      <c r="G250" s="690"/>
      <c r="H250" s="690"/>
      <c r="I250" s="690"/>
      <c r="J250" s="690"/>
      <c r="K250" s="690"/>
      <c r="L250" s="690"/>
      <c r="M250" s="690"/>
      <c r="N250" s="690"/>
      <c r="O250" s="690"/>
      <c r="P250" s="690"/>
      <c r="Q250" s="690"/>
      <c r="R250" s="690"/>
      <c r="S250" s="690"/>
      <c r="T250" s="690"/>
      <c r="U250" s="690"/>
      <c r="V250" s="690"/>
      <c r="W250" s="690"/>
      <c r="X250" s="690"/>
      <c r="Y250" s="691"/>
    </row>
    <row r="251" spans="1:25" ht="18" customHeight="1" x14ac:dyDescent="0.2">
      <c r="A251" s="337"/>
      <c r="B251" s="337"/>
      <c r="C251" s="689"/>
      <c r="D251" s="690"/>
      <c r="E251" s="690"/>
      <c r="F251" s="690"/>
      <c r="G251" s="690"/>
      <c r="H251" s="690"/>
      <c r="I251" s="690"/>
      <c r="J251" s="690"/>
      <c r="K251" s="690"/>
      <c r="L251" s="690"/>
      <c r="M251" s="690"/>
      <c r="N251" s="690"/>
      <c r="O251" s="690"/>
      <c r="P251" s="690"/>
      <c r="Q251" s="690"/>
      <c r="R251" s="690"/>
      <c r="S251" s="690"/>
      <c r="T251" s="690"/>
      <c r="U251" s="690"/>
      <c r="V251" s="690"/>
      <c r="W251" s="690"/>
      <c r="X251" s="690"/>
      <c r="Y251" s="691"/>
    </row>
    <row r="252" spans="1:25" ht="18" customHeight="1" x14ac:dyDescent="0.2">
      <c r="A252" s="337"/>
      <c r="B252" s="337"/>
      <c r="C252" s="689"/>
      <c r="D252" s="690"/>
      <c r="E252" s="690"/>
      <c r="F252" s="690"/>
      <c r="G252" s="690"/>
      <c r="H252" s="690"/>
      <c r="I252" s="690"/>
      <c r="J252" s="690"/>
      <c r="K252" s="690"/>
      <c r="L252" s="690"/>
      <c r="M252" s="690"/>
      <c r="N252" s="690"/>
      <c r="O252" s="690"/>
      <c r="P252" s="690"/>
      <c r="Q252" s="690"/>
      <c r="R252" s="690"/>
      <c r="S252" s="690"/>
      <c r="T252" s="690"/>
      <c r="U252" s="690"/>
      <c r="V252" s="690"/>
      <c r="W252" s="690"/>
      <c r="X252" s="690"/>
      <c r="Y252" s="691"/>
    </row>
    <row r="253" spans="1:25" ht="18" customHeight="1" x14ac:dyDescent="0.2">
      <c r="A253" s="337"/>
      <c r="B253" s="337"/>
      <c r="C253" s="689"/>
      <c r="D253" s="690"/>
      <c r="E253" s="690"/>
      <c r="F253" s="690"/>
      <c r="G253" s="690"/>
      <c r="H253" s="690"/>
      <c r="I253" s="690"/>
      <c r="J253" s="690"/>
      <c r="K253" s="690"/>
      <c r="L253" s="690"/>
      <c r="M253" s="690"/>
      <c r="N253" s="690"/>
      <c r="O253" s="690"/>
      <c r="P253" s="690"/>
      <c r="Q253" s="690"/>
      <c r="R253" s="690"/>
      <c r="S253" s="690"/>
      <c r="T253" s="690"/>
      <c r="U253" s="690"/>
      <c r="V253" s="690"/>
      <c r="W253" s="690"/>
      <c r="X253" s="690"/>
      <c r="Y253" s="691"/>
    </row>
    <row r="254" spans="1:25" ht="18" customHeight="1" x14ac:dyDescent="0.2">
      <c r="A254" s="337"/>
      <c r="B254" s="337"/>
      <c r="C254" s="689"/>
      <c r="D254" s="690"/>
      <c r="E254" s="690"/>
      <c r="F254" s="690"/>
      <c r="G254" s="690"/>
      <c r="H254" s="690"/>
      <c r="I254" s="690"/>
      <c r="J254" s="690"/>
      <c r="K254" s="690"/>
      <c r="L254" s="690"/>
      <c r="M254" s="690"/>
      <c r="N254" s="690"/>
      <c r="O254" s="690"/>
      <c r="P254" s="690"/>
      <c r="Q254" s="690"/>
      <c r="R254" s="690"/>
      <c r="S254" s="690"/>
      <c r="T254" s="690"/>
      <c r="U254" s="690"/>
      <c r="V254" s="690"/>
      <c r="W254" s="690"/>
      <c r="X254" s="690"/>
      <c r="Y254" s="691"/>
    </row>
    <row r="255" spans="1:25" ht="18" customHeight="1" x14ac:dyDescent="0.2">
      <c r="A255" s="337"/>
      <c r="B255" s="337"/>
      <c r="C255" s="689"/>
      <c r="D255" s="690"/>
      <c r="E255" s="690"/>
      <c r="F255" s="690"/>
      <c r="G255" s="690"/>
      <c r="H255" s="690"/>
      <c r="I255" s="690"/>
      <c r="J255" s="690"/>
      <c r="K255" s="690"/>
      <c r="L255" s="690"/>
      <c r="M255" s="690"/>
      <c r="N255" s="690"/>
      <c r="O255" s="690"/>
      <c r="P255" s="690"/>
      <c r="Q255" s="690"/>
      <c r="R255" s="690"/>
      <c r="S255" s="690"/>
      <c r="T255" s="690"/>
      <c r="U255" s="690"/>
      <c r="V255" s="690"/>
      <c r="W255" s="690"/>
      <c r="X255" s="690"/>
      <c r="Y255" s="691"/>
    </row>
    <row r="256" spans="1:25" ht="18" customHeight="1" x14ac:dyDescent="0.2">
      <c r="A256" s="337"/>
      <c r="B256" s="337"/>
      <c r="C256" s="689"/>
      <c r="D256" s="690"/>
      <c r="E256" s="690"/>
      <c r="F256" s="690"/>
      <c r="G256" s="690"/>
      <c r="H256" s="690"/>
      <c r="I256" s="690"/>
      <c r="J256" s="690"/>
      <c r="K256" s="690"/>
      <c r="L256" s="690"/>
      <c r="M256" s="690"/>
      <c r="N256" s="690"/>
      <c r="O256" s="690"/>
      <c r="P256" s="690"/>
      <c r="Q256" s="690"/>
      <c r="R256" s="690"/>
      <c r="S256" s="690"/>
      <c r="T256" s="690"/>
      <c r="U256" s="690"/>
      <c r="V256" s="690"/>
      <c r="W256" s="690"/>
      <c r="X256" s="690"/>
      <c r="Y256" s="691"/>
    </row>
    <row r="257" spans="1:25" ht="18" customHeight="1" x14ac:dyDescent="0.2">
      <c r="A257" s="337"/>
      <c r="B257" s="337"/>
      <c r="C257" s="689"/>
      <c r="D257" s="690"/>
      <c r="E257" s="690"/>
      <c r="F257" s="690"/>
      <c r="G257" s="690"/>
      <c r="H257" s="690"/>
      <c r="I257" s="690"/>
      <c r="J257" s="690"/>
      <c r="K257" s="690"/>
      <c r="L257" s="690"/>
      <c r="M257" s="690"/>
      <c r="N257" s="690"/>
      <c r="O257" s="690"/>
      <c r="P257" s="690"/>
      <c r="Q257" s="690"/>
      <c r="R257" s="690"/>
      <c r="S257" s="690"/>
      <c r="T257" s="690"/>
      <c r="U257" s="690"/>
      <c r="V257" s="690"/>
      <c r="W257" s="690"/>
      <c r="X257" s="690"/>
      <c r="Y257" s="691"/>
    </row>
    <row r="258" spans="1:25" ht="18" customHeight="1" x14ac:dyDescent="0.2">
      <c r="A258" s="337"/>
      <c r="B258" s="337"/>
      <c r="C258" s="689"/>
      <c r="D258" s="690"/>
      <c r="E258" s="690"/>
      <c r="F258" s="690"/>
      <c r="G258" s="690"/>
      <c r="H258" s="690"/>
      <c r="I258" s="690"/>
      <c r="J258" s="690"/>
      <c r="K258" s="690"/>
      <c r="L258" s="690"/>
      <c r="M258" s="690"/>
      <c r="N258" s="690"/>
      <c r="O258" s="690"/>
      <c r="P258" s="690"/>
      <c r="Q258" s="690"/>
      <c r="R258" s="690"/>
      <c r="S258" s="690"/>
      <c r="T258" s="690"/>
      <c r="U258" s="690"/>
      <c r="V258" s="690"/>
      <c r="W258" s="690"/>
      <c r="X258" s="690"/>
      <c r="Y258" s="691"/>
    </row>
    <row r="259" spans="1:25" ht="18" customHeight="1" x14ac:dyDescent="0.2">
      <c r="A259" s="337"/>
      <c r="B259" s="337"/>
      <c r="C259" s="689"/>
      <c r="D259" s="690"/>
      <c r="E259" s="690"/>
      <c r="F259" s="690"/>
      <c r="G259" s="690"/>
      <c r="H259" s="690"/>
      <c r="I259" s="690"/>
      <c r="J259" s="690"/>
      <c r="K259" s="690"/>
      <c r="L259" s="690"/>
      <c r="M259" s="690"/>
      <c r="N259" s="690"/>
      <c r="O259" s="690"/>
      <c r="P259" s="690"/>
      <c r="Q259" s="690"/>
      <c r="R259" s="690"/>
      <c r="S259" s="690"/>
      <c r="T259" s="690"/>
      <c r="U259" s="690"/>
      <c r="V259" s="690"/>
      <c r="W259" s="690"/>
      <c r="X259" s="690"/>
      <c r="Y259" s="691"/>
    </row>
    <row r="260" spans="1:25" ht="18" customHeight="1" x14ac:dyDescent="0.2">
      <c r="A260" s="337"/>
      <c r="B260" s="337"/>
      <c r="C260" s="689"/>
      <c r="D260" s="690"/>
      <c r="E260" s="690"/>
      <c r="F260" s="690"/>
      <c r="G260" s="690"/>
      <c r="H260" s="690"/>
      <c r="I260" s="690"/>
      <c r="J260" s="690"/>
      <c r="K260" s="690"/>
      <c r="L260" s="690"/>
      <c r="M260" s="690"/>
      <c r="N260" s="690"/>
      <c r="O260" s="690"/>
      <c r="P260" s="690"/>
      <c r="Q260" s="690"/>
      <c r="R260" s="690"/>
      <c r="S260" s="690"/>
      <c r="T260" s="690"/>
      <c r="U260" s="690"/>
      <c r="V260" s="690"/>
      <c r="W260" s="690"/>
      <c r="X260" s="690"/>
      <c r="Y260" s="691"/>
    </row>
    <row r="261" spans="1:25" ht="18" customHeight="1" x14ac:dyDescent="0.2">
      <c r="A261" s="337"/>
      <c r="B261" s="337"/>
      <c r="C261" s="689"/>
      <c r="D261" s="690"/>
      <c r="E261" s="690"/>
      <c r="F261" s="690"/>
      <c r="G261" s="690"/>
      <c r="H261" s="690"/>
      <c r="I261" s="690"/>
      <c r="J261" s="690"/>
      <c r="K261" s="690"/>
      <c r="L261" s="690"/>
      <c r="M261" s="690"/>
      <c r="N261" s="690"/>
      <c r="O261" s="690"/>
      <c r="P261" s="690"/>
      <c r="Q261" s="690"/>
      <c r="R261" s="690"/>
      <c r="S261" s="690"/>
      <c r="T261" s="690"/>
      <c r="U261" s="690"/>
      <c r="V261" s="690"/>
      <c r="W261" s="690"/>
      <c r="X261" s="690"/>
      <c r="Y261" s="691"/>
    </row>
    <row r="262" spans="1:25" ht="18" customHeight="1" x14ac:dyDescent="0.2">
      <c r="A262" s="337"/>
      <c r="B262" s="337"/>
      <c r="C262" s="689"/>
      <c r="D262" s="690"/>
      <c r="E262" s="690"/>
      <c r="F262" s="690"/>
      <c r="G262" s="690"/>
      <c r="H262" s="690"/>
      <c r="I262" s="690"/>
      <c r="J262" s="690"/>
      <c r="K262" s="690"/>
      <c r="L262" s="690"/>
      <c r="M262" s="690"/>
      <c r="N262" s="690"/>
      <c r="O262" s="690"/>
      <c r="P262" s="690"/>
      <c r="Q262" s="690"/>
      <c r="R262" s="690"/>
      <c r="S262" s="690"/>
      <c r="T262" s="690"/>
      <c r="U262" s="690"/>
      <c r="V262" s="690"/>
      <c r="W262" s="690"/>
      <c r="X262" s="690"/>
      <c r="Y262" s="691"/>
    </row>
    <row r="263" spans="1:25" ht="18" customHeight="1" x14ac:dyDescent="0.2">
      <c r="A263" s="337"/>
      <c r="B263" s="337"/>
      <c r="C263" s="689"/>
      <c r="D263" s="690"/>
      <c r="E263" s="690"/>
      <c r="F263" s="690"/>
      <c r="G263" s="690"/>
      <c r="H263" s="690"/>
      <c r="I263" s="690"/>
      <c r="J263" s="690"/>
      <c r="K263" s="690"/>
      <c r="L263" s="690"/>
      <c r="M263" s="690"/>
      <c r="N263" s="690"/>
      <c r="O263" s="690"/>
      <c r="P263" s="690"/>
      <c r="Q263" s="690"/>
      <c r="R263" s="690"/>
      <c r="S263" s="690"/>
      <c r="T263" s="690"/>
      <c r="U263" s="690"/>
      <c r="V263" s="690"/>
      <c r="W263" s="690"/>
      <c r="X263" s="690"/>
      <c r="Y263" s="691"/>
    </row>
    <row r="264" spans="1:25" ht="18" customHeight="1" x14ac:dyDescent="0.2">
      <c r="A264" s="337"/>
      <c r="B264" s="337"/>
      <c r="C264" s="689"/>
      <c r="D264" s="690"/>
      <c r="E264" s="690"/>
      <c r="F264" s="690"/>
      <c r="G264" s="690"/>
      <c r="H264" s="690"/>
      <c r="I264" s="690"/>
      <c r="J264" s="690"/>
      <c r="K264" s="690"/>
      <c r="L264" s="690"/>
      <c r="M264" s="690"/>
      <c r="N264" s="690"/>
      <c r="O264" s="690"/>
      <c r="P264" s="690"/>
      <c r="Q264" s="690"/>
      <c r="R264" s="690"/>
      <c r="S264" s="690"/>
      <c r="T264" s="690"/>
      <c r="U264" s="690"/>
      <c r="V264" s="690"/>
      <c r="W264" s="690"/>
      <c r="X264" s="690"/>
      <c r="Y264" s="691"/>
    </row>
    <row r="265" spans="1:25" ht="18" customHeight="1" x14ac:dyDescent="0.2">
      <c r="A265" s="337"/>
      <c r="B265" s="337"/>
      <c r="C265" s="689"/>
      <c r="D265" s="690"/>
      <c r="E265" s="690"/>
      <c r="F265" s="690"/>
      <c r="G265" s="690"/>
      <c r="H265" s="690"/>
      <c r="I265" s="690"/>
      <c r="J265" s="690"/>
      <c r="K265" s="690"/>
      <c r="L265" s="690"/>
      <c r="M265" s="690"/>
      <c r="N265" s="690"/>
      <c r="O265" s="690"/>
      <c r="P265" s="690"/>
      <c r="Q265" s="690"/>
      <c r="R265" s="690"/>
      <c r="S265" s="690"/>
      <c r="T265" s="690"/>
      <c r="U265" s="690"/>
      <c r="V265" s="690"/>
      <c r="W265" s="690"/>
      <c r="X265" s="690"/>
      <c r="Y265" s="691"/>
    </row>
    <row r="266" spans="1:25" ht="18" customHeight="1" x14ac:dyDescent="0.2">
      <c r="A266" s="337"/>
      <c r="B266" s="337"/>
      <c r="C266" s="689"/>
      <c r="D266" s="690"/>
      <c r="E266" s="690"/>
      <c r="F266" s="690"/>
      <c r="G266" s="690"/>
      <c r="H266" s="690"/>
      <c r="I266" s="690"/>
      <c r="J266" s="690"/>
      <c r="K266" s="690"/>
      <c r="L266" s="690"/>
      <c r="M266" s="690"/>
      <c r="N266" s="690"/>
      <c r="O266" s="690"/>
      <c r="P266" s="690"/>
      <c r="Q266" s="690"/>
      <c r="R266" s="690"/>
      <c r="S266" s="690"/>
      <c r="T266" s="690"/>
      <c r="U266" s="690"/>
      <c r="V266" s="690"/>
      <c r="W266" s="690"/>
      <c r="X266" s="690"/>
      <c r="Y266" s="691"/>
    </row>
    <row r="267" spans="1:25" ht="18" customHeight="1" x14ac:dyDescent="0.2">
      <c r="A267" s="337"/>
      <c r="B267" s="337"/>
      <c r="C267" s="689"/>
      <c r="D267" s="690"/>
      <c r="E267" s="690"/>
      <c r="F267" s="690"/>
      <c r="G267" s="690"/>
      <c r="H267" s="690"/>
      <c r="I267" s="690"/>
      <c r="J267" s="690"/>
      <c r="K267" s="690"/>
      <c r="L267" s="690"/>
      <c r="M267" s="690"/>
      <c r="N267" s="690"/>
      <c r="O267" s="690"/>
      <c r="P267" s="690"/>
      <c r="Q267" s="690"/>
      <c r="R267" s="690"/>
      <c r="S267" s="690"/>
      <c r="T267" s="690"/>
      <c r="U267" s="690"/>
      <c r="V267" s="690"/>
      <c r="W267" s="690"/>
      <c r="X267" s="690"/>
      <c r="Y267" s="691"/>
    </row>
    <row r="268" spans="1:25" ht="18" customHeight="1" x14ac:dyDescent="0.2">
      <c r="A268" s="337"/>
      <c r="B268" s="337"/>
      <c r="C268" s="689"/>
      <c r="D268" s="690"/>
      <c r="E268" s="690"/>
      <c r="F268" s="690"/>
      <c r="G268" s="690"/>
      <c r="H268" s="690"/>
      <c r="I268" s="690"/>
      <c r="J268" s="690"/>
      <c r="K268" s="690"/>
      <c r="L268" s="690"/>
      <c r="M268" s="690"/>
      <c r="N268" s="690"/>
      <c r="O268" s="690"/>
      <c r="P268" s="690"/>
      <c r="Q268" s="690"/>
      <c r="R268" s="690"/>
      <c r="S268" s="690"/>
      <c r="T268" s="690"/>
      <c r="U268" s="690"/>
      <c r="V268" s="690"/>
      <c r="W268" s="690"/>
      <c r="X268" s="690"/>
      <c r="Y268" s="691"/>
    </row>
    <row r="269" spans="1:25" ht="18" customHeight="1" x14ac:dyDescent="0.2">
      <c r="A269" s="337"/>
      <c r="B269" s="337"/>
      <c r="C269" s="689"/>
      <c r="D269" s="690"/>
      <c r="E269" s="690"/>
      <c r="F269" s="690"/>
      <c r="G269" s="690"/>
      <c r="H269" s="690"/>
      <c r="I269" s="690"/>
      <c r="J269" s="690"/>
      <c r="K269" s="690"/>
      <c r="L269" s="690"/>
      <c r="M269" s="690"/>
      <c r="N269" s="690"/>
      <c r="O269" s="690"/>
      <c r="P269" s="690"/>
      <c r="Q269" s="690"/>
      <c r="R269" s="690"/>
      <c r="S269" s="690"/>
      <c r="T269" s="690"/>
      <c r="U269" s="690"/>
      <c r="V269" s="690"/>
      <c r="W269" s="690"/>
      <c r="X269" s="690"/>
      <c r="Y269" s="691"/>
    </row>
    <row r="270" spans="1:25" ht="18" customHeight="1" x14ac:dyDescent="0.2">
      <c r="A270" s="337"/>
      <c r="B270" s="337"/>
      <c r="C270" s="689"/>
      <c r="D270" s="690"/>
      <c r="E270" s="690"/>
      <c r="F270" s="690"/>
      <c r="G270" s="690"/>
      <c r="H270" s="690"/>
      <c r="I270" s="690"/>
      <c r="J270" s="690"/>
      <c r="K270" s="690"/>
      <c r="L270" s="690"/>
      <c r="M270" s="690"/>
      <c r="N270" s="690"/>
      <c r="O270" s="690"/>
      <c r="P270" s="690"/>
      <c r="Q270" s="690"/>
      <c r="R270" s="690"/>
      <c r="S270" s="690"/>
      <c r="T270" s="690"/>
      <c r="U270" s="690"/>
      <c r="V270" s="690"/>
      <c r="W270" s="690"/>
      <c r="X270" s="690"/>
      <c r="Y270" s="691"/>
    </row>
    <row r="271" spans="1:25" ht="18" customHeight="1" x14ac:dyDescent="0.2">
      <c r="A271" s="337"/>
      <c r="B271" s="337"/>
      <c r="C271" s="689"/>
      <c r="D271" s="690"/>
      <c r="E271" s="690"/>
      <c r="F271" s="690"/>
      <c r="G271" s="690"/>
      <c r="H271" s="690"/>
      <c r="I271" s="690"/>
      <c r="J271" s="690"/>
      <c r="K271" s="690"/>
      <c r="L271" s="690"/>
      <c r="M271" s="690"/>
      <c r="N271" s="690"/>
      <c r="O271" s="690"/>
      <c r="P271" s="690"/>
      <c r="Q271" s="690"/>
      <c r="R271" s="690"/>
      <c r="S271" s="690"/>
      <c r="T271" s="690"/>
      <c r="U271" s="690"/>
      <c r="V271" s="690"/>
      <c r="W271" s="690"/>
      <c r="X271" s="690"/>
      <c r="Y271" s="691"/>
    </row>
    <row r="272" spans="1:25" ht="18" customHeight="1" x14ac:dyDescent="0.2">
      <c r="A272" s="337"/>
      <c r="B272" s="337"/>
      <c r="C272" s="689"/>
      <c r="D272" s="690"/>
      <c r="E272" s="690"/>
      <c r="F272" s="690"/>
      <c r="G272" s="690"/>
      <c r="H272" s="690"/>
      <c r="I272" s="690"/>
      <c r="J272" s="690"/>
      <c r="K272" s="690"/>
      <c r="L272" s="690"/>
      <c r="M272" s="690"/>
      <c r="N272" s="690"/>
      <c r="O272" s="690"/>
      <c r="P272" s="690"/>
      <c r="Q272" s="690"/>
      <c r="R272" s="690"/>
      <c r="S272" s="690"/>
      <c r="T272" s="690"/>
      <c r="U272" s="690"/>
      <c r="V272" s="690"/>
      <c r="W272" s="690"/>
      <c r="X272" s="690"/>
      <c r="Y272" s="691"/>
    </row>
    <row r="273" spans="1:25" ht="18" customHeight="1" x14ac:dyDescent="0.2">
      <c r="A273" s="337"/>
      <c r="B273" s="337"/>
      <c r="C273" s="689"/>
      <c r="D273" s="690"/>
      <c r="E273" s="690"/>
      <c r="F273" s="690"/>
      <c r="G273" s="690"/>
      <c r="H273" s="690"/>
      <c r="I273" s="690"/>
      <c r="J273" s="690"/>
      <c r="K273" s="690"/>
      <c r="L273" s="690"/>
      <c r="M273" s="690"/>
      <c r="N273" s="690"/>
      <c r="O273" s="690"/>
      <c r="P273" s="690"/>
      <c r="Q273" s="690"/>
      <c r="R273" s="690"/>
      <c r="S273" s="690"/>
      <c r="T273" s="690"/>
      <c r="U273" s="690"/>
      <c r="V273" s="690"/>
      <c r="W273" s="690"/>
      <c r="X273" s="690"/>
      <c r="Y273" s="691"/>
    </row>
    <row r="274" spans="1:25" ht="18" customHeight="1" x14ac:dyDescent="0.2">
      <c r="A274" s="337"/>
      <c r="B274" s="337"/>
      <c r="C274" s="689"/>
      <c r="D274" s="690"/>
      <c r="E274" s="690"/>
      <c r="F274" s="690"/>
      <c r="G274" s="690"/>
      <c r="H274" s="690"/>
      <c r="I274" s="690"/>
      <c r="J274" s="690"/>
      <c r="K274" s="690"/>
      <c r="L274" s="690"/>
      <c r="M274" s="690"/>
      <c r="N274" s="690"/>
      <c r="O274" s="690"/>
      <c r="P274" s="690"/>
      <c r="Q274" s="690"/>
      <c r="R274" s="690"/>
      <c r="S274" s="690"/>
      <c r="T274" s="690"/>
      <c r="U274" s="690"/>
      <c r="V274" s="690"/>
      <c r="W274" s="690"/>
      <c r="X274" s="690"/>
      <c r="Y274" s="691"/>
    </row>
    <row r="275" spans="1:25" ht="18" customHeight="1" x14ac:dyDescent="0.2">
      <c r="A275" s="337"/>
      <c r="B275" s="337"/>
      <c r="C275" s="689"/>
      <c r="D275" s="690"/>
      <c r="E275" s="690"/>
      <c r="F275" s="690"/>
      <c r="G275" s="690"/>
      <c r="H275" s="690"/>
      <c r="I275" s="690"/>
      <c r="J275" s="690"/>
      <c r="K275" s="690"/>
      <c r="L275" s="690"/>
      <c r="M275" s="690"/>
      <c r="N275" s="690"/>
      <c r="O275" s="690"/>
      <c r="P275" s="690"/>
      <c r="Q275" s="690"/>
      <c r="R275" s="690"/>
      <c r="S275" s="690"/>
      <c r="T275" s="690"/>
      <c r="U275" s="690"/>
      <c r="V275" s="690"/>
      <c r="W275" s="690"/>
      <c r="X275" s="690"/>
      <c r="Y275" s="691"/>
    </row>
    <row r="276" spans="1:25" ht="18" customHeight="1" x14ac:dyDescent="0.2">
      <c r="A276" s="337"/>
      <c r="B276" s="337"/>
      <c r="C276" s="689"/>
      <c r="D276" s="690"/>
      <c r="E276" s="690"/>
      <c r="F276" s="690"/>
      <c r="G276" s="690"/>
      <c r="H276" s="690"/>
      <c r="I276" s="690"/>
      <c r="J276" s="690"/>
      <c r="K276" s="690"/>
      <c r="L276" s="690"/>
      <c r="M276" s="690"/>
      <c r="N276" s="690"/>
      <c r="O276" s="690"/>
      <c r="P276" s="690"/>
      <c r="Q276" s="690"/>
      <c r="R276" s="690"/>
      <c r="S276" s="690"/>
      <c r="T276" s="690"/>
      <c r="U276" s="690"/>
      <c r="V276" s="690"/>
      <c r="W276" s="690"/>
      <c r="X276" s="690"/>
      <c r="Y276" s="691"/>
    </row>
    <row r="277" spans="1:25" ht="18" customHeight="1" x14ac:dyDescent="0.2">
      <c r="A277" s="337"/>
      <c r="B277" s="337"/>
      <c r="C277" s="689"/>
      <c r="D277" s="690"/>
      <c r="E277" s="690"/>
      <c r="F277" s="690"/>
      <c r="G277" s="690"/>
      <c r="H277" s="690"/>
      <c r="I277" s="690"/>
      <c r="J277" s="690"/>
      <c r="K277" s="690"/>
      <c r="L277" s="690"/>
      <c r="M277" s="690"/>
      <c r="N277" s="690"/>
      <c r="O277" s="690"/>
      <c r="P277" s="690"/>
      <c r="Q277" s="690"/>
      <c r="R277" s="690"/>
      <c r="S277" s="690"/>
      <c r="T277" s="690"/>
      <c r="U277" s="690"/>
      <c r="V277" s="690"/>
      <c r="W277" s="690"/>
      <c r="X277" s="690"/>
      <c r="Y277" s="691"/>
    </row>
    <row r="278" spans="1:25" ht="18" customHeight="1" x14ac:dyDescent="0.2">
      <c r="A278" s="337"/>
      <c r="B278" s="337"/>
      <c r="C278" s="689"/>
      <c r="D278" s="690"/>
      <c r="E278" s="690"/>
      <c r="F278" s="690"/>
      <c r="G278" s="690"/>
      <c r="H278" s="690"/>
      <c r="I278" s="690"/>
      <c r="J278" s="690"/>
      <c r="K278" s="690"/>
      <c r="L278" s="690"/>
      <c r="M278" s="690"/>
      <c r="N278" s="690"/>
      <c r="O278" s="690"/>
      <c r="P278" s="690"/>
      <c r="Q278" s="690"/>
      <c r="R278" s="690"/>
      <c r="S278" s="690"/>
      <c r="T278" s="690"/>
      <c r="U278" s="690"/>
      <c r="V278" s="690"/>
      <c r="W278" s="690"/>
      <c r="X278" s="690"/>
      <c r="Y278" s="691"/>
    </row>
    <row r="279" spans="1:25" ht="18" customHeight="1" x14ac:dyDescent="0.2">
      <c r="A279" s="337"/>
      <c r="B279" s="337"/>
      <c r="C279" s="689"/>
      <c r="D279" s="690"/>
      <c r="E279" s="690"/>
      <c r="F279" s="690"/>
      <c r="G279" s="690"/>
      <c r="H279" s="690"/>
      <c r="I279" s="690"/>
      <c r="J279" s="690"/>
      <c r="K279" s="690"/>
      <c r="L279" s="690"/>
      <c r="M279" s="690"/>
      <c r="N279" s="690"/>
      <c r="O279" s="690"/>
      <c r="P279" s="690"/>
      <c r="Q279" s="690"/>
      <c r="R279" s="690"/>
      <c r="S279" s="690"/>
      <c r="T279" s="690"/>
      <c r="U279" s="690"/>
      <c r="V279" s="690"/>
      <c r="W279" s="690"/>
      <c r="X279" s="690"/>
      <c r="Y279" s="691"/>
    </row>
    <row r="280" spans="1:25" ht="18" customHeight="1" x14ac:dyDescent="0.2">
      <c r="A280" s="337"/>
      <c r="B280" s="337"/>
      <c r="C280" s="689"/>
      <c r="D280" s="690"/>
      <c r="E280" s="690"/>
      <c r="F280" s="690"/>
      <c r="G280" s="690"/>
      <c r="H280" s="690"/>
      <c r="I280" s="690"/>
      <c r="J280" s="690"/>
      <c r="K280" s="690"/>
      <c r="L280" s="690"/>
      <c r="M280" s="690"/>
      <c r="N280" s="690"/>
      <c r="O280" s="690"/>
      <c r="P280" s="690"/>
      <c r="Q280" s="690"/>
      <c r="R280" s="690"/>
      <c r="S280" s="690"/>
      <c r="T280" s="690"/>
      <c r="U280" s="690"/>
      <c r="V280" s="690"/>
      <c r="W280" s="690"/>
      <c r="X280" s="690"/>
      <c r="Y280" s="691"/>
    </row>
    <row r="281" spans="1:25" ht="18" customHeight="1" x14ac:dyDescent="0.2">
      <c r="A281" s="337"/>
      <c r="B281" s="337"/>
      <c r="C281" s="689"/>
      <c r="D281" s="690"/>
      <c r="E281" s="690"/>
      <c r="F281" s="690"/>
      <c r="G281" s="690"/>
      <c r="H281" s="690"/>
      <c r="I281" s="690"/>
      <c r="J281" s="690"/>
      <c r="K281" s="690"/>
      <c r="L281" s="690"/>
      <c r="M281" s="690"/>
      <c r="N281" s="690"/>
      <c r="O281" s="690"/>
      <c r="P281" s="690"/>
      <c r="Q281" s="690"/>
      <c r="R281" s="690"/>
      <c r="S281" s="690"/>
      <c r="T281" s="690"/>
      <c r="U281" s="690"/>
      <c r="V281" s="690"/>
      <c r="W281" s="690"/>
      <c r="X281" s="690"/>
      <c r="Y281" s="691"/>
    </row>
    <row r="282" spans="1:25" ht="18" customHeight="1" x14ac:dyDescent="0.2">
      <c r="A282" s="337"/>
      <c r="B282" s="337"/>
      <c r="C282" s="689"/>
      <c r="D282" s="690"/>
      <c r="E282" s="690"/>
      <c r="F282" s="690"/>
      <c r="G282" s="690"/>
      <c r="H282" s="690"/>
      <c r="I282" s="690"/>
      <c r="J282" s="690"/>
      <c r="K282" s="690"/>
      <c r="L282" s="690"/>
      <c r="M282" s="690"/>
      <c r="N282" s="690"/>
      <c r="O282" s="690"/>
      <c r="P282" s="690"/>
      <c r="Q282" s="690"/>
      <c r="R282" s="690"/>
      <c r="S282" s="690"/>
      <c r="T282" s="690"/>
      <c r="U282" s="690"/>
      <c r="V282" s="690"/>
      <c r="W282" s="690"/>
      <c r="X282" s="690"/>
      <c r="Y282" s="691"/>
    </row>
    <row r="283" spans="1:25" ht="18" customHeight="1" x14ac:dyDescent="0.2">
      <c r="A283" s="337"/>
      <c r="B283" s="337"/>
      <c r="C283" s="689"/>
      <c r="D283" s="690"/>
      <c r="E283" s="690"/>
      <c r="F283" s="690"/>
      <c r="G283" s="690"/>
      <c r="H283" s="690"/>
      <c r="I283" s="690"/>
      <c r="J283" s="690"/>
      <c r="K283" s="690"/>
      <c r="L283" s="690"/>
      <c r="M283" s="690"/>
      <c r="N283" s="690"/>
      <c r="O283" s="690"/>
      <c r="P283" s="690"/>
      <c r="Q283" s="690"/>
      <c r="R283" s="690"/>
      <c r="S283" s="690"/>
      <c r="T283" s="690"/>
      <c r="U283" s="690"/>
      <c r="V283" s="690"/>
      <c r="W283" s="690"/>
      <c r="X283" s="690"/>
      <c r="Y283" s="691"/>
    </row>
    <row r="284" spans="1:25" ht="18" customHeight="1" x14ac:dyDescent="0.2">
      <c r="A284" s="337"/>
      <c r="B284" s="337"/>
      <c r="C284" s="689"/>
      <c r="D284" s="690"/>
      <c r="E284" s="690"/>
      <c r="F284" s="690"/>
      <c r="G284" s="690"/>
      <c r="H284" s="690"/>
      <c r="I284" s="690"/>
      <c r="J284" s="690"/>
      <c r="K284" s="690"/>
      <c r="L284" s="690"/>
      <c r="M284" s="690"/>
      <c r="N284" s="690"/>
      <c r="O284" s="690"/>
      <c r="P284" s="690"/>
      <c r="Q284" s="690"/>
      <c r="R284" s="690"/>
      <c r="S284" s="690"/>
      <c r="T284" s="690"/>
      <c r="U284" s="690"/>
      <c r="V284" s="690"/>
      <c r="W284" s="690"/>
      <c r="X284" s="690"/>
      <c r="Y284" s="691"/>
    </row>
    <row r="285" spans="1:25" ht="18" customHeight="1" x14ac:dyDescent="0.2">
      <c r="A285" s="337"/>
      <c r="B285" s="337"/>
      <c r="C285" s="689"/>
      <c r="D285" s="690"/>
      <c r="E285" s="690"/>
      <c r="F285" s="690"/>
      <c r="G285" s="690"/>
      <c r="H285" s="690"/>
      <c r="I285" s="690"/>
      <c r="J285" s="690"/>
      <c r="K285" s="690"/>
      <c r="L285" s="690"/>
      <c r="M285" s="690"/>
      <c r="N285" s="690"/>
      <c r="O285" s="690"/>
      <c r="P285" s="690"/>
      <c r="Q285" s="690"/>
      <c r="R285" s="690"/>
      <c r="S285" s="690"/>
      <c r="T285" s="690"/>
      <c r="U285" s="690"/>
      <c r="V285" s="690"/>
      <c r="W285" s="690"/>
      <c r="X285" s="690"/>
      <c r="Y285" s="691"/>
    </row>
    <row r="286" spans="1:25" ht="18" customHeight="1" x14ac:dyDescent="0.2">
      <c r="A286" s="337"/>
      <c r="B286" s="337"/>
      <c r="C286" s="689"/>
      <c r="D286" s="690"/>
      <c r="E286" s="690"/>
      <c r="F286" s="690"/>
      <c r="G286" s="690"/>
      <c r="H286" s="690"/>
      <c r="I286" s="690"/>
      <c r="J286" s="690"/>
      <c r="K286" s="690"/>
      <c r="L286" s="690"/>
      <c r="M286" s="690"/>
      <c r="N286" s="690"/>
      <c r="O286" s="690"/>
      <c r="P286" s="690"/>
      <c r="Q286" s="690"/>
      <c r="R286" s="690"/>
      <c r="S286" s="690"/>
      <c r="T286" s="690"/>
      <c r="U286" s="690"/>
      <c r="V286" s="690"/>
      <c r="W286" s="690"/>
      <c r="X286" s="690"/>
      <c r="Y286" s="691"/>
    </row>
    <row r="287" spans="1:25" ht="18" customHeight="1" x14ac:dyDescent="0.2">
      <c r="A287" s="337"/>
      <c r="B287" s="337"/>
      <c r="C287" s="692"/>
      <c r="D287" s="693"/>
      <c r="E287" s="693"/>
      <c r="F287" s="693"/>
      <c r="G287" s="693"/>
      <c r="H287" s="693"/>
      <c r="I287" s="693"/>
      <c r="J287" s="693"/>
      <c r="K287" s="693"/>
      <c r="L287" s="693"/>
      <c r="M287" s="693"/>
      <c r="N287" s="693"/>
      <c r="O287" s="693"/>
      <c r="P287" s="693"/>
      <c r="Q287" s="693"/>
      <c r="R287" s="693"/>
      <c r="S287" s="693"/>
      <c r="T287" s="693"/>
      <c r="U287" s="693"/>
      <c r="V287" s="693"/>
      <c r="W287" s="693"/>
      <c r="X287" s="693"/>
      <c r="Y287" s="694"/>
    </row>
    <row r="288" spans="1:25" ht="18" customHeight="1" x14ac:dyDescent="0.2">
      <c r="A288" s="337"/>
      <c r="B288" s="337"/>
      <c r="C288" s="356"/>
      <c r="D288" s="373"/>
      <c r="E288" s="390"/>
      <c r="F288" s="357" t="s">
        <v>367</v>
      </c>
      <c r="G288" s="536"/>
      <c r="H288" s="538"/>
      <c r="I288" s="337"/>
      <c r="J288" s="337"/>
      <c r="K288" s="337"/>
      <c r="L288" s="337"/>
      <c r="M288" s="337"/>
      <c r="N288" s="337"/>
      <c r="O288" s="337"/>
    </row>
    <row r="289" spans="1:25" ht="18" customHeight="1" x14ac:dyDescent="0.2">
      <c r="A289" s="337"/>
      <c r="B289" s="337"/>
      <c r="C289" s="345"/>
      <c r="D289" s="391"/>
      <c r="E289" s="391"/>
      <c r="F289" s="391"/>
      <c r="G289" s="347"/>
      <c r="H289" s="347"/>
      <c r="O289" s="337"/>
    </row>
    <row r="290" spans="1:25" ht="18" customHeight="1" x14ac:dyDescent="0.2">
      <c r="A290" s="337"/>
      <c r="B290" s="337"/>
      <c r="C290" s="345"/>
      <c r="D290" s="391"/>
      <c r="E290" s="391"/>
      <c r="F290" s="391"/>
      <c r="G290" s="347"/>
      <c r="H290" s="347"/>
      <c r="O290" s="337"/>
    </row>
    <row r="291" spans="1:25" ht="18" customHeight="1" x14ac:dyDescent="0.2">
      <c r="A291" s="337"/>
      <c r="B291" s="337"/>
      <c r="C291" s="581" t="s">
        <v>293</v>
      </c>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row>
    <row r="292" spans="1:25" ht="18" customHeight="1" x14ac:dyDescent="0.2">
      <c r="A292" s="337"/>
      <c r="B292" s="337"/>
      <c r="C292" s="337"/>
      <c r="D292" s="337"/>
      <c r="E292" s="337"/>
      <c r="F292" s="337"/>
      <c r="G292" s="337"/>
      <c r="H292" s="337"/>
      <c r="I292" s="337"/>
      <c r="J292" s="337"/>
      <c r="K292" s="386"/>
      <c r="L292" s="386"/>
      <c r="M292" s="337"/>
      <c r="N292" s="386"/>
      <c r="O292" s="380"/>
      <c r="S292" s="353" t="s">
        <v>247</v>
      </c>
      <c r="T292" s="578"/>
      <c r="U292" s="578"/>
      <c r="V292" s="578"/>
      <c r="W292" s="578"/>
      <c r="X292" s="591" t="s">
        <v>111</v>
      </c>
      <c r="Y292" s="591"/>
    </row>
    <row r="293" spans="1:25" ht="18" customHeight="1" x14ac:dyDescent="0.2">
      <c r="A293" s="337"/>
      <c r="B293" s="337"/>
      <c r="C293" s="345"/>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row>
    <row r="294" spans="1:25" ht="18" customHeight="1" x14ac:dyDescent="0.2">
      <c r="A294" s="337"/>
      <c r="B294" s="337"/>
      <c r="C294" s="345"/>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row>
    <row r="295" spans="1:25" ht="18" customHeight="1" x14ac:dyDescent="0.2">
      <c r="A295" s="337"/>
      <c r="B295" s="337"/>
      <c r="C295" s="592" t="s">
        <v>294</v>
      </c>
      <c r="D295" s="592"/>
      <c r="E295" s="592"/>
      <c r="F295" s="592"/>
      <c r="G295" s="592"/>
      <c r="H295" s="592"/>
      <c r="I295" s="592"/>
      <c r="J295" s="592"/>
      <c r="K295" s="592"/>
      <c r="L295" s="592"/>
      <c r="M295" s="592"/>
      <c r="N295" s="592"/>
      <c r="O295" s="592"/>
      <c r="P295" s="592"/>
      <c r="Q295" s="592"/>
      <c r="R295" s="592"/>
      <c r="S295" s="592"/>
      <c r="T295" s="592"/>
      <c r="U295" s="592"/>
      <c r="V295" s="592"/>
      <c r="W295" s="592"/>
      <c r="X295" s="592"/>
      <c r="Y295" s="592"/>
    </row>
    <row r="296" spans="1:25" ht="18" customHeight="1" thickBot="1" x14ac:dyDescent="0.25">
      <c r="A296" s="337"/>
      <c r="B296" s="337"/>
      <c r="C296" s="337"/>
      <c r="D296" s="337"/>
      <c r="E296" s="337"/>
      <c r="F296" s="337"/>
      <c r="G296" s="337"/>
      <c r="H296" s="337"/>
      <c r="I296" s="337"/>
      <c r="J296" s="337"/>
      <c r="K296" s="368"/>
      <c r="L296" s="368"/>
      <c r="M296" s="368"/>
      <c r="N296" s="386"/>
      <c r="O296" s="380"/>
      <c r="S296" s="353" t="s">
        <v>248</v>
      </c>
      <c r="T296" s="590"/>
      <c r="U296" s="590"/>
      <c r="V296" s="590"/>
      <c r="W296" s="590"/>
      <c r="X296" s="591" t="s">
        <v>118</v>
      </c>
      <c r="Y296" s="591"/>
    </row>
    <row r="297" spans="1:25" ht="18" customHeight="1" thickBot="1" x14ac:dyDescent="0.25">
      <c r="A297" s="337"/>
      <c r="B297" s="337"/>
      <c r="C297" s="345"/>
      <c r="D297" s="391"/>
      <c r="E297" s="391"/>
      <c r="F297" s="391"/>
      <c r="G297" s="347"/>
      <c r="H297" s="347"/>
      <c r="O297" s="337"/>
      <c r="T297" s="392"/>
      <c r="U297" s="393"/>
      <c r="V297" s="393"/>
      <c r="W297" s="377" t="str">
        <f>CONCATENATE(IF($T$296&gt;100,"La proportion de la zone tampon occupée par un couvert végétal permanent ne peut pas être supérieure à 100%. ",""),IF(AND($T$292=0,$T$296&lt;&gt;""),"En l'absence de zone tampon, aucune valeur à octroyer en réponse à cette question.",""))</f>
        <v/>
      </c>
    </row>
    <row r="298" spans="1:25" ht="18" customHeight="1" x14ac:dyDescent="0.2">
      <c r="A298" s="337"/>
      <c r="B298" s="337"/>
      <c r="C298" s="345"/>
      <c r="D298" s="391"/>
      <c r="E298" s="391"/>
      <c r="F298" s="391"/>
      <c r="G298" s="347"/>
      <c r="H298" s="347"/>
      <c r="O298" s="337"/>
      <c r="T298" s="382"/>
      <c r="U298" s="382"/>
      <c r="V298" s="382"/>
      <c r="W298" s="378"/>
    </row>
    <row r="299" spans="1:25" ht="18" customHeight="1" x14ac:dyDescent="0.2">
      <c r="A299" s="337"/>
      <c r="B299" s="337"/>
      <c r="C299" s="345"/>
      <c r="D299" s="391"/>
      <c r="E299" s="391"/>
      <c r="F299" s="391"/>
      <c r="G299" s="347"/>
      <c r="H299" s="347"/>
      <c r="O299" s="337"/>
      <c r="T299" s="382"/>
      <c r="U299" s="382"/>
      <c r="V299" s="382"/>
      <c r="W299" s="378"/>
    </row>
    <row r="300" spans="1:25" ht="33.75" customHeight="1" x14ac:dyDescent="0.2">
      <c r="A300" s="337"/>
      <c r="B300" s="337"/>
      <c r="C300" s="341" t="s">
        <v>401</v>
      </c>
      <c r="D300" s="695" t="s">
        <v>49</v>
      </c>
      <c r="E300" s="696"/>
      <c r="F300" s="696"/>
      <c r="G300" s="696"/>
      <c r="H300" s="696"/>
      <c r="I300" s="696"/>
      <c r="J300" s="696"/>
      <c r="K300" s="696"/>
      <c r="L300" s="696"/>
      <c r="M300" s="696"/>
      <c r="N300" s="696"/>
      <c r="O300" s="696"/>
      <c r="P300" s="696"/>
      <c r="Q300" s="696"/>
      <c r="R300" s="696"/>
      <c r="S300" s="696"/>
      <c r="T300" s="696"/>
      <c r="U300" s="696"/>
      <c r="V300" s="696"/>
      <c r="W300" s="696"/>
      <c r="X300" s="696"/>
      <c r="Y300" s="697"/>
    </row>
    <row r="301" spans="1:25" s="347" customFormat="1" ht="18" customHeight="1" x14ac:dyDescent="0.2">
      <c r="A301" s="346"/>
      <c r="B301" s="346"/>
      <c r="C301" s="517"/>
      <c r="D301" s="517"/>
      <c r="E301" s="517"/>
      <c r="F301" s="517"/>
      <c r="G301" s="517"/>
      <c r="H301" s="517"/>
      <c r="I301" s="517"/>
      <c r="J301" s="517"/>
      <c r="K301" s="517"/>
      <c r="L301" s="517"/>
      <c r="M301" s="517"/>
      <c r="N301" s="517"/>
      <c r="O301" s="517"/>
      <c r="P301" s="517"/>
      <c r="Q301" s="517"/>
      <c r="R301" s="517"/>
      <c r="S301" s="517"/>
      <c r="T301" s="517"/>
      <c r="U301" s="517"/>
      <c r="V301" s="517"/>
      <c r="W301" s="517"/>
      <c r="X301" s="517"/>
      <c r="Y301" s="517"/>
    </row>
    <row r="302" spans="1:25" ht="18" customHeight="1" x14ac:dyDescent="0.2">
      <c r="A302" s="337"/>
      <c r="B302" s="337"/>
      <c r="C302" s="581" t="s">
        <v>295</v>
      </c>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row>
    <row r="303" spans="1:25" ht="18" customHeight="1" x14ac:dyDescent="0.2">
      <c r="A303" s="337"/>
      <c r="B303" s="337"/>
      <c r="C303" s="684" t="s">
        <v>249</v>
      </c>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row>
    <row r="304" spans="1:25" ht="18" customHeight="1" x14ac:dyDescent="0.2">
      <c r="A304" s="337"/>
      <c r="B304" s="337"/>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row>
    <row r="305" spans="1:25" ht="18" customHeight="1" x14ac:dyDescent="0.2">
      <c r="A305" s="337"/>
      <c r="B305" s="337"/>
      <c r="C305" s="686"/>
      <c r="D305" s="687"/>
      <c r="E305" s="687"/>
      <c r="F305" s="687"/>
      <c r="G305" s="687"/>
      <c r="H305" s="687"/>
      <c r="I305" s="687"/>
      <c r="J305" s="687"/>
      <c r="K305" s="687"/>
      <c r="L305" s="687"/>
      <c r="M305" s="687"/>
      <c r="N305" s="687"/>
      <c r="O305" s="687"/>
      <c r="P305" s="687"/>
      <c r="Q305" s="687"/>
      <c r="R305" s="687"/>
      <c r="S305" s="687"/>
      <c r="T305" s="687"/>
      <c r="U305" s="687"/>
      <c r="V305" s="687"/>
      <c r="W305" s="687"/>
      <c r="X305" s="687"/>
      <c r="Y305" s="688"/>
    </row>
    <row r="306" spans="1:25" ht="18" customHeight="1" x14ac:dyDescent="0.2">
      <c r="A306" s="337"/>
      <c r="B306" s="337"/>
      <c r="C306" s="689"/>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1"/>
    </row>
    <row r="307" spans="1:25" ht="18" customHeight="1" x14ac:dyDescent="0.2">
      <c r="A307" s="337"/>
      <c r="B307" s="337"/>
      <c r="C307" s="689"/>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1"/>
    </row>
    <row r="308" spans="1:25" ht="18" customHeight="1" x14ac:dyDescent="0.2">
      <c r="A308" s="337"/>
      <c r="B308" s="337"/>
      <c r="C308" s="689"/>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1"/>
    </row>
    <row r="309" spans="1:25" ht="18" customHeight="1" x14ac:dyDescent="0.2">
      <c r="A309" s="337"/>
      <c r="B309" s="337"/>
      <c r="C309" s="689"/>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1"/>
    </row>
    <row r="310" spans="1:25" ht="18" customHeight="1" x14ac:dyDescent="0.2">
      <c r="A310" s="337"/>
      <c r="B310" s="337"/>
      <c r="C310" s="689"/>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1"/>
    </row>
    <row r="311" spans="1:25" ht="18" customHeight="1" x14ac:dyDescent="0.2">
      <c r="A311" s="337"/>
      <c r="B311" s="337"/>
      <c r="C311" s="689"/>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1"/>
    </row>
    <row r="312" spans="1:25" ht="18" customHeight="1" x14ac:dyDescent="0.2">
      <c r="A312" s="337"/>
      <c r="B312" s="337"/>
      <c r="C312" s="689"/>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1"/>
    </row>
    <row r="313" spans="1:25" ht="18" customHeight="1" x14ac:dyDescent="0.2">
      <c r="A313" s="337"/>
      <c r="B313" s="337"/>
      <c r="C313" s="689"/>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1"/>
    </row>
    <row r="314" spans="1:25" ht="18" customHeight="1" x14ac:dyDescent="0.2">
      <c r="A314" s="337"/>
      <c r="B314" s="337"/>
      <c r="C314" s="689"/>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1"/>
    </row>
    <row r="315" spans="1:25" ht="18" customHeight="1" x14ac:dyDescent="0.2">
      <c r="A315" s="337"/>
      <c r="B315" s="337"/>
      <c r="C315" s="689"/>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1"/>
    </row>
    <row r="316" spans="1:25" ht="18" customHeight="1" x14ac:dyDescent="0.2">
      <c r="A316" s="337"/>
      <c r="B316" s="337"/>
      <c r="C316" s="689"/>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1"/>
    </row>
    <row r="317" spans="1:25" ht="18" customHeight="1" x14ac:dyDescent="0.2">
      <c r="A317" s="337"/>
      <c r="B317" s="337"/>
      <c r="C317" s="689"/>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1"/>
    </row>
    <row r="318" spans="1:25" ht="18" customHeight="1" x14ac:dyDescent="0.2">
      <c r="A318" s="337"/>
      <c r="B318" s="337"/>
      <c r="C318" s="689"/>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1"/>
    </row>
    <row r="319" spans="1:25" ht="18" customHeight="1" x14ac:dyDescent="0.2">
      <c r="A319" s="337"/>
      <c r="B319" s="337"/>
      <c r="C319" s="689"/>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1"/>
    </row>
    <row r="320" spans="1:25" ht="18" customHeight="1" x14ac:dyDescent="0.2">
      <c r="A320" s="337"/>
      <c r="B320" s="337"/>
      <c r="C320" s="689"/>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1"/>
    </row>
    <row r="321" spans="1:25" ht="18" customHeight="1" x14ac:dyDescent="0.2">
      <c r="A321" s="337"/>
      <c r="B321" s="337"/>
      <c r="C321" s="689"/>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1"/>
    </row>
    <row r="322" spans="1:25" ht="18" customHeight="1" x14ac:dyDescent="0.2">
      <c r="A322" s="337"/>
      <c r="B322" s="337"/>
      <c r="C322" s="689"/>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1"/>
    </row>
    <row r="323" spans="1:25" ht="18" customHeight="1" x14ac:dyDescent="0.2">
      <c r="A323" s="337"/>
      <c r="B323" s="337"/>
      <c r="C323" s="689"/>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1"/>
    </row>
    <row r="324" spans="1:25" ht="18" customHeight="1" x14ac:dyDescent="0.2">
      <c r="A324" s="337"/>
      <c r="B324" s="337"/>
      <c r="C324" s="689"/>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1"/>
    </row>
    <row r="325" spans="1:25" ht="18" customHeight="1" x14ac:dyDescent="0.2">
      <c r="A325" s="337"/>
      <c r="B325" s="337"/>
      <c r="C325" s="689"/>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1"/>
    </row>
    <row r="326" spans="1:25" ht="18" customHeight="1" x14ac:dyDescent="0.2">
      <c r="A326" s="337"/>
      <c r="B326" s="337"/>
      <c r="C326" s="689"/>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1"/>
    </row>
    <row r="327" spans="1:25" ht="18" customHeight="1" x14ac:dyDescent="0.2">
      <c r="A327" s="337"/>
      <c r="B327" s="337"/>
      <c r="C327" s="689"/>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1"/>
    </row>
    <row r="328" spans="1:25" ht="18" customHeight="1" x14ac:dyDescent="0.2">
      <c r="A328" s="337"/>
      <c r="B328" s="337"/>
      <c r="C328" s="689"/>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1"/>
    </row>
    <row r="329" spans="1:25" ht="18" customHeight="1" x14ac:dyDescent="0.2">
      <c r="A329" s="337"/>
      <c r="B329" s="337"/>
      <c r="C329" s="689"/>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1"/>
    </row>
    <row r="330" spans="1:25" ht="18" customHeight="1" x14ac:dyDescent="0.2">
      <c r="A330" s="337"/>
      <c r="B330" s="337"/>
      <c r="C330" s="689"/>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1"/>
    </row>
    <row r="331" spans="1:25" ht="18" customHeight="1" x14ac:dyDescent="0.2">
      <c r="A331" s="337"/>
      <c r="B331" s="337"/>
      <c r="C331" s="689"/>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1"/>
    </row>
    <row r="332" spans="1:25" ht="18" customHeight="1" x14ac:dyDescent="0.2">
      <c r="A332" s="337"/>
      <c r="B332" s="337"/>
      <c r="C332" s="689"/>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1"/>
    </row>
    <row r="333" spans="1:25" ht="18" customHeight="1" x14ac:dyDescent="0.2">
      <c r="A333" s="337"/>
      <c r="B333" s="337"/>
      <c r="C333" s="689"/>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1"/>
    </row>
    <row r="334" spans="1:25" ht="18" customHeight="1" x14ac:dyDescent="0.2">
      <c r="A334" s="337"/>
      <c r="B334" s="337"/>
      <c r="C334" s="689"/>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1"/>
    </row>
    <row r="335" spans="1:25" ht="18" customHeight="1" x14ac:dyDescent="0.2">
      <c r="A335" s="337"/>
      <c r="B335" s="337"/>
      <c r="C335" s="689"/>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1"/>
    </row>
    <row r="336" spans="1:25" ht="18" customHeight="1" x14ac:dyDescent="0.2">
      <c r="A336" s="337"/>
      <c r="B336" s="337"/>
      <c r="C336" s="689"/>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1"/>
    </row>
    <row r="337" spans="1:25" ht="18" customHeight="1" x14ac:dyDescent="0.2">
      <c r="A337" s="337"/>
      <c r="B337" s="337"/>
      <c r="C337" s="689"/>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1"/>
    </row>
    <row r="338" spans="1:25" ht="18" customHeight="1" x14ac:dyDescent="0.2">
      <c r="A338" s="337"/>
      <c r="B338" s="337"/>
      <c r="C338" s="689"/>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1"/>
    </row>
    <row r="339" spans="1:25" ht="18" customHeight="1" x14ac:dyDescent="0.2">
      <c r="A339" s="337"/>
      <c r="B339" s="337"/>
      <c r="C339" s="689"/>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1"/>
    </row>
    <row r="340" spans="1:25" ht="18" customHeight="1" x14ac:dyDescent="0.2">
      <c r="A340" s="337"/>
      <c r="B340" s="337"/>
      <c r="C340" s="689"/>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1"/>
    </row>
    <row r="341" spans="1:25" ht="18" customHeight="1" x14ac:dyDescent="0.2">
      <c r="A341" s="337"/>
      <c r="B341" s="337"/>
      <c r="C341" s="689"/>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1"/>
    </row>
    <row r="342" spans="1:25" ht="18" customHeight="1" x14ac:dyDescent="0.2">
      <c r="A342" s="337"/>
      <c r="B342" s="337"/>
      <c r="C342" s="689"/>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1"/>
    </row>
    <row r="343" spans="1:25" ht="18" customHeight="1" x14ac:dyDescent="0.2">
      <c r="A343" s="337"/>
      <c r="B343" s="337"/>
      <c r="C343" s="689"/>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1"/>
    </row>
    <row r="344" spans="1:25" ht="18" customHeight="1" x14ac:dyDescent="0.2">
      <c r="A344" s="337"/>
      <c r="B344" s="337"/>
      <c r="C344" s="689"/>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1"/>
    </row>
    <row r="345" spans="1:25" ht="18" customHeight="1" x14ac:dyDescent="0.2">
      <c r="A345" s="337"/>
      <c r="B345" s="337"/>
      <c r="C345" s="689"/>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1"/>
    </row>
    <row r="346" spans="1:25" ht="18" customHeight="1" x14ac:dyDescent="0.2">
      <c r="A346" s="337"/>
      <c r="B346" s="337"/>
      <c r="C346" s="689"/>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1"/>
    </row>
    <row r="347" spans="1:25" ht="18" customHeight="1" x14ac:dyDescent="0.2">
      <c r="A347" s="337"/>
      <c r="B347" s="337"/>
      <c r="C347" s="689"/>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1"/>
    </row>
    <row r="348" spans="1:25" ht="18" customHeight="1" x14ac:dyDescent="0.2">
      <c r="A348" s="337"/>
      <c r="B348" s="337"/>
      <c r="C348" s="689"/>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1"/>
    </row>
    <row r="349" spans="1:25" ht="18" customHeight="1" x14ac:dyDescent="0.2">
      <c r="A349" s="337"/>
      <c r="B349" s="337"/>
      <c r="C349" s="689"/>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1"/>
    </row>
    <row r="350" spans="1:25" ht="18" customHeight="1" x14ac:dyDescent="0.2">
      <c r="A350" s="337"/>
      <c r="B350" s="337"/>
      <c r="C350" s="689"/>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1"/>
    </row>
    <row r="351" spans="1:25" ht="18" customHeight="1" x14ac:dyDescent="0.2">
      <c r="A351" s="337"/>
      <c r="B351" s="337"/>
      <c r="C351" s="692"/>
      <c r="D351" s="693"/>
      <c r="E351" s="693"/>
      <c r="F351" s="693"/>
      <c r="G351" s="693"/>
      <c r="H351" s="693"/>
      <c r="I351" s="693"/>
      <c r="J351" s="693"/>
      <c r="K351" s="693"/>
      <c r="L351" s="693"/>
      <c r="M351" s="693"/>
      <c r="N351" s="693"/>
      <c r="O351" s="693"/>
      <c r="P351" s="693"/>
      <c r="Q351" s="693"/>
      <c r="R351" s="693"/>
      <c r="S351" s="693"/>
      <c r="T351" s="693"/>
      <c r="U351" s="693"/>
      <c r="V351" s="693"/>
      <c r="W351" s="693"/>
      <c r="X351" s="693"/>
      <c r="Y351" s="694"/>
    </row>
    <row r="352" spans="1:25" ht="18" customHeight="1" x14ac:dyDescent="0.2">
      <c r="A352" s="337"/>
      <c r="B352" s="337"/>
      <c r="C352" s="346"/>
      <c r="D352" s="373"/>
      <c r="E352" s="365"/>
      <c r="F352" s="362" t="s">
        <v>363</v>
      </c>
      <c r="G352" s="536"/>
      <c r="H352" s="538"/>
      <c r="I352" s="337"/>
      <c r="J352" s="337"/>
      <c r="K352" s="337"/>
      <c r="L352" s="337"/>
      <c r="M352" s="337"/>
      <c r="N352" s="337"/>
      <c r="O352" s="337"/>
    </row>
    <row r="353" spans="1:25" ht="18" customHeight="1" x14ac:dyDescent="0.2">
      <c r="A353" s="337"/>
      <c r="B353" s="337"/>
      <c r="C353" s="345"/>
      <c r="D353" s="337"/>
      <c r="E353" s="337"/>
      <c r="F353" s="337"/>
      <c r="G353" s="337"/>
      <c r="H353" s="337"/>
      <c r="I353" s="337"/>
      <c r="J353" s="337"/>
      <c r="K353" s="337"/>
      <c r="L353" s="337"/>
      <c r="M353" s="337"/>
      <c r="N353" s="337"/>
      <c r="O353" s="337"/>
    </row>
    <row r="354" spans="1:25" ht="18" customHeight="1" x14ac:dyDescent="0.2">
      <c r="A354" s="337"/>
      <c r="B354" s="337"/>
      <c r="C354" s="345"/>
      <c r="D354" s="337"/>
      <c r="E354" s="337"/>
      <c r="F354" s="337"/>
      <c r="G354" s="337"/>
      <c r="H354" s="337"/>
      <c r="I354" s="337"/>
      <c r="J354" s="337"/>
      <c r="K354" s="337"/>
      <c r="L354" s="337"/>
      <c r="M354" s="337"/>
      <c r="N354" s="337"/>
      <c r="O354" s="337"/>
    </row>
    <row r="355" spans="1:25" ht="18" customHeight="1" x14ac:dyDescent="0.2">
      <c r="A355" s="337"/>
      <c r="B355" s="337"/>
      <c r="C355" s="581" t="s">
        <v>296</v>
      </c>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row>
    <row r="356" spans="1:25" ht="18" customHeight="1" thickBot="1" x14ac:dyDescent="0.25">
      <c r="A356" s="337"/>
      <c r="B356" s="337"/>
      <c r="C356" s="337"/>
      <c r="D356" s="337"/>
      <c r="E356" s="337"/>
      <c r="F356" s="337"/>
      <c r="G356" s="337"/>
      <c r="H356" s="337"/>
      <c r="I356" s="337"/>
      <c r="J356" s="337"/>
      <c r="K356" s="337"/>
      <c r="L356" s="337"/>
      <c r="M356" s="394"/>
      <c r="N356" s="337"/>
      <c r="O356" s="337"/>
      <c r="P356" s="339"/>
      <c r="S356" s="353" t="s">
        <v>250</v>
      </c>
      <c r="T356" s="785"/>
      <c r="U356" s="785"/>
      <c r="V356" s="785"/>
      <c r="W356" s="785"/>
      <c r="X356" s="591" t="s">
        <v>111</v>
      </c>
      <c r="Y356" s="591"/>
    </row>
    <row r="357" spans="1:25" ht="18" customHeight="1" thickBot="1" x14ac:dyDescent="0.25">
      <c r="A357" s="337"/>
      <c r="B357" s="337"/>
      <c r="C357" s="345"/>
      <c r="D357" s="337"/>
      <c r="E357" s="337"/>
      <c r="F357" s="337"/>
      <c r="G357" s="337"/>
      <c r="H357" s="337"/>
      <c r="I357" s="337"/>
      <c r="J357" s="337"/>
      <c r="K357" s="337"/>
      <c r="L357" s="337"/>
      <c r="M357" s="337"/>
      <c r="N357" s="337"/>
      <c r="O357" s="337"/>
      <c r="T357" s="395"/>
      <c r="U357" s="396"/>
      <c r="V357" s="396"/>
      <c r="W357" s="397" t="str">
        <f>IF($T$356="","",IF($T$356&lt;$T$107,"La superficie du paysage ne peut pas être inférieure à la superficie du site.",""))</f>
        <v/>
      </c>
    </row>
    <row r="358" spans="1:25" ht="18" customHeight="1" x14ac:dyDescent="0.2">
      <c r="A358" s="337"/>
      <c r="B358" s="337"/>
      <c r="C358" s="345"/>
      <c r="D358" s="337"/>
      <c r="E358" s="337"/>
      <c r="F358" s="337"/>
      <c r="G358" s="337"/>
      <c r="H358" s="337"/>
      <c r="I358" s="337"/>
      <c r="J358" s="337"/>
      <c r="K358" s="337"/>
      <c r="L358" s="337"/>
      <c r="M358" s="337"/>
      <c r="N358" s="337"/>
      <c r="O358" s="337"/>
      <c r="T358" s="347"/>
      <c r="U358" s="347"/>
      <c r="V358" s="347"/>
      <c r="W358" s="398"/>
    </row>
    <row r="359" spans="1:25" ht="18" customHeight="1" x14ac:dyDescent="0.2">
      <c r="A359" s="337"/>
      <c r="B359" s="337"/>
      <c r="C359" s="581" t="s">
        <v>368</v>
      </c>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row>
    <row r="360" spans="1:25" ht="36" customHeight="1" x14ac:dyDescent="0.2">
      <c r="A360" s="337"/>
      <c r="B360" s="337"/>
      <c r="C360" s="698" t="s">
        <v>4</v>
      </c>
      <c r="D360" s="699"/>
      <c r="E360" s="699"/>
      <c r="F360" s="699"/>
      <c r="G360" s="699"/>
      <c r="H360" s="699"/>
      <c r="I360" s="699"/>
      <c r="J360" s="699"/>
      <c r="K360" s="699"/>
      <c r="L360" s="699"/>
      <c r="M360" s="699"/>
      <c r="N360" s="699"/>
      <c r="O360" s="699"/>
      <c r="P360" s="699"/>
      <c r="Q360" s="699"/>
      <c r="R360" s="699"/>
      <c r="S360" s="699"/>
      <c r="T360" s="700" t="s">
        <v>42</v>
      </c>
      <c r="U360" s="700"/>
      <c r="V360" s="700"/>
      <c r="W360" s="700"/>
      <c r="X360" s="700"/>
      <c r="Y360" s="700"/>
    </row>
    <row r="361" spans="1:25" ht="26.25" customHeight="1" x14ac:dyDescent="0.2">
      <c r="A361" s="337"/>
      <c r="B361" s="337"/>
      <c r="C361" s="399"/>
      <c r="D361" s="400" t="s">
        <v>55</v>
      </c>
      <c r="E361" s="677" t="s">
        <v>65</v>
      </c>
      <c r="F361" s="678"/>
      <c r="G361" s="678"/>
      <c r="H361" s="678"/>
      <c r="I361" s="678"/>
      <c r="J361" s="678"/>
      <c r="K361" s="678"/>
      <c r="L361" s="678"/>
      <c r="M361" s="678"/>
      <c r="N361" s="678"/>
      <c r="O361" s="678"/>
      <c r="P361" s="678"/>
      <c r="Q361" s="678"/>
      <c r="R361" s="678"/>
      <c r="S361" s="678"/>
      <c r="T361" s="679"/>
      <c r="U361" s="679"/>
      <c r="V361" s="679"/>
      <c r="W361" s="679"/>
      <c r="X361" s="634" t="s">
        <v>5</v>
      </c>
      <c r="Y361" s="635"/>
    </row>
    <row r="362" spans="1:25" ht="26.25" customHeight="1" x14ac:dyDescent="0.2">
      <c r="A362" s="337"/>
      <c r="B362" s="337"/>
      <c r="C362" s="401"/>
      <c r="D362" s="400" t="s">
        <v>56</v>
      </c>
      <c r="E362" s="677" t="s">
        <v>66</v>
      </c>
      <c r="F362" s="678"/>
      <c r="G362" s="678"/>
      <c r="H362" s="678"/>
      <c r="I362" s="678"/>
      <c r="J362" s="678"/>
      <c r="K362" s="678"/>
      <c r="L362" s="678"/>
      <c r="M362" s="678"/>
      <c r="N362" s="678"/>
      <c r="O362" s="678"/>
      <c r="P362" s="678"/>
      <c r="Q362" s="678"/>
      <c r="R362" s="678"/>
      <c r="S362" s="678"/>
      <c r="T362" s="679"/>
      <c r="U362" s="679"/>
      <c r="V362" s="679"/>
      <c r="W362" s="679"/>
      <c r="X362" s="634" t="s">
        <v>5</v>
      </c>
      <c r="Y362" s="635"/>
    </row>
    <row r="363" spans="1:25" ht="26.25" customHeight="1" x14ac:dyDescent="0.2">
      <c r="A363" s="337"/>
      <c r="B363" s="337"/>
      <c r="C363" s="402"/>
      <c r="D363" s="400" t="s">
        <v>57</v>
      </c>
      <c r="E363" s="677" t="s">
        <v>369</v>
      </c>
      <c r="F363" s="678"/>
      <c r="G363" s="678"/>
      <c r="H363" s="678"/>
      <c r="I363" s="678"/>
      <c r="J363" s="678"/>
      <c r="K363" s="678"/>
      <c r="L363" s="678"/>
      <c r="M363" s="678"/>
      <c r="N363" s="678"/>
      <c r="O363" s="678"/>
      <c r="P363" s="678"/>
      <c r="Q363" s="678"/>
      <c r="R363" s="678"/>
      <c r="S363" s="678"/>
      <c r="T363" s="679"/>
      <c r="U363" s="679"/>
      <c r="V363" s="679"/>
      <c r="W363" s="679"/>
      <c r="X363" s="634" t="s">
        <v>5</v>
      </c>
      <c r="Y363" s="635"/>
    </row>
    <row r="364" spans="1:25" ht="26.25" customHeight="1" x14ac:dyDescent="0.2">
      <c r="A364" s="337"/>
      <c r="B364" s="337"/>
      <c r="C364" s="403"/>
      <c r="D364" s="400" t="s">
        <v>58</v>
      </c>
      <c r="E364" s="677" t="s">
        <v>67</v>
      </c>
      <c r="F364" s="678"/>
      <c r="G364" s="678"/>
      <c r="H364" s="678"/>
      <c r="I364" s="678"/>
      <c r="J364" s="678"/>
      <c r="K364" s="678"/>
      <c r="L364" s="678"/>
      <c r="M364" s="678"/>
      <c r="N364" s="678"/>
      <c r="O364" s="678"/>
      <c r="P364" s="678"/>
      <c r="Q364" s="678"/>
      <c r="R364" s="678"/>
      <c r="S364" s="678"/>
      <c r="T364" s="679"/>
      <c r="U364" s="679"/>
      <c r="V364" s="679"/>
      <c r="W364" s="679"/>
      <c r="X364" s="634" t="s">
        <v>5</v>
      </c>
      <c r="Y364" s="635"/>
    </row>
    <row r="365" spans="1:25" ht="26.25" customHeight="1" x14ac:dyDescent="0.2">
      <c r="A365" s="337"/>
      <c r="B365" s="337"/>
      <c r="C365" s="404"/>
      <c r="D365" s="400" t="s">
        <v>59</v>
      </c>
      <c r="E365" s="677" t="s">
        <v>68</v>
      </c>
      <c r="F365" s="678"/>
      <c r="G365" s="678"/>
      <c r="H365" s="678"/>
      <c r="I365" s="678"/>
      <c r="J365" s="678"/>
      <c r="K365" s="678"/>
      <c r="L365" s="678"/>
      <c r="M365" s="678"/>
      <c r="N365" s="678"/>
      <c r="O365" s="678"/>
      <c r="P365" s="678"/>
      <c r="Q365" s="678"/>
      <c r="R365" s="678"/>
      <c r="S365" s="678"/>
      <c r="T365" s="679"/>
      <c r="U365" s="679"/>
      <c r="V365" s="679"/>
      <c r="W365" s="679"/>
      <c r="X365" s="634" t="s">
        <v>5</v>
      </c>
      <c r="Y365" s="635"/>
    </row>
    <row r="366" spans="1:25" ht="26.25" customHeight="1" x14ac:dyDescent="0.2">
      <c r="A366" s="337"/>
      <c r="B366" s="337"/>
      <c r="C366" s="405"/>
      <c r="D366" s="400" t="s">
        <v>60</v>
      </c>
      <c r="E366" s="677" t="s">
        <v>69</v>
      </c>
      <c r="F366" s="678"/>
      <c r="G366" s="678"/>
      <c r="H366" s="678"/>
      <c r="I366" s="678"/>
      <c r="J366" s="678"/>
      <c r="K366" s="678"/>
      <c r="L366" s="678"/>
      <c r="M366" s="678"/>
      <c r="N366" s="678"/>
      <c r="O366" s="678"/>
      <c r="P366" s="678"/>
      <c r="Q366" s="678"/>
      <c r="R366" s="678"/>
      <c r="S366" s="678"/>
      <c r="T366" s="679"/>
      <c r="U366" s="679"/>
      <c r="V366" s="679"/>
      <c r="W366" s="679"/>
      <c r="X366" s="634" t="s">
        <v>5</v>
      </c>
      <c r="Y366" s="635"/>
    </row>
    <row r="367" spans="1:25" ht="26.25" customHeight="1" x14ac:dyDescent="0.2">
      <c r="A367" s="337"/>
      <c r="B367" s="337"/>
      <c r="C367" s="406"/>
      <c r="D367" s="400" t="s">
        <v>61</v>
      </c>
      <c r="E367" s="677" t="s">
        <v>370</v>
      </c>
      <c r="F367" s="678"/>
      <c r="G367" s="678"/>
      <c r="H367" s="678"/>
      <c r="I367" s="678"/>
      <c r="J367" s="678"/>
      <c r="K367" s="678"/>
      <c r="L367" s="678"/>
      <c r="M367" s="678"/>
      <c r="N367" s="678"/>
      <c r="O367" s="678"/>
      <c r="P367" s="678"/>
      <c r="Q367" s="678"/>
      <c r="R367" s="678"/>
      <c r="S367" s="678"/>
      <c r="T367" s="679"/>
      <c r="U367" s="679"/>
      <c r="V367" s="679"/>
      <c r="W367" s="679"/>
      <c r="X367" s="634" t="s">
        <v>5</v>
      </c>
      <c r="Y367" s="635"/>
    </row>
    <row r="368" spans="1:25" ht="26.25" customHeight="1" x14ac:dyDescent="0.2">
      <c r="A368" s="337"/>
      <c r="B368" s="337"/>
      <c r="C368" s="407"/>
      <c r="D368" s="400" t="s">
        <v>62</v>
      </c>
      <c r="E368" s="677" t="s">
        <v>70</v>
      </c>
      <c r="F368" s="678"/>
      <c r="G368" s="678"/>
      <c r="H368" s="678"/>
      <c r="I368" s="678"/>
      <c r="J368" s="678"/>
      <c r="K368" s="678"/>
      <c r="L368" s="678"/>
      <c r="M368" s="678"/>
      <c r="N368" s="678"/>
      <c r="O368" s="678"/>
      <c r="P368" s="678"/>
      <c r="Q368" s="678"/>
      <c r="R368" s="678"/>
      <c r="S368" s="678"/>
      <c r="T368" s="679"/>
      <c r="U368" s="679"/>
      <c r="V368" s="679"/>
      <c r="W368" s="679"/>
      <c r="X368" s="634" t="s">
        <v>5</v>
      </c>
      <c r="Y368" s="635"/>
    </row>
    <row r="369" spans="1:25" ht="26.25" customHeight="1" x14ac:dyDescent="0.2">
      <c r="A369" s="337"/>
      <c r="B369" s="337"/>
      <c r="C369" s="408"/>
      <c r="D369" s="400" t="s">
        <v>63</v>
      </c>
      <c r="E369" s="677" t="s">
        <v>71</v>
      </c>
      <c r="F369" s="678"/>
      <c r="G369" s="678"/>
      <c r="H369" s="678"/>
      <c r="I369" s="678"/>
      <c r="J369" s="678"/>
      <c r="K369" s="678"/>
      <c r="L369" s="678"/>
      <c r="M369" s="678"/>
      <c r="N369" s="678"/>
      <c r="O369" s="678"/>
      <c r="P369" s="678"/>
      <c r="Q369" s="678"/>
      <c r="R369" s="678"/>
      <c r="S369" s="678"/>
      <c r="T369" s="679"/>
      <c r="U369" s="679"/>
      <c r="V369" s="679"/>
      <c r="W369" s="679"/>
      <c r="X369" s="634" t="s">
        <v>5</v>
      </c>
      <c r="Y369" s="635"/>
    </row>
    <row r="370" spans="1:25" ht="26.25" customHeight="1" x14ac:dyDescent="0.2">
      <c r="A370" s="337"/>
      <c r="B370" s="337"/>
      <c r="C370" s="409"/>
      <c r="D370" s="400" t="s">
        <v>64</v>
      </c>
      <c r="E370" s="677" t="s">
        <v>72</v>
      </c>
      <c r="F370" s="678"/>
      <c r="G370" s="678"/>
      <c r="H370" s="678"/>
      <c r="I370" s="678"/>
      <c r="J370" s="678"/>
      <c r="K370" s="678"/>
      <c r="L370" s="678"/>
      <c r="M370" s="678"/>
      <c r="N370" s="678"/>
      <c r="O370" s="678"/>
      <c r="P370" s="678"/>
      <c r="Q370" s="678"/>
      <c r="R370" s="678"/>
      <c r="S370" s="678"/>
      <c r="T370" s="679"/>
      <c r="U370" s="679"/>
      <c r="V370" s="679"/>
      <c r="W370" s="679"/>
      <c r="X370" s="634" t="s">
        <v>5</v>
      </c>
      <c r="Y370" s="635"/>
    </row>
    <row r="371" spans="1:25" ht="26.25" customHeight="1" thickBot="1" x14ac:dyDescent="0.25">
      <c r="A371" s="337"/>
      <c r="B371" s="337"/>
      <c r="C371" s="410"/>
      <c r="D371" s="680" t="s">
        <v>214</v>
      </c>
      <c r="E371" s="680"/>
      <c r="F371" s="680"/>
      <c r="G371" s="680"/>
      <c r="H371" s="680"/>
      <c r="I371" s="680"/>
      <c r="J371" s="680"/>
      <c r="K371" s="680"/>
      <c r="L371" s="680"/>
      <c r="M371" s="680"/>
      <c r="N371" s="680"/>
      <c r="O371" s="680"/>
      <c r="P371" s="680"/>
      <c r="Q371" s="680"/>
      <c r="R371" s="680"/>
      <c r="S371" s="680"/>
      <c r="T371" s="681">
        <f>SUM($T$361:$W$370)</f>
        <v>0</v>
      </c>
      <c r="U371" s="681"/>
      <c r="V371" s="681"/>
      <c r="W371" s="681"/>
      <c r="X371" s="682" t="s">
        <v>5</v>
      </c>
      <c r="Y371" s="683"/>
    </row>
    <row r="372" spans="1:25" ht="18" customHeight="1" thickBot="1" x14ac:dyDescent="0.25">
      <c r="A372" s="337"/>
      <c r="B372" s="337"/>
      <c r="C372" s="345"/>
      <c r="D372" s="337"/>
      <c r="E372" s="337"/>
      <c r="F372" s="337"/>
      <c r="G372" s="337"/>
      <c r="H372" s="337"/>
      <c r="I372" s="337"/>
      <c r="J372" s="337"/>
      <c r="K372" s="337"/>
      <c r="L372" s="337"/>
      <c r="M372" s="337"/>
      <c r="N372" s="337"/>
      <c r="O372" s="337"/>
      <c r="T372" s="395"/>
      <c r="U372" s="396"/>
      <c r="V372" s="396"/>
      <c r="W372" s="397" t="str">
        <f>IF(AND(SUM($T$361:$W$370)&lt;&gt;0,$T$371&lt;&gt;100),"La somme de la proportion des différents habitats dans le paysage doit être égale à 100. ","")</f>
        <v/>
      </c>
    </row>
    <row r="373" spans="1:25" ht="18" customHeight="1" x14ac:dyDescent="0.2">
      <c r="A373" s="337"/>
      <c r="B373" s="337"/>
      <c r="C373" s="345"/>
      <c r="D373" s="337"/>
      <c r="E373" s="337"/>
      <c r="F373" s="337"/>
      <c r="G373" s="337"/>
      <c r="H373" s="337"/>
      <c r="I373" s="337"/>
      <c r="J373" s="337"/>
      <c r="K373" s="337"/>
      <c r="L373" s="337"/>
      <c r="M373" s="337"/>
      <c r="N373" s="337"/>
      <c r="O373" s="337"/>
    </row>
    <row r="374" spans="1:25" ht="18" customHeight="1" x14ac:dyDescent="0.2">
      <c r="A374" s="337"/>
      <c r="B374" s="337"/>
      <c r="C374" s="345"/>
      <c r="D374" s="337"/>
      <c r="E374" s="337"/>
      <c r="F374" s="337"/>
      <c r="G374" s="337"/>
      <c r="H374" s="337"/>
      <c r="I374" s="337"/>
      <c r="J374" s="337"/>
      <c r="K374" s="337"/>
      <c r="L374" s="337"/>
      <c r="M374" s="337"/>
      <c r="N374" s="337"/>
      <c r="O374" s="337"/>
    </row>
    <row r="375" spans="1:25" ht="18" customHeight="1" x14ac:dyDescent="0.2">
      <c r="A375" s="337"/>
      <c r="B375" s="337"/>
      <c r="C375" s="581" t="s">
        <v>297</v>
      </c>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row>
    <row r="376" spans="1:25" ht="18" customHeight="1" x14ac:dyDescent="0.2">
      <c r="A376" s="337"/>
      <c r="B376" s="337"/>
      <c r="C376" s="675" t="s">
        <v>234</v>
      </c>
      <c r="D376" s="675"/>
      <c r="E376" s="675"/>
      <c r="F376" s="675"/>
      <c r="G376" s="675"/>
      <c r="H376" s="368"/>
      <c r="I376" s="353" t="s">
        <v>24</v>
      </c>
      <c r="J376" s="588"/>
      <c r="K376" s="588"/>
      <c r="P376" s="339"/>
      <c r="Q376" s="368"/>
      <c r="S376" s="353" t="s">
        <v>25</v>
      </c>
      <c r="T376" s="588"/>
      <c r="U376" s="588"/>
      <c r="V376" s="588"/>
      <c r="W376" s="588"/>
    </row>
    <row r="377" spans="1:25" ht="18" customHeight="1" x14ac:dyDescent="0.2">
      <c r="A377" s="337"/>
      <c r="B377" s="337"/>
      <c r="C377" s="676"/>
      <c r="D377" s="676"/>
      <c r="E377" s="676"/>
      <c r="F377" s="676"/>
      <c r="G377" s="676"/>
      <c r="H377" s="367"/>
      <c r="I377" s="369" t="s">
        <v>26</v>
      </c>
      <c r="J377" s="588"/>
      <c r="K377" s="588"/>
      <c r="P377" s="339"/>
      <c r="Q377" s="368"/>
      <c r="T377" s="347"/>
      <c r="U377" s="347"/>
      <c r="V377" s="347"/>
      <c r="W377" s="347"/>
    </row>
    <row r="378" spans="1:25" ht="18" customHeight="1" x14ac:dyDescent="0.2">
      <c r="A378" s="337"/>
      <c r="B378" s="337"/>
      <c r="C378" s="345"/>
      <c r="D378" s="337"/>
      <c r="E378" s="337"/>
      <c r="F378" s="337"/>
      <c r="G378" s="337"/>
      <c r="H378" s="337"/>
      <c r="I378" s="337"/>
      <c r="J378" s="337"/>
      <c r="K378" s="337"/>
      <c r="L378" s="337"/>
      <c r="M378" s="337"/>
      <c r="N378" s="337"/>
      <c r="O378" s="337"/>
    </row>
    <row r="379" spans="1:25" ht="18" customHeight="1" x14ac:dyDescent="0.2">
      <c r="A379" s="337"/>
      <c r="B379" s="337"/>
      <c r="C379" s="345"/>
      <c r="D379" s="337"/>
      <c r="E379" s="337"/>
      <c r="F379" s="337"/>
      <c r="G379" s="337"/>
      <c r="H379" s="337"/>
      <c r="I379" s="337"/>
      <c r="J379" s="337"/>
      <c r="K379" s="337"/>
      <c r="L379" s="337"/>
      <c r="M379" s="337"/>
      <c r="N379" s="337"/>
      <c r="O379" s="337"/>
    </row>
    <row r="380" spans="1:25" ht="18" customHeight="1" x14ac:dyDescent="0.2">
      <c r="A380" s="337"/>
      <c r="B380" s="337"/>
      <c r="C380" s="583" t="s">
        <v>371</v>
      </c>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row>
    <row r="381" spans="1:25" ht="18" customHeight="1" x14ac:dyDescent="0.2">
      <c r="A381" s="337"/>
      <c r="B381" s="337"/>
      <c r="C381" s="592"/>
      <c r="D381" s="592"/>
      <c r="E381" s="592"/>
      <c r="F381" s="592"/>
      <c r="G381" s="592"/>
      <c r="H381" s="592"/>
      <c r="I381" s="592"/>
      <c r="J381" s="592"/>
      <c r="K381" s="592"/>
      <c r="L381" s="592"/>
      <c r="M381" s="592"/>
      <c r="N381" s="592"/>
      <c r="O381" s="592"/>
      <c r="P381" s="592"/>
      <c r="Q381" s="592"/>
      <c r="R381" s="592"/>
      <c r="S381" s="592"/>
      <c r="T381" s="592"/>
      <c r="U381" s="592"/>
      <c r="V381" s="592"/>
      <c r="W381" s="592"/>
      <c r="X381" s="592"/>
      <c r="Y381" s="592"/>
    </row>
    <row r="382" spans="1:25" ht="18" customHeight="1" x14ac:dyDescent="0.2">
      <c r="A382" s="337"/>
      <c r="B382" s="337"/>
      <c r="C382" s="337"/>
      <c r="D382" s="337"/>
      <c r="E382" s="337"/>
      <c r="F382" s="337"/>
      <c r="G382" s="337"/>
      <c r="H382" s="337"/>
      <c r="I382" s="337"/>
      <c r="J382" s="337"/>
      <c r="K382" s="386"/>
      <c r="L382" s="337"/>
      <c r="M382" s="386"/>
      <c r="N382" s="386"/>
      <c r="O382" s="380"/>
      <c r="S382" s="353" t="s">
        <v>251</v>
      </c>
      <c r="T382" s="578"/>
      <c r="U382" s="578"/>
      <c r="V382" s="578"/>
      <c r="W382" s="578"/>
      <c r="X382" s="591" t="s">
        <v>111</v>
      </c>
      <c r="Y382" s="591"/>
    </row>
    <row r="383" spans="1:25" ht="18" customHeight="1" x14ac:dyDescent="0.2">
      <c r="A383" s="337"/>
      <c r="B383" s="337"/>
      <c r="C383" s="345"/>
      <c r="D383" s="337"/>
      <c r="E383" s="337"/>
      <c r="F383" s="337"/>
      <c r="G383" s="337"/>
      <c r="H383" s="337"/>
      <c r="I383" s="337"/>
      <c r="J383" s="337"/>
      <c r="K383" s="337"/>
      <c r="L383" s="337"/>
      <c r="M383" s="337"/>
      <c r="N383" s="337"/>
      <c r="O383" s="337"/>
    </row>
    <row r="384" spans="1:25" ht="18" customHeight="1" x14ac:dyDescent="0.2">
      <c r="A384" s="337"/>
      <c r="B384" s="337"/>
      <c r="C384" s="345"/>
      <c r="D384" s="337"/>
      <c r="E384" s="337"/>
      <c r="F384" s="337"/>
      <c r="G384" s="337"/>
      <c r="H384" s="337"/>
      <c r="I384" s="337"/>
      <c r="J384" s="337"/>
      <c r="K384" s="337"/>
      <c r="L384" s="337"/>
      <c r="M384" s="337"/>
      <c r="N384" s="337"/>
      <c r="O384" s="337"/>
    </row>
    <row r="385" spans="1:25" ht="18" customHeight="1" x14ac:dyDescent="0.2">
      <c r="A385" s="337"/>
      <c r="B385" s="337"/>
      <c r="C385" s="583" t="s">
        <v>372</v>
      </c>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row>
    <row r="386" spans="1:25" ht="18" customHeight="1" x14ac:dyDescent="0.2">
      <c r="A386" s="337"/>
      <c r="B386" s="337"/>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row>
    <row r="387" spans="1:25" ht="18" customHeight="1" x14ac:dyDescent="0.2">
      <c r="A387" s="337"/>
      <c r="B387" s="337"/>
      <c r="C387" s="337"/>
      <c r="D387" s="337"/>
      <c r="E387" s="337"/>
      <c r="F387" s="337"/>
      <c r="G387" s="337"/>
      <c r="H387" s="337"/>
      <c r="I387" s="337"/>
      <c r="J387" s="337"/>
      <c r="K387" s="337"/>
      <c r="L387" s="368"/>
      <c r="M387" s="368"/>
      <c r="N387" s="386"/>
      <c r="O387" s="380"/>
      <c r="S387" s="353" t="s">
        <v>252</v>
      </c>
      <c r="T387" s="578"/>
      <c r="U387" s="578"/>
      <c r="V387" s="578"/>
      <c r="W387" s="578"/>
      <c r="X387" s="591" t="s">
        <v>112</v>
      </c>
      <c r="Y387" s="591"/>
    </row>
    <row r="388" spans="1:25" ht="18" customHeight="1" x14ac:dyDescent="0.2">
      <c r="C388" s="345"/>
      <c r="I388" s="411"/>
      <c r="J388" s="411"/>
      <c r="K388" s="412"/>
      <c r="N388" s="413"/>
      <c r="O388" s="414"/>
    </row>
    <row r="389" spans="1:25" ht="18" customHeight="1" x14ac:dyDescent="0.2">
      <c r="C389" s="345"/>
      <c r="I389" s="411"/>
      <c r="J389" s="411"/>
      <c r="K389" s="412"/>
      <c r="N389" s="413"/>
      <c r="O389" s="414"/>
    </row>
    <row r="390" spans="1:25" ht="18" customHeight="1" x14ac:dyDescent="0.2">
      <c r="A390" s="337"/>
      <c r="B390" s="337"/>
      <c r="C390" s="583" t="s">
        <v>373</v>
      </c>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row>
    <row r="391" spans="1:25" ht="18" customHeight="1" x14ac:dyDescent="0.2">
      <c r="A391" s="337"/>
      <c r="B391" s="337"/>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row>
    <row r="392" spans="1:25" ht="18" customHeight="1" x14ac:dyDescent="0.2">
      <c r="A392" s="337"/>
      <c r="B392" s="337"/>
      <c r="C392" s="592"/>
      <c r="D392" s="592"/>
      <c r="E392" s="592"/>
      <c r="F392" s="592"/>
      <c r="G392" s="592"/>
      <c r="H392" s="592"/>
      <c r="I392" s="592"/>
      <c r="J392" s="592"/>
      <c r="K392" s="592"/>
      <c r="L392" s="592"/>
      <c r="M392" s="592"/>
      <c r="N392" s="592"/>
      <c r="O392" s="592"/>
      <c r="P392" s="592"/>
      <c r="Q392" s="592"/>
      <c r="R392" s="592"/>
      <c r="S392" s="592"/>
      <c r="T392" s="592"/>
      <c r="U392" s="592"/>
      <c r="V392" s="592"/>
      <c r="W392" s="592"/>
      <c r="X392" s="592"/>
      <c r="Y392" s="592"/>
    </row>
    <row r="393" spans="1:25" ht="18" customHeight="1" x14ac:dyDescent="0.2">
      <c r="A393" s="337"/>
      <c r="B393" s="337"/>
      <c r="C393" s="337"/>
      <c r="D393" s="337"/>
      <c r="E393" s="337"/>
      <c r="F393" s="337"/>
      <c r="G393" s="337"/>
      <c r="H393" s="337"/>
      <c r="I393" s="389"/>
      <c r="J393" s="337"/>
      <c r="K393" s="368"/>
      <c r="L393" s="368"/>
      <c r="M393" s="368"/>
      <c r="N393" s="386"/>
      <c r="O393" s="380"/>
      <c r="S393" s="353" t="s">
        <v>253</v>
      </c>
      <c r="T393" s="578"/>
      <c r="U393" s="578"/>
      <c r="V393" s="578"/>
      <c r="W393" s="578"/>
      <c r="X393" s="591" t="s">
        <v>111</v>
      </c>
      <c r="Y393" s="591"/>
    </row>
    <row r="394" spans="1:25" ht="18" customHeight="1" x14ac:dyDescent="0.2">
      <c r="A394" s="337"/>
      <c r="B394" s="337"/>
      <c r="C394" s="337"/>
      <c r="D394" s="415"/>
      <c r="E394" s="415"/>
      <c r="F394" s="337"/>
      <c r="G394" s="337"/>
      <c r="H394" s="337"/>
      <c r="I394" s="415"/>
      <c r="J394" s="416"/>
      <c r="K394" s="417"/>
      <c r="L394" s="417"/>
      <c r="M394" s="368"/>
      <c r="N394" s="386"/>
      <c r="O394" s="380"/>
      <c r="S394" s="353" t="s">
        <v>254</v>
      </c>
      <c r="T394" s="578"/>
      <c r="U394" s="578"/>
      <c r="V394" s="578"/>
      <c r="W394" s="578"/>
      <c r="X394" s="591" t="s">
        <v>112</v>
      </c>
      <c r="Y394" s="591"/>
    </row>
    <row r="395" spans="1:25" ht="18" customHeight="1" x14ac:dyDescent="0.2">
      <c r="A395" s="337"/>
      <c r="B395" s="337"/>
      <c r="C395" s="345"/>
      <c r="D395" s="337"/>
      <c r="E395" s="337"/>
      <c r="F395" s="337"/>
      <c r="G395" s="337"/>
      <c r="H395" s="337"/>
      <c r="I395" s="337"/>
      <c r="J395" s="337"/>
      <c r="K395" s="337"/>
      <c r="L395" s="337"/>
      <c r="M395" s="337"/>
      <c r="N395" s="337"/>
      <c r="O395" s="337"/>
    </row>
    <row r="396" spans="1:25" ht="18" customHeight="1" x14ac:dyDescent="0.2">
      <c r="A396" s="337"/>
      <c r="B396" s="337"/>
      <c r="C396" s="345"/>
      <c r="D396" s="337"/>
      <c r="E396" s="337"/>
      <c r="F396" s="337"/>
      <c r="G396" s="337"/>
      <c r="H396" s="337"/>
      <c r="I396" s="337"/>
      <c r="J396" s="337"/>
      <c r="K396" s="337"/>
      <c r="L396" s="337"/>
      <c r="M396" s="337"/>
      <c r="N396" s="337"/>
      <c r="O396" s="337"/>
    </row>
    <row r="397" spans="1:25" ht="18" customHeight="1" x14ac:dyDescent="0.2">
      <c r="A397" s="337"/>
      <c r="B397" s="337"/>
      <c r="C397" s="581" t="s">
        <v>298</v>
      </c>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row>
    <row r="398" spans="1:25" ht="18" customHeight="1" x14ac:dyDescent="0.2">
      <c r="A398" s="337"/>
      <c r="B398" s="337"/>
      <c r="C398" s="346"/>
      <c r="D398" s="346"/>
      <c r="E398" s="346"/>
      <c r="F398" s="346"/>
      <c r="G398" s="346"/>
      <c r="H398" s="362"/>
      <c r="I398" s="346"/>
      <c r="J398" s="346"/>
      <c r="K398" s="368"/>
      <c r="L398" s="368"/>
      <c r="M398" s="368"/>
      <c r="N398" s="374"/>
      <c r="O398" s="337"/>
      <c r="S398" s="362" t="s">
        <v>374</v>
      </c>
      <c r="T398" s="782"/>
      <c r="U398" s="782"/>
      <c r="V398" s="782"/>
      <c r="W398" s="782"/>
      <c r="X398" s="591" t="s">
        <v>112</v>
      </c>
      <c r="Y398" s="591"/>
    </row>
    <row r="399" spans="1:25" ht="18" customHeight="1" x14ac:dyDescent="0.2">
      <c r="A399" s="337"/>
      <c r="B399" s="337"/>
      <c r="C399" s="346"/>
      <c r="D399" s="346"/>
      <c r="E399" s="346"/>
      <c r="F399" s="346"/>
      <c r="G399" s="346"/>
      <c r="H399" s="362"/>
      <c r="I399" s="346"/>
      <c r="J399" s="346"/>
      <c r="K399" s="368"/>
      <c r="L399" s="368"/>
      <c r="M399" s="368"/>
      <c r="N399" s="386"/>
      <c r="O399" s="380"/>
      <c r="S399" s="362" t="s">
        <v>255</v>
      </c>
      <c r="T399" s="578"/>
      <c r="U399" s="578"/>
      <c r="V399" s="578"/>
      <c r="W399" s="578"/>
      <c r="X399" s="591" t="s">
        <v>112</v>
      </c>
      <c r="Y399" s="591"/>
    </row>
    <row r="400" spans="1:25" ht="18" customHeight="1" x14ac:dyDescent="0.2">
      <c r="A400" s="337"/>
      <c r="B400" s="337"/>
      <c r="C400" s="345"/>
      <c r="D400" s="337"/>
      <c r="E400" s="337"/>
      <c r="F400" s="337"/>
      <c r="G400" s="337"/>
      <c r="H400" s="337"/>
      <c r="I400" s="337"/>
      <c r="J400" s="337"/>
      <c r="K400" s="337"/>
      <c r="L400" s="337"/>
      <c r="M400" s="337"/>
      <c r="N400" s="337"/>
      <c r="O400" s="337"/>
    </row>
    <row r="401" spans="1:25" ht="18" customHeight="1" x14ac:dyDescent="0.2">
      <c r="A401" s="337"/>
      <c r="B401" s="337"/>
      <c r="C401" s="345"/>
      <c r="D401" s="337"/>
      <c r="E401" s="337"/>
      <c r="F401" s="337"/>
      <c r="G401" s="337"/>
      <c r="H401" s="337"/>
      <c r="I401" s="337"/>
      <c r="J401" s="337"/>
      <c r="K401" s="337"/>
      <c r="L401" s="337"/>
      <c r="M401" s="337"/>
      <c r="N401" s="337"/>
      <c r="O401" s="337"/>
    </row>
    <row r="402" spans="1:25" ht="18" customHeight="1" x14ac:dyDescent="0.2">
      <c r="A402" s="337"/>
      <c r="B402" s="337"/>
      <c r="C402" s="583" t="s">
        <v>299</v>
      </c>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row>
    <row r="403" spans="1:25" ht="18" customHeight="1" x14ac:dyDescent="0.2">
      <c r="A403" s="337"/>
      <c r="B403" s="337"/>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row>
    <row r="404" spans="1:25" ht="18" customHeight="1" x14ac:dyDescent="0.2">
      <c r="A404" s="337"/>
      <c r="B404" s="337"/>
      <c r="C404" s="354" t="s">
        <v>234</v>
      </c>
      <c r="D404" s="354"/>
      <c r="E404" s="337"/>
      <c r="H404" s="368"/>
      <c r="I404" s="353" t="s">
        <v>28</v>
      </c>
      <c r="J404" s="588"/>
      <c r="K404" s="588"/>
      <c r="P404" s="339"/>
      <c r="Q404" s="368"/>
      <c r="R404" s="368"/>
      <c r="S404" s="369" t="s">
        <v>29</v>
      </c>
      <c r="T404" s="588"/>
      <c r="U404" s="588"/>
      <c r="V404" s="588"/>
      <c r="W404" s="588"/>
    </row>
    <row r="405" spans="1:25" ht="18" customHeight="1" x14ac:dyDescent="0.2">
      <c r="A405" s="337"/>
      <c r="B405" s="337"/>
      <c r="C405" s="345"/>
      <c r="D405" s="337"/>
      <c r="E405" s="337"/>
      <c r="F405" s="337"/>
      <c r="G405" s="337"/>
      <c r="H405" s="337"/>
      <c r="I405" s="337"/>
      <c r="J405" s="337"/>
      <c r="K405" s="337"/>
      <c r="L405" s="337"/>
      <c r="M405" s="337"/>
      <c r="N405" s="337"/>
      <c r="O405" s="337"/>
    </row>
    <row r="406" spans="1:25" ht="18" customHeight="1" x14ac:dyDescent="0.2">
      <c r="A406" s="337"/>
      <c r="B406" s="337"/>
      <c r="C406" s="345"/>
      <c r="D406" s="337"/>
      <c r="E406" s="337"/>
      <c r="F406" s="337"/>
      <c r="G406" s="337"/>
      <c r="H406" s="337"/>
      <c r="I406" s="337"/>
      <c r="J406" s="337"/>
      <c r="K406" s="337"/>
      <c r="L406" s="337"/>
      <c r="M406" s="337"/>
      <c r="N406" s="337"/>
      <c r="O406" s="337"/>
    </row>
    <row r="407" spans="1:25" ht="18" customHeight="1" x14ac:dyDescent="0.2">
      <c r="A407" s="337"/>
      <c r="B407" s="337"/>
      <c r="C407" s="581" t="s">
        <v>300</v>
      </c>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row>
    <row r="408" spans="1:25" ht="18" customHeight="1" x14ac:dyDescent="0.2">
      <c r="A408" s="337"/>
      <c r="B408" s="337"/>
      <c r="C408" s="337"/>
      <c r="D408" s="337"/>
      <c r="E408" s="337"/>
      <c r="F408" s="337"/>
      <c r="G408" s="337"/>
      <c r="H408" s="337"/>
      <c r="I408" s="337"/>
      <c r="J408" s="337"/>
      <c r="K408" s="353"/>
      <c r="L408" s="368"/>
      <c r="M408" s="368"/>
      <c r="N408" s="386"/>
      <c r="O408" s="380"/>
      <c r="S408" s="353" t="s">
        <v>256</v>
      </c>
      <c r="T408" s="578"/>
      <c r="U408" s="578"/>
      <c r="V408" s="578"/>
      <c r="W408" s="578"/>
      <c r="X408" s="591" t="s">
        <v>112</v>
      </c>
      <c r="Y408" s="591"/>
    </row>
    <row r="409" spans="1:25" ht="18" customHeight="1" x14ac:dyDescent="0.2">
      <c r="A409" s="337"/>
      <c r="B409" s="337"/>
      <c r="C409" s="345"/>
      <c r="D409" s="337"/>
      <c r="E409" s="337"/>
      <c r="F409" s="337"/>
      <c r="G409" s="337"/>
      <c r="H409" s="337"/>
      <c r="I409" s="337"/>
      <c r="J409" s="337"/>
      <c r="K409" s="337"/>
      <c r="L409" s="337"/>
      <c r="M409" s="337"/>
      <c r="N409" s="337"/>
      <c r="O409" s="337"/>
    </row>
    <row r="410" spans="1:25" ht="18" customHeight="1" x14ac:dyDescent="0.2">
      <c r="A410" s="337"/>
      <c r="B410" s="337"/>
      <c r="C410" s="345"/>
      <c r="D410" s="337"/>
      <c r="E410" s="337"/>
      <c r="F410" s="337"/>
      <c r="G410" s="337"/>
      <c r="H410" s="337"/>
      <c r="I410" s="337"/>
      <c r="J410" s="337"/>
      <c r="K410" s="337"/>
      <c r="L410" s="337"/>
      <c r="M410" s="337"/>
      <c r="N410" s="337"/>
      <c r="O410" s="337"/>
    </row>
    <row r="411" spans="1:25" ht="18" customHeight="1" x14ac:dyDescent="0.2">
      <c r="A411" s="337"/>
      <c r="B411" s="337"/>
      <c r="C411" s="583" t="s">
        <v>301</v>
      </c>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row>
    <row r="412" spans="1:25" ht="18" customHeight="1" x14ac:dyDescent="0.2">
      <c r="A412" s="337"/>
      <c r="B412" s="337"/>
      <c r="C412" s="592"/>
      <c r="D412" s="592"/>
      <c r="E412" s="592"/>
      <c r="F412" s="592"/>
      <c r="G412" s="592"/>
      <c r="H412" s="592"/>
      <c r="I412" s="592"/>
      <c r="J412" s="592"/>
      <c r="K412" s="592"/>
      <c r="L412" s="592"/>
      <c r="M412" s="592"/>
      <c r="N412" s="592"/>
      <c r="O412" s="592"/>
      <c r="P412" s="592"/>
      <c r="Q412" s="592"/>
      <c r="R412" s="592"/>
      <c r="S412" s="592"/>
      <c r="T412" s="592"/>
      <c r="U412" s="592"/>
      <c r="V412" s="592"/>
      <c r="W412" s="592"/>
      <c r="X412" s="592"/>
      <c r="Y412" s="592"/>
    </row>
    <row r="413" spans="1:25" ht="18" customHeight="1" x14ac:dyDescent="0.2">
      <c r="A413" s="337"/>
      <c r="B413" s="337"/>
      <c r="C413" s="354" t="s">
        <v>234</v>
      </c>
      <c r="D413" s="354"/>
      <c r="E413" s="337"/>
      <c r="H413" s="368"/>
      <c r="I413" s="353" t="s">
        <v>28</v>
      </c>
      <c r="J413" s="588"/>
      <c r="K413" s="588"/>
      <c r="P413" s="339"/>
      <c r="Q413" s="368"/>
      <c r="R413" s="368"/>
      <c r="S413" s="369" t="s">
        <v>29</v>
      </c>
      <c r="T413" s="588"/>
      <c r="U413" s="588"/>
      <c r="V413" s="588"/>
      <c r="W413" s="588"/>
    </row>
    <row r="414" spans="1:25" ht="18" customHeight="1" x14ac:dyDescent="0.2">
      <c r="A414" s="337"/>
      <c r="B414" s="337"/>
      <c r="C414" s="345"/>
      <c r="D414" s="337"/>
      <c r="E414" s="337"/>
      <c r="F414" s="337"/>
      <c r="G414" s="337"/>
      <c r="H414" s="337"/>
      <c r="I414" s="337"/>
      <c r="J414" s="337"/>
      <c r="K414" s="337"/>
      <c r="L414" s="337"/>
      <c r="M414" s="337"/>
      <c r="N414" s="337"/>
      <c r="O414" s="337"/>
    </row>
    <row r="415" spans="1:25" ht="18" customHeight="1" x14ac:dyDescent="0.2">
      <c r="A415" s="337"/>
      <c r="B415" s="337"/>
      <c r="C415" s="345"/>
      <c r="D415" s="337"/>
      <c r="E415" s="337"/>
      <c r="F415" s="337"/>
      <c r="G415" s="337"/>
      <c r="H415" s="337"/>
      <c r="I415" s="337"/>
      <c r="J415" s="337"/>
      <c r="K415" s="337"/>
      <c r="L415" s="337"/>
      <c r="M415" s="337"/>
      <c r="N415" s="337"/>
      <c r="O415" s="337"/>
    </row>
    <row r="416" spans="1:25" ht="18" customHeight="1" x14ac:dyDescent="0.2">
      <c r="A416" s="337"/>
      <c r="B416" s="337"/>
      <c r="C416" s="583" t="s">
        <v>302</v>
      </c>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row>
    <row r="417" spans="1:25" ht="18" customHeight="1" x14ac:dyDescent="0.2">
      <c r="A417" s="337"/>
      <c r="B417" s="337"/>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row>
    <row r="418" spans="1:25" ht="18" customHeight="1" x14ac:dyDescent="0.2">
      <c r="A418" s="337"/>
      <c r="B418" s="337"/>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row>
    <row r="419" spans="1:25" ht="18" customHeight="1" x14ac:dyDescent="0.2">
      <c r="A419" s="337"/>
      <c r="B419" s="337"/>
      <c r="C419" s="669"/>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1"/>
    </row>
    <row r="420" spans="1:25" ht="18" customHeight="1" x14ac:dyDescent="0.2">
      <c r="A420" s="337"/>
      <c r="B420" s="337"/>
      <c r="C420" s="672"/>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4"/>
    </row>
    <row r="421" spans="1:25" ht="18" customHeight="1" x14ac:dyDescent="0.2">
      <c r="A421" s="337"/>
      <c r="B421" s="337"/>
      <c r="C421" s="337"/>
      <c r="D421" s="337"/>
      <c r="E421" s="337"/>
      <c r="F421" s="337"/>
      <c r="G421" s="337"/>
      <c r="H421" s="337"/>
      <c r="I421" s="337"/>
      <c r="J421" s="337"/>
      <c r="K421" s="337"/>
      <c r="L421" s="337"/>
      <c r="M421" s="337"/>
      <c r="N421" s="337"/>
      <c r="O421" s="337"/>
    </row>
    <row r="422" spans="1:25" ht="18" customHeight="1" x14ac:dyDescent="0.2">
      <c r="A422" s="337"/>
      <c r="B422" s="337"/>
      <c r="C422" s="337"/>
      <c r="D422" s="337"/>
      <c r="E422" s="337"/>
      <c r="F422" s="337"/>
      <c r="G422" s="337"/>
      <c r="H422" s="337"/>
      <c r="I422" s="337"/>
      <c r="J422" s="337"/>
      <c r="K422" s="337"/>
      <c r="L422" s="337"/>
      <c r="M422" s="337"/>
      <c r="N422" s="337"/>
      <c r="O422" s="337"/>
    </row>
    <row r="423" spans="1:25" ht="18" customHeight="1" x14ac:dyDescent="0.2">
      <c r="A423" s="337"/>
      <c r="B423" s="337"/>
      <c r="C423" s="581" t="s">
        <v>303</v>
      </c>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row>
    <row r="424" spans="1:25" ht="18" customHeight="1" x14ac:dyDescent="0.2">
      <c r="A424" s="337"/>
      <c r="B424" s="337"/>
      <c r="C424" s="337"/>
      <c r="D424" s="337"/>
      <c r="E424" s="337"/>
      <c r="F424" s="337"/>
      <c r="G424" s="337"/>
      <c r="H424" s="337"/>
      <c r="I424" s="337"/>
      <c r="J424" s="337"/>
      <c r="K424" s="337"/>
      <c r="L424" s="386"/>
      <c r="M424" s="386"/>
      <c r="N424" s="386"/>
      <c r="O424" s="380"/>
      <c r="S424" s="353" t="s">
        <v>257</v>
      </c>
      <c r="T424" s="578"/>
      <c r="U424" s="578"/>
      <c r="V424" s="578"/>
      <c r="W424" s="578"/>
      <c r="X424" s="591" t="s">
        <v>112</v>
      </c>
      <c r="Y424" s="591"/>
    </row>
    <row r="425" spans="1:25" ht="18" customHeight="1" x14ac:dyDescent="0.2">
      <c r="A425" s="337"/>
      <c r="B425" s="337"/>
      <c r="C425" s="345"/>
      <c r="D425" s="337"/>
      <c r="E425" s="337"/>
      <c r="F425" s="337"/>
      <c r="G425" s="337"/>
      <c r="H425" s="337"/>
      <c r="I425" s="337"/>
      <c r="J425" s="337"/>
      <c r="K425" s="337"/>
      <c r="L425" s="337"/>
      <c r="M425" s="337"/>
      <c r="N425" s="337"/>
      <c r="O425" s="337"/>
    </row>
    <row r="426" spans="1:25" ht="18" customHeight="1" x14ac:dyDescent="0.2">
      <c r="A426" s="337"/>
      <c r="B426" s="337"/>
      <c r="C426" s="345"/>
      <c r="D426" s="337"/>
      <c r="E426" s="337"/>
      <c r="F426" s="337"/>
      <c r="G426" s="337"/>
      <c r="H426" s="337"/>
      <c r="I426" s="337"/>
      <c r="J426" s="337"/>
      <c r="K426" s="337"/>
      <c r="L426" s="337"/>
      <c r="M426" s="337"/>
      <c r="N426" s="337"/>
      <c r="O426" s="337"/>
    </row>
    <row r="427" spans="1:25" ht="23.1" customHeight="1" x14ac:dyDescent="0.2">
      <c r="A427" s="337"/>
      <c r="B427" s="337"/>
      <c r="C427" s="583" t="s">
        <v>304</v>
      </c>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row>
    <row r="428" spans="1:25" ht="23.1" customHeight="1" x14ac:dyDescent="0.2">
      <c r="A428" s="337"/>
      <c r="B428" s="337"/>
      <c r="C428" s="592"/>
      <c r="D428" s="592"/>
      <c r="E428" s="592"/>
      <c r="F428" s="592"/>
      <c r="G428" s="592"/>
      <c r="H428" s="592"/>
      <c r="I428" s="592"/>
      <c r="J428" s="592"/>
      <c r="K428" s="592"/>
      <c r="L428" s="592"/>
      <c r="M428" s="592"/>
      <c r="N428" s="592"/>
      <c r="O428" s="592"/>
      <c r="P428" s="592"/>
      <c r="Q428" s="592"/>
      <c r="R428" s="592"/>
      <c r="S428" s="592"/>
      <c r="T428" s="592"/>
      <c r="U428" s="592"/>
      <c r="V428" s="592"/>
      <c r="W428" s="592"/>
      <c r="X428" s="592"/>
      <c r="Y428" s="592"/>
    </row>
    <row r="429" spans="1:25" ht="18" customHeight="1" x14ac:dyDescent="0.2">
      <c r="A429" s="337"/>
      <c r="B429" s="337"/>
      <c r="C429" s="354" t="s">
        <v>234</v>
      </c>
      <c r="D429" s="354"/>
      <c r="E429" s="337"/>
      <c r="H429" s="368"/>
      <c r="I429" s="353" t="s">
        <v>28</v>
      </c>
      <c r="J429" s="588"/>
      <c r="K429" s="588"/>
      <c r="P429" s="339"/>
      <c r="Q429" s="368"/>
      <c r="R429" s="368"/>
      <c r="S429" s="369" t="s">
        <v>29</v>
      </c>
      <c r="T429" s="588"/>
      <c r="U429" s="588"/>
      <c r="V429" s="588"/>
      <c r="W429" s="588"/>
    </row>
    <row r="430" spans="1:25" ht="18" customHeight="1" x14ac:dyDescent="0.2">
      <c r="A430" s="337"/>
      <c r="B430" s="337"/>
      <c r="C430" s="345"/>
      <c r="D430" s="337"/>
      <c r="E430" s="337"/>
      <c r="F430" s="337"/>
      <c r="G430" s="337"/>
      <c r="H430" s="337"/>
      <c r="I430" s="337"/>
      <c r="J430" s="337"/>
      <c r="K430" s="337"/>
      <c r="L430" s="337"/>
      <c r="M430" s="337"/>
      <c r="N430" s="337"/>
      <c r="O430" s="337"/>
    </row>
    <row r="431" spans="1:25" ht="18" customHeight="1" x14ac:dyDescent="0.2">
      <c r="A431" s="337"/>
      <c r="B431" s="337"/>
      <c r="C431" s="345"/>
      <c r="D431" s="337"/>
      <c r="E431" s="337"/>
      <c r="F431" s="337"/>
      <c r="G431" s="337"/>
      <c r="H431" s="337"/>
      <c r="I431" s="337"/>
      <c r="J431" s="337"/>
      <c r="K431" s="337"/>
      <c r="L431" s="337"/>
      <c r="M431" s="337"/>
      <c r="N431" s="337"/>
      <c r="O431" s="337"/>
    </row>
    <row r="432" spans="1:25" ht="18" customHeight="1" x14ac:dyDescent="0.2">
      <c r="A432" s="337"/>
      <c r="B432" s="337"/>
      <c r="C432" s="583" t="s">
        <v>305</v>
      </c>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row>
    <row r="433" spans="1:25" ht="18" customHeight="1" x14ac:dyDescent="0.2">
      <c r="A433" s="337"/>
      <c r="B433" s="337"/>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row>
    <row r="434" spans="1:25" ht="18" customHeight="1" x14ac:dyDescent="0.2">
      <c r="A434" s="337"/>
      <c r="B434" s="337"/>
      <c r="C434" s="592"/>
      <c r="D434" s="592"/>
      <c r="E434" s="592"/>
      <c r="F434" s="592"/>
      <c r="G434" s="592"/>
      <c r="H434" s="592"/>
      <c r="I434" s="592"/>
      <c r="J434" s="592"/>
      <c r="K434" s="592"/>
      <c r="L434" s="592"/>
      <c r="M434" s="592"/>
      <c r="N434" s="592"/>
      <c r="O434" s="592"/>
      <c r="P434" s="592"/>
      <c r="Q434" s="592"/>
      <c r="R434" s="592"/>
      <c r="S434" s="592"/>
      <c r="T434" s="592"/>
      <c r="U434" s="592"/>
      <c r="V434" s="592"/>
      <c r="W434" s="592"/>
      <c r="X434" s="592"/>
      <c r="Y434" s="592"/>
    </row>
    <row r="435" spans="1:25" ht="18" customHeight="1" x14ac:dyDescent="0.2">
      <c r="A435" s="337"/>
      <c r="B435" s="337"/>
      <c r="C435" s="669"/>
      <c r="D435" s="670"/>
      <c r="E435" s="670"/>
      <c r="F435" s="670"/>
      <c r="G435" s="670"/>
      <c r="H435" s="670"/>
      <c r="I435" s="670"/>
      <c r="J435" s="670"/>
      <c r="K435" s="670"/>
      <c r="L435" s="670"/>
      <c r="M435" s="670"/>
      <c r="N435" s="670"/>
      <c r="O435" s="670"/>
      <c r="P435" s="670"/>
      <c r="Q435" s="670"/>
      <c r="R435" s="670"/>
      <c r="S435" s="670"/>
      <c r="T435" s="670"/>
      <c r="U435" s="670"/>
      <c r="V435" s="670"/>
      <c r="W435" s="670"/>
      <c r="X435" s="670"/>
      <c r="Y435" s="671"/>
    </row>
    <row r="436" spans="1:25" ht="18" customHeight="1" x14ac:dyDescent="0.2">
      <c r="A436" s="337"/>
      <c r="B436" s="337"/>
      <c r="C436" s="672"/>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4"/>
    </row>
    <row r="437" spans="1:25" ht="18" customHeight="1" x14ac:dyDescent="0.2">
      <c r="A437" s="337"/>
      <c r="B437" s="337"/>
      <c r="C437" s="337"/>
      <c r="D437" s="337"/>
      <c r="E437" s="337"/>
      <c r="F437" s="337"/>
      <c r="G437" s="337"/>
      <c r="H437" s="337"/>
      <c r="I437" s="337"/>
      <c r="J437" s="337"/>
      <c r="K437" s="337"/>
      <c r="L437" s="337"/>
      <c r="M437" s="337"/>
      <c r="N437" s="337"/>
      <c r="O437" s="337"/>
    </row>
    <row r="438" spans="1:25" ht="18" customHeight="1" x14ac:dyDescent="0.2">
      <c r="A438" s="337"/>
      <c r="B438" s="337"/>
      <c r="C438" s="337"/>
      <c r="D438" s="337"/>
      <c r="E438" s="337"/>
      <c r="F438" s="337"/>
      <c r="G438" s="337"/>
      <c r="H438" s="337"/>
      <c r="I438" s="337"/>
      <c r="J438" s="337"/>
      <c r="K438" s="337"/>
      <c r="L438" s="337"/>
      <c r="M438" s="337"/>
      <c r="N438" s="337"/>
      <c r="O438" s="337"/>
    </row>
    <row r="439" spans="1:25" ht="18" customHeight="1" x14ac:dyDescent="0.2">
      <c r="A439" s="337"/>
      <c r="B439" s="337"/>
      <c r="C439" s="581" t="s">
        <v>306</v>
      </c>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row>
    <row r="440" spans="1:25" ht="18" customHeight="1" x14ac:dyDescent="0.2">
      <c r="A440" s="337"/>
      <c r="B440" s="337"/>
      <c r="C440" s="354" t="s">
        <v>234</v>
      </c>
      <c r="D440" s="354"/>
      <c r="E440" s="337"/>
      <c r="H440" s="368"/>
      <c r="I440" s="353" t="s">
        <v>28</v>
      </c>
      <c r="J440" s="588"/>
      <c r="K440" s="588"/>
      <c r="P440" s="339"/>
      <c r="Q440" s="368"/>
      <c r="R440" s="368"/>
      <c r="S440" s="369" t="s">
        <v>29</v>
      </c>
      <c r="T440" s="588"/>
      <c r="U440" s="588"/>
      <c r="V440" s="588"/>
      <c r="W440" s="588"/>
    </row>
    <row r="441" spans="1:25" ht="18" customHeight="1" x14ac:dyDescent="0.2">
      <c r="A441" s="337"/>
      <c r="B441" s="337"/>
      <c r="C441" s="345"/>
      <c r="D441" s="337"/>
      <c r="E441" s="337"/>
      <c r="F441" s="337"/>
      <c r="G441" s="337"/>
      <c r="H441" s="337"/>
      <c r="I441" s="337"/>
      <c r="J441" s="337"/>
      <c r="K441" s="337"/>
      <c r="L441" s="337"/>
      <c r="M441" s="337"/>
      <c r="N441" s="337"/>
      <c r="O441" s="337"/>
    </row>
    <row r="442" spans="1:25" ht="18" customHeight="1" x14ac:dyDescent="0.2">
      <c r="A442" s="337"/>
      <c r="B442" s="337"/>
      <c r="C442" s="345"/>
      <c r="D442" s="337"/>
      <c r="E442" s="337"/>
      <c r="F442" s="337"/>
      <c r="G442" s="337"/>
      <c r="H442" s="337"/>
      <c r="I442" s="337"/>
      <c r="J442" s="337"/>
      <c r="K442" s="337"/>
      <c r="L442" s="337"/>
      <c r="M442" s="337"/>
      <c r="N442" s="337"/>
      <c r="O442" s="337"/>
    </row>
    <row r="443" spans="1:25" ht="18" customHeight="1" x14ac:dyDescent="0.2">
      <c r="A443" s="337"/>
      <c r="B443" s="337"/>
      <c r="C443" s="592" t="s">
        <v>307</v>
      </c>
      <c r="D443" s="592"/>
      <c r="E443" s="592"/>
      <c r="F443" s="592"/>
      <c r="G443" s="592"/>
      <c r="H443" s="592"/>
      <c r="I443" s="592"/>
      <c r="J443" s="592"/>
      <c r="K443" s="592"/>
      <c r="L443" s="592"/>
      <c r="M443" s="592"/>
      <c r="N443" s="592"/>
      <c r="O443" s="592"/>
      <c r="P443" s="592"/>
      <c r="Q443" s="592"/>
      <c r="R443" s="592"/>
      <c r="S443" s="592"/>
      <c r="T443" s="592"/>
      <c r="U443" s="592"/>
      <c r="V443" s="592"/>
      <c r="W443" s="592"/>
      <c r="X443" s="592"/>
      <c r="Y443" s="592"/>
    </row>
    <row r="444" spans="1:25" ht="18" customHeight="1" x14ac:dyDescent="0.2">
      <c r="A444" s="337"/>
      <c r="B444" s="337"/>
      <c r="C444" s="354" t="s">
        <v>234</v>
      </c>
      <c r="D444" s="354"/>
      <c r="E444" s="337"/>
      <c r="H444" s="368"/>
      <c r="I444" s="353" t="s">
        <v>28</v>
      </c>
      <c r="J444" s="771"/>
      <c r="K444" s="771"/>
      <c r="P444" s="339"/>
      <c r="Q444" s="368"/>
      <c r="R444" s="368"/>
      <c r="S444" s="369" t="s">
        <v>29</v>
      </c>
      <c r="T444" s="771"/>
      <c r="U444" s="771"/>
      <c r="V444" s="771"/>
      <c r="W444" s="771"/>
    </row>
    <row r="445" spans="1:25" ht="18" customHeight="1" x14ac:dyDescent="0.2">
      <c r="A445" s="337"/>
      <c r="B445" s="337"/>
      <c r="C445" s="345"/>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row>
    <row r="446" spans="1:25" ht="18" customHeight="1" x14ac:dyDescent="0.2">
      <c r="A446" s="337"/>
      <c r="B446" s="337"/>
      <c r="C446" s="345"/>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row>
    <row r="447" spans="1:25" ht="18" customHeight="1" x14ac:dyDescent="0.2">
      <c r="A447" s="337"/>
      <c r="B447" s="337"/>
      <c r="C447" s="583" t="s">
        <v>308</v>
      </c>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row>
    <row r="448" spans="1:25" ht="18" customHeight="1" x14ac:dyDescent="0.2">
      <c r="A448" s="337"/>
      <c r="B448" s="337"/>
      <c r="C448" s="592"/>
      <c r="D448" s="592"/>
      <c r="E448" s="592"/>
      <c r="F448" s="592"/>
      <c r="G448" s="592"/>
      <c r="H448" s="592"/>
      <c r="I448" s="592"/>
      <c r="J448" s="592"/>
      <c r="K448" s="592"/>
      <c r="L448" s="592"/>
      <c r="M448" s="592"/>
      <c r="N448" s="592"/>
      <c r="O448" s="592"/>
      <c r="P448" s="592"/>
      <c r="Q448" s="592"/>
      <c r="R448" s="592"/>
      <c r="S448" s="592"/>
      <c r="T448" s="592"/>
      <c r="U448" s="592"/>
      <c r="V448" s="592"/>
      <c r="W448" s="592"/>
      <c r="X448" s="592"/>
      <c r="Y448" s="592"/>
    </row>
    <row r="449" spans="1:27" ht="18" customHeight="1" x14ac:dyDescent="0.2">
      <c r="A449" s="337"/>
      <c r="B449" s="337"/>
      <c r="C449" s="354" t="s">
        <v>234</v>
      </c>
      <c r="D449" s="354"/>
      <c r="E449" s="337"/>
      <c r="H449" s="368"/>
      <c r="I449" s="353" t="s">
        <v>28</v>
      </c>
      <c r="J449" s="588"/>
      <c r="K449" s="588"/>
      <c r="P449" s="339"/>
      <c r="Q449" s="368"/>
      <c r="R449" s="368"/>
      <c r="S449" s="369" t="s">
        <v>29</v>
      </c>
      <c r="T449" s="588"/>
      <c r="U449" s="588"/>
      <c r="V449" s="588"/>
      <c r="W449" s="588"/>
    </row>
    <row r="450" spans="1:27" ht="18" customHeight="1" x14ac:dyDescent="0.2">
      <c r="A450" s="337"/>
      <c r="B450" s="337"/>
      <c r="C450" s="345"/>
      <c r="D450" s="337"/>
      <c r="E450" s="337"/>
      <c r="F450" s="337"/>
      <c r="G450" s="337"/>
      <c r="H450" s="337"/>
      <c r="I450" s="337"/>
      <c r="J450" s="337"/>
      <c r="K450" s="337"/>
      <c r="L450" s="337"/>
      <c r="M450" s="337"/>
      <c r="N450" s="337"/>
      <c r="O450" s="337"/>
    </row>
    <row r="451" spans="1:27" ht="18" customHeight="1" x14ac:dyDescent="0.2">
      <c r="A451" s="337"/>
      <c r="B451" s="337"/>
      <c r="C451" s="345"/>
      <c r="D451" s="337"/>
      <c r="E451" s="337"/>
      <c r="F451" s="337"/>
      <c r="G451" s="337"/>
      <c r="H451" s="337"/>
      <c r="I451" s="337"/>
      <c r="J451" s="337"/>
      <c r="K451" s="337"/>
      <c r="L451" s="337"/>
      <c r="M451" s="337"/>
      <c r="N451" s="337"/>
      <c r="O451" s="337"/>
    </row>
    <row r="452" spans="1:27" ht="33.75" customHeight="1" x14ac:dyDescent="0.2">
      <c r="A452" s="337"/>
      <c r="B452" s="337"/>
      <c r="C452" s="341" t="s">
        <v>400</v>
      </c>
      <c r="D452" s="695" t="s">
        <v>405</v>
      </c>
      <c r="E452" s="696"/>
      <c r="F452" s="696"/>
      <c r="G452" s="696"/>
      <c r="H452" s="696"/>
      <c r="I452" s="696"/>
      <c r="J452" s="696"/>
      <c r="K452" s="696"/>
      <c r="L452" s="696"/>
      <c r="M452" s="696"/>
      <c r="N452" s="696"/>
      <c r="O452" s="696"/>
      <c r="P452" s="696"/>
      <c r="Q452" s="696"/>
      <c r="R452" s="696"/>
      <c r="S452" s="696"/>
      <c r="T452" s="696"/>
      <c r="U452" s="696"/>
      <c r="V452" s="696"/>
      <c r="W452" s="696"/>
      <c r="X452" s="696"/>
      <c r="Y452" s="697"/>
    </row>
    <row r="453" spans="1:27" ht="18" customHeight="1" x14ac:dyDescent="0.2">
      <c r="A453" s="337"/>
      <c r="B453" s="337"/>
      <c r="C453" s="583" t="s">
        <v>309</v>
      </c>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row>
    <row r="454" spans="1:27" s="367" customFormat="1" ht="18" customHeight="1" x14ac:dyDescent="0.2">
      <c r="A454" s="368"/>
      <c r="B454" s="368"/>
      <c r="C454" s="592"/>
      <c r="D454" s="592"/>
      <c r="E454" s="592"/>
      <c r="F454" s="592"/>
      <c r="G454" s="592"/>
      <c r="H454" s="592"/>
      <c r="I454" s="592"/>
      <c r="J454" s="592"/>
      <c r="K454" s="592"/>
      <c r="L454" s="592"/>
      <c r="M454" s="592"/>
      <c r="N454" s="592"/>
      <c r="O454" s="592"/>
      <c r="P454" s="592"/>
      <c r="Q454" s="592"/>
      <c r="R454" s="592"/>
      <c r="S454" s="592"/>
      <c r="T454" s="592"/>
      <c r="U454" s="592"/>
      <c r="V454" s="592"/>
      <c r="W454" s="592"/>
      <c r="X454" s="592"/>
      <c r="Y454" s="592"/>
    </row>
    <row r="455" spans="1:27" s="367" customFormat="1" ht="18" customHeight="1" x14ac:dyDescent="0.2">
      <c r="A455" s="368"/>
      <c r="B455" s="781" t="s">
        <v>1522</v>
      </c>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c r="AA455" s="781"/>
    </row>
    <row r="456" spans="1:27" ht="18" customHeight="1" x14ac:dyDescent="0.2">
      <c r="A456" s="337"/>
      <c r="B456" s="337"/>
      <c r="C456" s="354" t="s">
        <v>234</v>
      </c>
      <c r="D456" s="354"/>
      <c r="E456" s="337"/>
      <c r="I456" s="362" t="s">
        <v>8</v>
      </c>
      <c r="J456" s="588"/>
      <c r="K456" s="588"/>
      <c r="N456" s="346"/>
      <c r="P456" s="339"/>
      <c r="S456" s="362" t="s">
        <v>9</v>
      </c>
      <c r="T456" s="588"/>
      <c r="U456" s="588"/>
      <c r="V456" s="588"/>
      <c r="W456" s="588"/>
    </row>
    <row r="457" spans="1:27" ht="18" customHeight="1" x14ac:dyDescent="0.2">
      <c r="A457" s="337"/>
      <c r="B457" s="337"/>
      <c r="C457" s="354"/>
      <c r="D457" s="354"/>
      <c r="E457" s="337"/>
      <c r="F457" s="337"/>
      <c r="G457" s="337"/>
      <c r="H457" s="337"/>
      <c r="I457" s="362" t="s">
        <v>10</v>
      </c>
      <c r="J457" s="588"/>
      <c r="K457" s="588"/>
      <c r="P457" s="339"/>
      <c r="S457" s="362" t="s">
        <v>11</v>
      </c>
      <c r="T457" s="588"/>
      <c r="U457" s="588"/>
      <c r="V457" s="588"/>
      <c r="W457" s="588"/>
    </row>
    <row r="458" spans="1:27" s="347" customFormat="1" ht="18" customHeight="1" x14ac:dyDescent="0.2">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row>
    <row r="459" spans="1:27" s="347" customFormat="1" ht="18" customHeight="1" x14ac:dyDescent="0.2">
      <c r="A459" s="346"/>
      <c r="B459" s="346"/>
      <c r="C459" s="583" t="s">
        <v>310</v>
      </c>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row>
    <row r="460" spans="1:27" s="347" customFormat="1" ht="18" customHeight="1" x14ac:dyDescent="0.2">
      <c r="A460" s="346"/>
      <c r="B460" s="346"/>
      <c r="C460" s="583"/>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row>
    <row r="461" spans="1:27" ht="18" customHeight="1" x14ac:dyDescent="0.2">
      <c r="A461" s="337"/>
      <c r="B461" s="705" t="s">
        <v>1525</v>
      </c>
      <c r="C461" s="705"/>
      <c r="D461" s="705"/>
      <c r="E461" s="705"/>
      <c r="F461" s="705"/>
      <c r="G461" s="705"/>
      <c r="H461" s="705"/>
      <c r="I461" s="705"/>
      <c r="J461" s="705"/>
      <c r="K461" s="705"/>
      <c r="L461" s="705"/>
      <c r="M461" s="705"/>
      <c r="N461" s="705"/>
      <c r="O461" s="705"/>
      <c r="P461" s="705"/>
      <c r="Q461" s="705"/>
      <c r="R461" s="705"/>
      <c r="S461" s="705"/>
      <c r="T461" s="705"/>
      <c r="U461" s="705"/>
      <c r="V461" s="705"/>
      <c r="W461" s="705"/>
      <c r="X461" s="705"/>
      <c r="Y461" s="705"/>
      <c r="Z461" s="705"/>
      <c r="AA461" s="705"/>
    </row>
    <row r="462" spans="1:27" ht="39.75" customHeight="1" x14ac:dyDescent="0.2">
      <c r="A462" s="337"/>
      <c r="B462" s="337"/>
      <c r="C462" s="640" t="s">
        <v>85</v>
      </c>
      <c r="D462" s="640"/>
      <c r="E462" s="640"/>
      <c r="F462" s="772" t="s">
        <v>86</v>
      </c>
      <c r="G462" s="773"/>
      <c r="H462" s="773"/>
      <c r="I462" s="773"/>
      <c r="J462" s="773"/>
      <c r="K462" s="773"/>
      <c r="L462" s="773"/>
      <c r="M462" s="773"/>
      <c r="N462" s="773"/>
      <c r="O462" s="773"/>
      <c r="P462" s="773"/>
      <c r="Q462" s="773"/>
      <c r="R462" s="773"/>
      <c r="S462" s="774"/>
      <c r="T462" s="772" t="s">
        <v>12</v>
      </c>
      <c r="U462" s="773"/>
      <c r="V462" s="773"/>
      <c r="W462" s="773"/>
      <c r="X462" s="773"/>
      <c r="Y462" s="774"/>
      <c r="Z462" s="419"/>
      <c r="AA462" s="419"/>
    </row>
    <row r="463" spans="1:27" ht="23.1" customHeight="1" x14ac:dyDescent="0.2">
      <c r="A463" s="337"/>
      <c r="B463" s="337"/>
      <c r="C463" s="775" t="s">
        <v>37</v>
      </c>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7"/>
      <c r="Z463" s="419"/>
      <c r="AA463" s="419"/>
    </row>
    <row r="464" spans="1:27" ht="26.25" customHeight="1" x14ac:dyDescent="0.2">
      <c r="A464" s="337"/>
      <c r="B464" s="337"/>
      <c r="C464" s="770" t="s">
        <v>113</v>
      </c>
      <c r="D464" s="770"/>
      <c r="E464" s="770"/>
      <c r="F464" s="778" t="s">
        <v>114</v>
      </c>
      <c r="G464" s="779"/>
      <c r="H464" s="779"/>
      <c r="I464" s="779"/>
      <c r="J464" s="779"/>
      <c r="K464" s="779"/>
      <c r="L464" s="779"/>
      <c r="M464" s="779"/>
      <c r="N464" s="779"/>
      <c r="O464" s="779"/>
      <c r="P464" s="779"/>
      <c r="Q464" s="779"/>
      <c r="R464" s="779"/>
      <c r="S464" s="780"/>
      <c r="T464" s="770">
        <v>35</v>
      </c>
      <c r="U464" s="770"/>
      <c r="V464" s="770"/>
      <c r="W464" s="770"/>
      <c r="X464" s="770" t="s">
        <v>5</v>
      </c>
      <c r="Y464" s="770"/>
      <c r="Z464" s="419"/>
      <c r="AA464" s="419"/>
    </row>
    <row r="465" spans="1:28" ht="26.25" customHeight="1" x14ac:dyDescent="0.2">
      <c r="A465" s="337"/>
      <c r="B465" s="337"/>
      <c r="C465" s="638"/>
      <c r="D465" s="638"/>
      <c r="E465" s="638"/>
      <c r="F465" s="665"/>
      <c r="G465" s="666"/>
      <c r="H465" s="666"/>
      <c r="I465" s="666"/>
      <c r="J465" s="666"/>
      <c r="K465" s="666"/>
      <c r="L465" s="666"/>
      <c r="M465" s="666"/>
      <c r="N465" s="666"/>
      <c r="O465" s="666"/>
      <c r="P465" s="666"/>
      <c r="Q465" s="666"/>
      <c r="R465" s="666"/>
      <c r="S465" s="667"/>
      <c r="T465" s="590"/>
      <c r="U465" s="590"/>
      <c r="V465" s="590"/>
      <c r="W465" s="590"/>
      <c r="X465" s="668" t="s">
        <v>5</v>
      </c>
      <c r="Y465" s="668"/>
      <c r="Z465" s="420"/>
      <c r="AA465" s="420"/>
    </row>
    <row r="466" spans="1:28" ht="26.25" customHeight="1" x14ac:dyDescent="0.2">
      <c r="A466" s="337"/>
      <c r="B466" s="337"/>
      <c r="C466" s="638"/>
      <c r="D466" s="638"/>
      <c r="E466" s="638"/>
      <c r="F466" s="665"/>
      <c r="G466" s="666"/>
      <c r="H466" s="666"/>
      <c r="I466" s="666"/>
      <c r="J466" s="666"/>
      <c r="K466" s="666"/>
      <c r="L466" s="666"/>
      <c r="M466" s="666"/>
      <c r="N466" s="666"/>
      <c r="O466" s="666"/>
      <c r="P466" s="666"/>
      <c r="Q466" s="666"/>
      <c r="R466" s="666"/>
      <c r="S466" s="667"/>
      <c r="T466" s="590"/>
      <c r="U466" s="590"/>
      <c r="V466" s="590"/>
      <c r="W466" s="590"/>
      <c r="X466" s="668" t="s">
        <v>5</v>
      </c>
      <c r="Y466" s="668"/>
    </row>
    <row r="467" spans="1:28" ht="26.25" customHeight="1" x14ac:dyDescent="0.2">
      <c r="A467" s="337"/>
      <c r="B467" s="337"/>
      <c r="C467" s="638"/>
      <c r="D467" s="638"/>
      <c r="E467" s="638"/>
      <c r="F467" s="665"/>
      <c r="G467" s="666"/>
      <c r="H467" s="666"/>
      <c r="I467" s="666"/>
      <c r="J467" s="666"/>
      <c r="K467" s="666"/>
      <c r="L467" s="666"/>
      <c r="M467" s="666"/>
      <c r="N467" s="666"/>
      <c r="O467" s="666"/>
      <c r="P467" s="666"/>
      <c r="Q467" s="666"/>
      <c r="R467" s="666"/>
      <c r="S467" s="667"/>
      <c r="T467" s="590"/>
      <c r="U467" s="590"/>
      <c r="V467" s="590"/>
      <c r="W467" s="590"/>
      <c r="X467" s="668" t="s">
        <v>5</v>
      </c>
      <c r="Y467" s="668"/>
    </row>
    <row r="468" spans="1:28" ht="26.25" customHeight="1" x14ac:dyDescent="0.2">
      <c r="A468" s="337"/>
      <c r="B468" s="337"/>
      <c r="C468" s="638"/>
      <c r="D468" s="638"/>
      <c r="E468" s="638"/>
      <c r="F468" s="665"/>
      <c r="G468" s="666"/>
      <c r="H468" s="666"/>
      <c r="I468" s="666"/>
      <c r="J468" s="666"/>
      <c r="K468" s="666"/>
      <c r="L468" s="666"/>
      <c r="M468" s="666"/>
      <c r="N468" s="666"/>
      <c r="O468" s="666"/>
      <c r="P468" s="666"/>
      <c r="Q468" s="666"/>
      <c r="R468" s="666"/>
      <c r="S468" s="667"/>
      <c r="T468" s="590"/>
      <c r="U468" s="590"/>
      <c r="V468" s="590"/>
      <c r="W468" s="590"/>
      <c r="X468" s="668" t="s">
        <v>5</v>
      </c>
      <c r="Y468" s="668"/>
    </row>
    <row r="469" spans="1:28" ht="26.25" customHeight="1" x14ac:dyDescent="0.2">
      <c r="A469" s="337"/>
      <c r="B469" s="337"/>
      <c r="C469" s="638"/>
      <c r="D469" s="638"/>
      <c r="E469" s="638"/>
      <c r="F469" s="665"/>
      <c r="G469" s="666"/>
      <c r="H469" s="666"/>
      <c r="I469" s="666"/>
      <c r="J469" s="666"/>
      <c r="K469" s="666"/>
      <c r="L469" s="666"/>
      <c r="M469" s="666"/>
      <c r="N469" s="666"/>
      <c r="O469" s="666"/>
      <c r="P469" s="666"/>
      <c r="Q469" s="666"/>
      <c r="R469" s="666"/>
      <c r="S469" s="667"/>
      <c r="T469" s="590"/>
      <c r="U469" s="590"/>
      <c r="V469" s="590"/>
      <c r="W469" s="590"/>
      <c r="X469" s="668" t="s">
        <v>5</v>
      </c>
      <c r="Y469" s="668"/>
    </row>
    <row r="470" spans="1:28" ht="26.25" customHeight="1" x14ac:dyDescent="0.2">
      <c r="A470" s="337"/>
      <c r="B470" s="337"/>
      <c r="C470" s="638"/>
      <c r="D470" s="638"/>
      <c r="E470" s="638"/>
      <c r="F470" s="665"/>
      <c r="G470" s="666"/>
      <c r="H470" s="666"/>
      <c r="I470" s="666"/>
      <c r="J470" s="666"/>
      <c r="K470" s="666"/>
      <c r="L470" s="666"/>
      <c r="M470" s="666"/>
      <c r="N470" s="666"/>
      <c r="O470" s="666"/>
      <c r="P470" s="666"/>
      <c r="Q470" s="666"/>
      <c r="R470" s="666"/>
      <c r="S470" s="667"/>
      <c r="T470" s="590"/>
      <c r="U470" s="590"/>
      <c r="V470" s="590"/>
      <c r="W470" s="590"/>
      <c r="X470" s="668" t="s">
        <v>5</v>
      </c>
      <c r="Y470" s="668"/>
    </row>
    <row r="471" spans="1:28" ht="26.25" customHeight="1" x14ac:dyDescent="0.2">
      <c r="A471" s="337"/>
      <c r="B471" s="337"/>
      <c r="C471" s="638"/>
      <c r="D471" s="638"/>
      <c r="E471" s="638"/>
      <c r="F471" s="665"/>
      <c r="G471" s="666"/>
      <c r="H471" s="666"/>
      <c r="I471" s="666"/>
      <c r="J471" s="666"/>
      <c r="K471" s="666"/>
      <c r="L471" s="666"/>
      <c r="M471" s="666"/>
      <c r="N471" s="666"/>
      <c r="O471" s="666"/>
      <c r="P471" s="666"/>
      <c r="Q471" s="666"/>
      <c r="R471" s="666"/>
      <c r="S471" s="667"/>
      <c r="T471" s="590"/>
      <c r="U471" s="590"/>
      <c r="V471" s="590"/>
      <c r="W471" s="590"/>
      <c r="X471" s="668" t="s">
        <v>5</v>
      </c>
      <c r="Y471" s="668"/>
    </row>
    <row r="472" spans="1:28" ht="26.25" customHeight="1" x14ac:dyDescent="0.2">
      <c r="A472" s="337"/>
      <c r="B472" s="337"/>
      <c r="C472" s="638"/>
      <c r="D472" s="638"/>
      <c r="E472" s="638"/>
      <c r="F472" s="665"/>
      <c r="G472" s="666"/>
      <c r="H472" s="666"/>
      <c r="I472" s="666"/>
      <c r="J472" s="666"/>
      <c r="K472" s="666"/>
      <c r="L472" s="666"/>
      <c r="M472" s="666"/>
      <c r="N472" s="666"/>
      <c r="O472" s="666"/>
      <c r="P472" s="666"/>
      <c r="Q472" s="666"/>
      <c r="R472" s="666"/>
      <c r="S472" s="667"/>
      <c r="T472" s="590"/>
      <c r="U472" s="590"/>
      <c r="V472" s="590"/>
      <c r="W472" s="590"/>
      <c r="X472" s="668" t="s">
        <v>5</v>
      </c>
      <c r="Y472" s="668"/>
    </row>
    <row r="473" spans="1:28" ht="26.25" customHeight="1" x14ac:dyDescent="0.2">
      <c r="A473" s="337"/>
      <c r="B473" s="337"/>
      <c r="C473" s="638"/>
      <c r="D473" s="638"/>
      <c r="E473" s="638"/>
      <c r="F473" s="665"/>
      <c r="G473" s="666"/>
      <c r="H473" s="666"/>
      <c r="I473" s="666"/>
      <c r="J473" s="666"/>
      <c r="K473" s="666"/>
      <c r="L473" s="666"/>
      <c r="M473" s="666"/>
      <c r="N473" s="666"/>
      <c r="O473" s="666"/>
      <c r="P473" s="666"/>
      <c r="Q473" s="666"/>
      <c r="R473" s="666"/>
      <c r="S473" s="667"/>
      <c r="T473" s="590"/>
      <c r="U473" s="590"/>
      <c r="V473" s="590"/>
      <c r="W473" s="590"/>
      <c r="X473" s="668" t="s">
        <v>5</v>
      </c>
      <c r="Y473" s="668"/>
    </row>
    <row r="474" spans="1:28" ht="26.25" customHeight="1" x14ac:dyDescent="0.2">
      <c r="A474" s="337"/>
      <c r="B474" s="337"/>
      <c r="C474" s="638"/>
      <c r="D474" s="638"/>
      <c r="E474" s="638"/>
      <c r="F474" s="665"/>
      <c r="G474" s="666"/>
      <c r="H474" s="666"/>
      <c r="I474" s="666"/>
      <c r="J474" s="666"/>
      <c r="K474" s="666"/>
      <c r="L474" s="666"/>
      <c r="M474" s="666"/>
      <c r="N474" s="666"/>
      <c r="O474" s="666"/>
      <c r="P474" s="666"/>
      <c r="Q474" s="666"/>
      <c r="R474" s="666"/>
      <c r="S474" s="667"/>
      <c r="T474" s="590"/>
      <c r="U474" s="590"/>
      <c r="V474" s="590"/>
      <c r="W474" s="590"/>
      <c r="X474" s="668" t="s">
        <v>5</v>
      </c>
      <c r="Y474" s="668"/>
    </row>
    <row r="475" spans="1:28" ht="26.25" customHeight="1" x14ac:dyDescent="0.2">
      <c r="A475" s="337"/>
      <c r="B475" s="337"/>
      <c r="C475" s="638"/>
      <c r="D475" s="638"/>
      <c r="E475" s="638"/>
      <c r="F475" s="665"/>
      <c r="G475" s="666"/>
      <c r="H475" s="666"/>
      <c r="I475" s="666"/>
      <c r="J475" s="666"/>
      <c r="K475" s="666"/>
      <c r="L475" s="666"/>
      <c r="M475" s="666"/>
      <c r="N475" s="666"/>
      <c r="O475" s="666"/>
      <c r="P475" s="666"/>
      <c r="Q475" s="666"/>
      <c r="R475" s="666"/>
      <c r="S475" s="667"/>
      <c r="T475" s="590"/>
      <c r="U475" s="590"/>
      <c r="V475" s="590"/>
      <c r="W475" s="590"/>
      <c r="X475" s="668" t="s">
        <v>5</v>
      </c>
      <c r="Y475" s="668"/>
    </row>
    <row r="476" spans="1:28" ht="26.25" customHeight="1" x14ac:dyDescent="0.2">
      <c r="A476" s="337"/>
      <c r="B476" s="337"/>
      <c r="C476" s="638"/>
      <c r="D476" s="638"/>
      <c r="E476" s="638"/>
      <c r="F476" s="665"/>
      <c r="G476" s="666"/>
      <c r="H476" s="666"/>
      <c r="I476" s="666"/>
      <c r="J476" s="666"/>
      <c r="K476" s="666"/>
      <c r="L476" s="666"/>
      <c r="M476" s="666"/>
      <c r="N476" s="666"/>
      <c r="O476" s="666"/>
      <c r="P476" s="666"/>
      <c r="Q476" s="666"/>
      <c r="R476" s="666"/>
      <c r="S476" s="667"/>
      <c r="T476" s="590"/>
      <c r="U476" s="590"/>
      <c r="V476" s="590"/>
      <c r="W476" s="590"/>
      <c r="X476" s="668" t="s">
        <v>5</v>
      </c>
      <c r="Y476" s="668"/>
    </row>
    <row r="477" spans="1:28" ht="26.25" customHeight="1" x14ac:dyDescent="0.2">
      <c r="A477" s="337"/>
      <c r="B477" s="337"/>
      <c r="C477" s="638"/>
      <c r="D477" s="638"/>
      <c r="E477" s="638"/>
      <c r="F477" s="665"/>
      <c r="G477" s="666"/>
      <c r="H477" s="666"/>
      <c r="I477" s="666"/>
      <c r="J477" s="666"/>
      <c r="K477" s="666"/>
      <c r="L477" s="666"/>
      <c r="M477" s="666"/>
      <c r="N477" s="666"/>
      <c r="O477" s="666"/>
      <c r="P477" s="666"/>
      <c r="Q477" s="666"/>
      <c r="R477" s="666"/>
      <c r="S477" s="667"/>
      <c r="T477" s="590"/>
      <c r="U477" s="590"/>
      <c r="V477" s="590"/>
      <c r="W477" s="590"/>
      <c r="X477" s="668" t="s">
        <v>5</v>
      </c>
      <c r="Y477" s="668"/>
    </row>
    <row r="478" spans="1:28" ht="26.25" customHeight="1" x14ac:dyDescent="0.2">
      <c r="A478" s="337"/>
      <c r="B478" s="337"/>
      <c r="C478" s="638"/>
      <c r="D478" s="638"/>
      <c r="E478" s="638"/>
      <c r="F478" s="665"/>
      <c r="G478" s="666"/>
      <c r="H478" s="666"/>
      <c r="I478" s="666"/>
      <c r="J478" s="666"/>
      <c r="K478" s="666"/>
      <c r="L478" s="666"/>
      <c r="M478" s="666"/>
      <c r="N478" s="666"/>
      <c r="O478" s="666"/>
      <c r="P478" s="666"/>
      <c r="Q478" s="666"/>
      <c r="R478" s="666"/>
      <c r="S478" s="667"/>
      <c r="T478" s="590"/>
      <c r="U478" s="590"/>
      <c r="V478" s="590"/>
      <c r="W478" s="590"/>
      <c r="X478" s="668" t="s">
        <v>5</v>
      </c>
      <c r="Y478" s="668"/>
    </row>
    <row r="479" spans="1:28" ht="26.25" customHeight="1" x14ac:dyDescent="0.2">
      <c r="C479" s="638"/>
      <c r="D479" s="638"/>
      <c r="E479" s="638"/>
      <c r="F479" s="665"/>
      <c r="G479" s="666"/>
      <c r="H479" s="666"/>
      <c r="I479" s="666"/>
      <c r="J479" s="666"/>
      <c r="K479" s="666"/>
      <c r="L479" s="666"/>
      <c r="M479" s="666"/>
      <c r="N479" s="666"/>
      <c r="O479" s="666"/>
      <c r="P479" s="666"/>
      <c r="Q479" s="666"/>
      <c r="R479" s="666"/>
      <c r="S479" s="667"/>
      <c r="T479" s="590"/>
      <c r="U479" s="590"/>
      <c r="V479" s="590"/>
      <c r="W479" s="590"/>
      <c r="X479" s="668" t="s">
        <v>5</v>
      </c>
      <c r="Y479" s="668"/>
      <c r="Z479" s="421"/>
      <c r="AA479" s="421"/>
      <c r="AB479" s="421"/>
    </row>
    <row r="480" spans="1:28" ht="18" customHeight="1" thickBot="1" x14ac:dyDescent="0.25">
      <c r="A480" s="337"/>
      <c r="B480" s="337"/>
      <c r="C480" s="625" t="s">
        <v>258</v>
      </c>
      <c r="D480" s="626"/>
      <c r="E480" s="626"/>
      <c r="F480" s="626"/>
      <c r="G480" s="626"/>
      <c r="H480" s="626"/>
      <c r="I480" s="626"/>
      <c r="J480" s="626"/>
      <c r="K480" s="626"/>
      <c r="L480" s="626"/>
      <c r="M480" s="626"/>
      <c r="N480" s="626"/>
      <c r="O480" s="626"/>
      <c r="P480" s="626"/>
      <c r="Q480" s="626"/>
      <c r="R480" s="626"/>
      <c r="S480" s="627"/>
      <c r="T480" s="662" t="str">
        <f>IF(COUNTA($T$465:$W$479)=0,"",SUM($T$465:$W$479))</f>
        <v/>
      </c>
      <c r="U480" s="662"/>
      <c r="V480" s="662"/>
      <c r="W480" s="662"/>
      <c r="X480" s="663" t="s">
        <v>5</v>
      </c>
      <c r="Y480" s="663"/>
      <c r="Z480" s="422"/>
      <c r="AA480" s="422"/>
      <c r="AB480" s="423"/>
    </row>
    <row r="481" spans="1:27" ht="18" customHeight="1" thickBot="1" x14ac:dyDescent="0.25">
      <c r="A481" s="337"/>
      <c r="B481" s="337"/>
      <c r="C481" s="337"/>
      <c r="D481" s="337"/>
      <c r="E481" s="337"/>
      <c r="F481" s="337"/>
      <c r="I481" s="424"/>
      <c r="J481" s="424"/>
      <c r="K481" s="337"/>
      <c r="L481" s="337"/>
      <c r="M481" s="369"/>
      <c r="N481" s="337"/>
      <c r="O481" s="337"/>
      <c r="P481" s="337"/>
      <c r="Q481" s="337"/>
      <c r="R481" s="337"/>
      <c r="S481" s="337"/>
      <c r="T481" s="528">
        <f t="array" ref="T481">SUM(IF(COUNTIF(C465:E479,C465:E479)&lt;&gt;0,1/COUNTIF(C465:E479,C465:E479),""))</f>
        <v>0</v>
      </c>
      <c r="U481" s="396"/>
      <c r="V481" s="396"/>
      <c r="W481" s="397" t="str">
        <f>IF($T$480="","",IF($T$480&lt;&gt;100,"La somme des proportions du site occupée par les différents types d'habitats EUNIS niveau 3 doit être égale à 100%. ",""))</f>
        <v/>
      </c>
      <c r="X481" s="425"/>
      <c r="Y481" s="425"/>
      <c r="Z481" s="425"/>
      <c r="AA481" s="425"/>
    </row>
    <row r="482" spans="1:27" ht="18" customHeight="1" thickBot="1" x14ac:dyDescent="0.25">
      <c r="A482" s="337"/>
      <c r="B482" s="337"/>
      <c r="C482" s="423"/>
      <c r="D482" s="337"/>
      <c r="E482" s="337"/>
      <c r="F482" s="337"/>
      <c r="G482" s="337"/>
      <c r="H482" s="337"/>
      <c r="I482" s="337"/>
      <c r="J482" s="337"/>
      <c r="K482" s="337"/>
      <c r="L482" s="337"/>
      <c r="M482" s="337"/>
      <c r="N482" s="337"/>
      <c r="O482" s="337"/>
      <c r="P482" s="337"/>
      <c r="Q482" s="337"/>
      <c r="R482" s="337"/>
      <c r="S482" s="337"/>
      <c r="T482" s="426" t="str">
        <f>CONCATENATE(IF(SUM(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IF(AND(LEN(C478)&lt;&gt;4,C478&lt;&gt;""),1,0),IF(AND(LEN(C479)&lt;&gt;4,C479&lt;&gt;""),1,0))&gt;0,"Au moins un code EUNIS niveau 3 est mal renseigné (voir les instructions dans le guide page 106).",""),IF(SUM(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IF(AND(LEFT(RIGHT(C478,2),1)&lt;&gt;".",LEFT(RIGHT(C478,2),1)&lt;&gt;""),1,0),IF(AND(LEFT(RIGHT(C479,2),1)&lt;&gt;".",LEFT(RIGHT(C479,2),1)&lt;&gt;""),1,0))&gt;0,"Au moins un code EUNIS niveau 3 est mal renseigné (voir instructions du guide page 106).",""),IF(SUM(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IF(OR(LEFT(C478,2)="C1",LEFT(C478,2)="C2",LEFT(C478,2)="J5",LEFT(C478,2)="J1",LEFT(C478,2)="J2",LEFT(C478,2)="J4"),1,0),IF(OR(LEFT(C479,2)="C1",LEFT(C479,2)="C2",LEFT(C479,2)="J5",LEFT(C479,2)="J1",LEFT(C479,2)="J2",LEFT(C479,2)="J4"),1,0))&gt;0,"C1, C2, J1, J2, J4 et J5 ne peuvent pas figurer ici (non humide). Avec impact envisagé ou après impact, réduisez l'emprise sur site impacté (question 1) pour les exclure et ne pas les noter ici.",""),IF(COUNTA(C465:E479)-T481&gt;0,"Un code EUNIS apparaît en doublon et ce n'est pas logique.",""),IF(COUNTA(C465:E479)&gt;COUNTIF(T465:W479,"&gt;0"),"La part de chaque habitat indiqué dans la colonne de gauche, doit être renseignée dans la colonne de droite.",""),IF(COUNTIF(T465:W479,"&gt;0")&gt;COUNTA(C465:E479),"Le code de chaque habitat doit être indiqué dans la colonne de gauche.",""))</f>
        <v/>
      </c>
      <c r="U482" s="427"/>
      <c r="V482" s="427"/>
      <c r="W482" s="397" t="str">
        <f>IF(COUNTA($T$465:$W$479)=0,"",CONCATENATE(IF(AND($J$456="X",MIN($T$465:$T$479)*$T$107*100&lt;15625),"La part d'un des habitats est inférieure à la surface minimale cartographiable choisie (15 625 m²).",IF(AND($T$456="X",MIN($T$465:$T$479)*$T$107*100&lt;2500),"La part d'un des habitats est inférieure à la surface minimale cartographiable choisie (2500 m²).",IF(AND($J$457="X",MIN($T$465:$T$479)*$T$107*100&lt;625),"La part d'un des habitats est inférieure à la surface minimale cartographiable choisie (625 m²).",IF(AND($T$457="X",MIN($T$465:$T$479)*$T$107*100&lt;156),"La part d'un des habitats est inférieure à la surface minimale cartographiable choisie (156 m²).","")))),CONCATENATE(IF(SUMIF($C$465:$E$479,"A*",$T$465:$W$479)*$T$107*100&gt;$T$361*$T$356*100,"La superficie de l’habitat A dans le paysage ne peut pas être inférieure à celle de l’habitat A dans le site. ",""),IF(SUMIF($C$465:$E$479,"B*",$T$465:$W$479)*$T$107*100&gt;$T$362*$T$356*100,"La superficie de l’habitat B dans le paysage ne peut pas être inférieure à celle de l’habitat B dans le site. ",""),IF(SUMIF($C$465:$E$479,"C*",$T$465:$W$479)*$T$107*100&gt;$T$363*$T$356*100,"La superficie de l’habitat C dans le paysage ne peut pas être inférieure à celle de l’habitat C dans le site. ",""),IF(SUMIF($C$465:$E$479,"D*",$T$465:$W$479)*$T$107*100&gt;$T$364*$T$356*100,"La superficie de l’habitat D dans le paysage ne peut pas être inférieure à celle de l’habitat D dans le site. ",""),IF(SUMIF($C$465:$E$479,"E*",$T$465:$W$479)*$T$107*100&gt;$T$365*$T$356*100,"La superficie de l’habitat E dans le paysage ne peut pas être inférieure à celle de l’habitat E dans le site. ",""),IF(SUMIF($C$465:$E$479,"F*",$T$465:$W$479)*$T$107*100&gt;$T$366*$T$356*100,"La superficie de l’habitat F dans le paysage ne peut pas être inférieure à celle de l’habitat F dans le site. ",""),IF(SUMIF($C$465:$E$479,"G*",$T$465:$W$479)*$T$107*100&gt;$T$367*$T$356*100,"La superficie de l’habitat G dans le paysage ne peut pas être inférieure à celle de l’habitat G dans le site. ",""),IF(SUMIF($C$465:$E$479,"H*",$T$465:$W$479)*$T$107*100&gt;$T$368*$T$356*100,"La superficie de l’habitat H dans le paysage ne peut pas être inférieure à celle de l’habitat H dans le site. ",""),IF(SUMIF($C$465:$E$479,"I*",$T$465:$W$479)*$T$107*100&gt;$T$369*$T$356*100,"La superficie de l’habitat I dans le paysage ne peut pas être inférieure à celle de l’habitat I dans le site. ",""),IF(SUMIF($C$465:$E$479,"J*",$T$465:$W$479)*$T$107*100&gt;$T$370*$T$356*100,"La superficie de l’habitat J dans le paysage ne peut pas être inférieure à celle de l’habitat J dans le site.",""))))</f>
        <v/>
      </c>
      <c r="X482" s="428"/>
      <c r="Y482" s="428"/>
      <c r="Z482" s="428"/>
      <c r="AA482" s="428"/>
    </row>
    <row r="483" spans="1:27" ht="18" customHeight="1" x14ac:dyDescent="0.2">
      <c r="A483" s="337"/>
      <c r="B483" s="337"/>
      <c r="C483" s="345"/>
      <c r="D483" s="337"/>
      <c r="E483" s="337"/>
      <c r="F483" s="337"/>
      <c r="G483" s="337"/>
      <c r="H483" s="337"/>
      <c r="I483" s="337"/>
      <c r="J483" s="337"/>
      <c r="K483" s="337"/>
      <c r="L483" s="337"/>
      <c r="M483" s="337"/>
      <c r="N483" s="337"/>
      <c r="O483" s="337"/>
      <c r="P483" s="337"/>
      <c r="Q483" s="337"/>
      <c r="R483" s="337"/>
      <c r="S483" s="337"/>
      <c r="T483" s="429"/>
      <c r="U483" s="429"/>
      <c r="V483" s="429"/>
      <c r="W483" s="398"/>
      <c r="X483" s="428"/>
      <c r="Y483" s="428"/>
      <c r="Z483" s="428"/>
      <c r="AA483" s="428"/>
    </row>
    <row r="484" spans="1:27" ht="23.1" customHeight="1" x14ac:dyDescent="0.2">
      <c r="A484" s="337"/>
      <c r="B484" s="337"/>
      <c r="C484" s="583" t="s">
        <v>311</v>
      </c>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row>
    <row r="485" spans="1:27" ht="23.1" customHeight="1" x14ac:dyDescent="0.2">
      <c r="A485" s="337"/>
      <c r="B485" s="337"/>
      <c r="C485" s="592"/>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row>
    <row r="486" spans="1:27" ht="18" customHeight="1" x14ac:dyDescent="0.2">
      <c r="A486" s="337"/>
      <c r="B486" s="337"/>
      <c r="C486" s="669"/>
      <c r="D486" s="670"/>
      <c r="E486" s="670"/>
      <c r="F486" s="670"/>
      <c r="G486" s="670"/>
      <c r="H486" s="670"/>
      <c r="I486" s="670"/>
      <c r="J486" s="670"/>
      <c r="K486" s="670"/>
      <c r="L486" s="670"/>
      <c r="M486" s="670"/>
      <c r="N486" s="670"/>
      <c r="O486" s="670"/>
      <c r="P486" s="670"/>
      <c r="Q486" s="670"/>
      <c r="R486" s="670"/>
      <c r="S486" s="670"/>
      <c r="T486" s="670"/>
      <c r="U486" s="670"/>
      <c r="V486" s="670"/>
      <c r="W486" s="670"/>
      <c r="X486" s="670"/>
      <c r="Y486" s="671"/>
    </row>
    <row r="487" spans="1:27" ht="18" customHeight="1" x14ac:dyDescent="0.2">
      <c r="A487" s="337"/>
      <c r="B487" s="337"/>
      <c r="C487" s="672"/>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4"/>
    </row>
    <row r="488" spans="1:27" s="347" customFormat="1" ht="18" customHeight="1" x14ac:dyDescent="0.2">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row>
    <row r="489" spans="1:27" s="347" customFormat="1" ht="18" customHeight="1" x14ac:dyDescent="0.2">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row>
    <row r="490" spans="1:27" ht="18" customHeight="1" x14ac:dyDescent="0.2">
      <c r="A490" s="337"/>
      <c r="B490" s="337"/>
      <c r="C490" s="581" t="s">
        <v>312</v>
      </c>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row>
    <row r="491" spans="1:27" ht="18" customHeight="1" thickBot="1" x14ac:dyDescent="0.25">
      <c r="A491" s="337"/>
      <c r="B491" s="337"/>
      <c r="C491" s="337"/>
      <c r="D491" s="337"/>
      <c r="E491" s="337"/>
      <c r="F491" s="337"/>
      <c r="G491" s="337"/>
      <c r="H491" s="337"/>
      <c r="I491" s="337"/>
      <c r="J491" s="337"/>
      <c r="K491" s="337"/>
      <c r="L491" s="337"/>
      <c r="M491" s="337"/>
      <c r="N491" s="337"/>
      <c r="O491" s="337"/>
      <c r="S491" s="353" t="s">
        <v>259</v>
      </c>
      <c r="T491" s="769"/>
      <c r="U491" s="769"/>
      <c r="V491" s="769"/>
      <c r="W491" s="769"/>
      <c r="X491" s="591" t="s">
        <v>118</v>
      </c>
      <c r="Y491" s="591"/>
    </row>
    <row r="492" spans="1:27" ht="18" customHeight="1" thickBot="1" x14ac:dyDescent="0.25">
      <c r="A492" s="337"/>
      <c r="B492" s="337"/>
      <c r="C492" s="345"/>
      <c r="D492" s="337"/>
      <c r="E492" s="337"/>
      <c r="F492" s="337"/>
      <c r="G492" s="337"/>
      <c r="H492" s="337"/>
      <c r="I492" s="337"/>
      <c r="J492" s="337"/>
      <c r="K492" s="337"/>
      <c r="L492" s="337"/>
      <c r="M492" s="337"/>
      <c r="N492" s="337"/>
      <c r="O492" s="337"/>
      <c r="T492" s="395"/>
      <c r="U492" s="396"/>
      <c r="V492" s="396"/>
      <c r="W492" s="397" t="str">
        <f>IF($T$491="","",IF($T$491&gt;100,"La proportion du site occupée par un couvert végétal permanent ne peut pas être supérieure à 100%",""))</f>
        <v/>
      </c>
    </row>
    <row r="493" spans="1:27" ht="18" customHeight="1" x14ac:dyDescent="0.2">
      <c r="A493" s="337"/>
      <c r="B493" s="337"/>
      <c r="C493" s="345"/>
      <c r="D493" s="337"/>
      <c r="E493" s="337"/>
      <c r="F493" s="337"/>
      <c r="G493" s="337"/>
      <c r="H493" s="337"/>
      <c r="I493" s="337"/>
      <c r="J493" s="337"/>
      <c r="K493" s="337"/>
      <c r="L493" s="337"/>
      <c r="M493" s="337"/>
      <c r="N493" s="337"/>
      <c r="O493" s="337"/>
      <c r="T493" s="347"/>
      <c r="U493" s="347"/>
      <c r="V493" s="347"/>
      <c r="W493" s="398"/>
    </row>
    <row r="494" spans="1:27" ht="33.75" customHeight="1" x14ac:dyDescent="0.2">
      <c r="A494" s="337"/>
      <c r="B494" s="337"/>
      <c r="C494" s="341" t="s">
        <v>399</v>
      </c>
      <c r="D494" s="695" t="s">
        <v>406</v>
      </c>
      <c r="E494" s="696"/>
      <c r="F494" s="696"/>
      <c r="G494" s="696"/>
      <c r="H494" s="696"/>
      <c r="I494" s="696"/>
      <c r="J494" s="696"/>
      <c r="K494" s="696"/>
      <c r="L494" s="696"/>
      <c r="M494" s="696"/>
      <c r="N494" s="696"/>
      <c r="O494" s="696"/>
      <c r="P494" s="696"/>
      <c r="Q494" s="696"/>
      <c r="R494" s="696"/>
      <c r="S494" s="696"/>
      <c r="T494" s="696"/>
      <c r="U494" s="696"/>
      <c r="V494" s="696"/>
      <c r="W494" s="696"/>
      <c r="X494" s="696"/>
      <c r="Y494" s="697"/>
    </row>
    <row r="495" spans="1:27" s="432" customFormat="1" ht="18" customHeight="1" thickBot="1" x14ac:dyDescent="0.25">
      <c r="A495" s="431"/>
      <c r="B495" s="431"/>
      <c r="C495" s="664" t="s">
        <v>115</v>
      </c>
      <c r="D495" s="664"/>
      <c r="E495" s="664"/>
      <c r="F495" s="664"/>
      <c r="G495" s="664"/>
      <c r="H495" s="664"/>
      <c r="I495" s="664"/>
      <c r="J495" s="664"/>
      <c r="K495" s="664"/>
      <c r="L495" s="664"/>
      <c r="M495" s="664"/>
      <c r="N495" s="664"/>
      <c r="O495" s="664"/>
      <c r="P495" s="664"/>
      <c r="Q495" s="664"/>
      <c r="R495" s="664"/>
      <c r="S495" s="664"/>
      <c r="T495" s="664"/>
      <c r="U495" s="664"/>
      <c r="V495" s="664"/>
      <c r="W495" s="664"/>
      <c r="X495" s="664"/>
      <c r="Y495" s="664"/>
    </row>
    <row r="496" spans="1:27" ht="18" customHeight="1" thickBot="1" x14ac:dyDescent="0.25">
      <c r="A496" s="337"/>
      <c r="B496" s="337"/>
      <c r="C496" s="433"/>
      <c r="D496" s="433"/>
      <c r="E496" s="433"/>
      <c r="F496" s="433"/>
      <c r="G496" s="433"/>
      <c r="H496" s="433"/>
      <c r="I496" s="433"/>
      <c r="J496" s="433"/>
      <c r="K496" s="433"/>
      <c r="L496" s="433"/>
      <c r="M496" s="433"/>
      <c r="N496" s="433"/>
      <c r="O496" s="433"/>
      <c r="P496" s="433"/>
      <c r="Q496" s="433"/>
      <c r="R496" s="433"/>
      <c r="S496" s="433"/>
      <c r="T496" s="434"/>
      <c r="U496" s="435"/>
      <c r="V496" s="435"/>
      <c r="W496" s="377" t="str">
        <f>IF(AND($J$121="X",COUNTA($T$503,$T$504,$J$508,$T$508)&lt;3),"Le site est dans un système hydrogéomorphologique alluvial, la sous-partie 1.6 doit être renseignée. ",IF(AND(COUNTA($J$121)=0,COUNTA($T$498,$T$503,$T$504,$J$508,$T$508)&gt;0),"Le système n'est pas dans un système hydromorphologique alluvial, ne répondez pas aux 3 questions suivantes.",""))</f>
        <v/>
      </c>
      <c r="X496" s="433"/>
      <c r="Y496" s="433"/>
    </row>
    <row r="497" spans="1:25" ht="18" customHeight="1" x14ac:dyDescent="0.2">
      <c r="A497" s="337"/>
      <c r="B497" s="337"/>
      <c r="C497" s="581" t="s">
        <v>313</v>
      </c>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row>
    <row r="498" spans="1:25" ht="18" customHeight="1" x14ac:dyDescent="0.2">
      <c r="A498" s="337"/>
      <c r="B498" s="337"/>
      <c r="C498" s="337"/>
      <c r="D498" s="337"/>
      <c r="E498" s="337"/>
      <c r="F498" s="337"/>
      <c r="G498" s="337"/>
      <c r="H498" s="337"/>
      <c r="I498" s="337"/>
      <c r="J498" s="337"/>
      <c r="K498" s="394"/>
      <c r="L498" s="394"/>
      <c r="M498" s="394"/>
      <c r="N498" s="337"/>
      <c r="O498" s="337"/>
      <c r="S498" s="353" t="s">
        <v>260</v>
      </c>
      <c r="T498" s="578"/>
      <c r="U498" s="578"/>
      <c r="V498" s="578"/>
      <c r="W498" s="578"/>
      <c r="X498" s="591" t="s">
        <v>112</v>
      </c>
      <c r="Y498" s="591"/>
    </row>
    <row r="499" spans="1:25" ht="18" customHeight="1" x14ac:dyDescent="0.2">
      <c r="A499" s="337"/>
      <c r="B499" s="337"/>
      <c r="C499" s="337"/>
      <c r="D499" s="337"/>
      <c r="E499" s="337"/>
      <c r="F499" s="337"/>
      <c r="G499" s="337"/>
      <c r="H499" s="337"/>
      <c r="I499" s="337"/>
      <c r="J499" s="337"/>
      <c r="K499" s="337"/>
      <c r="L499" s="337"/>
      <c r="M499" s="337"/>
      <c r="N499" s="337"/>
      <c r="O499" s="337"/>
    </row>
    <row r="500" spans="1:25" ht="18" customHeight="1" x14ac:dyDescent="0.2">
      <c r="A500" s="337"/>
      <c r="B500" s="337"/>
      <c r="C500" s="337"/>
      <c r="D500" s="337"/>
      <c r="E500" s="337"/>
      <c r="F500" s="337"/>
      <c r="G500" s="337"/>
      <c r="H500" s="337"/>
      <c r="I500" s="337"/>
      <c r="J500" s="337"/>
      <c r="K500" s="337"/>
      <c r="L500" s="337"/>
      <c r="M500" s="337"/>
      <c r="N500" s="337"/>
      <c r="O500" s="337"/>
    </row>
    <row r="501" spans="1:25" ht="18" customHeight="1" x14ac:dyDescent="0.2">
      <c r="A501" s="337"/>
      <c r="B501" s="337"/>
      <c r="C501" s="583" t="s">
        <v>314</v>
      </c>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row>
    <row r="502" spans="1:25" ht="18" customHeight="1" x14ac:dyDescent="0.2">
      <c r="A502" s="337"/>
      <c r="B502" s="337"/>
      <c r="C502" s="592"/>
      <c r="D502" s="592"/>
      <c r="E502" s="592"/>
      <c r="F502" s="592"/>
      <c r="G502" s="592"/>
      <c r="H502" s="592"/>
      <c r="I502" s="592"/>
      <c r="J502" s="592"/>
      <c r="K502" s="592"/>
      <c r="L502" s="592"/>
      <c r="M502" s="592"/>
      <c r="N502" s="592"/>
      <c r="O502" s="592"/>
      <c r="P502" s="592"/>
      <c r="Q502" s="592"/>
      <c r="R502" s="592"/>
      <c r="S502" s="592"/>
      <c r="T502" s="592"/>
      <c r="U502" s="592"/>
      <c r="V502" s="592"/>
      <c r="W502" s="592"/>
      <c r="X502" s="592"/>
      <c r="Y502" s="592"/>
    </row>
    <row r="503" spans="1:25" ht="18" customHeight="1" x14ac:dyDescent="0.2">
      <c r="A503" s="337"/>
      <c r="B503" s="337"/>
      <c r="C503" s="436"/>
      <c r="D503" s="436"/>
      <c r="E503" s="436"/>
      <c r="F503" s="436"/>
      <c r="G503" s="436"/>
      <c r="H503" s="353"/>
      <c r="I503" s="353"/>
      <c r="J503" s="353"/>
      <c r="K503" s="337"/>
      <c r="L503" s="337"/>
      <c r="M503" s="337"/>
      <c r="N503" s="337"/>
      <c r="O503" s="337"/>
      <c r="S503" s="437" t="s">
        <v>261</v>
      </c>
      <c r="T503" s="578"/>
      <c r="U503" s="578"/>
      <c r="V503" s="578"/>
      <c r="W503" s="578"/>
      <c r="X503" s="591" t="s">
        <v>112</v>
      </c>
      <c r="Y503" s="591"/>
    </row>
    <row r="504" spans="1:25" ht="17.25" customHeight="1" thickBot="1" x14ac:dyDescent="0.25">
      <c r="A504" s="337"/>
      <c r="B504" s="337"/>
      <c r="C504" s="438"/>
      <c r="D504" s="439"/>
      <c r="E504" s="439"/>
      <c r="F504" s="439"/>
      <c r="G504" s="439"/>
      <c r="H504" s="439"/>
      <c r="I504" s="439"/>
      <c r="J504" s="439"/>
      <c r="K504" s="337"/>
      <c r="L504" s="337"/>
      <c r="M504" s="337"/>
      <c r="N504" s="337"/>
      <c r="O504" s="337"/>
      <c r="S504" s="440" t="s">
        <v>262</v>
      </c>
      <c r="T504" s="578"/>
      <c r="U504" s="578"/>
      <c r="V504" s="578"/>
      <c r="W504" s="578"/>
      <c r="X504" s="591" t="s">
        <v>112</v>
      </c>
      <c r="Y504" s="591"/>
    </row>
    <row r="505" spans="1:25" ht="18" customHeight="1" thickBot="1" x14ac:dyDescent="0.25">
      <c r="A505" s="337"/>
      <c r="B505" s="337"/>
      <c r="C505" s="337"/>
      <c r="D505" s="337"/>
      <c r="E505" s="337"/>
      <c r="F505" s="337"/>
      <c r="G505" s="337"/>
      <c r="H505" s="337"/>
      <c r="I505" s="337"/>
      <c r="J505" s="337"/>
      <c r="K505" s="337"/>
      <c r="L505" s="337"/>
      <c r="M505" s="337"/>
      <c r="N505" s="337"/>
      <c r="O505" s="337"/>
      <c r="T505" s="395"/>
      <c r="U505" s="396"/>
      <c r="V505" s="396"/>
      <c r="W505" s="397" t="str">
        <f>CONCATENATE(IF(AND($J$121="X",COUNTBLANK($T$503:$T$504)&gt;0),"Le site est dans un système hydrogéomorphologique alluvial, répondez à cette question.",""),(IF($T$503&lt;$T$504,CONCATENATE("La longueur développée doit être supérieure ou égale à la longueur de l'enveloppe de méandrage en passant par les points d'inflexion des sinuosités."),"")))</f>
        <v/>
      </c>
    </row>
    <row r="506" spans="1:25" ht="18" customHeight="1" x14ac:dyDescent="0.2">
      <c r="A506" s="337"/>
      <c r="B506" s="337"/>
      <c r="C506" s="337"/>
      <c r="D506" s="337"/>
      <c r="E506" s="337"/>
      <c r="F506" s="337"/>
      <c r="G506" s="337"/>
      <c r="H506" s="337"/>
      <c r="I506" s="337"/>
      <c r="J506" s="337"/>
      <c r="K506" s="337"/>
      <c r="L506" s="337"/>
      <c r="M506" s="337"/>
      <c r="N506" s="337"/>
      <c r="O506" s="337"/>
    </row>
    <row r="507" spans="1:25" ht="18" customHeight="1" x14ac:dyDescent="0.2">
      <c r="A507" s="337"/>
      <c r="B507" s="337"/>
      <c r="C507" s="581" t="s">
        <v>375</v>
      </c>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row>
    <row r="508" spans="1:25" ht="18" customHeight="1" x14ac:dyDescent="0.2">
      <c r="A508" s="337"/>
      <c r="B508" s="337"/>
      <c r="C508" s="354" t="s">
        <v>234</v>
      </c>
      <c r="D508" s="354"/>
      <c r="E508" s="337"/>
      <c r="H508" s="368"/>
      <c r="I508" s="353" t="s">
        <v>28</v>
      </c>
      <c r="J508" s="588"/>
      <c r="K508" s="588"/>
      <c r="P508" s="339"/>
      <c r="Q508" s="368"/>
      <c r="R508" s="368"/>
      <c r="S508" s="369" t="s">
        <v>29</v>
      </c>
      <c r="T508" s="588"/>
      <c r="U508" s="588"/>
      <c r="V508" s="588"/>
      <c r="W508" s="588"/>
    </row>
    <row r="509" spans="1:25" ht="18" customHeight="1" x14ac:dyDescent="0.2">
      <c r="A509" s="337"/>
      <c r="B509" s="337"/>
      <c r="C509" s="345"/>
      <c r="D509" s="337"/>
      <c r="E509" s="337"/>
      <c r="F509" s="337"/>
      <c r="G509" s="337"/>
      <c r="H509" s="337"/>
      <c r="I509" s="337"/>
      <c r="J509" s="337"/>
      <c r="K509" s="337"/>
      <c r="L509" s="337"/>
      <c r="M509" s="337"/>
      <c r="N509" s="337"/>
      <c r="O509" s="337"/>
    </row>
    <row r="510" spans="1:25" ht="18" customHeight="1" x14ac:dyDescent="0.2">
      <c r="A510" s="337"/>
      <c r="B510" s="337"/>
      <c r="C510" s="345"/>
      <c r="D510" s="337"/>
      <c r="E510" s="337"/>
      <c r="F510" s="337"/>
      <c r="G510" s="337"/>
      <c r="H510" s="337"/>
      <c r="I510" s="337"/>
      <c r="J510" s="337"/>
      <c r="K510" s="337"/>
      <c r="L510" s="337"/>
      <c r="M510" s="337"/>
      <c r="N510" s="337"/>
      <c r="O510" s="337"/>
    </row>
    <row r="511" spans="1:25" ht="35.25" customHeight="1" x14ac:dyDescent="0.2">
      <c r="A511" s="337"/>
      <c r="B511" s="337"/>
      <c r="C511" s="341" t="s">
        <v>398</v>
      </c>
      <c r="D511" s="695" t="s">
        <v>407</v>
      </c>
      <c r="E511" s="696"/>
      <c r="F511" s="696"/>
      <c r="G511" s="696"/>
      <c r="H511" s="696"/>
      <c r="I511" s="696"/>
      <c r="J511" s="696"/>
      <c r="K511" s="696"/>
      <c r="L511" s="696"/>
      <c r="M511" s="696"/>
      <c r="N511" s="696"/>
      <c r="O511" s="696"/>
      <c r="P511" s="696"/>
      <c r="Q511" s="696"/>
      <c r="R511" s="696"/>
      <c r="S511" s="696"/>
      <c r="T511" s="696"/>
      <c r="U511" s="696"/>
      <c r="V511" s="696"/>
      <c r="W511" s="696"/>
      <c r="X511" s="696"/>
      <c r="Y511" s="697"/>
    </row>
    <row r="512" spans="1:25" ht="18" customHeight="1" x14ac:dyDescent="0.2">
      <c r="A512" s="337"/>
      <c r="B512" s="337"/>
      <c r="C512" s="517"/>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row>
    <row r="513" spans="1:25" ht="18" customHeight="1" x14ac:dyDescent="0.2">
      <c r="A513" s="337"/>
      <c r="B513" s="337"/>
      <c r="C513" s="581" t="s">
        <v>315</v>
      </c>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row>
    <row r="514" spans="1:25" ht="18" customHeight="1" x14ac:dyDescent="0.2">
      <c r="A514" s="337"/>
      <c r="B514" s="337"/>
      <c r="C514" s="536"/>
      <c r="D514" s="537"/>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1:25" s="347" customFormat="1" ht="18" customHeight="1" x14ac:dyDescent="0.2">
      <c r="C515" s="345"/>
      <c r="D515" s="520"/>
      <c r="E515" s="352"/>
      <c r="F515" s="352"/>
      <c r="G515" s="352"/>
      <c r="H515" s="352"/>
      <c r="I515" s="352"/>
      <c r="J515" s="352"/>
      <c r="K515" s="352"/>
      <c r="L515" s="352"/>
      <c r="M515" s="352"/>
      <c r="N515" s="352"/>
      <c r="O515" s="352"/>
      <c r="P515" s="352"/>
      <c r="Q515" s="352"/>
      <c r="R515" s="352"/>
      <c r="S515" s="352"/>
      <c r="T515" s="352"/>
      <c r="U515" s="352"/>
      <c r="V515" s="352"/>
      <c r="W515" s="352"/>
      <c r="X515" s="352"/>
      <c r="Y515" s="352"/>
    </row>
    <row r="516" spans="1:25" s="347" customFormat="1" ht="18" customHeight="1" x14ac:dyDescent="0.2">
      <c r="C516" s="345"/>
      <c r="D516" s="520"/>
      <c r="E516" s="352"/>
      <c r="F516" s="352"/>
      <c r="G516" s="352"/>
      <c r="H516" s="352"/>
      <c r="I516" s="352"/>
      <c r="J516" s="352"/>
      <c r="K516" s="352"/>
      <c r="L516" s="352"/>
      <c r="M516" s="352"/>
      <c r="N516" s="352"/>
      <c r="O516" s="352"/>
      <c r="P516" s="352"/>
      <c r="Q516" s="352"/>
      <c r="R516" s="352"/>
      <c r="S516" s="352"/>
      <c r="T516" s="352"/>
      <c r="U516" s="352"/>
      <c r="V516" s="352"/>
      <c r="W516" s="352"/>
      <c r="X516" s="352"/>
      <c r="Y516" s="352"/>
    </row>
    <row r="517" spans="1:25" ht="33.75" customHeight="1" x14ac:dyDescent="0.2">
      <c r="A517" s="337"/>
      <c r="B517" s="337"/>
      <c r="C517" s="341" t="s">
        <v>397</v>
      </c>
      <c r="D517" s="695" t="s">
        <v>408</v>
      </c>
      <c r="E517" s="696"/>
      <c r="F517" s="696"/>
      <c r="G517" s="696"/>
      <c r="H517" s="696"/>
      <c r="I517" s="696"/>
      <c r="J517" s="696"/>
      <c r="K517" s="696"/>
      <c r="L517" s="696"/>
      <c r="M517" s="696"/>
      <c r="N517" s="696"/>
      <c r="O517" s="696"/>
      <c r="P517" s="696"/>
      <c r="Q517" s="696"/>
      <c r="R517" s="696"/>
      <c r="S517" s="696"/>
      <c r="T517" s="696"/>
      <c r="U517" s="696"/>
      <c r="V517" s="696"/>
      <c r="W517" s="696"/>
      <c r="X517" s="696"/>
      <c r="Y517" s="697"/>
    </row>
    <row r="518" spans="1:25" ht="18" customHeight="1" x14ac:dyDescent="0.2">
      <c r="A518" s="337"/>
      <c r="B518" s="337"/>
      <c r="C518" s="660" t="s">
        <v>116</v>
      </c>
      <c r="D518" s="660"/>
      <c r="E518" s="660"/>
      <c r="F518" s="660"/>
      <c r="G518" s="660"/>
      <c r="H518" s="660"/>
      <c r="I518" s="660"/>
      <c r="J518" s="660"/>
      <c r="K518" s="660"/>
      <c r="L518" s="660"/>
      <c r="M518" s="660"/>
      <c r="N518" s="660"/>
      <c r="O518" s="660"/>
      <c r="P518" s="660"/>
      <c r="Q518" s="660"/>
      <c r="R518" s="660"/>
      <c r="S518" s="660"/>
      <c r="T518" s="660"/>
      <c r="U518" s="660"/>
      <c r="V518" s="660"/>
      <c r="W518" s="660"/>
      <c r="X518" s="660"/>
      <c r="Y518" s="660"/>
    </row>
    <row r="519" spans="1:25" ht="18" customHeight="1" x14ac:dyDescent="0.2">
      <c r="A519" s="337"/>
      <c r="B519" s="337"/>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row>
    <row r="520" spans="1:25" ht="18" customHeight="1" x14ac:dyDescent="0.2">
      <c r="A520" s="337"/>
      <c r="B520" s="337"/>
      <c r="C520" s="516"/>
      <c r="D520" s="516"/>
      <c r="E520" s="516"/>
      <c r="F520" s="516"/>
      <c r="G520" s="516"/>
      <c r="H520" s="516"/>
      <c r="I520" s="516"/>
      <c r="J520" s="516"/>
      <c r="K520" s="516"/>
      <c r="L520" s="516"/>
      <c r="M520" s="516"/>
      <c r="N520" s="516"/>
      <c r="O520" s="516"/>
      <c r="P520" s="516"/>
      <c r="Q520" s="516"/>
      <c r="R520" s="516"/>
      <c r="S520" s="516"/>
      <c r="T520" s="516"/>
      <c r="U520" s="516"/>
      <c r="V520" s="516"/>
      <c r="W520" s="516"/>
      <c r="X520" s="516"/>
      <c r="Y520" s="516"/>
    </row>
    <row r="521" spans="1:25" ht="18" customHeight="1" x14ac:dyDescent="0.2">
      <c r="A521" s="337"/>
      <c r="B521" s="337"/>
      <c r="C521" s="581" t="s">
        <v>316</v>
      </c>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row>
    <row r="522" spans="1:25" ht="18" customHeight="1" x14ac:dyDescent="0.2">
      <c r="A522" s="337"/>
      <c r="B522" s="337"/>
      <c r="C522" s="354" t="s">
        <v>234</v>
      </c>
      <c r="D522" s="354"/>
      <c r="E522" s="337"/>
      <c r="H522" s="368"/>
      <c r="I522" s="353" t="s">
        <v>28</v>
      </c>
      <c r="J522" s="588"/>
      <c r="K522" s="588"/>
      <c r="P522" s="339"/>
      <c r="Q522" s="368"/>
      <c r="R522" s="368"/>
      <c r="S522" s="369" t="s">
        <v>29</v>
      </c>
      <c r="T522" s="588"/>
      <c r="U522" s="588"/>
      <c r="V522" s="588"/>
      <c r="W522" s="588"/>
    </row>
    <row r="523" spans="1:25" ht="18" customHeight="1" x14ac:dyDescent="0.2">
      <c r="A523" s="337"/>
      <c r="B523" s="337"/>
      <c r="C523" s="345"/>
      <c r="D523" s="337"/>
    </row>
    <row r="524" spans="1:25" ht="18" customHeight="1" x14ac:dyDescent="0.2">
      <c r="A524" s="337"/>
      <c r="B524" s="337"/>
      <c r="C524" s="345"/>
      <c r="D524" s="337"/>
    </row>
    <row r="525" spans="1:25" ht="18" customHeight="1" x14ac:dyDescent="0.2">
      <c r="A525" s="337"/>
      <c r="B525" s="337"/>
      <c r="C525" s="581" t="s">
        <v>317</v>
      </c>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row>
    <row r="526" spans="1:25" ht="18" customHeight="1" x14ac:dyDescent="0.2">
      <c r="A526" s="337"/>
      <c r="B526" s="337"/>
      <c r="C526" s="536"/>
      <c r="D526" s="537"/>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1:25" ht="18" customHeight="1" x14ac:dyDescent="0.2">
      <c r="A527" s="337"/>
      <c r="B527" s="337"/>
      <c r="C527" s="345"/>
      <c r="D527" s="337"/>
    </row>
    <row r="528" spans="1:25" ht="18" customHeight="1" x14ac:dyDescent="0.2">
      <c r="A528" s="337"/>
      <c r="B528" s="337"/>
      <c r="C528" s="345"/>
      <c r="D528" s="337"/>
    </row>
    <row r="529" spans="1:25" ht="35.25" customHeight="1" x14ac:dyDescent="0.2">
      <c r="A529" s="337"/>
      <c r="B529" s="337"/>
      <c r="C529" s="341" t="s">
        <v>396</v>
      </c>
      <c r="D529" s="695" t="s">
        <v>748</v>
      </c>
      <c r="E529" s="696"/>
      <c r="F529" s="696"/>
      <c r="G529" s="696"/>
      <c r="H529" s="696"/>
      <c r="I529" s="696"/>
      <c r="J529" s="696"/>
      <c r="K529" s="696"/>
      <c r="L529" s="696"/>
      <c r="M529" s="696"/>
      <c r="N529" s="696"/>
      <c r="O529" s="696"/>
      <c r="P529" s="696"/>
      <c r="Q529" s="696"/>
      <c r="R529" s="696"/>
      <c r="S529" s="696"/>
      <c r="T529" s="696"/>
      <c r="U529" s="696"/>
      <c r="V529" s="696"/>
      <c r="W529" s="696"/>
      <c r="X529" s="696"/>
      <c r="Y529" s="697"/>
    </row>
    <row r="530" spans="1:25" ht="18" customHeight="1" x14ac:dyDescent="0.2">
      <c r="A530" s="337"/>
      <c r="B530" s="337"/>
      <c r="C530" s="517"/>
      <c r="D530" s="517"/>
      <c r="E530" s="517"/>
      <c r="F530" s="517"/>
      <c r="G530" s="517"/>
      <c r="H530" s="517"/>
      <c r="I530" s="517"/>
      <c r="J530" s="517"/>
      <c r="K530" s="517"/>
      <c r="L530" s="517"/>
      <c r="M530" s="517"/>
      <c r="N530" s="517"/>
      <c r="O530" s="517"/>
      <c r="P530" s="517"/>
      <c r="Q530" s="517"/>
      <c r="R530" s="517"/>
      <c r="S530" s="517"/>
      <c r="T530" s="517"/>
      <c r="U530" s="517"/>
      <c r="V530" s="517"/>
      <c r="W530" s="517"/>
      <c r="X530" s="517"/>
      <c r="Y530" s="517"/>
    </row>
    <row r="531" spans="1:25" ht="18" customHeight="1" x14ac:dyDescent="0.2">
      <c r="A531" s="337"/>
      <c r="B531" s="337"/>
      <c r="C531" s="583" t="s">
        <v>318</v>
      </c>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row>
    <row r="532" spans="1:25" ht="18" customHeight="1" x14ac:dyDescent="0.2">
      <c r="A532" s="337"/>
      <c r="B532" s="337"/>
      <c r="C532" s="592"/>
      <c r="D532" s="592"/>
      <c r="E532" s="592"/>
      <c r="F532" s="592"/>
      <c r="G532" s="592"/>
      <c r="H532" s="592"/>
      <c r="I532" s="592"/>
      <c r="J532" s="592"/>
      <c r="K532" s="592"/>
      <c r="L532" s="592"/>
      <c r="M532" s="592"/>
      <c r="N532" s="592"/>
      <c r="O532" s="592"/>
      <c r="P532" s="592"/>
      <c r="Q532" s="592"/>
      <c r="R532" s="592"/>
      <c r="S532" s="592"/>
      <c r="T532" s="592"/>
      <c r="U532" s="592"/>
      <c r="V532" s="592"/>
      <c r="W532" s="592"/>
      <c r="X532" s="592"/>
      <c r="Y532" s="592"/>
    </row>
    <row r="533" spans="1:25" ht="18" customHeight="1" x14ac:dyDescent="0.2">
      <c r="A533" s="337"/>
      <c r="B533" s="337"/>
      <c r="C533" s="652" t="s">
        <v>749</v>
      </c>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row>
    <row r="534" spans="1:25" ht="18" customHeight="1" x14ac:dyDescent="0.2">
      <c r="A534" s="337"/>
      <c r="B534" s="337"/>
      <c r="C534" s="645"/>
      <c r="D534" s="646"/>
      <c r="E534" s="646"/>
      <c r="F534" s="646"/>
      <c r="G534" s="646"/>
      <c r="H534" s="646"/>
      <c r="I534" s="646"/>
      <c r="J534" s="646"/>
      <c r="K534" s="646"/>
      <c r="L534" s="646"/>
      <c r="M534" s="646"/>
      <c r="N534" s="646"/>
      <c r="O534" s="646"/>
      <c r="P534" s="646"/>
      <c r="Q534" s="646"/>
      <c r="R534" s="646"/>
      <c r="S534" s="646"/>
      <c r="T534" s="646"/>
      <c r="U534" s="646"/>
      <c r="V534" s="646"/>
      <c r="W534" s="646"/>
      <c r="X534" s="646"/>
      <c r="Y534" s="647"/>
    </row>
    <row r="535" spans="1:25" ht="18" customHeight="1" x14ac:dyDescent="0.2">
      <c r="A535" s="337"/>
      <c r="B535" s="337"/>
      <c r="C535" s="648"/>
      <c r="D535" s="649"/>
      <c r="E535" s="649"/>
      <c r="F535" s="649"/>
      <c r="G535" s="649"/>
      <c r="H535" s="649"/>
      <c r="I535" s="649"/>
      <c r="J535" s="649"/>
      <c r="K535" s="649"/>
      <c r="L535" s="649"/>
      <c r="M535" s="649"/>
      <c r="N535" s="649"/>
      <c r="O535" s="649"/>
      <c r="P535" s="649"/>
      <c r="Q535" s="649"/>
      <c r="R535" s="649"/>
      <c r="S535" s="649"/>
      <c r="T535" s="649"/>
      <c r="U535" s="649"/>
      <c r="V535" s="649"/>
      <c r="W535" s="649"/>
      <c r="X535" s="649"/>
      <c r="Y535" s="650"/>
    </row>
    <row r="536" spans="1:25" ht="18" customHeight="1" x14ac:dyDescent="0.2">
      <c r="A536" s="337"/>
      <c r="B536" s="337"/>
      <c r="C536" s="652" t="s">
        <v>752</v>
      </c>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row>
    <row r="537" spans="1:25" ht="18" customHeight="1" x14ac:dyDescent="0.2">
      <c r="A537" s="337"/>
      <c r="B537" s="337"/>
      <c r="C537" s="645"/>
      <c r="D537" s="646"/>
      <c r="E537" s="646"/>
      <c r="F537" s="646"/>
      <c r="G537" s="646"/>
      <c r="H537" s="646"/>
      <c r="I537" s="646"/>
      <c r="J537" s="646"/>
      <c r="K537" s="646"/>
      <c r="L537" s="646"/>
      <c r="M537" s="646"/>
      <c r="N537" s="646"/>
      <c r="O537" s="646"/>
      <c r="P537" s="646"/>
      <c r="Q537" s="646"/>
      <c r="R537" s="646"/>
      <c r="S537" s="646"/>
      <c r="T537" s="646"/>
      <c r="U537" s="646"/>
      <c r="V537" s="646"/>
      <c r="W537" s="646"/>
      <c r="X537" s="646"/>
      <c r="Y537" s="647"/>
    </row>
    <row r="538" spans="1:25" ht="18" customHeight="1" x14ac:dyDescent="0.2">
      <c r="A538" s="337"/>
      <c r="B538" s="337"/>
      <c r="C538" s="648"/>
      <c r="D538" s="649"/>
      <c r="E538" s="649"/>
      <c r="F538" s="649"/>
      <c r="G538" s="649"/>
      <c r="H538" s="649"/>
      <c r="I538" s="649"/>
      <c r="J538" s="649"/>
      <c r="K538" s="649"/>
      <c r="L538" s="649"/>
      <c r="M538" s="649"/>
      <c r="N538" s="649"/>
      <c r="O538" s="649"/>
      <c r="P538" s="649"/>
      <c r="Q538" s="649"/>
      <c r="R538" s="649"/>
      <c r="S538" s="649"/>
      <c r="T538" s="649"/>
      <c r="U538" s="649"/>
      <c r="V538" s="649"/>
      <c r="W538" s="649"/>
      <c r="X538" s="649"/>
      <c r="Y538" s="650"/>
    </row>
    <row r="539" spans="1:25" ht="18" customHeight="1" x14ac:dyDescent="0.2">
      <c r="A539" s="337"/>
      <c r="B539" s="337"/>
      <c r="C539" s="652" t="s">
        <v>264</v>
      </c>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row>
    <row r="540" spans="1:25" ht="18" customHeight="1" x14ac:dyDescent="0.2">
      <c r="A540" s="337"/>
      <c r="B540" s="337"/>
      <c r="C540" s="645"/>
      <c r="D540" s="646"/>
      <c r="E540" s="646"/>
      <c r="F540" s="646"/>
      <c r="G540" s="646"/>
      <c r="H540" s="646"/>
      <c r="I540" s="646"/>
      <c r="J540" s="646"/>
      <c r="K540" s="646"/>
      <c r="L540" s="646"/>
      <c r="M540" s="646"/>
      <c r="N540" s="646"/>
      <c r="O540" s="646"/>
      <c r="P540" s="646"/>
      <c r="Q540" s="646"/>
      <c r="R540" s="646"/>
      <c r="S540" s="646"/>
      <c r="T540" s="646"/>
      <c r="U540" s="646"/>
      <c r="V540" s="646"/>
      <c r="W540" s="646"/>
      <c r="X540" s="646"/>
      <c r="Y540" s="647"/>
    </row>
    <row r="541" spans="1:25" ht="18" customHeight="1" x14ac:dyDescent="0.2">
      <c r="A541" s="337"/>
      <c r="B541" s="337"/>
      <c r="C541" s="648"/>
      <c r="D541" s="649"/>
      <c r="E541" s="649"/>
      <c r="F541" s="649"/>
      <c r="G541" s="649"/>
      <c r="H541" s="649"/>
      <c r="I541" s="649"/>
      <c r="J541" s="649"/>
      <c r="K541" s="649"/>
      <c r="L541" s="649"/>
      <c r="M541" s="649"/>
      <c r="N541" s="649"/>
      <c r="O541" s="649"/>
      <c r="P541" s="649"/>
      <c r="Q541" s="649"/>
      <c r="R541" s="649"/>
      <c r="S541" s="649"/>
      <c r="T541" s="649"/>
      <c r="U541" s="649"/>
      <c r="V541" s="649"/>
      <c r="W541" s="649"/>
      <c r="X541" s="649"/>
      <c r="Y541" s="650"/>
    </row>
    <row r="542" spans="1:25" ht="18" customHeight="1" x14ac:dyDescent="0.2">
      <c r="A542" s="337"/>
      <c r="B542" s="337"/>
      <c r="C542" s="651" t="s">
        <v>750</v>
      </c>
      <c r="D542" s="651"/>
      <c r="E542" s="651"/>
      <c r="F542" s="651"/>
      <c r="G542" s="651"/>
      <c r="H542" s="651"/>
      <c r="I542" s="651"/>
      <c r="J542" s="651"/>
      <c r="K542" s="651"/>
      <c r="L542" s="651"/>
      <c r="M542" s="651"/>
      <c r="N542" s="651"/>
      <c r="O542" s="651"/>
      <c r="P542" s="651"/>
      <c r="Q542" s="651"/>
      <c r="R542" s="651"/>
      <c r="S542" s="651"/>
      <c r="T542" s="651"/>
      <c r="U542" s="651"/>
      <c r="V542" s="651"/>
      <c r="W542" s="651"/>
      <c r="X542" s="651"/>
      <c r="Y542" s="651"/>
    </row>
    <row r="543" spans="1:25" ht="18" customHeight="1" x14ac:dyDescent="0.2">
      <c r="A543" s="337"/>
      <c r="B543" s="337"/>
      <c r="C543" s="645"/>
      <c r="D543" s="646"/>
      <c r="E543" s="646"/>
      <c r="F543" s="646"/>
      <c r="G543" s="646"/>
      <c r="H543" s="646"/>
      <c r="I543" s="646"/>
      <c r="J543" s="646"/>
      <c r="K543" s="646"/>
      <c r="L543" s="646"/>
      <c r="M543" s="646"/>
      <c r="N543" s="646"/>
      <c r="O543" s="646"/>
      <c r="P543" s="646"/>
      <c r="Q543" s="646"/>
      <c r="R543" s="646"/>
      <c r="S543" s="646"/>
      <c r="T543" s="646"/>
      <c r="U543" s="646"/>
      <c r="V543" s="646"/>
      <c r="W543" s="646"/>
      <c r="X543" s="646"/>
      <c r="Y543" s="647"/>
    </row>
    <row r="544" spans="1:25" ht="18" customHeight="1" x14ac:dyDescent="0.2">
      <c r="A544" s="337"/>
      <c r="B544" s="337"/>
      <c r="C544" s="648"/>
      <c r="D544" s="649"/>
      <c r="E544" s="649"/>
      <c r="F544" s="649"/>
      <c r="G544" s="649"/>
      <c r="H544" s="649"/>
      <c r="I544" s="649"/>
      <c r="J544" s="649"/>
      <c r="K544" s="649"/>
      <c r="L544" s="649"/>
      <c r="M544" s="649"/>
      <c r="N544" s="649"/>
      <c r="O544" s="649"/>
      <c r="P544" s="649"/>
      <c r="Q544" s="649"/>
      <c r="R544" s="649"/>
      <c r="S544" s="649"/>
      <c r="T544" s="649"/>
      <c r="U544" s="649"/>
      <c r="V544" s="649"/>
      <c r="W544" s="649"/>
      <c r="X544" s="649"/>
      <c r="Y544" s="650"/>
    </row>
    <row r="545" spans="1:25" ht="18" customHeight="1" x14ac:dyDescent="0.2">
      <c r="A545" s="337"/>
      <c r="B545" s="337"/>
      <c r="C545" s="651" t="s">
        <v>263</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row>
    <row r="546" spans="1:25" ht="18" customHeight="1" x14ac:dyDescent="0.2">
      <c r="A546" s="337"/>
      <c r="B546" s="337"/>
      <c r="C546" s="645"/>
      <c r="D546" s="646"/>
      <c r="E546" s="646"/>
      <c r="F546" s="646"/>
      <c r="G546" s="646"/>
      <c r="H546" s="646"/>
      <c r="I546" s="646"/>
      <c r="J546" s="646"/>
      <c r="K546" s="646"/>
      <c r="L546" s="646"/>
      <c r="M546" s="646"/>
      <c r="N546" s="646"/>
      <c r="O546" s="646"/>
      <c r="P546" s="646"/>
      <c r="Q546" s="646"/>
      <c r="R546" s="646"/>
      <c r="S546" s="646"/>
      <c r="T546" s="646"/>
      <c r="U546" s="646"/>
      <c r="V546" s="646"/>
      <c r="W546" s="646"/>
      <c r="X546" s="646"/>
      <c r="Y546" s="647"/>
    </row>
    <row r="547" spans="1:25" ht="18" customHeight="1" x14ac:dyDescent="0.2">
      <c r="A547" s="337"/>
      <c r="B547" s="337"/>
      <c r="C547" s="648"/>
      <c r="D547" s="649"/>
      <c r="E547" s="649"/>
      <c r="F547" s="649"/>
      <c r="G547" s="649"/>
      <c r="H547" s="649"/>
      <c r="I547" s="649"/>
      <c r="J547" s="649"/>
      <c r="K547" s="649"/>
      <c r="L547" s="649"/>
      <c r="M547" s="649"/>
      <c r="N547" s="649"/>
      <c r="O547" s="649"/>
      <c r="P547" s="649"/>
      <c r="Q547" s="649"/>
      <c r="R547" s="649"/>
      <c r="S547" s="649"/>
      <c r="T547" s="649"/>
      <c r="U547" s="649"/>
      <c r="V547" s="649"/>
      <c r="W547" s="649"/>
      <c r="X547" s="649"/>
      <c r="Y547" s="650"/>
    </row>
    <row r="548" spans="1:25" ht="18" customHeight="1" x14ac:dyDescent="0.2">
      <c r="A548" s="337"/>
      <c r="B548" s="337"/>
      <c r="C548" s="337"/>
      <c r="D548" s="337"/>
      <c r="E548" s="337"/>
      <c r="F548" s="337"/>
      <c r="G548" s="337"/>
      <c r="H548" s="337"/>
      <c r="I548" s="337"/>
      <c r="J548" s="337"/>
      <c r="K548" s="337"/>
      <c r="L548" s="337"/>
      <c r="M548" s="337"/>
      <c r="N548" s="337"/>
      <c r="O548" s="337"/>
    </row>
    <row r="549" spans="1:25" ht="18" customHeight="1" x14ac:dyDescent="0.2">
      <c r="A549" s="337"/>
      <c r="B549" s="337"/>
      <c r="C549" s="337"/>
      <c r="D549" s="337"/>
      <c r="E549" s="337"/>
      <c r="F549" s="337"/>
      <c r="G549" s="337"/>
      <c r="H549" s="337"/>
      <c r="I549" s="337"/>
      <c r="J549" s="337"/>
      <c r="K549" s="337"/>
      <c r="L549" s="337"/>
      <c r="M549" s="337"/>
      <c r="N549" s="337"/>
      <c r="O549" s="337"/>
    </row>
    <row r="550" spans="1:25" ht="18" customHeight="1" x14ac:dyDescent="0.2">
      <c r="A550" s="337"/>
      <c r="B550" s="337"/>
      <c r="C550" s="583" t="s">
        <v>751</v>
      </c>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row>
    <row r="551" spans="1:25" ht="18" customHeight="1" x14ac:dyDescent="0.2">
      <c r="A551" s="337"/>
      <c r="B551" s="337"/>
      <c r="C551" s="583"/>
      <c r="D551" s="583"/>
      <c r="E551" s="583"/>
      <c r="F551" s="583"/>
      <c r="G551" s="583"/>
      <c r="H551" s="583"/>
      <c r="I551" s="583"/>
      <c r="J551" s="583"/>
      <c r="K551" s="583"/>
      <c r="L551" s="583"/>
      <c r="M551" s="583"/>
      <c r="N551" s="583"/>
      <c r="O551" s="583"/>
      <c r="P551" s="583"/>
      <c r="Q551" s="583"/>
      <c r="R551" s="583"/>
      <c r="S551" s="583"/>
      <c r="T551" s="583"/>
      <c r="U551" s="583"/>
      <c r="V551" s="583"/>
      <c r="W551" s="583"/>
      <c r="X551" s="583"/>
      <c r="Y551" s="583"/>
    </row>
    <row r="552" spans="1:25" ht="18" customHeight="1" x14ac:dyDescent="0.2">
      <c r="A552" s="337"/>
      <c r="B552" s="337"/>
      <c r="C552" s="654"/>
      <c r="D552" s="655"/>
      <c r="E552" s="655"/>
      <c r="F552" s="655"/>
      <c r="G552" s="655"/>
      <c r="H552" s="655"/>
      <c r="I552" s="655"/>
      <c r="J552" s="655"/>
      <c r="K552" s="655"/>
      <c r="L552" s="655"/>
      <c r="M552" s="655"/>
      <c r="N552" s="655"/>
      <c r="O552" s="655"/>
      <c r="P552" s="655"/>
      <c r="Q552" s="655"/>
      <c r="R552" s="655"/>
      <c r="S552" s="655"/>
      <c r="T552" s="655"/>
      <c r="U552" s="655"/>
      <c r="V552" s="655"/>
      <c r="W552" s="655"/>
      <c r="X552" s="655"/>
      <c r="Y552" s="656"/>
    </row>
    <row r="553" spans="1:25" ht="18" customHeight="1" x14ac:dyDescent="0.2">
      <c r="A553" s="337"/>
      <c r="B553" s="337"/>
      <c r="C553" s="657"/>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9"/>
    </row>
    <row r="554" spans="1:25" ht="18" customHeight="1" x14ac:dyDescent="0.2">
      <c r="A554" s="337"/>
      <c r="B554" s="337"/>
      <c r="C554" s="337"/>
      <c r="D554" s="337"/>
      <c r="E554" s="337"/>
      <c r="F554" s="337"/>
      <c r="G554" s="337"/>
      <c r="H554" s="337"/>
      <c r="I554" s="337"/>
      <c r="J554" s="337"/>
      <c r="K554" s="337"/>
      <c r="L554" s="337"/>
      <c r="M554" s="337"/>
      <c r="N554" s="337"/>
      <c r="O554" s="337"/>
    </row>
    <row r="555" spans="1:25" ht="18" customHeight="1" x14ac:dyDescent="0.2">
      <c r="A555" s="337"/>
      <c r="B555" s="337"/>
      <c r="C555" s="337"/>
      <c r="D555" s="337"/>
      <c r="E555" s="337"/>
      <c r="F555" s="337"/>
      <c r="G555" s="337"/>
      <c r="H555" s="337"/>
      <c r="I555" s="337"/>
      <c r="J555" s="337"/>
      <c r="K555" s="337"/>
      <c r="L555" s="337"/>
      <c r="M555" s="337"/>
      <c r="N555" s="337"/>
      <c r="O555" s="337"/>
    </row>
    <row r="556" spans="1:25" ht="18" customHeight="1" x14ac:dyDescent="0.2">
      <c r="A556" s="337"/>
      <c r="B556" s="337"/>
      <c r="C556" s="583" t="s">
        <v>319</v>
      </c>
      <c r="D556" s="583"/>
      <c r="E556" s="583"/>
      <c r="F556" s="583"/>
      <c r="G556" s="583"/>
      <c r="H556" s="583"/>
      <c r="I556" s="583"/>
      <c r="J556" s="583"/>
      <c r="K556" s="583"/>
      <c r="L556" s="583"/>
      <c r="M556" s="583"/>
      <c r="N556" s="583"/>
      <c r="O556" s="583"/>
      <c r="P556" s="583"/>
      <c r="Q556" s="583"/>
      <c r="R556" s="583"/>
      <c r="S556" s="583"/>
      <c r="T556" s="583"/>
      <c r="U556" s="583"/>
      <c r="V556" s="583"/>
      <c r="W556" s="583"/>
      <c r="X556" s="583"/>
      <c r="Y556" s="583"/>
    </row>
    <row r="557" spans="1:25" ht="18" customHeight="1" x14ac:dyDescent="0.2">
      <c r="A557" s="337"/>
      <c r="B557" s="337"/>
      <c r="C557" s="592"/>
      <c r="D557" s="592"/>
      <c r="E557" s="592"/>
      <c r="F557" s="592"/>
      <c r="G557" s="592"/>
      <c r="H557" s="592"/>
      <c r="I557" s="592"/>
      <c r="J557" s="592"/>
      <c r="K557" s="592"/>
      <c r="L557" s="592"/>
      <c r="M557" s="592"/>
      <c r="N557" s="592"/>
      <c r="O557" s="592"/>
      <c r="P557" s="592"/>
      <c r="Q557" s="592"/>
      <c r="R557" s="592"/>
      <c r="S557" s="592"/>
      <c r="T557" s="592"/>
      <c r="U557" s="592"/>
      <c r="V557" s="592"/>
      <c r="W557" s="592"/>
      <c r="X557" s="592"/>
      <c r="Y557" s="592"/>
    </row>
    <row r="558" spans="1:25" ht="18" customHeight="1" x14ac:dyDescent="0.2">
      <c r="A558" s="337"/>
      <c r="B558" s="337"/>
      <c r="C558" s="652" t="s">
        <v>749</v>
      </c>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row>
    <row r="559" spans="1:25" ht="18" customHeight="1" x14ac:dyDescent="0.2">
      <c r="A559" s="337"/>
      <c r="B559" s="337"/>
      <c r="C559" s="645"/>
      <c r="D559" s="646"/>
      <c r="E559" s="646"/>
      <c r="F559" s="646"/>
      <c r="G559" s="646"/>
      <c r="H559" s="646"/>
      <c r="I559" s="646"/>
      <c r="J559" s="646"/>
      <c r="K559" s="646"/>
      <c r="L559" s="646"/>
      <c r="M559" s="646"/>
      <c r="N559" s="646"/>
      <c r="O559" s="646"/>
      <c r="P559" s="646"/>
      <c r="Q559" s="646"/>
      <c r="R559" s="646"/>
      <c r="S559" s="646"/>
      <c r="T559" s="646"/>
      <c r="U559" s="646"/>
      <c r="V559" s="646"/>
      <c r="W559" s="646"/>
      <c r="X559" s="646"/>
      <c r="Y559" s="647"/>
    </row>
    <row r="560" spans="1:25" ht="18" customHeight="1" x14ac:dyDescent="0.2">
      <c r="A560" s="337"/>
      <c r="B560" s="337"/>
      <c r="C560" s="648"/>
      <c r="D560" s="649"/>
      <c r="E560" s="649"/>
      <c r="F560" s="649"/>
      <c r="G560" s="649"/>
      <c r="H560" s="649"/>
      <c r="I560" s="649"/>
      <c r="J560" s="649"/>
      <c r="K560" s="649"/>
      <c r="L560" s="649"/>
      <c r="M560" s="649"/>
      <c r="N560" s="649"/>
      <c r="O560" s="649"/>
      <c r="P560" s="649"/>
      <c r="Q560" s="649"/>
      <c r="R560" s="649"/>
      <c r="S560" s="649"/>
      <c r="T560" s="649"/>
      <c r="U560" s="649"/>
      <c r="V560" s="649"/>
      <c r="W560" s="649"/>
      <c r="X560" s="649"/>
      <c r="Y560" s="650"/>
    </row>
    <row r="561" spans="1:25" ht="18" customHeight="1" x14ac:dyDescent="0.2">
      <c r="A561" s="337"/>
      <c r="B561" s="337"/>
      <c r="C561" s="652" t="s">
        <v>752</v>
      </c>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row>
    <row r="562" spans="1:25" ht="18" customHeight="1" x14ac:dyDescent="0.2">
      <c r="A562" s="337"/>
      <c r="B562" s="337"/>
      <c r="C562" s="645"/>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7"/>
    </row>
    <row r="563" spans="1:25" ht="18" customHeight="1" x14ac:dyDescent="0.2">
      <c r="A563" s="337"/>
      <c r="B563" s="337"/>
      <c r="C563" s="648"/>
      <c r="D563" s="649"/>
      <c r="E563" s="649"/>
      <c r="F563" s="649"/>
      <c r="G563" s="649"/>
      <c r="H563" s="649"/>
      <c r="I563" s="649"/>
      <c r="J563" s="649"/>
      <c r="K563" s="649"/>
      <c r="L563" s="649"/>
      <c r="M563" s="649"/>
      <c r="N563" s="649"/>
      <c r="O563" s="649"/>
      <c r="P563" s="649"/>
      <c r="Q563" s="649"/>
      <c r="R563" s="649"/>
      <c r="S563" s="649"/>
      <c r="T563" s="649"/>
      <c r="U563" s="649"/>
      <c r="V563" s="649"/>
      <c r="W563" s="649"/>
      <c r="X563" s="649"/>
      <c r="Y563" s="650"/>
    </row>
    <row r="564" spans="1:25" ht="18" customHeight="1" x14ac:dyDescent="0.2">
      <c r="A564" s="337"/>
      <c r="B564" s="337"/>
      <c r="C564" s="653" t="s">
        <v>264</v>
      </c>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row>
    <row r="565" spans="1:25" ht="18" customHeight="1" x14ac:dyDescent="0.2">
      <c r="A565" s="337"/>
      <c r="B565" s="337"/>
      <c r="C565" s="645"/>
      <c r="D565" s="646"/>
      <c r="E565" s="646"/>
      <c r="F565" s="646"/>
      <c r="G565" s="646"/>
      <c r="H565" s="646"/>
      <c r="I565" s="646"/>
      <c r="J565" s="646"/>
      <c r="K565" s="646"/>
      <c r="L565" s="646"/>
      <c r="M565" s="646"/>
      <c r="N565" s="646"/>
      <c r="O565" s="646"/>
      <c r="P565" s="646"/>
      <c r="Q565" s="646"/>
      <c r="R565" s="646"/>
      <c r="S565" s="646"/>
      <c r="T565" s="646"/>
      <c r="U565" s="646"/>
      <c r="V565" s="646"/>
      <c r="W565" s="646"/>
      <c r="X565" s="646"/>
      <c r="Y565" s="647"/>
    </row>
    <row r="566" spans="1:25" ht="18" customHeight="1" x14ac:dyDescent="0.2">
      <c r="A566" s="337"/>
      <c r="B566" s="337"/>
      <c r="C566" s="648"/>
      <c r="D566" s="649"/>
      <c r="E566" s="649"/>
      <c r="F566" s="649"/>
      <c r="G566" s="649"/>
      <c r="H566" s="649"/>
      <c r="I566" s="649"/>
      <c r="J566" s="649"/>
      <c r="K566" s="649"/>
      <c r="L566" s="649"/>
      <c r="M566" s="649"/>
      <c r="N566" s="649"/>
      <c r="O566" s="649"/>
      <c r="P566" s="649"/>
      <c r="Q566" s="649"/>
      <c r="R566" s="649"/>
      <c r="S566" s="649"/>
      <c r="T566" s="649"/>
      <c r="U566" s="649"/>
      <c r="V566" s="649"/>
      <c r="W566" s="649"/>
      <c r="X566" s="649"/>
      <c r="Y566" s="650"/>
    </row>
    <row r="567" spans="1:25" ht="18" customHeight="1" x14ac:dyDescent="0.2">
      <c r="A567" s="337"/>
      <c r="B567" s="337"/>
      <c r="C567" s="651" t="s">
        <v>753</v>
      </c>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row>
    <row r="568" spans="1:25" ht="18" customHeight="1" x14ac:dyDescent="0.2">
      <c r="A568" s="337"/>
      <c r="B568" s="337"/>
      <c r="C568" s="645"/>
      <c r="D568" s="646"/>
      <c r="E568" s="646"/>
      <c r="F568" s="646"/>
      <c r="G568" s="646"/>
      <c r="H568" s="646"/>
      <c r="I568" s="646"/>
      <c r="J568" s="646"/>
      <c r="K568" s="646"/>
      <c r="L568" s="646"/>
      <c r="M568" s="646"/>
      <c r="N568" s="646"/>
      <c r="O568" s="646"/>
      <c r="P568" s="646"/>
      <c r="Q568" s="646"/>
      <c r="R568" s="646"/>
      <c r="S568" s="646"/>
      <c r="T568" s="646"/>
      <c r="U568" s="646"/>
      <c r="V568" s="646"/>
      <c r="W568" s="646"/>
      <c r="X568" s="646"/>
      <c r="Y568" s="647"/>
    </row>
    <row r="569" spans="1:25" ht="18" customHeight="1" x14ac:dyDescent="0.2">
      <c r="A569" s="337"/>
      <c r="B569" s="337"/>
      <c r="C569" s="648"/>
      <c r="D569" s="649"/>
      <c r="E569" s="649"/>
      <c r="F569" s="649"/>
      <c r="G569" s="649"/>
      <c r="H569" s="649"/>
      <c r="I569" s="649"/>
      <c r="J569" s="649"/>
      <c r="K569" s="649"/>
      <c r="L569" s="649"/>
      <c r="M569" s="649"/>
      <c r="N569" s="649"/>
      <c r="O569" s="649"/>
      <c r="P569" s="649"/>
      <c r="Q569" s="649"/>
      <c r="R569" s="649"/>
      <c r="S569" s="649"/>
      <c r="T569" s="649"/>
      <c r="U569" s="649"/>
      <c r="V569" s="649"/>
      <c r="W569" s="649"/>
      <c r="X569" s="649"/>
      <c r="Y569" s="650"/>
    </row>
    <row r="570" spans="1:25" ht="18" customHeight="1" x14ac:dyDescent="0.2">
      <c r="A570" s="337"/>
      <c r="B570" s="337"/>
      <c r="C570" s="337"/>
      <c r="D570" s="337"/>
      <c r="E570" s="337"/>
      <c r="F570" s="337"/>
      <c r="G570" s="337"/>
      <c r="H570" s="337"/>
      <c r="I570" s="337"/>
      <c r="J570" s="337"/>
      <c r="K570" s="337"/>
      <c r="L570" s="337"/>
      <c r="M570" s="337"/>
      <c r="N570" s="337"/>
      <c r="O570" s="337"/>
    </row>
    <row r="571" spans="1:25" ht="18" customHeight="1" x14ac:dyDescent="0.2">
      <c r="A571" s="337"/>
      <c r="B571" s="337"/>
      <c r="C571" s="337"/>
      <c r="D571" s="337"/>
      <c r="E571" s="337"/>
      <c r="F571" s="337"/>
      <c r="G571" s="337"/>
      <c r="H571" s="337"/>
      <c r="I571" s="337"/>
      <c r="J571" s="337"/>
      <c r="K571" s="337"/>
      <c r="L571" s="337"/>
      <c r="M571" s="337"/>
      <c r="N571" s="337"/>
      <c r="O571" s="337"/>
    </row>
    <row r="572" spans="1:25" ht="33.75" customHeight="1" x14ac:dyDescent="0.2">
      <c r="A572" s="337"/>
      <c r="B572" s="337"/>
      <c r="C572" s="341" t="s">
        <v>395</v>
      </c>
      <c r="D572" s="695" t="s">
        <v>754</v>
      </c>
      <c r="E572" s="696"/>
      <c r="F572" s="696"/>
      <c r="G572" s="696"/>
      <c r="H572" s="696"/>
      <c r="I572" s="696"/>
      <c r="J572" s="696"/>
      <c r="K572" s="696"/>
      <c r="L572" s="696"/>
      <c r="M572" s="696"/>
      <c r="N572" s="696"/>
      <c r="O572" s="696"/>
      <c r="P572" s="696"/>
      <c r="Q572" s="696"/>
      <c r="R572" s="696"/>
      <c r="S572" s="696"/>
      <c r="T572" s="696"/>
      <c r="U572" s="696"/>
      <c r="V572" s="696"/>
      <c r="W572" s="696"/>
      <c r="X572" s="696"/>
      <c r="Y572" s="697"/>
    </row>
    <row r="573" spans="1:25" ht="18" customHeight="1" x14ac:dyDescent="0.2">
      <c r="A573" s="337"/>
      <c r="B573" s="337"/>
      <c r="C573" s="517"/>
      <c r="D573" s="517"/>
      <c r="E573" s="517"/>
      <c r="F573" s="517"/>
      <c r="G573" s="517"/>
      <c r="H573" s="517"/>
      <c r="I573" s="517"/>
      <c r="J573" s="517"/>
      <c r="K573" s="517"/>
      <c r="L573" s="517"/>
      <c r="M573" s="517"/>
      <c r="N573" s="517"/>
      <c r="O573" s="517"/>
      <c r="P573" s="517"/>
      <c r="Q573" s="517"/>
      <c r="R573" s="517"/>
      <c r="S573" s="517"/>
      <c r="T573" s="517"/>
      <c r="U573" s="517"/>
      <c r="V573" s="517"/>
      <c r="W573" s="517"/>
      <c r="X573" s="517"/>
      <c r="Y573" s="517"/>
    </row>
    <row r="574" spans="1:25" ht="18" customHeight="1" x14ac:dyDescent="0.2">
      <c r="A574" s="337"/>
      <c r="B574" s="337"/>
      <c r="C574" s="583" t="s">
        <v>320</v>
      </c>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row>
    <row r="575" spans="1:25" ht="18" customHeight="1" x14ac:dyDescent="0.2">
      <c r="A575" s="337"/>
      <c r="B575" s="337"/>
      <c r="C575" s="583"/>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row>
    <row r="576" spans="1:25" ht="18" customHeight="1" x14ac:dyDescent="0.2">
      <c r="A576" s="337"/>
      <c r="B576" s="337"/>
      <c r="C576" s="645"/>
      <c r="D576" s="646"/>
      <c r="E576" s="646"/>
      <c r="F576" s="646"/>
      <c r="G576" s="646"/>
      <c r="H576" s="646"/>
      <c r="I576" s="646"/>
      <c r="J576" s="646"/>
      <c r="K576" s="646"/>
      <c r="L576" s="646"/>
      <c r="M576" s="646"/>
      <c r="N576" s="646"/>
      <c r="O576" s="646"/>
      <c r="P576" s="646"/>
      <c r="Q576" s="646"/>
      <c r="R576" s="646"/>
      <c r="S576" s="646"/>
      <c r="T576" s="646"/>
      <c r="U576" s="646"/>
      <c r="V576" s="646"/>
      <c r="W576" s="646"/>
      <c r="X576" s="646"/>
      <c r="Y576" s="647"/>
    </row>
    <row r="577" spans="1:25" ht="18" customHeight="1" x14ac:dyDescent="0.2">
      <c r="A577" s="337"/>
      <c r="B577" s="337"/>
      <c r="C577" s="648"/>
      <c r="D577" s="649"/>
      <c r="E577" s="649"/>
      <c r="F577" s="649"/>
      <c r="G577" s="649"/>
      <c r="H577" s="649"/>
      <c r="I577" s="649"/>
      <c r="J577" s="649"/>
      <c r="K577" s="649"/>
      <c r="L577" s="649"/>
      <c r="M577" s="649"/>
      <c r="N577" s="649"/>
      <c r="O577" s="649"/>
      <c r="P577" s="649"/>
      <c r="Q577" s="649"/>
      <c r="R577" s="649"/>
      <c r="S577" s="649"/>
      <c r="T577" s="649"/>
      <c r="U577" s="649"/>
      <c r="V577" s="649"/>
      <c r="W577" s="649"/>
      <c r="X577" s="649"/>
      <c r="Y577" s="650"/>
    </row>
    <row r="578" spans="1:25" ht="18" customHeight="1" x14ac:dyDescent="0.2">
      <c r="A578" s="337"/>
      <c r="B578" s="337"/>
      <c r="C578" s="345"/>
      <c r="D578" s="337"/>
      <c r="E578" s="337"/>
      <c r="F578" s="337"/>
      <c r="G578" s="337"/>
      <c r="H578" s="337"/>
      <c r="I578" s="337"/>
      <c r="J578" s="337"/>
      <c r="K578" s="337"/>
      <c r="L578" s="337"/>
      <c r="M578" s="337"/>
      <c r="N578" s="337"/>
      <c r="O578" s="337"/>
    </row>
    <row r="579" spans="1:25" ht="18" customHeight="1" x14ac:dyDescent="0.2">
      <c r="A579" s="337"/>
      <c r="B579" s="337"/>
      <c r="C579" s="345"/>
      <c r="D579" s="337"/>
      <c r="E579" s="337"/>
      <c r="F579" s="337"/>
      <c r="G579" s="337"/>
      <c r="H579" s="337"/>
      <c r="I579" s="337"/>
      <c r="J579" s="337"/>
      <c r="K579" s="337"/>
      <c r="L579" s="337"/>
      <c r="M579" s="337"/>
      <c r="N579" s="337"/>
      <c r="O579" s="337"/>
    </row>
    <row r="580" spans="1:25" ht="18" customHeight="1" x14ac:dyDescent="0.2">
      <c r="A580" s="337"/>
      <c r="B580" s="337"/>
      <c r="C580" s="583" t="s">
        <v>321</v>
      </c>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row>
    <row r="581" spans="1:25" ht="18" customHeight="1" x14ac:dyDescent="0.2">
      <c r="A581" s="337"/>
      <c r="B581" s="337"/>
      <c r="C581" s="583"/>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row>
    <row r="582" spans="1:25" ht="18" customHeight="1" x14ac:dyDescent="0.2">
      <c r="A582" s="337"/>
      <c r="B582" s="337"/>
      <c r="C582" s="645"/>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7"/>
    </row>
    <row r="583" spans="1:25" ht="18" customHeight="1" x14ac:dyDescent="0.2">
      <c r="A583" s="337"/>
      <c r="B583" s="337"/>
      <c r="C583" s="648"/>
      <c r="D583" s="649"/>
      <c r="E583" s="649"/>
      <c r="F583" s="649"/>
      <c r="G583" s="649"/>
      <c r="H583" s="649"/>
      <c r="I583" s="649"/>
      <c r="J583" s="649"/>
      <c r="K583" s="649"/>
      <c r="L583" s="649"/>
      <c r="M583" s="649"/>
      <c r="N583" s="649"/>
      <c r="O583" s="649"/>
      <c r="P583" s="649"/>
      <c r="Q583" s="649"/>
      <c r="R583" s="649"/>
      <c r="S583" s="649"/>
      <c r="T583" s="649"/>
      <c r="U583" s="649"/>
      <c r="V583" s="649"/>
      <c r="W583" s="649"/>
      <c r="X583" s="649"/>
      <c r="Y583" s="650"/>
    </row>
    <row r="584" spans="1:25" ht="18" customHeight="1" x14ac:dyDescent="0.2">
      <c r="A584" s="337"/>
      <c r="B584" s="337"/>
      <c r="C584" s="345"/>
      <c r="D584" s="337"/>
      <c r="E584" s="337"/>
      <c r="F584" s="337"/>
      <c r="G584" s="337"/>
      <c r="H584" s="337"/>
      <c r="I584" s="337"/>
      <c r="J584" s="337"/>
      <c r="K584" s="337"/>
      <c r="L584" s="337"/>
      <c r="M584" s="337"/>
      <c r="N584" s="337"/>
      <c r="O584" s="337"/>
    </row>
    <row r="585" spans="1:25" ht="18" customHeight="1" x14ac:dyDescent="0.2">
      <c r="A585" s="337"/>
      <c r="B585" s="337"/>
      <c r="C585" s="345"/>
      <c r="D585" s="337"/>
      <c r="E585" s="337"/>
      <c r="F585" s="337"/>
      <c r="G585" s="337"/>
      <c r="H585" s="337"/>
      <c r="I585" s="337"/>
      <c r="J585" s="337"/>
      <c r="K585" s="337"/>
      <c r="L585" s="337"/>
      <c r="M585" s="337"/>
      <c r="N585" s="337"/>
      <c r="O585" s="337"/>
    </row>
    <row r="586" spans="1:25" ht="18" customHeight="1" x14ac:dyDescent="0.2">
      <c r="A586" s="337"/>
      <c r="B586" s="337"/>
      <c r="C586" s="583" t="s">
        <v>322</v>
      </c>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row>
    <row r="587" spans="1:25" ht="18" customHeight="1" x14ac:dyDescent="0.2">
      <c r="A587" s="337"/>
      <c r="B587" s="337"/>
      <c r="C587" s="583"/>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row>
    <row r="588" spans="1:25" ht="18" customHeight="1" x14ac:dyDescent="0.2">
      <c r="A588" s="337"/>
      <c r="B588" s="337"/>
      <c r="C588" s="645"/>
      <c r="D588" s="646"/>
      <c r="E588" s="646"/>
      <c r="F588" s="646"/>
      <c r="G588" s="646"/>
      <c r="H588" s="646"/>
      <c r="I588" s="646"/>
      <c r="J588" s="646"/>
      <c r="K588" s="646"/>
      <c r="L588" s="646"/>
      <c r="M588" s="646"/>
      <c r="N588" s="646"/>
      <c r="O588" s="646"/>
      <c r="P588" s="646"/>
      <c r="Q588" s="646"/>
      <c r="R588" s="646"/>
      <c r="S588" s="646"/>
      <c r="T588" s="646"/>
      <c r="U588" s="646"/>
      <c r="V588" s="646"/>
      <c r="W588" s="646"/>
      <c r="X588" s="646"/>
      <c r="Y588" s="647"/>
    </row>
    <row r="589" spans="1:25" ht="18" customHeight="1" x14ac:dyDescent="0.2">
      <c r="A589" s="337"/>
      <c r="B589" s="337"/>
      <c r="C589" s="648"/>
      <c r="D589" s="649"/>
      <c r="E589" s="649"/>
      <c r="F589" s="649"/>
      <c r="G589" s="649"/>
      <c r="H589" s="649"/>
      <c r="I589" s="649"/>
      <c r="J589" s="649"/>
      <c r="K589" s="649"/>
      <c r="L589" s="649"/>
      <c r="M589" s="649"/>
      <c r="N589" s="649"/>
      <c r="O589" s="649"/>
      <c r="P589" s="649"/>
      <c r="Q589" s="649"/>
      <c r="R589" s="649"/>
      <c r="S589" s="649"/>
      <c r="T589" s="649"/>
      <c r="U589" s="649"/>
      <c r="V589" s="649"/>
      <c r="W589" s="649"/>
      <c r="X589" s="649"/>
      <c r="Y589" s="650"/>
    </row>
    <row r="590" spans="1:25" ht="18" customHeight="1" x14ac:dyDescent="0.2">
      <c r="A590" s="337"/>
      <c r="B590" s="337"/>
      <c r="C590" s="345"/>
      <c r="D590" s="337"/>
      <c r="E590" s="337"/>
      <c r="F590" s="337"/>
      <c r="G590" s="337"/>
      <c r="H590" s="337"/>
      <c r="I590" s="337"/>
      <c r="J590" s="337"/>
      <c r="K590" s="337"/>
      <c r="L590" s="337"/>
      <c r="M590" s="337"/>
      <c r="N590" s="386"/>
      <c r="O590" s="380"/>
    </row>
    <row r="591" spans="1:25" ht="18" customHeight="1" x14ac:dyDescent="0.2">
      <c r="A591" s="337"/>
      <c r="B591" s="337"/>
      <c r="C591" s="345"/>
      <c r="D591" s="337"/>
      <c r="E591" s="337"/>
      <c r="F591" s="337"/>
      <c r="G591" s="337"/>
      <c r="H591" s="337"/>
      <c r="I591" s="337"/>
      <c r="J591" s="337"/>
      <c r="K591" s="337"/>
      <c r="L591" s="337"/>
      <c r="M591" s="337"/>
      <c r="N591" s="386"/>
      <c r="O591" s="380"/>
    </row>
    <row r="592" spans="1:25" ht="18" customHeight="1" x14ac:dyDescent="0.2">
      <c r="A592" s="337"/>
      <c r="B592" s="337"/>
      <c r="C592" s="583" t="s">
        <v>323</v>
      </c>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row>
    <row r="593" spans="1:25" ht="18" customHeight="1" x14ac:dyDescent="0.2">
      <c r="A593" s="337"/>
      <c r="B593" s="337"/>
      <c r="C593" s="592"/>
      <c r="D593" s="592"/>
      <c r="E593" s="592"/>
      <c r="F593" s="592"/>
      <c r="G593" s="592"/>
      <c r="H593" s="592"/>
      <c r="I593" s="592"/>
      <c r="J593" s="592"/>
      <c r="K593" s="592"/>
      <c r="L593" s="592"/>
      <c r="M593" s="592"/>
      <c r="N593" s="592"/>
      <c r="O593" s="592"/>
      <c r="P593" s="592"/>
      <c r="Q593" s="592"/>
      <c r="R593" s="592"/>
      <c r="S593" s="592"/>
      <c r="T593" s="592"/>
      <c r="U593" s="592"/>
      <c r="V593" s="592"/>
      <c r="W593" s="592"/>
      <c r="X593" s="592"/>
      <c r="Y593" s="592"/>
    </row>
    <row r="594" spans="1:25" ht="18" customHeight="1" x14ac:dyDescent="0.2">
      <c r="A594" s="337"/>
      <c r="B594" s="337"/>
      <c r="C594" s="354" t="s">
        <v>234</v>
      </c>
      <c r="D594" s="354"/>
      <c r="E594" s="337"/>
      <c r="H594" s="368"/>
      <c r="I594" s="353" t="s">
        <v>28</v>
      </c>
      <c r="J594" s="588"/>
      <c r="K594" s="588"/>
      <c r="P594" s="339"/>
      <c r="Q594" s="368"/>
      <c r="R594" s="368"/>
      <c r="S594" s="369" t="s">
        <v>29</v>
      </c>
      <c r="T594" s="588"/>
      <c r="U594" s="588"/>
      <c r="V594" s="588"/>
      <c r="W594" s="588"/>
    </row>
    <row r="595" spans="1:25" ht="18" customHeight="1" x14ac:dyDescent="0.2">
      <c r="A595" s="337"/>
      <c r="B595" s="337"/>
      <c r="C595" s="345"/>
      <c r="D595" s="337"/>
      <c r="E595" s="337"/>
      <c r="F595" s="337"/>
      <c r="G595" s="337"/>
      <c r="H595" s="337"/>
      <c r="I595" s="337"/>
      <c r="J595" s="337"/>
      <c r="K595" s="337"/>
      <c r="L595" s="337"/>
      <c r="M595" s="337"/>
      <c r="N595" s="337"/>
      <c r="O595" s="337"/>
    </row>
    <row r="596" spans="1:25" ht="18" customHeight="1" x14ac:dyDescent="0.2">
      <c r="A596" s="337"/>
      <c r="B596" s="337"/>
      <c r="C596" s="345"/>
      <c r="D596" s="337"/>
      <c r="E596" s="337"/>
      <c r="F596" s="337"/>
      <c r="G596" s="337"/>
      <c r="H596" s="337"/>
      <c r="I596" s="337"/>
      <c r="J596" s="337"/>
      <c r="K596" s="337"/>
      <c r="L596" s="337"/>
      <c r="M596" s="337"/>
      <c r="N596" s="337"/>
      <c r="O596" s="337"/>
    </row>
    <row r="597" spans="1:25" ht="18" customHeight="1" x14ac:dyDescent="0.2">
      <c r="A597" s="337"/>
      <c r="B597" s="337"/>
      <c r="C597" s="583" t="s">
        <v>376</v>
      </c>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row>
    <row r="598" spans="1:25" ht="18" customHeight="1" x14ac:dyDescent="0.2">
      <c r="A598" s="337"/>
      <c r="B598" s="337"/>
      <c r="C598" s="592"/>
      <c r="D598" s="592"/>
      <c r="E598" s="592"/>
      <c r="F598" s="592"/>
      <c r="G598" s="592"/>
      <c r="H598" s="592"/>
      <c r="I598" s="592"/>
      <c r="J598" s="592"/>
      <c r="K598" s="592"/>
      <c r="L598" s="592"/>
      <c r="M598" s="592"/>
      <c r="N598" s="592"/>
      <c r="O598" s="592"/>
      <c r="P598" s="592"/>
      <c r="Q598" s="592"/>
      <c r="R598" s="592"/>
      <c r="S598" s="592"/>
      <c r="T598" s="592"/>
      <c r="U598" s="592"/>
      <c r="V598" s="592"/>
      <c r="W598" s="592"/>
      <c r="X598" s="592"/>
      <c r="Y598" s="592"/>
    </row>
    <row r="599" spans="1:25" ht="18" customHeight="1" x14ac:dyDescent="0.2">
      <c r="A599" s="337"/>
      <c r="B599" s="337"/>
      <c r="C599" s="356"/>
      <c r="D599" s="443"/>
      <c r="E599" s="443"/>
      <c r="F599" s="443"/>
      <c r="G599" s="641" t="s">
        <v>265</v>
      </c>
      <c r="H599" s="641"/>
      <c r="I599" s="641"/>
      <c r="J599" s="641"/>
      <c r="K599" s="641"/>
      <c r="L599" s="641"/>
      <c r="M599" s="641"/>
      <c r="N599" s="641"/>
      <c r="O599" s="641"/>
      <c r="P599" s="641"/>
      <c r="Q599" s="641"/>
      <c r="R599" s="641"/>
      <c r="S599" s="641"/>
    </row>
    <row r="600" spans="1:25" ht="18" customHeight="1" x14ac:dyDescent="0.2">
      <c r="A600" s="337"/>
      <c r="B600" s="337"/>
      <c r="C600" s="419"/>
      <c r="D600" s="419"/>
      <c r="E600" s="419"/>
      <c r="F600" s="419"/>
      <c r="G600" s="642"/>
      <c r="H600" s="642"/>
      <c r="I600" s="642"/>
      <c r="J600" s="642"/>
      <c r="K600" s="642"/>
      <c r="L600" s="642"/>
      <c r="M600" s="642"/>
      <c r="N600" s="642"/>
      <c r="O600" s="642"/>
      <c r="P600" s="642"/>
      <c r="Q600" s="642"/>
      <c r="R600" s="642"/>
      <c r="S600" s="642"/>
      <c r="T600" s="590"/>
      <c r="U600" s="590"/>
      <c r="V600" s="590"/>
      <c r="W600" s="590"/>
      <c r="X600" s="591" t="s">
        <v>118</v>
      </c>
      <c r="Y600" s="591"/>
    </row>
    <row r="601" spans="1:25" ht="18" customHeight="1" x14ac:dyDescent="0.2">
      <c r="A601" s="337"/>
      <c r="B601" s="337"/>
      <c r="C601" s="345"/>
      <c r="D601" s="419"/>
      <c r="E601" s="419"/>
      <c r="F601" s="419"/>
      <c r="G601" s="419"/>
      <c r="H601" s="419"/>
      <c r="I601" s="419"/>
      <c r="J601" s="419"/>
      <c r="K601" s="337"/>
      <c r="L601" s="337"/>
      <c r="M601" s="337"/>
      <c r="N601" s="337"/>
      <c r="O601" s="337"/>
    </row>
    <row r="602" spans="1:25" ht="18" customHeight="1" x14ac:dyDescent="0.2">
      <c r="A602" s="337"/>
      <c r="B602" s="337"/>
      <c r="C602" s="337"/>
      <c r="D602" s="337"/>
      <c r="E602" s="337"/>
      <c r="F602" s="337"/>
      <c r="G602" s="337"/>
      <c r="H602" s="337"/>
      <c r="I602" s="337"/>
      <c r="J602" s="337"/>
      <c r="K602" s="444"/>
      <c r="L602" s="337"/>
      <c r="M602" s="337"/>
      <c r="N602" s="337"/>
      <c r="O602" s="337"/>
    </row>
    <row r="603" spans="1:25" ht="35.25" customHeight="1" x14ac:dyDescent="0.2">
      <c r="A603" s="337"/>
      <c r="B603" s="337"/>
      <c r="C603" s="341">
        <v>2</v>
      </c>
      <c r="D603" s="695" t="s">
        <v>385</v>
      </c>
      <c r="E603" s="696"/>
      <c r="F603" s="696"/>
      <c r="G603" s="696"/>
      <c r="H603" s="696"/>
      <c r="I603" s="696"/>
      <c r="J603" s="696"/>
      <c r="K603" s="696"/>
      <c r="L603" s="696"/>
      <c r="M603" s="696"/>
      <c r="N603" s="696"/>
      <c r="O603" s="696"/>
      <c r="P603" s="696"/>
      <c r="Q603" s="696"/>
      <c r="R603" s="696"/>
      <c r="S603" s="696"/>
      <c r="T603" s="696"/>
      <c r="U603" s="696"/>
      <c r="V603" s="696"/>
      <c r="W603" s="696"/>
      <c r="X603" s="696"/>
      <c r="Y603" s="697"/>
    </row>
    <row r="604" spans="1:25" ht="18" customHeight="1" x14ac:dyDescent="0.2">
      <c r="A604" s="337"/>
      <c r="B604" s="337"/>
      <c r="C604" s="337"/>
      <c r="D604" s="337"/>
      <c r="E604" s="337"/>
      <c r="F604" s="337"/>
      <c r="G604" s="337"/>
      <c r="H604" s="337"/>
      <c r="I604" s="337"/>
      <c r="J604" s="337"/>
      <c r="K604" s="337"/>
      <c r="L604" s="337"/>
      <c r="M604" s="337"/>
      <c r="N604" s="337"/>
      <c r="O604" s="337"/>
    </row>
    <row r="605" spans="1:25" ht="18" customHeight="1" x14ac:dyDescent="0.2">
      <c r="A605" s="337"/>
      <c r="B605" s="337"/>
      <c r="C605" s="337"/>
      <c r="D605" s="337"/>
      <c r="E605" s="337"/>
      <c r="F605" s="337"/>
      <c r="G605" s="337"/>
      <c r="H605" s="337"/>
      <c r="I605" s="343" t="s">
        <v>266</v>
      </c>
      <c r="J605" s="643"/>
      <c r="K605" s="644"/>
      <c r="L605" s="337"/>
      <c r="M605" s="337"/>
      <c r="N605" s="337"/>
      <c r="O605" s="337"/>
    </row>
    <row r="606" spans="1:25" ht="18" customHeight="1" x14ac:dyDescent="0.2">
      <c r="A606" s="337"/>
      <c r="B606" s="337"/>
      <c r="C606" s="345"/>
      <c r="D606" s="337"/>
      <c r="E606" s="337"/>
      <c r="F606" s="337"/>
      <c r="G606" s="337"/>
      <c r="H606" s="337"/>
      <c r="I606" s="445"/>
      <c r="J606" s="337"/>
      <c r="K606" s="337"/>
      <c r="L606" s="337"/>
      <c r="M606" s="337"/>
      <c r="N606" s="337"/>
      <c r="O606" s="337"/>
    </row>
    <row r="607" spans="1:25" ht="18" customHeight="1" x14ac:dyDescent="0.2">
      <c r="A607" s="337"/>
      <c r="B607" s="337"/>
      <c r="C607" s="344" t="s">
        <v>267</v>
      </c>
      <c r="D607" s="344"/>
      <c r="E607" s="344"/>
      <c r="F607" s="344"/>
      <c r="G607" s="344"/>
      <c r="H607" s="344"/>
      <c r="I607" s="344"/>
      <c r="J607" s="344"/>
      <c r="K607" s="344"/>
      <c r="L607" s="344"/>
      <c r="M607" s="344"/>
      <c r="N607" s="337"/>
      <c r="O607" s="337"/>
    </row>
    <row r="608" spans="1:25" ht="18" customHeight="1" x14ac:dyDescent="0.2">
      <c r="A608" s="337"/>
      <c r="B608" s="337"/>
      <c r="C608" s="344"/>
      <c r="D608" s="446"/>
      <c r="E608" s="447"/>
      <c r="F608" s="640" t="s">
        <v>0</v>
      </c>
      <c r="G608" s="640"/>
      <c r="H608" s="640"/>
      <c r="I608" s="640" t="s">
        <v>1</v>
      </c>
      <c r="J608" s="640"/>
      <c r="K608" s="640"/>
      <c r="L608" s="640" t="s">
        <v>2</v>
      </c>
      <c r="M608" s="640"/>
      <c r="N608" s="640"/>
      <c r="O608" s="640" t="s">
        <v>3</v>
      </c>
      <c r="P608" s="640"/>
      <c r="Q608" s="640"/>
      <c r="R608" s="640"/>
      <c r="S608" s="640"/>
      <c r="T608" s="640"/>
    </row>
    <row r="609" spans="1:25" ht="18" customHeight="1" x14ac:dyDescent="0.2">
      <c r="A609" s="337"/>
      <c r="B609" s="337"/>
      <c r="C609" s="344"/>
      <c r="D609" s="446"/>
      <c r="E609" s="447"/>
      <c r="F609" s="638"/>
      <c r="G609" s="638"/>
      <c r="H609" s="638"/>
      <c r="I609" s="638"/>
      <c r="J609" s="638"/>
      <c r="K609" s="638"/>
      <c r="L609" s="638"/>
      <c r="M609" s="638"/>
      <c r="N609" s="638"/>
      <c r="O609" s="638"/>
      <c r="P609" s="638"/>
      <c r="Q609" s="638"/>
      <c r="R609" s="638"/>
      <c r="S609" s="638"/>
      <c r="T609" s="638"/>
    </row>
    <row r="610" spans="1:25" ht="18" customHeight="1" x14ac:dyDescent="0.2">
      <c r="A610" s="337"/>
      <c r="B610" s="337"/>
      <c r="C610" s="344"/>
      <c r="D610" s="446"/>
      <c r="E610" s="447"/>
      <c r="F610" s="638"/>
      <c r="G610" s="638"/>
      <c r="H610" s="638"/>
      <c r="I610" s="638"/>
      <c r="J610" s="638"/>
      <c r="K610" s="638"/>
      <c r="L610" s="638"/>
      <c r="M610" s="638"/>
      <c r="N610" s="638"/>
      <c r="O610" s="638"/>
      <c r="P610" s="638"/>
      <c r="Q610" s="638"/>
      <c r="R610" s="638"/>
      <c r="S610" s="638"/>
      <c r="T610" s="638"/>
    </row>
    <row r="611" spans="1:25" ht="18" customHeight="1" x14ac:dyDescent="0.2">
      <c r="A611" s="337"/>
      <c r="B611" s="337"/>
      <c r="C611" s="344"/>
      <c r="D611" s="446"/>
      <c r="E611" s="447"/>
      <c r="F611" s="638"/>
      <c r="G611" s="638"/>
      <c r="H611" s="638"/>
      <c r="I611" s="638"/>
      <c r="J611" s="638"/>
      <c r="K611" s="638"/>
      <c r="L611" s="638"/>
      <c r="M611" s="638"/>
      <c r="N611" s="638"/>
      <c r="O611" s="638"/>
      <c r="P611" s="638"/>
      <c r="Q611" s="638"/>
      <c r="R611" s="638"/>
      <c r="S611" s="638"/>
      <c r="T611" s="638"/>
    </row>
    <row r="612" spans="1:25" ht="18" customHeight="1" x14ac:dyDescent="0.2">
      <c r="A612" s="337"/>
      <c r="B612" s="337"/>
      <c r="C612" s="344"/>
      <c r="D612" s="446"/>
      <c r="E612" s="447"/>
      <c r="F612" s="638"/>
      <c r="G612" s="638"/>
      <c r="H612" s="638"/>
      <c r="I612" s="638"/>
      <c r="J612" s="638"/>
      <c r="K612" s="638"/>
      <c r="L612" s="638"/>
      <c r="M612" s="638"/>
      <c r="N612" s="638"/>
      <c r="O612" s="638"/>
      <c r="P612" s="638"/>
      <c r="Q612" s="638"/>
      <c r="R612" s="638"/>
      <c r="S612" s="638"/>
      <c r="T612" s="638"/>
    </row>
    <row r="613" spans="1:25" ht="18" customHeight="1" x14ac:dyDescent="0.2">
      <c r="A613" s="337"/>
      <c r="B613" s="337"/>
      <c r="C613" s="345"/>
      <c r="D613" s="337"/>
      <c r="E613" s="337"/>
      <c r="F613" s="337"/>
      <c r="G613" s="337"/>
      <c r="H613" s="337"/>
      <c r="I613" s="337"/>
      <c r="J613" s="337"/>
      <c r="K613" s="337"/>
      <c r="L613" s="337"/>
      <c r="M613" s="337"/>
      <c r="N613" s="337"/>
      <c r="O613" s="337"/>
    </row>
    <row r="614" spans="1:25" ht="18" customHeight="1" x14ac:dyDescent="0.2">
      <c r="A614" s="337"/>
      <c r="B614" s="337"/>
      <c r="C614" s="345"/>
      <c r="D614" s="337"/>
      <c r="E614" s="337"/>
      <c r="F614" s="337"/>
      <c r="G614" s="337"/>
      <c r="H614" s="337"/>
      <c r="I614" s="337"/>
      <c r="J614" s="337"/>
      <c r="K614" s="337"/>
      <c r="L614" s="337"/>
      <c r="M614" s="337"/>
      <c r="N614" s="337"/>
      <c r="O614" s="337"/>
    </row>
    <row r="615" spans="1:25" ht="33.75" customHeight="1" x14ac:dyDescent="0.2">
      <c r="A615" s="337"/>
      <c r="B615" s="337"/>
      <c r="C615" s="341" t="s">
        <v>394</v>
      </c>
      <c r="D615" s="695" t="s">
        <v>409</v>
      </c>
      <c r="E615" s="696"/>
      <c r="F615" s="696"/>
      <c r="G615" s="696"/>
      <c r="H615" s="696"/>
      <c r="I615" s="696"/>
      <c r="J615" s="696"/>
      <c r="K615" s="696"/>
      <c r="L615" s="696"/>
      <c r="M615" s="696"/>
      <c r="N615" s="696"/>
      <c r="O615" s="696"/>
      <c r="P615" s="696"/>
      <c r="Q615" s="696"/>
      <c r="R615" s="696"/>
      <c r="S615" s="696"/>
      <c r="T615" s="696"/>
      <c r="U615" s="696"/>
      <c r="V615" s="696"/>
      <c r="W615" s="696"/>
      <c r="X615" s="696"/>
      <c r="Y615" s="697"/>
    </row>
    <row r="616" spans="1:25" ht="18" customHeight="1" x14ac:dyDescent="0.2">
      <c r="A616" s="337"/>
      <c r="B616" s="337"/>
      <c r="C616" s="517"/>
      <c r="D616" s="517"/>
      <c r="E616" s="517"/>
      <c r="F616" s="517"/>
      <c r="G616" s="517"/>
      <c r="H616" s="517"/>
      <c r="I616" s="517"/>
      <c r="J616" s="517"/>
      <c r="K616" s="517"/>
      <c r="L616" s="517"/>
      <c r="M616" s="517"/>
      <c r="N616" s="517"/>
      <c r="O616" s="517"/>
      <c r="P616" s="517"/>
      <c r="Q616" s="517"/>
      <c r="R616" s="517"/>
      <c r="S616" s="517"/>
      <c r="T616" s="517"/>
      <c r="U616" s="517"/>
      <c r="V616" s="517"/>
      <c r="W616" s="517"/>
      <c r="X616" s="517"/>
      <c r="Y616" s="517"/>
    </row>
    <row r="617" spans="1:25" ht="18" customHeight="1" x14ac:dyDescent="0.2">
      <c r="A617" s="337"/>
      <c r="B617" s="337"/>
      <c r="C617" s="581" t="s">
        <v>324</v>
      </c>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row>
    <row r="618" spans="1:25" ht="18" customHeight="1" x14ac:dyDescent="0.2">
      <c r="A618" s="346"/>
      <c r="B618" s="346"/>
      <c r="C618" s="619" t="s">
        <v>74</v>
      </c>
      <c r="D618" s="619"/>
      <c r="E618" s="619"/>
      <c r="F618" s="619"/>
      <c r="G618" s="619"/>
      <c r="H618" s="619"/>
      <c r="I618" s="619"/>
      <c r="J618" s="619"/>
      <c r="K618" s="619"/>
      <c r="L618" s="619"/>
      <c r="M618" s="619"/>
      <c r="N618" s="619"/>
      <c r="O618" s="619"/>
      <c r="P618" s="619"/>
      <c r="Q618" s="619"/>
      <c r="R618" s="619"/>
      <c r="S618" s="619"/>
      <c r="T618" s="448" t="s">
        <v>73</v>
      </c>
      <c r="U618" s="347"/>
      <c r="V618" s="347"/>
      <c r="W618" s="347"/>
      <c r="X618" s="347"/>
      <c r="Y618" s="347"/>
    </row>
    <row r="619" spans="1:25" ht="18" customHeight="1" x14ac:dyDescent="0.2">
      <c r="A619" s="346"/>
      <c r="B619" s="346"/>
      <c r="C619" s="639" t="s">
        <v>377</v>
      </c>
      <c r="D619" s="639"/>
      <c r="E619" s="639"/>
      <c r="F619" s="639"/>
      <c r="G619" s="639"/>
      <c r="H619" s="639"/>
      <c r="I619" s="639"/>
      <c r="J619" s="639"/>
      <c r="K619" s="639"/>
      <c r="L619" s="639"/>
      <c r="M619" s="639"/>
      <c r="N619" s="639"/>
      <c r="O619" s="639"/>
      <c r="P619" s="639"/>
      <c r="Q619" s="639"/>
      <c r="R619" s="639"/>
      <c r="S619" s="639"/>
      <c r="T619" s="590"/>
      <c r="U619" s="590"/>
      <c r="V619" s="590"/>
      <c r="W619" s="590"/>
      <c r="X619" s="579" t="s">
        <v>5</v>
      </c>
      <c r="Y619" s="579"/>
    </row>
    <row r="620" spans="1:25" ht="18" customHeight="1" x14ac:dyDescent="0.2">
      <c r="A620" s="346"/>
      <c r="B620" s="346"/>
      <c r="C620" s="639"/>
      <c r="D620" s="639"/>
      <c r="E620" s="639"/>
      <c r="F620" s="639"/>
      <c r="G620" s="639"/>
      <c r="H620" s="639"/>
      <c r="I620" s="639"/>
      <c r="J620" s="639"/>
      <c r="K620" s="639"/>
      <c r="L620" s="639"/>
      <c r="M620" s="639"/>
      <c r="N620" s="639"/>
      <c r="O620" s="639"/>
      <c r="P620" s="639"/>
      <c r="Q620" s="639"/>
      <c r="R620" s="639"/>
      <c r="S620" s="639"/>
      <c r="T620" s="590"/>
      <c r="U620" s="590"/>
      <c r="V620" s="590"/>
      <c r="W620" s="590"/>
      <c r="X620" s="579"/>
      <c r="Y620" s="579"/>
    </row>
    <row r="621" spans="1:25" ht="18" customHeight="1" x14ac:dyDescent="0.2">
      <c r="A621" s="346"/>
      <c r="B621" s="346"/>
      <c r="C621" s="600" t="s">
        <v>498</v>
      </c>
      <c r="D621" s="601"/>
      <c r="E621" s="601"/>
      <c r="F621" s="601"/>
      <c r="G621" s="601"/>
      <c r="H621" s="601"/>
      <c r="I621" s="601"/>
      <c r="J621" s="601"/>
      <c r="K621" s="601"/>
      <c r="L621" s="601"/>
      <c r="M621" s="601"/>
      <c r="N621" s="601"/>
      <c r="O621" s="601"/>
      <c r="P621" s="601"/>
      <c r="Q621" s="601"/>
      <c r="R621" s="601"/>
      <c r="S621" s="601"/>
      <c r="T621" s="601"/>
      <c r="U621" s="601"/>
      <c r="V621" s="601"/>
      <c r="W621" s="601"/>
      <c r="X621" s="601"/>
      <c r="Y621" s="602"/>
    </row>
    <row r="622" spans="1:25" ht="18" customHeight="1" x14ac:dyDescent="0.2">
      <c r="A622" s="346"/>
      <c r="B622" s="346"/>
      <c r="C622" s="449"/>
      <c r="D622" s="620" t="s">
        <v>1518</v>
      </c>
      <c r="E622" s="620"/>
      <c r="F622" s="620"/>
      <c r="G622" s="620"/>
      <c r="H622" s="620"/>
      <c r="I622" s="620"/>
      <c r="J622" s="620"/>
      <c r="K622" s="620"/>
      <c r="L622" s="620"/>
      <c r="M622" s="620"/>
      <c r="N622" s="620"/>
      <c r="O622" s="620"/>
      <c r="P622" s="620"/>
      <c r="Q622" s="620"/>
      <c r="R622" s="620"/>
      <c r="S622" s="620"/>
      <c r="T622" s="590"/>
      <c r="U622" s="590"/>
      <c r="V622" s="590"/>
      <c r="W622" s="590"/>
      <c r="X622" s="622" t="s">
        <v>5</v>
      </c>
      <c r="Y622" s="623"/>
    </row>
    <row r="623" spans="1:25" ht="18" customHeight="1" x14ac:dyDescent="0.2">
      <c r="A623" s="346"/>
      <c r="B623" s="346"/>
      <c r="C623" s="450"/>
      <c r="D623" s="620" t="s">
        <v>439</v>
      </c>
      <c r="E623" s="620"/>
      <c r="F623" s="620"/>
      <c r="G623" s="620"/>
      <c r="H623" s="620"/>
      <c r="I623" s="620"/>
      <c r="J623" s="620"/>
      <c r="K623" s="620"/>
      <c r="L623" s="620"/>
      <c r="M623" s="620"/>
      <c r="N623" s="620"/>
      <c r="O623" s="620"/>
      <c r="P623" s="620"/>
      <c r="Q623" s="620"/>
      <c r="R623" s="620"/>
      <c r="S623" s="620"/>
      <c r="T623" s="590"/>
      <c r="U623" s="590"/>
      <c r="V623" s="590"/>
      <c r="W623" s="590"/>
      <c r="X623" s="622" t="s">
        <v>5</v>
      </c>
      <c r="Y623" s="623"/>
    </row>
    <row r="624" spans="1:25" ht="18" customHeight="1" x14ac:dyDescent="0.2">
      <c r="A624" s="346"/>
      <c r="B624" s="346"/>
      <c r="C624" s="451"/>
      <c r="D624" s="633" t="s">
        <v>75</v>
      </c>
      <c r="E624" s="633"/>
      <c r="F624" s="633"/>
      <c r="G624" s="633"/>
      <c r="H624" s="633"/>
      <c r="I624" s="633"/>
      <c r="J624" s="633"/>
      <c r="K624" s="633"/>
      <c r="L624" s="633"/>
      <c r="M624" s="633"/>
      <c r="N624" s="633"/>
      <c r="O624" s="633"/>
      <c r="P624" s="633"/>
      <c r="Q624" s="633"/>
      <c r="R624" s="633"/>
      <c r="S624" s="633"/>
      <c r="T624" s="590"/>
      <c r="U624" s="590"/>
      <c r="V624" s="590"/>
      <c r="W624" s="590"/>
      <c r="X624" s="634" t="s">
        <v>5</v>
      </c>
      <c r="Y624" s="635"/>
    </row>
    <row r="625" spans="1:25" ht="18" customHeight="1" x14ac:dyDescent="0.2">
      <c r="A625" s="346"/>
      <c r="B625" s="346"/>
      <c r="C625" s="600" t="s">
        <v>499</v>
      </c>
      <c r="D625" s="601"/>
      <c r="E625" s="601"/>
      <c r="F625" s="601"/>
      <c r="G625" s="601"/>
      <c r="H625" s="601"/>
      <c r="I625" s="601"/>
      <c r="J625" s="601"/>
      <c r="K625" s="601"/>
      <c r="L625" s="601"/>
      <c r="M625" s="601"/>
      <c r="N625" s="601"/>
      <c r="O625" s="601"/>
      <c r="P625" s="601"/>
      <c r="Q625" s="601"/>
      <c r="R625" s="601"/>
      <c r="S625" s="601"/>
      <c r="T625" s="601"/>
      <c r="U625" s="601"/>
      <c r="V625" s="601"/>
      <c r="W625" s="601"/>
      <c r="X625" s="601"/>
      <c r="Y625" s="602"/>
    </row>
    <row r="626" spans="1:25" ht="18" customHeight="1" x14ac:dyDescent="0.2">
      <c r="A626" s="346"/>
      <c r="B626" s="346"/>
      <c r="C626" s="449"/>
      <c r="D626" s="633" t="s">
        <v>1519</v>
      </c>
      <c r="E626" s="633"/>
      <c r="F626" s="633"/>
      <c r="G626" s="633"/>
      <c r="H626" s="633"/>
      <c r="I626" s="633"/>
      <c r="J626" s="633"/>
      <c r="K626" s="633"/>
      <c r="L626" s="633"/>
      <c r="M626" s="633"/>
      <c r="N626" s="633"/>
      <c r="O626" s="633"/>
      <c r="P626" s="633"/>
      <c r="Q626" s="633"/>
      <c r="R626" s="633"/>
      <c r="S626" s="633"/>
      <c r="T626" s="590"/>
      <c r="U626" s="590"/>
      <c r="V626" s="590"/>
      <c r="W626" s="590"/>
      <c r="X626" s="634" t="s">
        <v>5</v>
      </c>
      <c r="Y626" s="635"/>
    </row>
    <row r="627" spans="1:25" ht="18" customHeight="1" x14ac:dyDescent="0.2">
      <c r="A627" s="346"/>
      <c r="B627" s="346"/>
      <c r="C627" s="449"/>
      <c r="D627" s="633" t="s">
        <v>440</v>
      </c>
      <c r="E627" s="633"/>
      <c r="F627" s="633"/>
      <c r="G627" s="633"/>
      <c r="H627" s="633"/>
      <c r="I627" s="633"/>
      <c r="J627" s="633"/>
      <c r="K627" s="633"/>
      <c r="L627" s="633"/>
      <c r="M627" s="633"/>
      <c r="N627" s="633"/>
      <c r="O627" s="633"/>
      <c r="P627" s="633"/>
      <c r="Q627" s="633"/>
      <c r="R627" s="633"/>
      <c r="S627" s="633"/>
      <c r="T627" s="590"/>
      <c r="U627" s="590"/>
      <c r="V627" s="590"/>
      <c r="W627" s="590"/>
      <c r="X627" s="634" t="s">
        <v>5</v>
      </c>
      <c r="Y627" s="635"/>
    </row>
    <row r="628" spans="1:25" ht="18" customHeight="1" x14ac:dyDescent="0.2">
      <c r="A628" s="346"/>
      <c r="B628" s="346"/>
      <c r="C628" s="452"/>
      <c r="D628" s="636" t="s">
        <v>75</v>
      </c>
      <c r="E628" s="636"/>
      <c r="F628" s="636"/>
      <c r="G628" s="636"/>
      <c r="H628" s="636"/>
      <c r="I628" s="636"/>
      <c r="J628" s="636"/>
      <c r="K628" s="636"/>
      <c r="L628" s="636"/>
      <c r="M628" s="636"/>
      <c r="N628" s="636"/>
      <c r="O628" s="636"/>
      <c r="P628" s="636"/>
      <c r="Q628" s="636"/>
      <c r="R628" s="636"/>
      <c r="S628" s="636"/>
      <c r="T628" s="590"/>
      <c r="U628" s="590"/>
      <c r="V628" s="590"/>
      <c r="W628" s="590"/>
      <c r="X628" s="637" t="s">
        <v>5</v>
      </c>
      <c r="Y628" s="604"/>
    </row>
    <row r="629" spans="1:25" ht="18" customHeight="1" x14ac:dyDescent="0.2">
      <c r="A629" s="346"/>
      <c r="B629" s="346"/>
      <c r="C629" s="767" t="s">
        <v>500</v>
      </c>
      <c r="D629" s="768"/>
      <c r="E629" s="768"/>
      <c r="F629" s="768"/>
      <c r="G629" s="768"/>
      <c r="H629" s="768"/>
      <c r="I629" s="768"/>
      <c r="J629" s="768"/>
      <c r="K629" s="768"/>
      <c r="L629" s="768"/>
      <c r="M629" s="768"/>
      <c r="N629" s="768"/>
      <c r="O629" s="768"/>
      <c r="P629" s="768"/>
      <c r="Q629" s="768"/>
      <c r="R629" s="768"/>
      <c r="S629" s="768"/>
      <c r="T629" s="590"/>
      <c r="U629" s="590"/>
      <c r="V629" s="590"/>
      <c r="W629" s="590"/>
      <c r="X629" s="634" t="s">
        <v>5</v>
      </c>
      <c r="Y629" s="635"/>
    </row>
    <row r="630" spans="1:25" ht="18" customHeight="1" x14ac:dyDescent="0.2">
      <c r="A630" s="346"/>
      <c r="B630" s="346"/>
      <c r="C630" s="767" t="s">
        <v>501</v>
      </c>
      <c r="D630" s="768"/>
      <c r="E630" s="768"/>
      <c r="F630" s="768"/>
      <c r="G630" s="768"/>
      <c r="H630" s="768"/>
      <c r="I630" s="768"/>
      <c r="J630" s="768"/>
      <c r="K630" s="768"/>
      <c r="L630" s="768"/>
      <c r="M630" s="768"/>
      <c r="N630" s="768"/>
      <c r="O630" s="768"/>
      <c r="P630" s="768"/>
      <c r="Q630" s="768"/>
      <c r="R630" s="768"/>
      <c r="S630" s="768"/>
      <c r="T630" s="590"/>
      <c r="U630" s="590"/>
      <c r="V630" s="590"/>
      <c r="W630" s="590"/>
      <c r="X630" s="634" t="s">
        <v>5</v>
      </c>
      <c r="Y630" s="635"/>
    </row>
    <row r="631" spans="1:25" ht="18" customHeight="1" thickBot="1" x14ac:dyDescent="0.25">
      <c r="A631" s="346"/>
      <c r="B631" s="346"/>
      <c r="C631" s="625" t="s">
        <v>258</v>
      </c>
      <c r="D631" s="626"/>
      <c r="E631" s="626"/>
      <c r="F631" s="626"/>
      <c r="G631" s="626"/>
      <c r="H631" s="626"/>
      <c r="I631" s="626"/>
      <c r="J631" s="626"/>
      <c r="K631" s="626"/>
      <c r="L631" s="626"/>
      <c r="M631" s="626"/>
      <c r="N631" s="626"/>
      <c r="O631" s="626"/>
      <c r="P631" s="626"/>
      <c r="Q631" s="626"/>
      <c r="R631" s="626"/>
      <c r="S631" s="627"/>
      <c r="T631" s="628" t="str">
        <f>IF(COUNTA($T$626:$W$630,$T$622:$W$624,$T$619)=0,"",SUM($T$626:$W$630,$T$622:$W$624,$T$619))</f>
        <v/>
      </c>
      <c r="U631" s="628"/>
      <c r="V631" s="628"/>
      <c r="W631" s="628"/>
      <c r="X631" s="579" t="s">
        <v>5</v>
      </c>
      <c r="Y631" s="579"/>
    </row>
    <row r="632" spans="1:25" ht="18" customHeight="1" thickBot="1" x14ac:dyDescent="0.25">
      <c r="A632" s="346"/>
      <c r="B632" s="346"/>
      <c r="C632" s="345"/>
      <c r="D632" s="453"/>
      <c r="E632" s="453"/>
      <c r="F632" s="453"/>
      <c r="G632" s="453"/>
      <c r="H632" s="453"/>
      <c r="I632" s="453"/>
      <c r="J632" s="453"/>
      <c r="K632" s="454"/>
      <c r="L632" s="455"/>
      <c r="M632" s="455"/>
      <c r="N632" s="455"/>
      <c r="O632" s="346"/>
      <c r="P632" s="346"/>
      <c r="Q632" s="347"/>
      <c r="R632" s="347"/>
      <c r="S632" s="347"/>
      <c r="T632" s="395"/>
      <c r="U632" s="396"/>
      <c r="V632" s="396"/>
      <c r="W632" s="397" t="str">
        <f>IF(COUNTIF($T$626:$T$630,0)+COUNTIF($T$622:$T$624,0)+COUNTIF($T$619,0)&gt;0,"Supprimez les valeurs nulles.",IF(COUNTA($T$619,$T$622:$W$624,$T$626:$W$630)=0,"",CONCATENATE(CONCATENATE(IF(AND($J$456="X",MIN($T$619,$T$622:$W$624,$T$626:$W$630)*$T$107*100&lt;15625),"La part d'un type de couvert végétal est inférieure à la surface minimale cartographiable choisie (15 625 m²). ",IF(AND($T$456="X",MIN($T$619,$T$622:$W$624,$T$626:$W$630)*$T$107*100&lt;2500)," La part d'un type de couvert végétal est inférieure à la surface minimale cartographiable choisie (2500 m²). ",IF(AND($J$457="X",MIN($T$619,$T$622:$W$624,$T$626:$W$630)*$T$107*100&lt;625)," La part d'un type de couvert végétal est inférieure à la surface minimale cartographiable choisie (625 m²). ",IF(AND($T$457="X",MIN($T$619,$T$622:$W$624,$T$626:$W$630)*$T$107*100&lt;156)," La part d'un type de couvert végétal est inférieure à la surface minimale cartographiable choisie (156 m²). ",""))))),IF($T$631="","",IF(COUNTA($T$619,$T$622:$T$624,$T$626:$T$630)=0,"Renseignez la proportion du site occupée par les différents types de couverts végétaux. ",IF($T$631&lt;&gt;100,"La somme des proportions du site occupée par les différents types de couverts végétaux doit être égale à 100%. ",""))))))</f>
        <v/>
      </c>
      <c r="X632" s="347"/>
      <c r="Y632" s="347"/>
    </row>
    <row r="633" spans="1:25" ht="18" customHeight="1" x14ac:dyDescent="0.2">
      <c r="A633" s="346"/>
      <c r="B633" s="346"/>
      <c r="C633" s="345"/>
      <c r="D633" s="453"/>
      <c r="E633" s="453"/>
      <c r="F633" s="453"/>
      <c r="G633" s="453"/>
      <c r="H633" s="453"/>
      <c r="I633" s="453"/>
      <c r="J633" s="453"/>
      <c r="K633" s="453"/>
      <c r="L633" s="456"/>
      <c r="M633" s="455"/>
      <c r="N633" s="455"/>
      <c r="O633" s="346"/>
      <c r="P633" s="346"/>
      <c r="Q633" s="347"/>
      <c r="R633" s="347"/>
      <c r="S633" s="347"/>
      <c r="T633" s="457"/>
      <c r="U633" s="457"/>
      <c r="V633" s="347"/>
      <c r="W633" s="398"/>
      <c r="X633" s="347"/>
      <c r="Y633" s="347"/>
    </row>
    <row r="634" spans="1:25" ht="18" customHeight="1" x14ac:dyDescent="0.2">
      <c r="A634" s="337"/>
      <c r="B634" s="337"/>
      <c r="C634" s="583" t="s">
        <v>755</v>
      </c>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row>
    <row r="635" spans="1:25" ht="18" customHeight="1" x14ac:dyDescent="0.2">
      <c r="A635" s="337"/>
      <c r="B635" s="337"/>
      <c r="C635" s="592"/>
      <c r="D635" s="592"/>
      <c r="E635" s="592"/>
      <c r="F635" s="592"/>
      <c r="G635" s="592"/>
      <c r="H635" s="592"/>
      <c r="I635" s="592"/>
      <c r="J635" s="592"/>
      <c r="K635" s="592"/>
      <c r="L635" s="592"/>
      <c r="M635" s="592"/>
      <c r="N635" s="592"/>
      <c r="O635" s="592"/>
      <c r="P635" s="592"/>
      <c r="Q635" s="592"/>
      <c r="R635" s="592"/>
      <c r="S635" s="592"/>
      <c r="T635" s="592"/>
      <c r="U635" s="592"/>
      <c r="V635" s="592"/>
      <c r="W635" s="592"/>
      <c r="X635" s="592"/>
      <c r="Y635" s="592"/>
    </row>
    <row r="636" spans="1:25" ht="18" customHeight="1" x14ac:dyDescent="0.2">
      <c r="A636" s="337"/>
      <c r="B636" s="337"/>
      <c r="C636" s="619" t="s">
        <v>225</v>
      </c>
      <c r="D636" s="619"/>
      <c r="E636" s="619"/>
      <c r="F636" s="619"/>
      <c r="G636" s="619"/>
      <c r="H636" s="619"/>
      <c r="I636" s="619"/>
      <c r="J636" s="619"/>
      <c r="K636" s="619"/>
      <c r="L636" s="619"/>
      <c r="M636" s="619"/>
      <c r="N636" s="619"/>
      <c r="O636" s="619"/>
      <c r="P636" s="619"/>
      <c r="Q636" s="619"/>
      <c r="R636" s="619"/>
      <c r="S636" s="619"/>
      <c r="T636" s="448" t="s">
        <v>73</v>
      </c>
      <c r="U636" s="347"/>
      <c r="V636" s="347"/>
      <c r="W636" s="347"/>
      <c r="X636" s="347"/>
      <c r="Y636" s="347"/>
    </row>
    <row r="637" spans="1:25" ht="18" customHeight="1" x14ac:dyDescent="0.2">
      <c r="A637" s="337"/>
      <c r="B637" s="337"/>
      <c r="C637" s="600" t="s">
        <v>220</v>
      </c>
      <c r="D637" s="601"/>
      <c r="E637" s="601"/>
      <c r="F637" s="601"/>
      <c r="G637" s="601"/>
      <c r="H637" s="601"/>
      <c r="I637" s="601"/>
      <c r="J637" s="601"/>
      <c r="K637" s="601"/>
      <c r="L637" s="601"/>
      <c r="M637" s="601"/>
      <c r="N637" s="601"/>
      <c r="O637" s="601"/>
      <c r="P637" s="601"/>
      <c r="Q637" s="601"/>
      <c r="R637" s="601"/>
      <c r="S637" s="602"/>
      <c r="T637" s="629"/>
      <c r="U637" s="630"/>
      <c r="V637" s="630"/>
      <c r="W637" s="631"/>
      <c r="X637" s="632" t="s">
        <v>5</v>
      </c>
      <c r="Y637" s="623"/>
    </row>
    <row r="638" spans="1:25" ht="18" customHeight="1" x14ac:dyDescent="0.2">
      <c r="A638" s="337"/>
      <c r="B638" s="337"/>
      <c r="C638" s="600" t="s">
        <v>227</v>
      </c>
      <c r="D638" s="601"/>
      <c r="E638" s="601"/>
      <c r="F638" s="601"/>
      <c r="G638" s="601"/>
      <c r="H638" s="601"/>
      <c r="I638" s="601"/>
      <c r="J638" s="601"/>
      <c r="K638" s="601"/>
      <c r="L638" s="601"/>
      <c r="M638" s="601"/>
      <c r="N638" s="601"/>
      <c r="O638" s="601"/>
      <c r="P638" s="601"/>
      <c r="Q638" s="601"/>
      <c r="R638" s="601"/>
      <c r="S638" s="601"/>
      <c r="T638" s="458"/>
      <c r="U638" s="458"/>
      <c r="V638" s="458"/>
      <c r="W638" s="458"/>
      <c r="X638" s="458"/>
      <c r="Y638" s="459"/>
    </row>
    <row r="639" spans="1:25" ht="18" customHeight="1" x14ac:dyDescent="0.2">
      <c r="A639" s="337"/>
      <c r="B639" s="337"/>
      <c r="C639" s="449"/>
      <c r="D639" s="620" t="s">
        <v>221</v>
      </c>
      <c r="E639" s="620"/>
      <c r="F639" s="620"/>
      <c r="G639" s="620"/>
      <c r="H639" s="620"/>
      <c r="I639" s="620"/>
      <c r="J639" s="620"/>
      <c r="K639" s="620"/>
      <c r="L639" s="620"/>
      <c r="M639" s="620"/>
      <c r="N639" s="620"/>
      <c r="O639" s="620"/>
      <c r="P639" s="620"/>
      <c r="Q639" s="620"/>
      <c r="R639" s="620"/>
      <c r="S639" s="620"/>
      <c r="T639" s="621"/>
      <c r="U639" s="621"/>
      <c r="V639" s="621"/>
      <c r="W639" s="621"/>
      <c r="X639" s="622" t="s">
        <v>5</v>
      </c>
      <c r="Y639" s="623"/>
    </row>
    <row r="640" spans="1:25" ht="18" customHeight="1" x14ac:dyDescent="0.2">
      <c r="A640" s="337"/>
      <c r="B640" s="337"/>
      <c r="C640" s="451"/>
      <c r="D640" s="624" t="s">
        <v>222</v>
      </c>
      <c r="E640" s="577"/>
      <c r="F640" s="577"/>
      <c r="G640" s="577"/>
      <c r="H640" s="577"/>
      <c r="I640" s="577"/>
      <c r="J640" s="577"/>
      <c r="K640" s="577"/>
      <c r="L640" s="577"/>
      <c r="M640" s="577"/>
      <c r="N640" s="577"/>
      <c r="O640" s="577"/>
      <c r="P640" s="577"/>
      <c r="Q640" s="577"/>
      <c r="R640" s="577"/>
      <c r="S640" s="577"/>
      <c r="T640" s="588"/>
      <c r="U640" s="588"/>
      <c r="V640" s="588"/>
      <c r="W640" s="588"/>
      <c r="X640" s="579" t="s">
        <v>5</v>
      </c>
      <c r="Y640" s="579"/>
    </row>
    <row r="641" spans="1:25" ht="18" customHeight="1" thickBot="1" x14ac:dyDescent="0.25">
      <c r="C641" s="611" t="s">
        <v>486</v>
      </c>
      <c r="D641" s="612"/>
      <c r="E641" s="612"/>
      <c r="F641" s="612"/>
      <c r="G641" s="612"/>
      <c r="H641" s="612"/>
      <c r="I641" s="612"/>
      <c r="J641" s="612"/>
      <c r="K641" s="612"/>
      <c r="L641" s="612"/>
      <c r="M641" s="612"/>
      <c r="N641" s="612"/>
      <c r="O641" s="612"/>
      <c r="P641" s="612"/>
      <c r="Q641" s="612"/>
      <c r="R641" s="612"/>
      <c r="S641" s="613"/>
      <c r="T641" s="614" t="str">
        <f>IF(COUNTA($T$639:$W$640,$T$637)=0,"",SUM($T$639:$W$640,$T$637))</f>
        <v/>
      </c>
      <c r="U641" s="615"/>
      <c r="V641" s="615"/>
      <c r="W641" s="616"/>
      <c r="X641" s="617" t="s">
        <v>5</v>
      </c>
      <c r="Y641" s="618"/>
    </row>
    <row r="642" spans="1:25" ht="18" customHeight="1" thickBot="1" x14ac:dyDescent="0.25">
      <c r="A642" s="337"/>
      <c r="B642" s="337"/>
      <c r="C642" s="345"/>
      <c r="D642" s="382"/>
      <c r="E642" s="382"/>
      <c r="F642" s="382"/>
      <c r="G642" s="382"/>
      <c r="H642" s="382"/>
      <c r="I642" s="382"/>
      <c r="J642" s="382"/>
      <c r="K642" s="460"/>
      <c r="L642" s="382"/>
      <c r="M642" s="382"/>
      <c r="N642" s="382"/>
      <c r="O642" s="382"/>
      <c r="P642" s="382"/>
      <c r="Q642" s="382"/>
      <c r="R642" s="382"/>
      <c r="S642" s="382"/>
      <c r="T642" s="395"/>
      <c r="U642" s="396"/>
      <c r="V642" s="396"/>
      <c r="W642" s="397" t="str">
        <f>CONCATENATE(IF(COUNTIF($C$465:$C$479,"FA.1")+COUNTIF($C$465:$C$479,"FB.1")+COUNTIF($C$465:$C$479,"FB.2")+COUNTIF($C$465:$C$479,"FB.3")+COUNTIF($C$465:$C$479,"FB.4")=0,"",IF(AND(OR(COUNTIF($C$465:$C$479,"FA.1")&gt;0,COUNTIF($C$465:$C$479,"FB.1")&gt;0,COUNTIF($C$465:$C$479,"FB.2")&gt;0,COUNTIF($C$465:$C$479,"FB.3")&gt;0,COUNTIF($C$465:$C$479,"FB.4")&gt;0),COUNTA($T$637,$T$639:$T$640)=0),"Les habitats mentionnés ici ont été observés dans le site (voir question 39), renseignez les types de couverts herbacés.",IF($T$641&lt;&gt;(SUMIF($C$465:$C$479,"FA.1",$T$465:$T$479)+SUMIF($C$465:$C$479,"FB.1",$T$465:$T$479)+SUMIF($C$465:$C$479,"FB.2",$T$465:$T$479)+SUMIF($C$465:$C$479,"FB.3",$T$465:$T$479)+SUMIF($C$465:$C$479,"FB.4",$T$465:$T$479)),"La somme renseignée ici doit être égale à la somme des proportions des habitats FA.1, FB.1, FB.2, FB.3, FB.4 dans le site. ",""))),IF(AND(COUNTIF($C$465:$C$479,"FA.1")+COUNTIF($C$465:$C$479,"FB.1")+COUNTIF($C$465:$C$479,"FB.2")+COUNTIF($C$465:$C$479,"FB.3")+COUNTIF($C$465:$C$479,"FB.4")=0,SUM($T$637,$T$639:$T$640)&gt;0),"Les habitats mentionnés ici n’ont pas été détectés dans la question 39, ne répondez pas à la question. ",""))</f>
        <v/>
      </c>
      <c r="X642" s="382"/>
      <c r="Y642" s="382"/>
    </row>
    <row r="643" spans="1:25" ht="18" customHeight="1" x14ac:dyDescent="0.2">
      <c r="A643" s="337"/>
      <c r="B643" s="337"/>
      <c r="C643" s="345"/>
      <c r="D643" s="382"/>
      <c r="E643" s="382"/>
      <c r="F643" s="382"/>
      <c r="G643" s="382"/>
      <c r="H643" s="382"/>
      <c r="I643" s="382"/>
      <c r="J643" s="382"/>
      <c r="K643" s="382"/>
      <c r="L643" s="382"/>
      <c r="M643" s="382"/>
      <c r="N643" s="382"/>
      <c r="O643" s="382"/>
      <c r="P643" s="382"/>
      <c r="Q643" s="382"/>
      <c r="R643" s="382"/>
      <c r="S643" s="382"/>
      <c r="T643" s="347"/>
      <c r="U643" s="347"/>
      <c r="V643" s="347"/>
      <c r="W643" s="382"/>
      <c r="X643" s="382"/>
      <c r="Y643" s="382"/>
    </row>
    <row r="644" spans="1:25" ht="18" customHeight="1" x14ac:dyDescent="0.2">
      <c r="A644" s="337"/>
      <c r="B644" s="337"/>
      <c r="C644" s="583" t="s">
        <v>756</v>
      </c>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row>
    <row r="645" spans="1:25" ht="18" customHeight="1" x14ac:dyDescent="0.2">
      <c r="A645" s="337"/>
      <c r="B645" s="337"/>
      <c r="C645" s="592"/>
      <c r="D645" s="592"/>
      <c r="E645" s="592"/>
      <c r="F645" s="592"/>
      <c r="G645" s="592"/>
      <c r="H645" s="592"/>
      <c r="I645" s="592"/>
      <c r="J645" s="592"/>
      <c r="K645" s="592"/>
      <c r="L645" s="592"/>
      <c r="M645" s="592"/>
      <c r="N645" s="592"/>
      <c r="O645" s="592"/>
      <c r="P645" s="592"/>
      <c r="Q645" s="592"/>
      <c r="R645" s="592"/>
      <c r="S645" s="592"/>
      <c r="T645" s="592"/>
      <c r="U645" s="592"/>
      <c r="V645" s="592"/>
      <c r="W645" s="592"/>
      <c r="X645" s="592"/>
      <c r="Y645" s="592"/>
    </row>
    <row r="646" spans="1:25" ht="18" customHeight="1" x14ac:dyDescent="0.2">
      <c r="A646" s="337"/>
      <c r="B646" s="337"/>
      <c r="C646" s="619" t="s">
        <v>226</v>
      </c>
      <c r="D646" s="619"/>
      <c r="E646" s="619"/>
      <c r="F646" s="619"/>
      <c r="G646" s="619"/>
      <c r="H646" s="619"/>
      <c r="I646" s="619"/>
      <c r="J646" s="619"/>
      <c r="K646" s="619"/>
      <c r="L646" s="619"/>
      <c r="M646" s="619"/>
      <c r="N646" s="619"/>
      <c r="O646" s="619"/>
      <c r="P646" s="619"/>
      <c r="Q646" s="619"/>
      <c r="R646" s="619"/>
      <c r="S646" s="619"/>
      <c r="T646" s="461" t="s">
        <v>73</v>
      </c>
      <c r="U646" s="462"/>
      <c r="V646" s="462"/>
      <c r="W646" s="462"/>
      <c r="X646" s="462"/>
      <c r="Y646" s="462"/>
    </row>
    <row r="647" spans="1:25" ht="18" customHeight="1" x14ac:dyDescent="0.2">
      <c r="A647" s="337"/>
      <c r="B647" s="337"/>
      <c r="C647" s="600" t="s">
        <v>220</v>
      </c>
      <c r="D647" s="601"/>
      <c r="E647" s="601"/>
      <c r="F647" s="601"/>
      <c r="G647" s="601"/>
      <c r="H647" s="601"/>
      <c r="I647" s="601"/>
      <c r="J647" s="601"/>
      <c r="K647" s="601"/>
      <c r="L647" s="601"/>
      <c r="M647" s="601"/>
      <c r="N647" s="601"/>
      <c r="O647" s="601"/>
      <c r="P647" s="601"/>
      <c r="Q647" s="601"/>
      <c r="R647" s="601"/>
      <c r="S647" s="601"/>
      <c r="T647" s="601"/>
      <c r="U647" s="601"/>
      <c r="V647" s="601"/>
      <c r="W647" s="601"/>
      <c r="X647" s="601"/>
      <c r="Y647" s="602"/>
    </row>
    <row r="648" spans="1:25" ht="18" customHeight="1" x14ac:dyDescent="0.2">
      <c r="A648" s="337"/>
      <c r="C648" s="463"/>
      <c r="D648" s="562" t="s">
        <v>517</v>
      </c>
      <c r="E648" s="562"/>
      <c r="F648" s="562"/>
      <c r="G648" s="562"/>
      <c r="H648" s="562"/>
      <c r="I648" s="562"/>
      <c r="J648" s="562"/>
      <c r="K648" s="562"/>
      <c r="L648" s="562"/>
      <c r="M648" s="562"/>
      <c r="N648" s="562"/>
      <c r="O648" s="562"/>
      <c r="P648" s="562"/>
      <c r="Q648" s="562"/>
      <c r="R648" s="562"/>
      <c r="S648" s="562"/>
      <c r="T648" s="599"/>
      <c r="U648" s="599"/>
      <c r="V648" s="599"/>
      <c r="W648" s="599"/>
      <c r="X648" s="579" t="s">
        <v>5</v>
      </c>
      <c r="Y648" s="579"/>
    </row>
    <row r="649" spans="1:25" ht="18" customHeight="1" x14ac:dyDescent="0.2">
      <c r="A649" s="337"/>
      <c r="C649" s="463"/>
      <c r="D649" s="597" t="s">
        <v>518</v>
      </c>
      <c r="E649" s="598"/>
      <c r="F649" s="598"/>
      <c r="G649" s="598"/>
      <c r="H649" s="598"/>
      <c r="I649" s="598"/>
      <c r="J649" s="598"/>
      <c r="K649" s="598"/>
      <c r="L649" s="598"/>
      <c r="M649" s="598"/>
      <c r="N649" s="598"/>
      <c r="O649" s="598"/>
      <c r="P649" s="598"/>
      <c r="Q649" s="598"/>
      <c r="R649" s="598"/>
      <c r="S649" s="598"/>
      <c r="T649" s="599"/>
      <c r="U649" s="599"/>
      <c r="V649" s="599"/>
      <c r="W649" s="599"/>
      <c r="X649" s="603" t="s">
        <v>5</v>
      </c>
      <c r="Y649" s="604"/>
    </row>
    <row r="650" spans="1:25" ht="18" customHeight="1" x14ac:dyDescent="0.2">
      <c r="A650" s="337"/>
      <c r="C650" s="600" t="s">
        <v>223</v>
      </c>
      <c r="D650" s="601"/>
      <c r="E650" s="601"/>
      <c r="F650" s="601"/>
      <c r="G650" s="601"/>
      <c r="H650" s="601"/>
      <c r="I650" s="601"/>
      <c r="J650" s="601"/>
      <c r="K650" s="601"/>
      <c r="L650" s="601"/>
      <c r="M650" s="601"/>
      <c r="N650" s="601"/>
      <c r="O650" s="601"/>
      <c r="P650" s="601"/>
      <c r="Q650" s="601"/>
      <c r="R650" s="601"/>
      <c r="S650" s="601"/>
      <c r="T650" s="601"/>
      <c r="U650" s="601"/>
      <c r="V650" s="601"/>
      <c r="W650" s="601"/>
      <c r="X650" s="601"/>
      <c r="Y650" s="602"/>
    </row>
    <row r="651" spans="1:25" ht="18" customHeight="1" x14ac:dyDescent="0.2">
      <c r="A651" s="337"/>
      <c r="C651" s="463"/>
      <c r="D651" s="597" t="s">
        <v>517</v>
      </c>
      <c r="E651" s="598"/>
      <c r="F651" s="598"/>
      <c r="G651" s="598"/>
      <c r="H651" s="598"/>
      <c r="I651" s="598"/>
      <c r="J651" s="598"/>
      <c r="K651" s="598"/>
      <c r="L651" s="598"/>
      <c r="M651" s="598"/>
      <c r="N651" s="598"/>
      <c r="O651" s="598"/>
      <c r="P651" s="598"/>
      <c r="Q651" s="598"/>
      <c r="R651" s="598"/>
      <c r="S651" s="598"/>
      <c r="T651" s="599"/>
      <c r="U651" s="599"/>
      <c r="V651" s="599"/>
      <c r="W651" s="599"/>
      <c r="X651" s="579" t="s">
        <v>5</v>
      </c>
      <c r="Y651" s="579"/>
    </row>
    <row r="652" spans="1:25" ht="18" customHeight="1" x14ac:dyDescent="0.2">
      <c r="A652" s="337"/>
      <c r="C652" s="464"/>
      <c r="D652" s="605" t="s">
        <v>519</v>
      </c>
      <c r="E652" s="606"/>
      <c r="F652" s="606"/>
      <c r="G652" s="606"/>
      <c r="H652" s="606"/>
      <c r="I652" s="606"/>
      <c r="J652" s="606"/>
      <c r="K652" s="606"/>
      <c r="L652" s="606"/>
      <c r="M652" s="606"/>
      <c r="N652" s="606"/>
      <c r="O652" s="606"/>
      <c r="P652" s="606"/>
      <c r="Q652" s="606"/>
      <c r="R652" s="606"/>
      <c r="S652" s="607"/>
      <c r="T652" s="599"/>
      <c r="U652" s="599"/>
      <c r="V652" s="599"/>
      <c r="W652" s="599"/>
      <c r="X652" s="579" t="s">
        <v>5</v>
      </c>
      <c r="Y652" s="579"/>
    </row>
    <row r="653" spans="1:25" ht="18" customHeight="1" x14ac:dyDescent="0.2">
      <c r="A653" s="337"/>
      <c r="C653" s="600" t="s">
        <v>520</v>
      </c>
      <c r="D653" s="601"/>
      <c r="E653" s="601"/>
      <c r="F653" s="601"/>
      <c r="G653" s="601"/>
      <c r="H653" s="601"/>
      <c r="I653" s="601"/>
      <c r="J653" s="601"/>
      <c r="K653" s="601"/>
      <c r="L653" s="601"/>
      <c r="M653" s="601"/>
      <c r="N653" s="601"/>
      <c r="O653" s="601"/>
      <c r="P653" s="601"/>
      <c r="Q653" s="601"/>
      <c r="R653" s="601"/>
      <c r="S653" s="601"/>
      <c r="T653" s="601"/>
      <c r="U653" s="601"/>
      <c r="V653" s="601"/>
      <c r="W653" s="601"/>
      <c r="X653" s="601"/>
      <c r="Y653" s="602"/>
    </row>
    <row r="654" spans="1:25" ht="18" customHeight="1" x14ac:dyDescent="0.2">
      <c r="A654" s="337"/>
      <c r="C654" s="608" t="s">
        <v>224</v>
      </c>
      <c r="D654" s="609"/>
      <c r="E654" s="609"/>
      <c r="F654" s="609"/>
      <c r="G654" s="609"/>
      <c r="H654" s="609"/>
      <c r="I654" s="609"/>
      <c r="J654" s="609"/>
      <c r="K654" s="609"/>
      <c r="L654" s="609"/>
      <c r="M654" s="609"/>
      <c r="N654" s="609"/>
      <c r="O654" s="609"/>
      <c r="P654" s="609"/>
      <c r="Q654" s="609"/>
      <c r="R654" s="609"/>
      <c r="S654" s="610"/>
      <c r="T654" s="599"/>
      <c r="U654" s="599"/>
      <c r="V654" s="599"/>
      <c r="W654" s="599"/>
      <c r="X654" s="579" t="s">
        <v>5</v>
      </c>
      <c r="Y654" s="579"/>
    </row>
    <row r="655" spans="1:25" ht="18" customHeight="1" thickBot="1" x14ac:dyDescent="0.25">
      <c r="C655" s="611" t="s">
        <v>486</v>
      </c>
      <c r="D655" s="612"/>
      <c r="E655" s="612"/>
      <c r="F655" s="612"/>
      <c r="G655" s="612"/>
      <c r="H655" s="612"/>
      <c r="I655" s="612"/>
      <c r="J655" s="612"/>
      <c r="K655" s="612"/>
      <c r="L655" s="612"/>
      <c r="M655" s="612"/>
      <c r="N655" s="612"/>
      <c r="O655" s="612"/>
      <c r="P655" s="612"/>
      <c r="Q655" s="612"/>
      <c r="R655" s="612"/>
      <c r="S655" s="613"/>
      <c r="T655" s="614" t="str">
        <f>IF(COUNTA($T$648:$W$649,$T$651:$W$652,$T$654)=0,"",SUM($T$648:$W$649,$T$651:$W$652,$T$654))</f>
        <v/>
      </c>
      <c r="U655" s="615"/>
      <c r="V655" s="615"/>
      <c r="W655" s="616"/>
      <c r="X655" s="790" t="s">
        <v>5</v>
      </c>
      <c r="Y655" s="683"/>
    </row>
    <row r="656" spans="1:25" ht="18" customHeight="1" thickBot="1" x14ac:dyDescent="0.25">
      <c r="A656" s="337"/>
      <c r="B656" s="337"/>
      <c r="C656" s="345"/>
      <c r="D656" s="337"/>
      <c r="E656" s="337"/>
      <c r="F656" s="337"/>
      <c r="G656" s="337"/>
      <c r="H656" s="337"/>
      <c r="I656" s="337"/>
      <c r="J656" s="337"/>
      <c r="K656" s="337"/>
      <c r="L656" s="337"/>
      <c r="M656" s="337"/>
      <c r="N656" s="337"/>
      <c r="O656" s="337"/>
      <c r="T656" s="395"/>
      <c r="U656" s="396"/>
      <c r="V656" s="396"/>
      <c r="W656" s="397" t="str">
        <f>CONCATENATE(IF(COUNTIF($C$465:$C$479,"G1.C")+COUNTIF($C$465:$C$479,"G1.D")+COUNTIF($C$465:$C$479,"G2.8")+COUNTIF($C$465:$C$479,"G2.9")+COUNTIF($C$465:$C$479,"G3.F")=0,"",IF(AND(OR(COUNTIF($C$465:$C$479,"G1.C")&gt;0,COUNTIF($C$465:$C$479,"G1.D")&gt;0,COUNTIF($C$465:$C$479,"G2.8")&gt;0,COUNTIF($C$465:$C$479,"G2.9")&gt;0,COUNTIF($C$465:$C$479,"G3.F")&gt;0),COUNTA($T$648:$W$649,$T$651:$W$652,$T$654)=0),"Les habitats mentionnés ici ont été observés dans le site (voir question 39), renseignez les types de couverts herbacés et arbustifs. ",IF($T$655&lt;&gt;(SUMIF($C$465:$C$479,"G1.C",T465:T479)+SUMIF($C$465:$C$479,"G1.D",$T$465:$T$479)+SUMIF($C$465:$C$479,"G2.8",$T$465:$T$479)+SUMIF($C$465:$C$479,"G2.9",$T$465:$T$479)+SUMIF($C$465:$C$479,"G3.F",$T$465:$T$479)),"La somme renseignée ici doit être égale à la somme des proportions des habitats G1.C, G1.D, G2.8, G2.9, G3.F dans le site. ",""))),IF(AND(COUNTIF($C$465:$C$479,"G1.C")+COUNTIF($C$465:$C$479,"G1.D")+COUNTIF($C$465:$C$479,"G2.8")+COUNTIF($C$465:$C$479,"G2.9")+COUNTIF($C$465:$C$479,"G3.F")=0,SUM($T$648:$W$649,$T$651:$W$652,$T$654)&gt;0),"Les habitats mentionnés ici n’ont pas été détectés dans la question 39, ne répondez pas à la question. ",""))</f>
        <v/>
      </c>
      <c r="Y656" s="465"/>
    </row>
    <row r="657" spans="1:25" ht="18" customHeight="1" x14ac:dyDescent="0.2">
      <c r="A657" s="337"/>
      <c r="B657" s="337"/>
      <c r="C657" s="345"/>
      <c r="D657" s="337"/>
      <c r="E657" s="337"/>
      <c r="F657" s="337"/>
      <c r="G657" s="337"/>
      <c r="H657" s="337"/>
      <c r="I657" s="337"/>
      <c r="J657" s="337"/>
      <c r="K657" s="337"/>
      <c r="L657" s="337"/>
      <c r="M657" s="337"/>
      <c r="N657" s="337"/>
      <c r="O657" s="337"/>
      <c r="T657" s="347"/>
      <c r="U657" s="347"/>
      <c r="V657" s="347"/>
      <c r="W657" s="398"/>
    </row>
    <row r="658" spans="1:25" ht="33.75" customHeight="1" x14ac:dyDescent="0.2">
      <c r="A658" s="337"/>
      <c r="B658" s="337"/>
      <c r="C658" s="341" t="s">
        <v>393</v>
      </c>
      <c r="D658" s="695" t="s">
        <v>410</v>
      </c>
      <c r="E658" s="696"/>
      <c r="F658" s="696"/>
      <c r="G658" s="696"/>
      <c r="H658" s="696"/>
      <c r="I658" s="696"/>
      <c r="J658" s="696"/>
      <c r="K658" s="696"/>
      <c r="L658" s="696"/>
      <c r="M658" s="696"/>
      <c r="N658" s="696"/>
      <c r="O658" s="696"/>
      <c r="P658" s="696"/>
      <c r="Q658" s="696"/>
      <c r="R658" s="696"/>
      <c r="S658" s="696"/>
      <c r="T658" s="696"/>
      <c r="U658" s="696"/>
      <c r="V658" s="696"/>
      <c r="W658" s="696"/>
      <c r="X658" s="696"/>
      <c r="Y658" s="697"/>
    </row>
    <row r="659" spans="1:25" ht="18" customHeight="1" x14ac:dyDescent="0.2">
      <c r="A659" s="337"/>
      <c r="B659" s="337"/>
      <c r="C659" s="517"/>
      <c r="D659" s="517"/>
      <c r="E659" s="517"/>
      <c r="F659" s="517"/>
      <c r="G659" s="517"/>
      <c r="H659" s="517"/>
      <c r="I659" s="517"/>
      <c r="J659" s="517"/>
      <c r="K659" s="517"/>
      <c r="L659" s="517"/>
      <c r="M659" s="517"/>
      <c r="N659" s="517"/>
      <c r="O659" s="517"/>
      <c r="P659" s="517"/>
      <c r="Q659" s="517"/>
      <c r="R659" s="517"/>
      <c r="S659" s="517"/>
      <c r="T659" s="517"/>
      <c r="U659" s="517"/>
      <c r="V659" s="517"/>
      <c r="W659" s="517"/>
      <c r="X659" s="517"/>
      <c r="Y659" s="517"/>
    </row>
    <row r="660" spans="1:25" ht="18" customHeight="1" x14ac:dyDescent="0.2">
      <c r="A660" s="337"/>
      <c r="B660" s="337"/>
      <c r="C660" s="581" t="s">
        <v>325</v>
      </c>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row>
    <row r="661" spans="1:25" ht="18" customHeight="1" x14ac:dyDescent="0.2">
      <c r="A661" s="337"/>
      <c r="B661" s="337"/>
      <c r="C661" s="466" t="s">
        <v>236</v>
      </c>
      <c r="D661" s="466"/>
      <c r="E661" s="337"/>
      <c r="H661" s="369" t="s">
        <v>268</v>
      </c>
      <c r="I661" s="353" t="s">
        <v>28</v>
      </c>
      <c r="J661" s="588"/>
      <c r="K661" s="588"/>
      <c r="P661" s="339"/>
      <c r="Q661" s="368"/>
      <c r="R661" s="368"/>
      <c r="S661" s="369" t="s">
        <v>29</v>
      </c>
      <c r="T661" s="588"/>
      <c r="U661" s="588"/>
      <c r="V661" s="588"/>
      <c r="W661" s="588"/>
    </row>
    <row r="662" spans="1:25" ht="18" customHeight="1" thickBot="1" x14ac:dyDescent="0.25">
      <c r="A662" s="337"/>
      <c r="B662" s="337"/>
      <c r="C662" s="354"/>
      <c r="D662" s="354"/>
      <c r="E662" s="337"/>
      <c r="H662" s="369" t="s">
        <v>269</v>
      </c>
      <c r="I662" s="353" t="s">
        <v>28</v>
      </c>
      <c r="J662" s="588"/>
      <c r="K662" s="588"/>
      <c r="P662" s="339"/>
      <c r="Q662" s="368"/>
      <c r="R662" s="368"/>
      <c r="S662" s="369" t="s">
        <v>29</v>
      </c>
      <c r="T662" s="588"/>
      <c r="U662" s="588"/>
      <c r="V662" s="588"/>
      <c r="W662" s="588"/>
    </row>
    <row r="663" spans="1:25" ht="18" customHeight="1" thickBot="1" x14ac:dyDescent="0.25">
      <c r="A663" s="337"/>
      <c r="B663" s="337"/>
      <c r="C663" s="337"/>
      <c r="D663" s="337"/>
      <c r="E663" s="337"/>
      <c r="F663" s="337"/>
      <c r="G663" s="337"/>
      <c r="H663" s="337"/>
      <c r="I663" s="337"/>
      <c r="J663" s="337"/>
      <c r="K663" s="337"/>
      <c r="L663" s="337"/>
      <c r="M663" s="337"/>
      <c r="N663" s="337"/>
      <c r="O663" s="337"/>
      <c r="T663" s="395"/>
      <c r="U663" s="396"/>
      <c r="V663" s="396"/>
      <c r="W663" s="397" t="str">
        <f>CONCATENATE(IF(COUNTA($J$661,$J$662,$T$661,$T$662)=0,"",IF(COUNTA($J$661,$J$662,$T$661,$T$662)&lt;&gt;2,"2 réponses nécessaires. ","")),IF(AND($T$121="X",$J$662&lt;&gt;"X"),"Site dans un système de versant et bas-versant, improbable qu'il n'y ait pas de source dans le site et la zone tampon. ",""))</f>
        <v/>
      </c>
    </row>
    <row r="664" spans="1:25" ht="18" customHeight="1" x14ac:dyDescent="0.2">
      <c r="A664" s="337"/>
      <c r="B664" s="337"/>
      <c r="C664" s="345"/>
      <c r="D664" s="337"/>
      <c r="E664" s="337"/>
      <c r="F664" s="337"/>
      <c r="G664" s="337"/>
      <c r="H664" s="337"/>
      <c r="I664" s="337"/>
      <c r="J664" s="337"/>
      <c r="K664" s="337"/>
      <c r="L664" s="337"/>
      <c r="M664" s="337"/>
      <c r="N664" s="337"/>
      <c r="O664" s="337"/>
    </row>
    <row r="665" spans="1:25" ht="18" customHeight="1" x14ac:dyDescent="0.2">
      <c r="A665" s="337"/>
      <c r="B665" s="337"/>
      <c r="C665" s="583" t="s">
        <v>378</v>
      </c>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row>
    <row r="666" spans="1:25" ht="18" customHeight="1" x14ac:dyDescent="0.2">
      <c r="A666" s="337"/>
      <c r="B666" s="337"/>
      <c r="C666" s="592"/>
      <c r="D666" s="592"/>
      <c r="E666" s="592"/>
      <c r="F666" s="592"/>
      <c r="G666" s="592"/>
      <c r="H666" s="592"/>
      <c r="I666" s="592"/>
      <c r="J666" s="592"/>
      <c r="K666" s="592"/>
      <c r="L666" s="592"/>
      <c r="M666" s="592"/>
      <c r="N666" s="592"/>
      <c r="O666" s="592"/>
      <c r="P666" s="592"/>
      <c r="Q666" s="592"/>
      <c r="R666" s="592"/>
      <c r="S666" s="592"/>
      <c r="T666" s="592"/>
      <c r="U666" s="592"/>
      <c r="V666" s="592"/>
      <c r="W666" s="592"/>
      <c r="X666" s="592"/>
      <c r="Y666" s="592"/>
    </row>
    <row r="667" spans="1:25" ht="18" customHeight="1" x14ac:dyDescent="0.2">
      <c r="A667" s="337"/>
      <c r="B667" s="337"/>
      <c r="C667" s="346"/>
      <c r="D667" s="346"/>
      <c r="E667" s="346"/>
      <c r="F667" s="346"/>
      <c r="G667" s="346"/>
      <c r="H667" s="346"/>
      <c r="I667" s="346"/>
      <c r="J667" s="594" t="s">
        <v>78</v>
      </c>
      <c r="K667" s="594"/>
      <c r="L667" s="594"/>
      <c r="M667" s="346"/>
      <c r="N667" s="595" t="s">
        <v>379</v>
      </c>
      <c r="O667" s="595"/>
      <c r="P667" s="595"/>
      <c r="Q667" s="595"/>
      <c r="R667" s="595"/>
      <c r="S667" s="346"/>
      <c r="T667" s="594" t="s">
        <v>80</v>
      </c>
      <c r="U667" s="594"/>
      <c r="V667" s="594"/>
      <c r="W667" s="594"/>
      <c r="X667" s="594"/>
      <c r="Y667" s="594"/>
    </row>
    <row r="668" spans="1:25" ht="18" customHeight="1" x14ac:dyDescent="0.2">
      <c r="A668" s="337"/>
      <c r="B668" s="337"/>
      <c r="C668" s="346"/>
      <c r="D668" s="346"/>
      <c r="E668" s="346"/>
      <c r="F668" s="346"/>
      <c r="G668" s="346"/>
      <c r="H668" s="346"/>
      <c r="I668" s="346"/>
      <c r="J668" s="594" t="s">
        <v>77</v>
      </c>
      <c r="K668" s="594"/>
      <c r="L668" s="594"/>
      <c r="M668" s="346"/>
      <c r="N668" s="596"/>
      <c r="O668" s="596"/>
      <c r="P668" s="596"/>
      <c r="Q668" s="596"/>
      <c r="R668" s="596"/>
      <c r="S668" s="346"/>
      <c r="T668" s="594" t="s">
        <v>81</v>
      </c>
      <c r="U668" s="594"/>
      <c r="V668" s="594"/>
      <c r="W668" s="594"/>
      <c r="X668" s="594"/>
      <c r="Y668" s="594"/>
    </row>
    <row r="669" spans="1:25" ht="18" customHeight="1" x14ac:dyDescent="0.2">
      <c r="A669" s="337"/>
      <c r="B669" s="337"/>
      <c r="C669" s="346"/>
      <c r="D669" s="346"/>
      <c r="E669" s="346"/>
      <c r="F669" s="346"/>
      <c r="G669" s="346"/>
      <c r="H669" s="362" t="s">
        <v>38</v>
      </c>
      <c r="I669" s="346"/>
      <c r="J669" s="761"/>
      <c r="K669" s="762"/>
      <c r="L669" s="518" t="s">
        <v>6</v>
      </c>
      <c r="M669" s="346"/>
      <c r="N669" s="701"/>
      <c r="O669" s="701"/>
      <c r="P669" s="701"/>
      <c r="Q669" s="763" t="s">
        <v>6</v>
      </c>
      <c r="R669" s="763"/>
      <c r="S669" s="346"/>
      <c r="T669" s="761"/>
      <c r="U669" s="764"/>
      <c r="V669" s="764"/>
      <c r="W669" s="762"/>
      <c r="X669" s="765" t="s">
        <v>6</v>
      </c>
      <c r="Y669" s="765"/>
    </row>
    <row r="670" spans="1:25" ht="18" customHeight="1" thickBot="1" x14ac:dyDescent="0.3">
      <c r="A670" s="337"/>
      <c r="B670" s="337"/>
      <c r="C670" s="346"/>
      <c r="D670" s="346"/>
      <c r="E670" s="346"/>
      <c r="F670" s="346"/>
      <c r="G670" s="346"/>
      <c r="H670" s="362" t="s">
        <v>76</v>
      </c>
      <c r="I670" s="346"/>
      <c r="J670" s="701"/>
      <c r="K670" s="766"/>
      <c r="L670" s="518" t="s">
        <v>6</v>
      </c>
      <c r="M670" s="346"/>
      <c r="N670" s="701"/>
      <c r="O670" s="701"/>
      <c r="P670" s="701"/>
      <c r="Q670" s="763" t="s">
        <v>6</v>
      </c>
      <c r="R670" s="763"/>
      <c r="S670" s="346"/>
      <c r="T670" s="761"/>
      <c r="U670" s="764"/>
      <c r="V670" s="764"/>
      <c r="W670" s="762"/>
      <c r="X670" s="765" t="s">
        <v>6</v>
      </c>
      <c r="Y670" s="765"/>
    </row>
    <row r="671" spans="1:25" ht="18" customHeight="1" thickBot="1" x14ac:dyDescent="0.25">
      <c r="A671" s="337"/>
      <c r="B671" s="337"/>
      <c r="C671" s="345"/>
      <c r="D671" s="337"/>
      <c r="E671" s="337"/>
      <c r="F671" s="337"/>
      <c r="G671" s="337"/>
      <c r="H671" s="337"/>
      <c r="I671" s="337"/>
      <c r="J671" s="337"/>
      <c r="K671" s="337"/>
      <c r="L671" s="337"/>
      <c r="M671" s="337"/>
      <c r="N671" s="337"/>
      <c r="O671" s="337"/>
      <c r="T671" s="395"/>
      <c r="U671" s="396"/>
      <c r="V671" s="396"/>
      <c r="W671" s="397" t="str">
        <f>IF(COUNTA($J$669,$J$670,$N$669,$N$670,$T$669,$T$670)=0,"",IF(COUNTA($J$669,$J$670,$N$669,$N$670,$T$669,$T$670)&lt;6,"Renseignez 6 valeurs en réponse à cette question, y compris les valeurs nulles. ",""))</f>
        <v/>
      </c>
    </row>
    <row r="672" spans="1:25" ht="18" customHeight="1" x14ac:dyDescent="0.2">
      <c r="A672" s="337"/>
      <c r="B672" s="337"/>
      <c r="C672" s="345"/>
      <c r="D672" s="337"/>
      <c r="E672" s="337"/>
      <c r="F672" s="337"/>
      <c r="G672" s="337"/>
      <c r="H672" s="337"/>
      <c r="I672" s="337"/>
      <c r="J672" s="337"/>
      <c r="K672" s="337"/>
      <c r="L672" s="337"/>
      <c r="M672" s="337"/>
      <c r="N672" s="337"/>
      <c r="O672" s="337"/>
    </row>
    <row r="673" spans="1:25" ht="18" customHeight="1" x14ac:dyDescent="0.2">
      <c r="A673" s="337"/>
      <c r="B673" s="337"/>
      <c r="C673" s="345"/>
      <c r="D673" s="337"/>
      <c r="E673" s="337"/>
      <c r="F673" s="337"/>
      <c r="G673" s="337"/>
      <c r="H673" s="337"/>
      <c r="I673" s="337"/>
      <c r="J673" s="337"/>
      <c r="K673" s="337"/>
      <c r="L673" s="337"/>
      <c r="M673" s="337"/>
      <c r="N673" s="337"/>
      <c r="O673" s="337"/>
    </row>
    <row r="674" spans="1:25" ht="18" customHeight="1" x14ac:dyDescent="0.2">
      <c r="A674" s="337"/>
      <c r="B674" s="337"/>
      <c r="C674" s="593" t="s">
        <v>481</v>
      </c>
      <c r="D674" s="593"/>
      <c r="E674" s="593"/>
      <c r="F674" s="593"/>
      <c r="G674" s="593"/>
      <c r="H674" s="593"/>
      <c r="I674" s="593"/>
      <c r="J674" s="593"/>
      <c r="K674" s="593"/>
      <c r="L674" s="593"/>
      <c r="M674" s="593"/>
      <c r="N674" s="593"/>
      <c r="O674" s="593"/>
      <c r="P674" s="593"/>
      <c r="Q674" s="593"/>
      <c r="R674" s="593"/>
      <c r="S674" s="593"/>
      <c r="T674" s="593"/>
      <c r="U674" s="593"/>
      <c r="V674" s="593"/>
      <c r="W674" s="593"/>
      <c r="X674" s="593"/>
      <c r="Y674" s="593"/>
    </row>
    <row r="675" spans="1:25" ht="18" customHeight="1" x14ac:dyDescent="0.2">
      <c r="A675" s="337"/>
      <c r="B675" s="337"/>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row>
    <row r="676" spans="1:25" ht="18" customHeight="1" x14ac:dyDescent="0.2">
      <c r="A676" s="337"/>
      <c r="B676" s="337"/>
      <c r="C676" s="581" t="s">
        <v>326</v>
      </c>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row>
    <row r="677" spans="1:25" ht="18" customHeight="1" thickBot="1" x14ac:dyDescent="0.25">
      <c r="A677" s="337"/>
      <c r="B677" s="337"/>
      <c r="C677" s="354" t="s">
        <v>234</v>
      </c>
      <c r="D677" s="354"/>
      <c r="E677" s="337"/>
      <c r="H677" s="368"/>
      <c r="I677" s="353" t="s">
        <v>28</v>
      </c>
      <c r="J677" s="588"/>
      <c r="K677" s="588"/>
      <c r="P677" s="339"/>
      <c r="Q677" s="368"/>
      <c r="R677" s="368"/>
      <c r="S677" s="369" t="s">
        <v>29</v>
      </c>
      <c r="T677" s="588"/>
      <c r="U677" s="588"/>
      <c r="V677" s="588"/>
      <c r="W677" s="588"/>
    </row>
    <row r="678" spans="1:25" ht="18" customHeight="1" thickBot="1" x14ac:dyDescent="0.25">
      <c r="A678" s="337"/>
      <c r="B678" s="337"/>
      <c r="C678" s="345"/>
      <c r="D678" s="337"/>
      <c r="E678" s="337"/>
      <c r="F678" s="337"/>
      <c r="G678" s="337"/>
      <c r="H678" s="337"/>
      <c r="I678" s="337"/>
      <c r="J678" s="337"/>
      <c r="K678" s="337"/>
      <c r="L678" s="337"/>
      <c r="M678" s="337"/>
      <c r="N678" s="337"/>
      <c r="O678" s="337"/>
      <c r="T678" s="395"/>
      <c r="U678" s="396"/>
      <c r="V678" s="396"/>
      <c r="W678" s="397" t="str">
        <f>CONCATENATE(IF(AND(SUM($N$669,$N$670,$T$669,$T$670)&gt;0,COUNTA($J$677,$T$677)=0),"Des fossés et/ou des fossés profonds sont présents dans le site, donc répondez à cette question. ",""),IF(COUNTA($J$677,$T$677)&gt;1,"Une seule réponse est possible.",""))</f>
        <v/>
      </c>
    </row>
    <row r="679" spans="1:25" ht="18" customHeight="1" x14ac:dyDescent="0.2">
      <c r="A679" s="337"/>
      <c r="B679" s="337"/>
      <c r="C679" s="345"/>
      <c r="D679" s="337"/>
      <c r="E679" s="337"/>
      <c r="F679" s="337"/>
      <c r="G679" s="337"/>
      <c r="H679" s="337"/>
      <c r="I679" s="337"/>
      <c r="J679" s="337"/>
      <c r="K679" s="337"/>
      <c r="L679" s="337"/>
      <c r="M679" s="337"/>
      <c r="N679" s="337"/>
      <c r="O679" s="337"/>
    </row>
    <row r="680" spans="1:25" ht="23.1" customHeight="1" x14ac:dyDescent="0.2">
      <c r="A680" s="337"/>
      <c r="B680" s="337"/>
      <c r="C680" s="583" t="s">
        <v>327</v>
      </c>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row>
    <row r="681" spans="1:25" ht="23.1" customHeight="1" x14ac:dyDescent="0.2">
      <c r="A681" s="337"/>
      <c r="B681" s="337"/>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c r="Y681" s="592"/>
    </row>
    <row r="682" spans="1:25" ht="18" customHeight="1" thickBot="1" x14ac:dyDescent="0.25">
      <c r="A682" s="337"/>
      <c r="B682" s="337"/>
      <c r="C682" s="354" t="s">
        <v>234</v>
      </c>
      <c r="D682" s="354"/>
      <c r="E682" s="337"/>
      <c r="H682" s="368"/>
      <c r="I682" s="353" t="s">
        <v>28</v>
      </c>
      <c r="J682" s="588"/>
      <c r="K682" s="588"/>
      <c r="P682" s="339"/>
      <c r="Q682" s="368"/>
      <c r="R682" s="368"/>
      <c r="S682" s="369" t="s">
        <v>29</v>
      </c>
      <c r="T682" s="588"/>
      <c r="U682" s="588"/>
      <c r="V682" s="588"/>
      <c r="W682" s="588"/>
    </row>
    <row r="683" spans="1:25" ht="18" customHeight="1" thickBot="1" x14ac:dyDescent="0.25">
      <c r="A683" s="337"/>
      <c r="B683" s="337"/>
      <c r="C683" s="345"/>
      <c r="D683" s="337"/>
      <c r="E683" s="337"/>
      <c r="F683" s="337"/>
      <c r="G683" s="337"/>
      <c r="H683" s="337"/>
      <c r="I683" s="337"/>
      <c r="J683" s="337"/>
      <c r="K683" s="337"/>
      <c r="L683" s="337"/>
      <c r="M683" s="337"/>
      <c r="N683" s="337"/>
      <c r="O683" s="337"/>
      <c r="T683" s="395"/>
      <c r="U683" s="396"/>
      <c r="V683" s="396"/>
      <c r="W683" s="397" t="str">
        <f>CONCATENATE(IF(AND(SUM($N$669,$N$670,$T$669,$T$670)&gt;0,COUNTA($J$682,$T$682)=0),"Des fossés et/ou des fossés profonds sont présents dans le site, donc répondez à cette question. ",""),IF(COUNTA($J$682,$T$682)&gt;1,"Une seule réponse est possible.",""))</f>
        <v/>
      </c>
    </row>
    <row r="684" spans="1:25" ht="18" customHeight="1" x14ac:dyDescent="0.2">
      <c r="A684" s="337"/>
      <c r="B684" s="337"/>
      <c r="C684" s="345"/>
      <c r="D684" s="337"/>
      <c r="E684" s="337"/>
      <c r="F684" s="337"/>
      <c r="G684" s="337"/>
      <c r="H684" s="337"/>
      <c r="I684" s="337"/>
      <c r="J684" s="337"/>
      <c r="K684" s="337"/>
      <c r="L684" s="337"/>
      <c r="M684" s="337"/>
      <c r="N684" s="337"/>
      <c r="O684" s="337"/>
    </row>
    <row r="685" spans="1:25" ht="18" customHeight="1" x14ac:dyDescent="0.2">
      <c r="A685" s="337"/>
      <c r="B685" s="337"/>
      <c r="C685" s="581" t="s">
        <v>328</v>
      </c>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row>
    <row r="686" spans="1:25" ht="18" customHeight="1" thickBot="1" x14ac:dyDescent="0.25">
      <c r="A686" s="337"/>
      <c r="B686" s="337"/>
      <c r="C686" s="354" t="s">
        <v>234</v>
      </c>
      <c r="D686" s="354"/>
      <c r="E686" s="337"/>
      <c r="H686" s="368"/>
      <c r="I686" s="353" t="s">
        <v>28</v>
      </c>
      <c r="J686" s="588"/>
      <c r="K686" s="588"/>
      <c r="P686" s="339"/>
      <c r="Q686" s="368"/>
      <c r="R686" s="368"/>
      <c r="S686" s="369" t="s">
        <v>29</v>
      </c>
      <c r="T686" s="588"/>
      <c r="U686" s="588"/>
      <c r="V686" s="588"/>
      <c r="W686" s="588"/>
    </row>
    <row r="687" spans="1:25" ht="18" customHeight="1" thickBot="1" x14ac:dyDescent="0.25">
      <c r="A687" s="337"/>
      <c r="B687" s="337"/>
      <c r="C687" s="345"/>
      <c r="D687" s="337"/>
      <c r="E687" s="337"/>
      <c r="F687" s="337"/>
      <c r="G687" s="337"/>
      <c r="H687" s="337"/>
      <c r="I687" s="337"/>
      <c r="J687" s="337"/>
      <c r="K687" s="337"/>
      <c r="L687" s="337"/>
      <c r="M687" s="337"/>
      <c r="N687" s="337"/>
      <c r="O687" s="337"/>
      <c r="T687" s="395"/>
      <c r="U687" s="396"/>
      <c r="V687" s="396"/>
      <c r="W687" s="397" t="str">
        <f>IF(COUNTA($J$686,$T$686)&gt;1,"Une seule réponse est possible.","")</f>
        <v/>
      </c>
    </row>
    <row r="688" spans="1:25" ht="18" customHeight="1" x14ac:dyDescent="0.2">
      <c r="A688" s="337"/>
      <c r="B688" s="337"/>
      <c r="C688" s="345"/>
      <c r="D688" s="337"/>
      <c r="E688" s="337"/>
      <c r="F688" s="337"/>
      <c r="G688" s="337"/>
      <c r="H688" s="337"/>
      <c r="I688" s="337"/>
      <c r="J688" s="337"/>
      <c r="K688" s="337"/>
      <c r="L688" s="337"/>
      <c r="M688" s="337"/>
      <c r="N688" s="337"/>
      <c r="O688" s="337"/>
    </row>
    <row r="689" spans="1:27" ht="18" customHeight="1" x14ac:dyDescent="0.2">
      <c r="A689" s="337"/>
      <c r="B689" s="337"/>
      <c r="C689" s="583" t="s">
        <v>380</v>
      </c>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row>
    <row r="690" spans="1:27" ht="18" customHeight="1" x14ac:dyDescent="0.2">
      <c r="A690" s="337"/>
      <c r="B690" s="337"/>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c r="Y690" s="592"/>
    </row>
    <row r="691" spans="1:27" ht="18" customHeight="1" thickBot="1" x14ac:dyDescent="0.25">
      <c r="A691" s="337"/>
      <c r="B691" s="337"/>
      <c r="C691" s="337"/>
      <c r="D691" s="337"/>
      <c r="E691" s="337"/>
      <c r="F691" s="337"/>
      <c r="G691" s="337"/>
      <c r="H691" s="337"/>
      <c r="I691" s="337"/>
      <c r="J691" s="337"/>
      <c r="K691" s="337"/>
      <c r="L691" s="337"/>
      <c r="M691" s="337"/>
      <c r="N691" s="337"/>
      <c r="O691" s="337"/>
      <c r="S691" s="369" t="s">
        <v>270</v>
      </c>
      <c r="T691" s="590"/>
      <c r="U691" s="590"/>
      <c r="V691" s="590"/>
      <c r="W691" s="590"/>
      <c r="X691" s="591" t="s">
        <v>118</v>
      </c>
      <c r="Y691" s="591"/>
    </row>
    <row r="692" spans="1:27" ht="18" customHeight="1" thickBot="1" x14ac:dyDescent="0.25">
      <c r="A692" s="337"/>
      <c r="B692" s="337"/>
      <c r="C692" s="345"/>
      <c r="D692" s="337"/>
      <c r="E692" s="337"/>
      <c r="F692" s="337"/>
      <c r="G692" s="337"/>
      <c r="H692" s="337"/>
      <c r="I692" s="337"/>
      <c r="J692" s="337"/>
      <c r="K692" s="337"/>
      <c r="L692" s="337"/>
      <c r="M692" s="337"/>
      <c r="N692" s="337"/>
      <c r="O692" s="337"/>
      <c r="P692" s="337"/>
      <c r="Q692" s="337"/>
      <c r="R692" s="337"/>
      <c r="S692" s="337"/>
      <c r="T692" s="395"/>
      <c r="U692" s="396"/>
      <c r="V692" s="396"/>
      <c r="W692" s="397" t="str">
        <f>IF(OR(AND(T686="X",LEN(T691)&gt;0),AND(J686="",LEN(T691)&gt;0)),"Si vous n'avez pas répondu oui à la question 63, ne répondez pas à celle-ci.",CONCATENATE(IF(AND($J$686="X",ISBLANK($T$691)),"Vous avez affirmé que vous saviez si des drains souterrains sont présents (question 63), donc répondez à cette question.",""),IF($T$691&gt;100," La valeur renseignée ne peut pas être supérieure à 100%.","")))</f>
        <v/>
      </c>
      <c r="X692" s="425"/>
      <c r="Y692" s="425"/>
      <c r="Z692" s="425"/>
      <c r="AA692" s="425"/>
    </row>
    <row r="693" spans="1:27" ht="18" customHeight="1" x14ac:dyDescent="0.2">
      <c r="A693" s="337"/>
      <c r="B693" s="337"/>
      <c r="C693" s="345"/>
      <c r="D693" s="337"/>
      <c r="E693" s="337"/>
      <c r="F693" s="337"/>
      <c r="G693" s="337"/>
      <c r="H693" s="337"/>
      <c r="I693" s="337"/>
      <c r="J693" s="337"/>
      <c r="K693" s="337"/>
      <c r="L693" s="337"/>
      <c r="M693" s="337"/>
      <c r="N693" s="337"/>
      <c r="O693" s="337"/>
      <c r="P693" s="337"/>
      <c r="Q693" s="337"/>
      <c r="R693" s="337"/>
      <c r="S693" s="337"/>
      <c r="T693" s="425"/>
      <c r="U693" s="425"/>
      <c r="V693" s="425"/>
      <c r="W693" s="425"/>
      <c r="X693" s="425"/>
      <c r="Y693" s="425"/>
      <c r="Z693" s="425"/>
      <c r="AA693" s="425"/>
    </row>
    <row r="694" spans="1:27" ht="18" customHeight="1" x14ac:dyDescent="0.2">
      <c r="A694" s="337"/>
      <c r="B694" s="337"/>
      <c r="C694" s="592" t="s">
        <v>329</v>
      </c>
      <c r="D694" s="592"/>
      <c r="E694" s="592"/>
      <c r="F694" s="592"/>
      <c r="G694" s="592"/>
      <c r="H694" s="592"/>
      <c r="I694" s="592"/>
      <c r="J694" s="592"/>
      <c r="K694" s="592"/>
      <c r="L694" s="592"/>
      <c r="M694" s="592"/>
      <c r="N694" s="592"/>
      <c r="O694" s="592"/>
      <c r="P694" s="592"/>
      <c r="Q694" s="592"/>
      <c r="R694" s="592"/>
      <c r="S694" s="592"/>
      <c r="T694" s="592"/>
      <c r="U694" s="592"/>
      <c r="V694" s="592"/>
      <c r="W694" s="592"/>
      <c r="X694" s="592"/>
      <c r="Y694" s="592"/>
    </row>
    <row r="695" spans="1:27" ht="18" customHeight="1" thickBot="1" x14ac:dyDescent="0.25">
      <c r="A695" s="337"/>
      <c r="B695" s="337"/>
      <c r="C695" s="354" t="s">
        <v>234</v>
      </c>
      <c r="D695" s="354"/>
      <c r="E695" s="337"/>
      <c r="H695" s="368"/>
      <c r="I695" s="353" t="s">
        <v>28</v>
      </c>
      <c r="J695" s="588"/>
      <c r="K695" s="588"/>
      <c r="P695" s="339"/>
      <c r="Q695" s="368"/>
      <c r="R695" s="368"/>
      <c r="S695" s="369" t="s">
        <v>29</v>
      </c>
      <c r="T695" s="588"/>
      <c r="U695" s="588"/>
      <c r="V695" s="588"/>
      <c r="W695" s="588"/>
    </row>
    <row r="696" spans="1:27" ht="18" customHeight="1" thickBot="1" x14ac:dyDescent="0.25">
      <c r="A696" s="337"/>
      <c r="B696" s="337"/>
      <c r="C696" s="345"/>
      <c r="D696" s="337"/>
      <c r="E696" s="337"/>
      <c r="F696" s="337"/>
      <c r="G696" s="337"/>
      <c r="H696" s="337"/>
      <c r="I696" s="337"/>
      <c r="J696" s="337"/>
      <c r="K696" s="337"/>
      <c r="L696" s="337"/>
      <c r="M696" s="337"/>
      <c r="N696" s="337"/>
      <c r="O696" s="337"/>
      <c r="T696" s="395"/>
      <c r="U696" s="396"/>
      <c r="V696" s="396"/>
      <c r="W696" s="397" t="str">
        <f>CONCATENATE(IF(AND($J$686="X",AND($J$695&lt;&gt;"X",$T$695&lt;&gt;"X")),"Vous avez affirmé que vous saviez si des drains souterrains sont présents (question 63), donc répondez à cette question.",""),IF(AND(COUNTA($J$695,$T$695)&gt;1)," Une seule réponse est possible.",""),IF(AND($T$686="X",COUNTA($J$695,$T$695)&gt;0),"Vous avez affirmé que vous ne saviez pas si des drains souterrains sont présents (question 63), donc ne répondez pas à cette question.",""))</f>
        <v/>
      </c>
    </row>
    <row r="697" spans="1:27" ht="18" customHeight="1" x14ac:dyDescent="0.2">
      <c r="A697" s="337"/>
      <c r="B697" s="337"/>
      <c r="C697" s="345"/>
      <c r="D697" s="337"/>
      <c r="E697" s="337"/>
      <c r="F697" s="337"/>
      <c r="G697" s="337"/>
      <c r="H697" s="337"/>
      <c r="I697" s="337"/>
      <c r="J697" s="337"/>
      <c r="K697" s="337"/>
      <c r="L697" s="337"/>
      <c r="M697" s="337"/>
      <c r="N697" s="337"/>
      <c r="O697" s="337"/>
    </row>
    <row r="698" spans="1:27" ht="18" customHeight="1" x14ac:dyDescent="0.2">
      <c r="A698" s="337"/>
      <c r="B698" s="337"/>
      <c r="C698" s="581" t="s">
        <v>330</v>
      </c>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row>
    <row r="699" spans="1:27" ht="18" customHeight="1" thickBot="1" x14ac:dyDescent="0.25">
      <c r="A699" s="337"/>
      <c r="B699" s="337"/>
      <c r="C699" s="337"/>
      <c r="D699" s="337"/>
      <c r="E699" s="337"/>
      <c r="F699" s="337"/>
      <c r="G699" s="337"/>
      <c r="H699" s="337"/>
      <c r="I699" s="337"/>
      <c r="J699" s="337"/>
      <c r="K699" s="469"/>
      <c r="L699" s="337"/>
      <c r="M699" s="337"/>
      <c r="N699" s="337"/>
      <c r="O699" s="337"/>
      <c r="S699" s="369" t="s">
        <v>271</v>
      </c>
      <c r="T699" s="590"/>
      <c r="U699" s="590"/>
      <c r="V699" s="590"/>
      <c r="W699" s="590"/>
      <c r="X699" s="591" t="s">
        <v>118</v>
      </c>
      <c r="Y699" s="591"/>
    </row>
    <row r="700" spans="1:27" ht="18" customHeight="1" thickBot="1" x14ac:dyDescent="0.25">
      <c r="A700" s="337"/>
      <c r="B700" s="337"/>
      <c r="C700" s="345"/>
      <c r="D700" s="337"/>
      <c r="E700" s="337"/>
      <c r="F700" s="337"/>
      <c r="G700" s="337"/>
      <c r="H700" s="337"/>
      <c r="I700" s="337"/>
      <c r="J700" s="337"/>
      <c r="K700" s="337"/>
      <c r="L700" s="337"/>
      <c r="M700" s="337"/>
      <c r="N700" s="337"/>
      <c r="O700" s="337"/>
      <c r="T700" s="395"/>
      <c r="U700" s="396"/>
      <c r="V700" s="396"/>
      <c r="W700" s="397" t="str">
        <f>IF($T$699&gt;100,"La réponse donnée ne peut pas être supérieure à 100%.","")</f>
        <v/>
      </c>
    </row>
    <row r="701" spans="1:27" ht="18" customHeight="1" x14ac:dyDescent="0.2">
      <c r="A701" s="337"/>
      <c r="B701" s="337"/>
      <c r="C701" s="345"/>
      <c r="D701" s="337"/>
      <c r="E701" s="337"/>
      <c r="F701" s="337"/>
      <c r="G701" s="337"/>
      <c r="H701" s="337"/>
      <c r="I701" s="337"/>
      <c r="J701" s="337"/>
      <c r="K701" s="337"/>
      <c r="L701" s="337"/>
      <c r="M701" s="337"/>
      <c r="N701" s="337"/>
      <c r="O701" s="337"/>
    </row>
    <row r="702" spans="1:27" ht="18" customHeight="1" x14ac:dyDescent="0.2">
      <c r="A702" s="337"/>
      <c r="B702" s="337"/>
      <c r="C702" s="581" t="s">
        <v>331</v>
      </c>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row>
    <row r="703" spans="1:27" ht="18" customHeight="1" thickBot="1" x14ac:dyDescent="0.25">
      <c r="A703" s="337"/>
      <c r="B703" s="337"/>
      <c r="C703" s="354" t="s">
        <v>234</v>
      </c>
      <c r="D703" s="354"/>
      <c r="E703" s="337"/>
      <c r="H703" s="368"/>
      <c r="I703" s="353" t="s">
        <v>28</v>
      </c>
      <c r="J703" s="588"/>
      <c r="K703" s="588"/>
      <c r="P703" s="339"/>
      <c r="Q703" s="368"/>
      <c r="R703" s="368"/>
      <c r="S703" s="369" t="s">
        <v>29</v>
      </c>
      <c r="T703" s="588"/>
      <c r="U703" s="588"/>
      <c r="V703" s="588"/>
      <c r="W703" s="588"/>
    </row>
    <row r="704" spans="1:27" ht="18" customHeight="1" thickBot="1" x14ac:dyDescent="0.25">
      <c r="A704" s="337"/>
      <c r="B704" s="337"/>
      <c r="C704" s="345"/>
      <c r="D704" s="337"/>
      <c r="E704" s="337"/>
      <c r="F704" s="337"/>
      <c r="G704" s="337"/>
      <c r="H704" s="337"/>
      <c r="I704" s="337"/>
      <c r="J704" s="337"/>
      <c r="K704" s="337"/>
      <c r="L704" s="337"/>
      <c r="M704" s="337"/>
      <c r="N704" s="337"/>
      <c r="O704" s="337"/>
      <c r="T704" s="395"/>
      <c r="U704" s="396"/>
      <c r="V704" s="396"/>
      <c r="W704" s="397" t="str">
        <f>IF(COUNTA($J$703,$T$703)&gt;1,"Une seule réponse est possible.","")</f>
        <v/>
      </c>
    </row>
    <row r="705" spans="1:25" ht="18" customHeight="1" x14ac:dyDescent="0.2">
      <c r="A705" s="337"/>
      <c r="B705" s="337"/>
      <c r="C705" s="345"/>
      <c r="D705" s="337"/>
      <c r="E705" s="337"/>
      <c r="F705" s="337"/>
      <c r="G705" s="337"/>
      <c r="H705" s="337"/>
      <c r="I705" s="337"/>
      <c r="J705" s="337"/>
      <c r="K705" s="337"/>
      <c r="L705" s="337"/>
      <c r="M705" s="337"/>
      <c r="N705" s="337"/>
      <c r="O705" s="337"/>
    </row>
    <row r="706" spans="1:25" ht="33.75" customHeight="1" x14ac:dyDescent="0.2">
      <c r="A706" s="337"/>
      <c r="B706" s="337"/>
      <c r="C706" s="341" t="s">
        <v>392</v>
      </c>
      <c r="D706" s="805" t="s">
        <v>406</v>
      </c>
      <c r="E706" s="805"/>
      <c r="F706" s="805"/>
      <c r="G706" s="805"/>
      <c r="H706" s="805"/>
      <c r="I706" s="805"/>
      <c r="J706" s="805"/>
      <c r="K706" s="805"/>
      <c r="L706" s="805"/>
      <c r="M706" s="805"/>
      <c r="N706" s="805"/>
      <c r="O706" s="805"/>
      <c r="P706" s="805"/>
      <c r="Q706" s="805"/>
      <c r="R706" s="805"/>
      <c r="S706" s="805"/>
      <c r="T706" s="805"/>
      <c r="U706" s="805"/>
      <c r="V706" s="805"/>
      <c r="W706" s="805"/>
      <c r="X706" s="805"/>
      <c r="Y706" s="805"/>
    </row>
    <row r="707" spans="1:25" ht="18" customHeight="1" x14ac:dyDescent="0.2">
      <c r="A707" s="337"/>
      <c r="B707" s="337"/>
      <c r="C707" s="470"/>
      <c r="D707" s="470"/>
      <c r="E707" s="470"/>
      <c r="F707" s="470"/>
      <c r="G707" s="470"/>
      <c r="H707" s="470"/>
      <c r="I707" s="470"/>
      <c r="J707" s="470"/>
      <c r="K707" s="470"/>
      <c r="L707" s="470"/>
      <c r="M707" s="470"/>
      <c r="N707" s="470"/>
      <c r="O707" s="470"/>
      <c r="P707" s="470"/>
      <c r="Q707" s="470"/>
      <c r="R707" s="470"/>
      <c r="S707" s="470"/>
      <c r="T707" s="470"/>
      <c r="U707" s="470"/>
      <c r="V707" s="470"/>
      <c r="W707" s="470"/>
      <c r="X707" s="470"/>
      <c r="Y707" s="470"/>
    </row>
    <row r="708" spans="1:25" ht="23.1" customHeight="1" thickBot="1" x14ac:dyDescent="0.25">
      <c r="A708" s="337"/>
      <c r="B708" s="337"/>
      <c r="C708" s="589" t="s">
        <v>117</v>
      </c>
      <c r="D708" s="589"/>
      <c r="E708" s="589"/>
      <c r="F708" s="589"/>
      <c r="G708" s="589"/>
      <c r="H708" s="589"/>
      <c r="I708" s="589"/>
      <c r="J708" s="589"/>
      <c r="K708" s="589"/>
      <c r="L708" s="589"/>
      <c r="M708" s="589"/>
      <c r="N708" s="589"/>
      <c r="O708" s="589"/>
      <c r="P708" s="589"/>
      <c r="Q708" s="589"/>
      <c r="R708" s="589"/>
      <c r="S708" s="589"/>
      <c r="T708" s="589"/>
      <c r="U708" s="589"/>
      <c r="V708" s="589"/>
      <c r="W708" s="589"/>
      <c r="X708" s="589"/>
      <c r="Y708" s="589"/>
    </row>
    <row r="709" spans="1:25" ht="18" customHeight="1" thickBot="1" x14ac:dyDescent="0.25">
      <c r="A709" s="337"/>
      <c r="B709" s="337"/>
      <c r="C709" s="345"/>
      <c r="D709" s="471"/>
      <c r="E709" s="471"/>
      <c r="F709" s="471"/>
      <c r="G709" s="471"/>
      <c r="H709" s="471"/>
      <c r="I709" s="471"/>
      <c r="J709" s="471"/>
      <c r="K709" s="471"/>
      <c r="L709" s="471"/>
      <c r="M709" s="471"/>
      <c r="N709" s="471"/>
      <c r="O709" s="471"/>
      <c r="P709" s="471"/>
      <c r="Q709" s="471"/>
      <c r="R709" s="471"/>
      <c r="S709" s="471"/>
      <c r="T709" s="395"/>
      <c r="U709" s="396"/>
      <c r="V709" s="396"/>
      <c r="W709" s="397" t="str">
        <f>IF(AND($J$121&lt;&gt;"X",COUNTA($J$711,$T$711,$J$715:$K$718,$T$715:$W$717,$T$722,$T$726,$T$732:$W$739)&gt;0),"Le site n'est pas dans un système alluvial, donc ne répondez pas à ces questions.","")</f>
        <v/>
      </c>
      <c r="X709" s="471"/>
      <c r="Y709" s="471"/>
    </row>
    <row r="710" spans="1:25" ht="18" customHeight="1" x14ac:dyDescent="0.2">
      <c r="A710" s="337"/>
      <c r="B710" s="337"/>
      <c r="C710" s="581" t="s">
        <v>332</v>
      </c>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row>
    <row r="711" spans="1:25" ht="18" customHeight="1" thickBot="1" x14ac:dyDescent="0.25">
      <c r="A711" s="337"/>
      <c r="B711" s="337"/>
      <c r="C711" s="354" t="s">
        <v>234</v>
      </c>
      <c r="D711" s="354"/>
      <c r="E711" s="337"/>
      <c r="H711" s="368"/>
      <c r="I711" s="353" t="s">
        <v>28</v>
      </c>
      <c r="J711" s="588"/>
      <c r="K711" s="588"/>
      <c r="P711" s="339"/>
      <c r="Q711" s="368"/>
      <c r="R711" s="368"/>
      <c r="S711" s="369" t="s">
        <v>29</v>
      </c>
      <c r="T711" s="588"/>
      <c r="U711" s="588"/>
      <c r="V711" s="588"/>
      <c r="W711" s="588"/>
    </row>
    <row r="712" spans="1:25" ht="18" customHeight="1" thickBot="1" x14ac:dyDescent="0.25">
      <c r="A712" s="337"/>
      <c r="B712" s="337"/>
      <c r="C712" s="345"/>
      <c r="D712" s="337"/>
      <c r="E712" s="337"/>
      <c r="F712" s="337"/>
      <c r="G712" s="337"/>
      <c r="H712" s="337"/>
      <c r="I712" s="337"/>
      <c r="J712" s="337"/>
      <c r="K712" s="337"/>
      <c r="L712" s="337"/>
      <c r="M712" s="337"/>
      <c r="N712" s="337"/>
      <c r="O712" s="337"/>
      <c r="T712" s="395"/>
      <c r="U712" s="396"/>
      <c r="V712" s="396"/>
      <c r="W712" s="397" t="str">
        <f>CONCATENATE(IF(COUNTA($J$711,$T$711)&gt;1,"Une seule réponse est possible.",""),IF(AND($J$121="x",AND($J$711&lt;&gt;"X",$T$711&lt;&gt;"X")),"Votre site est alluvial, donnez une réponse à cette question.",""))</f>
        <v/>
      </c>
    </row>
    <row r="713" spans="1:25" ht="18" customHeight="1" x14ac:dyDescent="0.2">
      <c r="A713" s="337"/>
      <c r="B713" s="337"/>
      <c r="C713" s="345"/>
      <c r="D713" s="337"/>
      <c r="E713" s="337"/>
      <c r="F713" s="337"/>
      <c r="G713" s="337"/>
      <c r="H713" s="337"/>
      <c r="I713" s="337"/>
      <c r="J713" s="337"/>
      <c r="K713" s="337"/>
      <c r="L713" s="337"/>
      <c r="M713" s="337"/>
      <c r="N713" s="337"/>
      <c r="O713" s="337"/>
    </row>
    <row r="714" spans="1:25" ht="18" customHeight="1" x14ac:dyDescent="0.2">
      <c r="A714" s="337"/>
      <c r="B714" s="337"/>
      <c r="C714" s="581" t="s">
        <v>333</v>
      </c>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row>
    <row r="715" spans="1:25" s="369" customFormat="1" ht="18" customHeight="1" x14ac:dyDescent="0.2">
      <c r="A715" s="353"/>
      <c r="B715" s="353"/>
      <c r="C715" s="472" t="s">
        <v>234</v>
      </c>
      <c r="D715" s="473"/>
      <c r="E715" s="353"/>
      <c r="I715" s="353" t="s">
        <v>13</v>
      </c>
      <c r="J715" s="588"/>
      <c r="K715" s="588"/>
      <c r="S715" s="353" t="s">
        <v>18</v>
      </c>
      <c r="T715" s="588"/>
      <c r="U715" s="588"/>
      <c r="V715" s="588"/>
      <c r="W715" s="588"/>
    </row>
    <row r="716" spans="1:25" s="369" customFormat="1" ht="18" customHeight="1" x14ac:dyDescent="0.2">
      <c r="A716" s="353"/>
      <c r="B716" s="353"/>
      <c r="C716" s="473"/>
      <c r="D716" s="473"/>
      <c r="E716" s="353"/>
      <c r="F716" s="353"/>
      <c r="G716" s="353"/>
      <c r="H716" s="353"/>
      <c r="I716" s="353" t="s">
        <v>19</v>
      </c>
      <c r="J716" s="588"/>
      <c r="K716" s="588"/>
      <c r="S716" s="353" t="s">
        <v>20</v>
      </c>
      <c r="T716" s="588"/>
      <c r="U716" s="588"/>
      <c r="V716" s="588"/>
      <c r="W716" s="588"/>
    </row>
    <row r="717" spans="1:25" s="369" customFormat="1" ht="18" customHeight="1" x14ac:dyDescent="0.2">
      <c r="A717" s="353"/>
      <c r="B717" s="353"/>
      <c r="C717" s="353"/>
      <c r="D717" s="353"/>
      <c r="E717" s="353"/>
      <c r="F717" s="353"/>
      <c r="G717" s="353"/>
      <c r="H717" s="353"/>
      <c r="I717" s="353" t="s">
        <v>14</v>
      </c>
      <c r="J717" s="588"/>
      <c r="K717" s="588"/>
      <c r="S717" s="353" t="s">
        <v>16</v>
      </c>
      <c r="T717" s="588"/>
      <c r="U717" s="588"/>
      <c r="V717" s="588"/>
      <c r="W717" s="588"/>
    </row>
    <row r="718" spans="1:25" s="369" customFormat="1" ht="18" customHeight="1" thickBot="1" x14ac:dyDescent="0.25">
      <c r="A718" s="353"/>
      <c r="B718" s="353"/>
      <c r="C718" s="353"/>
      <c r="D718" s="353"/>
      <c r="E718" s="353"/>
      <c r="F718" s="353"/>
      <c r="G718" s="353"/>
      <c r="H718" s="353"/>
      <c r="I718" s="353" t="s">
        <v>15</v>
      </c>
      <c r="J718" s="588"/>
      <c r="K718" s="588"/>
      <c r="S718" s="353"/>
    </row>
    <row r="719" spans="1:25" s="347" customFormat="1" ht="18" customHeight="1" thickBot="1" x14ac:dyDescent="0.25">
      <c r="C719" s="345"/>
      <c r="E719" s="352"/>
      <c r="F719" s="352"/>
      <c r="G719" s="370"/>
      <c r="H719" s="370"/>
      <c r="J719" s="352"/>
      <c r="K719" s="370"/>
      <c r="M719" s="352"/>
      <c r="N719" s="370"/>
      <c r="P719" s="418"/>
      <c r="R719" s="349"/>
      <c r="S719" s="349"/>
      <c r="T719" s="395"/>
      <c r="U719" s="396"/>
      <c r="V719" s="396"/>
      <c r="W719" s="397" t="str">
        <f>CONCATENATE(IF(COUNTA($J$715:$K$718,$T$715:$W$717)&gt;1,"Une seule réponse est possible.",""),IF(AND($J$121="x",AND($J$715&lt;&gt;"X",$J$716&lt;&gt;"X",$J$717&lt;&gt;"x",$J$718&lt;&gt;"x",$T$715&lt;&gt;"x",$T$716&lt;&gt;"x",$T$717&lt;&gt;"x")),"Votre site est alluvial, donnez une réponse à cette question.",""))</f>
        <v/>
      </c>
    </row>
    <row r="720" spans="1:25" s="347" customFormat="1" ht="18" customHeight="1" x14ac:dyDescent="0.2">
      <c r="C720" s="345"/>
      <c r="E720" s="352"/>
      <c r="F720" s="352"/>
      <c r="G720" s="370"/>
      <c r="H720" s="370"/>
      <c r="J720" s="352"/>
      <c r="K720" s="370"/>
      <c r="M720" s="352"/>
      <c r="N720" s="370"/>
      <c r="P720" s="418"/>
      <c r="R720" s="349"/>
      <c r="S720" s="349"/>
    </row>
    <row r="721" spans="1:25" ht="18" customHeight="1" x14ac:dyDescent="0.2">
      <c r="A721" s="337"/>
      <c r="B721" s="337"/>
      <c r="C721" s="581" t="s">
        <v>334</v>
      </c>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row>
    <row r="722" spans="1:25" ht="18" customHeight="1" thickBot="1" x14ac:dyDescent="0.25">
      <c r="A722" s="337"/>
      <c r="B722" s="337"/>
      <c r="C722" s="354" t="s">
        <v>234</v>
      </c>
      <c r="D722" s="354"/>
      <c r="E722" s="337"/>
      <c r="H722" s="368"/>
      <c r="I722" s="353" t="s">
        <v>28</v>
      </c>
      <c r="J722" s="588"/>
      <c r="K722" s="588"/>
      <c r="P722" s="339"/>
      <c r="Q722" s="368"/>
      <c r="R722" s="368"/>
      <c r="S722" s="369" t="s">
        <v>29</v>
      </c>
      <c r="T722" s="588"/>
      <c r="U722" s="588"/>
      <c r="V722" s="588"/>
      <c r="W722" s="588"/>
    </row>
    <row r="723" spans="1:25" s="347" customFormat="1" ht="18" customHeight="1" thickBot="1" x14ac:dyDescent="0.25">
      <c r="C723" s="345"/>
      <c r="D723" s="360"/>
      <c r="E723" s="352"/>
      <c r="F723" s="352"/>
      <c r="G723" s="349"/>
      <c r="H723" s="349"/>
      <c r="I723" s="349"/>
      <c r="J723" s="349"/>
      <c r="K723" s="352"/>
      <c r="L723" s="349"/>
      <c r="P723" s="418"/>
      <c r="T723" s="395"/>
      <c r="U723" s="396"/>
      <c r="V723" s="396"/>
      <c r="W723" s="397" t="str">
        <f>CONCATENATE(IF(COUNTA($J$722,$T$722)&gt;1,"Une seule réponse est possible.",""),IF(AND($J$121="x",AND($J$722&lt;&gt;"X",$T$722&lt;&gt;"X")),"Votre site est alluvial, donnez une réponse à cette question.",""))</f>
        <v/>
      </c>
    </row>
    <row r="724" spans="1:25" s="347" customFormat="1" ht="18" customHeight="1" x14ac:dyDescent="0.2">
      <c r="C724" s="345"/>
      <c r="D724" s="360"/>
      <c r="E724" s="352"/>
      <c r="F724" s="352"/>
      <c r="G724" s="349"/>
      <c r="H724" s="349"/>
      <c r="I724" s="349"/>
      <c r="J724" s="349"/>
      <c r="K724" s="352"/>
      <c r="L724" s="349"/>
      <c r="P724" s="418"/>
    </row>
    <row r="725" spans="1:25" ht="18" customHeight="1" x14ac:dyDescent="0.2">
      <c r="A725" s="337"/>
      <c r="B725" s="337"/>
      <c r="C725" s="581" t="s">
        <v>335</v>
      </c>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row>
    <row r="726" spans="1:25" ht="18" customHeight="1" thickBot="1" x14ac:dyDescent="0.25">
      <c r="A726" s="337"/>
      <c r="B726" s="337"/>
      <c r="C726" s="337"/>
      <c r="D726" s="337"/>
      <c r="E726" s="337"/>
      <c r="F726" s="337"/>
      <c r="G726" s="337"/>
      <c r="H726" s="337"/>
      <c r="I726" s="337"/>
      <c r="J726" s="337"/>
      <c r="K726" s="337"/>
      <c r="L726" s="337"/>
      <c r="M726" s="394"/>
      <c r="N726" s="337"/>
      <c r="O726" s="337"/>
      <c r="S726" s="369" t="s">
        <v>119</v>
      </c>
      <c r="T726" s="578"/>
      <c r="U726" s="578"/>
      <c r="V726" s="578"/>
      <c r="W726" s="578"/>
      <c r="X726" s="582" t="s">
        <v>112</v>
      </c>
      <c r="Y726" s="582"/>
    </row>
    <row r="727" spans="1:25" ht="18" customHeight="1" thickBot="1" x14ac:dyDescent="0.25">
      <c r="A727" s="337"/>
      <c r="B727" s="337"/>
      <c r="C727" s="345"/>
      <c r="D727" s="337"/>
      <c r="E727" s="337"/>
      <c r="F727" s="337"/>
      <c r="G727" s="337"/>
      <c r="H727" s="337"/>
      <c r="I727" s="337"/>
      <c r="J727" s="337"/>
      <c r="K727" s="337"/>
      <c r="L727" s="337"/>
      <c r="M727" s="337"/>
      <c r="N727" s="337"/>
      <c r="O727" s="337"/>
      <c r="T727" s="395"/>
      <c r="U727" s="396"/>
      <c r="V727" s="396"/>
      <c r="W727" s="397" t="str">
        <f>IF(AND($J$121="x",AND($T$726="")),"Votre site est alluvial, donnez une réponse à cette question.","")</f>
        <v/>
      </c>
    </row>
    <row r="728" spans="1:25" ht="18" customHeight="1" x14ac:dyDescent="0.2">
      <c r="A728" s="337"/>
      <c r="B728" s="337"/>
      <c r="C728" s="345"/>
      <c r="D728" s="337"/>
      <c r="E728" s="337"/>
      <c r="F728" s="337"/>
      <c r="G728" s="337"/>
      <c r="H728" s="337"/>
      <c r="I728" s="337"/>
      <c r="J728" s="337"/>
      <c r="K728" s="337"/>
      <c r="L728" s="337"/>
      <c r="M728" s="337"/>
      <c r="N728" s="337"/>
      <c r="O728" s="337"/>
    </row>
    <row r="729" spans="1:25" ht="23.1" customHeight="1" x14ac:dyDescent="0.2">
      <c r="A729" s="337"/>
      <c r="B729" s="337"/>
      <c r="C729" s="583" t="s">
        <v>336</v>
      </c>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row>
    <row r="730" spans="1:25" ht="23.1" customHeight="1" x14ac:dyDescent="0.2">
      <c r="A730" s="337"/>
      <c r="B730" s="337"/>
      <c r="C730" s="583"/>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row>
    <row r="731" spans="1:25" ht="36" customHeight="1" x14ac:dyDescent="0.2">
      <c r="A731" s="337"/>
      <c r="B731" s="337"/>
      <c r="C731" s="584" t="s">
        <v>84</v>
      </c>
      <c r="D731" s="584"/>
      <c r="E731" s="584"/>
      <c r="F731" s="584"/>
      <c r="G731" s="584"/>
      <c r="H731" s="584"/>
      <c r="I731" s="584"/>
      <c r="J731" s="584"/>
      <c r="K731" s="584"/>
      <c r="L731" s="584"/>
      <c r="M731" s="584"/>
      <c r="N731" s="584"/>
      <c r="O731" s="584"/>
      <c r="P731" s="584"/>
      <c r="Q731" s="584"/>
      <c r="R731" s="584"/>
      <c r="S731" s="584"/>
      <c r="T731" s="585" t="s">
        <v>110</v>
      </c>
      <c r="U731" s="586"/>
      <c r="V731" s="586"/>
      <c r="W731" s="586"/>
      <c r="X731" s="586"/>
      <c r="Y731" s="587"/>
    </row>
    <row r="732" spans="1:25" ht="18" customHeight="1" x14ac:dyDescent="0.2">
      <c r="A732" s="337"/>
      <c r="B732" s="337"/>
      <c r="C732" s="577" t="s">
        <v>337</v>
      </c>
      <c r="D732" s="577"/>
      <c r="E732" s="577"/>
      <c r="F732" s="577"/>
      <c r="G732" s="577"/>
      <c r="H732" s="577"/>
      <c r="I732" s="577"/>
      <c r="J732" s="577"/>
      <c r="K732" s="577"/>
      <c r="L732" s="577"/>
      <c r="M732" s="577"/>
      <c r="N732" s="577"/>
      <c r="O732" s="577"/>
      <c r="P732" s="577"/>
      <c r="Q732" s="577"/>
      <c r="R732" s="577"/>
      <c r="S732" s="577"/>
      <c r="T732" s="578"/>
      <c r="U732" s="578"/>
      <c r="V732" s="578"/>
      <c r="W732" s="578"/>
      <c r="X732" s="579" t="s">
        <v>82</v>
      </c>
      <c r="Y732" s="579"/>
    </row>
    <row r="733" spans="1:25" ht="18" customHeight="1" x14ac:dyDescent="0.2">
      <c r="A733" s="337"/>
      <c r="B733" s="337"/>
      <c r="C733" s="577"/>
      <c r="D733" s="577"/>
      <c r="E733" s="577"/>
      <c r="F733" s="577"/>
      <c r="G733" s="577"/>
      <c r="H733" s="577"/>
      <c r="I733" s="577"/>
      <c r="J733" s="577"/>
      <c r="K733" s="577"/>
      <c r="L733" s="577"/>
      <c r="M733" s="577"/>
      <c r="N733" s="577"/>
      <c r="O733" s="577"/>
      <c r="P733" s="577"/>
      <c r="Q733" s="577"/>
      <c r="R733" s="577"/>
      <c r="S733" s="577"/>
      <c r="T733" s="578"/>
      <c r="U733" s="578"/>
      <c r="V733" s="578"/>
      <c r="W733" s="578"/>
      <c r="X733" s="579"/>
      <c r="Y733" s="579"/>
    </row>
    <row r="734" spans="1:25" ht="18" customHeight="1" x14ac:dyDescent="0.2">
      <c r="A734" s="337"/>
      <c r="B734" s="337"/>
      <c r="C734" s="577" t="s">
        <v>480</v>
      </c>
      <c r="D734" s="577"/>
      <c r="E734" s="577"/>
      <c r="F734" s="577"/>
      <c r="G734" s="577"/>
      <c r="H734" s="577"/>
      <c r="I734" s="577"/>
      <c r="J734" s="577"/>
      <c r="K734" s="577"/>
      <c r="L734" s="577"/>
      <c r="M734" s="577"/>
      <c r="N734" s="577"/>
      <c r="O734" s="577"/>
      <c r="P734" s="577"/>
      <c r="Q734" s="577"/>
      <c r="R734" s="577"/>
      <c r="S734" s="577"/>
      <c r="T734" s="578"/>
      <c r="U734" s="578"/>
      <c r="V734" s="578"/>
      <c r="W734" s="578"/>
      <c r="X734" s="580" t="s">
        <v>82</v>
      </c>
      <c r="Y734" s="580"/>
    </row>
    <row r="735" spans="1:25" ht="18" customHeight="1" x14ac:dyDescent="0.2">
      <c r="A735" s="337"/>
      <c r="B735" s="337"/>
      <c r="C735" s="577"/>
      <c r="D735" s="577"/>
      <c r="E735" s="577"/>
      <c r="F735" s="577"/>
      <c r="G735" s="577"/>
      <c r="H735" s="577"/>
      <c r="I735" s="577"/>
      <c r="J735" s="577"/>
      <c r="K735" s="577"/>
      <c r="L735" s="577"/>
      <c r="M735" s="577"/>
      <c r="N735" s="577"/>
      <c r="O735" s="577"/>
      <c r="P735" s="577"/>
      <c r="Q735" s="577"/>
      <c r="R735" s="577"/>
      <c r="S735" s="577"/>
      <c r="T735" s="578"/>
      <c r="U735" s="578"/>
      <c r="V735" s="578"/>
      <c r="W735" s="578"/>
      <c r="X735" s="580"/>
      <c r="Y735" s="580"/>
    </row>
    <row r="736" spans="1:25" ht="18" customHeight="1" x14ac:dyDescent="0.2">
      <c r="A736" s="337"/>
      <c r="B736" s="337"/>
      <c r="C736" s="561" t="s">
        <v>83</v>
      </c>
      <c r="D736" s="562"/>
      <c r="E736" s="562"/>
      <c r="F736" s="562"/>
      <c r="G736" s="562"/>
      <c r="H736" s="562"/>
      <c r="I736" s="562"/>
      <c r="J736" s="562"/>
      <c r="K736" s="562"/>
      <c r="L736" s="562"/>
      <c r="M736" s="562"/>
      <c r="N736" s="562"/>
      <c r="O736" s="562"/>
      <c r="P736" s="562"/>
      <c r="Q736" s="562"/>
      <c r="R736" s="562"/>
      <c r="S736" s="563"/>
      <c r="T736" s="567"/>
      <c r="U736" s="568"/>
      <c r="V736" s="568"/>
      <c r="W736" s="569"/>
      <c r="X736" s="573" t="s">
        <v>82</v>
      </c>
      <c r="Y736" s="574"/>
    </row>
    <row r="737" spans="1:28" ht="18" customHeight="1" x14ac:dyDescent="0.2">
      <c r="A737" s="337"/>
      <c r="B737" s="337"/>
      <c r="C737" s="564"/>
      <c r="D737" s="565"/>
      <c r="E737" s="565"/>
      <c r="F737" s="565"/>
      <c r="G737" s="565"/>
      <c r="H737" s="565"/>
      <c r="I737" s="565"/>
      <c r="J737" s="565"/>
      <c r="K737" s="565"/>
      <c r="L737" s="565"/>
      <c r="M737" s="565"/>
      <c r="N737" s="565"/>
      <c r="O737" s="565"/>
      <c r="P737" s="565"/>
      <c r="Q737" s="565"/>
      <c r="R737" s="565"/>
      <c r="S737" s="566"/>
      <c r="T737" s="570"/>
      <c r="U737" s="571"/>
      <c r="V737" s="571"/>
      <c r="W737" s="572"/>
      <c r="X737" s="575"/>
      <c r="Y737" s="576"/>
    </row>
    <row r="738" spans="1:28" ht="18" customHeight="1" x14ac:dyDescent="0.2">
      <c r="A738" s="337"/>
      <c r="B738" s="337"/>
      <c r="C738" s="561" t="s">
        <v>338</v>
      </c>
      <c r="D738" s="562"/>
      <c r="E738" s="562"/>
      <c r="F738" s="562"/>
      <c r="G738" s="562"/>
      <c r="H738" s="562"/>
      <c r="I738" s="562"/>
      <c r="J738" s="562"/>
      <c r="K738" s="562"/>
      <c r="L738" s="562"/>
      <c r="M738" s="562"/>
      <c r="N738" s="562"/>
      <c r="O738" s="562"/>
      <c r="P738" s="562"/>
      <c r="Q738" s="562"/>
      <c r="R738" s="562"/>
      <c r="S738" s="563"/>
      <c r="T738" s="567"/>
      <c r="U738" s="568"/>
      <c r="V738" s="568"/>
      <c r="W738" s="569"/>
      <c r="X738" s="573" t="s">
        <v>82</v>
      </c>
      <c r="Y738" s="574"/>
    </row>
    <row r="739" spans="1:28" ht="18" customHeight="1" thickBot="1" x14ac:dyDescent="0.25">
      <c r="A739" s="337"/>
      <c r="B739" s="337"/>
      <c r="C739" s="564"/>
      <c r="D739" s="565"/>
      <c r="E739" s="565"/>
      <c r="F739" s="565"/>
      <c r="G739" s="565"/>
      <c r="H739" s="565"/>
      <c r="I739" s="565"/>
      <c r="J739" s="565"/>
      <c r="K739" s="565"/>
      <c r="L739" s="565"/>
      <c r="M739" s="565"/>
      <c r="N739" s="565"/>
      <c r="O739" s="565"/>
      <c r="P739" s="565"/>
      <c r="Q739" s="565"/>
      <c r="R739" s="565"/>
      <c r="S739" s="566"/>
      <c r="T739" s="570"/>
      <c r="U739" s="571"/>
      <c r="V739" s="571"/>
      <c r="W739" s="572"/>
      <c r="X739" s="575"/>
      <c r="Y739" s="576"/>
    </row>
    <row r="740" spans="1:28" ht="18" customHeight="1" thickBot="1" x14ac:dyDescent="0.25">
      <c r="A740" s="337"/>
      <c r="B740" s="337"/>
      <c r="C740" s="345"/>
      <c r="D740" s="337"/>
      <c r="G740" s="337"/>
      <c r="H740" s="337"/>
      <c r="I740" s="337"/>
      <c r="J740" s="337"/>
      <c r="K740" s="337"/>
      <c r="L740" s="337"/>
      <c r="M740" s="337"/>
      <c r="N740" s="337"/>
      <c r="O740" s="337"/>
      <c r="T740" s="395"/>
      <c r="U740" s="396"/>
      <c r="V740" s="396"/>
      <c r="W740" s="397" t="str">
        <f>IF(SUM($T$732:$W$739)&lt;&gt;$T$726,"La somme des réponses données à cette question doit correspondre au linéaire total de berges (question 71).","")</f>
        <v/>
      </c>
    </row>
    <row r="741" spans="1:28" ht="18" customHeight="1" x14ac:dyDescent="0.2">
      <c r="A741" s="337"/>
      <c r="B741" s="337"/>
      <c r="C741" s="345"/>
      <c r="D741" s="337"/>
      <c r="G741" s="337"/>
      <c r="H741" s="337"/>
      <c r="I741" s="337"/>
      <c r="J741" s="337"/>
      <c r="K741" s="337"/>
      <c r="L741" s="337"/>
      <c r="M741" s="337"/>
      <c r="N741" s="337"/>
      <c r="O741" s="337"/>
    </row>
    <row r="742" spans="1:28" ht="33.75" customHeight="1" x14ac:dyDescent="0.2">
      <c r="A742" s="337"/>
      <c r="B742" s="337"/>
      <c r="C742" s="341" t="s">
        <v>391</v>
      </c>
      <c r="D742" s="695" t="s">
        <v>411</v>
      </c>
      <c r="E742" s="696"/>
      <c r="F742" s="696"/>
      <c r="G742" s="696"/>
      <c r="H742" s="696"/>
      <c r="I742" s="696"/>
      <c r="J742" s="696"/>
      <c r="K742" s="696"/>
      <c r="L742" s="696"/>
      <c r="M742" s="696"/>
      <c r="N742" s="696"/>
      <c r="O742" s="696"/>
      <c r="P742" s="696"/>
      <c r="Q742" s="696"/>
      <c r="R742" s="696"/>
      <c r="S742" s="696"/>
      <c r="T742" s="696"/>
      <c r="U742" s="696"/>
      <c r="V742" s="696"/>
      <c r="W742" s="696"/>
      <c r="X742" s="696"/>
      <c r="Y742" s="697"/>
    </row>
    <row r="743" spans="1:28" ht="18" customHeight="1" x14ac:dyDescent="0.2">
      <c r="A743" s="337"/>
      <c r="B743" s="337"/>
      <c r="C743" s="517"/>
      <c r="D743" s="517"/>
      <c r="E743" s="517"/>
      <c r="F743" s="517"/>
      <c r="G743" s="517"/>
      <c r="H743" s="517"/>
      <c r="I743" s="517"/>
      <c r="J743" s="517"/>
      <c r="K743" s="517"/>
      <c r="L743" s="517"/>
      <c r="M743" s="517"/>
      <c r="N743" s="517"/>
      <c r="O743" s="517"/>
      <c r="P743" s="517"/>
      <c r="Q743" s="517"/>
      <c r="R743" s="517"/>
      <c r="S743" s="517"/>
      <c r="T743" s="517"/>
      <c r="U743" s="517"/>
      <c r="V743" s="517"/>
      <c r="W743" s="517"/>
      <c r="X743" s="517"/>
      <c r="Y743" s="517"/>
    </row>
    <row r="744" spans="1:28" ht="17.25" customHeight="1" x14ac:dyDescent="0.2">
      <c r="A744" s="337"/>
      <c r="B744" s="337"/>
      <c r="C744" s="581" t="s">
        <v>339</v>
      </c>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row>
    <row r="745" spans="1:28" ht="33.75" customHeight="1" x14ac:dyDescent="0.2">
      <c r="A745" s="542" t="s">
        <v>466</v>
      </c>
      <c r="B745" s="543" t="s">
        <v>483</v>
      </c>
      <c r="C745" s="546" t="s">
        <v>87</v>
      </c>
      <c r="D745" s="546" t="s">
        <v>30</v>
      </c>
      <c r="E745" s="548" t="s">
        <v>31</v>
      </c>
      <c r="F745" s="549"/>
      <c r="G745" s="544" t="s">
        <v>32</v>
      </c>
      <c r="H745" s="552" t="s">
        <v>482</v>
      </c>
      <c r="I745" s="553"/>
      <c r="J745" s="553"/>
      <c r="K745" s="554"/>
      <c r="L745" s="544" t="s">
        <v>488</v>
      </c>
      <c r="M745" s="544" t="s">
        <v>487</v>
      </c>
      <c r="N745" s="743" t="s">
        <v>462</v>
      </c>
      <c r="O745" s="744"/>
      <c r="P745" s="744"/>
      <c r="Q745" s="744"/>
      <c r="R745" s="744"/>
      <c r="S745" s="744"/>
      <c r="T745" s="744"/>
      <c r="U745" s="744"/>
      <c r="V745" s="744"/>
      <c r="W745" s="744"/>
      <c r="X745" s="744"/>
      <c r="Y745" s="745"/>
      <c r="Z745" s="746" t="s">
        <v>216</v>
      </c>
      <c r="AA745" s="749" t="s">
        <v>215</v>
      </c>
      <c r="AB745" s="752" t="s">
        <v>105</v>
      </c>
    </row>
    <row r="746" spans="1:28" ht="54" customHeight="1" x14ac:dyDescent="0.2">
      <c r="A746" s="542"/>
      <c r="B746" s="544"/>
      <c r="C746" s="546"/>
      <c r="D746" s="546"/>
      <c r="E746" s="548"/>
      <c r="F746" s="549"/>
      <c r="G746" s="544"/>
      <c r="H746" s="753" t="s">
        <v>340</v>
      </c>
      <c r="I746" s="754"/>
      <c r="J746" s="754"/>
      <c r="K746" s="755"/>
      <c r="L746" s="544"/>
      <c r="M746" s="544"/>
      <c r="N746" s="756" t="s">
        <v>102</v>
      </c>
      <c r="O746" s="757"/>
      <c r="P746" s="757"/>
      <c r="Q746" s="757"/>
      <c r="R746" s="757"/>
      <c r="S746" s="758"/>
      <c r="T746" s="759" t="s">
        <v>103</v>
      </c>
      <c r="U746" s="757"/>
      <c r="V746" s="757"/>
      <c r="W746" s="757"/>
      <c r="X746" s="757"/>
      <c r="Y746" s="760"/>
      <c r="Z746" s="747"/>
      <c r="AA746" s="750"/>
      <c r="AB746" s="549"/>
    </row>
    <row r="747" spans="1:28" ht="32.25" customHeight="1" x14ac:dyDescent="0.2">
      <c r="A747" s="542"/>
      <c r="B747" s="544"/>
      <c r="C747" s="546"/>
      <c r="D747" s="546"/>
      <c r="E747" s="548"/>
      <c r="F747" s="549"/>
      <c r="G747" s="544"/>
      <c r="H747" s="543" t="s">
        <v>33</v>
      </c>
      <c r="I747" s="543" t="s">
        <v>34</v>
      </c>
      <c r="J747" s="543" t="s">
        <v>35</v>
      </c>
      <c r="K747" s="543" t="s">
        <v>109</v>
      </c>
      <c r="L747" s="544"/>
      <c r="M747" s="544"/>
      <c r="N747" s="555" t="s">
        <v>447</v>
      </c>
      <c r="O747" s="556"/>
      <c r="P747" s="556"/>
      <c r="Q747" s="556"/>
      <c r="R747" s="556"/>
      <c r="S747" s="557"/>
      <c r="T747" s="734" t="s">
        <v>441</v>
      </c>
      <c r="U747" s="735"/>
      <c r="V747" s="735"/>
      <c r="W747" s="735"/>
      <c r="X747" s="735"/>
      <c r="Y747" s="736"/>
      <c r="Z747" s="747"/>
      <c r="AA747" s="750"/>
      <c r="AB747" s="549"/>
    </row>
    <row r="748" spans="1:28" ht="32.25" customHeight="1" x14ac:dyDescent="0.2">
      <c r="A748" s="542"/>
      <c r="B748" s="544"/>
      <c r="C748" s="546"/>
      <c r="D748" s="546"/>
      <c r="E748" s="548"/>
      <c r="F748" s="549"/>
      <c r="G748" s="544"/>
      <c r="H748" s="544"/>
      <c r="I748" s="544"/>
      <c r="J748" s="544"/>
      <c r="K748" s="544"/>
      <c r="L748" s="544"/>
      <c r="M748" s="544"/>
      <c r="N748" s="555" t="s">
        <v>448</v>
      </c>
      <c r="O748" s="556"/>
      <c r="P748" s="556"/>
      <c r="Q748" s="556"/>
      <c r="R748" s="556"/>
      <c r="S748" s="557"/>
      <c r="T748" s="734" t="s">
        <v>442</v>
      </c>
      <c r="U748" s="735"/>
      <c r="V748" s="735"/>
      <c r="W748" s="735"/>
      <c r="X748" s="735"/>
      <c r="Y748" s="736"/>
      <c r="Z748" s="747"/>
      <c r="AA748" s="750"/>
      <c r="AB748" s="549"/>
    </row>
    <row r="749" spans="1:28" ht="32.25" customHeight="1" x14ac:dyDescent="0.2">
      <c r="A749" s="542"/>
      <c r="B749" s="544"/>
      <c r="C749" s="546"/>
      <c r="D749" s="546"/>
      <c r="E749" s="548"/>
      <c r="F749" s="549"/>
      <c r="G749" s="544"/>
      <c r="H749" s="544"/>
      <c r="I749" s="544"/>
      <c r="J749" s="544"/>
      <c r="K749" s="544"/>
      <c r="L749" s="544"/>
      <c r="M749" s="544"/>
      <c r="N749" s="555" t="s">
        <v>449</v>
      </c>
      <c r="O749" s="556"/>
      <c r="P749" s="556"/>
      <c r="Q749" s="556"/>
      <c r="R749" s="556"/>
      <c r="S749" s="557"/>
      <c r="T749" s="734" t="s">
        <v>443</v>
      </c>
      <c r="U749" s="735"/>
      <c r="V749" s="735"/>
      <c r="W749" s="735"/>
      <c r="X749" s="735"/>
      <c r="Y749" s="736"/>
      <c r="Z749" s="747"/>
      <c r="AA749" s="750"/>
      <c r="AB749" s="549"/>
    </row>
    <row r="750" spans="1:28" ht="32.25" customHeight="1" x14ac:dyDescent="0.2">
      <c r="A750" s="542"/>
      <c r="B750" s="544"/>
      <c r="C750" s="546"/>
      <c r="D750" s="546"/>
      <c r="E750" s="548"/>
      <c r="F750" s="549"/>
      <c r="G750" s="544"/>
      <c r="H750" s="544"/>
      <c r="I750" s="544"/>
      <c r="J750" s="544"/>
      <c r="K750" s="544"/>
      <c r="L750" s="544"/>
      <c r="M750" s="544"/>
      <c r="N750" s="555" t="s">
        <v>450</v>
      </c>
      <c r="O750" s="556"/>
      <c r="P750" s="556"/>
      <c r="Q750" s="556"/>
      <c r="R750" s="556"/>
      <c r="S750" s="557"/>
      <c r="T750" s="737" t="s">
        <v>104</v>
      </c>
      <c r="U750" s="738"/>
      <c r="V750" s="738"/>
      <c r="W750" s="738"/>
      <c r="X750" s="738"/>
      <c r="Y750" s="739"/>
      <c r="Z750" s="747"/>
      <c r="AA750" s="750"/>
      <c r="AB750" s="549"/>
    </row>
    <row r="751" spans="1:28" ht="32.25" customHeight="1" x14ac:dyDescent="0.2">
      <c r="A751" s="542"/>
      <c r="B751" s="544"/>
      <c r="C751" s="546"/>
      <c r="D751" s="546"/>
      <c r="E751" s="548"/>
      <c r="F751" s="549"/>
      <c r="G751" s="544"/>
      <c r="H751" s="544"/>
      <c r="I751" s="544"/>
      <c r="J751" s="544"/>
      <c r="K751" s="544"/>
      <c r="L751" s="544"/>
      <c r="M751" s="544"/>
      <c r="N751" s="555" t="s">
        <v>451</v>
      </c>
      <c r="O751" s="556"/>
      <c r="P751" s="556"/>
      <c r="Q751" s="556"/>
      <c r="R751" s="556"/>
      <c r="S751" s="557"/>
      <c r="T751" s="737"/>
      <c r="U751" s="738"/>
      <c r="V751" s="738"/>
      <c r="W751" s="738"/>
      <c r="X751" s="738"/>
      <c r="Y751" s="739"/>
      <c r="Z751" s="747"/>
      <c r="AA751" s="750"/>
      <c r="AB751" s="549"/>
    </row>
    <row r="752" spans="1:28" ht="32.25" customHeight="1" x14ac:dyDescent="0.2">
      <c r="A752" s="542"/>
      <c r="B752" s="544"/>
      <c r="C752" s="546"/>
      <c r="D752" s="546"/>
      <c r="E752" s="548"/>
      <c r="F752" s="549"/>
      <c r="G752" s="544"/>
      <c r="H752" s="544"/>
      <c r="I752" s="544"/>
      <c r="J752" s="544"/>
      <c r="K752" s="544"/>
      <c r="L752" s="544"/>
      <c r="M752" s="544"/>
      <c r="N752" s="555" t="s">
        <v>452</v>
      </c>
      <c r="O752" s="556"/>
      <c r="P752" s="556"/>
      <c r="Q752" s="556"/>
      <c r="R752" s="556"/>
      <c r="S752" s="557"/>
      <c r="T752" s="737"/>
      <c r="U752" s="738"/>
      <c r="V752" s="738"/>
      <c r="W752" s="738"/>
      <c r="X752" s="738"/>
      <c r="Y752" s="739"/>
      <c r="Z752" s="747"/>
      <c r="AA752" s="750"/>
      <c r="AB752" s="549"/>
    </row>
    <row r="753" spans="1:28" ht="32.25" customHeight="1" x14ac:dyDescent="0.2">
      <c r="A753" s="542"/>
      <c r="B753" s="544"/>
      <c r="C753" s="546"/>
      <c r="D753" s="546"/>
      <c r="E753" s="548"/>
      <c r="F753" s="549"/>
      <c r="G753" s="544"/>
      <c r="H753" s="544"/>
      <c r="I753" s="544"/>
      <c r="J753" s="544"/>
      <c r="K753" s="544"/>
      <c r="L753" s="544"/>
      <c r="M753" s="544"/>
      <c r="N753" s="558" t="s">
        <v>453</v>
      </c>
      <c r="O753" s="559"/>
      <c r="P753" s="559"/>
      <c r="Q753" s="559"/>
      <c r="R753" s="559"/>
      <c r="S753" s="560"/>
      <c r="T753" s="740"/>
      <c r="U753" s="741"/>
      <c r="V753" s="741"/>
      <c r="W753" s="741"/>
      <c r="X753" s="741"/>
      <c r="Y753" s="742"/>
      <c r="Z753" s="747"/>
      <c r="AA753" s="750"/>
      <c r="AB753" s="549"/>
    </row>
    <row r="754" spans="1:28" ht="84.75" customHeight="1" x14ac:dyDescent="0.2">
      <c r="A754" s="542"/>
      <c r="B754" s="545"/>
      <c r="C754" s="547"/>
      <c r="D754" s="547"/>
      <c r="E754" s="550"/>
      <c r="F754" s="551"/>
      <c r="G754" s="545"/>
      <c r="H754" s="545"/>
      <c r="I754" s="545"/>
      <c r="J754" s="545"/>
      <c r="K754" s="545"/>
      <c r="L754" s="545"/>
      <c r="M754" s="545"/>
      <c r="N754" s="474" t="s">
        <v>90</v>
      </c>
      <c r="O754" s="474" t="s">
        <v>91</v>
      </c>
      <c r="P754" s="474" t="s">
        <v>92</v>
      </c>
      <c r="Q754" s="474" t="s">
        <v>93</v>
      </c>
      <c r="R754" s="474" t="s">
        <v>94</v>
      </c>
      <c r="S754" s="474" t="s">
        <v>95</v>
      </c>
      <c r="T754" s="474" t="s">
        <v>96</v>
      </c>
      <c r="U754" s="474" t="s">
        <v>97</v>
      </c>
      <c r="V754" s="474" t="s">
        <v>98</v>
      </c>
      <c r="W754" s="474" t="s">
        <v>99</v>
      </c>
      <c r="X754" s="474" t="s">
        <v>100</v>
      </c>
      <c r="Y754" s="474" t="s">
        <v>101</v>
      </c>
      <c r="Z754" s="748"/>
      <c r="AA754" s="751"/>
      <c r="AB754" s="551"/>
    </row>
    <row r="755" spans="1:28" ht="39" customHeight="1" x14ac:dyDescent="0.2">
      <c r="A755" s="475"/>
      <c r="B755" s="522"/>
      <c r="C755" s="522"/>
      <c r="D755" s="730" t="s">
        <v>446</v>
      </c>
      <c r="E755" s="731"/>
      <c r="F755" s="731"/>
      <c r="G755" s="731"/>
      <c r="H755" s="731"/>
      <c r="I755" s="731"/>
      <c r="J755" s="731"/>
      <c r="K755" s="731"/>
      <c r="L755" s="731"/>
      <c r="M755" s="731"/>
      <c r="N755" s="731"/>
      <c r="O755" s="731"/>
      <c r="P755" s="731"/>
      <c r="Q755" s="731"/>
      <c r="R755" s="731"/>
      <c r="S755" s="731"/>
      <c r="T755" s="731"/>
      <c r="U755" s="731"/>
      <c r="V755" s="731"/>
      <c r="W755" s="731"/>
      <c r="X755" s="731"/>
      <c r="Y755" s="731"/>
      <c r="Z755" s="731"/>
      <c r="AA755" s="731"/>
      <c r="AB755" s="731"/>
    </row>
    <row r="756" spans="1:28" ht="15" x14ac:dyDescent="0.2">
      <c r="A756" s="732" t="s">
        <v>37</v>
      </c>
      <c r="B756" s="733"/>
      <c r="C756" s="733"/>
      <c r="D756" s="733"/>
      <c r="E756" s="733"/>
      <c r="F756" s="733"/>
      <c r="G756" s="733"/>
      <c r="H756" s="733"/>
      <c r="I756" s="733"/>
      <c r="J756" s="733"/>
      <c r="K756" s="733"/>
      <c r="L756" s="733"/>
      <c r="M756" s="733"/>
      <c r="N756" s="733"/>
      <c r="O756" s="733"/>
      <c r="P756" s="733"/>
      <c r="Q756" s="733"/>
      <c r="R756" s="733"/>
      <c r="S756" s="733"/>
      <c r="T756" s="733"/>
      <c r="U756" s="733"/>
      <c r="V756" s="733"/>
      <c r="W756" s="733"/>
      <c r="X756" s="733"/>
      <c r="Y756" s="733"/>
      <c r="Z756" s="733"/>
      <c r="AA756" s="733"/>
      <c r="AB756" s="733"/>
    </row>
    <row r="757" spans="1:28" ht="30" customHeight="1" x14ac:dyDescent="0.2">
      <c r="A757" s="476">
        <v>1</v>
      </c>
      <c r="B757" s="476">
        <v>30</v>
      </c>
      <c r="C757" s="476" t="s">
        <v>88</v>
      </c>
      <c r="D757" s="477">
        <v>1</v>
      </c>
      <c r="E757" s="539" t="s">
        <v>89</v>
      </c>
      <c r="F757" s="540"/>
      <c r="G757" s="478">
        <v>6</v>
      </c>
      <c r="H757" s="476" t="s">
        <v>7</v>
      </c>
      <c r="I757" s="476"/>
      <c r="J757" s="476"/>
      <c r="K757" s="476"/>
      <c r="L757" s="476">
        <v>0</v>
      </c>
      <c r="M757" s="479">
        <v>0</v>
      </c>
      <c r="N757" s="476" t="s">
        <v>106</v>
      </c>
      <c r="O757" s="476" t="s">
        <v>106</v>
      </c>
      <c r="P757" s="476" t="s">
        <v>106</v>
      </c>
      <c r="Q757" s="476" t="s">
        <v>107</v>
      </c>
      <c r="R757" s="476" t="s">
        <v>107</v>
      </c>
      <c r="S757" s="476" t="s">
        <v>55</v>
      </c>
      <c r="T757" s="476" t="s">
        <v>55</v>
      </c>
      <c r="U757" s="476" t="s">
        <v>55</v>
      </c>
      <c r="V757" s="476" t="s">
        <v>55</v>
      </c>
      <c r="W757" s="476" t="s">
        <v>55</v>
      </c>
      <c r="X757" s="476" t="s">
        <v>55</v>
      </c>
      <c r="Y757" s="476" t="s">
        <v>55</v>
      </c>
      <c r="Z757" s="541" t="s">
        <v>108</v>
      </c>
      <c r="AA757" s="541"/>
      <c r="AB757" s="541"/>
    </row>
    <row r="758" spans="1:28" ht="30" customHeight="1" x14ac:dyDescent="0.2">
      <c r="A758" s="480">
        <v>1</v>
      </c>
      <c r="B758" s="480">
        <v>30</v>
      </c>
      <c r="C758" s="480" t="s">
        <v>88</v>
      </c>
      <c r="D758" s="481">
        <v>2</v>
      </c>
      <c r="E758" s="539" t="s">
        <v>206</v>
      </c>
      <c r="F758" s="540"/>
      <c r="G758" s="482">
        <v>5</v>
      </c>
      <c r="H758" s="480" t="s">
        <v>7</v>
      </c>
      <c r="I758" s="480"/>
      <c r="J758" s="480"/>
      <c r="K758" s="480"/>
      <c r="L758" s="480">
        <v>0</v>
      </c>
      <c r="M758" s="483">
        <v>0</v>
      </c>
      <c r="N758" s="476" t="s">
        <v>106</v>
      </c>
      <c r="O758" s="476" t="s">
        <v>106</v>
      </c>
      <c r="P758" s="476" t="s">
        <v>107</v>
      </c>
      <c r="Q758" s="476" t="s">
        <v>107</v>
      </c>
      <c r="R758" s="476" t="s">
        <v>55</v>
      </c>
      <c r="S758" s="476" t="s">
        <v>55</v>
      </c>
      <c r="T758" s="476" t="s">
        <v>55</v>
      </c>
      <c r="U758" s="476" t="s">
        <v>55</v>
      </c>
      <c r="V758" s="476" t="s">
        <v>55</v>
      </c>
      <c r="W758" s="476" t="s">
        <v>55</v>
      </c>
      <c r="X758" s="476" t="s">
        <v>55</v>
      </c>
      <c r="Y758" s="476" t="s">
        <v>55</v>
      </c>
      <c r="Z758" s="541" t="s">
        <v>209</v>
      </c>
      <c r="AA758" s="541"/>
      <c r="AB758" s="540"/>
    </row>
    <row r="759" spans="1:28" ht="30" customHeight="1" x14ac:dyDescent="0.2">
      <c r="A759" s="480">
        <v>2</v>
      </c>
      <c r="B759" s="480">
        <v>70</v>
      </c>
      <c r="C759" s="480" t="s">
        <v>205</v>
      </c>
      <c r="D759" s="481">
        <v>3</v>
      </c>
      <c r="E759" s="539" t="s">
        <v>207</v>
      </c>
      <c r="F759" s="540"/>
      <c r="G759" s="482">
        <v>5</v>
      </c>
      <c r="H759" s="480"/>
      <c r="I759" s="480"/>
      <c r="J759" s="480" t="s">
        <v>7</v>
      </c>
      <c r="K759" s="480"/>
      <c r="L759" s="478">
        <v>22</v>
      </c>
      <c r="M759" s="512">
        <v>0</v>
      </c>
      <c r="N759" s="476" t="s">
        <v>212</v>
      </c>
      <c r="O759" s="476" t="s">
        <v>212</v>
      </c>
      <c r="P759" s="476" t="s">
        <v>212</v>
      </c>
      <c r="Q759" s="476" t="s">
        <v>210</v>
      </c>
      <c r="R759" s="476" t="s">
        <v>55</v>
      </c>
      <c r="S759" s="476" t="s">
        <v>55</v>
      </c>
      <c r="T759" s="476" t="s">
        <v>55</v>
      </c>
      <c r="U759" s="476" t="s">
        <v>55</v>
      </c>
      <c r="V759" s="476" t="s">
        <v>55</v>
      </c>
      <c r="W759" s="476" t="s">
        <v>57</v>
      </c>
      <c r="X759" s="476"/>
      <c r="Y759" s="476"/>
      <c r="Z759" s="541" t="s">
        <v>211</v>
      </c>
      <c r="AA759" s="541"/>
      <c r="AB759" s="540"/>
    </row>
    <row r="760" spans="1:28" ht="30" customHeight="1" x14ac:dyDescent="0.2">
      <c r="A760" s="480">
        <v>2</v>
      </c>
      <c r="B760" s="480">
        <v>70</v>
      </c>
      <c r="C760" s="480" t="s">
        <v>205</v>
      </c>
      <c r="D760" s="481">
        <v>4</v>
      </c>
      <c r="E760" s="539" t="s">
        <v>208</v>
      </c>
      <c r="F760" s="540"/>
      <c r="G760" s="482">
        <v>6</v>
      </c>
      <c r="H760" s="480"/>
      <c r="I760" s="480"/>
      <c r="J760" s="480" t="s">
        <v>7</v>
      </c>
      <c r="K760" s="480"/>
      <c r="L760" s="482">
        <v>35</v>
      </c>
      <c r="M760" s="485">
        <v>0</v>
      </c>
      <c r="N760" s="476" t="s">
        <v>212</v>
      </c>
      <c r="O760" s="476" t="s">
        <v>212</v>
      </c>
      <c r="P760" s="476" t="s">
        <v>55</v>
      </c>
      <c r="Q760" s="476" t="s">
        <v>55</v>
      </c>
      <c r="R760" s="476" t="s">
        <v>55</v>
      </c>
      <c r="S760" s="476" t="s">
        <v>55</v>
      </c>
      <c r="T760" s="476" t="s">
        <v>55</v>
      </c>
      <c r="U760" s="476" t="s">
        <v>55</v>
      </c>
      <c r="V760" s="476" t="s">
        <v>55</v>
      </c>
      <c r="W760" s="476" t="s">
        <v>55</v>
      </c>
      <c r="X760" s="476" t="s">
        <v>55</v>
      </c>
      <c r="Y760" s="476" t="s">
        <v>55</v>
      </c>
      <c r="Z760" s="541" t="s">
        <v>213</v>
      </c>
      <c r="AA760" s="541"/>
      <c r="AB760" s="540"/>
    </row>
    <row r="761" spans="1:28" ht="33" customHeight="1" x14ac:dyDescent="0.2">
      <c r="A761" s="522"/>
      <c r="B761" s="522"/>
      <c r="C761" s="522"/>
      <c r="D761" s="486">
        <v>1</v>
      </c>
      <c r="E761" s="529"/>
      <c r="F761" s="531"/>
      <c r="G761" s="522"/>
      <c r="H761" s="522"/>
      <c r="I761" s="522"/>
      <c r="J761" s="522"/>
      <c r="K761" s="522"/>
      <c r="L761" s="525"/>
      <c r="M761" s="525"/>
      <c r="N761" s="522"/>
      <c r="O761" s="522"/>
      <c r="P761" s="522"/>
      <c r="Q761" s="522"/>
      <c r="R761" s="522"/>
      <c r="S761" s="522"/>
      <c r="T761" s="522"/>
      <c r="U761" s="522"/>
      <c r="V761" s="522"/>
      <c r="W761" s="522"/>
      <c r="X761" s="522"/>
      <c r="Y761" s="522"/>
      <c r="Z761" s="529"/>
      <c r="AA761" s="530"/>
      <c r="AB761" s="531"/>
    </row>
    <row r="762" spans="1:28" ht="33" customHeight="1" x14ac:dyDescent="0.2">
      <c r="A762" s="523"/>
      <c r="B762" s="523"/>
      <c r="C762" s="523"/>
      <c r="D762" s="487">
        <v>2</v>
      </c>
      <c r="E762" s="529"/>
      <c r="F762" s="531"/>
      <c r="G762" s="522"/>
      <c r="H762" s="523"/>
      <c r="I762" s="523"/>
      <c r="J762" s="523"/>
      <c r="K762" s="523"/>
      <c r="L762" s="525"/>
      <c r="M762" s="525"/>
      <c r="N762" s="522"/>
      <c r="O762" s="522"/>
      <c r="P762" s="522"/>
      <c r="Q762" s="522"/>
      <c r="R762" s="522"/>
      <c r="S762" s="522"/>
      <c r="T762" s="522"/>
      <c r="U762" s="522"/>
      <c r="V762" s="522"/>
      <c r="W762" s="522"/>
      <c r="X762" s="522"/>
      <c r="Y762" s="522"/>
      <c r="Z762" s="529"/>
      <c r="AA762" s="530"/>
      <c r="AB762" s="531"/>
    </row>
    <row r="763" spans="1:28" ht="33" customHeight="1" x14ac:dyDescent="0.2">
      <c r="A763" s="523"/>
      <c r="B763" s="523"/>
      <c r="C763" s="523"/>
      <c r="D763" s="487">
        <v>3</v>
      </c>
      <c r="E763" s="529"/>
      <c r="F763" s="531"/>
      <c r="G763" s="522"/>
      <c r="H763" s="523"/>
      <c r="I763" s="523"/>
      <c r="J763" s="523"/>
      <c r="K763" s="523"/>
      <c r="L763" s="525"/>
      <c r="M763" s="525"/>
      <c r="N763" s="523"/>
      <c r="O763" s="523"/>
      <c r="P763" s="523"/>
      <c r="Q763" s="523"/>
      <c r="R763" s="523"/>
      <c r="S763" s="522"/>
      <c r="T763" s="522"/>
      <c r="U763" s="522"/>
      <c r="V763" s="522"/>
      <c r="W763" s="522"/>
      <c r="X763" s="522"/>
      <c r="Y763" s="522"/>
      <c r="Z763" s="529"/>
      <c r="AA763" s="530"/>
      <c r="AB763" s="531"/>
    </row>
    <row r="764" spans="1:28" ht="33" customHeight="1" x14ac:dyDescent="0.2">
      <c r="A764" s="523"/>
      <c r="B764" s="523"/>
      <c r="C764" s="523"/>
      <c r="D764" s="487">
        <v>4</v>
      </c>
      <c r="E764" s="529"/>
      <c r="F764" s="531"/>
      <c r="G764" s="522"/>
      <c r="H764" s="523"/>
      <c r="I764" s="523"/>
      <c r="J764" s="523"/>
      <c r="K764" s="523"/>
      <c r="L764" s="525"/>
      <c r="M764" s="525"/>
      <c r="N764" s="523"/>
      <c r="O764" s="523"/>
      <c r="P764" s="523"/>
      <c r="Q764" s="523"/>
      <c r="R764" s="523"/>
      <c r="S764" s="523"/>
      <c r="T764" s="523"/>
      <c r="U764" s="523"/>
      <c r="V764" s="523"/>
      <c r="W764" s="523"/>
      <c r="X764" s="523"/>
      <c r="Y764" s="523"/>
      <c r="Z764" s="529"/>
      <c r="AA764" s="530"/>
      <c r="AB764" s="531"/>
    </row>
    <row r="765" spans="1:28" ht="33" customHeight="1" x14ac:dyDescent="0.2">
      <c r="A765" s="523"/>
      <c r="B765" s="523"/>
      <c r="C765" s="523"/>
      <c r="D765" s="487">
        <v>5</v>
      </c>
      <c r="E765" s="532"/>
      <c r="F765" s="533"/>
      <c r="G765" s="522"/>
      <c r="H765" s="523"/>
      <c r="I765" s="523"/>
      <c r="J765" s="523"/>
      <c r="K765" s="523"/>
      <c r="L765" s="525"/>
      <c r="M765" s="525"/>
      <c r="N765" s="523"/>
      <c r="O765" s="523"/>
      <c r="P765" s="523"/>
      <c r="Q765" s="523"/>
      <c r="R765" s="523"/>
      <c r="S765" s="523"/>
      <c r="T765" s="523"/>
      <c r="U765" s="523"/>
      <c r="V765" s="523"/>
      <c r="W765" s="523"/>
      <c r="X765" s="523"/>
      <c r="Y765" s="523"/>
      <c r="Z765" s="529"/>
      <c r="AA765" s="530"/>
      <c r="AB765" s="531"/>
    </row>
    <row r="766" spans="1:28" ht="33" customHeight="1" x14ac:dyDescent="0.2">
      <c r="A766" s="523"/>
      <c r="B766" s="523"/>
      <c r="C766" s="523"/>
      <c r="D766" s="487">
        <v>6</v>
      </c>
      <c r="E766" s="532"/>
      <c r="F766" s="533"/>
      <c r="G766" s="522"/>
      <c r="H766" s="523"/>
      <c r="I766" s="523"/>
      <c r="J766" s="523"/>
      <c r="K766" s="523"/>
      <c r="L766" s="525"/>
      <c r="M766" s="525"/>
      <c r="N766" s="523"/>
      <c r="O766" s="523"/>
      <c r="P766" s="523"/>
      <c r="Q766" s="523"/>
      <c r="R766" s="523"/>
      <c r="S766" s="523"/>
      <c r="T766" s="523"/>
      <c r="U766" s="523"/>
      <c r="V766" s="523"/>
      <c r="W766" s="523"/>
      <c r="X766" s="523"/>
      <c r="Y766" s="523"/>
      <c r="Z766" s="529"/>
      <c r="AA766" s="530"/>
      <c r="AB766" s="531"/>
    </row>
    <row r="767" spans="1:28" ht="33" customHeight="1" x14ac:dyDescent="0.2">
      <c r="A767" s="523"/>
      <c r="B767" s="523"/>
      <c r="C767" s="523"/>
      <c r="D767" s="487">
        <v>7</v>
      </c>
      <c r="E767" s="532"/>
      <c r="F767" s="533"/>
      <c r="G767" s="522"/>
      <c r="H767" s="523"/>
      <c r="I767" s="523"/>
      <c r="J767" s="523"/>
      <c r="K767" s="523"/>
      <c r="L767" s="525"/>
      <c r="M767" s="525"/>
      <c r="N767" s="523"/>
      <c r="O767" s="523"/>
      <c r="P767" s="523"/>
      <c r="Q767" s="523"/>
      <c r="R767" s="523"/>
      <c r="S767" s="522"/>
      <c r="T767" s="522"/>
      <c r="U767" s="522"/>
      <c r="V767" s="522"/>
      <c r="W767" s="522"/>
      <c r="X767" s="522"/>
      <c r="Y767" s="522"/>
      <c r="Z767" s="529"/>
      <c r="AA767" s="530"/>
      <c r="AB767" s="531"/>
    </row>
    <row r="768" spans="1:28" ht="33" customHeight="1" x14ac:dyDescent="0.2">
      <c r="A768" s="523"/>
      <c r="B768" s="523"/>
      <c r="C768" s="523"/>
      <c r="D768" s="487">
        <v>8</v>
      </c>
      <c r="E768" s="532"/>
      <c r="F768" s="533"/>
      <c r="G768" s="522"/>
      <c r="H768" s="523"/>
      <c r="I768" s="523"/>
      <c r="J768" s="523"/>
      <c r="K768" s="523"/>
      <c r="L768" s="525"/>
      <c r="M768" s="525"/>
      <c r="N768" s="523"/>
      <c r="O768" s="523"/>
      <c r="P768" s="523"/>
      <c r="Q768" s="523"/>
      <c r="R768" s="523"/>
      <c r="S768" s="523"/>
      <c r="T768" s="523"/>
      <c r="U768" s="523"/>
      <c r="V768" s="523"/>
      <c r="W768" s="523"/>
      <c r="X768" s="523"/>
      <c r="Y768" s="523"/>
      <c r="Z768" s="529"/>
      <c r="AA768" s="530"/>
      <c r="AB768" s="531"/>
    </row>
    <row r="769" spans="1:28" ht="33" customHeight="1" x14ac:dyDescent="0.2">
      <c r="A769" s="523"/>
      <c r="B769" s="523"/>
      <c r="C769" s="523"/>
      <c r="D769" s="487">
        <v>9</v>
      </c>
      <c r="E769" s="532"/>
      <c r="F769" s="533"/>
      <c r="G769" s="522"/>
      <c r="H769" s="523"/>
      <c r="I769" s="523"/>
      <c r="J769" s="523"/>
      <c r="K769" s="523"/>
      <c r="L769" s="525"/>
      <c r="M769" s="525"/>
      <c r="N769" s="523"/>
      <c r="O769" s="523"/>
      <c r="P769" s="523"/>
      <c r="Q769" s="523"/>
      <c r="R769" s="523"/>
      <c r="S769" s="523"/>
      <c r="T769" s="523"/>
      <c r="U769" s="523"/>
      <c r="V769" s="523"/>
      <c r="W769" s="523"/>
      <c r="X769" s="523"/>
      <c r="Y769" s="523"/>
      <c r="Z769" s="529"/>
      <c r="AA769" s="530"/>
      <c r="AB769" s="531"/>
    </row>
    <row r="770" spans="1:28" ht="33" customHeight="1" x14ac:dyDescent="0.2">
      <c r="A770" s="523"/>
      <c r="B770" s="523"/>
      <c r="C770" s="523"/>
      <c r="D770" s="487">
        <v>10</v>
      </c>
      <c r="E770" s="532"/>
      <c r="F770" s="533"/>
      <c r="G770" s="522"/>
      <c r="H770" s="523"/>
      <c r="I770" s="523"/>
      <c r="J770" s="523"/>
      <c r="K770" s="523"/>
      <c r="L770" s="525"/>
      <c r="M770" s="525"/>
      <c r="N770" s="523"/>
      <c r="O770" s="523"/>
      <c r="P770" s="523"/>
      <c r="Q770" s="523"/>
      <c r="R770" s="523"/>
      <c r="S770" s="523"/>
      <c r="T770" s="523"/>
      <c r="U770" s="523"/>
      <c r="V770" s="523"/>
      <c r="W770" s="523"/>
      <c r="X770" s="523"/>
      <c r="Y770" s="523"/>
      <c r="Z770" s="529"/>
      <c r="AA770" s="530"/>
      <c r="AB770" s="531"/>
    </row>
    <row r="771" spans="1:28" ht="33" customHeight="1" x14ac:dyDescent="0.2">
      <c r="A771" s="523"/>
      <c r="B771" s="523"/>
      <c r="C771" s="523"/>
      <c r="D771" s="487">
        <v>11</v>
      </c>
      <c r="E771" s="532"/>
      <c r="F771" s="533"/>
      <c r="G771" s="522"/>
      <c r="H771" s="523"/>
      <c r="I771" s="523"/>
      <c r="J771" s="523"/>
      <c r="K771" s="523"/>
      <c r="L771" s="525"/>
      <c r="M771" s="525"/>
      <c r="N771" s="523"/>
      <c r="O771" s="523"/>
      <c r="P771" s="523"/>
      <c r="Q771" s="523"/>
      <c r="R771" s="523"/>
      <c r="S771" s="523"/>
      <c r="T771" s="523"/>
      <c r="U771" s="523"/>
      <c r="V771" s="523"/>
      <c r="W771" s="523"/>
      <c r="X771" s="523"/>
      <c r="Y771" s="523"/>
      <c r="Z771" s="529"/>
      <c r="AA771" s="530"/>
      <c r="AB771" s="531"/>
    </row>
    <row r="772" spans="1:28" ht="33" customHeight="1" x14ac:dyDescent="0.2">
      <c r="A772" s="523"/>
      <c r="B772" s="523"/>
      <c r="C772" s="523"/>
      <c r="D772" s="487">
        <v>12</v>
      </c>
      <c r="E772" s="532"/>
      <c r="F772" s="533"/>
      <c r="G772" s="522"/>
      <c r="H772" s="523"/>
      <c r="I772" s="523"/>
      <c r="J772" s="523"/>
      <c r="K772" s="523"/>
      <c r="L772" s="525"/>
      <c r="M772" s="525"/>
      <c r="N772" s="523"/>
      <c r="O772" s="523"/>
      <c r="P772" s="523"/>
      <c r="Q772" s="523"/>
      <c r="R772" s="523"/>
      <c r="S772" s="523"/>
      <c r="T772" s="523"/>
      <c r="U772" s="523"/>
      <c r="V772" s="523"/>
      <c r="W772" s="523"/>
      <c r="X772" s="523"/>
      <c r="Y772" s="523"/>
      <c r="Z772" s="529"/>
      <c r="AA772" s="530"/>
      <c r="AB772" s="531"/>
    </row>
    <row r="773" spans="1:28" ht="33" customHeight="1" x14ac:dyDescent="0.2">
      <c r="A773" s="523"/>
      <c r="B773" s="523"/>
      <c r="C773" s="523"/>
      <c r="D773" s="487">
        <v>13</v>
      </c>
      <c r="E773" s="532"/>
      <c r="F773" s="533"/>
      <c r="G773" s="522"/>
      <c r="H773" s="523"/>
      <c r="I773" s="523"/>
      <c r="J773" s="523"/>
      <c r="K773" s="523"/>
      <c r="L773" s="525"/>
      <c r="M773" s="525"/>
      <c r="N773" s="523"/>
      <c r="O773" s="523"/>
      <c r="P773" s="523"/>
      <c r="Q773" s="523"/>
      <c r="R773" s="523"/>
      <c r="S773" s="523"/>
      <c r="T773" s="523"/>
      <c r="U773" s="523"/>
      <c r="V773" s="523"/>
      <c r="W773" s="523"/>
      <c r="X773" s="523"/>
      <c r="Y773" s="523"/>
      <c r="Z773" s="529"/>
      <c r="AA773" s="530"/>
      <c r="AB773" s="531"/>
    </row>
    <row r="774" spans="1:28" ht="33" customHeight="1" x14ac:dyDescent="0.2">
      <c r="A774" s="523"/>
      <c r="B774" s="523"/>
      <c r="C774" s="523"/>
      <c r="D774" s="487">
        <v>14</v>
      </c>
      <c r="E774" s="532"/>
      <c r="F774" s="533"/>
      <c r="G774" s="522"/>
      <c r="H774" s="523"/>
      <c r="I774" s="523"/>
      <c r="J774" s="523"/>
      <c r="K774" s="523"/>
      <c r="L774" s="525"/>
      <c r="M774" s="525"/>
      <c r="N774" s="523"/>
      <c r="O774" s="523"/>
      <c r="P774" s="523"/>
      <c r="Q774" s="523"/>
      <c r="R774" s="523"/>
      <c r="S774" s="523"/>
      <c r="T774" s="523"/>
      <c r="U774" s="523"/>
      <c r="V774" s="523"/>
      <c r="W774" s="523"/>
      <c r="X774" s="523"/>
      <c r="Y774" s="523"/>
      <c r="Z774" s="529"/>
      <c r="AA774" s="530"/>
      <c r="AB774" s="531"/>
    </row>
    <row r="775" spans="1:28" ht="33" customHeight="1" x14ac:dyDescent="0.2">
      <c r="A775" s="523"/>
      <c r="B775" s="523"/>
      <c r="C775" s="523"/>
      <c r="D775" s="487">
        <v>15</v>
      </c>
      <c r="E775" s="532"/>
      <c r="F775" s="533"/>
      <c r="G775" s="523"/>
      <c r="H775" s="523"/>
      <c r="I775" s="523"/>
      <c r="J775" s="523"/>
      <c r="K775" s="523"/>
      <c r="L775" s="526"/>
      <c r="M775" s="526"/>
      <c r="N775" s="523"/>
      <c r="O775" s="523"/>
      <c r="P775" s="523"/>
      <c r="Q775" s="523"/>
      <c r="R775" s="523"/>
      <c r="S775" s="523"/>
      <c r="T775" s="523"/>
      <c r="U775" s="523"/>
      <c r="V775" s="523"/>
      <c r="W775" s="523"/>
      <c r="X775" s="523"/>
      <c r="Y775" s="523"/>
      <c r="Z775" s="529"/>
      <c r="AA775" s="530"/>
      <c r="AB775" s="531"/>
    </row>
    <row r="776" spans="1:28" ht="33" customHeight="1" x14ac:dyDescent="0.2">
      <c r="A776" s="523"/>
      <c r="B776" s="523"/>
      <c r="C776" s="523"/>
      <c r="D776" s="487">
        <v>16</v>
      </c>
      <c r="E776" s="532"/>
      <c r="F776" s="533"/>
      <c r="G776" s="523"/>
      <c r="H776" s="523"/>
      <c r="I776" s="523"/>
      <c r="J776" s="523"/>
      <c r="K776" s="523"/>
      <c r="L776" s="526"/>
      <c r="M776" s="526"/>
      <c r="N776" s="523"/>
      <c r="O776" s="523"/>
      <c r="P776" s="523"/>
      <c r="Q776" s="523"/>
      <c r="R776" s="523"/>
      <c r="S776" s="523"/>
      <c r="T776" s="523"/>
      <c r="U776" s="523"/>
      <c r="V776" s="523"/>
      <c r="W776" s="523"/>
      <c r="X776" s="523"/>
      <c r="Y776" s="523"/>
      <c r="Z776" s="529"/>
      <c r="AA776" s="530"/>
      <c r="AB776" s="531"/>
    </row>
    <row r="777" spans="1:28" ht="33" customHeight="1" x14ac:dyDescent="0.2">
      <c r="A777" s="523"/>
      <c r="B777" s="523"/>
      <c r="C777" s="523"/>
      <c r="D777" s="487">
        <v>17</v>
      </c>
      <c r="E777" s="532"/>
      <c r="F777" s="533"/>
      <c r="G777" s="523"/>
      <c r="H777" s="523"/>
      <c r="I777" s="523"/>
      <c r="J777" s="523"/>
      <c r="K777" s="523"/>
      <c r="L777" s="526"/>
      <c r="M777" s="526"/>
      <c r="N777" s="523"/>
      <c r="O777" s="523"/>
      <c r="P777" s="523"/>
      <c r="Q777" s="523"/>
      <c r="R777" s="523"/>
      <c r="S777" s="523"/>
      <c r="T777" s="523"/>
      <c r="U777" s="523"/>
      <c r="V777" s="523"/>
      <c r="W777" s="523"/>
      <c r="X777" s="523"/>
      <c r="Y777" s="523"/>
      <c r="Z777" s="529"/>
      <c r="AA777" s="530"/>
      <c r="AB777" s="531"/>
    </row>
    <row r="778" spans="1:28" ht="33" customHeight="1" x14ac:dyDescent="0.2">
      <c r="A778" s="523"/>
      <c r="B778" s="523"/>
      <c r="C778" s="523"/>
      <c r="D778" s="487">
        <v>18</v>
      </c>
      <c r="E778" s="532"/>
      <c r="F778" s="533"/>
      <c r="G778" s="523"/>
      <c r="H778" s="523"/>
      <c r="I778" s="523"/>
      <c r="J778" s="523"/>
      <c r="K778" s="523"/>
      <c r="L778" s="526"/>
      <c r="M778" s="526"/>
      <c r="N778" s="523"/>
      <c r="O778" s="523"/>
      <c r="P778" s="523"/>
      <c r="Q778" s="523"/>
      <c r="R778" s="523"/>
      <c r="S778" s="523"/>
      <c r="T778" s="523"/>
      <c r="U778" s="523"/>
      <c r="V778" s="523"/>
      <c r="W778" s="523"/>
      <c r="X778" s="523"/>
      <c r="Y778" s="523"/>
      <c r="Z778" s="529"/>
      <c r="AA778" s="530"/>
      <c r="AB778" s="531"/>
    </row>
    <row r="779" spans="1:28" ht="33" customHeight="1" x14ac:dyDescent="0.2">
      <c r="A779" s="523"/>
      <c r="B779" s="523"/>
      <c r="C779" s="523"/>
      <c r="D779" s="487">
        <v>19</v>
      </c>
      <c r="E779" s="532"/>
      <c r="F779" s="533"/>
      <c r="G779" s="523"/>
      <c r="H779" s="523"/>
      <c r="I779" s="523"/>
      <c r="J779" s="523"/>
      <c r="K779" s="523"/>
      <c r="L779" s="526"/>
      <c r="M779" s="526"/>
      <c r="N779" s="523"/>
      <c r="O779" s="523"/>
      <c r="P779" s="523"/>
      <c r="Q779" s="523"/>
      <c r="R779" s="523"/>
      <c r="S779" s="523"/>
      <c r="T779" s="523"/>
      <c r="U779" s="523"/>
      <c r="V779" s="523"/>
      <c r="W779" s="523"/>
      <c r="X779" s="523"/>
      <c r="Y779" s="523"/>
      <c r="Z779" s="529"/>
      <c r="AA779" s="530"/>
      <c r="AB779" s="531"/>
    </row>
    <row r="780" spans="1:28" ht="33" customHeight="1" x14ac:dyDescent="0.2">
      <c r="A780" s="523"/>
      <c r="B780" s="524"/>
      <c r="C780" s="524"/>
      <c r="D780" s="487">
        <v>20</v>
      </c>
      <c r="E780" s="532"/>
      <c r="F780" s="533"/>
      <c r="G780" s="523"/>
      <c r="H780" s="523"/>
      <c r="I780" s="523"/>
      <c r="J780" s="523"/>
      <c r="K780" s="523"/>
      <c r="L780" s="526"/>
      <c r="M780" s="526"/>
      <c r="N780" s="523"/>
      <c r="O780" s="523"/>
      <c r="P780" s="523"/>
      <c r="Q780" s="523"/>
      <c r="R780" s="523"/>
      <c r="S780" s="523"/>
      <c r="T780" s="523"/>
      <c r="U780" s="523"/>
      <c r="V780" s="523"/>
      <c r="W780" s="523"/>
      <c r="X780" s="523"/>
      <c r="Y780" s="523"/>
      <c r="Z780" s="529"/>
      <c r="AA780" s="530"/>
      <c r="AB780" s="531"/>
    </row>
    <row r="781" spans="1:28" ht="33" customHeight="1" x14ac:dyDescent="0.2">
      <c r="A781" s="488"/>
      <c r="B781" s="489" t="str">
        <f>IF(COUNTA(B761:B780,B755)=0,"",IF(COUNTIF($A$761:$A$780,1)=0,0,SUMIF($A$761:$A$780,"1",$B$761:$B$780)/COUNTIF($A$761:$A$780,1))+IF(COUNTIF($A$761:$A$780,2)=0,0,SUMIF($A$761:$A$780,"2",$B$761:$B$780)/COUNTIF($A$761:$A$780,2))+IF(COUNTIF($A$761:$A$780,3)=0,0,SUMIF($A$761:$A$780,"3",$B$761:$B$780)/COUNTIF($A$761:$A$780,3))+IF(COUNTIF($A$761:$A$780,4)=0,0,SUMIF($A$761:$A$780,"4",$B$761:$B$780)/COUNTIF($A$761:$A$780,4))+IF(COUNTIF($A$761:$A$780,5)=0,0,SUMIF($A$761:$A$780,"5",$B$761:$B$780)/COUNTIF($A$761:$A$780,5))+IF(COUNTIF($A$761:$A$780,6)=0,0,SUMIF($A$761:$A$780,"6",$B$761:$B$780)/COUNTIF($A$761:$A$780,6))+IF(COUNTIF($A$761:$A$780,7)=0,0,SUMIF($A$761:$A$780,"7",$B$761:$B$780)/COUNTIF($A$761:$A$780,7))+IF(COUNTIF($A$761:$A$780,8)=0,0,SUMIF($A$761:$A$780,"8",$B$761:$B$780)/COUNTIF($A$761:$A$780,8))+IF(COUNTIF($A$761:$A$780,9)=0,0,SUMIF($A$761:$A$780,"9",$B$761:$B$780)/COUNTIF($A$761:$A$780,9))+IF(COUNTIF($A$761:$A$780,10)=0,0,SUMIF($A$761:$A$780,"10",$B$761:$B$780)/COUNTIF($A$761:$A$780,10))+IF(COUNTIF($A$761:$A$780,11)=0,0,SUMIF($A$761:$A$780,"11",$B$761:$B$780)/COUNTIF($A$761:$A$780,11))+IF(COUNTIF($A$761:$A$780,12)=0,0,SUMIF($A$761:$A$780,"12",$B$761:$B$780)/COUNTIF($A$761:$A$780,12))+IF(COUNTIF($A$761:$A$780,13)=0,0,SUMIF($A$761:$A$780,"13",$B$761:$B$780)/COUNTIF($A$761:$A$780,13))+IF(COUNTIF($A$761:$A$780,14)=0,0,SUMIF($A$761:$A$780,"14",$B$761:$B$780)/COUNTIF($A$761:$A$780,14))+IF(COUNTIF($A$761:$A$780,15)=0,0,SUMIF($A$761:$A$780,"15",$B$761:$B$780)/COUNTIF($A$761:$A$780,15))+$B$755)</f>
        <v/>
      </c>
      <c r="C781" s="490" t="s">
        <v>5</v>
      </c>
      <c r="D781" s="491" t="s">
        <v>214</v>
      </c>
      <c r="E781" s="488"/>
      <c r="F781" s="488"/>
      <c r="G781" s="488"/>
      <c r="H781" s="488"/>
      <c r="I781" s="488"/>
      <c r="J781" s="488"/>
      <c r="K781" s="488"/>
      <c r="L781" s="492"/>
      <c r="M781" s="492"/>
      <c r="N781" s="488"/>
      <c r="O781" s="488"/>
      <c r="P781" s="488"/>
      <c r="Q781" s="488"/>
      <c r="R781" s="488"/>
      <c r="S781" s="488"/>
      <c r="T781" s="488"/>
      <c r="U781" s="488"/>
      <c r="V781" s="488"/>
      <c r="W781" s="488"/>
      <c r="X781" s="488"/>
      <c r="Y781" s="488"/>
      <c r="Z781" s="492"/>
      <c r="AA781" s="492"/>
      <c r="AB781" s="492"/>
    </row>
    <row r="782" spans="1:28" ht="17.25" customHeight="1" x14ac:dyDescent="0.2">
      <c r="A782" s="534" t="s">
        <v>484</v>
      </c>
      <c r="B782" s="535"/>
      <c r="C782" s="535"/>
      <c r="D782" s="534"/>
      <c r="E782" s="534"/>
      <c r="F782" s="534"/>
      <c r="G782" s="534"/>
      <c r="H782" s="534"/>
      <c r="I782" s="534"/>
      <c r="J782" s="534"/>
      <c r="K782" s="534"/>
      <c r="L782" s="534"/>
      <c r="M782" s="534"/>
      <c r="N782" s="534"/>
      <c r="O782" s="534"/>
      <c r="P782" s="534"/>
      <c r="Q782" s="534"/>
      <c r="R782" s="534"/>
      <c r="S782" s="534"/>
      <c r="T782" s="534"/>
      <c r="U782" s="534"/>
      <c r="V782" s="534"/>
      <c r="W782" s="534"/>
      <c r="X782" s="534"/>
      <c r="Y782" s="534"/>
      <c r="Z782" s="534"/>
      <c r="AA782" s="534"/>
      <c r="AB782" s="534"/>
    </row>
    <row r="783" spans="1:28" ht="17.25" customHeight="1" thickBot="1" x14ac:dyDescent="0.25">
      <c r="A783" s="535"/>
      <c r="B783" s="535"/>
      <c r="C783" s="535"/>
      <c r="D783" s="535"/>
      <c r="E783" s="535"/>
      <c r="F783" s="535"/>
      <c r="G783" s="535"/>
      <c r="H783" s="535"/>
      <c r="I783" s="535"/>
      <c r="J783" s="535"/>
      <c r="K783" s="535"/>
      <c r="L783" s="535"/>
      <c r="M783" s="535"/>
      <c r="N783" s="535"/>
      <c r="O783" s="535"/>
      <c r="P783" s="535"/>
      <c r="Q783" s="535"/>
      <c r="R783" s="535"/>
      <c r="S783" s="535"/>
      <c r="T783" s="535"/>
      <c r="U783" s="535"/>
      <c r="V783" s="535"/>
      <c r="W783" s="535"/>
      <c r="X783" s="535"/>
      <c r="Y783" s="535"/>
      <c r="Z783" s="535"/>
      <c r="AA783" s="535"/>
      <c r="AB783" s="535"/>
    </row>
    <row r="784" spans="1:28" ht="17.25" customHeight="1" thickBot="1" x14ac:dyDescent="0.25">
      <c r="A784" s="493"/>
      <c r="B784" s="493"/>
      <c r="C784" s="494"/>
      <c r="D784" s="521"/>
      <c r="E784" s="521"/>
      <c r="F784" s="521"/>
      <c r="G784" s="521"/>
      <c r="H784" s="521"/>
      <c r="I784" s="493"/>
      <c r="J784" s="493"/>
      <c r="K784" s="493"/>
      <c r="L784" s="493"/>
      <c r="M784" s="494"/>
      <c r="N784" s="493"/>
      <c r="O784" s="493"/>
      <c r="P784" s="493"/>
      <c r="Q784" s="493"/>
      <c r="R784" s="493"/>
      <c r="S784" s="493"/>
      <c r="T784" s="495"/>
      <c r="U784" s="396"/>
      <c r="V784" s="496" t="str">
        <f>IF(OR(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COUNTA(N779)-COUNTA(O779)&lt;0,COUNTA(O779)-COUNTA(P779)&lt;0,COUNTA(P779)-COUNTA(Q779)&lt;0,COUNTA(Q779)-COUNTA(R779)&lt;0,COUNTA(R779)-COUNTA(S779)&lt;0,COUNTA(S779)-COUNTA(T779)&lt;0,COUNTA(T779)-COUNTA(U779)&lt;0,COUNTA(U779)-COUNTA(V779)&lt;0,COUNTA(V779)-COUNTA(W779)&lt;0,COUNTA(W779)-COUNTA(X779)&lt;0,COUNTA(X779)-COUNTA(Y779)&lt;0,COUNTA(N780)-COUNTA(O780)&lt;0,COUNTA(O780)-COUNTA(P780)&lt;0,COUNTA(P780)-COUNTA(Q780)&lt;0,COUNTA(Q780)-COUNTA(R780)&lt;0,COUNTA(R780)-COUNTA(S780)&lt;0,COUNTA(S780)-COUNTA(T780)&lt;0,COUNTA(T780)-COUNTA(U780)&lt;0,COUNTA(U780)-COUNTA(V780)&lt;0,COUNTA(V780)-COUNTA(W780)&lt;0,COUNTA(W780)-COUNTA(X780)&lt;0,COUNTA(X780)-COUNTA(Y780)&lt;0),"Il ne peut pas y avoir de blancs entre deux valeurs renseignées dans les informations sur la texture et les horizons histiques dans un sondage.","")</f>
        <v/>
      </c>
      <c r="W784" s="497" t="str">
        <f>CONCATENATE(IF(AND($B$781&lt;&gt;"",$B$781&lt;&gt;100),"La somme des proportions des sous-ensembles homogènes dans le site n'est pas égale à 100%. ",""),IF(COUNTA($A$761:$A$780)&lt;&gt;COUNTA($M$761:$M$780),"L'horizon Ab doit être renseigné dans tous les sondages (valeur de 0 cm si absent). ",""),IF(COUNTA($A$761:$A$780)&lt;&gt;COUNTA($L$761:$L$780),"L'épisolum humifère doit être renseigné dans tous les sondages (valeur de 0 cm si absent). ",""),IF(MAX($L$761:$L$780)&gt;120,"La valeur maximale entrée pour l'épisolum humifère ne peut excéder 120 cm. ",""),IF(MAX($M$761:$M$780)&gt;120,"La valeur maximale entrée pour l'horizon Ab ne peut excéder 120 cm. ",""),IF(COUNTA($B$755,$B$761:$B$780)=0,"",IF(AND($J$456="X",MIN($B$761:$B$780,$B$755)*$T$107*100&lt;15625),"La part d'un sous-ensemble homogène est inférieure à la surface minimale cartographiable choisie (15 625 m²).",IF(AND($T$456="X",MIN($B$761:$B$780,$B$755)*$T$107*100&lt;2500),"La part d'un sous-ensemble homogène est inférieure à la surface minimale cartographiable choisie (2500 m²).",IF(AND($J$457="X",MIN($B$761:$B$780,$B$755)*$T$107*100&lt;625),"La part d'un sous-ensemble homogène est inférieure à la surface minimale cartographiable choisie (625 m²).",IF(AND($T$457="X",MIN($B$761:$B$780,$B$755)*$T$107*100&lt;156),"La part d'un sous-ensemble homogène est inférieure à la surface minimale cartographiable choisie (156 m²).",""))))),IF(OR(AND(MIN($G$761:$G$780)&gt;0,MIN($G$761:$G$780)&lt;4),MAX($G$761:$G$780)&gt;9),"Les valeurs de pH &gt; 9 ou &lt; 4 sont improbables. ",""),IF(OR(SUMIFS($L$761:$L$780,$H$761:$H$780,"x")&gt;0,SUMIFS($L$761:$L$780,$N$761:$N$780,{"TF";"TM";"TS"})&gt;0),"Il ne peut pas y avoir à la fois un épisolum humifère et un horizon histique ou de la tourbe en surface. ",""),IF(MAX($A$761:$A$780)&lt;16,"","Le n° des sous-ensembles homogènes doit être compris entre 0 et 15. "),IF(COUNTIF(N761:Y780,"A")+COUNTIF(N761:Y780,"AL")+COUNTIF(N761:Y780,"LA")+COUNTIF(N761:Y780,"L")+COUNTIF(N761:Y780,"LS")+COUNTIF(N761:Y780,"SL")+COUNTIF(N761:Y780,"S")+COUNTIF(N761:Y780,"TS")+COUNTIF(N761:Y780,"TM")+COUNTIF(N761:Y780,"TF")+COUNTIF(N761:Y780,"C")&lt;COUNTA(N761:Y780),"Erreur de saisie d'au moins une valeur renseignée dans les informations sur la texture et les horizons histiques.",""))</f>
        <v/>
      </c>
      <c r="X784" s="493"/>
      <c r="Y784" s="493"/>
      <c r="Z784" s="493"/>
      <c r="AA784" s="493"/>
      <c r="AB784" s="493"/>
    </row>
    <row r="785" spans="1:28" ht="17.25" customHeight="1" x14ac:dyDescent="0.2">
      <c r="A785" s="493"/>
      <c r="B785" s="493"/>
      <c r="C785" s="521"/>
      <c r="D785" s="494"/>
      <c r="E785" s="521"/>
      <c r="F785" s="521"/>
      <c r="G785" s="521"/>
      <c r="H785" s="521"/>
      <c r="I785" s="521"/>
      <c r="J785" s="493"/>
      <c r="K785" s="493"/>
      <c r="L785" s="493"/>
      <c r="M785" s="493"/>
      <c r="N785" s="493"/>
      <c r="O785" s="493"/>
      <c r="P785" s="493"/>
      <c r="Q785" s="493"/>
      <c r="R785" s="493"/>
      <c r="S785" s="493"/>
      <c r="T785" s="347"/>
      <c r="U785" s="347"/>
      <c r="V785" s="347"/>
      <c r="W785" s="398"/>
      <c r="X785" s="493"/>
      <c r="Y785" s="493"/>
      <c r="Z785" s="493"/>
      <c r="AA785" s="493"/>
      <c r="AB785" s="493"/>
    </row>
    <row r="786" spans="1:28" ht="18" customHeight="1" x14ac:dyDescent="0.2">
      <c r="A786" s="337"/>
      <c r="B786" s="337"/>
      <c r="C786" s="498" t="s">
        <v>272</v>
      </c>
      <c r="D786" s="337"/>
      <c r="E786" s="337"/>
      <c r="F786" s="337"/>
      <c r="G786" s="337"/>
      <c r="H786" s="337"/>
      <c r="I786" s="337"/>
      <c r="J786" s="337"/>
      <c r="K786" s="337"/>
      <c r="L786" s="337"/>
      <c r="M786" s="337"/>
      <c r="N786" s="337"/>
      <c r="O786" s="337"/>
      <c r="P786" s="337"/>
      <c r="Q786" s="337"/>
      <c r="R786" s="337"/>
      <c r="S786" s="337"/>
      <c r="T786" s="425"/>
      <c r="U786" s="425"/>
      <c r="V786" s="425"/>
      <c r="W786" s="425"/>
      <c r="X786" s="425"/>
      <c r="Y786" s="425"/>
      <c r="Z786" s="425"/>
      <c r="AA786" s="425"/>
    </row>
    <row r="787" spans="1:28" ht="18" customHeight="1" x14ac:dyDescent="0.2">
      <c r="A787" s="337"/>
      <c r="B787" s="337"/>
      <c r="C787" s="536"/>
      <c r="D787" s="537"/>
      <c r="E787" s="537"/>
      <c r="F787" s="537"/>
      <c r="G787" s="537"/>
      <c r="H787" s="537"/>
      <c r="I787" s="537"/>
      <c r="J787" s="537"/>
      <c r="K787" s="537"/>
      <c r="L787" s="537"/>
      <c r="M787" s="537"/>
      <c r="N787" s="537"/>
      <c r="O787" s="537"/>
      <c r="P787" s="537"/>
      <c r="Q787" s="537"/>
      <c r="R787" s="537"/>
      <c r="S787" s="537"/>
      <c r="T787" s="537"/>
      <c r="U787" s="537"/>
      <c r="V787" s="537"/>
      <c r="W787" s="538"/>
      <c r="X787" s="425"/>
      <c r="Y787" s="425"/>
      <c r="Z787" s="425"/>
      <c r="AA787" s="425"/>
    </row>
    <row r="788" spans="1:28" ht="17.25" customHeight="1" x14ac:dyDescent="0.2">
      <c r="A788" s="337"/>
      <c r="B788" s="337"/>
      <c r="C788" s="345"/>
      <c r="D788" s="337"/>
      <c r="E788" s="337"/>
      <c r="F788" s="337"/>
      <c r="G788" s="337"/>
      <c r="H788" s="337"/>
      <c r="I788" s="337"/>
      <c r="J788" s="337"/>
      <c r="K788" s="337"/>
      <c r="L788" s="337"/>
      <c r="M788" s="337"/>
      <c r="N788" s="337"/>
      <c r="O788" s="337"/>
    </row>
    <row r="789" spans="1:28" ht="17.25" customHeight="1" x14ac:dyDescent="0.2">
      <c r="A789" s="337"/>
      <c r="B789" s="337"/>
      <c r="C789" s="345"/>
      <c r="D789" s="337"/>
      <c r="E789" s="337"/>
      <c r="F789" s="337"/>
      <c r="G789" s="337"/>
      <c r="H789" s="337"/>
      <c r="I789" s="337"/>
      <c r="J789" s="337"/>
      <c r="K789" s="337"/>
      <c r="L789" s="337"/>
      <c r="M789" s="337"/>
      <c r="N789" s="337"/>
      <c r="O789" s="337"/>
    </row>
    <row r="790" spans="1:28" ht="33.75" customHeight="1" x14ac:dyDescent="0.2">
      <c r="A790" s="337"/>
      <c r="B790" s="337"/>
      <c r="C790" s="341" t="s">
        <v>390</v>
      </c>
      <c r="D790" s="695" t="s">
        <v>412</v>
      </c>
      <c r="E790" s="696"/>
      <c r="F790" s="696"/>
      <c r="G790" s="696"/>
      <c r="H790" s="696"/>
      <c r="I790" s="696"/>
      <c r="J790" s="696"/>
      <c r="K790" s="696"/>
      <c r="L790" s="696"/>
      <c r="M790" s="696"/>
      <c r="N790" s="696"/>
      <c r="O790" s="696"/>
      <c r="P790" s="696"/>
      <c r="Q790" s="696"/>
      <c r="R790" s="696"/>
      <c r="S790" s="696"/>
      <c r="T790" s="696"/>
      <c r="U790" s="696"/>
      <c r="V790" s="696"/>
      <c r="W790" s="696"/>
      <c r="X790" s="696"/>
      <c r="Y790" s="697"/>
    </row>
    <row r="791" spans="1:28" ht="16.5" customHeight="1" x14ac:dyDescent="0.2">
      <c r="A791" s="337"/>
      <c r="B791" s="337"/>
      <c r="C791" s="337"/>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row>
    <row r="792" spans="1:28" ht="18" customHeight="1" x14ac:dyDescent="0.2">
      <c r="A792" s="337"/>
      <c r="B792" s="337"/>
      <c r="C792" s="727" t="s">
        <v>121</v>
      </c>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row>
    <row r="793" spans="1:28" ht="18" customHeight="1" thickBot="1" x14ac:dyDescent="0.25">
      <c r="A793" s="337"/>
      <c r="B793" s="33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row>
    <row r="794" spans="1:28" ht="18" customHeight="1" thickBot="1" x14ac:dyDescent="0.25">
      <c r="A794" s="337"/>
      <c r="B794" s="337"/>
      <c r="C794" s="345"/>
      <c r="D794" s="337"/>
      <c r="E794" s="337"/>
      <c r="F794" s="337"/>
      <c r="G794" s="337"/>
      <c r="H794" s="337"/>
      <c r="I794" s="337"/>
      <c r="J794" s="337"/>
      <c r="K794" s="337"/>
      <c r="L794" s="337"/>
      <c r="M794" s="337"/>
      <c r="N794" s="337"/>
      <c r="O794" s="337"/>
      <c r="P794" s="337"/>
      <c r="Q794" s="337"/>
      <c r="R794" s="337"/>
      <c r="S794" s="337"/>
      <c r="T794" s="395"/>
      <c r="U794" s="396"/>
      <c r="V794" s="396"/>
      <c r="W794" s="397" t="str">
        <f>IF(AND(COUNTIF($H$761:$H$780,"X")=0,OR($J$797="X",$T$797="X")),"Il n'y a pas de traits d'hydromorphie histiques dans le site, la présence de fosses d'extraction de tourbe est donc peu probable.","")</f>
        <v/>
      </c>
      <c r="X794" s="425"/>
      <c r="Y794" s="425"/>
      <c r="Z794" s="425"/>
      <c r="AA794" s="425"/>
    </row>
    <row r="795" spans="1:28" ht="18" customHeight="1" x14ac:dyDescent="0.2">
      <c r="A795" s="337"/>
      <c r="B795" s="337"/>
      <c r="C795" s="583" t="s">
        <v>341</v>
      </c>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row>
    <row r="796" spans="1:28" ht="18" customHeight="1" x14ac:dyDescent="0.2">
      <c r="A796" s="337"/>
      <c r="B796" s="337"/>
      <c r="C796" s="592"/>
      <c r="D796" s="592"/>
      <c r="E796" s="592"/>
      <c r="F796" s="592"/>
      <c r="G796" s="592"/>
      <c r="H796" s="592"/>
      <c r="I796" s="592"/>
      <c r="J796" s="592"/>
      <c r="K796" s="592"/>
      <c r="L796" s="592"/>
      <c r="M796" s="592"/>
      <c r="N796" s="592"/>
      <c r="O796" s="592"/>
      <c r="P796" s="592"/>
      <c r="Q796" s="592"/>
      <c r="R796" s="592"/>
      <c r="S796" s="592"/>
      <c r="T796" s="592"/>
      <c r="U796" s="592"/>
      <c r="V796" s="592"/>
      <c r="W796" s="592"/>
      <c r="X796" s="592"/>
      <c r="Y796" s="592"/>
    </row>
    <row r="797" spans="1:28" ht="18" customHeight="1" x14ac:dyDescent="0.2">
      <c r="A797" s="337"/>
      <c r="B797" s="337"/>
      <c r="C797" s="354" t="s">
        <v>234</v>
      </c>
      <c r="D797" s="354"/>
      <c r="E797" s="337"/>
      <c r="H797" s="368"/>
      <c r="I797" s="353" t="s">
        <v>28</v>
      </c>
      <c r="J797" s="588"/>
      <c r="K797" s="588"/>
      <c r="P797" s="339"/>
      <c r="Q797" s="368"/>
      <c r="R797" s="368"/>
      <c r="S797" s="369" t="s">
        <v>29</v>
      </c>
      <c r="T797" s="588"/>
      <c r="U797" s="588"/>
      <c r="V797" s="588"/>
      <c r="W797" s="588"/>
    </row>
    <row r="798" spans="1:28" ht="18" customHeight="1" x14ac:dyDescent="0.2">
      <c r="A798" s="337"/>
      <c r="B798" s="337"/>
      <c r="C798" s="374"/>
      <c r="D798" s="374"/>
      <c r="E798" s="374"/>
      <c r="F798" s="374"/>
      <c r="G798" s="374"/>
      <c r="H798" s="374"/>
      <c r="I798" s="374"/>
      <c r="J798" s="374"/>
      <c r="K798" s="374"/>
      <c r="L798" s="374"/>
      <c r="M798" s="374"/>
      <c r="N798" s="374"/>
      <c r="O798" s="374"/>
      <c r="P798" s="374"/>
      <c r="Q798" s="374"/>
      <c r="R798" s="374"/>
      <c r="S798" s="374"/>
      <c r="T798" s="374"/>
      <c r="U798" s="374"/>
      <c r="V798" s="374"/>
      <c r="W798" s="374"/>
      <c r="X798" s="374"/>
      <c r="Y798" s="374"/>
    </row>
    <row r="799" spans="1:28" ht="18" customHeight="1" x14ac:dyDescent="0.2">
      <c r="A799" s="337"/>
      <c r="B799" s="337"/>
      <c r="C799" s="374"/>
      <c r="D799" s="374"/>
      <c r="E799" s="374"/>
      <c r="F799" s="374"/>
      <c r="G799" s="374"/>
      <c r="H799" s="374"/>
      <c r="I799" s="374"/>
      <c r="J799" s="374"/>
      <c r="K799" s="374"/>
      <c r="L799" s="374"/>
      <c r="M799" s="374"/>
      <c r="N799" s="374"/>
      <c r="O799" s="374"/>
      <c r="P799" s="374"/>
      <c r="Q799" s="374"/>
      <c r="R799" s="374"/>
      <c r="S799" s="374"/>
      <c r="T799" s="374"/>
      <c r="U799" s="374"/>
      <c r="V799" s="374"/>
      <c r="W799" s="374"/>
      <c r="X799" s="374"/>
      <c r="Y799" s="374"/>
    </row>
    <row r="800" spans="1:28" ht="35.25" customHeight="1" x14ac:dyDescent="0.2">
      <c r="A800" s="337"/>
      <c r="B800" s="337"/>
      <c r="C800" s="341">
        <v>3</v>
      </c>
      <c r="D800" s="695" t="s">
        <v>384</v>
      </c>
      <c r="E800" s="696"/>
      <c r="F800" s="696"/>
      <c r="G800" s="696"/>
      <c r="H800" s="696"/>
      <c r="I800" s="696"/>
      <c r="J800" s="696"/>
      <c r="K800" s="696"/>
      <c r="L800" s="696"/>
      <c r="M800" s="696"/>
      <c r="N800" s="696"/>
      <c r="O800" s="696"/>
      <c r="P800" s="696"/>
      <c r="Q800" s="696"/>
      <c r="R800" s="696"/>
      <c r="S800" s="696"/>
      <c r="T800" s="696"/>
      <c r="U800" s="696"/>
      <c r="V800" s="696"/>
      <c r="W800" s="696"/>
      <c r="X800" s="696"/>
      <c r="Y800" s="697"/>
    </row>
    <row r="801" spans="1:25" ht="18" customHeight="1" x14ac:dyDescent="0.2">
      <c r="A801" s="337"/>
      <c r="B801" s="337"/>
      <c r="C801" s="374"/>
      <c r="D801" s="374"/>
      <c r="E801" s="374"/>
      <c r="F801" s="374"/>
      <c r="G801" s="374"/>
      <c r="H801" s="374"/>
      <c r="I801" s="374"/>
      <c r="J801" s="374"/>
      <c r="K801" s="374"/>
      <c r="L801" s="374"/>
      <c r="M801" s="374"/>
      <c r="N801" s="374"/>
      <c r="O801" s="374"/>
      <c r="P801" s="374"/>
      <c r="Q801" s="374"/>
      <c r="R801" s="374"/>
      <c r="S801" s="374"/>
      <c r="T801" s="374"/>
      <c r="U801" s="374"/>
      <c r="V801" s="374"/>
      <c r="W801" s="374"/>
      <c r="X801" s="374"/>
      <c r="Y801" s="374"/>
    </row>
    <row r="802" spans="1:25" ht="18" customHeight="1" x14ac:dyDescent="0.2">
      <c r="A802" s="337"/>
      <c r="B802" s="337"/>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4"/>
    </row>
    <row r="803" spans="1:25" ht="33.75" customHeight="1" x14ac:dyDescent="0.2">
      <c r="A803" s="337"/>
      <c r="B803" s="337"/>
      <c r="C803" s="341" t="s">
        <v>389</v>
      </c>
      <c r="D803" s="695" t="s">
        <v>413</v>
      </c>
      <c r="E803" s="696"/>
      <c r="F803" s="696"/>
      <c r="G803" s="696"/>
      <c r="H803" s="696"/>
      <c r="I803" s="696"/>
      <c r="J803" s="696"/>
      <c r="K803" s="696"/>
      <c r="L803" s="696"/>
      <c r="M803" s="696"/>
      <c r="N803" s="696"/>
      <c r="O803" s="696"/>
      <c r="P803" s="696"/>
      <c r="Q803" s="696"/>
      <c r="R803" s="696"/>
      <c r="S803" s="696"/>
      <c r="T803" s="696"/>
      <c r="U803" s="696"/>
      <c r="V803" s="696"/>
      <c r="W803" s="696"/>
      <c r="X803" s="696"/>
      <c r="Y803" s="697"/>
    </row>
    <row r="804" spans="1:25" ht="18" customHeight="1" x14ac:dyDescent="0.2">
      <c r="A804" s="337"/>
      <c r="B804" s="337"/>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row>
    <row r="805" spans="1:25" ht="18" customHeight="1" x14ac:dyDescent="0.2">
      <c r="C805" s="581" t="s">
        <v>342</v>
      </c>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row>
    <row r="806" spans="1:25" ht="18" customHeight="1" x14ac:dyDescent="0.2">
      <c r="C806" s="337"/>
      <c r="D806" s="337"/>
      <c r="E806" s="337"/>
      <c r="F806" s="337"/>
      <c r="G806" s="337"/>
      <c r="H806" s="337"/>
      <c r="I806" s="337"/>
      <c r="J806" s="337"/>
      <c r="K806" s="394"/>
      <c r="L806" s="337"/>
      <c r="M806" s="337"/>
      <c r="N806" s="337"/>
      <c r="O806" s="337"/>
      <c r="S806" s="369" t="s">
        <v>343</v>
      </c>
      <c r="T806" s="590"/>
      <c r="U806" s="590"/>
      <c r="V806" s="590"/>
      <c r="W806" s="590"/>
      <c r="X806" s="591" t="s">
        <v>120</v>
      </c>
      <c r="Y806" s="591"/>
    </row>
    <row r="807" spans="1:25" ht="18" customHeight="1" x14ac:dyDescent="0.2">
      <c r="C807" s="337"/>
      <c r="D807" s="337"/>
      <c r="E807" s="337"/>
      <c r="F807" s="337"/>
      <c r="G807" s="337"/>
      <c r="H807" s="337"/>
      <c r="I807" s="411"/>
      <c r="J807" s="411"/>
      <c r="K807" s="394"/>
      <c r="L807" s="337"/>
      <c r="M807" s="337"/>
      <c r="N807" s="337"/>
      <c r="O807" s="337"/>
    </row>
    <row r="808" spans="1:25" ht="18" customHeight="1" x14ac:dyDescent="0.2">
      <c r="C808" s="337"/>
      <c r="D808" s="337"/>
      <c r="E808" s="337"/>
      <c r="F808" s="337"/>
      <c r="G808" s="337"/>
      <c r="H808" s="337"/>
      <c r="I808" s="501"/>
      <c r="J808" s="501"/>
      <c r="K808" s="394"/>
      <c r="L808" s="337"/>
      <c r="M808" s="337"/>
      <c r="N808" s="337"/>
      <c r="O808" s="337"/>
    </row>
    <row r="809" spans="1:25" ht="35.25" customHeight="1" x14ac:dyDescent="0.2">
      <c r="A809" s="337"/>
      <c r="B809" s="337"/>
      <c r="C809" s="341" t="s">
        <v>388</v>
      </c>
      <c r="D809" s="695" t="s">
        <v>414</v>
      </c>
      <c r="E809" s="696"/>
      <c r="F809" s="696"/>
      <c r="G809" s="696"/>
      <c r="H809" s="696"/>
      <c r="I809" s="696"/>
      <c r="J809" s="696"/>
      <c r="K809" s="696"/>
      <c r="L809" s="696"/>
      <c r="M809" s="696"/>
      <c r="N809" s="696"/>
      <c r="O809" s="696"/>
      <c r="P809" s="696"/>
      <c r="Q809" s="696"/>
      <c r="R809" s="696"/>
      <c r="S809" s="696"/>
      <c r="T809" s="696"/>
      <c r="U809" s="696"/>
      <c r="V809" s="696"/>
      <c r="W809" s="696"/>
      <c r="X809" s="696"/>
      <c r="Y809" s="697"/>
    </row>
    <row r="810" spans="1:25" ht="18" customHeight="1" x14ac:dyDescent="0.2">
      <c r="A810" s="337"/>
      <c r="B810" s="337"/>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row>
    <row r="811" spans="1:25" ht="18" customHeight="1" x14ac:dyDescent="0.2">
      <c r="C811" s="581" t="s">
        <v>344</v>
      </c>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row>
    <row r="812" spans="1:25" ht="18" customHeight="1" x14ac:dyDescent="0.2">
      <c r="C812" s="337"/>
      <c r="D812" s="337"/>
      <c r="E812" s="337"/>
      <c r="F812" s="337"/>
      <c r="G812" s="337"/>
      <c r="H812" s="337"/>
      <c r="I812" s="337"/>
      <c r="J812" s="337"/>
      <c r="K812" s="337"/>
      <c r="L812" s="337"/>
      <c r="M812" s="337"/>
      <c r="N812" s="337"/>
      <c r="O812" s="337"/>
      <c r="S812" s="369" t="s">
        <v>273</v>
      </c>
      <c r="T812" s="578"/>
      <c r="U812" s="578"/>
      <c r="V812" s="578"/>
      <c r="W812" s="578"/>
      <c r="X812" s="591" t="s">
        <v>112</v>
      </c>
      <c r="Y812" s="591"/>
    </row>
    <row r="813" spans="1:25" ht="18" customHeight="1" x14ac:dyDescent="0.2">
      <c r="C813" s="337"/>
      <c r="D813" s="337"/>
      <c r="E813" s="337"/>
      <c r="F813" s="337"/>
      <c r="G813" s="337"/>
      <c r="H813" s="337"/>
      <c r="I813" s="337"/>
      <c r="J813" s="337"/>
      <c r="K813" s="337"/>
      <c r="L813" s="337"/>
      <c r="M813" s="337"/>
      <c r="N813" s="337"/>
      <c r="O813" s="337"/>
    </row>
    <row r="814" spans="1:25" ht="18" customHeight="1" x14ac:dyDescent="0.2">
      <c r="C814" s="337"/>
      <c r="D814" s="337"/>
      <c r="E814" s="337"/>
      <c r="F814" s="337"/>
      <c r="G814" s="337"/>
      <c r="H814" s="337"/>
      <c r="I814" s="337"/>
      <c r="J814" s="337"/>
      <c r="K814" s="337"/>
      <c r="L814" s="337"/>
      <c r="M814" s="337"/>
      <c r="N814" s="337"/>
      <c r="O814" s="337"/>
    </row>
    <row r="815" spans="1:25" ht="18" customHeight="1" x14ac:dyDescent="0.2">
      <c r="C815" s="581" t="s">
        <v>345</v>
      </c>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row>
    <row r="816" spans="1:25" ht="18" customHeight="1" thickBot="1" x14ac:dyDescent="0.25">
      <c r="C816" s="337"/>
      <c r="D816" s="337"/>
      <c r="E816" s="337"/>
      <c r="F816" s="337"/>
      <c r="G816" s="337"/>
      <c r="H816" s="337"/>
      <c r="I816" s="337"/>
      <c r="J816" s="337"/>
      <c r="K816" s="337"/>
      <c r="L816" s="337"/>
      <c r="M816" s="337"/>
      <c r="N816" s="337"/>
      <c r="O816" s="337"/>
      <c r="S816" s="369" t="s">
        <v>274</v>
      </c>
      <c r="T816" s="701"/>
      <c r="U816" s="701"/>
      <c r="V816" s="701"/>
      <c r="W816" s="701"/>
      <c r="X816" s="703"/>
      <c r="Y816" s="703"/>
    </row>
    <row r="817" spans="1:25" ht="18" customHeight="1" thickBot="1" x14ac:dyDescent="0.25">
      <c r="C817" s="337"/>
      <c r="D817" s="337"/>
      <c r="E817" s="337"/>
      <c r="F817" s="337"/>
      <c r="G817" s="337"/>
      <c r="H817" s="337"/>
      <c r="I817" s="337"/>
      <c r="J817" s="337"/>
      <c r="K817" s="337"/>
      <c r="L817" s="337"/>
      <c r="M817" s="337"/>
      <c r="N817" s="337"/>
      <c r="O817" s="337"/>
      <c r="T817" s="502"/>
      <c r="U817" s="396"/>
      <c r="V817" s="396"/>
      <c r="W817" s="397" t="str">
        <f>IF(ISBLANK($T$816),"",CONCATENATE(IF($T$816&gt;0,"","Le nombre d'unités d'habitats EUNIS niveau 1 dans le site ne peut pas être égal à 0. "),IF($T$816&lt;SUM(IF(COUNTIF($C$465:$C$479,"A*")&gt;0,1,0),IF(COUNTIF($C$465:$C$479,"B*")&gt;0,1,0),IF(COUNTIF($C$465:$C$479,"C*")&gt;0,1,0),IF(COUNTIF($C$465:$C$479,"D*")&gt;0,1,0),IF(COUNTIF($C$465:$C$479,"E*")&gt;0,1,0),IF(COUNTIF($C$465:$C$479,"F*")&gt;0,1,0),IF(COUNTIF($C$465:$C$479,"G*")&gt;0,1,0),IF(COUNTIF($C$465:$C$479,"H*")&gt;0,1,0),IF(COUNTIF($C$465:$C$479,"I*")&gt;0,1,0),IF(COUNTIF($C$465:$C$479,"J*")&gt;0,1,0)),"La réponse donnée doit être supérieure ou égale au nombre d'habitats EUNIS niveau 1 détectés dans le site (question 39). ",""),IF(AND($T$816&gt;1,SUM(IF(COUNTIF($C$465:$C$479,"A*")&gt;0,1,0),IF(COUNTIF($C$465:$C$479,"B*")&gt;0,1,0),IF(COUNTIF($C$465:$C$479,"C*")&gt;0,1,0),IF(COUNTIF($C$465:$C$479,"D*")&gt;0,1,0),IF(COUNTIF($C$465:$C$479,"E*")&gt;0,1,0),IF(COUNTIF($C$465:$C$479,"F*")&gt;0,1,0),IF(COUNTIF($C$465:$C$479,"G*")&gt;0,1,0),IF(COUNTIF($C$465:$C$479,"H*")&gt;0,1,0),IF(COUNTIF($C$465:$C$479,"I*")&gt;0,1,0),IF(COUNTIF($C$465:$C$479,"J*")&gt;0,1,0))=1),"Il n’y a qu’un habitat EUNIS niveau 1 dans le site (question 39), il ne peut pas y avoir plusieurs unités d’habitats EUNIS niveau 1. ","")))</f>
        <v/>
      </c>
    </row>
    <row r="818" spans="1:25" ht="18" customHeight="1" x14ac:dyDescent="0.2">
      <c r="C818" s="337"/>
      <c r="D818" s="337"/>
      <c r="E818" s="337"/>
      <c r="F818" s="337"/>
      <c r="G818" s="337"/>
      <c r="H818" s="337"/>
      <c r="I818" s="337"/>
      <c r="J818" s="337"/>
      <c r="K818" s="337"/>
      <c r="L818" s="337"/>
      <c r="M818" s="337"/>
      <c r="N818" s="337"/>
      <c r="O818" s="337"/>
      <c r="T818" s="347"/>
      <c r="U818" s="347"/>
      <c r="V818" s="347"/>
      <c r="W818" s="398"/>
    </row>
    <row r="819" spans="1:25" ht="18" customHeight="1" x14ac:dyDescent="0.2">
      <c r="C819" s="583" t="s">
        <v>346</v>
      </c>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row>
    <row r="820" spans="1:25" ht="18" customHeight="1" x14ac:dyDescent="0.2">
      <c r="C820" s="592"/>
      <c r="D820" s="592"/>
      <c r="E820" s="592"/>
      <c r="F820" s="592"/>
      <c r="G820" s="592"/>
      <c r="H820" s="592"/>
      <c r="I820" s="592"/>
      <c r="J820" s="592"/>
      <c r="K820" s="592"/>
      <c r="L820" s="592"/>
      <c r="M820" s="592"/>
      <c r="N820" s="592"/>
      <c r="O820" s="592"/>
      <c r="P820" s="592"/>
      <c r="Q820" s="592"/>
      <c r="R820" s="592"/>
      <c r="S820" s="592"/>
      <c r="T820" s="592"/>
      <c r="U820" s="592"/>
      <c r="V820" s="592"/>
      <c r="W820" s="592"/>
      <c r="X820" s="592"/>
      <c r="Y820" s="592"/>
    </row>
    <row r="821" spans="1:25" ht="18" customHeight="1" x14ac:dyDescent="0.2">
      <c r="C821" s="728" t="s">
        <v>275</v>
      </c>
      <c r="D821" s="728"/>
      <c r="E821" s="728"/>
      <c r="F821" s="728"/>
      <c r="G821" s="728"/>
      <c r="H821" s="728"/>
      <c r="I821" s="728"/>
      <c r="J821" s="728"/>
      <c r="K821" s="728"/>
      <c r="L821" s="728"/>
      <c r="M821" s="728"/>
      <c r="N821" s="728"/>
      <c r="O821" s="728"/>
      <c r="P821" s="728"/>
      <c r="Q821" s="728"/>
      <c r="R821" s="728"/>
      <c r="S821" s="728"/>
      <c r="T821" s="514"/>
      <c r="U821" s="514"/>
      <c r="V821" s="514"/>
      <c r="W821" s="514"/>
      <c r="X821" s="513"/>
      <c r="Y821" s="513"/>
    </row>
    <row r="822" spans="1:25" ht="18" customHeight="1" thickBot="1" x14ac:dyDescent="0.25">
      <c r="C822" s="729"/>
      <c r="D822" s="729"/>
      <c r="E822" s="729"/>
      <c r="F822" s="729"/>
      <c r="G822" s="729"/>
      <c r="H822" s="729"/>
      <c r="I822" s="729"/>
      <c r="J822" s="729"/>
      <c r="K822" s="729"/>
      <c r="L822" s="729"/>
      <c r="M822" s="729"/>
      <c r="N822" s="729"/>
      <c r="O822" s="729"/>
      <c r="P822" s="729"/>
      <c r="Q822" s="729"/>
      <c r="R822" s="729"/>
      <c r="S822" s="729"/>
      <c r="T822" s="578"/>
      <c r="U822" s="578"/>
      <c r="V822" s="578"/>
      <c r="W822" s="578"/>
      <c r="X822" s="591" t="s">
        <v>112</v>
      </c>
      <c r="Y822" s="591"/>
    </row>
    <row r="823" spans="1:25" ht="18" customHeight="1" thickBot="1" x14ac:dyDescent="0.25">
      <c r="A823" s="337"/>
      <c r="B823" s="337"/>
      <c r="C823" s="337"/>
      <c r="D823" s="337"/>
      <c r="E823" s="337"/>
      <c r="F823" s="337"/>
      <c r="G823" s="337"/>
      <c r="H823" s="337"/>
      <c r="I823" s="337"/>
      <c r="J823" s="337"/>
      <c r="K823" s="337"/>
      <c r="L823" s="337"/>
      <c r="M823" s="337"/>
      <c r="N823" s="386"/>
      <c r="O823" s="380"/>
      <c r="T823" s="395"/>
      <c r="U823" s="396"/>
      <c r="V823" s="396"/>
      <c r="W823" s="397" t="str">
        <f>IF(OR($T$822="",$T$816=""),"",IF($T$822/$T$816&gt;1,"La distance maximale entre deux unités d'habitats est de 1 km.",""))</f>
        <v/>
      </c>
    </row>
    <row r="824" spans="1:25" ht="18" customHeight="1" x14ac:dyDescent="0.2">
      <c r="A824" s="337"/>
      <c r="B824" s="337"/>
      <c r="C824" s="337"/>
      <c r="D824" s="337"/>
      <c r="E824" s="337"/>
      <c r="F824" s="337"/>
      <c r="G824" s="337"/>
      <c r="H824" s="337"/>
      <c r="I824" s="337"/>
      <c r="J824" s="337"/>
      <c r="K824" s="337"/>
      <c r="L824" s="337"/>
      <c r="M824" s="337"/>
      <c r="N824" s="386"/>
      <c r="O824" s="380"/>
    </row>
    <row r="825" spans="1:25" ht="33.75" customHeight="1" x14ac:dyDescent="0.2">
      <c r="A825" s="337"/>
      <c r="B825" s="337"/>
      <c r="C825" s="341" t="s">
        <v>387</v>
      </c>
      <c r="D825" s="695" t="s">
        <v>412</v>
      </c>
      <c r="E825" s="696"/>
      <c r="F825" s="696"/>
      <c r="G825" s="696"/>
      <c r="H825" s="696"/>
      <c r="I825" s="696"/>
      <c r="J825" s="696"/>
      <c r="K825" s="696"/>
      <c r="L825" s="696"/>
      <c r="M825" s="696"/>
      <c r="N825" s="696"/>
      <c r="O825" s="696"/>
      <c r="P825" s="696"/>
      <c r="Q825" s="696"/>
      <c r="R825" s="696"/>
      <c r="S825" s="696"/>
      <c r="T825" s="696"/>
      <c r="U825" s="696"/>
      <c r="V825" s="696"/>
      <c r="W825" s="696"/>
      <c r="X825" s="696"/>
      <c r="Y825" s="697"/>
    </row>
    <row r="826" spans="1:25" ht="18" customHeight="1" x14ac:dyDescent="0.2">
      <c r="A826" s="337"/>
      <c r="B826" s="337"/>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row>
    <row r="827" spans="1:25" ht="18" customHeight="1" x14ac:dyDescent="0.2">
      <c r="A827" s="337"/>
      <c r="B827" s="337"/>
      <c r="C827" s="583" t="s">
        <v>347</v>
      </c>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row>
    <row r="828" spans="1:25" ht="18" customHeight="1" x14ac:dyDescent="0.2">
      <c r="A828" s="337"/>
      <c r="B828" s="337"/>
      <c r="C828" s="592"/>
      <c r="D828" s="592"/>
      <c r="E828" s="592"/>
      <c r="F828" s="592"/>
      <c r="G828" s="592"/>
      <c r="H828" s="592"/>
      <c r="I828" s="592"/>
      <c r="J828" s="592"/>
      <c r="K828" s="592"/>
      <c r="L828" s="592"/>
      <c r="M828" s="592"/>
      <c r="N828" s="592"/>
      <c r="O828" s="592"/>
      <c r="P828" s="592"/>
      <c r="Q828" s="592"/>
      <c r="R828" s="592"/>
      <c r="S828" s="592"/>
      <c r="T828" s="592"/>
      <c r="U828" s="592"/>
      <c r="V828" s="592"/>
      <c r="W828" s="592"/>
      <c r="X828" s="592"/>
      <c r="Y828" s="592"/>
    </row>
    <row r="829" spans="1:25" ht="18" customHeight="1" x14ac:dyDescent="0.2">
      <c r="A829" s="337"/>
      <c r="B829" s="337"/>
      <c r="C829" s="718"/>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20"/>
    </row>
    <row r="830" spans="1:25" ht="18" customHeight="1" x14ac:dyDescent="0.2">
      <c r="A830" s="337"/>
      <c r="B830" s="337"/>
      <c r="C830" s="721"/>
      <c r="D830" s="722"/>
      <c r="E830" s="722"/>
      <c r="F830" s="722"/>
      <c r="G830" s="722"/>
      <c r="H830" s="722"/>
      <c r="I830" s="722"/>
      <c r="J830" s="722"/>
      <c r="K830" s="722"/>
      <c r="L830" s="722"/>
      <c r="M830" s="722"/>
      <c r="N830" s="722"/>
      <c r="O830" s="722"/>
      <c r="P830" s="722"/>
      <c r="Q830" s="722"/>
      <c r="R830" s="722"/>
      <c r="S830" s="722"/>
      <c r="T830" s="722"/>
      <c r="U830" s="722"/>
      <c r="V830" s="722"/>
      <c r="W830" s="722"/>
      <c r="X830" s="722"/>
      <c r="Y830" s="723"/>
    </row>
    <row r="831" spans="1:25" ht="18" customHeight="1" x14ac:dyDescent="0.2">
      <c r="A831" s="337"/>
      <c r="B831" s="337"/>
      <c r="C831" s="721"/>
      <c r="D831" s="722"/>
      <c r="E831" s="722"/>
      <c r="F831" s="722"/>
      <c r="G831" s="722"/>
      <c r="H831" s="722"/>
      <c r="I831" s="722"/>
      <c r="J831" s="722"/>
      <c r="K831" s="722"/>
      <c r="L831" s="722"/>
      <c r="M831" s="722"/>
      <c r="N831" s="722"/>
      <c r="O831" s="722"/>
      <c r="P831" s="722"/>
      <c r="Q831" s="722"/>
      <c r="R831" s="722"/>
      <c r="S831" s="722"/>
      <c r="T831" s="722"/>
      <c r="U831" s="722"/>
      <c r="V831" s="722"/>
      <c r="W831" s="722"/>
      <c r="X831" s="722"/>
      <c r="Y831" s="723"/>
    </row>
    <row r="832" spans="1:25" ht="18" customHeight="1" x14ac:dyDescent="0.2">
      <c r="C832" s="721"/>
      <c r="D832" s="722"/>
      <c r="E832" s="722"/>
      <c r="F832" s="722"/>
      <c r="G832" s="722"/>
      <c r="H832" s="722"/>
      <c r="I832" s="722"/>
      <c r="J832" s="722"/>
      <c r="K832" s="722"/>
      <c r="L832" s="722"/>
      <c r="M832" s="722"/>
      <c r="N832" s="722"/>
      <c r="O832" s="722"/>
      <c r="P832" s="722"/>
      <c r="Q832" s="722"/>
      <c r="R832" s="722"/>
      <c r="S832" s="722"/>
      <c r="T832" s="722"/>
      <c r="U832" s="722"/>
      <c r="V832" s="722"/>
      <c r="W832" s="722"/>
      <c r="X832" s="722"/>
      <c r="Y832" s="723"/>
    </row>
    <row r="833" spans="3:25" ht="18" customHeight="1" x14ac:dyDescent="0.2">
      <c r="C833" s="721"/>
      <c r="D833" s="722"/>
      <c r="E833" s="722"/>
      <c r="F833" s="722"/>
      <c r="G833" s="722"/>
      <c r="H833" s="722"/>
      <c r="I833" s="722"/>
      <c r="J833" s="722"/>
      <c r="K833" s="722"/>
      <c r="L833" s="722"/>
      <c r="M833" s="722"/>
      <c r="N833" s="722"/>
      <c r="O833" s="722"/>
      <c r="P833" s="722"/>
      <c r="Q833" s="722"/>
      <c r="R833" s="722"/>
      <c r="S833" s="722"/>
      <c r="T833" s="722"/>
      <c r="U833" s="722"/>
      <c r="V833" s="722"/>
      <c r="W833" s="722"/>
      <c r="X833" s="722"/>
      <c r="Y833" s="723"/>
    </row>
    <row r="834" spans="3:25" ht="18" customHeight="1" x14ac:dyDescent="0.2">
      <c r="C834" s="721"/>
      <c r="D834" s="722"/>
      <c r="E834" s="722"/>
      <c r="F834" s="722"/>
      <c r="G834" s="722"/>
      <c r="H834" s="722"/>
      <c r="I834" s="722"/>
      <c r="J834" s="722"/>
      <c r="K834" s="722"/>
      <c r="L834" s="722"/>
      <c r="M834" s="722"/>
      <c r="N834" s="722"/>
      <c r="O834" s="722"/>
      <c r="P834" s="722"/>
      <c r="Q834" s="722"/>
      <c r="R834" s="722"/>
      <c r="S834" s="722"/>
      <c r="T834" s="722"/>
      <c r="U834" s="722"/>
      <c r="V834" s="722"/>
      <c r="W834" s="722"/>
      <c r="X834" s="722"/>
      <c r="Y834" s="723"/>
    </row>
    <row r="835" spans="3:25" ht="18" customHeight="1" x14ac:dyDescent="0.2">
      <c r="C835" s="721"/>
      <c r="D835" s="722"/>
      <c r="E835" s="722"/>
      <c r="F835" s="722"/>
      <c r="G835" s="722"/>
      <c r="H835" s="722"/>
      <c r="I835" s="722"/>
      <c r="J835" s="722"/>
      <c r="K835" s="722"/>
      <c r="L835" s="722"/>
      <c r="M835" s="722"/>
      <c r="N835" s="722"/>
      <c r="O835" s="722"/>
      <c r="P835" s="722"/>
      <c r="Q835" s="722"/>
      <c r="R835" s="722"/>
      <c r="S835" s="722"/>
      <c r="T835" s="722"/>
      <c r="U835" s="722"/>
      <c r="V835" s="722"/>
      <c r="W835" s="722"/>
      <c r="X835" s="722"/>
      <c r="Y835" s="723"/>
    </row>
    <row r="836" spans="3:25" ht="18" customHeight="1" x14ac:dyDescent="0.2">
      <c r="C836" s="721"/>
      <c r="D836" s="722"/>
      <c r="E836" s="722"/>
      <c r="F836" s="722"/>
      <c r="G836" s="722"/>
      <c r="H836" s="722"/>
      <c r="I836" s="722"/>
      <c r="J836" s="722"/>
      <c r="K836" s="722"/>
      <c r="L836" s="722"/>
      <c r="M836" s="722"/>
      <c r="N836" s="722"/>
      <c r="O836" s="722"/>
      <c r="P836" s="722"/>
      <c r="Q836" s="722"/>
      <c r="R836" s="722"/>
      <c r="S836" s="722"/>
      <c r="T836" s="722"/>
      <c r="U836" s="722"/>
      <c r="V836" s="722"/>
      <c r="W836" s="722"/>
      <c r="X836" s="722"/>
      <c r="Y836" s="723"/>
    </row>
    <row r="837" spans="3:25" ht="18" customHeight="1" x14ac:dyDescent="0.2">
      <c r="C837" s="721"/>
      <c r="D837" s="722"/>
      <c r="E837" s="722"/>
      <c r="F837" s="722"/>
      <c r="G837" s="722"/>
      <c r="H837" s="722"/>
      <c r="I837" s="722"/>
      <c r="J837" s="722"/>
      <c r="K837" s="722"/>
      <c r="L837" s="722"/>
      <c r="M837" s="722"/>
      <c r="N837" s="722"/>
      <c r="O837" s="722"/>
      <c r="P837" s="722"/>
      <c r="Q837" s="722"/>
      <c r="R837" s="722"/>
      <c r="S837" s="722"/>
      <c r="T837" s="722"/>
      <c r="U837" s="722"/>
      <c r="V837" s="722"/>
      <c r="W837" s="722"/>
      <c r="X837" s="722"/>
      <c r="Y837" s="723"/>
    </row>
    <row r="838" spans="3:25" ht="18" customHeight="1" x14ac:dyDescent="0.2">
      <c r="C838" s="721"/>
      <c r="D838" s="722"/>
      <c r="E838" s="722"/>
      <c r="F838" s="722"/>
      <c r="G838" s="722"/>
      <c r="H838" s="722"/>
      <c r="I838" s="722"/>
      <c r="J838" s="722"/>
      <c r="K838" s="722"/>
      <c r="L838" s="722"/>
      <c r="M838" s="722"/>
      <c r="N838" s="722"/>
      <c r="O838" s="722"/>
      <c r="P838" s="722"/>
      <c r="Q838" s="722"/>
      <c r="R838" s="722"/>
      <c r="S838" s="722"/>
      <c r="T838" s="722"/>
      <c r="U838" s="722"/>
      <c r="V838" s="722"/>
      <c r="W838" s="722"/>
      <c r="X838" s="722"/>
      <c r="Y838" s="723"/>
    </row>
    <row r="839" spans="3:25" ht="18" customHeight="1" x14ac:dyDescent="0.2">
      <c r="C839" s="721"/>
      <c r="D839" s="722"/>
      <c r="E839" s="722"/>
      <c r="F839" s="722"/>
      <c r="G839" s="722"/>
      <c r="H839" s="722"/>
      <c r="I839" s="722"/>
      <c r="J839" s="722"/>
      <c r="K839" s="722"/>
      <c r="L839" s="722"/>
      <c r="M839" s="722"/>
      <c r="N839" s="722"/>
      <c r="O839" s="722"/>
      <c r="P839" s="722"/>
      <c r="Q839" s="722"/>
      <c r="R839" s="722"/>
      <c r="S839" s="722"/>
      <c r="T839" s="722"/>
      <c r="U839" s="722"/>
      <c r="V839" s="722"/>
      <c r="W839" s="722"/>
      <c r="X839" s="722"/>
      <c r="Y839" s="723"/>
    </row>
    <row r="840" spans="3:25" ht="18" customHeight="1" x14ac:dyDescent="0.2">
      <c r="C840" s="721"/>
      <c r="D840" s="722"/>
      <c r="E840" s="722"/>
      <c r="F840" s="722"/>
      <c r="G840" s="722"/>
      <c r="H840" s="722"/>
      <c r="I840" s="722"/>
      <c r="J840" s="722"/>
      <c r="K840" s="722"/>
      <c r="L840" s="722"/>
      <c r="M840" s="722"/>
      <c r="N840" s="722"/>
      <c r="O840" s="722"/>
      <c r="P840" s="722"/>
      <c r="Q840" s="722"/>
      <c r="R840" s="722"/>
      <c r="S840" s="722"/>
      <c r="T840" s="722"/>
      <c r="U840" s="722"/>
      <c r="V840" s="722"/>
      <c r="W840" s="722"/>
      <c r="X840" s="722"/>
      <c r="Y840" s="723"/>
    </row>
    <row r="841" spans="3:25" ht="18" customHeight="1" x14ac:dyDescent="0.2">
      <c r="C841" s="721"/>
      <c r="D841" s="722"/>
      <c r="E841" s="722"/>
      <c r="F841" s="722"/>
      <c r="G841" s="722"/>
      <c r="H841" s="722"/>
      <c r="I841" s="722"/>
      <c r="J841" s="722"/>
      <c r="K841" s="722"/>
      <c r="L841" s="722"/>
      <c r="M841" s="722"/>
      <c r="N841" s="722"/>
      <c r="O841" s="722"/>
      <c r="P841" s="722"/>
      <c r="Q841" s="722"/>
      <c r="R841" s="722"/>
      <c r="S841" s="722"/>
      <c r="T841" s="722"/>
      <c r="U841" s="722"/>
      <c r="V841" s="722"/>
      <c r="W841" s="722"/>
      <c r="X841" s="722"/>
      <c r="Y841" s="723"/>
    </row>
    <row r="842" spans="3:25" ht="18" customHeight="1" x14ac:dyDescent="0.2">
      <c r="C842" s="721"/>
      <c r="D842" s="722"/>
      <c r="E842" s="722"/>
      <c r="F842" s="722"/>
      <c r="G842" s="722"/>
      <c r="H842" s="722"/>
      <c r="I842" s="722"/>
      <c r="J842" s="722"/>
      <c r="K842" s="722"/>
      <c r="L842" s="722"/>
      <c r="M842" s="722"/>
      <c r="N842" s="722"/>
      <c r="O842" s="722"/>
      <c r="P842" s="722"/>
      <c r="Q842" s="722"/>
      <c r="R842" s="722"/>
      <c r="S842" s="722"/>
      <c r="T842" s="722"/>
      <c r="U842" s="722"/>
      <c r="V842" s="722"/>
      <c r="W842" s="722"/>
      <c r="X842" s="722"/>
      <c r="Y842" s="723"/>
    </row>
    <row r="843" spans="3:25" ht="18" customHeight="1" x14ac:dyDescent="0.2">
      <c r="C843" s="721"/>
      <c r="D843" s="722"/>
      <c r="E843" s="722"/>
      <c r="F843" s="722"/>
      <c r="G843" s="722"/>
      <c r="H843" s="722"/>
      <c r="I843" s="722"/>
      <c r="J843" s="722"/>
      <c r="K843" s="722"/>
      <c r="L843" s="722"/>
      <c r="M843" s="722"/>
      <c r="N843" s="722"/>
      <c r="O843" s="722"/>
      <c r="P843" s="722"/>
      <c r="Q843" s="722"/>
      <c r="R843" s="722"/>
      <c r="S843" s="722"/>
      <c r="T843" s="722"/>
      <c r="U843" s="722"/>
      <c r="V843" s="722"/>
      <c r="W843" s="722"/>
      <c r="X843" s="722"/>
      <c r="Y843" s="723"/>
    </row>
    <row r="844" spans="3:25" ht="18" customHeight="1" x14ac:dyDescent="0.2">
      <c r="C844" s="721"/>
      <c r="D844" s="722"/>
      <c r="E844" s="722"/>
      <c r="F844" s="722"/>
      <c r="G844" s="722"/>
      <c r="H844" s="722"/>
      <c r="I844" s="722"/>
      <c r="J844" s="722"/>
      <c r="K844" s="722"/>
      <c r="L844" s="722"/>
      <c r="M844" s="722"/>
      <c r="N844" s="722"/>
      <c r="O844" s="722"/>
      <c r="P844" s="722"/>
      <c r="Q844" s="722"/>
      <c r="R844" s="722"/>
      <c r="S844" s="722"/>
      <c r="T844" s="722"/>
      <c r="U844" s="722"/>
      <c r="V844" s="722"/>
      <c r="W844" s="722"/>
      <c r="X844" s="722"/>
      <c r="Y844" s="723"/>
    </row>
    <row r="845" spans="3:25" ht="18" customHeight="1" x14ac:dyDescent="0.2">
      <c r="C845" s="721"/>
      <c r="D845" s="722"/>
      <c r="E845" s="722"/>
      <c r="F845" s="722"/>
      <c r="G845" s="722"/>
      <c r="H845" s="722"/>
      <c r="I845" s="722"/>
      <c r="J845" s="722"/>
      <c r="K845" s="722"/>
      <c r="L845" s="722"/>
      <c r="M845" s="722"/>
      <c r="N845" s="722"/>
      <c r="O845" s="722"/>
      <c r="P845" s="722"/>
      <c r="Q845" s="722"/>
      <c r="R845" s="722"/>
      <c r="S845" s="722"/>
      <c r="T845" s="722"/>
      <c r="U845" s="722"/>
      <c r="V845" s="722"/>
      <c r="W845" s="722"/>
      <c r="X845" s="722"/>
      <c r="Y845" s="723"/>
    </row>
    <row r="846" spans="3:25" ht="18" customHeight="1" x14ac:dyDescent="0.2">
      <c r="C846" s="721"/>
      <c r="D846" s="722"/>
      <c r="E846" s="722"/>
      <c r="F846" s="722"/>
      <c r="G846" s="722"/>
      <c r="H846" s="722"/>
      <c r="I846" s="722"/>
      <c r="J846" s="722"/>
      <c r="K846" s="722"/>
      <c r="L846" s="722"/>
      <c r="M846" s="722"/>
      <c r="N846" s="722"/>
      <c r="O846" s="722"/>
      <c r="P846" s="722"/>
      <c r="Q846" s="722"/>
      <c r="R846" s="722"/>
      <c r="S846" s="722"/>
      <c r="T846" s="722"/>
      <c r="U846" s="722"/>
      <c r="V846" s="722"/>
      <c r="W846" s="722"/>
      <c r="X846" s="722"/>
      <c r="Y846" s="723"/>
    </row>
    <row r="847" spans="3:25" ht="18" customHeight="1" x14ac:dyDescent="0.2">
      <c r="C847" s="721"/>
      <c r="D847" s="722"/>
      <c r="E847" s="722"/>
      <c r="F847" s="722"/>
      <c r="G847" s="722"/>
      <c r="H847" s="722"/>
      <c r="I847" s="722"/>
      <c r="J847" s="722"/>
      <c r="K847" s="722"/>
      <c r="L847" s="722"/>
      <c r="M847" s="722"/>
      <c r="N847" s="722"/>
      <c r="O847" s="722"/>
      <c r="P847" s="722"/>
      <c r="Q847" s="722"/>
      <c r="R847" s="722"/>
      <c r="S847" s="722"/>
      <c r="T847" s="722"/>
      <c r="U847" s="722"/>
      <c r="V847" s="722"/>
      <c r="W847" s="722"/>
      <c r="X847" s="722"/>
      <c r="Y847" s="723"/>
    </row>
    <row r="848" spans="3:25" ht="18" customHeight="1" x14ac:dyDescent="0.2">
      <c r="C848" s="721"/>
      <c r="D848" s="722"/>
      <c r="E848" s="722"/>
      <c r="F848" s="722"/>
      <c r="G848" s="722"/>
      <c r="H848" s="722"/>
      <c r="I848" s="722"/>
      <c r="J848" s="722"/>
      <c r="K848" s="722"/>
      <c r="L848" s="722"/>
      <c r="M848" s="722"/>
      <c r="N848" s="722"/>
      <c r="O848" s="722"/>
      <c r="P848" s="722"/>
      <c r="Q848" s="722"/>
      <c r="R848" s="722"/>
      <c r="S848" s="722"/>
      <c r="T848" s="722"/>
      <c r="U848" s="722"/>
      <c r="V848" s="722"/>
      <c r="W848" s="722"/>
      <c r="X848" s="722"/>
      <c r="Y848" s="723"/>
    </row>
    <row r="849" spans="3:25" ht="18" customHeight="1" x14ac:dyDescent="0.2">
      <c r="C849" s="721"/>
      <c r="D849" s="722"/>
      <c r="E849" s="722"/>
      <c r="F849" s="722"/>
      <c r="G849" s="722"/>
      <c r="H849" s="722"/>
      <c r="I849" s="722"/>
      <c r="J849" s="722"/>
      <c r="K849" s="722"/>
      <c r="L849" s="722"/>
      <c r="M849" s="722"/>
      <c r="N849" s="722"/>
      <c r="O849" s="722"/>
      <c r="P849" s="722"/>
      <c r="Q849" s="722"/>
      <c r="R849" s="722"/>
      <c r="S849" s="722"/>
      <c r="T849" s="722"/>
      <c r="U849" s="722"/>
      <c r="V849" s="722"/>
      <c r="W849" s="722"/>
      <c r="X849" s="722"/>
      <c r="Y849" s="723"/>
    </row>
    <row r="850" spans="3:25" ht="18" customHeight="1" x14ac:dyDescent="0.2">
      <c r="C850" s="721"/>
      <c r="D850" s="722"/>
      <c r="E850" s="722"/>
      <c r="F850" s="722"/>
      <c r="G850" s="722"/>
      <c r="H850" s="722"/>
      <c r="I850" s="722"/>
      <c r="J850" s="722"/>
      <c r="K850" s="722"/>
      <c r="L850" s="722"/>
      <c r="M850" s="722"/>
      <c r="N850" s="722"/>
      <c r="O850" s="722"/>
      <c r="P850" s="722"/>
      <c r="Q850" s="722"/>
      <c r="R850" s="722"/>
      <c r="S850" s="722"/>
      <c r="T850" s="722"/>
      <c r="U850" s="722"/>
      <c r="V850" s="722"/>
      <c r="W850" s="722"/>
      <c r="X850" s="722"/>
      <c r="Y850" s="723"/>
    </row>
    <row r="851" spans="3:25" ht="18" customHeight="1" x14ac:dyDescent="0.2">
      <c r="C851" s="721"/>
      <c r="D851" s="722"/>
      <c r="E851" s="722"/>
      <c r="F851" s="722"/>
      <c r="G851" s="722"/>
      <c r="H851" s="722"/>
      <c r="I851" s="722"/>
      <c r="J851" s="722"/>
      <c r="K851" s="722"/>
      <c r="L851" s="722"/>
      <c r="M851" s="722"/>
      <c r="N851" s="722"/>
      <c r="O851" s="722"/>
      <c r="P851" s="722"/>
      <c r="Q851" s="722"/>
      <c r="R851" s="722"/>
      <c r="S851" s="722"/>
      <c r="T851" s="722"/>
      <c r="U851" s="722"/>
      <c r="V851" s="722"/>
      <c r="W851" s="722"/>
      <c r="X851" s="722"/>
      <c r="Y851" s="723"/>
    </row>
    <row r="852" spans="3:25" ht="18" customHeight="1" x14ac:dyDescent="0.2">
      <c r="C852" s="721"/>
      <c r="D852" s="722"/>
      <c r="E852" s="722"/>
      <c r="F852" s="722"/>
      <c r="G852" s="722"/>
      <c r="H852" s="722"/>
      <c r="I852" s="722"/>
      <c r="J852" s="722"/>
      <c r="K852" s="722"/>
      <c r="L852" s="722"/>
      <c r="M852" s="722"/>
      <c r="N852" s="722"/>
      <c r="O852" s="722"/>
      <c r="P852" s="722"/>
      <c r="Q852" s="722"/>
      <c r="R852" s="722"/>
      <c r="S852" s="722"/>
      <c r="T852" s="722"/>
      <c r="U852" s="722"/>
      <c r="V852" s="722"/>
      <c r="W852" s="722"/>
      <c r="X852" s="722"/>
      <c r="Y852" s="723"/>
    </row>
    <row r="853" spans="3:25" ht="18" customHeight="1" x14ac:dyDescent="0.2">
      <c r="C853" s="721"/>
      <c r="D853" s="722"/>
      <c r="E853" s="722"/>
      <c r="F853" s="722"/>
      <c r="G853" s="722"/>
      <c r="H853" s="722"/>
      <c r="I853" s="722"/>
      <c r="J853" s="722"/>
      <c r="K853" s="722"/>
      <c r="L853" s="722"/>
      <c r="M853" s="722"/>
      <c r="N853" s="722"/>
      <c r="O853" s="722"/>
      <c r="P853" s="722"/>
      <c r="Q853" s="722"/>
      <c r="R853" s="722"/>
      <c r="S853" s="722"/>
      <c r="T853" s="722"/>
      <c r="U853" s="722"/>
      <c r="V853" s="722"/>
      <c r="W853" s="722"/>
      <c r="X853" s="722"/>
      <c r="Y853" s="723"/>
    </row>
    <row r="854" spans="3:25" ht="18" customHeight="1" x14ac:dyDescent="0.2">
      <c r="C854" s="721"/>
      <c r="D854" s="722"/>
      <c r="E854" s="722"/>
      <c r="F854" s="722"/>
      <c r="G854" s="722"/>
      <c r="H854" s="722"/>
      <c r="I854" s="722"/>
      <c r="J854" s="722"/>
      <c r="K854" s="722"/>
      <c r="L854" s="722"/>
      <c r="M854" s="722"/>
      <c r="N854" s="722"/>
      <c r="O854" s="722"/>
      <c r="P854" s="722"/>
      <c r="Q854" s="722"/>
      <c r="R854" s="722"/>
      <c r="S854" s="722"/>
      <c r="T854" s="722"/>
      <c r="U854" s="722"/>
      <c r="V854" s="722"/>
      <c r="W854" s="722"/>
      <c r="X854" s="722"/>
      <c r="Y854" s="723"/>
    </row>
    <row r="855" spans="3:25" ht="18" customHeight="1" x14ac:dyDescent="0.2">
      <c r="C855" s="721"/>
      <c r="D855" s="722"/>
      <c r="E855" s="722"/>
      <c r="F855" s="722"/>
      <c r="G855" s="722"/>
      <c r="H855" s="722"/>
      <c r="I855" s="722"/>
      <c r="J855" s="722"/>
      <c r="K855" s="722"/>
      <c r="L855" s="722"/>
      <c r="M855" s="722"/>
      <c r="N855" s="722"/>
      <c r="O855" s="722"/>
      <c r="P855" s="722"/>
      <c r="Q855" s="722"/>
      <c r="R855" s="722"/>
      <c r="S855" s="722"/>
      <c r="T855" s="722"/>
      <c r="U855" s="722"/>
      <c r="V855" s="722"/>
      <c r="W855" s="722"/>
      <c r="X855" s="722"/>
      <c r="Y855" s="723"/>
    </row>
    <row r="856" spans="3:25" ht="18" customHeight="1" x14ac:dyDescent="0.2">
      <c r="C856" s="721"/>
      <c r="D856" s="722"/>
      <c r="E856" s="722"/>
      <c r="F856" s="722"/>
      <c r="G856" s="722"/>
      <c r="H856" s="722"/>
      <c r="I856" s="722"/>
      <c r="J856" s="722"/>
      <c r="K856" s="722"/>
      <c r="L856" s="722"/>
      <c r="M856" s="722"/>
      <c r="N856" s="722"/>
      <c r="O856" s="722"/>
      <c r="P856" s="722"/>
      <c r="Q856" s="722"/>
      <c r="R856" s="722"/>
      <c r="S856" s="722"/>
      <c r="T856" s="722"/>
      <c r="U856" s="722"/>
      <c r="V856" s="722"/>
      <c r="W856" s="722"/>
      <c r="X856" s="722"/>
      <c r="Y856" s="723"/>
    </row>
    <row r="857" spans="3:25" ht="18" customHeight="1" x14ac:dyDescent="0.2">
      <c r="C857" s="721"/>
      <c r="D857" s="722"/>
      <c r="E857" s="722"/>
      <c r="F857" s="722"/>
      <c r="G857" s="722"/>
      <c r="H857" s="722"/>
      <c r="I857" s="722"/>
      <c r="J857" s="722"/>
      <c r="K857" s="722"/>
      <c r="L857" s="722"/>
      <c r="M857" s="722"/>
      <c r="N857" s="722"/>
      <c r="O857" s="722"/>
      <c r="P857" s="722"/>
      <c r="Q857" s="722"/>
      <c r="R857" s="722"/>
      <c r="S857" s="722"/>
      <c r="T857" s="722"/>
      <c r="U857" s="722"/>
      <c r="V857" s="722"/>
      <c r="W857" s="722"/>
      <c r="X857" s="722"/>
      <c r="Y857" s="723"/>
    </row>
    <row r="858" spans="3:25" ht="18" customHeight="1" x14ac:dyDescent="0.2">
      <c r="C858" s="721"/>
      <c r="D858" s="722"/>
      <c r="E858" s="722"/>
      <c r="F858" s="722"/>
      <c r="G858" s="722"/>
      <c r="H858" s="722"/>
      <c r="I858" s="722"/>
      <c r="J858" s="722"/>
      <c r="K858" s="722"/>
      <c r="L858" s="722"/>
      <c r="M858" s="722"/>
      <c r="N858" s="722"/>
      <c r="O858" s="722"/>
      <c r="P858" s="722"/>
      <c r="Q858" s="722"/>
      <c r="R858" s="722"/>
      <c r="S858" s="722"/>
      <c r="T858" s="722"/>
      <c r="U858" s="722"/>
      <c r="V858" s="722"/>
      <c r="W858" s="722"/>
      <c r="X858" s="722"/>
      <c r="Y858" s="723"/>
    </row>
    <row r="859" spans="3:25" ht="18" customHeight="1" x14ac:dyDescent="0.2">
      <c r="C859" s="721"/>
      <c r="D859" s="722"/>
      <c r="E859" s="722"/>
      <c r="F859" s="722"/>
      <c r="G859" s="722"/>
      <c r="H859" s="722"/>
      <c r="I859" s="722"/>
      <c r="J859" s="722"/>
      <c r="K859" s="722"/>
      <c r="L859" s="722"/>
      <c r="M859" s="722"/>
      <c r="N859" s="722"/>
      <c r="O859" s="722"/>
      <c r="P859" s="722"/>
      <c r="Q859" s="722"/>
      <c r="R859" s="722"/>
      <c r="S859" s="722"/>
      <c r="T859" s="722"/>
      <c r="U859" s="722"/>
      <c r="V859" s="722"/>
      <c r="W859" s="722"/>
      <c r="X859" s="722"/>
      <c r="Y859" s="723"/>
    </row>
    <row r="860" spans="3:25" ht="18" customHeight="1" x14ac:dyDescent="0.2">
      <c r="C860" s="721"/>
      <c r="D860" s="722"/>
      <c r="E860" s="722"/>
      <c r="F860" s="722"/>
      <c r="G860" s="722"/>
      <c r="H860" s="722"/>
      <c r="I860" s="722"/>
      <c r="J860" s="722"/>
      <c r="K860" s="722"/>
      <c r="L860" s="722"/>
      <c r="M860" s="722"/>
      <c r="N860" s="722"/>
      <c r="O860" s="722"/>
      <c r="P860" s="722"/>
      <c r="Q860" s="722"/>
      <c r="R860" s="722"/>
      <c r="S860" s="722"/>
      <c r="T860" s="722"/>
      <c r="U860" s="722"/>
      <c r="V860" s="722"/>
      <c r="W860" s="722"/>
      <c r="X860" s="722"/>
      <c r="Y860" s="723"/>
    </row>
    <row r="861" spans="3:25" ht="18" customHeight="1" x14ac:dyDescent="0.2">
      <c r="C861" s="721"/>
      <c r="D861" s="722"/>
      <c r="E861" s="722"/>
      <c r="F861" s="722"/>
      <c r="G861" s="722"/>
      <c r="H861" s="722"/>
      <c r="I861" s="722"/>
      <c r="J861" s="722"/>
      <c r="K861" s="722"/>
      <c r="L861" s="722"/>
      <c r="M861" s="722"/>
      <c r="N861" s="722"/>
      <c r="O861" s="722"/>
      <c r="P861" s="722"/>
      <c r="Q861" s="722"/>
      <c r="R861" s="722"/>
      <c r="S861" s="722"/>
      <c r="T861" s="722"/>
      <c r="U861" s="722"/>
      <c r="V861" s="722"/>
      <c r="W861" s="722"/>
      <c r="X861" s="722"/>
      <c r="Y861" s="723"/>
    </row>
    <row r="862" spans="3:25" ht="18" customHeight="1" x14ac:dyDescent="0.2">
      <c r="C862" s="721"/>
      <c r="D862" s="722"/>
      <c r="E862" s="722"/>
      <c r="F862" s="722"/>
      <c r="G862" s="722"/>
      <c r="H862" s="722"/>
      <c r="I862" s="722"/>
      <c r="J862" s="722"/>
      <c r="K862" s="722"/>
      <c r="L862" s="722"/>
      <c r="M862" s="722"/>
      <c r="N862" s="722"/>
      <c r="O862" s="722"/>
      <c r="P862" s="722"/>
      <c r="Q862" s="722"/>
      <c r="R862" s="722"/>
      <c r="S862" s="722"/>
      <c r="T862" s="722"/>
      <c r="U862" s="722"/>
      <c r="V862" s="722"/>
      <c r="W862" s="722"/>
      <c r="X862" s="722"/>
      <c r="Y862" s="723"/>
    </row>
    <row r="863" spans="3:25" ht="18" customHeight="1" x14ac:dyDescent="0.2">
      <c r="C863" s="721"/>
      <c r="D863" s="722"/>
      <c r="E863" s="722"/>
      <c r="F863" s="722"/>
      <c r="G863" s="722"/>
      <c r="H863" s="722"/>
      <c r="I863" s="722"/>
      <c r="J863" s="722"/>
      <c r="K863" s="722"/>
      <c r="L863" s="722"/>
      <c r="M863" s="722"/>
      <c r="N863" s="722"/>
      <c r="O863" s="722"/>
      <c r="P863" s="722"/>
      <c r="Q863" s="722"/>
      <c r="R863" s="722"/>
      <c r="S863" s="722"/>
      <c r="T863" s="722"/>
      <c r="U863" s="722"/>
      <c r="V863" s="722"/>
      <c r="W863" s="722"/>
      <c r="X863" s="722"/>
      <c r="Y863" s="723"/>
    </row>
    <row r="864" spans="3:25" ht="18" customHeight="1" x14ac:dyDescent="0.2">
      <c r="C864" s="721"/>
      <c r="D864" s="722"/>
      <c r="E864" s="722"/>
      <c r="F864" s="722"/>
      <c r="G864" s="722"/>
      <c r="H864" s="722"/>
      <c r="I864" s="722"/>
      <c r="J864" s="722"/>
      <c r="K864" s="722"/>
      <c r="L864" s="722"/>
      <c r="M864" s="722"/>
      <c r="N864" s="722"/>
      <c r="O864" s="722"/>
      <c r="P864" s="722"/>
      <c r="Q864" s="722"/>
      <c r="R864" s="722"/>
      <c r="S864" s="722"/>
      <c r="T864" s="722"/>
      <c r="U864" s="722"/>
      <c r="V864" s="722"/>
      <c r="W864" s="722"/>
      <c r="X864" s="722"/>
      <c r="Y864" s="723"/>
    </row>
    <row r="865" spans="3:25" ht="18" customHeight="1" x14ac:dyDescent="0.2">
      <c r="C865" s="721"/>
      <c r="D865" s="722"/>
      <c r="E865" s="722"/>
      <c r="F865" s="722"/>
      <c r="G865" s="722"/>
      <c r="H865" s="722"/>
      <c r="I865" s="722"/>
      <c r="J865" s="722"/>
      <c r="K865" s="722"/>
      <c r="L865" s="722"/>
      <c r="M865" s="722"/>
      <c r="N865" s="722"/>
      <c r="O865" s="722"/>
      <c r="P865" s="722"/>
      <c r="Q865" s="722"/>
      <c r="R865" s="722"/>
      <c r="S865" s="722"/>
      <c r="T865" s="722"/>
      <c r="U865" s="722"/>
      <c r="V865" s="722"/>
      <c r="W865" s="722"/>
      <c r="X865" s="722"/>
      <c r="Y865" s="723"/>
    </row>
    <row r="866" spans="3:25" ht="18" customHeight="1" x14ac:dyDescent="0.2">
      <c r="C866" s="721"/>
      <c r="D866" s="722"/>
      <c r="E866" s="722"/>
      <c r="F866" s="722"/>
      <c r="G866" s="722"/>
      <c r="H866" s="722"/>
      <c r="I866" s="722"/>
      <c r="J866" s="722"/>
      <c r="K866" s="722"/>
      <c r="L866" s="722"/>
      <c r="M866" s="722"/>
      <c r="N866" s="722"/>
      <c r="O866" s="722"/>
      <c r="P866" s="722"/>
      <c r="Q866" s="722"/>
      <c r="R866" s="722"/>
      <c r="S866" s="722"/>
      <c r="T866" s="722"/>
      <c r="U866" s="722"/>
      <c r="V866" s="722"/>
      <c r="W866" s="722"/>
      <c r="X866" s="722"/>
      <c r="Y866" s="723"/>
    </row>
    <row r="867" spans="3:25" ht="18" customHeight="1" x14ac:dyDescent="0.2">
      <c r="C867" s="721"/>
      <c r="D867" s="722"/>
      <c r="E867" s="722"/>
      <c r="F867" s="722"/>
      <c r="G867" s="722"/>
      <c r="H867" s="722"/>
      <c r="I867" s="722"/>
      <c r="J867" s="722"/>
      <c r="K867" s="722"/>
      <c r="L867" s="722"/>
      <c r="M867" s="722"/>
      <c r="N867" s="722"/>
      <c r="O867" s="722"/>
      <c r="P867" s="722"/>
      <c r="Q867" s="722"/>
      <c r="R867" s="722"/>
      <c r="S867" s="722"/>
      <c r="T867" s="722"/>
      <c r="U867" s="722"/>
      <c r="V867" s="722"/>
      <c r="W867" s="722"/>
      <c r="X867" s="722"/>
      <c r="Y867" s="723"/>
    </row>
    <row r="868" spans="3:25" ht="18" customHeight="1" x14ac:dyDescent="0.2">
      <c r="C868" s="721"/>
      <c r="D868" s="722"/>
      <c r="E868" s="722"/>
      <c r="F868" s="722"/>
      <c r="G868" s="722"/>
      <c r="H868" s="722"/>
      <c r="I868" s="722"/>
      <c r="J868" s="722"/>
      <c r="K868" s="722"/>
      <c r="L868" s="722"/>
      <c r="M868" s="722"/>
      <c r="N868" s="722"/>
      <c r="O868" s="722"/>
      <c r="P868" s="722"/>
      <c r="Q868" s="722"/>
      <c r="R868" s="722"/>
      <c r="S868" s="722"/>
      <c r="T868" s="722"/>
      <c r="U868" s="722"/>
      <c r="V868" s="722"/>
      <c r="W868" s="722"/>
      <c r="X868" s="722"/>
      <c r="Y868" s="723"/>
    </row>
    <row r="869" spans="3:25" ht="18" customHeight="1" x14ac:dyDescent="0.2">
      <c r="C869" s="721"/>
      <c r="D869" s="722"/>
      <c r="E869" s="722"/>
      <c r="F869" s="722"/>
      <c r="G869" s="722"/>
      <c r="H869" s="722"/>
      <c r="I869" s="722"/>
      <c r="J869" s="722"/>
      <c r="K869" s="722"/>
      <c r="L869" s="722"/>
      <c r="M869" s="722"/>
      <c r="N869" s="722"/>
      <c r="O869" s="722"/>
      <c r="P869" s="722"/>
      <c r="Q869" s="722"/>
      <c r="R869" s="722"/>
      <c r="S869" s="722"/>
      <c r="T869" s="722"/>
      <c r="U869" s="722"/>
      <c r="V869" s="722"/>
      <c r="W869" s="722"/>
      <c r="X869" s="722"/>
      <c r="Y869" s="723"/>
    </row>
    <row r="870" spans="3:25" ht="18" customHeight="1" x14ac:dyDescent="0.2">
      <c r="C870" s="721"/>
      <c r="D870" s="722"/>
      <c r="E870" s="722"/>
      <c r="F870" s="722"/>
      <c r="G870" s="722"/>
      <c r="H870" s="722"/>
      <c r="I870" s="722"/>
      <c r="J870" s="722"/>
      <c r="K870" s="722"/>
      <c r="L870" s="722"/>
      <c r="M870" s="722"/>
      <c r="N870" s="722"/>
      <c r="O870" s="722"/>
      <c r="P870" s="722"/>
      <c r="Q870" s="722"/>
      <c r="R870" s="722"/>
      <c r="S870" s="722"/>
      <c r="T870" s="722"/>
      <c r="U870" s="722"/>
      <c r="V870" s="722"/>
      <c r="W870" s="722"/>
      <c r="X870" s="722"/>
      <c r="Y870" s="723"/>
    </row>
    <row r="871" spans="3:25" ht="18" customHeight="1" x14ac:dyDescent="0.2">
      <c r="C871" s="721"/>
      <c r="D871" s="722"/>
      <c r="E871" s="722"/>
      <c r="F871" s="722"/>
      <c r="G871" s="722"/>
      <c r="H871" s="722"/>
      <c r="I871" s="722"/>
      <c r="J871" s="722"/>
      <c r="K871" s="722"/>
      <c r="L871" s="722"/>
      <c r="M871" s="722"/>
      <c r="N871" s="722"/>
      <c r="O871" s="722"/>
      <c r="P871" s="722"/>
      <c r="Q871" s="722"/>
      <c r="R871" s="722"/>
      <c r="S871" s="722"/>
      <c r="T871" s="722"/>
      <c r="U871" s="722"/>
      <c r="V871" s="722"/>
      <c r="W871" s="722"/>
      <c r="X871" s="722"/>
      <c r="Y871" s="723"/>
    </row>
    <row r="872" spans="3:25" ht="18" customHeight="1" x14ac:dyDescent="0.2">
      <c r="C872" s="721"/>
      <c r="D872" s="722"/>
      <c r="E872" s="722"/>
      <c r="F872" s="722"/>
      <c r="G872" s="722"/>
      <c r="H872" s="722"/>
      <c r="I872" s="722"/>
      <c r="J872" s="722"/>
      <c r="K872" s="722"/>
      <c r="L872" s="722"/>
      <c r="M872" s="722"/>
      <c r="N872" s="722"/>
      <c r="O872" s="722"/>
      <c r="P872" s="722"/>
      <c r="Q872" s="722"/>
      <c r="R872" s="722"/>
      <c r="S872" s="722"/>
      <c r="T872" s="722"/>
      <c r="U872" s="722"/>
      <c r="V872" s="722"/>
      <c r="W872" s="722"/>
      <c r="X872" s="722"/>
      <c r="Y872" s="723"/>
    </row>
    <row r="873" spans="3:25" ht="18" customHeight="1" x14ac:dyDescent="0.2">
      <c r="C873" s="721"/>
      <c r="D873" s="722"/>
      <c r="E873" s="722"/>
      <c r="F873" s="722"/>
      <c r="G873" s="722"/>
      <c r="H873" s="722"/>
      <c r="I873" s="722"/>
      <c r="J873" s="722"/>
      <c r="K873" s="722"/>
      <c r="L873" s="722"/>
      <c r="M873" s="722"/>
      <c r="N873" s="722"/>
      <c r="O873" s="722"/>
      <c r="P873" s="722"/>
      <c r="Q873" s="722"/>
      <c r="R873" s="722"/>
      <c r="S873" s="722"/>
      <c r="T873" s="722"/>
      <c r="U873" s="722"/>
      <c r="V873" s="722"/>
      <c r="W873" s="722"/>
      <c r="X873" s="722"/>
      <c r="Y873" s="723"/>
    </row>
    <row r="874" spans="3:25" ht="18" customHeight="1" x14ac:dyDescent="0.2">
      <c r="C874" s="721"/>
      <c r="D874" s="722"/>
      <c r="E874" s="722"/>
      <c r="F874" s="722"/>
      <c r="G874" s="722"/>
      <c r="H874" s="722"/>
      <c r="I874" s="722"/>
      <c r="J874" s="722"/>
      <c r="K874" s="722"/>
      <c r="L874" s="722"/>
      <c r="M874" s="722"/>
      <c r="N874" s="722"/>
      <c r="O874" s="722"/>
      <c r="P874" s="722"/>
      <c r="Q874" s="722"/>
      <c r="R874" s="722"/>
      <c r="S874" s="722"/>
      <c r="T874" s="722"/>
      <c r="U874" s="722"/>
      <c r="V874" s="722"/>
      <c r="W874" s="722"/>
      <c r="X874" s="722"/>
      <c r="Y874" s="723"/>
    </row>
    <row r="875" spans="3:25" ht="18" customHeight="1" x14ac:dyDescent="0.2">
      <c r="C875" s="721"/>
      <c r="D875" s="722"/>
      <c r="E875" s="722"/>
      <c r="F875" s="722"/>
      <c r="G875" s="722"/>
      <c r="H875" s="722"/>
      <c r="I875" s="722"/>
      <c r="J875" s="722"/>
      <c r="K875" s="722"/>
      <c r="L875" s="722"/>
      <c r="M875" s="722"/>
      <c r="N875" s="722"/>
      <c r="O875" s="722"/>
      <c r="P875" s="722"/>
      <c r="Q875" s="722"/>
      <c r="R875" s="722"/>
      <c r="S875" s="722"/>
      <c r="T875" s="722"/>
      <c r="U875" s="722"/>
      <c r="V875" s="722"/>
      <c r="W875" s="722"/>
      <c r="X875" s="722"/>
      <c r="Y875" s="723"/>
    </row>
    <row r="876" spans="3:25" ht="18" customHeight="1" x14ac:dyDescent="0.2">
      <c r="C876" s="721"/>
      <c r="D876" s="722"/>
      <c r="E876" s="722"/>
      <c r="F876" s="722"/>
      <c r="G876" s="722"/>
      <c r="H876" s="722"/>
      <c r="I876" s="722"/>
      <c r="J876" s="722"/>
      <c r="K876" s="722"/>
      <c r="L876" s="722"/>
      <c r="M876" s="722"/>
      <c r="N876" s="722"/>
      <c r="O876" s="722"/>
      <c r="P876" s="722"/>
      <c r="Q876" s="722"/>
      <c r="R876" s="722"/>
      <c r="S876" s="722"/>
      <c r="T876" s="722"/>
      <c r="U876" s="722"/>
      <c r="V876" s="722"/>
      <c r="W876" s="722"/>
      <c r="X876" s="722"/>
      <c r="Y876" s="723"/>
    </row>
    <row r="877" spans="3:25" ht="18" customHeight="1" x14ac:dyDescent="0.2">
      <c r="C877" s="721"/>
      <c r="D877" s="722"/>
      <c r="E877" s="722"/>
      <c r="F877" s="722"/>
      <c r="G877" s="722"/>
      <c r="H877" s="722"/>
      <c r="I877" s="722"/>
      <c r="J877" s="722"/>
      <c r="K877" s="722"/>
      <c r="L877" s="722"/>
      <c r="M877" s="722"/>
      <c r="N877" s="722"/>
      <c r="O877" s="722"/>
      <c r="P877" s="722"/>
      <c r="Q877" s="722"/>
      <c r="R877" s="722"/>
      <c r="S877" s="722"/>
      <c r="T877" s="722"/>
      <c r="U877" s="722"/>
      <c r="V877" s="722"/>
      <c r="W877" s="722"/>
      <c r="X877" s="722"/>
      <c r="Y877" s="723"/>
    </row>
    <row r="878" spans="3:25" ht="18" customHeight="1" x14ac:dyDescent="0.2">
      <c r="C878" s="721"/>
      <c r="D878" s="722"/>
      <c r="E878" s="722"/>
      <c r="F878" s="722"/>
      <c r="G878" s="722"/>
      <c r="H878" s="722"/>
      <c r="I878" s="722"/>
      <c r="J878" s="722"/>
      <c r="K878" s="722"/>
      <c r="L878" s="722"/>
      <c r="M878" s="722"/>
      <c r="N878" s="722"/>
      <c r="O878" s="722"/>
      <c r="P878" s="722"/>
      <c r="Q878" s="722"/>
      <c r="R878" s="722"/>
      <c r="S878" s="722"/>
      <c r="T878" s="722"/>
      <c r="U878" s="722"/>
      <c r="V878" s="722"/>
      <c r="W878" s="722"/>
      <c r="X878" s="722"/>
      <c r="Y878" s="723"/>
    </row>
    <row r="879" spans="3:25" ht="18" customHeight="1" x14ac:dyDescent="0.2">
      <c r="C879" s="721"/>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3"/>
    </row>
    <row r="880" spans="3:25" ht="18" customHeight="1" x14ac:dyDescent="0.2">
      <c r="C880" s="721"/>
      <c r="D880" s="722"/>
      <c r="E880" s="722"/>
      <c r="F880" s="722"/>
      <c r="G880" s="722"/>
      <c r="H880" s="722"/>
      <c r="I880" s="722"/>
      <c r="J880" s="722"/>
      <c r="K880" s="722"/>
      <c r="L880" s="722"/>
      <c r="M880" s="722"/>
      <c r="N880" s="722"/>
      <c r="O880" s="722"/>
      <c r="P880" s="722"/>
      <c r="Q880" s="722"/>
      <c r="R880" s="722"/>
      <c r="S880" s="722"/>
      <c r="T880" s="722"/>
      <c r="U880" s="722"/>
      <c r="V880" s="722"/>
      <c r="W880" s="722"/>
      <c r="X880" s="722"/>
      <c r="Y880" s="723"/>
    </row>
    <row r="881" spans="3:25" ht="18" customHeight="1" x14ac:dyDescent="0.2">
      <c r="C881" s="721"/>
      <c r="D881" s="722"/>
      <c r="E881" s="722"/>
      <c r="F881" s="722"/>
      <c r="G881" s="722"/>
      <c r="H881" s="722"/>
      <c r="I881" s="722"/>
      <c r="J881" s="722"/>
      <c r="K881" s="722"/>
      <c r="L881" s="722"/>
      <c r="M881" s="722"/>
      <c r="N881" s="722"/>
      <c r="O881" s="722"/>
      <c r="P881" s="722"/>
      <c r="Q881" s="722"/>
      <c r="R881" s="722"/>
      <c r="S881" s="722"/>
      <c r="T881" s="722"/>
      <c r="U881" s="722"/>
      <c r="V881" s="722"/>
      <c r="W881" s="722"/>
      <c r="X881" s="722"/>
      <c r="Y881" s="723"/>
    </row>
    <row r="882" spans="3:25" ht="18" customHeight="1" x14ac:dyDescent="0.2">
      <c r="C882" s="721"/>
      <c r="D882" s="722"/>
      <c r="E882" s="722"/>
      <c r="F882" s="722"/>
      <c r="G882" s="722"/>
      <c r="H882" s="722"/>
      <c r="I882" s="722"/>
      <c r="J882" s="722"/>
      <c r="K882" s="722"/>
      <c r="L882" s="722"/>
      <c r="M882" s="722"/>
      <c r="N882" s="722"/>
      <c r="O882" s="722"/>
      <c r="P882" s="722"/>
      <c r="Q882" s="722"/>
      <c r="R882" s="722"/>
      <c r="S882" s="722"/>
      <c r="T882" s="722"/>
      <c r="U882" s="722"/>
      <c r="V882" s="722"/>
      <c r="W882" s="722"/>
      <c r="X882" s="722"/>
      <c r="Y882" s="723"/>
    </row>
    <row r="883" spans="3:25" ht="18" customHeight="1" x14ac:dyDescent="0.2">
      <c r="C883" s="721"/>
      <c r="D883" s="722"/>
      <c r="E883" s="722"/>
      <c r="F883" s="722"/>
      <c r="G883" s="722"/>
      <c r="H883" s="722"/>
      <c r="I883" s="722"/>
      <c r="J883" s="722"/>
      <c r="K883" s="722"/>
      <c r="L883" s="722"/>
      <c r="M883" s="722"/>
      <c r="N883" s="722"/>
      <c r="O883" s="722"/>
      <c r="P883" s="722"/>
      <c r="Q883" s="722"/>
      <c r="R883" s="722"/>
      <c r="S883" s="722"/>
      <c r="T883" s="722"/>
      <c r="U883" s="722"/>
      <c r="V883" s="722"/>
      <c r="W883" s="722"/>
      <c r="X883" s="722"/>
      <c r="Y883" s="723"/>
    </row>
    <row r="884" spans="3:25" ht="18" customHeight="1" x14ac:dyDescent="0.2">
      <c r="C884" s="721"/>
      <c r="D884" s="722"/>
      <c r="E884" s="722"/>
      <c r="F884" s="722"/>
      <c r="G884" s="722"/>
      <c r="H884" s="722"/>
      <c r="I884" s="722"/>
      <c r="J884" s="722"/>
      <c r="K884" s="722"/>
      <c r="L884" s="722"/>
      <c r="M884" s="722"/>
      <c r="N884" s="722"/>
      <c r="O884" s="722"/>
      <c r="P884" s="722"/>
      <c r="Q884" s="722"/>
      <c r="R884" s="722"/>
      <c r="S884" s="722"/>
      <c r="T884" s="722"/>
      <c r="U884" s="722"/>
      <c r="V884" s="722"/>
      <c r="W884" s="722"/>
      <c r="X884" s="722"/>
      <c r="Y884" s="723"/>
    </row>
    <row r="885" spans="3:25" ht="18" customHeight="1" x14ac:dyDescent="0.2">
      <c r="C885" s="721"/>
      <c r="D885" s="722"/>
      <c r="E885" s="722"/>
      <c r="F885" s="722"/>
      <c r="G885" s="722"/>
      <c r="H885" s="722"/>
      <c r="I885" s="722"/>
      <c r="J885" s="722"/>
      <c r="K885" s="722"/>
      <c r="L885" s="722"/>
      <c r="M885" s="722"/>
      <c r="N885" s="722"/>
      <c r="O885" s="722"/>
      <c r="P885" s="722"/>
      <c r="Q885" s="722"/>
      <c r="R885" s="722"/>
      <c r="S885" s="722"/>
      <c r="T885" s="722"/>
      <c r="U885" s="722"/>
      <c r="V885" s="722"/>
      <c r="W885" s="722"/>
      <c r="X885" s="722"/>
      <c r="Y885" s="723"/>
    </row>
    <row r="886" spans="3:25" ht="18" customHeight="1" x14ac:dyDescent="0.2">
      <c r="C886" s="721"/>
      <c r="D886" s="722"/>
      <c r="E886" s="722"/>
      <c r="F886" s="722"/>
      <c r="G886" s="722"/>
      <c r="H886" s="722"/>
      <c r="I886" s="722"/>
      <c r="J886" s="722"/>
      <c r="K886" s="722"/>
      <c r="L886" s="722"/>
      <c r="M886" s="722"/>
      <c r="N886" s="722"/>
      <c r="O886" s="722"/>
      <c r="P886" s="722"/>
      <c r="Q886" s="722"/>
      <c r="R886" s="722"/>
      <c r="S886" s="722"/>
      <c r="T886" s="722"/>
      <c r="U886" s="722"/>
      <c r="V886" s="722"/>
      <c r="W886" s="722"/>
      <c r="X886" s="722"/>
      <c r="Y886" s="723"/>
    </row>
    <row r="887" spans="3:25" ht="18" customHeight="1" x14ac:dyDescent="0.2">
      <c r="C887" s="721"/>
      <c r="D887" s="722"/>
      <c r="E887" s="722"/>
      <c r="F887" s="722"/>
      <c r="G887" s="722"/>
      <c r="H887" s="722"/>
      <c r="I887" s="722"/>
      <c r="J887" s="722"/>
      <c r="K887" s="722"/>
      <c r="L887" s="722"/>
      <c r="M887" s="722"/>
      <c r="N887" s="722"/>
      <c r="O887" s="722"/>
      <c r="P887" s="722"/>
      <c r="Q887" s="722"/>
      <c r="R887" s="722"/>
      <c r="S887" s="722"/>
      <c r="T887" s="722"/>
      <c r="U887" s="722"/>
      <c r="V887" s="722"/>
      <c r="W887" s="722"/>
      <c r="X887" s="722"/>
      <c r="Y887" s="723"/>
    </row>
    <row r="888" spans="3:25" ht="18" customHeight="1" x14ac:dyDescent="0.2">
      <c r="C888" s="721"/>
      <c r="D888" s="722"/>
      <c r="E888" s="722"/>
      <c r="F888" s="722"/>
      <c r="G888" s="722"/>
      <c r="H888" s="722"/>
      <c r="I888" s="722"/>
      <c r="J888" s="722"/>
      <c r="K888" s="722"/>
      <c r="L888" s="722"/>
      <c r="M888" s="722"/>
      <c r="N888" s="722"/>
      <c r="O888" s="722"/>
      <c r="P888" s="722"/>
      <c r="Q888" s="722"/>
      <c r="R888" s="722"/>
      <c r="S888" s="722"/>
      <c r="T888" s="722"/>
      <c r="U888" s="722"/>
      <c r="V888" s="722"/>
      <c r="W888" s="722"/>
      <c r="X888" s="722"/>
      <c r="Y888" s="723"/>
    </row>
    <row r="889" spans="3:25" ht="18" customHeight="1" x14ac:dyDescent="0.2">
      <c r="C889" s="721"/>
      <c r="D889" s="722"/>
      <c r="E889" s="722"/>
      <c r="F889" s="722"/>
      <c r="G889" s="722"/>
      <c r="H889" s="722"/>
      <c r="I889" s="722"/>
      <c r="J889" s="722"/>
      <c r="K889" s="722"/>
      <c r="L889" s="722"/>
      <c r="M889" s="722"/>
      <c r="N889" s="722"/>
      <c r="O889" s="722"/>
      <c r="P889" s="722"/>
      <c r="Q889" s="722"/>
      <c r="R889" s="722"/>
      <c r="S889" s="722"/>
      <c r="T889" s="722"/>
      <c r="U889" s="722"/>
      <c r="V889" s="722"/>
      <c r="W889" s="722"/>
      <c r="X889" s="722"/>
      <c r="Y889" s="723"/>
    </row>
    <row r="890" spans="3:25" ht="18" customHeight="1" x14ac:dyDescent="0.2">
      <c r="C890" s="721"/>
      <c r="D890" s="722"/>
      <c r="E890" s="722"/>
      <c r="F890" s="722"/>
      <c r="G890" s="722"/>
      <c r="H890" s="722"/>
      <c r="I890" s="722"/>
      <c r="J890" s="722"/>
      <c r="K890" s="722"/>
      <c r="L890" s="722"/>
      <c r="M890" s="722"/>
      <c r="N890" s="722"/>
      <c r="O890" s="722"/>
      <c r="P890" s="722"/>
      <c r="Q890" s="722"/>
      <c r="R890" s="722"/>
      <c r="S890" s="722"/>
      <c r="T890" s="722"/>
      <c r="U890" s="722"/>
      <c r="V890" s="722"/>
      <c r="W890" s="722"/>
      <c r="X890" s="722"/>
      <c r="Y890" s="723"/>
    </row>
    <row r="891" spans="3:25" ht="18" customHeight="1" x14ac:dyDescent="0.2">
      <c r="C891" s="721"/>
      <c r="D891" s="722"/>
      <c r="E891" s="722"/>
      <c r="F891" s="722"/>
      <c r="G891" s="722"/>
      <c r="H891" s="722"/>
      <c r="I891" s="722"/>
      <c r="J891" s="722"/>
      <c r="K891" s="722"/>
      <c r="L891" s="722"/>
      <c r="M891" s="722"/>
      <c r="N891" s="722"/>
      <c r="O891" s="722"/>
      <c r="P891" s="722"/>
      <c r="Q891" s="722"/>
      <c r="R891" s="722"/>
      <c r="S891" s="722"/>
      <c r="T891" s="722"/>
      <c r="U891" s="722"/>
      <c r="V891" s="722"/>
      <c r="W891" s="722"/>
      <c r="X891" s="722"/>
      <c r="Y891" s="723"/>
    </row>
    <row r="892" spans="3:25" ht="18" customHeight="1" x14ac:dyDescent="0.2">
      <c r="C892" s="721"/>
      <c r="D892" s="722"/>
      <c r="E892" s="722"/>
      <c r="F892" s="722"/>
      <c r="G892" s="722"/>
      <c r="H892" s="722"/>
      <c r="I892" s="722"/>
      <c r="J892" s="722"/>
      <c r="K892" s="722"/>
      <c r="L892" s="722"/>
      <c r="M892" s="722"/>
      <c r="N892" s="722"/>
      <c r="O892" s="722"/>
      <c r="P892" s="722"/>
      <c r="Q892" s="722"/>
      <c r="R892" s="722"/>
      <c r="S892" s="722"/>
      <c r="T892" s="722"/>
      <c r="U892" s="722"/>
      <c r="V892" s="722"/>
      <c r="W892" s="722"/>
      <c r="X892" s="722"/>
      <c r="Y892" s="723"/>
    </row>
    <row r="893" spans="3:25" ht="18" customHeight="1" x14ac:dyDescent="0.2">
      <c r="C893" s="721"/>
      <c r="D893" s="722"/>
      <c r="E893" s="722"/>
      <c r="F893" s="722"/>
      <c r="G893" s="722"/>
      <c r="H893" s="722"/>
      <c r="I893" s="722"/>
      <c r="J893" s="722"/>
      <c r="K893" s="722"/>
      <c r="L893" s="722"/>
      <c r="M893" s="722"/>
      <c r="N893" s="722"/>
      <c r="O893" s="722"/>
      <c r="P893" s="722"/>
      <c r="Q893" s="722"/>
      <c r="R893" s="722"/>
      <c r="S893" s="722"/>
      <c r="T893" s="722"/>
      <c r="U893" s="722"/>
      <c r="V893" s="722"/>
      <c r="W893" s="722"/>
      <c r="X893" s="722"/>
      <c r="Y893" s="723"/>
    </row>
    <row r="894" spans="3:25" ht="18" customHeight="1" x14ac:dyDescent="0.2">
      <c r="C894" s="721"/>
      <c r="D894" s="722"/>
      <c r="E894" s="722"/>
      <c r="F894" s="722"/>
      <c r="G894" s="722"/>
      <c r="H894" s="722"/>
      <c r="I894" s="722"/>
      <c r="J894" s="722"/>
      <c r="K894" s="722"/>
      <c r="L894" s="722"/>
      <c r="M894" s="722"/>
      <c r="N894" s="722"/>
      <c r="O894" s="722"/>
      <c r="P894" s="722"/>
      <c r="Q894" s="722"/>
      <c r="R894" s="722"/>
      <c r="S894" s="722"/>
      <c r="T894" s="722"/>
      <c r="U894" s="722"/>
      <c r="V894" s="722"/>
      <c r="W894" s="722"/>
      <c r="X894" s="722"/>
      <c r="Y894" s="723"/>
    </row>
    <row r="895" spans="3:25" ht="18" customHeight="1" x14ac:dyDescent="0.2">
      <c r="C895" s="721"/>
      <c r="D895" s="722"/>
      <c r="E895" s="722"/>
      <c r="F895" s="722"/>
      <c r="G895" s="722"/>
      <c r="H895" s="722"/>
      <c r="I895" s="722"/>
      <c r="J895" s="722"/>
      <c r="K895" s="722"/>
      <c r="L895" s="722"/>
      <c r="M895" s="722"/>
      <c r="N895" s="722"/>
      <c r="O895" s="722"/>
      <c r="P895" s="722"/>
      <c r="Q895" s="722"/>
      <c r="R895" s="722"/>
      <c r="S895" s="722"/>
      <c r="T895" s="722"/>
      <c r="U895" s="722"/>
      <c r="V895" s="722"/>
      <c r="W895" s="722"/>
      <c r="X895" s="722"/>
      <c r="Y895" s="723"/>
    </row>
    <row r="896" spans="3:25" ht="18" customHeight="1" x14ac:dyDescent="0.2">
      <c r="C896" s="721"/>
      <c r="D896" s="722"/>
      <c r="E896" s="722"/>
      <c r="F896" s="722"/>
      <c r="G896" s="722"/>
      <c r="H896" s="722"/>
      <c r="I896" s="722"/>
      <c r="J896" s="722"/>
      <c r="K896" s="722"/>
      <c r="L896" s="722"/>
      <c r="M896" s="722"/>
      <c r="N896" s="722"/>
      <c r="O896" s="722"/>
      <c r="P896" s="722"/>
      <c r="Q896" s="722"/>
      <c r="R896" s="722"/>
      <c r="S896" s="722"/>
      <c r="T896" s="722"/>
      <c r="U896" s="722"/>
      <c r="V896" s="722"/>
      <c r="W896" s="722"/>
      <c r="X896" s="722"/>
      <c r="Y896" s="723"/>
    </row>
    <row r="897" spans="3:25" ht="18" customHeight="1" x14ac:dyDescent="0.2">
      <c r="C897" s="721"/>
      <c r="D897" s="722"/>
      <c r="E897" s="722"/>
      <c r="F897" s="722"/>
      <c r="G897" s="722"/>
      <c r="H897" s="722"/>
      <c r="I897" s="722"/>
      <c r="J897" s="722"/>
      <c r="K897" s="722"/>
      <c r="L897" s="722"/>
      <c r="M897" s="722"/>
      <c r="N897" s="722"/>
      <c r="O897" s="722"/>
      <c r="P897" s="722"/>
      <c r="Q897" s="722"/>
      <c r="R897" s="722"/>
      <c r="S897" s="722"/>
      <c r="T897" s="722"/>
      <c r="U897" s="722"/>
      <c r="V897" s="722"/>
      <c r="W897" s="722"/>
      <c r="X897" s="722"/>
      <c r="Y897" s="723"/>
    </row>
    <row r="898" spans="3:25" ht="18" customHeight="1" x14ac:dyDescent="0.2">
      <c r="C898" s="721"/>
      <c r="D898" s="722"/>
      <c r="E898" s="722"/>
      <c r="F898" s="722"/>
      <c r="G898" s="722"/>
      <c r="H898" s="722"/>
      <c r="I898" s="722"/>
      <c r="J898" s="722"/>
      <c r="K898" s="722"/>
      <c r="L898" s="722"/>
      <c r="M898" s="722"/>
      <c r="N898" s="722"/>
      <c r="O898" s="722"/>
      <c r="P898" s="722"/>
      <c r="Q898" s="722"/>
      <c r="R898" s="722"/>
      <c r="S898" s="722"/>
      <c r="T898" s="722"/>
      <c r="U898" s="722"/>
      <c r="V898" s="722"/>
      <c r="W898" s="722"/>
      <c r="X898" s="722"/>
      <c r="Y898" s="723"/>
    </row>
    <row r="899" spans="3:25" ht="18" customHeight="1" x14ac:dyDescent="0.2">
      <c r="C899" s="721"/>
      <c r="D899" s="722"/>
      <c r="E899" s="722"/>
      <c r="F899" s="722"/>
      <c r="G899" s="722"/>
      <c r="H899" s="722"/>
      <c r="I899" s="722"/>
      <c r="J899" s="722"/>
      <c r="K899" s="722"/>
      <c r="L899" s="722"/>
      <c r="M899" s="722"/>
      <c r="N899" s="722"/>
      <c r="O899" s="722"/>
      <c r="P899" s="722"/>
      <c r="Q899" s="722"/>
      <c r="R899" s="722"/>
      <c r="S899" s="722"/>
      <c r="T899" s="722"/>
      <c r="U899" s="722"/>
      <c r="V899" s="722"/>
      <c r="W899" s="722"/>
      <c r="X899" s="722"/>
      <c r="Y899" s="723"/>
    </row>
    <row r="900" spans="3:25" ht="18" customHeight="1" x14ac:dyDescent="0.2">
      <c r="C900" s="724"/>
      <c r="D900" s="725"/>
      <c r="E900" s="725"/>
      <c r="F900" s="725"/>
      <c r="G900" s="725"/>
      <c r="H900" s="725"/>
      <c r="I900" s="725"/>
      <c r="J900" s="725"/>
      <c r="K900" s="725"/>
      <c r="L900" s="725"/>
      <c r="M900" s="725"/>
      <c r="N900" s="725"/>
      <c r="O900" s="725"/>
      <c r="P900" s="725"/>
      <c r="Q900" s="725"/>
      <c r="R900" s="725"/>
      <c r="S900" s="725"/>
      <c r="T900" s="725"/>
      <c r="U900" s="725"/>
      <c r="V900" s="725"/>
      <c r="W900" s="725"/>
      <c r="X900" s="725"/>
      <c r="Y900" s="726"/>
    </row>
  </sheetData>
  <mergeCells count="624">
    <mergeCell ref="C821:S822"/>
    <mergeCell ref="T822:W822"/>
    <mergeCell ref="X822:Y822"/>
    <mergeCell ref="D825:Y825"/>
    <mergeCell ref="C827:Y828"/>
    <mergeCell ref="C829:Y900"/>
    <mergeCell ref="T812:W812"/>
    <mergeCell ref="X812:Y812"/>
    <mergeCell ref="C815:Y815"/>
    <mergeCell ref="T816:W816"/>
    <mergeCell ref="X816:Y816"/>
    <mergeCell ref="C819:Y820"/>
    <mergeCell ref="D803:Y803"/>
    <mergeCell ref="C805:Y805"/>
    <mergeCell ref="T806:W806"/>
    <mergeCell ref="X806:Y806"/>
    <mergeCell ref="D809:Y809"/>
    <mergeCell ref="C811:Y811"/>
    <mergeCell ref="D790:Y790"/>
    <mergeCell ref="C792:Y793"/>
    <mergeCell ref="C795:Y796"/>
    <mergeCell ref="J797:K797"/>
    <mergeCell ref="T797:W797"/>
    <mergeCell ref="D800:Y800"/>
    <mergeCell ref="E779:F779"/>
    <mergeCell ref="Z779:AB779"/>
    <mergeCell ref="E780:F780"/>
    <mergeCell ref="Z780:AB780"/>
    <mergeCell ref="A782:AB783"/>
    <mergeCell ref="C787:W787"/>
    <mergeCell ref="E776:F776"/>
    <mergeCell ref="Z776:AB776"/>
    <mergeCell ref="E777:F777"/>
    <mergeCell ref="Z777:AB777"/>
    <mergeCell ref="E778:F778"/>
    <mergeCell ref="Z778:AB778"/>
    <mergeCell ref="E773:F773"/>
    <mergeCell ref="Z773:AB773"/>
    <mergeCell ref="E774:F774"/>
    <mergeCell ref="Z774:AB774"/>
    <mergeCell ref="E775:F775"/>
    <mergeCell ref="Z775:AB775"/>
    <mergeCell ref="E770:F770"/>
    <mergeCell ref="Z770:AB770"/>
    <mergeCell ref="E771:F771"/>
    <mergeCell ref="Z771:AB771"/>
    <mergeCell ref="E772:F772"/>
    <mergeCell ref="Z772:AB772"/>
    <mergeCell ref="E767:F767"/>
    <mergeCell ref="Z767:AB767"/>
    <mergeCell ref="E768:F768"/>
    <mergeCell ref="Z768:AB768"/>
    <mergeCell ref="E769:F769"/>
    <mergeCell ref="Z769:AB769"/>
    <mergeCell ref="E764:F764"/>
    <mergeCell ref="Z764:AB764"/>
    <mergeCell ref="E765:F765"/>
    <mergeCell ref="Z765:AB765"/>
    <mergeCell ref="E766:F766"/>
    <mergeCell ref="Z766:AB766"/>
    <mergeCell ref="E761:F761"/>
    <mergeCell ref="Z761:AB761"/>
    <mergeCell ref="E762:F762"/>
    <mergeCell ref="Z762:AB762"/>
    <mergeCell ref="E763:F763"/>
    <mergeCell ref="Z763:AB763"/>
    <mergeCell ref="E758:F758"/>
    <mergeCell ref="Z758:AB758"/>
    <mergeCell ref="E759:F759"/>
    <mergeCell ref="Z759:AB759"/>
    <mergeCell ref="E760:F760"/>
    <mergeCell ref="Z760:AB760"/>
    <mergeCell ref="D755:AB755"/>
    <mergeCell ref="A756:AB756"/>
    <mergeCell ref="E757:F757"/>
    <mergeCell ref="Z757:AB757"/>
    <mergeCell ref="J747:J754"/>
    <mergeCell ref="K747:K754"/>
    <mergeCell ref="N747:S747"/>
    <mergeCell ref="T747:Y747"/>
    <mergeCell ref="N748:S748"/>
    <mergeCell ref="T748:Y748"/>
    <mergeCell ref="N749:S749"/>
    <mergeCell ref="T749:Y749"/>
    <mergeCell ref="N750:S750"/>
    <mergeCell ref="T750:Y753"/>
    <mergeCell ref="M745:M754"/>
    <mergeCell ref="N745:Y745"/>
    <mergeCell ref="Z745:Z754"/>
    <mergeCell ref="AA745:AA754"/>
    <mergeCell ref="AB745:AB754"/>
    <mergeCell ref="H746:K746"/>
    <mergeCell ref="N746:S746"/>
    <mergeCell ref="T746:Y746"/>
    <mergeCell ref="H747:H754"/>
    <mergeCell ref="I747:I754"/>
    <mergeCell ref="D742:Y742"/>
    <mergeCell ref="C744:Y744"/>
    <mergeCell ref="A745:A754"/>
    <mergeCell ref="B745:B754"/>
    <mergeCell ref="C745:C754"/>
    <mergeCell ref="D745:D754"/>
    <mergeCell ref="E745:F754"/>
    <mergeCell ref="G745:G754"/>
    <mergeCell ref="H745:K745"/>
    <mergeCell ref="L745:L754"/>
    <mergeCell ref="N751:S751"/>
    <mergeCell ref="N752:S752"/>
    <mergeCell ref="N753:S753"/>
    <mergeCell ref="C736:S737"/>
    <mergeCell ref="T736:W737"/>
    <mergeCell ref="X736:Y737"/>
    <mergeCell ref="C738:S739"/>
    <mergeCell ref="T738:W739"/>
    <mergeCell ref="X738:Y739"/>
    <mergeCell ref="C732:S733"/>
    <mergeCell ref="T732:W733"/>
    <mergeCell ref="X732:Y733"/>
    <mergeCell ref="C734:S735"/>
    <mergeCell ref="T734:W735"/>
    <mergeCell ref="X734:Y735"/>
    <mergeCell ref="C725:Y725"/>
    <mergeCell ref="T726:W726"/>
    <mergeCell ref="X726:Y726"/>
    <mergeCell ref="C729:Y730"/>
    <mergeCell ref="C731:S731"/>
    <mergeCell ref="T731:Y731"/>
    <mergeCell ref="J717:K717"/>
    <mergeCell ref="T717:W717"/>
    <mergeCell ref="J718:K718"/>
    <mergeCell ref="C721:Y721"/>
    <mergeCell ref="J722:K722"/>
    <mergeCell ref="T722:W722"/>
    <mergeCell ref="J711:K711"/>
    <mergeCell ref="T711:W711"/>
    <mergeCell ref="C714:Y714"/>
    <mergeCell ref="J715:K715"/>
    <mergeCell ref="T715:W715"/>
    <mergeCell ref="J716:K716"/>
    <mergeCell ref="T716:W716"/>
    <mergeCell ref="C702:Y702"/>
    <mergeCell ref="J703:K703"/>
    <mergeCell ref="T703:W703"/>
    <mergeCell ref="D706:Y706"/>
    <mergeCell ref="C708:Y708"/>
    <mergeCell ref="C710:Y710"/>
    <mergeCell ref="C694:Y694"/>
    <mergeCell ref="J695:K695"/>
    <mergeCell ref="T695:W695"/>
    <mergeCell ref="C698:Y698"/>
    <mergeCell ref="T699:W699"/>
    <mergeCell ref="X699:Y699"/>
    <mergeCell ref="C685:Y685"/>
    <mergeCell ref="J686:K686"/>
    <mergeCell ref="T686:W686"/>
    <mergeCell ref="C689:Y690"/>
    <mergeCell ref="T691:W691"/>
    <mergeCell ref="X691:Y691"/>
    <mergeCell ref="C674:Y674"/>
    <mergeCell ref="C676:Y676"/>
    <mergeCell ref="J677:K677"/>
    <mergeCell ref="T677:W677"/>
    <mergeCell ref="C680:Y681"/>
    <mergeCell ref="J682:K682"/>
    <mergeCell ref="T682:W682"/>
    <mergeCell ref="J669:K669"/>
    <mergeCell ref="N669:P669"/>
    <mergeCell ref="Q669:R669"/>
    <mergeCell ref="T669:W669"/>
    <mergeCell ref="X669:Y669"/>
    <mergeCell ref="J670:K670"/>
    <mergeCell ref="N670:P670"/>
    <mergeCell ref="Q670:R670"/>
    <mergeCell ref="T670:W670"/>
    <mergeCell ref="X670:Y670"/>
    <mergeCell ref="C665:Y666"/>
    <mergeCell ref="J667:L667"/>
    <mergeCell ref="N667:R668"/>
    <mergeCell ref="T667:Y667"/>
    <mergeCell ref="J668:L668"/>
    <mergeCell ref="T668:Y668"/>
    <mergeCell ref="D658:Y658"/>
    <mergeCell ref="C660:Y660"/>
    <mergeCell ref="J661:K661"/>
    <mergeCell ref="T661:W661"/>
    <mergeCell ref="J662:K662"/>
    <mergeCell ref="T662:W662"/>
    <mergeCell ref="C653:Y653"/>
    <mergeCell ref="C654:S654"/>
    <mergeCell ref="T654:W654"/>
    <mergeCell ref="X654:Y654"/>
    <mergeCell ref="C655:S655"/>
    <mergeCell ref="T655:W655"/>
    <mergeCell ref="X655:Y655"/>
    <mergeCell ref="C650:Y650"/>
    <mergeCell ref="D651:S651"/>
    <mergeCell ref="T651:W651"/>
    <mergeCell ref="X651:Y651"/>
    <mergeCell ref="D652:S652"/>
    <mergeCell ref="T652:W652"/>
    <mergeCell ref="X652:Y652"/>
    <mergeCell ref="D648:S648"/>
    <mergeCell ref="T648:W648"/>
    <mergeCell ref="X648:Y648"/>
    <mergeCell ref="D649:S649"/>
    <mergeCell ref="T649:W649"/>
    <mergeCell ref="X649:Y649"/>
    <mergeCell ref="C641:S641"/>
    <mergeCell ref="T641:W641"/>
    <mergeCell ref="X641:Y641"/>
    <mergeCell ref="C644:Y645"/>
    <mergeCell ref="C646:S646"/>
    <mergeCell ref="C647:Y647"/>
    <mergeCell ref="C638:S638"/>
    <mergeCell ref="D639:S639"/>
    <mergeCell ref="T639:W639"/>
    <mergeCell ref="X639:Y639"/>
    <mergeCell ref="D640:S640"/>
    <mergeCell ref="T640:W640"/>
    <mergeCell ref="X640:Y640"/>
    <mergeCell ref="C631:S631"/>
    <mergeCell ref="T631:W631"/>
    <mergeCell ref="X631:Y631"/>
    <mergeCell ref="C634:Y635"/>
    <mergeCell ref="C636:S636"/>
    <mergeCell ref="C637:S637"/>
    <mergeCell ref="T637:W637"/>
    <mergeCell ref="X637:Y637"/>
    <mergeCell ref="C629:S629"/>
    <mergeCell ref="T629:W629"/>
    <mergeCell ref="X629:Y629"/>
    <mergeCell ref="C630:S630"/>
    <mergeCell ref="T630:W630"/>
    <mergeCell ref="X630:Y630"/>
    <mergeCell ref="D627:S627"/>
    <mergeCell ref="T627:W627"/>
    <mergeCell ref="X627:Y627"/>
    <mergeCell ref="D628:S628"/>
    <mergeCell ref="T628:W628"/>
    <mergeCell ref="X628:Y628"/>
    <mergeCell ref="D624:S624"/>
    <mergeCell ref="T624:W624"/>
    <mergeCell ref="X624:Y624"/>
    <mergeCell ref="C625:Y625"/>
    <mergeCell ref="D626:S626"/>
    <mergeCell ref="T626:W626"/>
    <mergeCell ref="X626:Y626"/>
    <mergeCell ref="C621:Y621"/>
    <mergeCell ref="D622:S622"/>
    <mergeCell ref="T622:W622"/>
    <mergeCell ref="X622:Y622"/>
    <mergeCell ref="D623:S623"/>
    <mergeCell ref="T623:W623"/>
    <mergeCell ref="X623:Y623"/>
    <mergeCell ref="D615:Y615"/>
    <mergeCell ref="C617:Y617"/>
    <mergeCell ref="C618:S618"/>
    <mergeCell ref="C619:S620"/>
    <mergeCell ref="T619:W620"/>
    <mergeCell ref="X619:Y620"/>
    <mergeCell ref="F611:H611"/>
    <mergeCell ref="I611:K611"/>
    <mergeCell ref="L611:N611"/>
    <mergeCell ref="O611:T611"/>
    <mergeCell ref="F612:H612"/>
    <mergeCell ref="I612:K612"/>
    <mergeCell ref="L612:N612"/>
    <mergeCell ref="O612:T612"/>
    <mergeCell ref="F609:H609"/>
    <mergeCell ref="I609:K609"/>
    <mergeCell ref="L609:N609"/>
    <mergeCell ref="O609:T609"/>
    <mergeCell ref="F610:H610"/>
    <mergeCell ref="I610:K610"/>
    <mergeCell ref="L610:N610"/>
    <mergeCell ref="O610:T610"/>
    <mergeCell ref="G599:S600"/>
    <mergeCell ref="T600:W600"/>
    <mergeCell ref="X600:Y600"/>
    <mergeCell ref="D603:Y603"/>
    <mergeCell ref="J605:K605"/>
    <mergeCell ref="F608:H608"/>
    <mergeCell ref="I608:K608"/>
    <mergeCell ref="L608:N608"/>
    <mergeCell ref="O608:T608"/>
    <mergeCell ref="C586:Y587"/>
    <mergeCell ref="C588:Y589"/>
    <mergeCell ref="C592:Y593"/>
    <mergeCell ref="J594:K594"/>
    <mergeCell ref="T594:W594"/>
    <mergeCell ref="C597:Y598"/>
    <mergeCell ref="C568:Y569"/>
    <mergeCell ref="D572:Y572"/>
    <mergeCell ref="C574:Y575"/>
    <mergeCell ref="C576:Y577"/>
    <mergeCell ref="C580:Y581"/>
    <mergeCell ref="C582:Y583"/>
    <mergeCell ref="C559:Y560"/>
    <mergeCell ref="C561:Y561"/>
    <mergeCell ref="C562:Y563"/>
    <mergeCell ref="C564:Y564"/>
    <mergeCell ref="C565:Y566"/>
    <mergeCell ref="C567:Y567"/>
    <mergeCell ref="C545:Y545"/>
    <mergeCell ref="C546:Y547"/>
    <mergeCell ref="C550:Y551"/>
    <mergeCell ref="C552:Y553"/>
    <mergeCell ref="C556:Y557"/>
    <mergeCell ref="C558:Y558"/>
    <mergeCell ref="C536:Y536"/>
    <mergeCell ref="C537:Y538"/>
    <mergeCell ref="C539:Y539"/>
    <mergeCell ref="C540:Y541"/>
    <mergeCell ref="C542:Y542"/>
    <mergeCell ref="C543:Y544"/>
    <mergeCell ref="C525:Y525"/>
    <mergeCell ref="C526:Y526"/>
    <mergeCell ref="D529:Y529"/>
    <mergeCell ref="C531:Y532"/>
    <mergeCell ref="C533:Y533"/>
    <mergeCell ref="C534:Y535"/>
    <mergeCell ref="C513:Y513"/>
    <mergeCell ref="C514:Y514"/>
    <mergeCell ref="D517:Y517"/>
    <mergeCell ref="C518:Y519"/>
    <mergeCell ref="C521:Y521"/>
    <mergeCell ref="J522:K522"/>
    <mergeCell ref="T522:W522"/>
    <mergeCell ref="T504:W504"/>
    <mergeCell ref="X504:Y504"/>
    <mergeCell ref="C507:Y507"/>
    <mergeCell ref="J508:K508"/>
    <mergeCell ref="T508:W508"/>
    <mergeCell ref="D511:Y511"/>
    <mergeCell ref="C495:Y495"/>
    <mergeCell ref="C497:Y497"/>
    <mergeCell ref="T498:W498"/>
    <mergeCell ref="X498:Y498"/>
    <mergeCell ref="C501:Y502"/>
    <mergeCell ref="T503:W503"/>
    <mergeCell ref="X503:Y503"/>
    <mergeCell ref="C484:Y485"/>
    <mergeCell ref="C486:Y487"/>
    <mergeCell ref="C490:Y490"/>
    <mergeCell ref="T491:W491"/>
    <mergeCell ref="X491:Y491"/>
    <mergeCell ref="D494:Y494"/>
    <mergeCell ref="C479:E479"/>
    <mergeCell ref="F479:S479"/>
    <mergeCell ref="T479:W479"/>
    <mergeCell ref="X479:Y479"/>
    <mergeCell ref="C480:S480"/>
    <mergeCell ref="T480:W480"/>
    <mergeCell ref="X480:Y480"/>
    <mergeCell ref="C477:E477"/>
    <mergeCell ref="F477:S477"/>
    <mergeCell ref="T477:W477"/>
    <mergeCell ref="X477:Y477"/>
    <mergeCell ref="C478:E478"/>
    <mergeCell ref="F478:S478"/>
    <mergeCell ref="T478:W478"/>
    <mergeCell ref="X478:Y478"/>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59:Y460"/>
    <mergeCell ref="C462:E462"/>
    <mergeCell ref="F462:S462"/>
    <mergeCell ref="T462:Y462"/>
    <mergeCell ref="C463:Y463"/>
    <mergeCell ref="C464:E464"/>
    <mergeCell ref="F464:S464"/>
    <mergeCell ref="T464:W464"/>
    <mergeCell ref="X464:Y464"/>
    <mergeCell ref="B461:AA461"/>
    <mergeCell ref="D452:Y452"/>
    <mergeCell ref="C453:Y454"/>
    <mergeCell ref="J456:K456"/>
    <mergeCell ref="T456:W456"/>
    <mergeCell ref="J457:K457"/>
    <mergeCell ref="T457:W457"/>
    <mergeCell ref="C443:Y443"/>
    <mergeCell ref="J444:K444"/>
    <mergeCell ref="T444:W444"/>
    <mergeCell ref="C447:Y448"/>
    <mergeCell ref="J449:K449"/>
    <mergeCell ref="T449:W449"/>
    <mergeCell ref="B455:AA455"/>
    <mergeCell ref="J429:K429"/>
    <mergeCell ref="T429:W429"/>
    <mergeCell ref="C432:Y434"/>
    <mergeCell ref="C435:Y436"/>
    <mergeCell ref="C439:Y439"/>
    <mergeCell ref="J440:K440"/>
    <mergeCell ref="T440:W440"/>
    <mergeCell ref="C416:Y418"/>
    <mergeCell ref="C419:Y420"/>
    <mergeCell ref="C423:Y423"/>
    <mergeCell ref="T424:W424"/>
    <mergeCell ref="X424:Y424"/>
    <mergeCell ref="C427:Y428"/>
    <mergeCell ref="C407:Y407"/>
    <mergeCell ref="T408:W408"/>
    <mergeCell ref="X408:Y408"/>
    <mergeCell ref="C411:Y412"/>
    <mergeCell ref="J413:K413"/>
    <mergeCell ref="T413:W413"/>
    <mergeCell ref="T398:W398"/>
    <mergeCell ref="X398:Y398"/>
    <mergeCell ref="T399:W399"/>
    <mergeCell ref="X399:Y399"/>
    <mergeCell ref="C402:Y403"/>
    <mergeCell ref="J404:K404"/>
    <mergeCell ref="T404:W404"/>
    <mergeCell ref="C390:Y392"/>
    <mergeCell ref="T393:W393"/>
    <mergeCell ref="X393:Y393"/>
    <mergeCell ref="T394:W394"/>
    <mergeCell ref="X394:Y394"/>
    <mergeCell ref="C397:Y397"/>
    <mergeCell ref="C380:Y381"/>
    <mergeCell ref="T382:W382"/>
    <mergeCell ref="X382:Y382"/>
    <mergeCell ref="C385:Y386"/>
    <mergeCell ref="T387:W387"/>
    <mergeCell ref="X387:Y387"/>
    <mergeCell ref="D371:S371"/>
    <mergeCell ref="T371:W371"/>
    <mergeCell ref="X371:Y371"/>
    <mergeCell ref="C375:Y375"/>
    <mergeCell ref="C376:G377"/>
    <mergeCell ref="J376:K376"/>
    <mergeCell ref="T376:W376"/>
    <mergeCell ref="J377:K377"/>
    <mergeCell ref="E369:S369"/>
    <mergeCell ref="T369:W369"/>
    <mergeCell ref="X369:Y369"/>
    <mergeCell ref="E370:S370"/>
    <mergeCell ref="T370:W370"/>
    <mergeCell ref="X370:Y370"/>
    <mergeCell ref="E367:S367"/>
    <mergeCell ref="T367:W367"/>
    <mergeCell ref="X367:Y367"/>
    <mergeCell ref="E368:S368"/>
    <mergeCell ref="T368:W368"/>
    <mergeCell ref="X368:Y368"/>
    <mergeCell ref="E365:S365"/>
    <mergeCell ref="T365:W365"/>
    <mergeCell ref="X365:Y365"/>
    <mergeCell ref="E366:S366"/>
    <mergeCell ref="T366:W366"/>
    <mergeCell ref="X366:Y366"/>
    <mergeCell ref="E363:S363"/>
    <mergeCell ref="T363:W363"/>
    <mergeCell ref="X363:Y363"/>
    <mergeCell ref="E364:S364"/>
    <mergeCell ref="T364:W364"/>
    <mergeCell ref="X364:Y364"/>
    <mergeCell ref="E361:S361"/>
    <mergeCell ref="T361:W361"/>
    <mergeCell ref="X361:Y361"/>
    <mergeCell ref="E362:S362"/>
    <mergeCell ref="T362:W362"/>
    <mergeCell ref="X362:Y362"/>
    <mergeCell ref="G352:H352"/>
    <mergeCell ref="C355:Y355"/>
    <mergeCell ref="T356:W356"/>
    <mergeCell ref="X356:Y356"/>
    <mergeCell ref="C359:Y359"/>
    <mergeCell ref="C360:S360"/>
    <mergeCell ref="T360:Y360"/>
    <mergeCell ref="T296:W296"/>
    <mergeCell ref="X296:Y296"/>
    <mergeCell ref="D300:Y300"/>
    <mergeCell ref="C302:Y302"/>
    <mergeCell ref="C303:Y304"/>
    <mergeCell ref="C305:Y351"/>
    <mergeCell ref="C242:Y287"/>
    <mergeCell ref="G288:H288"/>
    <mergeCell ref="C291:Y291"/>
    <mergeCell ref="T292:W292"/>
    <mergeCell ref="X292:Y292"/>
    <mergeCell ref="C295:Y295"/>
    <mergeCell ref="C233:Y233"/>
    <mergeCell ref="T234:W234"/>
    <mergeCell ref="X234:Y234"/>
    <mergeCell ref="D237:Y237"/>
    <mergeCell ref="C239:Y239"/>
    <mergeCell ref="C240:Y241"/>
    <mergeCell ref="C225:Y225"/>
    <mergeCell ref="J226:K226"/>
    <mergeCell ref="T226:W226"/>
    <mergeCell ref="C229:Y229"/>
    <mergeCell ref="T230:W230"/>
    <mergeCell ref="X230:Y230"/>
    <mergeCell ref="C216:Y216"/>
    <mergeCell ref="T217:W217"/>
    <mergeCell ref="C220:Y220"/>
    <mergeCell ref="T221:W221"/>
    <mergeCell ref="X221:Y221"/>
    <mergeCell ref="T222:W222"/>
    <mergeCell ref="X222:Y222"/>
    <mergeCell ref="J197:K197"/>
    <mergeCell ref="C198:Y200"/>
    <mergeCell ref="C203:Y204"/>
    <mergeCell ref="C205:Y207"/>
    <mergeCell ref="C210:Y210"/>
    <mergeCell ref="T213:W213"/>
    <mergeCell ref="X213:Y213"/>
    <mergeCell ref="C194:G196"/>
    <mergeCell ref="J194:K194"/>
    <mergeCell ref="T194:W194"/>
    <mergeCell ref="J195:K195"/>
    <mergeCell ref="T195:W195"/>
    <mergeCell ref="J196:K196"/>
    <mergeCell ref="G197:I197"/>
    <mergeCell ref="B211:Z212"/>
    <mergeCell ref="T139:W139"/>
    <mergeCell ref="X139:Y139"/>
    <mergeCell ref="C142:Y142"/>
    <mergeCell ref="C143:Y144"/>
    <mergeCell ref="C145:Y190"/>
    <mergeCell ref="C193:Y193"/>
    <mergeCell ref="C126:Y127"/>
    <mergeCell ref="C128:Y128"/>
    <mergeCell ref="C131:Y131"/>
    <mergeCell ref="T132:W132"/>
    <mergeCell ref="D135:Y135"/>
    <mergeCell ref="C137:Y138"/>
    <mergeCell ref="C120:Y120"/>
    <mergeCell ref="J121:K121"/>
    <mergeCell ref="T121:W121"/>
    <mergeCell ref="J122:K122"/>
    <mergeCell ref="T122:W122"/>
    <mergeCell ref="J123:K123"/>
    <mergeCell ref="C110:Y110"/>
    <mergeCell ref="T111:W111"/>
    <mergeCell ref="T112:W112"/>
    <mergeCell ref="T113:W113"/>
    <mergeCell ref="C116:Y116"/>
    <mergeCell ref="G117:Y117"/>
    <mergeCell ref="C53:Y53"/>
    <mergeCell ref="C54:Y102"/>
    <mergeCell ref="G103:H103"/>
    <mergeCell ref="T107:W107"/>
    <mergeCell ref="X107:Y107"/>
    <mergeCell ref="C34:Y34"/>
    <mergeCell ref="C35:Y38"/>
    <mergeCell ref="D41:Y41"/>
    <mergeCell ref="C44:Y44"/>
    <mergeCell ref="C47:Y47"/>
    <mergeCell ref="C50:Y50"/>
    <mergeCell ref="C105:Y105"/>
    <mergeCell ref="B106:AA106"/>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B1:Z3"/>
    <mergeCell ref="B4:Z14"/>
    <mergeCell ref="C17:Y20"/>
    <mergeCell ref="D23:Y23"/>
    <mergeCell ref="K26:L26"/>
    <mergeCell ref="F28:H28"/>
    <mergeCell ref="I28:K28"/>
    <mergeCell ref="L28:N28"/>
    <mergeCell ref="O28:T28"/>
  </mergeCells>
  <conditionalFormatting sqref="B198">
    <cfRule type="expression" dxfId="1"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60" fitToHeight="0" pageOrder="overThenDown" orientation="portrait" r:id="rId1"/>
  <headerFooter>
    <oddHeader>&amp;C&amp;A</oddHeader>
    <oddFooter>&amp;CPage &amp;P</oddFooter>
  </headerFooter>
  <rowBreaks count="18" manualBreakCount="18">
    <brk id="52" max="28" man="1"/>
    <brk id="104" max="27" man="1"/>
    <brk id="141" max="28" man="1"/>
    <brk id="192" max="27" man="1"/>
    <brk id="236" max="28" man="1"/>
    <brk id="299" max="27" man="1"/>
    <brk id="358" max="27" man="1"/>
    <brk id="374" max="27" man="1"/>
    <brk id="431" max="27" man="1"/>
    <brk id="493" max="27" man="1"/>
    <brk id="528" max="27" man="1"/>
    <brk id="602" max="27" man="1"/>
    <brk id="657" max="27" man="1"/>
    <brk id="705" max="27" man="1"/>
    <brk id="741" max="16383" man="1"/>
    <brk id="785" max="27" man="1"/>
    <brk id="799" max="27" man="1"/>
    <brk id="824" max="2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000"/>
    <pageSetUpPr fitToPage="1"/>
  </sheetPr>
  <dimension ref="A1:AB900"/>
  <sheetViews>
    <sheetView showGridLines="0" showRowColHeaders="0" view="pageBreakPreview" zoomScale="70" zoomScaleNormal="100" zoomScaleSheetLayoutView="70" workbookViewId="0">
      <selection activeCell="B1" sqref="B1:Z3"/>
    </sheetView>
  </sheetViews>
  <sheetFormatPr baseColWidth="10" defaultColWidth="11" defaultRowHeight="18" customHeight="1" x14ac:dyDescent="0.2"/>
  <cols>
    <col min="1" max="4" width="7.5" style="339" customWidth="1"/>
    <col min="5" max="5" width="6.75" style="339" customWidth="1"/>
    <col min="6" max="6" width="7" style="339" customWidth="1"/>
    <col min="7" max="13" width="7.5" style="339" customWidth="1"/>
    <col min="14" max="15" width="4.25" style="339" customWidth="1"/>
    <col min="16" max="16" width="4.5" style="338" customWidth="1"/>
    <col min="17" max="25" width="4.25" style="339" customWidth="1"/>
    <col min="26" max="26" width="4.5" style="339" customWidth="1"/>
    <col min="27" max="28" width="4.375" style="339" customWidth="1"/>
    <col min="29" max="16384" width="11" style="339"/>
  </cols>
  <sheetData>
    <row r="1" spans="1:28" ht="18" customHeight="1" x14ac:dyDescent="0.2">
      <c r="A1" s="333"/>
      <c r="B1" s="707" t="s">
        <v>386</v>
      </c>
      <c r="C1" s="707"/>
      <c r="D1" s="707"/>
      <c r="E1" s="707"/>
      <c r="F1" s="707"/>
      <c r="G1" s="707"/>
      <c r="H1" s="707"/>
      <c r="I1" s="707"/>
      <c r="J1" s="707"/>
      <c r="K1" s="707"/>
      <c r="L1" s="707"/>
      <c r="M1" s="707"/>
      <c r="N1" s="707"/>
      <c r="O1" s="707"/>
      <c r="P1" s="707"/>
      <c r="Q1" s="707"/>
      <c r="R1" s="707"/>
      <c r="S1" s="707"/>
      <c r="T1" s="707"/>
      <c r="U1" s="707"/>
      <c r="V1" s="707"/>
      <c r="W1" s="707"/>
      <c r="X1" s="707"/>
      <c r="Y1" s="707"/>
      <c r="Z1" s="707"/>
      <c r="AA1" s="334"/>
      <c r="AB1" s="334"/>
    </row>
    <row r="2" spans="1:28" ht="18" customHeight="1" x14ac:dyDescent="0.2">
      <c r="A2" s="333"/>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334"/>
      <c r="AB2" s="334"/>
    </row>
    <row r="3" spans="1:28" ht="18" customHeight="1" x14ac:dyDescent="0.2">
      <c r="A3" s="333"/>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334"/>
      <c r="AB3" s="334"/>
    </row>
    <row r="4" spans="1:28" ht="18" customHeight="1" x14ac:dyDescent="0.2">
      <c r="A4" s="333"/>
      <c r="B4" s="706" t="s">
        <v>502</v>
      </c>
      <c r="C4" s="706"/>
      <c r="D4" s="706"/>
      <c r="E4" s="706"/>
      <c r="F4" s="706"/>
      <c r="G4" s="706"/>
      <c r="H4" s="706"/>
      <c r="I4" s="706"/>
      <c r="J4" s="706"/>
      <c r="K4" s="706"/>
      <c r="L4" s="706"/>
      <c r="M4" s="706"/>
      <c r="N4" s="706"/>
      <c r="O4" s="706"/>
      <c r="P4" s="706"/>
      <c r="Q4" s="706"/>
      <c r="R4" s="706"/>
      <c r="S4" s="706"/>
      <c r="T4" s="706"/>
      <c r="U4" s="706"/>
      <c r="V4" s="706"/>
      <c r="W4" s="706"/>
      <c r="X4" s="706"/>
      <c r="Y4" s="706"/>
      <c r="Z4" s="706"/>
      <c r="AA4" s="335"/>
      <c r="AB4" s="335"/>
    </row>
    <row r="5" spans="1:28" ht="18" customHeight="1" x14ac:dyDescent="0.2">
      <c r="A5" s="333"/>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335"/>
      <c r="AB5" s="335"/>
    </row>
    <row r="6" spans="1:28" ht="18" customHeight="1" x14ac:dyDescent="0.2">
      <c r="A6" s="333"/>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335"/>
      <c r="AB6" s="335"/>
    </row>
    <row r="7" spans="1:28" ht="18" customHeight="1" x14ac:dyDescent="0.2">
      <c r="A7" s="333"/>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335"/>
      <c r="AB7" s="335"/>
    </row>
    <row r="8" spans="1:28" ht="18" customHeight="1" x14ac:dyDescent="0.2">
      <c r="A8" s="333"/>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335"/>
      <c r="AB8" s="335"/>
    </row>
    <row r="9" spans="1:28" ht="18" customHeight="1" x14ac:dyDescent="0.2">
      <c r="A9" s="333"/>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335"/>
      <c r="AB9" s="335"/>
    </row>
    <row r="10" spans="1:28" ht="18" customHeight="1" x14ac:dyDescent="0.2">
      <c r="A10" s="333"/>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335"/>
      <c r="AB10" s="335"/>
    </row>
    <row r="11" spans="1:28" ht="18" customHeight="1" x14ac:dyDescent="0.2">
      <c r="A11" s="333"/>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335"/>
      <c r="AB11" s="335"/>
    </row>
    <row r="12" spans="1:28" ht="18" customHeight="1" x14ac:dyDescent="0.2">
      <c r="A12" s="333"/>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335"/>
      <c r="AB12" s="335"/>
    </row>
    <row r="13" spans="1:28" ht="18" customHeight="1" x14ac:dyDescent="0.2">
      <c r="A13" s="333"/>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335"/>
      <c r="AB13" s="335"/>
    </row>
    <row r="14" spans="1:28" ht="18" customHeight="1" x14ac:dyDescent="0.2">
      <c r="A14" s="333"/>
      <c r="B14" s="706"/>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335"/>
      <c r="AB14" s="335"/>
    </row>
    <row r="15" spans="1:28" ht="18" customHeight="1" x14ac:dyDescent="0.2">
      <c r="A15" s="333"/>
      <c r="B15" s="336" t="s">
        <v>1527</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2">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2">
      <c r="A17" s="333"/>
      <c r="B17" s="333"/>
      <c r="C17" s="708" t="s">
        <v>549</v>
      </c>
      <c r="D17" s="709"/>
      <c r="E17" s="709"/>
      <c r="F17" s="709"/>
      <c r="G17" s="709"/>
      <c r="H17" s="709"/>
      <c r="I17" s="709"/>
      <c r="J17" s="709"/>
      <c r="K17" s="709"/>
      <c r="L17" s="709"/>
      <c r="M17" s="709"/>
      <c r="N17" s="709"/>
      <c r="O17" s="709"/>
      <c r="P17" s="709"/>
      <c r="Q17" s="709"/>
      <c r="R17" s="709"/>
      <c r="S17" s="709"/>
      <c r="T17" s="709"/>
      <c r="U17" s="709"/>
      <c r="V17" s="709"/>
      <c r="W17" s="709"/>
      <c r="X17" s="709"/>
      <c r="Y17" s="710"/>
      <c r="Z17" s="333"/>
      <c r="AA17" s="333"/>
      <c r="AB17" s="333"/>
    </row>
    <row r="18" spans="1:28" ht="18" customHeight="1" x14ac:dyDescent="0.2">
      <c r="A18" s="333"/>
      <c r="B18" s="333"/>
      <c r="C18" s="711"/>
      <c r="D18" s="712"/>
      <c r="E18" s="712"/>
      <c r="F18" s="712"/>
      <c r="G18" s="712"/>
      <c r="H18" s="712"/>
      <c r="I18" s="712"/>
      <c r="J18" s="712"/>
      <c r="K18" s="712"/>
      <c r="L18" s="712"/>
      <c r="M18" s="712"/>
      <c r="N18" s="712"/>
      <c r="O18" s="712"/>
      <c r="P18" s="712"/>
      <c r="Q18" s="712"/>
      <c r="R18" s="712"/>
      <c r="S18" s="712"/>
      <c r="T18" s="712"/>
      <c r="U18" s="712"/>
      <c r="V18" s="712"/>
      <c r="W18" s="712"/>
      <c r="X18" s="712"/>
      <c r="Y18" s="713"/>
      <c r="Z18" s="333"/>
      <c r="AA18" s="333"/>
      <c r="AB18" s="333"/>
    </row>
    <row r="19" spans="1:28" ht="18" customHeight="1" x14ac:dyDescent="0.2">
      <c r="A19" s="333"/>
      <c r="B19" s="333"/>
      <c r="C19" s="711"/>
      <c r="D19" s="712"/>
      <c r="E19" s="712"/>
      <c r="F19" s="712"/>
      <c r="G19" s="712"/>
      <c r="H19" s="712"/>
      <c r="I19" s="712"/>
      <c r="J19" s="712"/>
      <c r="K19" s="712"/>
      <c r="L19" s="712"/>
      <c r="M19" s="712"/>
      <c r="N19" s="712"/>
      <c r="O19" s="712"/>
      <c r="P19" s="712"/>
      <c r="Q19" s="712"/>
      <c r="R19" s="712"/>
      <c r="S19" s="712"/>
      <c r="T19" s="712"/>
      <c r="U19" s="712"/>
      <c r="V19" s="712"/>
      <c r="W19" s="712"/>
      <c r="X19" s="712"/>
      <c r="Y19" s="713"/>
      <c r="Z19" s="333"/>
      <c r="AA19" s="333"/>
      <c r="AB19" s="333"/>
    </row>
    <row r="20" spans="1:28" ht="18" customHeight="1" x14ac:dyDescent="0.2">
      <c r="A20" s="333"/>
      <c r="B20" s="333"/>
      <c r="C20" s="714"/>
      <c r="D20" s="715"/>
      <c r="E20" s="715"/>
      <c r="F20" s="715"/>
      <c r="G20" s="715"/>
      <c r="H20" s="715"/>
      <c r="I20" s="715"/>
      <c r="J20" s="715"/>
      <c r="K20" s="715"/>
      <c r="L20" s="715"/>
      <c r="M20" s="715"/>
      <c r="N20" s="715"/>
      <c r="O20" s="715"/>
      <c r="P20" s="715"/>
      <c r="Q20" s="715"/>
      <c r="R20" s="715"/>
      <c r="S20" s="715"/>
      <c r="T20" s="715"/>
      <c r="U20" s="715"/>
      <c r="V20" s="715"/>
      <c r="W20" s="715"/>
      <c r="X20" s="715"/>
      <c r="Y20" s="716"/>
      <c r="Z20" s="333"/>
      <c r="AA20" s="333"/>
      <c r="AB20" s="333"/>
    </row>
    <row r="21" spans="1:28" ht="18" customHeight="1" x14ac:dyDescent="0.2">
      <c r="A21" s="337"/>
      <c r="B21" s="337"/>
      <c r="C21" s="337"/>
      <c r="D21" s="337"/>
      <c r="E21" s="337"/>
      <c r="F21" s="337"/>
      <c r="G21" s="337"/>
      <c r="H21" s="337"/>
      <c r="I21" s="337"/>
      <c r="J21" s="337"/>
      <c r="K21" s="337"/>
      <c r="L21" s="337"/>
      <c r="M21" s="337"/>
      <c r="N21" s="337"/>
      <c r="O21" s="337"/>
    </row>
    <row r="22" spans="1:28" ht="18" customHeight="1" x14ac:dyDescent="0.2">
      <c r="A22" s="337"/>
      <c r="B22" s="337"/>
      <c r="C22" s="337"/>
      <c r="D22" s="337"/>
      <c r="E22" s="337"/>
      <c r="F22" s="337"/>
      <c r="G22" s="337"/>
      <c r="H22" s="337"/>
      <c r="I22" s="337"/>
      <c r="J22" s="337"/>
      <c r="K22" s="337"/>
      <c r="L22" s="337"/>
      <c r="M22" s="337"/>
      <c r="N22" s="337"/>
      <c r="O22" s="337"/>
    </row>
    <row r="23" spans="1:28" s="342" customFormat="1" ht="36" customHeight="1" x14ac:dyDescent="0.2">
      <c r="A23" s="340"/>
      <c r="B23" s="340"/>
      <c r="C23" s="341">
        <v>1</v>
      </c>
      <c r="D23" s="695" t="s">
        <v>381</v>
      </c>
      <c r="E23" s="696"/>
      <c r="F23" s="696"/>
      <c r="G23" s="696"/>
      <c r="H23" s="696"/>
      <c r="I23" s="696"/>
      <c r="J23" s="696"/>
      <c r="K23" s="696"/>
      <c r="L23" s="696"/>
      <c r="M23" s="696"/>
      <c r="N23" s="696"/>
      <c r="O23" s="696"/>
      <c r="P23" s="696"/>
      <c r="Q23" s="696"/>
      <c r="R23" s="696"/>
      <c r="S23" s="696"/>
      <c r="T23" s="696"/>
      <c r="U23" s="696"/>
      <c r="V23" s="696"/>
      <c r="W23" s="696"/>
      <c r="X23" s="696"/>
      <c r="Y23" s="697"/>
    </row>
    <row r="24" spans="1:28" ht="18" customHeight="1" x14ac:dyDescent="0.2">
      <c r="A24" s="337"/>
      <c r="B24" s="337"/>
      <c r="C24" s="337"/>
      <c r="D24" s="337"/>
      <c r="E24" s="337"/>
      <c r="F24" s="337"/>
      <c r="G24" s="337"/>
      <c r="H24" s="337"/>
      <c r="I24" s="337"/>
      <c r="J24" s="337"/>
      <c r="K24" s="337"/>
      <c r="L24" s="337"/>
      <c r="M24" s="337"/>
      <c r="N24" s="337"/>
      <c r="O24" s="337"/>
    </row>
    <row r="25" spans="1:28" ht="18" customHeight="1" x14ac:dyDescent="0.2">
      <c r="A25" s="337"/>
      <c r="B25" s="337"/>
      <c r="C25" s="337"/>
      <c r="D25" s="337"/>
      <c r="E25" s="337"/>
      <c r="F25" s="337"/>
      <c r="G25" s="337"/>
      <c r="H25" s="337"/>
      <c r="I25" s="337"/>
      <c r="J25" s="337"/>
      <c r="K25" s="337"/>
      <c r="L25" s="337"/>
      <c r="M25" s="337"/>
      <c r="N25" s="337"/>
      <c r="O25" s="337"/>
    </row>
    <row r="26" spans="1:28" ht="18" customHeight="1" x14ac:dyDescent="0.2">
      <c r="A26" s="337"/>
      <c r="B26" s="337"/>
      <c r="C26" s="340"/>
      <c r="D26" s="340"/>
      <c r="E26" s="340"/>
      <c r="F26" s="340"/>
      <c r="G26" s="340"/>
      <c r="H26" s="340"/>
      <c r="I26" s="340"/>
      <c r="J26" s="343" t="s">
        <v>266</v>
      </c>
      <c r="K26" s="717"/>
      <c r="L26" s="717"/>
      <c r="M26" s="340"/>
      <c r="N26" s="337"/>
      <c r="O26" s="337"/>
    </row>
    <row r="27" spans="1:28" ht="18" customHeight="1" x14ac:dyDescent="0.2">
      <c r="A27" s="337"/>
      <c r="B27" s="337"/>
      <c r="C27" s="344" t="s">
        <v>230</v>
      </c>
      <c r="D27" s="340"/>
      <c r="E27" s="340"/>
      <c r="F27" s="340"/>
      <c r="G27" s="340"/>
      <c r="H27" s="340"/>
      <c r="I27" s="340"/>
      <c r="J27" s="340"/>
      <c r="K27" s="345"/>
      <c r="L27" s="340"/>
      <c r="M27" s="340"/>
      <c r="N27" s="337"/>
      <c r="O27" s="337"/>
    </row>
    <row r="28" spans="1:28" ht="18" customHeight="1" x14ac:dyDescent="0.2">
      <c r="A28" s="337"/>
      <c r="B28" s="337"/>
      <c r="C28" s="337"/>
      <c r="D28" s="337"/>
      <c r="E28" s="337"/>
      <c r="F28" s="640" t="s">
        <v>0</v>
      </c>
      <c r="G28" s="640"/>
      <c r="H28" s="640"/>
      <c r="I28" s="640" t="s">
        <v>1</v>
      </c>
      <c r="J28" s="640"/>
      <c r="K28" s="640"/>
      <c r="L28" s="640" t="s">
        <v>2</v>
      </c>
      <c r="M28" s="640"/>
      <c r="N28" s="640"/>
      <c r="O28" s="640" t="s">
        <v>3</v>
      </c>
      <c r="P28" s="640"/>
      <c r="Q28" s="640"/>
      <c r="R28" s="640"/>
      <c r="S28" s="640"/>
      <c r="T28" s="640"/>
    </row>
    <row r="29" spans="1:28" ht="18" customHeight="1" x14ac:dyDescent="0.2">
      <c r="A29" s="337"/>
      <c r="B29" s="337"/>
      <c r="C29" s="337"/>
      <c r="D29" s="337"/>
      <c r="E29" s="337"/>
      <c r="F29" s="638"/>
      <c r="G29" s="638"/>
      <c r="H29" s="638"/>
      <c r="I29" s="638"/>
      <c r="J29" s="638"/>
      <c r="K29" s="638"/>
      <c r="L29" s="638"/>
      <c r="M29" s="638"/>
      <c r="N29" s="638"/>
      <c r="O29" s="638"/>
      <c r="P29" s="638"/>
      <c r="Q29" s="638"/>
      <c r="R29" s="638"/>
      <c r="S29" s="638"/>
      <c r="T29" s="638"/>
    </row>
    <row r="30" spans="1:28" ht="18" customHeight="1" x14ac:dyDescent="0.2">
      <c r="A30" s="337"/>
      <c r="B30" s="337"/>
      <c r="C30" s="337"/>
      <c r="D30" s="337"/>
      <c r="E30" s="337"/>
      <c r="F30" s="638"/>
      <c r="G30" s="638"/>
      <c r="H30" s="638"/>
      <c r="I30" s="638"/>
      <c r="J30" s="638"/>
      <c r="K30" s="638"/>
      <c r="L30" s="638"/>
      <c r="M30" s="638"/>
      <c r="N30" s="638"/>
      <c r="O30" s="638"/>
      <c r="P30" s="638"/>
      <c r="Q30" s="638"/>
      <c r="R30" s="638"/>
      <c r="S30" s="638"/>
      <c r="T30" s="638"/>
    </row>
    <row r="31" spans="1:28" ht="18" customHeight="1" x14ac:dyDescent="0.2">
      <c r="A31" s="337"/>
      <c r="B31" s="337"/>
      <c r="C31" s="337"/>
      <c r="D31" s="337"/>
      <c r="E31" s="337"/>
      <c r="F31" s="638"/>
      <c r="G31" s="638"/>
      <c r="H31" s="638"/>
      <c r="I31" s="638"/>
      <c r="J31" s="638"/>
      <c r="K31" s="638"/>
      <c r="L31" s="638"/>
      <c r="M31" s="638"/>
      <c r="N31" s="638"/>
      <c r="O31" s="638"/>
      <c r="P31" s="638"/>
      <c r="Q31" s="638"/>
      <c r="R31" s="638"/>
      <c r="S31" s="638"/>
      <c r="T31" s="638"/>
    </row>
    <row r="32" spans="1:28" ht="18" customHeight="1" x14ac:dyDescent="0.2">
      <c r="A32" s="337"/>
      <c r="B32" s="337"/>
      <c r="C32" s="337"/>
      <c r="D32" s="337"/>
      <c r="E32" s="337"/>
      <c r="F32" s="638"/>
      <c r="G32" s="638"/>
      <c r="H32" s="638"/>
      <c r="I32" s="638"/>
      <c r="J32" s="638"/>
      <c r="K32" s="638"/>
      <c r="L32" s="638"/>
      <c r="M32" s="638"/>
      <c r="N32" s="638"/>
      <c r="O32" s="638"/>
      <c r="P32" s="638"/>
      <c r="Q32" s="638"/>
      <c r="R32" s="638"/>
      <c r="S32" s="638"/>
      <c r="T32" s="638"/>
    </row>
    <row r="33" spans="1:25" ht="18" customHeight="1" x14ac:dyDescent="0.2">
      <c r="C33" s="31"/>
      <c r="D33" s="31"/>
      <c r="E33" s="31"/>
      <c r="F33" s="345"/>
      <c r="G33" s="31"/>
      <c r="H33" s="31"/>
    </row>
    <row r="34" spans="1:25" ht="18" customHeight="1" x14ac:dyDescent="0.2">
      <c r="C34" s="685" t="s">
        <v>277</v>
      </c>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1:25" ht="18" customHeight="1" x14ac:dyDescent="0.2">
      <c r="C35" s="792"/>
      <c r="D35" s="792"/>
      <c r="E35" s="792"/>
      <c r="F35" s="792"/>
      <c r="G35" s="792"/>
      <c r="H35" s="792"/>
      <c r="I35" s="792"/>
      <c r="J35" s="792"/>
      <c r="K35" s="792"/>
      <c r="L35" s="792"/>
      <c r="M35" s="792"/>
      <c r="N35" s="792"/>
      <c r="O35" s="792"/>
      <c r="P35" s="792"/>
      <c r="Q35" s="792"/>
      <c r="R35" s="792"/>
      <c r="S35" s="792"/>
      <c r="T35" s="792"/>
      <c r="U35" s="792"/>
      <c r="V35" s="792"/>
      <c r="W35" s="792"/>
      <c r="X35" s="792"/>
      <c r="Y35" s="792"/>
    </row>
    <row r="36" spans="1:25" ht="18" customHeight="1" x14ac:dyDescent="0.2">
      <c r="C36" s="792"/>
      <c r="D36" s="792"/>
      <c r="E36" s="792"/>
      <c r="F36" s="792"/>
      <c r="G36" s="792"/>
      <c r="H36" s="792"/>
      <c r="I36" s="792"/>
      <c r="J36" s="792"/>
      <c r="K36" s="792"/>
      <c r="L36" s="792"/>
      <c r="M36" s="792"/>
      <c r="N36" s="792"/>
      <c r="O36" s="792"/>
      <c r="P36" s="792"/>
      <c r="Q36" s="792"/>
      <c r="R36" s="792"/>
      <c r="S36" s="792"/>
      <c r="T36" s="792"/>
      <c r="U36" s="792"/>
      <c r="V36" s="792"/>
      <c r="W36" s="792"/>
      <c r="X36" s="792"/>
      <c r="Y36" s="792"/>
    </row>
    <row r="37" spans="1:25" ht="18" customHeight="1" x14ac:dyDescent="0.2">
      <c r="C37" s="792"/>
      <c r="D37" s="792"/>
      <c r="E37" s="792"/>
      <c r="F37" s="792"/>
      <c r="G37" s="792"/>
      <c r="H37" s="792"/>
      <c r="I37" s="792"/>
      <c r="J37" s="792"/>
      <c r="K37" s="792"/>
      <c r="L37" s="792"/>
      <c r="M37" s="792"/>
      <c r="N37" s="792"/>
      <c r="O37" s="792"/>
      <c r="P37" s="792"/>
      <c r="Q37" s="792"/>
      <c r="R37" s="792"/>
      <c r="S37" s="792"/>
      <c r="T37" s="792"/>
      <c r="U37" s="792"/>
      <c r="V37" s="792"/>
      <c r="W37" s="792"/>
      <c r="X37" s="792"/>
      <c r="Y37" s="792"/>
    </row>
    <row r="38" spans="1:25" ht="18" customHeight="1" x14ac:dyDescent="0.2">
      <c r="C38" s="792"/>
      <c r="D38" s="792"/>
      <c r="E38" s="792"/>
      <c r="F38" s="792"/>
      <c r="G38" s="792"/>
      <c r="H38" s="792"/>
      <c r="I38" s="792"/>
      <c r="J38" s="792"/>
      <c r="K38" s="792"/>
      <c r="L38" s="792"/>
      <c r="M38" s="792"/>
      <c r="N38" s="792"/>
      <c r="O38" s="792"/>
      <c r="P38" s="792"/>
      <c r="Q38" s="792"/>
      <c r="R38" s="792"/>
      <c r="S38" s="792"/>
      <c r="T38" s="792"/>
      <c r="U38" s="792"/>
      <c r="V38" s="792"/>
      <c r="W38" s="792"/>
      <c r="X38" s="792"/>
      <c r="Y38" s="792"/>
    </row>
    <row r="39" spans="1:25" ht="18" customHeight="1" x14ac:dyDescent="0.2">
      <c r="C39" s="31"/>
      <c r="D39" s="31"/>
      <c r="E39" s="31"/>
      <c r="F39" s="345"/>
      <c r="G39" s="31"/>
      <c r="H39" s="31"/>
    </row>
    <row r="40" spans="1:25" ht="18" customHeight="1" x14ac:dyDescent="0.2">
      <c r="C40" s="31"/>
      <c r="D40" s="31"/>
      <c r="E40" s="31"/>
      <c r="F40" s="345"/>
      <c r="G40" s="31"/>
      <c r="H40" s="31"/>
    </row>
    <row r="41" spans="1:25" ht="36" customHeight="1" x14ac:dyDescent="0.2">
      <c r="A41" s="337"/>
      <c r="B41" s="337"/>
      <c r="C41" s="341" t="s">
        <v>382</v>
      </c>
      <c r="D41" s="695" t="s">
        <v>383</v>
      </c>
      <c r="E41" s="696"/>
      <c r="F41" s="696"/>
      <c r="G41" s="696"/>
      <c r="H41" s="696"/>
      <c r="I41" s="696"/>
      <c r="J41" s="696"/>
      <c r="K41" s="696"/>
      <c r="L41" s="696"/>
      <c r="M41" s="696"/>
      <c r="N41" s="696"/>
      <c r="O41" s="696"/>
      <c r="P41" s="696"/>
      <c r="Q41" s="696"/>
      <c r="R41" s="696"/>
      <c r="S41" s="696"/>
      <c r="T41" s="696"/>
      <c r="U41" s="696"/>
      <c r="V41" s="696"/>
      <c r="W41" s="696"/>
      <c r="X41" s="696"/>
      <c r="Y41" s="697"/>
    </row>
    <row r="42" spans="1:25" s="347" customFormat="1" ht="18" customHeight="1" x14ac:dyDescent="0.2">
      <c r="A42" s="346"/>
      <c r="B42" s="346"/>
      <c r="C42" s="517"/>
      <c r="D42" s="517"/>
      <c r="E42" s="517"/>
      <c r="F42" s="517"/>
      <c r="G42" s="517"/>
      <c r="H42" s="517"/>
      <c r="I42" s="517"/>
      <c r="J42" s="517"/>
      <c r="K42" s="517"/>
      <c r="L42" s="517"/>
      <c r="M42" s="517"/>
      <c r="N42" s="517"/>
      <c r="O42" s="517"/>
      <c r="P42" s="517"/>
      <c r="Q42" s="517"/>
      <c r="R42" s="517"/>
      <c r="S42" s="517"/>
      <c r="T42" s="517"/>
      <c r="U42" s="517"/>
      <c r="V42" s="517"/>
      <c r="W42" s="517"/>
      <c r="X42" s="517"/>
      <c r="Y42" s="517"/>
    </row>
    <row r="43" spans="1:25" ht="18" customHeight="1" x14ac:dyDescent="0.2">
      <c r="A43" s="337"/>
      <c r="B43" s="337"/>
      <c r="C43" s="348" t="s">
        <v>278</v>
      </c>
      <c r="D43" s="348"/>
      <c r="E43" s="348"/>
      <c r="F43" s="349"/>
      <c r="G43" s="349"/>
      <c r="H43" s="349"/>
      <c r="I43" s="349"/>
      <c r="J43" s="349"/>
      <c r="K43" s="349"/>
      <c r="L43" s="349"/>
      <c r="M43" s="349"/>
      <c r="N43" s="349"/>
      <c r="O43" s="349"/>
      <c r="P43" s="349"/>
      <c r="Q43" s="349"/>
      <c r="R43" s="349"/>
      <c r="S43" s="349"/>
      <c r="T43" s="349"/>
      <c r="U43" s="349"/>
      <c r="V43" s="349"/>
      <c r="W43" s="349"/>
      <c r="X43" s="349"/>
      <c r="Y43" s="349"/>
    </row>
    <row r="44" spans="1:25" ht="18" customHeight="1" x14ac:dyDescent="0.2">
      <c r="C44" s="536"/>
      <c r="D44" s="537"/>
      <c r="E44" s="537"/>
      <c r="F44" s="537"/>
      <c r="G44" s="537"/>
      <c r="H44" s="537"/>
      <c r="I44" s="537"/>
      <c r="J44" s="537"/>
      <c r="K44" s="537"/>
      <c r="L44" s="537"/>
      <c r="M44" s="537"/>
      <c r="N44" s="537"/>
      <c r="O44" s="537"/>
      <c r="P44" s="537"/>
      <c r="Q44" s="537"/>
      <c r="R44" s="537"/>
      <c r="S44" s="537"/>
      <c r="T44" s="537"/>
      <c r="U44" s="537"/>
      <c r="V44" s="537"/>
      <c r="W44" s="537"/>
      <c r="X44" s="537"/>
      <c r="Y44" s="538"/>
    </row>
    <row r="45" spans="1:25" ht="18" customHeight="1" x14ac:dyDescent="0.2">
      <c r="C45" s="345"/>
      <c r="P45" s="339"/>
    </row>
    <row r="46" spans="1:25" ht="18" customHeight="1" x14ac:dyDescent="0.2">
      <c r="A46" s="337"/>
      <c r="B46" s="337"/>
      <c r="C46" s="344" t="s">
        <v>279</v>
      </c>
      <c r="D46" s="340"/>
      <c r="E46" s="349"/>
      <c r="F46" s="349"/>
      <c r="G46" s="349"/>
      <c r="H46" s="349"/>
      <c r="I46" s="349"/>
      <c r="J46" s="349"/>
      <c r="K46" s="349"/>
      <c r="L46" s="349"/>
      <c r="M46" s="349"/>
      <c r="N46" s="349"/>
      <c r="O46" s="349"/>
      <c r="P46" s="349"/>
      <c r="Q46" s="349"/>
      <c r="R46" s="349"/>
      <c r="S46" s="349"/>
      <c r="T46" s="349"/>
      <c r="U46" s="349"/>
      <c r="V46" s="349"/>
      <c r="W46" s="349"/>
      <c r="X46" s="349"/>
      <c r="Y46" s="349"/>
    </row>
    <row r="47" spans="1:25" ht="18" customHeight="1" x14ac:dyDescent="0.2">
      <c r="C47" s="536"/>
      <c r="D47" s="537"/>
      <c r="E47" s="537"/>
      <c r="F47" s="537"/>
      <c r="G47" s="537"/>
      <c r="H47" s="537"/>
      <c r="I47" s="537"/>
      <c r="J47" s="537"/>
      <c r="K47" s="537"/>
      <c r="L47" s="537"/>
      <c r="M47" s="537"/>
      <c r="N47" s="537"/>
      <c r="O47" s="537"/>
      <c r="P47" s="537"/>
      <c r="Q47" s="537"/>
      <c r="R47" s="537"/>
      <c r="S47" s="537"/>
      <c r="T47" s="537"/>
      <c r="U47" s="537"/>
      <c r="V47" s="537"/>
      <c r="W47" s="537"/>
      <c r="X47" s="537"/>
      <c r="Y47" s="538"/>
    </row>
    <row r="48" spans="1:25" ht="18" customHeight="1" x14ac:dyDescent="0.2">
      <c r="C48" s="345"/>
      <c r="P48" s="339"/>
    </row>
    <row r="49" spans="1:25" ht="18" customHeight="1" x14ac:dyDescent="0.2">
      <c r="A49" s="337"/>
      <c r="B49" s="337"/>
      <c r="C49" s="344" t="s">
        <v>280</v>
      </c>
      <c r="D49" s="340"/>
      <c r="E49" s="349"/>
      <c r="F49" s="349"/>
      <c r="G49" s="349"/>
      <c r="H49" s="349"/>
      <c r="I49" s="349"/>
      <c r="J49" s="349"/>
      <c r="K49" s="349"/>
      <c r="L49" s="349"/>
      <c r="M49" s="349"/>
      <c r="N49" s="349"/>
      <c r="O49" s="349"/>
      <c r="P49" s="349"/>
      <c r="Q49" s="349"/>
      <c r="R49" s="349"/>
      <c r="S49" s="349"/>
      <c r="T49" s="349"/>
      <c r="U49" s="349"/>
      <c r="V49" s="349"/>
      <c r="W49" s="349"/>
      <c r="X49" s="349"/>
      <c r="Y49" s="349"/>
    </row>
    <row r="50" spans="1:25" ht="18" customHeight="1" x14ac:dyDescent="0.2">
      <c r="A50" s="337"/>
      <c r="B50" s="337"/>
      <c r="C50" s="536"/>
      <c r="D50" s="537"/>
      <c r="E50" s="537"/>
      <c r="F50" s="537"/>
      <c r="G50" s="537"/>
      <c r="H50" s="537"/>
      <c r="I50" s="537"/>
      <c r="J50" s="537"/>
      <c r="K50" s="537"/>
      <c r="L50" s="537"/>
      <c r="M50" s="537"/>
      <c r="N50" s="537"/>
      <c r="O50" s="537"/>
      <c r="P50" s="537"/>
      <c r="Q50" s="537"/>
      <c r="R50" s="537"/>
      <c r="S50" s="537"/>
      <c r="T50" s="537"/>
      <c r="U50" s="537"/>
      <c r="V50" s="537"/>
      <c r="W50" s="537"/>
      <c r="X50" s="537"/>
      <c r="Y50" s="538"/>
    </row>
    <row r="51" spans="1:25" ht="18" customHeight="1" x14ac:dyDescent="0.2">
      <c r="A51" s="337"/>
      <c r="B51" s="337"/>
      <c r="C51" s="345"/>
      <c r="D51" s="337"/>
      <c r="E51" s="337"/>
      <c r="F51" s="337"/>
      <c r="G51" s="337"/>
      <c r="H51" s="337"/>
      <c r="I51" s="337"/>
      <c r="J51" s="337"/>
      <c r="K51" s="337"/>
      <c r="L51" s="337"/>
      <c r="M51" s="337"/>
      <c r="N51" s="337"/>
      <c r="O51" s="337"/>
    </row>
    <row r="52" spans="1:25" ht="18" customHeight="1" x14ac:dyDescent="0.2">
      <c r="A52" s="337"/>
      <c r="B52" s="337"/>
      <c r="C52" s="345"/>
      <c r="D52" s="337"/>
      <c r="E52" s="337"/>
      <c r="F52" s="337"/>
      <c r="G52" s="337"/>
      <c r="H52" s="337"/>
      <c r="I52" s="337"/>
      <c r="J52" s="337"/>
      <c r="K52" s="337"/>
      <c r="L52" s="337"/>
      <c r="M52" s="337"/>
      <c r="N52" s="337"/>
      <c r="O52" s="337"/>
    </row>
    <row r="53" spans="1:25" ht="18" customHeight="1" x14ac:dyDescent="0.2">
      <c r="A53" s="337"/>
      <c r="B53" s="337"/>
      <c r="C53" s="791" t="s">
        <v>231</v>
      </c>
      <c r="D53" s="791"/>
      <c r="E53" s="791"/>
      <c r="F53" s="791"/>
      <c r="G53" s="791"/>
      <c r="H53" s="791"/>
      <c r="I53" s="791"/>
      <c r="J53" s="791"/>
      <c r="K53" s="791"/>
      <c r="L53" s="791"/>
      <c r="M53" s="791"/>
      <c r="N53" s="791"/>
      <c r="O53" s="791"/>
      <c r="P53" s="791"/>
      <c r="Q53" s="791"/>
      <c r="R53" s="791"/>
      <c r="S53" s="791"/>
      <c r="T53" s="791"/>
      <c r="U53" s="791"/>
      <c r="V53" s="791"/>
      <c r="W53" s="791"/>
      <c r="X53" s="791"/>
      <c r="Y53" s="791"/>
    </row>
    <row r="54" spans="1:25" ht="18" customHeight="1" x14ac:dyDescent="0.2">
      <c r="A54" s="337"/>
      <c r="B54" s="337"/>
      <c r="C54" s="686"/>
      <c r="D54" s="687"/>
      <c r="E54" s="687"/>
      <c r="F54" s="687"/>
      <c r="G54" s="687"/>
      <c r="H54" s="687"/>
      <c r="I54" s="687"/>
      <c r="J54" s="687"/>
      <c r="K54" s="687"/>
      <c r="L54" s="687"/>
      <c r="M54" s="687"/>
      <c r="N54" s="687"/>
      <c r="O54" s="687"/>
      <c r="P54" s="687"/>
      <c r="Q54" s="687"/>
      <c r="R54" s="687"/>
      <c r="S54" s="687"/>
      <c r="T54" s="687"/>
      <c r="U54" s="687"/>
      <c r="V54" s="687"/>
      <c r="W54" s="687"/>
      <c r="X54" s="687"/>
      <c r="Y54" s="688"/>
    </row>
    <row r="55" spans="1:25" ht="18" customHeight="1" x14ac:dyDescent="0.2">
      <c r="A55" s="337"/>
      <c r="B55" s="337"/>
      <c r="C55" s="689"/>
      <c r="D55" s="690"/>
      <c r="E55" s="690"/>
      <c r="F55" s="690"/>
      <c r="G55" s="690"/>
      <c r="H55" s="690"/>
      <c r="I55" s="690"/>
      <c r="J55" s="690"/>
      <c r="K55" s="690"/>
      <c r="L55" s="690"/>
      <c r="M55" s="690"/>
      <c r="N55" s="690"/>
      <c r="O55" s="690"/>
      <c r="P55" s="690"/>
      <c r="Q55" s="690"/>
      <c r="R55" s="690"/>
      <c r="S55" s="690"/>
      <c r="T55" s="690"/>
      <c r="U55" s="690"/>
      <c r="V55" s="690"/>
      <c r="W55" s="690"/>
      <c r="X55" s="690"/>
      <c r="Y55" s="691"/>
    </row>
    <row r="56" spans="1:25" ht="18" customHeight="1" x14ac:dyDescent="0.2">
      <c r="A56" s="337"/>
      <c r="B56" s="337"/>
      <c r="C56" s="689"/>
      <c r="D56" s="690"/>
      <c r="E56" s="690"/>
      <c r="F56" s="690"/>
      <c r="G56" s="690"/>
      <c r="H56" s="690"/>
      <c r="I56" s="690"/>
      <c r="J56" s="690"/>
      <c r="K56" s="690"/>
      <c r="L56" s="690"/>
      <c r="M56" s="690"/>
      <c r="N56" s="690"/>
      <c r="O56" s="690"/>
      <c r="P56" s="690"/>
      <c r="Q56" s="690"/>
      <c r="R56" s="690"/>
      <c r="S56" s="690"/>
      <c r="T56" s="690"/>
      <c r="U56" s="690"/>
      <c r="V56" s="690"/>
      <c r="W56" s="690"/>
      <c r="X56" s="690"/>
      <c r="Y56" s="691"/>
    </row>
    <row r="57" spans="1:25" ht="18" customHeight="1" x14ac:dyDescent="0.2">
      <c r="A57" s="337"/>
      <c r="B57" s="337"/>
      <c r="C57" s="689"/>
      <c r="D57" s="690"/>
      <c r="E57" s="690"/>
      <c r="F57" s="690"/>
      <c r="G57" s="690"/>
      <c r="H57" s="690"/>
      <c r="I57" s="690"/>
      <c r="J57" s="690"/>
      <c r="K57" s="690"/>
      <c r="L57" s="690"/>
      <c r="M57" s="690"/>
      <c r="N57" s="690"/>
      <c r="O57" s="690"/>
      <c r="P57" s="690"/>
      <c r="Q57" s="690"/>
      <c r="R57" s="690"/>
      <c r="S57" s="690"/>
      <c r="T57" s="690"/>
      <c r="U57" s="690"/>
      <c r="V57" s="690"/>
      <c r="W57" s="690"/>
      <c r="X57" s="690"/>
      <c r="Y57" s="691"/>
    </row>
    <row r="58" spans="1:25" ht="18" customHeight="1" x14ac:dyDescent="0.2">
      <c r="A58" s="337"/>
      <c r="B58" s="337"/>
      <c r="C58" s="689"/>
      <c r="D58" s="690"/>
      <c r="E58" s="690"/>
      <c r="F58" s="690"/>
      <c r="G58" s="690"/>
      <c r="H58" s="690"/>
      <c r="I58" s="690"/>
      <c r="J58" s="690"/>
      <c r="K58" s="690"/>
      <c r="L58" s="690"/>
      <c r="M58" s="690"/>
      <c r="N58" s="690"/>
      <c r="O58" s="690"/>
      <c r="P58" s="690"/>
      <c r="Q58" s="690"/>
      <c r="R58" s="690"/>
      <c r="S58" s="690"/>
      <c r="T58" s="690"/>
      <c r="U58" s="690"/>
      <c r="V58" s="690"/>
      <c r="W58" s="690"/>
      <c r="X58" s="690"/>
      <c r="Y58" s="691"/>
    </row>
    <row r="59" spans="1:25" ht="18" customHeight="1" x14ac:dyDescent="0.2">
      <c r="A59" s="337"/>
      <c r="B59" s="337"/>
      <c r="C59" s="689"/>
      <c r="D59" s="690"/>
      <c r="E59" s="690"/>
      <c r="F59" s="690"/>
      <c r="G59" s="690"/>
      <c r="H59" s="690"/>
      <c r="I59" s="690"/>
      <c r="J59" s="690"/>
      <c r="K59" s="690"/>
      <c r="L59" s="690"/>
      <c r="M59" s="690"/>
      <c r="N59" s="690"/>
      <c r="O59" s="690"/>
      <c r="P59" s="690"/>
      <c r="Q59" s="690"/>
      <c r="R59" s="690"/>
      <c r="S59" s="690"/>
      <c r="T59" s="690"/>
      <c r="U59" s="690"/>
      <c r="V59" s="690"/>
      <c r="W59" s="690"/>
      <c r="X59" s="690"/>
      <c r="Y59" s="691"/>
    </row>
    <row r="60" spans="1:25" ht="18" customHeight="1" x14ac:dyDescent="0.2">
      <c r="A60" s="337"/>
      <c r="B60" s="337"/>
      <c r="C60" s="689"/>
      <c r="D60" s="690"/>
      <c r="E60" s="690"/>
      <c r="F60" s="690"/>
      <c r="G60" s="690"/>
      <c r="H60" s="690"/>
      <c r="I60" s="690"/>
      <c r="J60" s="690"/>
      <c r="K60" s="690"/>
      <c r="L60" s="690"/>
      <c r="M60" s="690"/>
      <c r="N60" s="690"/>
      <c r="O60" s="690"/>
      <c r="P60" s="690"/>
      <c r="Q60" s="690"/>
      <c r="R60" s="690"/>
      <c r="S60" s="690"/>
      <c r="T60" s="690"/>
      <c r="U60" s="690"/>
      <c r="V60" s="690"/>
      <c r="W60" s="690"/>
      <c r="X60" s="690"/>
      <c r="Y60" s="691"/>
    </row>
    <row r="61" spans="1:25" ht="18" customHeight="1" x14ac:dyDescent="0.2">
      <c r="A61" s="337"/>
      <c r="B61" s="337"/>
      <c r="C61" s="689"/>
      <c r="D61" s="690"/>
      <c r="E61" s="690"/>
      <c r="F61" s="690"/>
      <c r="G61" s="690"/>
      <c r="H61" s="690"/>
      <c r="I61" s="690"/>
      <c r="J61" s="690"/>
      <c r="K61" s="690"/>
      <c r="L61" s="690"/>
      <c r="M61" s="690"/>
      <c r="N61" s="690"/>
      <c r="O61" s="690"/>
      <c r="P61" s="690"/>
      <c r="Q61" s="690"/>
      <c r="R61" s="690"/>
      <c r="S61" s="690"/>
      <c r="T61" s="690"/>
      <c r="U61" s="690"/>
      <c r="V61" s="690"/>
      <c r="W61" s="690"/>
      <c r="X61" s="690"/>
      <c r="Y61" s="691"/>
    </row>
    <row r="62" spans="1:25" ht="18" customHeight="1" x14ac:dyDescent="0.2">
      <c r="A62" s="337"/>
      <c r="B62" s="337"/>
      <c r="C62" s="689"/>
      <c r="D62" s="690"/>
      <c r="E62" s="690"/>
      <c r="F62" s="690"/>
      <c r="G62" s="690"/>
      <c r="H62" s="690"/>
      <c r="I62" s="690"/>
      <c r="J62" s="690"/>
      <c r="K62" s="690"/>
      <c r="L62" s="690"/>
      <c r="M62" s="690"/>
      <c r="N62" s="690"/>
      <c r="O62" s="690"/>
      <c r="P62" s="690"/>
      <c r="Q62" s="690"/>
      <c r="R62" s="690"/>
      <c r="S62" s="690"/>
      <c r="T62" s="690"/>
      <c r="U62" s="690"/>
      <c r="V62" s="690"/>
      <c r="W62" s="690"/>
      <c r="X62" s="690"/>
      <c r="Y62" s="691"/>
    </row>
    <row r="63" spans="1:25" ht="18" customHeight="1" x14ac:dyDescent="0.2">
      <c r="A63" s="337"/>
      <c r="B63" s="337"/>
      <c r="C63" s="689"/>
      <c r="D63" s="690"/>
      <c r="E63" s="690"/>
      <c r="F63" s="690"/>
      <c r="G63" s="690"/>
      <c r="H63" s="690"/>
      <c r="I63" s="690"/>
      <c r="J63" s="690"/>
      <c r="K63" s="690"/>
      <c r="L63" s="690"/>
      <c r="M63" s="690"/>
      <c r="N63" s="690"/>
      <c r="O63" s="690"/>
      <c r="P63" s="690"/>
      <c r="Q63" s="690"/>
      <c r="R63" s="690"/>
      <c r="S63" s="690"/>
      <c r="T63" s="690"/>
      <c r="U63" s="690"/>
      <c r="V63" s="690"/>
      <c r="W63" s="690"/>
      <c r="X63" s="690"/>
      <c r="Y63" s="691"/>
    </row>
    <row r="64" spans="1:25" ht="18" customHeight="1" x14ac:dyDescent="0.2">
      <c r="A64" s="337"/>
      <c r="B64" s="337"/>
      <c r="C64" s="689"/>
      <c r="D64" s="690"/>
      <c r="E64" s="690"/>
      <c r="F64" s="690"/>
      <c r="G64" s="690"/>
      <c r="H64" s="690"/>
      <c r="I64" s="690"/>
      <c r="J64" s="690"/>
      <c r="K64" s="690"/>
      <c r="L64" s="690"/>
      <c r="M64" s="690"/>
      <c r="N64" s="690"/>
      <c r="O64" s="690"/>
      <c r="P64" s="690"/>
      <c r="Q64" s="690"/>
      <c r="R64" s="690"/>
      <c r="S64" s="690"/>
      <c r="T64" s="690"/>
      <c r="U64" s="690"/>
      <c r="V64" s="690"/>
      <c r="W64" s="690"/>
      <c r="X64" s="690"/>
      <c r="Y64" s="691"/>
    </row>
    <row r="65" spans="1:25" ht="18" customHeight="1" x14ac:dyDescent="0.2">
      <c r="A65" s="337"/>
      <c r="B65" s="337"/>
      <c r="C65" s="689"/>
      <c r="D65" s="690"/>
      <c r="E65" s="690"/>
      <c r="F65" s="690"/>
      <c r="G65" s="690"/>
      <c r="H65" s="690"/>
      <c r="I65" s="690"/>
      <c r="J65" s="690"/>
      <c r="K65" s="690"/>
      <c r="L65" s="690"/>
      <c r="M65" s="690"/>
      <c r="N65" s="690"/>
      <c r="O65" s="690"/>
      <c r="P65" s="690"/>
      <c r="Q65" s="690"/>
      <c r="R65" s="690"/>
      <c r="S65" s="690"/>
      <c r="T65" s="690"/>
      <c r="U65" s="690"/>
      <c r="V65" s="690"/>
      <c r="W65" s="690"/>
      <c r="X65" s="690"/>
      <c r="Y65" s="691"/>
    </row>
    <row r="66" spans="1:25" ht="18" customHeight="1" x14ac:dyDescent="0.2">
      <c r="A66" s="337"/>
      <c r="B66" s="337"/>
      <c r="C66" s="689"/>
      <c r="D66" s="690"/>
      <c r="E66" s="690"/>
      <c r="F66" s="690"/>
      <c r="G66" s="690"/>
      <c r="H66" s="690"/>
      <c r="I66" s="690"/>
      <c r="J66" s="690"/>
      <c r="K66" s="690"/>
      <c r="L66" s="690"/>
      <c r="M66" s="690"/>
      <c r="N66" s="690"/>
      <c r="O66" s="690"/>
      <c r="P66" s="690"/>
      <c r="Q66" s="690"/>
      <c r="R66" s="690"/>
      <c r="S66" s="690"/>
      <c r="T66" s="690"/>
      <c r="U66" s="690"/>
      <c r="V66" s="690"/>
      <c r="W66" s="690"/>
      <c r="X66" s="690"/>
      <c r="Y66" s="691"/>
    </row>
    <row r="67" spans="1:25" ht="18" customHeight="1" x14ac:dyDescent="0.2">
      <c r="A67" s="337"/>
      <c r="B67" s="337"/>
      <c r="C67" s="689"/>
      <c r="D67" s="690"/>
      <c r="E67" s="690"/>
      <c r="F67" s="690"/>
      <c r="G67" s="690"/>
      <c r="H67" s="690"/>
      <c r="I67" s="690"/>
      <c r="J67" s="690"/>
      <c r="K67" s="690"/>
      <c r="L67" s="690"/>
      <c r="M67" s="690"/>
      <c r="N67" s="690"/>
      <c r="O67" s="690"/>
      <c r="P67" s="690"/>
      <c r="Q67" s="690"/>
      <c r="R67" s="690"/>
      <c r="S67" s="690"/>
      <c r="T67" s="690"/>
      <c r="U67" s="690"/>
      <c r="V67" s="690"/>
      <c r="W67" s="690"/>
      <c r="X67" s="690"/>
      <c r="Y67" s="691"/>
    </row>
    <row r="68" spans="1:25" ht="18" customHeight="1" x14ac:dyDescent="0.2">
      <c r="A68" s="337"/>
      <c r="B68" s="337"/>
      <c r="C68" s="689"/>
      <c r="D68" s="690"/>
      <c r="E68" s="690"/>
      <c r="F68" s="690"/>
      <c r="G68" s="690"/>
      <c r="H68" s="690"/>
      <c r="I68" s="690"/>
      <c r="J68" s="690"/>
      <c r="K68" s="690"/>
      <c r="L68" s="690"/>
      <c r="M68" s="690"/>
      <c r="N68" s="690"/>
      <c r="O68" s="690"/>
      <c r="P68" s="690"/>
      <c r="Q68" s="690"/>
      <c r="R68" s="690"/>
      <c r="S68" s="690"/>
      <c r="T68" s="690"/>
      <c r="U68" s="690"/>
      <c r="V68" s="690"/>
      <c r="W68" s="690"/>
      <c r="X68" s="690"/>
      <c r="Y68" s="691"/>
    </row>
    <row r="69" spans="1:25" ht="18" customHeight="1" x14ac:dyDescent="0.2">
      <c r="A69" s="337"/>
      <c r="B69" s="337"/>
      <c r="C69" s="689"/>
      <c r="D69" s="690"/>
      <c r="E69" s="690"/>
      <c r="F69" s="690"/>
      <c r="G69" s="690"/>
      <c r="H69" s="690"/>
      <c r="I69" s="690"/>
      <c r="J69" s="690"/>
      <c r="K69" s="690"/>
      <c r="L69" s="690"/>
      <c r="M69" s="690"/>
      <c r="N69" s="690"/>
      <c r="O69" s="690"/>
      <c r="P69" s="690"/>
      <c r="Q69" s="690"/>
      <c r="R69" s="690"/>
      <c r="S69" s="690"/>
      <c r="T69" s="690"/>
      <c r="U69" s="690"/>
      <c r="V69" s="690"/>
      <c r="W69" s="690"/>
      <c r="X69" s="690"/>
      <c r="Y69" s="691"/>
    </row>
    <row r="70" spans="1:25" ht="18" customHeight="1" x14ac:dyDescent="0.2">
      <c r="A70" s="337"/>
      <c r="B70" s="337"/>
      <c r="C70" s="689"/>
      <c r="D70" s="690"/>
      <c r="E70" s="690"/>
      <c r="F70" s="690"/>
      <c r="G70" s="690"/>
      <c r="H70" s="690"/>
      <c r="I70" s="690"/>
      <c r="J70" s="690"/>
      <c r="K70" s="690"/>
      <c r="L70" s="690"/>
      <c r="M70" s="690"/>
      <c r="N70" s="690"/>
      <c r="O70" s="690"/>
      <c r="P70" s="690"/>
      <c r="Q70" s="690"/>
      <c r="R70" s="690"/>
      <c r="S70" s="690"/>
      <c r="T70" s="690"/>
      <c r="U70" s="690"/>
      <c r="V70" s="690"/>
      <c r="W70" s="690"/>
      <c r="X70" s="690"/>
      <c r="Y70" s="691"/>
    </row>
    <row r="71" spans="1:25" ht="18" customHeight="1" x14ac:dyDescent="0.2">
      <c r="A71" s="337"/>
      <c r="B71" s="337"/>
      <c r="C71" s="689"/>
      <c r="D71" s="690"/>
      <c r="E71" s="690"/>
      <c r="F71" s="690"/>
      <c r="G71" s="690"/>
      <c r="H71" s="690"/>
      <c r="I71" s="690"/>
      <c r="J71" s="690"/>
      <c r="K71" s="690"/>
      <c r="L71" s="690"/>
      <c r="M71" s="690"/>
      <c r="N71" s="690"/>
      <c r="O71" s="690"/>
      <c r="P71" s="690"/>
      <c r="Q71" s="690"/>
      <c r="R71" s="690"/>
      <c r="S71" s="690"/>
      <c r="T71" s="690"/>
      <c r="U71" s="690"/>
      <c r="V71" s="690"/>
      <c r="W71" s="690"/>
      <c r="X71" s="690"/>
      <c r="Y71" s="691"/>
    </row>
    <row r="72" spans="1:25" ht="18" customHeight="1" x14ac:dyDescent="0.2">
      <c r="A72" s="337"/>
      <c r="B72" s="337"/>
      <c r="C72" s="689"/>
      <c r="D72" s="690"/>
      <c r="E72" s="690"/>
      <c r="F72" s="690"/>
      <c r="G72" s="690"/>
      <c r="H72" s="690"/>
      <c r="I72" s="690"/>
      <c r="J72" s="690"/>
      <c r="K72" s="690"/>
      <c r="L72" s="690"/>
      <c r="M72" s="690"/>
      <c r="N72" s="690"/>
      <c r="O72" s="690"/>
      <c r="P72" s="690"/>
      <c r="Q72" s="690"/>
      <c r="R72" s="690"/>
      <c r="S72" s="690"/>
      <c r="T72" s="690"/>
      <c r="U72" s="690"/>
      <c r="V72" s="690"/>
      <c r="W72" s="690"/>
      <c r="X72" s="690"/>
      <c r="Y72" s="691"/>
    </row>
    <row r="73" spans="1:25" ht="18" customHeight="1" x14ac:dyDescent="0.2">
      <c r="A73" s="337"/>
      <c r="B73" s="337"/>
      <c r="C73" s="689"/>
      <c r="D73" s="690"/>
      <c r="E73" s="690"/>
      <c r="F73" s="690"/>
      <c r="G73" s="690"/>
      <c r="H73" s="690"/>
      <c r="I73" s="690"/>
      <c r="J73" s="690"/>
      <c r="K73" s="690"/>
      <c r="L73" s="690"/>
      <c r="M73" s="690"/>
      <c r="N73" s="690"/>
      <c r="O73" s="690"/>
      <c r="P73" s="690"/>
      <c r="Q73" s="690"/>
      <c r="R73" s="690"/>
      <c r="S73" s="690"/>
      <c r="T73" s="690"/>
      <c r="U73" s="690"/>
      <c r="V73" s="690"/>
      <c r="W73" s="690"/>
      <c r="X73" s="690"/>
      <c r="Y73" s="691"/>
    </row>
    <row r="74" spans="1:25" ht="18" customHeight="1" x14ac:dyDescent="0.2">
      <c r="A74" s="337"/>
      <c r="B74" s="337"/>
      <c r="C74" s="689"/>
      <c r="D74" s="690"/>
      <c r="E74" s="690"/>
      <c r="F74" s="690"/>
      <c r="G74" s="690"/>
      <c r="H74" s="690"/>
      <c r="I74" s="690"/>
      <c r="J74" s="690"/>
      <c r="K74" s="690"/>
      <c r="L74" s="690"/>
      <c r="M74" s="690"/>
      <c r="N74" s="690"/>
      <c r="O74" s="690"/>
      <c r="P74" s="690"/>
      <c r="Q74" s="690"/>
      <c r="R74" s="690"/>
      <c r="S74" s="690"/>
      <c r="T74" s="690"/>
      <c r="U74" s="690"/>
      <c r="V74" s="690"/>
      <c r="W74" s="690"/>
      <c r="X74" s="690"/>
      <c r="Y74" s="691"/>
    </row>
    <row r="75" spans="1:25" ht="18" customHeight="1" x14ac:dyDescent="0.2">
      <c r="A75" s="337"/>
      <c r="B75" s="337"/>
      <c r="C75" s="689"/>
      <c r="D75" s="690"/>
      <c r="E75" s="690"/>
      <c r="F75" s="690"/>
      <c r="G75" s="690"/>
      <c r="H75" s="690"/>
      <c r="I75" s="690"/>
      <c r="J75" s="690"/>
      <c r="K75" s="690"/>
      <c r="L75" s="690"/>
      <c r="M75" s="690"/>
      <c r="N75" s="690"/>
      <c r="O75" s="690"/>
      <c r="P75" s="690"/>
      <c r="Q75" s="690"/>
      <c r="R75" s="690"/>
      <c r="S75" s="690"/>
      <c r="T75" s="690"/>
      <c r="U75" s="690"/>
      <c r="V75" s="690"/>
      <c r="W75" s="690"/>
      <c r="X75" s="690"/>
      <c r="Y75" s="691"/>
    </row>
    <row r="76" spans="1:25" ht="18" customHeight="1" x14ac:dyDescent="0.2">
      <c r="A76" s="337"/>
      <c r="B76" s="337"/>
      <c r="C76" s="689"/>
      <c r="D76" s="690"/>
      <c r="E76" s="690"/>
      <c r="F76" s="690"/>
      <c r="G76" s="690"/>
      <c r="H76" s="690"/>
      <c r="I76" s="690"/>
      <c r="J76" s="690"/>
      <c r="K76" s="690"/>
      <c r="L76" s="690"/>
      <c r="M76" s="690"/>
      <c r="N76" s="690"/>
      <c r="O76" s="690"/>
      <c r="P76" s="690"/>
      <c r="Q76" s="690"/>
      <c r="R76" s="690"/>
      <c r="S76" s="690"/>
      <c r="T76" s="690"/>
      <c r="U76" s="690"/>
      <c r="V76" s="690"/>
      <c r="W76" s="690"/>
      <c r="X76" s="690"/>
      <c r="Y76" s="691"/>
    </row>
    <row r="77" spans="1:25" ht="18" customHeight="1" x14ac:dyDescent="0.2">
      <c r="A77" s="337"/>
      <c r="B77" s="337"/>
      <c r="C77" s="689"/>
      <c r="D77" s="690"/>
      <c r="E77" s="690"/>
      <c r="F77" s="690"/>
      <c r="G77" s="690"/>
      <c r="H77" s="690"/>
      <c r="I77" s="690"/>
      <c r="J77" s="690"/>
      <c r="K77" s="690"/>
      <c r="L77" s="690"/>
      <c r="M77" s="690"/>
      <c r="N77" s="690"/>
      <c r="O77" s="690"/>
      <c r="P77" s="690"/>
      <c r="Q77" s="690"/>
      <c r="R77" s="690"/>
      <c r="S77" s="690"/>
      <c r="T77" s="690"/>
      <c r="U77" s="690"/>
      <c r="V77" s="690"/>
      <c r="W77" s="690"/>
      <c r="X77" s="690"/>
      <c r="Y77" s="691"/>
    </row>
    <row r="78" spans="1:25" ht="18" customHeight="1" x14ac:dyDescent="0.2">
      <c r="A78" s="337"/>
      <c r="B78" s="337"/>
      <c r="C78" s="689"/>
      <c r="D78" s="690"/>
      <c r="E78" s="690"/>
      <c r="F78" s="690"/>
      <c r="G78" s="690"/>
      <c r="H78" s="690"/>
      <c r="I78" s="690"/>
      <c r="J78" s="690"/>
      <c r="K78" s="690"/>
      <c r="L78" s="690"/>
      <c r="M78" s="690"/>
      <c r="N78" s="690"/>
      <c r="O78" s="690"/>
      <c r="P78" s="690"/>
      <c r="Q78" s="690"/>
      <c r="R78" s="690"/>
      <c r="S78" s="690"/>
      <c r="T78" s="690"/>
      <c r="U78" s="690"/>
      <c r="V78" s="690"/>
      <c r="W78" s="690"/>
      <c r="X78" s="690"/>
      <c r="Y78" s="691"/>
    </row>
    <row r="79" spans="1:25" ht="18" customHeight="1" x14ac:dyDescent="0.2">
      <c r="A79" s="337"/>
      <c r="B79" s="337"/>
      <c r="C79" s="689"/>
      <c r="D79" s="690"/>
      <c r="E79" s="690"/>
      <c r="F79" s="690"/>
      <c r="G79" s="690"/>
      <c r="H79" s="690"/>
      <c r="I79" s="690"/>
      <c r="J79" s="690"/>
      <c r="K79" s="690"/>
      <c r="L79" s="690"/>
      <c r="M79" s="690"/>
      <c r="N79" s="690"/>
      <c r="O79" s="690"/>
      <c r="P79" s="690"/>
      <c r="Q79" s="690"/>
      <c r="R79" s="690"/>
      <c r="S79" s="690"/>
      <c r="T79" s="690"/>
      <c r="U79" s="690"/>
      <c r="V79" s="690"/>
      <c r="W79" s="690"/>
      <c r="X79" s="690"/>
      <c r="Y79" s="691"/>
    </row>
    <row r="80" spans="1:25" ht="18" customHeight="1" x14ac:dyDescent="0.2">
      <c r="A80" s="337"/>
      <c r="B80" s="337"/>
      <c r="C80" s="689"/>
      <c r="D80" s="690"/>
      <c r="E80" s="690"/>
      <c r="F80" s="690"/>
      <c r="G80" s="690"/>
      <c r="H80" s="690"/>
      <c r="I80" s="690"/>
      <c r="J80" s="690"/>
      <c r="K80" s="690"/>
      <c r="L80" s="690"/>
      <c r="M80" s="690"/>
      <c r="N80" s="690"/>
      <c r="O80" s="690"/>
      <c r="P80" s="690"/>
      <c r="Q80" s="690"/>
      <c r="R80" s="690"/>
      <c r="S80" s="690"/>
      <c r="T80" s="690"/>
      <c r="U80" s="690"/>
      <c r="V80" s="690"/>
      <c r="W80" s="690"/>
      <c r="X80" s="690"/>
      <c r="Y80" s="691"/>
    </row>
    <row r="81" spans="1:25" ht="18" customHeight="1" x14ac:dyDescent="0.2">
      <c r="A81" s="337"/>
      <c r="B81" s="337"/>
      <c r="C81" s="689"/>
      <c r="D81" s="690"/>
      <c r="E81" s="690"/>
      <c r="F81" s="690"/>
      <c r="G81" s="690"/>
      <c r="H81" s="690"/>
      <c r="I81" s="690"/>
      <c r="J81" s="690"/>
      <c r="K81" s="690"/>
      <c r="L81" s="690"/>
      <c r="M81" s="690"/>
      <c r="N81" s="690"/>
      <c r="O81" s="690"/>
      <c r="P81" s="690"/>
      <c r="Q81" s="690"/>
      <c r="R81" s="690"/>
      <c r="S81" s="690"/>
      <c r="T81" s="690"/>
      <c r="U81" s="690"/>
      <c r="V81" s="690"/>
      <c r="W81" s="690"/>
      <c r="X81" s="690"/>
      <c r="Y81" s="691"/>
    </row>
    <row r="82" spans="1:25" ht="18" customHeight="1" x14ac:dyDescent="0.2">
      <c r="A82" s="337"/>
      <c r="B82" s="337"/>
      <c r="C82" s="689"/>
      <c r="D82" s="690"/>
      <c r="E82" s="690"/>
      <c r="F82" s="690"/>
      <c r="G82" s="690"/>
      <c r="H82" s="690"/>
      <c r="I82" s="690"/>
      <c r="J82" s="690"/>
      <c r="K82" s="690"/>
      <c r="L82" s="690"/>
      <c r="M82" s="690"/>
      <c r="N82" s="690"/>
      <c r="O82" s="690"/>
      <c r="P82" s="690"/>
      <c r="Q82" s="690"/>
      <c r="R82" s="690"/>
      <c r="S82" s="690"/>
      <c r="T82" s="690"/>
      <c r="U82" s="690"/>
      <c r="V82" s="690"/>
      <c r="W82" s="690"/>
      <c r="X82" s="690"/>
      <c r="Y82" s="691"/>
    </row>
    <row r="83" spans="1:25" ht="18" customHeight="1" x14ac:dyDescent="0.2">
      <c r="A83" s="337"/>
      <c r="B83" s="337"/>
      <c r="C83" s="689"/>
      <c r="D83" s="690"/>
      <c r="E83" s="690"/>
      <c r="F83" s="690"/>
      <c r="G83" s="690"/>
      <c r="H83" s="690"/>
      <c r="I83" s="690"/>
      <c r="J83" s="690"/>
      <c r="K83" s="690"/>
      <c r="L83" s="690"/>
      <c r="M83" s="690"/>
      <c r="N83" s="690"/>
      <c r="O83" s="690"/>
      <c r="P83" s="690"/>
      <c r="Q83" s="690"/>
      <c r="R83" s="690"/>
      <c r="S83" s="690"/>
      <c r="T83" s="690"/>
      <c r="U83" s="690"/>
      <c r="V83" s="690"/>
      <c r="W83" s="690"/>
      <c r="X83" s="690"/>
      <c r="Y83" s="691"/>
    </row>
    <row r="84" spans="1:25" ht="18" customHeight="1" x14ac:dyDescent="0.2">
      <c r="A84" s="337"/>
      <c r="B84" s="337"/>
      <c r="C84" s="689"/>
      <c r="D84" s="690"/>
      <c r="E84" s="690"/>
      <c r="F84" s="690"/>
      <c r="G84" s="690"/>
      <c r="H84" s="690"/>
      <c r="I84" s="690"/>
      <c r="J84" s="690"/>
      <c r="K84" s="690"/>
      <c r="L84" s="690"/>
      <c r="M84" s="690"/>
      <c r="N84" s="690"/>
      <c r="O84" s="690"/>
      <c r="P84" s="690"/>
      <c r="Q84" s="690"/>
      <c r="R84" s="690"/>
      <c r="S84" s="690"/>
      <c r="T84" s="690"/>
      <c r="U84" s="690"/>
      <c r="V84" s="690"/>
      <c r="W84" s="690"/>
      <c r="X84" s="690"/>
      <c r="Y84" s="691"/>
    </row>
    <row r="85" spans="1:25" ht="18" customHeight="1" x14ac:dyDescent="0.2">
      <c r="A85" s="337"/>
      <c r="B85" s="337"/>
      <c r="C85" s="689"/>
      <c r="D85" s="690"/>
      <c r="E85" s="690"/>
      <c r="F85" s="690"/>
      <c r="G85" s="690"/>
      <c r="H85" s="690"/>
      <c r="I85" s="690"/>
      <c r="J85" s="690"/>
      <c r="K85" s="690"/>
      <c r="L85" s="690"/>
      <c r="M85" s="690"/>
      <c r="N85" s="690"/>
      <c r="O85" s="690"/>
      <c r="P85" s="690"/>
      <c r="Q85" s="690"/>
      <c r="R85" s="690"/>
      <c r="S85" s="690"/>
      <c r="T85" s="690"/>
      <c r="U85" s="690"/>
      <c r="V85" s="690"/>
      <c r="W85" s="690"/>
      <c r="X85" s="690"/>
      <c r="Y85" s="691"/>
    </row>
    <row r="86" spans="1:25" ht="18" customHeight="1" x14ac:dyDescent="0.2">
      <c r="A86" s="337"/>
      <c r="B86" s="337"/>
      <c r="C86" s="689"/>
      <c r="D86" s="690"/>
      <c r="E86" s="690"/>
      <c r="F86" s="690"/>
      <c r="G86" s="690"/>
      <c r="H86" s="690"/>
      <c r="I86" s="690"/>
      <c r="J86" s="690"/>
      <c r="K86" s="690"/>
      <c r="L86" s="690"/>
      <c r="M86" s="690"/>
      <c r="N86" s="690"/>
      <c r="O86" s="690"/>
      <c r="P86" s="690"/>
      <c r="Q86" s="690"/>
      <c r="R86" s="690"/>
      <c r="S86" s="690"/>
      <c r="T86" s="690"/>
      <c r="U86" s="690"/>
      <c r="V86" s="690"/>
      <c r="W86" s="690"/>
      <c r="X86" s="690"/>
      <c r="Y86" s="691"/>
    </row>
    <row r="87" spans="1:25" ht="18" customHeight="1" x14ac:dyDescent="0.2">
      <c r="A87" s="337"/>
      <c r="B87" s="337"/>
      <c r="C87" s="689"/>
      <c r="D87" s="690"/>
      <c r="E87" s="690"/>
      <c r="F87" s="690"/>
      <c r="G87" s="690"/>
      <c r="H87" s="690"/>
      <c r="I87" s="690"/>
      <c r="J87" s="690"/>
      <c r="K87" s="690"/>
      <c r="L87" s="690"/>
      <c r="M87" s="690"/>
      <c r="N87" s="690"/>
      <c r="O87" s="690"/>
      <c r="P87" s="690"/>
      <c r="Q87" s="690"/>
      <c r="R87" s="690"/>
      <c r="S87" s="690"/>
      <c r="T87" s="690"/>
      <c r="U87" s="690"/>
      <c r="V87" s="690"/>
      <c r="W87" s="690"/>
      <c r="X87" s="690"/>
      <c r="Y87" s="691"/>
    </row>
    <row r="88" spans="1:25" ht="18" customHeight="1" x14ac:dyDescent="0.2">
      <c r="A88" s="337"/>
      <c r="B88" s="337"/>
      <c r="C88" s="689"/>
      <c r="D88" s="690"/>
      <c r="E88" s="690"/>
      <c r="F88" s="690"/>
      <c r="G88" s="690"/>
      <c r="H88" s="690"/>
      <c r="I88" s="690"/>
      <c r="J88" s="690"/>
      <c r="K88" s="690"/>
      <c r="L88" s="690"/>
      <c r="M88" s="690"/>
      <c r="N88" s="690"/>
      <c r="O88" s="690"/>
      <c r="P88" s="690"/>
      <c r="Q88" s="690"/>
      <c r="R88" s="690"/>
      <c r="S88" s="690"/>
      <c r="T88" s="690"/>
      <c r="U88" s="690"/>
      <c r="V88" s="690"/>
      <c r="W88" s="690"/>
      <c r="X88" s="690"/>
      <c r="Y88" s="691"/>
    </row>
    <row r="89" spans="1:25" ht="18" customHeight="1" x14ac:dyDescent="0.2">
      <c r="A89" s="337"/>
      <c r="B89" s="337"/>
      <c r="C89" s="689"/>
      <c r="D89" s="690"/>
      <c r="E89" s="690"/>
      <c r="F89" s="690"/>
      <c r="G89" s="690"/>
      <c r="H89" s="690"/>
      <c r="I89" s="690"/>
      <c r="J89" s="690"/>
      <c r="K89" s="690"/>
      <c r="L89" s="690"/>
      <c r="M89" s="690"/>
      <c r="N89" s="690"/>
      <c r="O89" s="690"/>
      <c r="P89" s="690"/>
      <c r="Q89" s="690"/>
      <c r="R89" s="690"/>
      <c r="S89" s="690"/>
      <c r="T89" s="690"/>
      <c r="U89" s="690"/>
      <c r="V89" s="690"/>
      <c r="W89" s="690"/>
      <c r="X89" s="690"/>
      <c r="Y89" s="691"/>
    </row>
    <row r="90" spans="1:25" ht="18" customHeight="1" x14ac:dyDescent="0.2">
      <c r="A90" s="337"/>
      <c r="B90" s="337"/>
      <c r="C90" s="689"/>
      <c r="D90" s="690"/>
      <c r="E90" s="690"/>
      <c r="F90" s="690"/>
      <c r="G90" s="690"/>
      <c r="H90" s="690"/>
      <c r="I90" s="690"/>
      <c r="J90" s="690"/>
      <c r="K90" s="690"/>
      <c r="L90" s="690"/>
      <c r="M90" s="690"/>
      <c r="N90" s="690"/>
      <c r="O90" s="690"/>
      <c r="P90" s="690"/>
      <c r="Q90" s="690"/>
      <c r="R90" s="690"/>
      <c r="S90" s="690"/>
      <c r="T90" s="690"/>
      <c r="U90" s="690"/>
      <c r="V90" s="690"/>
      <c r="W90" s="690"/>
      <c r="X90" s="690"/>
      <c r="Y90" s="691"/>
    </row>
    <row r="91" spans="1:25" ht="18" customHeight="1" x14ac:dyDescent="0.2">
      <c r="A91" s="337"/>
      <c r="B91" s="337"/>
      <c r="C91" s="689"/>
      <c r="D91" s="690"/>
      <c r="E91" s="690"/>
      <c r="F91" s="690"/>
      <c r="G91" s="690"/>
      <c r="H91" s="690"/>
      <c r="I91" s="690"/>
      <c r="J91" s="690"/>
      <c r="K91" s="690"/>
      <c r="L91" s="690"/>
      <c r="M91" s="690"/>
      <c r="N91" s="690"/>
      <c r="O91" s="690"/>
      <c r="P91" s="690"/>
      <c r="Q91" s="690"/>
      <c r="R91" s="690"/>
      <c r="S91" s="690"/>
      <c r="T91" s="690"/>
      <c r="U91" s="690"/>
      <c r="V91" s="690"/>
      <c r="W91" s="690"/>
      <c r="X91" s="690"/>
      <c r="Y91" s="691"/>
    </row>
    <row r="92" spans="1:25" ht="18" customHeight="1" x14ac:dyDescent="0.2">
      <c r="A92" s="337"/>
      <c r="B92" s="337"/>
      <c r="C92" s="689"/>
      <c r="D92" s="690"/>
      <c r="E92" s="690"/>
      <c r="F92" s="690"/>
      <c r="G92" s="690"/>
      <c r="H92" s="690"/>
      <c r="I92" s="690"/>
      <c r="J92" s="690"/>
      <c r="K92" s="690"/>
      <c r="L92" s="690"/>
      <c r="M92" s="690"/>
      <c r="N92" s="690"/>
      <c r="O92" s="690"/>
      <c r="P92" s="690"/>
      <c r="Q92" s="690"/>
      <c r="R92" s="690"/>
      <c r="S92" s="690"/>
      <c r="T92" s="690"/>
      <c r="U92" s="690"/>
      <c r="V92" s="690"/>
      <c r="W92" s="690"/>
      <c r="X92" s="690"/>
      <c r="Y92" s="691"/>
    </row>
    <row r="93" spans="1:25" ht="18" customHeight="1" x14ac:dyDescent="0.2">
      <c r="A93" s="337"/>
      <c r="B93" s="337"/>
      <c r="C93" s="689"/>
      <c r="D93" s="690"/>
      <c r="E93" s="690"/>
      <c r="F93" s="690"/>
      <c r="G93" s="690"/>
      <c r="H93" s="690"/>
      <c r="I93" s="690"/>
      <c r="J93" s="690"/>
      <c r="K93" s="690"/>
      <c r="L93" s="690"/>
      <c r="M93" s="690"/>
      <c r="N93" s="690"/>
      <c r="O93" s="690"/>
      <c r="P93" s="690"/>
      <c r="Q93" s="690"/>
      <c r="R93" s="690"/>
      <c r="S93" s="690"/>
      <c r="T93" s="690"/>
      <c r="U93" s="690"/>
      <c r="V93" s="690"/>
      <c r="W93" s="690"/>
      <c r="X93" s="690"/>
      <c r="Y93" s="691"/>
    </row>
    <row r="94" spans="1:25" ht="18" customHeight="1" x14ac:dyDescent="0.2">
      <c r="A94" s="337"/>
      <c r="B94" s="337"/>
      <c r="C94" s="689"/>
      <c r="D94" s="690"/>
      <c r="E94" s="690"/>
      <c r="F94" s="690"/>
      <c r="G94" s="690"/>
      <c r="H94" s="690"/>
      <c r="I94" s="690"/>
      <c r="J94" s="690"/>
      <c r="K94" s="690"/>
      <c r="L94" s="690"/>
      <c r="M94" s="690"/>
      <c r="N94" s="690"/>
      <c r="O94" s="690"/>
      <c r="P94" s="690"/>
      <c r="Q94" s="690"/>
      <c r="R94" s="690"/>
      <c r="S94" s="690"/>
      <c r="T94" s="690"/>
      <c r="U94" s="690"/>
      <c r="V94" s="690"/>
      <c r="W94" s="690"/>
      <c r="X94" s="690"/>
      <c r="Y94" s="691"/>
    </row>
    <row r="95" spans="1:25" ht="18" customHeight="1" x14ac:dyDescent="0.2">
      <c r="A95" s="337"/>
      <c r="B95" s="337"/>
      <c r="C95" s="689"/>
      <c r="D95" s="690"/>
      <c r="E95" s="690"/>
      <c r="F95" s="690"/>
      <c r="G95" s="690"/>
      <c r="H95" s="690"/>
      <c r="I95" s="690"/>
      <c r="J95" s="690"/>
      <c r="K95" s="690"/>
      <c r="L95" s="690"/>
      <c r="M95" s="690"/>
      <c r="N95" s="690"/>
      <c r="O95" s="690"/>
      <c r="P95" s="690"/>
      <c r="Q95" s="690"/>
      <c r="R95" s="690"/>
      <c r="S95" s="690"/>
      <c r="T95" s="690"/>
      <c r="U95" s="690"/>
      <c r="V95" s="690"/>
      <c r="W95" s="690"/>
      <c r="X95" s="690"/>
      <c r="Y95" s="691"/>
    </row>
    <row r="96" spans="1:25" ht="18" customHeight="1" x14ac:dyDescent="0.2">
      <c r="A96" s="337"/>
      <c r="B96" s="337"/>
      <c r="C96" s="689"/>
      <c r="D96" s="690"/>
      <c r="E96" s="690"/>
      <c r="F96" s="690"/>
      <c r="G96" s="690"/>
      <c r="H96" s="690"/>
      <c r="I96" s="690"/>
      <c r="J96" s="690"/>
      <c r="K96" s="690"/>
      <c r="L96" s="690"/>
      <c r="M96" s="690"/>
      <c r="N96" s="690"/>
      <c r="O96" s="690"/>
      <c r="P96" s="690"/>
      <c r="Q96" s="690"/>
      <c r="R96" s="690"/>
      <c r="S96" s="690"/>
      <c r="T96" s="690"/>
      <c r="U96" s="690"/>
      <c r="V96" s="690"/>
      <c r="W96" s="690"/>
      <c r="X96" s="690"/>
      <c r="Y96" s="691"/>
    </row>
    <row r="97" spans="1:27" ht="18" customHeight="1" x14ac:dyDescent="0.2">
      <c r="A97" s="337"/>
      <c r="B97" s="337"/>
      <c r="C97" s="689"/>
      <c r="D97" s="690"/>
      <c r="E97" s="690"/>
      <c r="F97" s="690"/>
      <c r="G97" s="690"/>
      <c r="H97" s="690"/>
      <c r="I97" s="690"/>
      <c r="J97" s="690"/>
      <c r="K97" s="690"/>
      <c r="L97" s="690"/>
      <c r="M97" s="690"/>
      <c r="N97" s="690"/>
      <c r="O97" s="690"/>
      <c r="P97" s="690"/>
      <c r="Q97" s="690"/>
      <c r="R97" s="690"/>
      <c r="S97" s="690"/>
      <c r="T97" s="690"/>
      <c r="U97" s="690"/>
      <c r="V97" s="690"/>
      <c r="W97" s="690"/>
      <c r="X97" s="690"/>
      <c r="Y97" s="691"/>
    </row>
    <row r="98" spans="1:27" ht="18" customHeight="1" x14ac:dyDescent="0.2">
      <c r="A98" s="337"/>
      <c r="B98" s="337"/>
      <c r="C98" s="689"/>
      <c r="D98" s="690"/>
      <c r="E98" s="690"/>
      <c r="F98" s="690"/>
      <c r="G98" s="690"/>
      <c r="H98" s="690"/>
      <c r="I98" s="690"/>
      <c r="J98" s="690"/>
      <c r="K98" s="690"/>
      <c r="L98" s="690"/>
      <c r="M98" s="690"/>
      <c r="N98" s="690"/>
      <c r="O98" s="690"/>
      <c r="P98" s="690"/>
      <c r="Q98" s="690"/>
      <c r="R98" s="690"/>
      <c r="S98" s="690"/>
      <c r="T98" s="690"/>
      <c r="U98" s="690"/>
      <c r="V98" s="690"/>
      <c r="W98" s="690"/>
      <c r="X98" s="690"/>
      <c r="Y98" s="691"/>
    </row>
    <row r="99" spans="1:27" ht="18" customHeight="1" x14ac:dyDescent="0.2">
      <c r="A99" s="337"/>
      <c r="B99" s="337"/>
      <c r="C99" s="689"/>
      <c r="D99" s="690"/>
      <c r="E99" s="690"/>
      <c r="F99" s="690"/>
      <c r="G99" s="690"/>
      <c r="H99" s="690"/>
      <c r="I99" s="690"/>
      <c r="J99" s="690"/>
      <c r="K99" s="690"/>
      <c r="L99" s="690"/>
      <c r="M99" s="690"/>
      <c r="N99" s="690"/>
      <c r="O99" s="690"/>
      <c r="P99" s="690"/>
      <c r="Q99" s="690"/>
      <c r="R99" s="690"/>
      <c r="S99" s="690"/>
      <c r="T99" s="690"/>
      <c r="U99" s="690"/>
      <c r="V99" s="690"/>
      <c r="W99" s="690"/>
      <c r="X99" s="690"/>
      <c r="Y99" s="691"/>
    </row>
    <row r="100" spans="1:27" ht="18" customHeight="1" x14ac:dyDescent="0.2">
      <c r="A100" s="337"/>
      <c r="B100" s="337"/>
      <c r="C100" s="689"/>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1"/>
    </row>
    <row r="101" spans="1:27" ht="18" customHeight="1" x14ac:dyDescent="0.2">
      <c r="A101" s="337"/>
      <c r="B101" s="337"/>
      <c r="C101" s="689"/>
      <c r="D101" s="690"/>
      <c r="E101" s="690"/>
      <c r="F101" s="690"/>
      <c r="G101" s="690"/>
      <c r="H101" s="690"/>
      <c r="I101" s="690"/>
      <c r="J101" s="690"/>
      <c r="K101" s="690"/>
      <c r="L101" s="690"/>
      <c r="M101" s="690"/>
      <c r="N101" s="690"/>
      <c r="O101" s="690"/>
      <c r="P101" s="690"/>
      <c r="Q101" s="690"/>
      <c r="R101" s="690"/>
      <c r="S101" s="690"/>
      <c r="T101" s="690"/>
      <c r="U101" s="690"/>
      <c r="V101" s="690"/>
      <c r="W101" s="690"/>
      <c r="X101" s="690"/>
      <c r="Y101" s="691"/>
    </row>
    <row r="102" spans="1:27" ht="18" customHeight="1" x14ac:dyDescent="0.2">
      <c r="A102" s="337"/>
      <c r="B102" s="337"/>
      <c r="C102" s="692"/>
      <c r="D102" s="693"/>
      <c r="E102" s="693"/>
      <c r="F102" s="693"/>
      <c r="G102" s="693"/>
      <c r="H102" s="693"/>
      <c r="I102" s="693"/>
      <c r="J102" s="693"/>
      <c r="K102" s="693"/>
      <c r="L102" s="693"/>
      <c r="M102" s="693"/>
      <c r="N102" s="693"/>
      <c r="O102" s="693"/>
      <c r="P102" s="693"/>
      <c r="Q102" s="693"/>
      <c r="R102" s="693"/>
      <c r="S102" s="693"/>
      <c r="T102" s="693"/>
      <c r="U102" s="693"/>
      <c r="V102" s="693"/>
      <c r="W102" s="693"/>
      <c r="X102" s="693"/>
      <c r="Y102" s="694"/>
    </row>
    <row r="103" spans="1:27" ht="18" customHeight="1" x14ac:dyDescent="0.2">
      <c r="A103" s="337"/>
      <c r="B103" s="337"/>
      <c r="C103" s="350"/>
      <c r="D103" s="350"/>
      <c r="E103" s="350"/>
      <c r="F103" s="351" t="s">
        <v>363</v>
      </c>
      <c r="G103" s="536"/>
      <c r="H103" s="538"/>
      <c r="I103" s="345"/>
      <c r="J103" s="337"/>
      <c r="K103" s="337"/>
      <c r="L103" s="337"/>
      <c r="M103" s="337"/>
      <c r="N103" s="337"/>
      <c r="O103" s="337"/>
    </row>
    <row r="104" spans="1:27" ht="18" customHeight="1" x14ac:dyDescent="0.2">
      <c r="A104" s="337"/>
      <c r="B104" s="337"/>
      <c r="C104" s="515"/>
      <c r="D104" s="515"/>
      <c r="E104" s="515"/>
      <c r="F104" s="515"/>
      <c r="G104" s="352"/>
      <c r="H104" s="352"/>
      <c r="I104" s="337"/>
      <c r="J104" s="337"/>
      <c r="K104" s="337"/>
      <c r="L104" s="337"/>
      <c r="M104" s="337"/>
      <c r="N104" s="337"/>
      <c r="O104" s="337"/>
    </row>
    <row r="105" spans="1:27" ht="18" customHeight="1" x14ac:dyDescent="0.2">
      <c r="A105" s="337"/>
      <c r="B105" s="337"/>
      <c r="C105" s="581" t="s">
        <v>232</v>
      </c>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row>
    <row r="106" spans="1:27" ht="18" customHeight="1" x14ac:dyDescent="0.2">
      <c r="A106" s="337"/>
      <c r="B106" s="705" t="str">
        <f>IF(OR(C17="SITE IMPACTE - AVEC IMPACT ENVISAGE
(SIMULATION)",C17="SITE IMPACTE - APRES IMPACT"),"L'aire qui n'est plus en zone humide (par ex. bâti, route) dans le site du fait de l'aménagement n'apparaît pas dans l'état avec impact envisagé ou après impact.","")</f>
        <v/>
      </c>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row>
    <row r="107" spans="1:27" ht="18" customHeight="1" x14ac:dyDescent="0.2">
      <c r="A107" s="337"/>
      <c r="B107" s="337"/>
      <c r="C107" s="337"/>
      <c r="D107" s="337"/>
      <c r="E107" s="337"/>
      <c r="F107" s="337"/>
      <c r="G107" s="337"/>
      <c r="H107" s="337"/>
      <c r="I107" s="337"/>
      <c r="J107" s="337"/>
      <c r="K107" s="337"/>
      <c r="L107" s="337"/>
      <c r="M107" s="337"/>
      <c r="N107" s="337"/>
      <c r="O107" s="337"/>
      <c r="S107" s="353" t="s">
        <v>233</v>
      </c>
      <c r="T107" s="578"/>
      <c r="U107" s="578"/>
      <c r="V107" s="578"/>
      <c r="W107" s="578"/>
      <c r="X107" s="591" t="s">
        <v>111</v>
      </c>
      <c r="Y107" s="591"/>
    </row>
    <row r="108" spans="1:27" ht="18" customHeight="1" x14ac:dyDescent="0.2">
      <c r="A108" s="337"/>
      <c r="B108" s="337"/>
      <c r="C108" s="345"/>
      <c r="D108" s="337"/>
      <c r="E108" s="337"/>
      <c r="F108" s="337"/>
      <c r="G108" s="337"/>
      <c r="H108" s="337"/>
      <c r="I108" s="337"/>
      <c r="J108" s="337"/>
      <c r="K108" s="337"/>
      <c r="L108" s="337"/>
      <c r="M108" s="337"/>
      <c r="N108" s="337"/>
      <c r="O108" s="337"/>
    </row>
    <row r="109" spans="1:27" ht="18" customHeight="1" x14ac:dyDescent="0.2">
      <c r="A109" s="337"/>
      <c r="B109" s="337"/>
      <c r="C109" s="345"/>
      <c r="D109" s="337"/>
      <c r="E109" s="337"/>
      <c r="F109" s="337"/>
      <c r="G109" s="337"/>
      <c r="H109" s="337"/>
      <c r="I109" s="337"/>
      <c r="J109" s="337"/>
      <c r="K109" s="337"/>
      <c r="L109" s="337"/>
      <c r="M109" s="337"/>
      <c r="N109" s="337"/>
      <c r="O109" s="337"/>
    </row>
    <row r="110" spans="1:27" ht="18" customHeight="1" x14ac:dyDescent="0.2">
      <c r="A110" s="337"/>
      <c r="B110" s="337"/>
      <c r="C110" s="581" t="s">
        <v>281</v>
      </c>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row>
    <row r="111" spans="1:27" ht="18" customHeight="1" x14ac:dyDescent="0.2">
      <c r="A111" s="337"/>
      <c r="B111" s="337"/>
      <c r="C111" s="354" t="s">
        <v>234</v>
      </c>
      <c r="D111" s="354"/>
      <c r="E111" s="354"/>
      <c r="F111" s="355"/>
      <c r="G111" s="354"/>
      <c r="H111" s="355"/>
      <c r="I111" s="355"/>
      <c r="J111" s="356"/>
      <c r="K111" s="356"/>
      <c r="L111" s="356"/>
      <c r="M111" s="356"/>
      <c r="N111" s="356"/>
      <c r="O111" s="356"/>
      <c r="P111" s="356"/>
      <c r="Q111" s="356"/>
      <c r="R111" s="356"/>
      <c r="S111" s="357" t="s">
        <v>50</v>
      </c>
      <c r="T111" s="665"/>
      <c r="U111" s="666"/>
      <c r="V111" s="666"/>
      <c r="W111" s="667"/>
      <c r="X111" s="358"/>
      <c r="Y111" s="359"/>
    </row>
    <row r="112" spans="1:27" ht="18" customHeight="1" x14ac:dyDescent="0.2">
      <c r="A112" s="337"/>
      <c r="B112" s="337"/>
      <c r="C112" s="360"/>
      <c r="D112" s="32"/>
      <c r="E112" s="32"/>
      <c r="F112" s="361"/>
      <c r="G112" s="361"/>
      <c r="H112" s="361"/>
      <c r="I112" s="361"/>
      <c r="J112" s="361"/>
      <c r="K112" s="346"/>
      <c r="L112" s="346"/>
      <c r="M112" s="346"/>
      <c r="N112" s="346"/>
      <c r="O112" s="346"/>
      <c r="P112" s="346"/>
      <c r="Q112" s="346"/>
      <c r="R112" s="346"/>
      <c r="S112" s="362" t="s">
        <v>51</v>
      </c>
      <c r="T112" s="638"/>
      <c r="U112" s="638"/>
      <c r="V112" s="638"/>
      <c r="W112" s="638"/>
      <c r="X112" s="363"/>
      <c r="Y112" s="364"/>
    </row>
    <row r="113" spans="1:25" ht="18" customHeight="1" x14ac:dyDescent="0.2">
      <c r="A113" s="337"/>
      <c r="B113" s="337"/>
      <c r="C113" s="365"/>
      <c r="D113" s="32"/>
      <c r="E113" s="32"/>
      <c r="F113" s="361"/>
      <c r="G113" s="361"/>
      <c r="H113" s="361"/>
      <c r="I113" s="361"/>
      <c r="J113" s="361"/>
      <c r="K113" s="346"/>
      <c r="L113" s="346"/>
      <c r="M113" s="346"/>
      <c r="N113" s="346"/>
      <c r="O113" s="346"/>
      <c r="P113" s="346"/>
      <c r="Q113" s="346"/>
      <c r="R113" s="346"/>
      <c r="S113" s="362" t="s">
        <v>276</v>
      </c>
      <c r="T113" s="638"/>
      <c r="U113" s="638"/>
      <c r="V113" s="638"/>
      <c r="W113" s="638"/>
      <c r="X113" s="363"/>
      <c r="Y113" s="364"/>
    </row>
    <row r="114" spans="1:25" ht="18" customHeight="1" x14ac:dyDescent="0.2">
      <c r="A114" s="337"/>
      <c r="B114" s="337"/>
      <c r="C114" s="345"/>
      <c r="D114" s="337"/>
      <c r="E114" s="337"/>
      <c r="F114" s="361"/>
      <c r="G114" s="337"/>
      <c r="H114" s="337"/>
      <c r="I114" s="337"/>
      <c r="J114" s="337"/>
      <c r="K114" s="337"/>
      <c r="L114" s="337"/>
      <c r="M114" s="337"/>
      <c r="N114" s="337"/>
      <c r="O114" s="337"/>
    </row>
    <row r="115" spans="1:25" ht="18" customHeight="1" x14ac:dyDescent="0.2">
      <c r="A115" s="337"/>
      <c r="B115" s="337"/>
      <c r="C115" s="345"/>
      <c r="D115" s="337"/>
      <c r="E115" s="337"/>
      <c r="F115" s="361"/>
      <c r="G115" s="337"/>
      <c r="H115" s="337"/>
      <c r="I115" s="337"/>
      <c r="J115" s="337"/>
      <c r="K115" s="337"/>
      <c r="L115" s="337"/>
      <c r="M115" s="337"/>
      <c r="N115" s="337"/>
      <c r="O115" s="337"/>
    </row>
    <row r="116" spans="1:25" ht="18" customHeight="1" x14ac:dyDescent="0.2">
      <c r="A116" s="337"/>
      <c r="B116" s="337"/>
      <c r="C116" s="581" t="s">
        <v>757</v>
      </c>
      <c r="D116" s="581"/>
      <c r="E116" s="581"/>
      <c r="F116" s="581"/>
      <c r="G116" s="704"/>
      <c r="H116" s="704"/>
      <c r="I116" s="704"/>
      <c r="J116" s="704"/>
      <c r="K116" s="704"/>
      <c r="L116" s="704"/>
      <c r="M116" s="704"/>
      <c r="N116" s="704"/>
      <c r="O116" s="704"/>
      <c r="P116" s="704"/>
      <c r="Q116" s="704"/>
      <c r="R116" s="704"/>
      <c r="S116" s="704"/>
      <c r="T116" s="704"/>
      <c r="U116" s="704"/>
      <c r="V116" s="704"/>
      <c r="W116" s="704"/>
      <c r="X116" s="704"/>
      <c r="Y116" s="704"/>
    </row>
    <row r="117" spans="1:25" ht="18" customHeight="1" x14ac:dyDescent="0.2">
      <c r="A117" s="337"/>
      <c r="B117" s="337"/>
      <c r="D117" s="367"/>
      <c r="F117" s="362" t="s">
        <v>235</v>
      </c>
      <c r="G117" s="536"/>
      <c r="H117" s="537"/>
      <c r="I117" s="537"/>
      <c r="J117" s="537"/>
      <c r="K117" s="537"/>
      <c r="L117" s="537"/>
      <c r="M117" s="537"/>
      <c r="N117" s="537"/>
      <c r="O117" s="537"/>
      <c r="P117" s="537"/>
      <c r="Q117" s="537"/>
      <c r="R117" s="537"/>
      <c r="S117" s="537"/>
      <c r="T117" s="537"/>
      <c r="U117" s="537"/>
      <c r="V117" s="537"/>
      <c r="W117" s="537"/>
      <c r="X117" s="537"/>
      <c r="Y117" s="538"/>
    </row>
    <row r="118" spans="1:25" ht="18" customHeight="1" x14ac:dyDescent="0.2">
      <c r="C118" s="345"/>
      <c r="D118" s="367"/>
    </row>
    <row r="119" spans="1:25" ht="18" customHeight="1" x14ac:dyDescent="0.2">
      <c r="C119" s="345"/>
      <c r="D119" s="367"/>
    </row>
    <row r="120" spans="1:25" ht="18" customHeight="1" x14ac:dyDescent="0.2">
      <c r="A120" s="337"/>
      <c r="B120" s="337"/>
      <c r="C120" s="581" t="s">
        <v>282</v>
      </c>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row>
    <row r="121" spans="1:25" ht="18" customHeight="1" x14ac:dyDescent="0.2">
      <c r="A121" s="337"/>
      <c r="B121" s="337"/>
      <c r="C121" s="354" t="s">
        <v>236</v>
      </c>
      <c r="D121" s="354"/>
      <c r="E121" s="337"/>
      <c r="F121" s="368"/>
      <c r="G121" s="368"/>
      <c r="H121" s="368"/>
      <c r="I121" s="353" t="s">
        <v>21</v>
      </c>
      <c r="J121" s="588"/>
      <c r="K121" s="588"/>
      <c r="P121" s="368"/>
      <c r="Q121" s="368"/>
      <c r="S121" s="353" t="s">
        <v>53</v>
      </c>
      <c r="T121" s="588"/>
      <c r="U121" s="588"/>
      <c r="V121" s="588"/>
      <c r="W121" s="588"/>
    </row>
    <row r="122" spans="1:25" ht="18" customHeight="1" x14ac:dyDescent="0.2">
      <c r="A122" s="337"/>
      <c r="B122" s="337"/>
      <c r="C122" s="354"/>
      <c r="D122" s="354"/>
      <c r="E122" s="337"/>
      <c r="F122" s="367"/>
      <c r="G122" s="367"/>
      <c r="H122" s="367"/>
      <c r="I122" s="369" t="s">
        <v>52</v>
      </c>
      <c r="J122" s="588"/>
      <c r="K122" s="588"/>
      <c r="P122" s="367"/>
      <c r="Q122" s="368"/>
      <c r="S122" s="353" t="s">
        <v>23</v>
      </c>
      <c r="T122" s="588"/>
      <c r="U122" s="588"/>
      <c r="V122" s="588"/>
      <c r="W122" s="588"/>
    </row>
    <row r="123" spans="1:25" ht="18" customHeight="1" x14ac:dyDescent="0.2">
      <c r="A123" s="337"/>
      <c r="B123" s="337"/>
      <c r="C123" s="337"/>
      <c r="D123" s="337"/>
      <c r="E123" s="337"/>
      <c r="F123" s="368"/>
      <c r="G123" s="368"/>
      <c r="H123" s="367"/>
      <c r="I123" s="353" t="s">
        <v>22</v>
      </c>
      <c r="J123" s="588"/>
      <c r="K123" s="588"/>
      <c r="P123" s="367"/>
      <c r="Q123" s="367"/>
    </row>
    <row r="124" spans="1:25" ht="18" customHeight="1" x14ac:dyDescent="0.2">
      <c r="A124" s="337"/>
      <c r="B124" s="337"/>
      <c r="C124" s="345"/>
      <c r="D124" s="337"/>
      <c r="E124" s="337"/>
      <c r="F124" s="337"/>
      <c r="G124" s="337"/>
      <c r="H124" s="337"/>
      <c r="I124" s="337"/>
      <c r="J124" s="337"/>
      <c r="K124" s="337"/>
      <c r="L124" s="337"/>
      <c r="M124" s="337"/>
      <c r="N124" s="337"/>
      <c r="O124" s="337"/>
    </row>
    <row r="125" spans="1:25" ht="18" customHeight="1" x14ac:dyDescent="0.2">
      <c r="A125" s="337"/>
      <c r="B125" s="337"/>
      <c r="C125" s="345"/>
      <c r="D125" s="337"/>
      <c r="E125" s="337"/>
      <c r="F125" s="337"/>
      <c r="G125" s="337"/>
      <c r="H125" s="337"/>
      <c r="I125" s="337"/>
      <c r="J125" s="337"/>
      <c r="K125" s="337"/>
      <c r="L125" s="337"/>
      <c r="M125" s="337"/>
      <c r="N125" s="337"/>
      <c r="O125" s="337"/>
    </row>
    <row r="126" spans="1:25" ht="18" customHeight="1" x14ac:dyDescent="0.2">
      <c r="A126" s="337"/>
      <c r="B126" s="337"/>
      <c r="C126" s="583" t="s">
        <v>283</v>
      </c>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row>
    <row r="127" spans="1:25" ht="18" customHeight="1" x14ac:dyDescent="0.2">
      <c r="A127" s="337"/>
      <c r="B127" s="337"/>
      <c r="C127" s="592"/>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row>
    <row r="128" spans="1:25" ht="18" customHeight="1" x14ac:dyDescent="0.2">
      <c r="A128" s="337"/>
      <c r="B128" s="337"/>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row>
    <row r="129" spans="1:25" ht="18" customHeight="1" x14ac:dyDescent="0.2">
      <c r="C129" s="345"/>
      <c r="D129" s="520"/>
      <c r="E129" s="370"/>
      <c r="F129" s="370"/>
      <c r="G129" s="370"/>
      <c r="H129" s="370"/>
      <c r="I129" s="370"/>
      <c r="J129" s="370"/>
      <c r="K129" s="370"/>
      <c r="L129" s="370"/>
    </row>
    <row r="130" spans="1:25" ht="18" customHeight="1" x14ac:dyDescent="0.2">
      <c r="C130" s="345"/>
      <c r="D130" s="520"/>
      <c r="E130" s="370"/>
      <c r="F130" s="370"/>
      <c r="G130" s="370"/>
      <c r="H130" s="370"/>
      <c r="I130" s="370"/>
      <c r="J130" s="370"/>
      <c r="K130" s="370"/>
      <c r="L130" s="370"/>
    </row>
    <row r="131" spans="1:25" ht="18" customHeight="1" x14ac:dyDescent="0.2">
      <c r="C131" s="581" t="s">
        <v>284</v>
      </c>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row>
    <row r="132" spans="1:25" ht="18" customHeight="1" x14ac:dyDescent="0.2">
      <c r="C132" s="365"/>
      <c r="D132" s="365"/>
      <c r="S132" s="369" t="s">
        <v>237</v>
      </c>
      <c r="T132" s="701"/>
      <c r="U132" s="701"/>
      <c r="V132" s="701"/>
      <c r="W132" s="701"/>
      <c r="X132" s="371"/>
      <c r="Y132" s="372"/>
    </row>
    <row r="133" spans="1:25" ht="18" customHeight="1" x14ac:dyDescent="0.2">
      <c r="C133" s="345"/>
      <c r="D133" s="520"/>
      <c r="E133" s="370"/>
      <c r="F133" s="370"/>
      <c r="G133" s="370"/>
      <c r="H133" s="370"/>
      <c r="I133" s="370"/>
      <c r="J133" s="370"/>
      <c r="K133" s="370"/>
      <c r="L133" s="370"/>
    </row>
    <row r="134" spans="1:25" ht="18" customHeight="1" x14ac:dyDescent="0.2">
      <c r="C134" s="345"/>
      <c r="D134" s="520"/>
      <c r="E134" s="370"/>
      <c r="F134" s="370"/>
      <c r="G134" s="370"/>
      <c r="H134" s="370"/>
      <c r="I134" s="370"/>
      <c r="J134" s="370"/>
      <c r="K134" s="370"/>
      <c r="L134" s="370"/>
    </row>
    <row r="135" spans="1:25" ht="33.75" customHeight="1" x14ac:dyDescent="0.2">
      <c r="A135" s="337"/>
      <c r="B135" s="337"/>
      <c r="C135" s="341" t="s">
        <v>403</v>
      </c>
      <c r="D135" s="695" t="s">
        <v>44</v>
      </c>
      <c r="E135" s="696"/>
      <c r="F135" s="696"/>
      <c r="G135" s="696"/>
      <c r="H135" s="696"/>
      <c r="I135" s="696"/>
      <c r="J135" s="696"/>
      <c r="K135" s="696"/>
      <c r="L135" s="696"/>
      <c r="M135" s="696"/>
      <c r="N135" s="696"/>
      <c r="O135" s="696"/>
      <c r="P135" s="696"/>
      <c r="Q135" s="696"/>
      <c r="R135" s="696"/>
      <c r="S135" s="696"/>
      <c r="T135" s="696"/>
      <c r="U135" s="696"/>
      <c r="V135" s="696"/>
      <c r="W135" s="696"/>
      <c r="X135" s="696"/>
      <c r="Y135" s="697"/>
    </row>
    <row r="136" spans="1:25" ht="18" customHeight="1" x14ac:dyDescent="0.2">
      <c r="A136" s="337"/>
      <c r="B136" s="337"/>
      <c r="C136" s="517"/>
      <c r="D136" s="517"/>
      <c r="E136" s="517"/>
      <c r="F136" s="517"/>
      <c r="G136" s="517"/>
      <c r="H136" s="517"/>
      <c r="I136" s="517"/>
      <c r="J136" s="517"/>
      <c r="K136" s="517"/>
      <c r="L136" s="517"/>
      <c r="M136" s="517"/>
      <c r="N136" s="517"/>
      <c r="O136" s="517"/>
      <c r="P136" s="517"/>
      <c r="Q136" s="517"/>
      <c r="R136" s="517"/>
      <c r="S136" s="517"/>
      <c r="T136" s="517"/>
      <c r="U136" s="517"/>
      <c r="V136" s="517"/>
      <c r="W136" s="517"/>
      <c r="X136" s="517"/>
      <c r="Y136" s="517"/>
    </row>
    <row r="137" spans="1:25" ht="18" customHeight="1" x14ac:dyDescent="0.2">
      <c r="A137" s="337"/>
      <c r="B137" s="337"/>
      <c r="C137" s="583" t="s">
        <v>364</v>
      </c>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row>
    <row r="138" spans="1:25" ht="18" customHeight="1" x14ac:dyDescent="0.2">
      <c r="A138" s="337"/>
      <c r="B138" s="337"/>
      <c r="C138" s="592"/>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row>
    <row r="139" spans="1:25" ht="18" customHeight="1" thickBot="1" x14ac:dyDescent="0.25">
      <c r="A139" s="337"/>
      <c r="B139" s="337"/>
      <c r="C139" s="373"/>
      <c r="D139" s="373"/>
      <c r="E139" s="374"/>
      <c r="F139" s="374"/>
      <c r="G139" s="374"/>
      <c r="H139" s="374"/>
      <c r="I139" s="374"/>
      <c r="J139" s="374"/>
      <c r="K139" s="373"/>
      <c r="L139" s="373"/>
      <c r="M139" s="374"/>
      <c r="N139" s="374"/>
      <c r="O139" s="374"/>
      <c r="P139" s="374"/>
      <c r="Q139" s="374"/>
      <c r="R139" s="374"/>
      <c r="S139" s="362" t="s">
        <v>238</v>
      </c>
      <c r="T139" s="702"/>
      <c r="U139" s="702"/>
      <c r="V139" s="702"/>
      <c r="W139" s="702"/>
      <c r="X139" s="703"/>
      <c r="Y139" s="703"/>
    </row>
    <row r="140" spans="1:25" ht="18" customHeight="1" thickBot="1" x14ac:dyDescent="0.25">
      <c r="A140" s="337"/>
      <c r="B140" s="337"/>
      <c r="C140" s="345"/>
      <c r="D140" s="517"/>
      <c r="E140" s="517"/>
      <c r="F140" s="517"/>
      <c r="G140" s="517"/>
      <c r="H140" s="517"/>
      <c r="I140" s="517"/>
      <c r="J140" s="517"/>
      <c r="K140" s="517"/>
      <c r="L140" s="517"/>
      <c r="M140" s="517"/>
      <c r="N140" s="517"/>
      <c r="O140" s="517"/>
      <c r="P140" s="517"/>
      <c r="Q140" s="517"/>
      <c r="R140" s="517"/>
      <c r="S140" s="517"/>
      <c r="T140" s="375"/>
      <c r="U140" s="376"/>
      <c r="V140" s="376"/>
      <c r="W140" s="377" t="str">
        <f>CONCATENATE(IF($T$139="","",IF($T$139&gt;8,"Le rang de Strahler maximal est de 8 dans la BD CARTHAGE","")),IF(AND(OR($J$121="X",$J$122="X"),$T$139=""),"Site alluvial ou riverain des étendues d'eau, renseignez un rang de Strahler.",""))</f>
        <v/>
      </c>
      <c r="X140" s="517"/>
      <c r="Y140" s="517"/>
    </row>
    <row r="141" spans="1:25" ht="18" customHeight="1" x14ac:dyDescent="0.2">
      <c r="A141" s="337"/>
      <c r="B141" s="337"/>
      <c r="C141" s="345"/>
      <c r="D141" s="517"/>
      <c r="E141" s="517"/>
      <c r="F141" s="517"/>
      <c r="G141" s="517"/>
      <c r="H141" s="517"/>
      <c r="I141" s="517"/>
      <c r="J141" s="517"/>
      <c r="K141" s="517"/>
      <c r="L141" s="517"/>
      <c r="M141" s="517"/>
      <c r="N141" s="517"/>
      <c r="O141" s="517"/>
      <c r="P141" s="517"/>
      <c r="Q141" s="517"/>
      <c r="R141" s="517"/>
      <c r="S141" s="517"/>
      <c r="T141" s="517"/>
      <c r="U141" s="517"/>
      <c r="V141" s="517"/>
      <c r="W141" s="378"/>
      <c r="X141" s="517"/>
      <c r="Y141" s="517"/>
    </row>
    <row r="142" spans="1:25" ht="18" customHeight="1" x14ac:dyDescent="0.2">
      <c r="A142" s="337"/>
      <c r="B142" s="337"/>
      <c r="C142" s="581" t="s">
        <v>777</v>
      </c>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row>
    <row r="143" spans="1:25" ht="18" customHeight="1" x14ac:dyDescent="0.2">
      <c r="A143" s="337"/>
      <c r="B143" s="337"/>
      <c r="C143" s="684" t="s">
        <v>365</v>
      </c>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row>
    <row r="144" spans="1:25" ht="18" customHeight="1" x14ac:dyDescent="0.2">
      <c r="A144" s="337"/>
      <c r="B144" s="337"/>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row>
    <row r="145" spans="1:25" ht="18" customHeight="1" x14ac:dyDescent="0.2">
      <c r="A145" s="337"/>
      <c r="B145" s="337"/>
      <c r="C145" s="686"/>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8"/>
    </row>
    <row r="146" spans="1:25" ht="18" customHeight="1" x14ac:dyDescent="0.2">
      <c r="A146" s="337"/>
      <c r="B146" s="337"/>
      <c r="C146" s="689"/>
      <c r="D146" s="690"/>
      <c r="E146" s="690"/>
      <c r="F146" s="690"/>
      <c r="G146" s="690"/>
      <c r="H146" s="690"/>
      <c r="I146" s="690"/>
      <c r="J146" s="690"/>
      <c r="K146" s="690"/>
      <c r="L146" s="690"/>
      <c r="M146" s="690"/>
      <c r="N146" s="690"/>
      <c r="O146" s="690"/>
      <c r="P146" s="690"/>
      <c r="Q146" s="690"/>
      <c r="R146" s="690"/>
      <c r="S146" s="690"/>
      <c r="T146" s="690"/>
      <c r="U146" s="690"/>
      <c r="V146" s="690"/>
      <c r="W146" s="690"/>
      <c r="X146" s="690"/>
      <c r="Y146" s="691"/>
    </row>
    <row r="147" spans="1:25" ht="18" customHeight="1" x14ac:dyDescent="0.2">
      <c r="A147" s="337"/>
      <c r="B147" s="337"/>
      <c r="C147" s="689"/>
      <c r="D147" s="690"/>
      <c r="E147" s="690"/>
      <c r="F147" s="690"/>
      <c r="G147" s="690"/>
      <c r="H147" s="690"/>
      <c r="I147" s="690"/>
      <c r="J147" s="690"/>
      <c r="K147" s="690"/>
      <c r="L147" s="690"/>
      <c r="M147" s="690"/>
      <c r="N147" s="690"/>
      <c r="O147" s="690"/>
      <c r="P147" s="690"/>
      <c r="Q147" s="690"/>
      <c r="R147" s="690"/>
      <c r="S147" s="690"/>
      <c r="T147" s="690"/>
      <c r="U147" s="690"/>
      <c r="V147" s="690"/>
      <c r="W147" s="690"/>
      <c r="X147" s="690"/>
      <c r="Y147" s="691"/>
    </row>
    <row r="148" spans="1:25" ht="18" customHeight="1" x14ac:dyDescent="0.2">
      <c r="A148" s="337"/>
      <c r="B148" s="337"/>
      <c r="C148" s="689"/>
      <c r="D148" s="690"/>
      <c r="E148" s="690"/>
      <c r="F148" s="690"/>
      <c r="G148" s="690"/>
      <c r="H148" s="690"/>
      <c r="I148" s="690"/>
      <c r="J148" s="690"/>
      <c r="K148" s="690"/>
      <c r="L148" s="690"/>
      <c r="M148" s="690"/>
      <c r="N148" s="690"/>
      <c r="O148" s="690"/>
      <c r="P148" s="690"/>
      <c r="Q148" s="690"/>
      <c r="R148" s="690"/>
      <c r="S148" s="690"/>
      <c r="T148" s="690"/>
      <c r="U148" s="690"/>
      <c r="V148" s="690"/>
      <c r="W148" s="690"/>
      <c r="X148" s="690"/>
      <c r="Y148" s="691"/>
    </row>
    <row r="149" spans="1:25" ht="18" customHeight="1" x14ac:dyDescent="0.2">
      <c r="A149" s="337"/>
      <c r="B149" s="337"/>
      <c r="C149" s="689"/>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1"/>
    </row>
    <row r="150" spans="1:25" ht="18" customHeight="1" x14ac:dyDescent="0.2">
      <c r="A150" s="337"/>
      <c r="B150" s="337"/>
      <c r="C150" s="689"/>
      <c r="D150" s="690"/>
      <c r="E150" s="690"/>
      <c r="F150" s="690"/>
      <c r="G150" s="690"/>
      <c r="H150" s="690"/>
      <c r="I150" s="690"/>
      <c r="J150" s="690"/>
      <c r="K150" s="690"/>
      <c r="L150" s="690"/>
      <c r="M150" s="690"/>
      <c r="N150" s="690"/>
      <c r="O150" s="690"/>
      <c r="P150" s="690"/>
      <c r="Q150" s="690"/>
      <c r="R150" s="690"/>
      <c r="S150" s="690"/>
      <c r="T150" s="690"/>
      <c r="U150" s="690"/>
      <c r="V150" s="690"/>
      <c r="W150" s="690"/>
      <c r="X150" s="690"/>
      <c r="Y150" s="691"/>
    </row>
    <row r="151" spans="1:25" ht="18" customHeight="1" x14ac:dyDescent="0.2">
      <c r="A151" s="337"/>
      <c r="B151" s="337"/>
      <c r="C151" s="689"/>
      <c r="D151" s="690"/>
      <c r="E151" s="690"/>
      <c r="F151" s="690"/>
      <c r="G151" s="690"/>
      <c r="H151" s="690"/>
      <c r="I151" s="690"/>
      <c r="J151" s="690"/>
      <c r="K151" s="690"/>
      <c r="L151" s="690"/>
      <c r="M151" s="690"/>
      <c r="N151" s="690"/>
      <c r="O151" s="690"/>
      <c r="P151" s="690"/>
      <c r="Q151" s="690"/>
      <c r="R151" s="690"/>
      <c r="S151" s="690"/>
      <c r="T151" s="690"/>
      <c r="U151" s="690"/>
      <c r="V151" s="690"/>
      <c r="W151" s="690"/>
      <c r="X151" s="690"/>
      <c r="Y151" s="691"/>
    </row>
    <row r="152" spans="1:25" ht="18" customHeight="1" x14ac:dyDescent="0.2">
      <c r="A152" s="337"/>
      <c r="B152" s="337"/>
      <c r="C152" s="689"/>
      <c r="D152" s="690"/>
      <c r="E152" s="690"/>
      <c r="F152" s="690"/>
      <c r="G152" s="690"/>
      <c r="H152" s="690"/>
      <c r="I152" s="690"/>
      <c r="J152" s="690"/>
      <c r="K152" s="690"/>
      <c r="L152" s="690"/>
      <c r="M152" s="690"/>
      <c r="N152" s="690"/>
      <c r="O152" s="690"/>
      <c r="P152" s="690"/>
      <c r="Q152" s="690"/>
      <c r="R152" s="690"/>
      <c r="S152" s="690"/>
      <c r="T152" s="690"/>
      <c r="U152" s="690"/>
      <c r="V152" s="690"/>
      <c r="W152" s="690"/>
      <c r="X152" s="690"/>
      <c r="Y152" s="691"/>
    </row>
    <row r="153" spans="1:25" ht="18" customHeight="1" x14ac:dyDescent="0.2">
      <c r="A153" s="337"/>
      <c r="B153" s="337"/>
      <c r="C153" s="689"/>
      <c r="D153" s="690"/>
      <c r="E153" s="690"/>
      <c r="F153" s="690"/>
      <c r="G153" s="690"/>
      <c r="H153" s="690"/>
      <c r="I153" s="690"/>
      <c r="J153" s="690"/>
      <c r="K153" s="690"/>
      <c r="L153" s="690"/>
      <c r="M153" s="690"/>
      <c r="N153" s="690"/>
      <c r="O153" s="690"/>
      <c r="P153" s="690"/>
      <c r="Q153" s="690"/>
      <c r="R153" s="690"/>
      <c r="S153" s="690"/>
      <c r="T153" s="690"/>
      <c r="U153" s="690"/>
      <c r="V153" s="690"/>
      <c r="W153" s="690"/>
      <c r="X153" s="690"/>
      <c r="Y153" s="691"/>
    </row>
    <row r="154" spans="1:25" ht="18" customHeight="1" x14ac:dyDescent="0.2">
      <c r="A154" s="337"/>
      <c r="B154" s="337"/>
      <c r="C154" s="689"/>
      <c r="D154" s="690"/>
      <c r="E154" s="690"/>
      <c r="F154" s="690"/>
      <c r="G154" s="690"/>
      <c r="H154" s="690"/>
      <c r="I154" s="690"/>
      <c r="J154" s="690"/>
      <c r="K154" s="690"/>
      <c r="L154" s="690"/>
      <c r="M154" s="690"/>
      <c r="N154" s="690"/>
      <c r="O154" s="690"/>
      <c r="P154" s="690"/>
      <c r="Q154" s="690"/>
      <c r="R154" s="690"/>
      <c r="S154" s="690"/>
      <c r="T154" s="690"/>
      <c r="U154" s="690"/>
      <c r="V154" s="690"/>
      <c r="W154" s="690"/>
      <c r="X154" s="690"/>
      <c r="Y154" s="691"/>
    </row>
    <row r="155" spans="1:25" ht="18" customHeight="1" x14ac:dyDescent="0.2">
      <c r="A155" s="337"/>
      <c r="B155" s="337"/>
      <c r="C155" s="689"/>
      <c r="D155" s="690"/>
      <c r="E155" s="690"/>
      <c r="F155" s="690"/>
      <c r="G155" s="690"/>
      <c r="H155" s="690"/>
      <c r="I155" s="690"/>
      <c r="J155" s="690"/>
      <c r="K155" s="690"/>
      <c r="L155" s="690"/>
      <c r="M155" s="690"/>
      <c r="N155" s="690"/>
      <c r="O155" s="690"/>
      <c r="P155" s="690"/>
      <c r="Q155" s="690"/>
      <c r="R155" s="690"/>
      <c r="S155" s="690"/>
      <c r="T155" s="690"/>
      <c r="U155" s="690"/>
      <c r="V155" s="690"/>
      <c r="W155" s="690"/>
      <c r="X155" s="690"/>
      <c r="Y155" s="691"/>
    </row>
    <row r="156" spans="1:25" ht="18" customHeight="1" x14ac:dyDescent="0.2">
      <c r="A156" s="337"/>
      <c r="B156" s="337"/>
      <c r="C156" s="689"/>
      <c r="D156" s="690"/>
      <c r="E156" s="690"/>
      <c r="F156" s="690"/>
      <c r="G156" s="690"/>
      <c r="H156" s="690"/>
      <c r="I156" s="690"/>
      <c r="J156" s="690"/>
      <c r="K156" s="690"/>
      <c r="L156" s="690"/>
      <c r="M156" s="690"/>
      <c r="N156" s="690"/>
      <c r="O156" s="690"/>
      <c r="P156" s="690"/>
      <c r="Q156" s="690"/>
      <c r="R156" s="690"/>
      <c r="S156" s="690"/>
      <c r="T156" s="690"/>
      <c r="U156" s="690"/>
      <c r="V156" s="690"/>
      <c r="W156" s="690"/>
      <c r="X156" s="690"/>
      <c r="Y156" s="691"/>
    </row>
    <row r="157" spans="1:25" ht="18" customHeight="1" x14ac:dyDescent="0.2">
      <c r="A157" s="337"/>
      <c r="B157" s="337"/>
      <c r="C157" s="689"/>
      <c r="D157" s="690"/>
      <c r="E157" s="690"/>
      <c r="F157" s="690"/>
      <c r="G157" s="690"/>
      <c r="H157" s="690"/>
      <c r="I157" s="690"/>
      <c r="J157" s="690"/>
      <c r="K157" s="690"/>
      <c r="L157" s="690"/>
      <c r="M157" s="690"/>
      <c r="N157" s="690"/>
      <c r="O157" s="690"/>
      <c r="P157" s="690"/>
      <c r="Q157" s="690"/>
      <c r="R157" s="690"/>
      <c r="S157" s="690"/>
      <c r="T157" s="690"/>
      <c r="U157" s="690"/>
      <c r="V157" s="690"/>
      <c r="W157" s="690"/>
      <c r="X157" s="690"/>
      <c r="Y157" s="691"/>
    </row>
    <row r="158" spans="1:25" ht="18" customHeight="1" x14ac:dyDescent="0.2">
      <c r="A158" s="337"/>
      <c r="B158" s="337"/>
      <c r="C158" s="689"/>
      <c r="D158" s="690"/>
      <c r="E158" s="690"/>
      <c r="F158" s="690"/>
      <c r="G158" s="690"/>
      <c r="H158" s="690"/>
      <c r="I158" s="690"/>
      <c r="J158" s="690"/>
      <c r="K158" s="690"/>
      <c r="L158" s="690"/>
      <c r="M158" s="690"/>
      <c r="N158" s="690"/>
      <c r="O158" s="690"/>
      <c r="P158" s="690"/>
      <c r="Q158" s="690"/>
      <c r="R158" s="690"/>
      <c r="S158" s="690"/>
      <c r="T158" s="690"/>
      <c r="U158" s="690"/>
      <c r="V158" s="690"/>
      <c r="W158" s="690"/>
      <c r="X158" s="690"/>
      <c r="Y158" s="691"/>
    </row>
    <row r="159" spans="1:25" ht="18" customHeight="1" x14ac:dyDescent="0.2">
      <c r="A159" s="337"/>
      <c r="B159" s="337"/>
      <c r="C159" s="689"/>
      <c r="D159" s="690"/>
      <c r="E159" s="690"/>
      <c r="F159" s="690"/>
      <c r="G159" s="690"/>
      <c r="H159" s="690"/>
      <c r="I159" s="690"/>
      <c r="J159" s="690"/>
      <c r="K159" s="690"/>
      <c r="L159" s="690"/>
      <c r="M159" s="690"/>
      <c r="N159" s="690"/>
      <c r="O159" s="690"/>
      <c r="P159" s="690"/>
      <c r="Q159" s="690"/>
      <c r="R159" s="690"/>
      <c r="S159" s="690"/>
      <c r="T159" s="690"/>
      <c r="U159" s="690"/>
      <c r="V159" s="690"/>
      <c r="W159" s="690"/>
      <c r="X159" s="690"/>
      <c r="Y159" s="691"/>
    </row>
    <row r="160" spans="1:25" ht="18" customHeight="1" x14ac:dyDescent="0.2">
      <c r="A160" s="337"/>
      <c r="B160" s="337"/>
      <c r="C160" s="689"/>
      <c r="D160" s="690"/>
      <c r="E160" s="690"/>
      <c r="F160" s="690"/>
      <c r="G160" s="690"/>
      <c r="H160" s="690"/>
      <c r="I160" s="690"/>
      <c r="J160" s="690"/>
      <c r="K160" s="690"/>
      <c r="L160" s="690"/>
      <c r="M160" s="690"/>
      <c r="N160" s="690"/>
      <c r="O160" s="690"/>
      <c r="P160" s="690"/>
      <c r="Q160" s="690"/>
      <c r="R160" s="690"/>
      <c r="S160" s="690"/>
      <c r="T160" s="690"/>
      <c r="U160" s="690"/>
      <c r="V160" s="690"/>
      <c r="W160" s="690"/>
      <c r="X160" s="690"/>
      <c r="Y160" s="691"/>
    </row>
    <row r="161" spans="1:25" ht="18" customHeight="1" x14ac:dyDescent="0.2">
      <c r="A161" s="337"/>
      <c r="B161" s="337"/>
      <c r="C161" s="689"/>
      <c r="D161" s="690"/>
      <c r="E161" s="690"/>
      <c r="F161" s="690"/>
      <c r="G161" s="690"/>
      <c r="H161" s="690"/>
      <c r="I161" s="690"/>
      <c r="J161" s="690"/>
      <c r="K161" s="690"/>
      <c r="L161" s="690"/>
      <c r="M161" s="690"/>
      <c r="N161" s="690"/>
      <c r="O161" s="690"/>
      <c r="P161" s="690"/>
      <c r="Q161" s="690"/>
      <c r="R161" s="690"/>
      <c r="S161" s="690"/>
      <c r="T161" s="690"/>
      <c r="U161" s="690"/>
      <c r="V161" s="690"/>
      <c r="W161" s="690"/>
      <c r="X161" s="690"/>
      <c r="Y161" s="691"/>
    </row>
    <row r="162" spans="1:25" ht="18" customHeight="1" x14ac:dyDescent="0.2">
      <c r="A162" s="337"/>
      <c r="B162" s="337"/>
      <c r="C162" s="689"/>
      <c r="D162" s="690"/>
      <c r="E162" s="690"/>
      <c r="F162" s="690"/>
      <c r="G162" s="690"/>
      <c r="H162" s="690"/>
      <c r="I162" s="690"/>
      <c r="J162" s="690"/>
      <c r="K162" s="690"/>
      <c r="L162" s="690"/>
      <c r="M162" s="690"/>
      <c r="N162" s="690"/>
      <c r="O162" s="690"/>
      <c r="P162" s="690"/>
      <c r="Q162" s="690"/>
      <c r="R162" s="690"/>
      <c r="S162" s="690"/>
      <c r="T162" s="690"/>
      <c r="U162" s="690"/>
      <c r="V162" s="690"/>
      <c r="W162" s="690"/>
      <c r="X162" s="690"/>
      <c r="Y162" s="691"/>
    </row>
    <row r="163" spans="1:25" ht="18" customHeight="1" x14ac:dyDescent="0.2">
      <c r="A163" s="337"/>
      <c r="B163" s="337"/>
      <c r="C163" s="689"/>
      <c r="D163" s="690"/>
      <c r="E163" s="690"/>
      <c r="F163" s="690"/>
      <c r="G163" s="690"/>
      <c r="H163" s="690"/>
      <c r="I163" s="690"/>
      <c r="J163" s="690"/>
      <c r="K163" s="690"/>
      <c r="L163" s="690"/>
      <c r="M163" s="690"/>
      <c r="N163" s="690"/>
      <c r="O163" s="690"/>
      <c r="P163" s="690"/>
      <c r="Q163" s="690"/>
      <c r="R163" s="690"/>
      <c r="S163" s="690"/>
      <c r="T163" s="690"/>
      <c r="U163" s="690"/>
      <c r="V163" s="690"/>
      <c r="W163" s="690"/>
      <c r="X163" s="690"/>
      <c r="Y163" s="691"/>
    </row>
    <row r="164" spans="1:25" ht="18" customHeight="1" x14ac:dyDescent="0.2">
      <c r="A164" s="337"/>
      <c r="B164" s="337"/>
      <c r="C164" s="689"/>
      <c r="D164" s="690"/>
      <c r="E164" s="690"/>
      <c r="F164" s="690"/>
      <c r="G164" s="690"/>
      <c r="H164" s="690"/>
      <c r="I164" s="690"/>
      <c r="J164" s="690"/>
      <c r="K164" s="690"/>
      <c r="L164" s="690"/>
      <c r="M164" s="690"/>
      <c r="N164" s="690"/>
      <c r="O164" s="690"/>
      <c r="P164" s="690"/>
      <c r="Q164" s="690"/>
      <c r="R164" s="690"/>
      <c r="S164" s="690"/>
      <c r="T164" s="690"/>
      <c r="U164" s="690"/>
      <c r="V164" s="690"/>
      <c r="W164" s="690"/>
      <c r="X164" s="690"/>
      <c r="Y164" s="691"/>
    </row>
    <row r="165" spans="1:25" ht="18" customHeight="1" x14ac:dyDescent="0.2">
      <c r="A165" s="337"/>
      <c r="B165" s="337"/>
      <c r="C165" s="689"/>
      <c r="D165" s="690"/>
      <c r="E165" s="690"/>
      <c r="F165" s="690"/>
      <c r="G165" s="690"/>
      <c r="H165" s="690"/>
      <c r="I165" s="690"/>
      <c r="J165" s="690"/>
      <c r="K165" s="690"/>
      <c r="L165" s="690"/>
      <c r="M165" s="690"/>
      <c r="N165" s="690"/>
      <c r="O165" s="690"/>
      <c r="P165" s="690"/>
      <c r="Q165" s="690"/>
      <c r="R165" s="690"/>
      <c r="S165" s="690"/>
      <c r="T165" s="690"/>
      <c r="U165" s="690"/>
      <c r="V165" s="690"/>
      <c r="W165" s="690"/>
      <c r="X165" s="690"/>
      <c r="Y165" s="691"/>
    </row>
    <row r="166" spans="1:25" ht="18" customHeight="1" x14ac:dyDescent="0.2">
      <c r="A166" s="337"/>
      <c r="B166" s="337"/>
      <c r="C166" s="689"/>
      <c r="D166" s="690"/>
      <c r="E166" s="690"/>
      <c r="F166" s="690"/>
      <c r="G166" s="690"/>
      <c r="H166" s="690"/>
      <c r="I166" s="690"/>
      <c r="J166" s="690"/>
      <c r="K166" s="690"/>
      <c r="L166" s="690"/>
      <c r="M166" s="690"/>
      <c r="N166" s="690"/>
      <c r="O166" s="690"/>
      <c r="P166" s="690"/>
      <c r="Q166" s="690"/>
      <c r="R166" s="690"/>
      <c r="S166" s="690"/>
      <c r="T166" s="690"/>
      <c r="U166" s="690"/>
      <c r="V166" s="690"/>
      <c r="W166" s="690"/>
      <c r="X166" s="690"/>
      <c r="Y166" s="691"/>
    </row>
    <row r="167" spans="1:25" ht="18" customHeight="1" x14ac:dyDescent="0.2">
      <c r="A167" s="337"/>
      <c r="B167" s="337"/>
      <c r="C167" s="689"/>
      <c r="D167" s="690"/>
      <c r="E167" s="690"/>
      <c r="F167" s="690"/>
      <c r="G167" s="690"/>
      <c r="H167" s="690"/>
      <c r="I167" s="690"/>
      <c r="J167" s="690"/>
      <c r="K167" s="690"/>
      <c r="L167" s="690"/>
      <c r="M167" s="690"/>
      <c r="N167" s="690"/>
      <c r="O167" s="690"/>
      <c r="P167" s="690"/>
      <c r="Q167" s="690"/>
      <c r="R167" s="690"/>
      <c r="S167" s="690"/>
      <c r="T167" s="690"/>
      <c r="U167" s="690"/>
      <c r="V167" s="690"/>
      <c r="W167" s="690"/>
      <c r="X167" s="690"/>
      <c r="Y167" s="691"/>
    </row>
    <row r="168" spans="1:25" ht="18" customHeight="1" x14ac:dyDescent="0.2">
      <c r="A168" s="337"/>
      <c r="B168" s="337"/>
      <c r="C168" s="689"/>
      <c r="D168" s="690"/>
      <c r="E168" s="690"/>
      <c r="F168" s="690"/>
      <c r="G168" s="690"/>
      <c r="H168" s="690"/>
      <c r="I168" s="690"/>
      <c r="J168" s="690"/>
      <c r="K168" s="690"/>
      <c r="L168" s="690"/>
      <c r="M168" s="690"/>
      <c r="N168" s="690"/>
      <c r="O168" s="690"/>
      <c r="P168" s="690"/>
      <c r="Q168" s="690"/>
      <c r="R168" s="690"/>
      <c r="S168" s="690"/>
      <c r="T168" s="690"/>
      <c r="U168" s="690"/>
      <c r="V168" s="690"/>
      <c r="W168" s="690"/>
      <c r="X168" s="690"/>
      <c r="Y168" s="691"/>
    </row>
    <row r="169" spans="1:25" ht="18" customHeight="1" x14ac:dyDescent="0.2">
      <c r="A169" s="337"/>
      <c r="B169" s="337"/>
      <c r="C169" s="689"/>
      <c r="D169" s="690"/>
      <c r="E169" s="690"/>
      <c r="F169" s="690"/>
      <c r="G169" s="690"/>
      <c r="H169" s="690"/>
      <c r="I169" s="690"/>
      <c r="J169" s="690"/>
      <c r="K169" s="690"/>
      <c r="L169" s="690"/>
      <c r="M169" s="690"/>
      <c r="N169" s="690"/>
      <c r="O169" s="690"/>
      <c r="P169" s="690"/>
      <c r="Q169" s="690"/>
      <c r="R169" s="690"/>
      <c r="S169" s="690"/>
      <c r="T169" s="690"/>
      <c r="U169" s="690"/>
      <c r="V169" s="690"/>
      <c r="W169" s="690"/>
      <c r="X169" s="690"/>
      <c r="Y169" s="691"/>
    </row>
    <row r="170" spans="1:25" ht="18" customHeight="1" x14ac:dyDescent="0.2">
      <c r="A170" s="337"/>
      <c r="B170" s="337"/>
      <c r="C170" s="689"/>
      <c r="D170" s="690"/>
      <c r="E170" s="690"/>
      <c r="F170" s="690"/>
      <c r="G170" s="690"/>
      <c r="H170" s="690"/>
      <c r="I170" s="690"/>
      <c r="J170" s="690"/>
      <c r="K170" s="690"/>
      <c r="L170" s="690"/>
      <c r="M170" s="690"/>
      <c r="N170" s="690"/>
      <c r="O170" s="690"/>
      <c r="P170" s="690"/>
      <c r="Q170" s="690"/>
      <c r="R170" s="690"/>
      <c r="S170" s="690"/>
      <c r="T170" s="690"/>
      <c r="U170" s="690"/>
      <c r="V170" s="690"/>
      <c r="W170" s="690"/>
      <c r="X170" s="690"/>
      <c r="Y170" s="691"/>
    </row>
    <row r="171" spans="1:25" ht="18" customHeight="1" x14ac:dyDescent="0.2">
      <c r="A171" s="337"/>
      <c r="B171" s="337"/>
      <c r="C171" s="689"/>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1"/>
    </row>
    <row r="172" spans="1:25" ht="18" customHeight="1" x14ac:dyDescent="0.2">
      <c r="A172" s="337"/>
      <c r="B172" s="337"/>
      <c r="C172" s="689"/>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1"/>
    </row>
    <row r="173" spans="1:25" ht="18" customHeight="1" x14ac:dyDescent="0.2">
      <c r="A173" s="337"/>
      <c r="B173" s="337"/>
      <c r="C173" s="689"/>
      <c r="D173" s="690"/>
      <c r="E173" s="690"/>
      <c r="F173" s="690"/>
      <c r="G173" s="690"/>
      <c r="H173" s="690"/>
      <c r="I173" s="690"/>
      <c r="J173" s="690"/>
      <c r="K173" s="690"/>
      <c r="L173" s="690"/>
      <c r="M173" s="690"/>
      <c r="N173" s="690"/>
      <c r="O173" s="690"/>
      <c r="P173" s="690"/>
      <c r="Q173" s="690"/>
      <c r="R173" s="690"/>
      <c r="S173" s="690"/>
      <c r="T173" s="690"/>
      <c r="U173" s="690"/>
      <c r="V173" s="690"/>
      <c r="W173" s="690"/>
      <c r="X173" s="690"/>
      <c r="Y173" s="691"/>
    </row>
    <row r="174" spans="1:25" ht="18" customHeight="1" x14ac:dyDescent="0.2">
      <c r="A174" s="337"/>
      <c r="B174" s="337"/>
      <c r="C174" s="689"/>
      <c r="D174" s="690"/>
      <c r="E174" s="690"/>
      <c r="F174" s="690"/>
      <c r="G174" s="690"/>
      <c r="H174" s="690"/>
      <c r="I174" s="690"/>
      <c r="J174" s="690"/>
      <c r="K174" s="690"/>
      <c r="L174" s="690"/>
      <c r="M174" s="690"/>
      <c r="N174" s="690"/>
      <c r="O174" s="690"/>
      <c r="P174" s="690"/>
      <c r="Q174" s="690"/>
      <c r="R174" s="690"/>
      <c r="S174" s="690"/>
      <c r="T174" s="690"/>
      <c r="U174" s="690"/>
      <c r="V174" s="690"/>
      <c r="W174" s="690"/>
      <c r="X174" s="690"/>
      <c r="Y174" s="691"/>
    </row>
    <row r="175" spans="1:25" ht="18" customHeight="1" x14ac:dyDescent="0.2">
      <c r="A175" s="337"/>
      <c r="B175" s="337"/>
      <c r="C175" s="689"/>
      <c r="D175" s="690"/>
      <c r="E175" s="690"/>
      <c r="F175" s="690"/>
      <c r="G175" s="690"/>
      <c r="H175" s="690"/>
      <c r="I175" s="690"/>
      <c r="J175" s="690"/>
      <c r="K175" s="690"/>
      <c r="L175" s="690"/>
      <c r="M175" s="690"/>
      <c r="N175" s="690"/>
      <c r="O175" s="690"/>
      <c r="P175" s="690"/>
      <c r="Q175" s="690"/>
      <c r="R175" s="690"/>
      <c r="S175" s="690"/>
      <c r="T175" s="690"/>
      <c r="U175" s="690"/>
      <c r="V175" s="690"/>
      <c r="W175" s="690"/>
      <c r="X175" s="690"/>
      <c r="Y175" s="691"/>
    </row>
    <row r="176" spans="1:25" ht="18" customHeight="1" x14ac:dyDescent="0.2">
      <c r="A176" s="337"/>
      <c r="B176" s="337"/>
      <c r="C176" s="689"/>
      <c r="D176" s="690"/>
      <c r="E176" s="690"/>
      <c r="F176" s="690"/>
      <c r="G176" s="690"/>
      <c r="H176" s="690"/>
      <c r="I176" s="690"/>
      <c r="J176" s="690"/>
      <c r="K176" s="690"/>
      <c r="L176" s="690"/>
      <c r="M176" s="690"/>
      <c r="N176" s="690"/>
      <c r="O176" s="690"/>
      <c r="P176" s="690"/>
      <c r="Q176" s="690"/>
      <c r="R176" s="690"/>
      <c r="S176" s="690"/>
      <c r="T176" s="690"/>
      <c r="U176" s="690"/>
      <c r="V176" s="690"/>
      <c r="W176" s="690"/>
      <c r="X176" s="690"/>
      <c r="Y176" s="691"/>
    </row>
    <row r="177" spans="1:25" ht="18" customHeight="1" x14ac:dyDescent="0.2">
      <c r="A177" s="337"/>
      <c r="B177" s="337"/>
      <c r="C177" s="689"/>
      <c r="D177" s="690"/>
      <c r="E177" s="690"/>
      <c r="F177" s="690"/>
      <c r="G177" s="690"/>
      <c r="H177" s="690"/>
      <c r="I177" s="690"/>
      <c r="J177" s="690"/>
      <c r="K177" s="690"/>
      <c r="L177" s="690"/>
      <c r="M177" s="690"/>
      <c r="N177" s="690"/>
      <c r="O177" s="690"/>
      <c r="P177" s="690"/>
      <c r="Q177" s="690"/>
      <c r="R177" s="690"/>
      <c r="S177" s="690"/>
      <c r="T177" s="690"/>
      <c r="U177" s="690"/>
      <c r="V177" s="690"/>
      <c r="W177" s="690"/>
      <c r="X177" s="690"/>
      <c r="Y177" s="691"/>
    </row>
    <row r="178" spans="1:25" ht="18" customHeight="1" x14ac:dyDescent="0.2">
      <c r="A178" s="337"/>
      <c r="B178" s="337"/>
      <c r="C178" s="689"/>
      <c r="D178" s="690"/>
      <c r="E178" s="690"/>
      <c r="F178" s="690"/>
      <c r="G178" s="690"/>
      <c r="H178" s="690"/>
      <c r="I178" s="690"/>
      <c r="J178" s="690"/>
      <c r="K178" s="690"/>
      <c r="L178" s="690"/>
      <c r="M178" s="690"/>
      <c r="N178" s="690"/>
      <c r="O178" s="690"/>
      <c r="P178" s="690"/>
      <c r="Q178" s="690"/>
      <c r="R178" s="690"/>
      <c r="S178" s="690"/>
      <c r="T178" s="690"/>
      <c r="U178" s="690"/>
      <c r="V178" s="690"/>
      <c r="W178" s="690"/>
      <c r="X178" s="690"/>
      <c r="Y178" s="691"/>
    </row>
    <row r="179" spans="1:25" ht="18" customHeight="1" x14ac:dyDescent="0.2">
      <c r="A179" s="337"/>
      <c r="B179" s="337"/>
      <c r="C179" s="689"/>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1"/>
    </row>
    <row r="180" spans="1:25" ht="18" customHeight="1" x14ac:dyDescent="0.2">
      <c r="A180" s="337"/>
      <c r="B180" s="337"/>
      <c r="C180" s="689"/>
      <c r="D180" s="690"/>
      <c r="E180" s="690"/>
      <c r="F180" s="690"/>
      <c r="G180" s="690"/>
      <c r="H180" s="690"/>
      <c r="I180" s="690"/>
      <c r="J180" s="690"/>
      <c r="K180" s="690"/>
      <c r="L180" s="690"/>
      <c r="M180" s="690"/>
      <c r="N180" s="690"/>
      <c r="O180" s="690"/>
      <c r="P180" s="690"/>
      <c r="Q180" s="690"/>
      <c r="R180" s="690"/>
      <c r="S180" s="690"/>
      <c r="T180" s="690"/>
      <c r="U180" s="690"/>
      <c r="V180" s="690"/>
      <c r="W180" s="690"/>
      <c r="X180" s="690"/>
      <c r="Y180" s="691"/>
    </row>
    <row r="181" spans="1:25" ht="18" customHeight="1" x14ac:dyDescent="0.2">
      <c r="A181" s="337"/>
      <c r="B181" s="337"/>
      <c r="C181" s="689"/>
      <c r="D181" s="690"/>
      <c r="E181" s="690"/>
      <c r="F181" s="690"/>
      <c r="G181" s="690"/>
      <c r="H181" s="690"/>
      <c r="I181" s="690"/>
      <c r="J181" s="690"/>
      <c r="K181" s="690"/>
      <c r="L181" s="690"/>
      <c r="M181" s="690"/>
      <c r="N181" s="690"/>
      <c r="O181" s="690"/>
      <c r="P181" s="690"/>
      <c r="Q181" s="690"/>
      <c r="R181" s="690"/>
      <c r="S181" s="690"/>
      <c r="T181" s="690"/>
      <c r="U181" s="690"/>
      <c r="V181" s="690"/>
      <c r="W181" s="690"/>
      <c r="X181" s="690"/>
      <c r="Y181" s="691"/>
    </row>
    <row r="182" spans="1:25" ht="18" customHeight="1" x14ac:dyDescent="0.2">
      <c r="A182" s="337"/>
      <c r="B182" s="337"/>
      <c r="C182" s="689"/>
      <c r="D182" s="690"/>
      <c r="E182" s="690"/>
      <c r="F182" s="690"/>
      <c r="G182" s="690"/>
      <c r="H182" s="690"/>
      <c r="I182" s="690"/>
      <c r="J182" s="690"/>
      <c r="K182" s="690"/>
      <c r="L182" s="690"/>
      <c r="M182" s="690"/>
      <c r="N182" s="690"/>
      <c r="O182" s="690"/>
      <c r="P182" s="690"/>
      <c r="Q182" s="690"/>
      <c r="R182" s="690"/>
      <c r="S182" s="690"/>
      <c r="T182" s="690"/>
      <c r="U182" s="690"/>
      <c r="V182" s="690"/>
      <c r="W182" s="690"/>
      <c r="X182" s="690"/>
      <c r="Y182" s="691"/>
    </row>
    <row r="183" spans="1:25" ht="18" customHeight="1" x14ac:dyDescent="0.2">
      <c r="A183" s="337"/>
      <c r="B183" s="337"/>
      <c r="C183" s="689"/>
      <c r="D183" s="690"/>
      <c r="E183" s="690"/>
      <c r="F183" s="690"/>
      <c r="G183" s="690"/>
      <c r="H183" s="690"/>
      <c r="I183" s="690"/>
      <c r="J183" s="690"/>
      <c r="K183" s="690"/>
      <c r="L183" s="690"/>
      <c r="M183" s="690"/>
      <c r="N183" s="690"/>
      <c r="O183" s="690"/>
      <c r="P183" s="690"/>
      <c r="Q183" s="690"/>
      <c r="R183" s="690"/>
      <c r="S183" s="690"/>
      <c r="T183" s="690"/>
      <c r="U183" s="690"/>
      <c r="V183" s="690"/>
      <c r="W183" s="690"/>
      <c r="X183" s="690"/>
      <c r="Y183" s="691"/>
    </row>
    <row r="184" spans="1:25" ht="18" customHeight="1" x14ac:dyDescent="0.2">
      <c r="A184" s="337"/>
      <c r="B184" s="337"/>
      <c r="C184" s="689"/>
      <c r="D184" s="690"/>
      <c r="E184" s="690"/>
      <c r="F184" s="690"/>
      <c r="G184" s="690"/>
      <c r="H184" s="690"/>
      <c r="I184" s="690"/>
      <c r="J184" s="690"/>
      <c r="K184" s="690"/>
      <c r="L184" s="690"/>
      <c r="M184" s="690"/>
      <c r="N184" s="690"/>
      <c r="O184" s="690"/>
      <c r="P184" s="690"/>
      <c r="Q184" s="690"/>
      <c r="R184" s="690"/>
      <c r="S184" s="690"/>
      <c r="T184" s="690"/>
      <c r="U184" s="690"/>
      <c r="V184" s="690"/>
      <c r="W184" s="690"/>
      <c r="X184" s="690"/>
      <c r="Y184" s="691"/>
    </row>
    <row r="185" spans="1:25" ht="18" customHeight="1" x14ac:dyDescent="0.2">
      <c r="A185" s="337"/>
      <c r="B185" s="337"/>
      <c r="C185" s="689"/>
      <c r="D185" s="690"/>
      <c r="E185" s="690"/>
      <c r="F185" s="690"/>
      <c r="G185" s="690"/>
      <c r="H185" s="690"/>
      <c r="I185" s="690"/>
      <c r="J185" s="690"/>
      <c r="K185" s="690"/>
      <c r="L185" s="690"/>
      <c r="M185" s="690"/>
      <c r="N185" s="690"/>
      <c r="O185" s="690"/>
      <c r="P185" s="690"/>
      <c r="Q185" s="690"/>
      <c r="R185" s="690"/>
      <c r="S185" s="690"/>
      <c r="T185" s="690"/>
      <c r="U185" s="690"/>
      <c r="V185" s="690"/>
      <c r="W185" s="690"/>
      <c r="X185" s="690"/>
      <c r="Y185" s="691"/>
    </row>
    <row r="186" spans="1:25" ht="18" customHeight="1" x14ac:dyDescent="0.2">
      <c r="A186" s="337"/>
      <c r="B186" s="337"/>
      <c r="C186" s="689"/>
      <c r="D186" s="690"/>
      <c r="E186" s="690"/>
      <c r="F186" s="690"/>
      <c r="G186" s="690"/>
      <c r="H186" s="690"/>
      <c r="I186" s="690"/>
      <c r="J186" s="690"/>
      <c r="K186" s="690"/>
      <c r="L186" s="690"/>
      <c r="M186" s="690"/>
      <c r="N186" s="690"/>
      <c r="O186" s="690"/>
      <c r="P186" s="690"/>
      <c r="Q186" s="690"/>
      <c r="R186" s="690"/>
      <c r="S186" s="690"/>
      <c r="T186" s="690"/>
      <c r="U186" s="690"/>
      <c r="V186" s="690"/>
      <c r="W186" s="690"/>
      <c r="X186" s="690"/>
      <c r="Y186" s="691"/>
    </row>
    <row r="187" spans="1:25" ht="18" customHeight="1" x14ac:dyDescent="0.2">
      <c r="A187" s="337"/>
      <c r="B187" s="337"/>
      <c r="C187" s="689"/>
      <c r="D187" s="690"/>
      <c r="E187" s="690"/>
      <c r="F187" s="690"/>
      <c r="G187" s="690"/>
      <c r="H187" s="690"/>
      <c r="I187" s="690"/>
      <c r="J187" s="690"/>
      <c r="K187" s="690"/>
      <c r="L187" s="690"/>
      <c r="M187" s="690"/>
      <c r="N187" s="690"/>
      <c r="O187" s="690"/>
      <c r="P187" s="690"/>
      <c r="Q187" s="690"/>
      <c r="R187" s="690"/>
      <c r="S187" s="690"/>
      <c r="T187" s="690"/>
      <c r="U187" s="690"/>
      <c r="V187" s="690"/>
      <c r="W187" s="690"/>
      <c r="X187" s="690"/>
      <c r="Y187" s="691"/>
    </row>
    <row r="188" spans="1:25" ht="18" customHeight="1" x14ac:dyDescent="0.2">
      <c r="A188" s="337"/>
      <c r="B188" s="337"/>
      <c r="C188" s="689"/>
      <c r="D188" s="690"/>
      <c r="E188" s="690"/>
      <c r="F188" s="690"/>
      <c r="G188" s="690"/>
      <c r="H188" s="690"/>
      <c r="I188" s="690"/>
      <c r="J188" s="690"/>
      <c r="K188" s="690"/>
      <c r="L188" s="690"/>
      <c r="M188" s="690"/>
      <c r="N188" s="690"/>
      <c r="O188" s="690"/>
      <c r="P188" s="690"/>
      <c r="Q188" s="690"/>
      <c r="R188" s="690"/>
      <c r="S188" s="690"/>
      <c r="T188" s="690"/>
      <c r="U188" s="690"/>
      <c r="V188" s="690"/>
      <c r="W188" s="690"/>
      <c r="X188" s="690"/>
      <c r="Y188" s="691"/>
    </row>
    <row r="189" spans="1:25" ht="18" customHeight="1" x14ac:dyDescent="0.2">
      <c r="A189" s="337"/>
      <c r="B189" s="337"/>
      <c r="C189" s="689"/>
      <c r="D189" s="690"/>
      <c r="E189" s="690"/>
      <c r="F189" s="690"/>
      <c r="G189" s="690"/>
      <c r="H189" s="690"/>
      <c r="I189" s="690"/>
      <c r="J189" s="690"/>
      <c r="K189" s="690"/>
      <c r="L189" s="690"/>
      <c r="M189" s="690"/>
      <c r="N189" s="690"/>
      <c r="O189" s="690"/>
      <c r="P189" s="690"/>
      <c r="Q189" s="690"/>
      <c r="R189" s="690"/>
      <c r="S189" s="690"/>
      <c r="T189" s="690"/>
      <c r="U189" s="690"/>
      <c r="V189" s="690"/>
      <c r="W189" s="690"/>
      <c r="X189" s="690"/>
      <c r="Y189" s="691"/>
    </row>
    <row r="190" spans="1:25" ht="18" customHeight="1" x14ac:dyDescent="0.2">
      <c r="A190" s="337"/>
      <c r="B190" s="337"/>
      <c r="C190" s="692"/>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4"/>
    </row>
    <row r="191" spans="1:25" ht="18" customHeight="1" x14ac:dyDescent="0.2">
      <c r="A191" s="337"/>
      <c r="B191" s="337"/>
      <c r="C191" s="379"/>
      <c r="D191" s="379"/>
      <c r="E191" s="379"/>
      <c r="F191" s="379"/>
      <c r="G191" s="379"/>
      <c r="H191" s="379"/>
      <c r="I191" s="379"/>
      <c r="J191" s="379"/>
      <c r="K191" s="379"/>
      <c r="L191" s="379"/>
      <c r="M191" s="379"/>
      <c r="N191" s="379"/>
      <c r="O191" s="380"/>
    </row>
    <row r="192" spans="1:25" ht="18" customHeight="1" x14ac:dyDescent="0.2">
      <c r="A192" s="337"/>
      <c r="B192" s="337"/>
      <c r="C192" s="379"/>
      <c r="D192" s="379"/>
      <c r="E192" s="379"/>
      <c r="F192" s="379"/>
      <c r="G192" s="379"/>
      <c r="H192" s="379"/>
      <c r="I192" s="379"/>
      <c r="J192" s="379"/>
      <c r="K192" s="379"/>
      <c r="L192" s="379"/>
      <c r="M192" s="379"/>
      <c r="N192" s="379"/>
      <c r="O192" s="380"/>
    </row>
    <row r="193" spans="1:25" ht="18" customHeight="1" x14ac:dyDescent="0.2">
      <c r="A193" s="337"/>
      <c r="B193" s="337"/>
      <c r="C193" s="581" t="s">
        <v>285</v>
      </c>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row>
    <row r="194" spans="1:25" ht="18" customHeight="1" x14ac:dyDescent="0.2">
      <c r="A194" s="337"/>
      <c r="B194" s="337"/>
      <c r="C194" s="783" t="s">
        <v>234</v>
      </c>
      <c r="D194" s="783"/>
      <c r="E194" s="783"/>
      <c r="F194" s="783"/>
      <c r="G194" s="783"/>
      <c r="I194" s="353" t="s">
        <v>24</v>
      </c>
      <c r="J194" s="588"/>
      <c r="K194" s="588"/>
      <c r="P194" s="339"/>
      <c r="S194" s="353" t="s">
        <v>25</v>
      </c>
      <c r="T194" s="588"/>
      <c r="U194" s="588"/>
      <c r="V194" s="588"/>
      <c r="W194" s="588"/>
    </row>
    <row r="195" spans="1:25" ht="18" customHeight="1" x14ac:dyDescent="0.2">
      <c r="A195" s="337"/>
      <c r="B195" s="337"/>
      <c r="C195" s="784"/>
      <c r="D195" s="784"/>
      <c r="E195" s="784"/>
      <c r="F195" s="784"/>
      <c r="G195" s="784"/>
      <c r="H195" s="337"/>
      <c r="I195" s="369" t="s">
        <v>26</v>
      </c>
      <c r="J195" s="588"/>
      <c r="K195" s="588"/>
      <c r="P195" s="339"/>
      <c r="S195" s="353" t="s">
        <v>27</v>
      </c>
      <c r="T195" s="588"/>
      <c r="U195" s="588"/>
      <c r="V195" s="588"/>
      <c r="W195" s="588"/>
    </row>
    <row r="196" spans="1:25" ht="18" customHeight="1" x14ac:dyDescent="0.2">
      <c r="A196" s="337"/>
      <c r="B196" s="337"/>
      <c r="C196" s="784"/>
      <c r="D196" s="784"/>
      <c r="E196" s="784"/>
      <c r="F196" s="784"/>
      <c r="G196" s="784"/>
      <c r="H196" s="337"/>
      <c r="I196" s="353" t="s">
        <v>54</v>
      </c>
      <c r="J196" s="588"/>
      <c r="K196" s="588"/>
      <c r="P196" s="367"/>
      <c r="Q196" s="367"/>
    </row>
    <row r="197" spans="1:25" ht="18" customHeight="1" x14ac:dyDescent="0.2">
      <c r="A197" s="337"/>
      <c r="B197" s="337"/>
      <c r="C197" s="381"/>
      <c r="D197" s="381"/>
      <c r="E197" s="381"/>
      <c r="F197" s="381"/>
      <c r="G197" s="786" t="s">
        <v>239</v>
      </c>
      <c r="H197" s="786"/>
      <c r="I197" s="787"/>
      <c r="J197" s="588"/>
      <c r="K197" s="588"/>
      <c r="L197" s="381"/>
      <c r="M197" s="381"/>
      <c r="N197" s="381"/>
      <c r="O197" s="381"/>
      <c r="P197" s="381"/>
      <c r="Q197" s="381"/>
      <c r="R197" s="381"/>
      <c r="S197" s="381"/>
      <c r="T197" s="381"/>
      <c r="U197" s="381"/>
      <c r="V197" s="381"/>
      <c r="W197" s="381"/>
      <c r="X197" s="381"/>
      <c r="Y197" s="381"/>
    </row>
    <row r="198" spans="1:25" ht="18" customHeight="1" x14ac:dyDescent="0.2">
      <c r="A198" s="337"/>
      <c r="B198" s="337"/>
      <c r="C198" s="793"/>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5"/>
    </row>
    <row r="199" spans="1:25" ht="18" customHeight="1" x14ac:dyDescent="0.2">
      <c r="A199" s="337"/>
      <c r="B199" s="337"/>
      <c r="C199" s="796"/>
      <c r="D199" s="797"/>
      <c r="E199" s="797"/>
      <c r="F199" s="797"/>
      <c r="G199" s="797"/>
      <c r="H199" s="797"/>
      <c r="I199" s="797"/>
      <c r="J199" s="797"/>
      <c r="K199" s="797"/>
      <c r="L199" s="797"/>
      <c r="M199" s="797"/>
      <c r="N199" s="797"/>
      <c r="O199" s="797"/>
      <c r="P199" s="797"/>
      <c r="Q199" s="797"/>
      <c r="R199" s="797"/>
      <c r="S199" s="797"/>
      <c r="T199" s="797"/>
      <c r="U199" s="797"/>
      <c r="V199" s="797"/>
      <c r="W199" s="797"/>
      <c r="X199" s="797"/>
      <c r="Y199" s="798"/>
    </row>
    <row r="200" spans="1:25" ht="18" customHeight="1" x14ac:dyDescent="0.2">
      <c r="A200" s="337"/>
      <c r="B200" s="337"/>
      <c r="C200" s="799"/>
      <c r="D200" s="800"/>
      <c r="E200" s="800"/>
      <c r="F200" s="800"/>
      <c r="G200" s="800"/>
      <c r="H200" s="800"/>
      <c r="I200" s="800"/>
      <c r="J200" s="800"/>
      <c r="K200" s="800"/>
      <c r="L200" s="800"/>
      <c r="M200" s="800"/>
      <c r="N200" s="800"/>
      <c r="O200" s="800"/>
      <c r="P200" s="800"/>
      <c r="Q200" s="800"/>
      <c r="R200" s="800"/>
      <c r="S200" s="800"/>
      <c r="T200" s="800"/>
      <c r="U200" s="800"/>
      <c r="V200" s="800"/>
      <c r="W200" s="800"/>
      <c r="X200" s="800"/>
      <c r="Y200" s="801"/>
    </row>
    <row r="201" spans="1:25" ht="18" customHeight="1" x14ac:dyDescent="0.2">
      <c r="A201" s="337"/>
      <c r="B201" s="337"/>
      <c r="C201" s="345"/>
      <c r="D201" s="379"/>
      <c r="E201" s="379"/>
      <c r="F201" s="379"/>
      <c r="G201" s="379"/>
      <c r="H201" s="379"/>
      <c r="I201" s="379"/>
      <c r="J201" s="379"/>
      <c r="K201" s="379"/>
      <c r="L201" s="379"/>
      <c r="M201" s="379"/>
      <c r="N201" s="379"/>
      <c r="O201" s="380"/>
    </row>
    <row r="202" spans="1:25" ht="18" customHeight="1" x14ac:dyDescent="0.2">
      <c r="A202" s="337"/>
      <c r="B202" s="337"/>
      <c r="C202" s="345"/>
      <c r="D202" s="379"/>
      <c r="E202" s="379"/>
      <c r="F202" s="379"/>
      <c r="G202" s="379"/>
      <c r="H202" s="379"/>
      <c r="I202" s="379"/>
      <c r="J202" s="379"/>
      <c r="K202" s="379"/>
      <c r="L202" s="379"/>
      <c r="M202" s="379"/>
      <c r="N202" s="379"/>
      <c r="O202" s="380"/>
    </row>
    <row r="203" spans="1:25" ht="18" customHeight="1" x14ac:dyDescent="0.2">
      <c r="A203" s="337"/>
      <c r="B203" s="337"/>
      <c r="C203" s="583" t="s">
        <v>286</v>
      </c>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row>
    <row r="204" spans="1:25" ht="18" customHeight="1" x14ac:dyDescent="0.2">
      <c r="A204" s="337"/>
      <c r="B204" s="337"/>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row>
    <row r="205" spans="1:25" ht="18" customHeight="1" x14ac:dyDescent="0.2">
      <c r="A205" s="337"/>
      <c r="B205" s="337"/>
      <c r="C205" s="669"/>
      <c r="D205" s="670"/>
      <c r="E205" s="670"/>
      <c r="F205" s="670"/>
      <c r="G205" s="670"/>
      <c r="H205" s="670"/>
      <c r="I205" s="670"/>
      <c r="J205" s="670"/>
      <c r="K205" s="670"/>
      <c r="L205" s="670"/>
      <c r="M205" s="670"/>
      <c r="N205" s="670"/>
      <c r="O205" s="670"/>
      <c r="P205" s="670"/>
      <c r="Q205" s="670"/>
      <c r="R205" s="670"/>
      <c r="S205" s="670"/>
      <c r="T205" s="670"/>
      <c r="U205" s="670"/>
      <c r="V205" s="670"/>
      <c r="W205" s="670"/>
      <c r="X205" s="670"/>
      <c r="Y205" s="671"/>
    </row>
    <row r="206" spans="1:25" ht="18" customHeight="1" x14ac:dyDescent="0.2">
      <c r="A206" s="337"/>
      <c r="B206" s="337"/>
      <c r="C206" s="802"/>
      <c r="D206" s="803"/>
      <c r="E206" s="803"/>
      <c r="F206" s="803"/>
      <c r="G206" s="803"/>
      <c r="H206" s="803"/>
      <c r="I206" s="803"/>
      <c r="J206" s="803"/>
      <c r="K206" s="803"/>
      <c r="L206" s="803"/>
      <c r="M206" s="803"/>
      <c r="N206" s="803"/>
      <c r="O206" s="803"/>
      <c r="P206" s="803"/>
      <c r="Q206" s="803"/>
      <c r="R206" s="803"/>
      <c r="S206" s="803"/>
      <c r="T206" s="803"/>
      <c r="U206" s="803"/>
      <c r="V206" s="803"/>
      <c r="W206" s="803"/>
      <c r="X206" s="803"/>
      <c r="Y206" s="804"/>
    </row>
    <row r="207" spans="1:25" ht="18" customHeight="1" x14ac:dyDescent="0.2">
      <c r="A207" s="337"/>
      <c r="B207" s="337"/>
      <c r="C207" s="672"/>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4"/>
    </row>
    <row r="208" spans="1:25" ht="18" customHeight="1" x14ac:dyDescent="0.2">
      <c r="A208" s="337"/>
      <c r="B208" s="337"/>
      <c r="C208" s="379"/>
      <c r="D208" s="379"/>
      <c r="E208" s="379"/>
      <c r="F208" s="379"/>
      <c r="G208" s="379"/>
      <c r="H208" s="379"/>
      <c r="I208" s="379"/>
      <c r="J208" s="379"/>
      <c r="K208" s="379"/>
      <c r="L208" s="379"/>
      <c r="M208" s="379"/>
      <c r="N208" s="379"/>
      <c r="O208" s="380"/>
    </row>
    <row r="209" spans="1:26" ht="18" customHeight="1" x14ac:dyDescent="0.2">
      <c r="A209" s="337"/>
      <c r="B209" s="337"/>
      <c r="C209" s="379"/>
      <c r="D209" s="379"/>
      <c r="E209" s="379"/>
      <c r="F209" s="379"/>
      <c r="G209" s="379"/>
      <c r="H209" s="379"/>
      <c r="I209" s="379"/>
      <c r="J209" s="379"/>
      <c r="K209" s="379"/>
      <c r="L209" s="379"/>
      <c r="M209" s="379"/>
      <c r="N209" s="379"/>
      <c r="O209" s="380"/>
    </row>
    <row r="210" spans="1:26" ht="18" customHeight="1" x14ac:dyDescent="0.2">
      <c r="A210" s="337"/>
      <c r="B210" s="337"/>
      <c r="C210" s="581" t="s">
        <v>287</v>
      </c>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row>
    <row r="211" spans="1:26" ht="18" customHeight="1" x14ac:dyDescent="0.2">
      <c r="A211" s="337"/>
      <c r="B211" s="788" t="s">
        <v>1528</v>
      </c>
      <c r="C211" s="789"/>
      <c r="D211" s="789"/>
      <c r="E211" s="789"/>
      <c r="F211" s="789"/>
      <c r="G211" s="789"/>
      <c r="H211" s="789"/>
      <c r="I211" s="789"/>
      <c r="J211" s="789"/>
      <c r="K211" s="789"/>
      <c r="L211" s="789"/>
      <c r="M211" s="789"/>
      <c r="N211" s="789"/>
      <c r="O211" s="789"/>
      <c r="P211" s="789"/>
      <c r="Q211" s="789"/>
      <c r="R211" s="789"/>
      <c r="S211" s="789"/>
      <c r="T211" s="789"/>
      <c r="U211" s="789"/>
      <c r="V211" s="789"/>
      <c r="W211" s="789"/>
      <c r="X211" s="789"/>
      <c r="Y211" s="789"/>
      <c r="Z211" s="789"/>
    </row>
    <row r="212" spans="1:26" ht="18" customHeight="1" x14ac:dyDescent="0.2">
      <c r="A212" s="337"/>
      <c r="B212" s="789"/>
      <c r="C212" s="789"/>
      <c r="D212" s="789"/>
      <c r="E212" s="789"/>
      <c r="F212" s="789"/>
      <c r="G212" s="789"/>
      <c r="H212" s="789"/>
      <c r="I212" s="789"/>
      <c r="J212" s="789"/>
      <c r="K212" s="789"/>
      <c r="L212" s="789"/>
      <c r="M212" s="789"/>
      <c r="N212" s="789"/>
      <c r="O212" s="789"/>
      <c r="P212" s="789"/>
      <c r="Q212" s="789"/>
      <c r="R212" s="789"/>
      <c r="S212" s="789"/>
      <c r="T212" s="789"/>
      <c r="U212" s="789"/>
      <c r="V212" s="789"/>
      <c r="W212" s="789"/>
      <c r="X212" s="789"/>
      <c r="Y212" s="789"/>
      <c r="Z212" s="789"/>
    </row>
    <row r="213" spans="1:26" ht="18" customHeight="1" thickBot="1" x14ac:dyDescent="0.25">
      <c r="A213" s="337"/>
      <c r="B213" s="337"/>
      <c r="C213" s="337"/>
      <c r="D213" s="337"/>
      <c r="E213" s="337"/>
      <c r="F213" s="337"/>
      <c r="G213" s="337"/>
      <c r="H213" s="337"/>
      <c r="I213" s="337"/>
      <c r="J213" s="337"/>
      <c r="K213" s="368"/>
      <c r="L213" s="368"/>
      <c r="M213" s="337"/>
      <c r="N213" s="337"/>
      <c r="O213" s="380"/>
      <c r="S213" s="353" t="s">
        <v>240</v>
      </c>
      <c r="T213" s="785"/>
      <c r="U213" s="785"/>
      <c r="V213" s="785"/>
      <c r="W213" s="785"/>
      <c r="X213" s="591" t="s">
        <v>111</v>
      </c>
      <c r="Y213" s="591"/>
    </row>
    <row r="214" spans="1:26" ht="18" customHeight="1" thickBot="1" x14ac:dyDescent="0.25">
      <c r="A214" s="337"/>
      <c r="B214" s="337"/>
      <c r="C214" s="345"/>
      <c r="D214" s="382"/>
      <c r="E214" s="382"/>
      <c r="F214" s="382"/>
      <c r="G214" s="382"/>
      <c r="H214" s="382"/>
      <c r="I214" s="382"/>
      <c r="J214" s="382"/>
      <c r="K214" s="382"/>
      <c r="L214" s="382"/>
      <c r="M214" s="383"/>
      <c r="N214" s="382"/>
      <c r="O214" s="382"/>
      <c r="P214" s="382"/>
      <c r="Q214" s="382"/>
      <c r="R214" s="382"/>
      <c r="S214" s="384"/>
      <c r="T214" s="375"/>
      <c r="U214" s="385"/>
      <c r="V214" s="385"/>
      <c r="W214" s="377" t="str">
        <f>IF($T$213="","",IF($T$213&lt;$T$107,"La superficie de la zone contributive ne peut pas être inférieure à la superficie du site",""))</f>
        <v/>
      </c>
      <c r="X214" s="382"/>
      <c r="Y214" s="382"/>
    </row>
    <row r="215" spans="1:26" ht="18" customHeight="1" x14ac:dyDescent="0.2">
      <c r="A215" s="337"/>
      <c r="B215" s="337"/>
      <c r="C215" s="345"/>
      <c r="D215" s="382"/>
      <c r="E215" s="382"/>
      <c r="F215" s="382"/>
      <c r="G215" s="382"/>
      <c r="H215" s="382"/>
      <c r="I215" s="382"/>
      <c r="J215" s="382"/>
      <c r="K215" s="382"/>
      <c r="L215" s="382"/>
      <c r="M215" s="383"/>
      <c r="N215" s="382"/>
      <c r="O215" s="382"/>
      <c r="P215" s="382"/>
      <c r="Q215" s="382"/>
      <c r="R215" s="382"/>
      <c r="S215" s="384"/>
      <c r="T215" s="382"/>
      <c r="U215" s="382"/>
      <c r="V215" s="382"/>
      <c r="W215" s="378"/>
      <c r="X215" s="382"/>
      <c r="Y215" s="382"/>
    </row>
    <row r="216" spans="1:26" ht="18" customHeight="1" x14ac:dyDescent="0.2">
      <c r="A216" s="337"/>
      <c r="B216" s="337"/>
      <c r="C216" s="592" t="s">
        <v>288</v>
      </c>
      <c r="D216" s="592"/>
      <c r="E216" s="592"/>
      <c r="F216" s="592"/>
      <c r="G216" s="592"/>
      <c r="H216" s="592"/>
      <c r="I216" s="592"/>
      <c r="J216" s="592"/>
      <c r="K216" s="592"/>
      <c r="L216" s="592"/>
      <c r="M216" s="592"/>
      <c r="N216" s="592"/>
      <c r="O216" s="592"/>
      <c r="P216" s="592"/>
      <c r="Q216" s="592"/>
      <c r="R216" s="592"/>
      <c r="S216" s="592"/>
      <c r="T216" s="592"/>
      <c r="U216" s="592"/>
      <c r="V216" s="592"/>
      <c r="W216" s="592"/>
      <c r="X216" s="592"/>
      <c r="Y216" s="592"/>
    </row>
    <row r="217" spans="1:26" ht="18" customHeight="1" x14ac:dyDescent="0.2">
      <c r="A217" s="337"/>
      <c r="B217" s="337"/>
      <c r="C217" s="337"/>
      <c r="D217" s="337"/>
      <c r="E217" s="337"/>
      <c r="F217" s="337"/>
      <c r="G217" s="337"/>
      <c r="H217" s="337"/>
      <c r="I217" s="337"/>
      <c r="J217" s="337"/>
      <c r="K217" s="337"/>
      <c r="L217" s="337"/>
      <c r="M217" s="337"/>
      <c r="N217" s="337"/>
      <c r="O217" s="337"/>
      <c r="P217" s="337"/>
      <c r="S217" s="353" t="s">
        <v>241</v>
      </c>
      <c r="T217" s="701"/>
      <c r="U217" s="701"/>
      <c r="V217" s="701"/>
      <c r="W217" s="701"/>
      <c r="X217" s="371"/>
      <c r="Y217" s="372"/>
    </row>
    <row r="218" spans="1:26" ht="18" customHeight="1" x14ac:dyDescent="0.2">
      <c r="A218" s="337"/>
      <c r="B218" s="337"/>
      <c r="C218" s="345"/>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row>
    <row r="219" spans="1:26" ht="18" customHeight="1" x14ac:dyDescent="0.2">
      <c r="A219" s="337"/>
      <c r="B219" s="337"/>
      <c r="C219" s="345"/>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row>
    <row r="220" spans="1:26" ht="18" customHeight="1" x14ac:dyDescent="0.2">
      <c r="A220" s="337"/>
      <c r="B220" s="337"/>
      <c r="C220" s="592" t="s">
        <v>289</v>
      </c>
      <c r="D220" s="592"/>
      <c r="E220" s="592"/>
      <c r="F220" s="592"/>
      <c r="G220" s="592"/>
      <c r="H220" s="592"/>
      <c r="I220" s="592"/>
      <c r="J220" s="592"/>
      <c r="K220" s="592"/>
      <c r="L220" s="592"/>
      <c r="M220" s="592"/>
      <c r="N220" s="592"/>
      <c r="O220" s="592"/>
      <c r="P220" s="592"/>
      <c r="Q220" s="592"/>
      <c r="R220" s="592"/>
      <c r="S220" s="592"/>
      <c r="T220" s="592"/>
      <c r="U220" s="592"/>
      <c r="V220" s="592"/>
      <c r="W220" s="592"/>
      <c r="X220" s="592"/>
      <c r="Y220" s="592"/>
    </row>
    <row r="221" spans="1:26" ht="18" customHeight="1" x14ac:dyDescent="0.2">
      <c r="A221" s="337"/>
      <c r="B221" s="337"/>
      <c r="C221" s="356"/>
      <c r="D221" s="356"/>
      <c r="E221" s="356"/>
      <c r="F221" s="356"/>
      <c r="G221" s="356"/>
      <c r="H221" s="356"/>
      <c r="I221" s="362"/>
      <c r="J221" s="356"/>
      <c r="K221" s="379"/>
      <c r="L221" s="379"/>
      <c r="M221" s="379"/>
      <c r="N221" s="379"/>
      <c r="O221" s="380"/>
      <c r="S221" s="357" t="s">
        <v>242</v>
      </c>
      <c r="T221" s="578"/>
      <c r="U221" s="578"/>
      <c r="V221" s="578"/>
      <c r="W221" s="578"/>
      <c r="X221" s="591" t="s">
        <v>111</v>
      </c>
      <c r="Y221" s="591"/>
    </row>
    <row r="222" spans="1:26" ht="18" customHeight="1" thickBot="1" x14ac:dyDescent="0.25">
      <c r="A222" s="337"/>
      <c r="B222" s="337"/>
      <c r="C222" s="346"/>
      <c r="D222" s="346"/>
      <c r="E222" s="346"/>
      <c r="F222" s="346"/>
      <c r="G222" s="346"/>
      <c r="H222" s="346"/>
      <c r="I222" s="362"/>
      <c r="J222" s="346"/>
      <c r="K222" s="379"/>
      <c r="L222" s="379"/>
      <c r="M222" s="379"/>
      <c r="N222" s="379"/>
      <c r="O222" s="380"/>
      <c r="S222" s="362" t="s">
        <v>243</v>
      </c>
      <c r="T222" s="785"/>
      <c r="U222" s="785"/>
      <c r="V222" s="785"/>
      <c r="W222" s="785"/>
      <c r="X222" s="591" t="s">
        <v>111</v>
      </c>
      <c r="Y222" s="591"/>
    </row>
    <row r="223" spans="1:26" ht="18" customHeight="1" thickBot="1" x14ac:dyDescent="0.25">
      <c r="A223" s="337"/>
      <c r="B223" s="337"/>
      <c r="C223" s="345"/>
      <c r="D223" s="382"/>
      <c r="E223" s="382"/>
      <c r="F223" s="382"/>
      <c r="G223" s="382"/>
      <c r="H223" s="382"/>
      <c r="I223" s="382"/>
      <c r="J223" s="382"/>
      <c r="K223" s="382"/>
      <c r="L223" s="382"/>
      <c r="M223" s="382"/>
      <c r="N223" s="382"/>
      <c r="O223" s="382"/>
      <c r="P223" s="382"/>
      <c r="Q223" s="382"/>
      <c r="R223" s="382"/>
      <c r="S223" s="382"/>
      <c r="T223" s="375"/>
      <c r="U223" s="385"/>
      <c r="V223" s="385"/>
      <c r="W223" s="377" t="str">
        <f>IF(AND(ISBLANK($T$221),ISBLANK($T$222)),"",IF(SUM($T$221,$T$222)&gt;$T$213,"La somme des superficies des surfaces enherbées et cultivées ne peut pas être supérieure à la superficie de la zone contributive.",""))</f>
        <v/>
      </c>
      <c r="X223" s="382"/>
      <c r="Y223" s="382"/>
    </row>
    <row r="224" spans="1:26" ht="18" customHeight="1" x14ac:dyDescent="0.2">
      <c r="A224" s="337"/>
      <c r="B224" s="337"/>
      <c r="C224" s="345"/>
      <c r="D224" s="382"/>
      <c r="E224" s="382"/>
      <c r="F224" s="382"/>
      <c r="G224" s="382"/>
      <c r="H224" s="382"/>
      <c r="I224" s="382"/>
      <c r="J224" s="382"/>
      <c r="K224" s="382"/>
      <c r="L224" s="382"/>
      <c r="M224" s="382"/>
      <c r="N224" s="382"/>
      <c r="O224" s="382"/>
      <c r="P224" s="382"/>
      <c r="Q224" s="382"/>
      <c r="R224" s="382"/>
      <c r="S224" s="382"/>
      <c r="T224" s="382"/>
      <c r="U224" s="382"/>
      <c r="V224" s="382"/>
      <c r="W224" s="378"/>
      <c r="X224" s="382"/>
      <c r="Y224" s="382"/>
    </row>
    <row r="225" spans="1:25" ht="18" customHeight="1" x14ac:dyDescent="0.2">
      <c r="A225" s="337"/>
      <c r="B225" s="337"/>
      <c r="C225" s="592" t="s">
        <v>290</v>
      </c>
      <c r="D225" s="592"/>
      <c r="E225" s="592"/>
      <c r="F225" s="592"/>
      <c r="G225" s="592"/>
      <c r="H225" s="592"/>
      <c r="I225" s="592"/>
      <c r="J225" s="592"/>
      <c r="K225" s="592"/>
      <c r="L225" s="592"/>
      <c r="M225" s="592"/>
      <c r="N225" s="592"/>
      <c r="O225" s="592"/>
      <c r="P225" s="592"/>
      <c r="Q225" s="592"/>
      <c r="R225" s="592"/>
      <c r="S225" s="592"/>
      <c r="T225" s="592"/>
      <c r="U225" s="592"/>
      <c r="V225" s="592"/>
      <c r="W225" s="592"/>
      <c r="X225" s="592"/>
      <c r="Y225" s="592"/>
    </row>
    <row r="226" spans="1:25" ht="18" customHeight="1" x14ac:dyDescent="0.2">
      <c r="A226" s="337"/>
      <c r="B226" s="337"/>
      <c r="C226" s="354" t="s">
        <v>234</v>
      </c>
      <c r="D226" s="354"/>
      <c r="E226" s="337"/>
      <c r="F226" s="368"/>
      <c r="G226" s="368"/>
      <c r="H226" s="368"/>
      <c r="I226" s="353" t="s">
        <v>28</v>
      </c>
      <c r="J226" s="588"/>
      <c r="K226" s="588"/>
      <c r="N226" s="368"/>
      <c r="P226" s="368"/>
      <c r="Q226" s="368"/>
      <c r="S226" s="369" t="s">
        <v>29</v>
      </c>
      <c r="T226" s="588"/>
      <c r="U226" s="588"/>
      <c r="V226" s="588"/>
      <c r="W226" s="588"/>
    </row>
    <row r="227" spans="1:25" ht="18" customHeight="1" x14ac:dyDescent="0.2">
      <c r="A227" s="337"/>
      <c r="B227" s="337"/>
      <c r="C227" s="345"/>
      <c r="D227" s="337"/>
      <c r="E227" s="337"/>
      <c r="F227" s="337"/>
      <c r="G227" s="337"/>
      <c r="H227" s="337"/>
      <c r="I227" s="337"/>
      <c r="J227" s="337"/>
      <c r="K227" s="337"/>
      <c r="L227" s="337"/>
      <c r="M227" s="337"/>
      <c r="N227" s="386"/>
      <c r="O227" s="380"/>
    </row>
    <row r="228" spans="1:25" ht="18" customHeight="1" x14ac:dyDescent="0.2">
      <c r="A228" s="337"/>
      <c r="B228" s="337"/>
      <c r="C228" s="345"/>
      <c r="D228" s="337"/>
      <c r="E228" s="337"/>
      <c r="F228" s="337"/>
      <c r="G228" s="337"/>
      <c r="H228" s="337"/>
      <c r="I228" s="337"/>
      <c r="J228" s="337"/>
      <c r="K228" s="337"/>
      <c r="L228" s="337"/>
      <c r="M228" s="337"/>
      <c r="N228" s="386"/>
      <c r="O228" s="380"/>
    </row>
    <row r="229" spans="1:25" ht="18" customHeight="1" x14ac:dyDescent="0.2">
      <c r="A229" s="337"/>
      <c r="B229" s="337"/>
      <c r="C229" s="581" t="s">
        <v>291</v>
      </c>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row>
    <row r="230" spans="1:25" ht="18" customHeight="1" thickBot="1" x14ac:dyDescent="0.25">
      <c r="A230" s="337"/>
      <c r="B230" s="337"/>
      <c r="C230" s="337"/>
      <c r="D230" s="337"/>
      <c r="E230" s="337"/>
      <c r="F230" s="337"/>
      <c r="G230" s="337"/>
      <c r="H230" s="337"/>
      <c r="I230" s="337"/>
      <c r="J230" s="337"/>
      <c r="K230" s="386"/>
      <c r="L230" s="386"/>
      <c r="M230" s="386"/>
      <c r="N230" s="386"/>
      <c r="O230" s="380"/>
      <c r="S230" s="353" t="s">
        <v>244</v>
      </c>
      <c r="T230" s="578"/>
      <c r="U230" s="578"/>
      <c r="V230" s="578"/>
      <c r="W230" s="578"/>
      <c r="X230" s="591" t="s">
        <v>111</v>
      </c>
      <c r="Y230" s="591"/>
    </row>
    <row r="231" spans="1:25" ht="18" customHeight="1" thickBot="1" x14ac:dyDescent="0.25">
      <c r="A231" s="337"/>
      <c r="B231" s="337"/>
      <c r="C231" s="345"/>
      <c r="D231" s="337"/>
      <c r="E231" s="337"/>
      <c r="F231" s="337"/>
      <c r="G231" s="337"/>
      <c r="H231" s="337"/>
      <c r="I231" s="337"/>
      <c r="J231" s="337"/>
      <c r="K231" s="337"/>
      <c r="L231" s="337"/>
      <c r="M231" s="337"/>
      <c r="N231" s="386"/>
      <c r="O231" s="380"/>
      <c r="T231" s="375"/>
      <c r="U231" s="385"/>
      <c r="V231" s="385"/>
      <c r="W231" s="377" t="str">
        <f>IF($T$230="","",IF($T$230&gt;$T$213,"La superficie des surfaces construites ne peut pas être supérieure à la superficie de la zone contributive",""))</f>
        <v/>
      </c>
    </row>
    <row r="232" spans="1:25" ht="18" customHeight="1" x14ac:dyDescent="0.2">
      <c r="A232" s="337"/>
      <c r="B232" s="337"/>
      <c r="C232" s="345"/>
      <c r="D232" s="337"/>
      <c r="E232" s="337"/>
      <c r="F232" s="337"/>
      <c r="G232" s="337"/>
      <c r="H232" s="337"/>
      <c r="I232" s="337"/>
      <c r="J232" s="337"/>
      <c r="K232" s="337"/>
      <c r="L232" s="337"/>
      <c r="M232" s="337"/>
      <c r="N232" s="386"/>
      <c r="O232" s="380"/>
      <c r="W232" s="387"/>
    </row>
    <row r="233" spans="1:25" ht="18" customHeight="1" x14ac:dyDescent="0.2">
      <c r="A233" s="337"/>
      <c r="B233" s="337"/>
      <c r="C233" s="581" t="s">
        <v>292</v>
      </c>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row>
    <row r="234" spans="1:25" ht="18" customHeight="1" x14ac:dyDescent="0.2">
      <c r="A234" s="337"/>
      <c r="B234" s="337"/>
      <c r="C234" s="388"/>
      <c r="D234" s="388"/>
      <c r="E234" s="388"/>
      <c r="F234" s="388"/>
      <c r="G234" s="388"/>
      <c r="H234" s="388"/>
      <c r="I234" s="356"/>
      <c r="J234" s="346"/>
      <c r="K234" s="389"/>
      <c r="L234" s="389"/>
      <c r="M234" s="373"/>
      <c r="N234" s="386"/>
      <c r="O234" s="380"/>
      <c r="S234" s="357" t="s">
        <v>245</v>
      </c>
      <c r="T234" s="578"/>
      <c r="U234" s="578"/>
      <c r="V234" s="578"/>
      <c r="W234" s="578"/>
      <c r="X234" s="591" t="s">
        <v>112</v>
      </c>
      <c r="Y234" s="591"/>
    </row>
    <row r="235" spans="1:25" ht="18" customHeight="1" x14ac:dyDescent="0.2">
      <c r="A235" s="337"/>
      <c r="B235" s="337"/>
      <c r="C235" s="345"/>
      <c r="D235" s="337"/>
      <c r="E235" s="337"/>
      <c r="F235" s="337"/>
      <c r="G235" s="337"/>
      <c r="H235" s="337"/>
      <c r="I235" s="337"/>
      <c r="J235" s="337"/>
      <c r="K235" s="337"/>
      <c r="L235" s="337"/>
      <c r="M235" s="337"/>
      <c r="N235" s="386"/>
      <c r="O235" s="380"/>
    </row>
    <row r="236" spans="1:25" ht="18" customHeight="1" x14ac:dyDescent="0.2">
      <c r="A236" s="337"/>
      <c r="B236" s="337"/>
      <c r="C236" s="345"/>
      <c r="D236" s="337"/>
      <c r="E236" s="337"/>
      <c r="F236" s="337"/>
      <c r="G236" s="337"/>
      <c r="H236" s="337"/>
      <c r="I236" s="337"/>
      <c r="J236" s="337"/>
      <c r="K236" s="337"/>
      <c r="L236" s="337"/>
      <c r="M236" s="337"/>
      <c r="N236" s="386"/>
      <c r="O236" s="380"/>
    </row>
    <row r="237" spans="1:25" ht="35.25" customHeight="1" x14ac:dyDescent="0.2">
      <c r="A237" s="337"/>
      <c r="B237" s="337"/>
      <c r="C237" s="341" t="s">
        <v>402</v>
      </c>
      <c r="D237" s="695" t="s">
        <v>404</v>
      </c>
      <c r="E237" s="696"/>
      <c r="F237" s="696"/>
      <c r="G237" s="696"/>
      <c r="H237" s="696"/>
      <c r="I237" s="696"/>
      <c r="J237" s="696"/>
      <c r="K237" s="696"/>
      <c r="L237" s="696"/>
      <c r="M237" s="696"/>
      <c r="N237" s="696"/>
      <c r="O237" s="696"/>
      <c r="P237" s="696"/>
      <c r="Q237" s="696"/>
      <c r="R237" s="696"/>
      <c r="S237" s="696"/>
      <c r="T237" s="696"/>
      <c r="U237" s="696"/>
      <c r="V237" s="696"/>
      <c r="W237" s="696"/>
      <c r="X237" s="696"/>
      <c r="Y237" s="697"/>
    </row>
    <row r="238" spans="1:25" ht="18" customHeight="1" x14ac:dyDescent="0.2">
      <c r="A238" s="337"/>
      <c r="B238" s="337"/>
      <c r="C238" s="517"/>
      <c r="D238" s="517"/>
      <c r="E238" s="517"/>
      <c r="F238" s="517"/>
      <c r="G238" s="517"/>
      <c r="H238" s="517"/>
      <c r="I238" s="517"/>
      <c r="J238" s="517"/>
      <c r="K238" s="517"/>
      <c r="L238" s="517"/>
      <c r="M238" s="517"/>
      <c r="N238" s="517"/>
      <c r="O238" s="517"/>
      <c r="P238" s="517"/>
      <c r="Q238" s="517"/>
      <c r="R238" s="517"/>
      <c r="S238" s="517"/>
      <c r="T238" s="517"/>
      <c r="U238" s="517"/>
      <c r="V238" s="517"/>
      <c r="W238" s="517"/>
      <c r="X238" s="517"/>
      <c r="Y238" s="517"/>
    </row>
    <row r="239" spans="1:25" ht="18" customHeight="1" x14ac:dyDescent="0.2">
      <c r="A239" s="337"/>
      <c r="B239" s="337"/>
      <c r="C239" s="581" t="s">
        <v>366</v>
      </c>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row>
    <row r="240" spans="1:25" ht="18" customHeight="1" x14ac:dyDescent="0.2">
      <c r="A240" s="337"/>
      <c r="B240" s="337"/>
      <c r="C240" s="684" t="s">
        <v>246</v>
      </c>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row>
    <row r="241" spans="1:25" ht="18" customHeight="1" x14ac:dyDescent="0.2">
      <c r="A241" s="337"/>
      <c r="B241" s="337"/>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row>
    <row r="242" spans="1:25" ht="18" customHeight="1" x14ac:dyDescent="0.2">
      <c r="A242" s="337"/>
      <c r="B242" s="337"/>
      <c r="C242" s="686"/>
      <c r="D242" s="687"/>
      <c r="E242" s="687"/>
      <c r="F242" s="687"/>
      <c r="G242" s="687"/>
      <c r="H242" s="687"/>
      <c r="I242" s="687"/>
      <c r="J242" s="687"/>
      <c r="K242" s="687"/>
      <c r="L242" s="687"/>
      <c r="M242" s="687"/>
      <c r="N242" s="687"/>
      <c r="O242" s="687"/>
      <c r="P242" s="687"/>
      <c r="Q242" s="687"/>
      <c r="R242" s="687"/>
      <c r="S242" s="687"/>
      <c r="T242" s="687"/>
      <c r="U242" s="687"/>
      <c r="V242" s="687"/>
      <c r="W242" s="687"/>
      <c r="X242" s="687"/>
      <c r="Y242" s="688"/>
    </row>
    <row r="243" spans="1:25" ht="18" customHeight="1" x14ac:dyDescent="0.2">
      <c r="A243" s="337"/>
      <c r="B243" s="337"/>
      <c r="C243" s="689"/>
      <c r="D243" s="690"/>
      <c r="E243" s="690"/>
      <c r="F243" s="690"/>
      <c r="G243" s="690"/>
      <c r="H243" s="690"/>
      <c r="I243" s="690"/>
      <c r="J243" s="690"/>
      <c r="K243" s="690"/>
      <c r="L243" s="690"/>
      <c r="M243" s="690"/>
      <c r="N243" s="690"/>
      <c r="O243" s="690"/>
      <c r="P243" s="690"/>
      <c r="Q243" s="690"/>
      <c r="R243" s="690"/>
      <c r="S243" s="690"/>
      <c r="T243" s="690"/>
      <c r="U243" s="690"/>
      <c r="V243" s="690"/>
      <c r="W243" s="690"/>
      <c r="X243" s="690"/>
      <c r="Y243" s="691"/>
    </row>
    <row r="244" spans="1:25" ht="18" customHeight="1" x14ac:dyDescent="0.2">
      <c r="A244" s="337"/>
      <c r="B244" s="337"/>
      <c r="C244" s="689"/>
      <c r="D244" s="690"/>
      <c r="E244" s="690"/>
      <c r="F244" s="690"/>
      <c r="G244" s="690"/>
      <c r="H244" s="690"/>
      <c r="I244" s="690"/>
      <c r="J244" s="690"/>
      <c r="K244" s="690"/>
      <c r="L244" s="690"/>
      <c r="M244" s="690"/>
      <c r="N244" s="690"/>
      <c r="O244" s="690"/>
      <c r="P244" s="690"/>
      <c r="Q244" s="690"/>
      <c r="R244" s="690"/>
      <c r="S244" s="690"/>
      <c r="T244" s="690"/>
      <c r="U244" s="690"/>
      <c r="V244" s="690"/>
      <c r="W244" s="690"/>
      <c r="X244" s="690"/>
      <c r="Y244" s="691"/>
    </row>
    <row r="245" spans="1:25" ht="18" customHeight="1" x14ac:dyDescent="0.2">
      <c r="A245" s="337"/>
      <c r="B245" s="337"/>
      <c r="C245" s="689"/>
      <c r="D245" s="690"/>
      <c r="E245" s="690"/>
      <c r="F245" s="690"/>
      <c r="G245" s="690"/>
      <c r="H245" s="690"/>
      <c r="I245" s="690"/>
      <c r="J245" s="690"/>
      <c r="K245" s="690"/>
      <c r="L245" s="690"/>
      <c r="M245" s="690"/>
      <c r="N245" s="690"/>
      <c r="O245" s="690"/>
      <c r="P245" s="690"/>
      <c r="Q245" s="690"/>
      <c r="R245" s="690"/>
      <c r="S245" s="690"/>
      <c r="T245" s="690"/>
      <c r="U245" s="690"/>
      <c r="V245" s="690"/>
      <c r="W245" s="690"/>
      <c r="X245" s="690"/>
      <c r="Y245" s="691"/>
    </row>
    <row r="246" spans="1:25" ht="18" customHeight="1" x14ac:dyDescent="0.2">
      <c r="A246" s="337"/>
      <c r="B246" s="337"/>
      <c r="C246" s="689"/>
      <c r="D246" s="690"/>
      <c r="E246" s="690"/>
      <c r="F246" s="690"/>
      <c r="G246" s="690"/>
      <c r="H246" s="690"/>
      <c r="I246" s="690"/>
      <c r="J246" s="690"/>
      <c r="K246" s="690"/>
      <c r="L246" s="690"/>
      <c r="M246" s="690"/>
      <c r="N246" s="690"/>
      <c r="O246" s="690"/>
      <c r="P246" s="690"/>
      <c r="Q246" s="690"/>
      <c r="R246" s="690"/>
      <c r="S246" s="690"/>
      <c r="T246" s="690"/>
      <c r="U246" s="690"/>
      <c r="V246" s="690"/>
      <c r="W246" s="690"/>
      <c r="X246" s="690"/>
      <c r="Y246" s="691"/>
    </row>
    <row r="247" spans="1:25" ht="18" customHeight="1" x14ac:dyDescent="0.2">
      <c r="A247" s="337"/>
      <c r="B247" s="337"/>
      <c r="C247" s="689"/>
      <c r="D247" s="690"/>
      <c r="E247" s="690"/>
      <c r="F247" s="690"/>
      <c r="G247" s="690"/>
      <c r="H247" s="690"/>
      <c r="I247" s="690"/>
      <c r="J247" s="690"/>
      <c r="K247" s="690"/>
      <c r="L247" s="690"/>
      <c r="M247" s="690"/>
      <c r="N247" s="690"/>
      <c r="O247" s="690"/>
      <c r="P247" s="690"/>
      <c r="Q247" s="690"/>
      <c r="R247" s="690"/>
      <c r="S247" s="690"/>
      <c r="T247" s="690"/>
      <c r="U247" s="690"/>
      <c r="V247" s="690"/>
      <c r="W247" s="690"/>
      <c r="X247" s="690"/>
      <c r="Y247" s="691"/>
    </row>
    <row r="248" spans="1:25" ht="18" customHeight="1" x14ac:dyDescent="0.2">
      <c r="A248" s="337"/>
      <c r="B248" s="337"/>
      <c r="C248" s="689"/>
      <c r="D248" s="690"/>
      <c r="E248" s="690"/>
      <c r="F248" s="690"/>
      <c r="G248" s="690"/>
      <c r="H248" s="690"/>
      <c r="I248" s="690"/>
      <c r="J248" s="690"/>
      <c r="K248" s="690"/>
      <c r="L248" s="690"/>
      <c r="M248" s="690"/>
      <c r="N248" s="690"/>
      <c r="O248" s="690"/>
      <c r="P248" s="690"/>
      <c r="Q248" s="690"/>
      <c r="R248" s="690"/>
      <c r="S248" s="690"/>
      <c r="T248" s="690"/>
      <c r="U248" s="690"/>
      <c r="V248" s="690"/>
      <c r="W248" s="690"/>
      <c r="X248" s="690"/>
      <c r="Y248" s="691"/>
    </row>
    <row r="249" spans="1:25" ht="18" customHeight="1" x14ac:dyDescent="0.2">
      <c r="A249" s="337"/>
      <c r="B249" s="337"/>
      <c r="C249" s="689"/>
      <c r="D249" s="690"/>
      <c r="E249" s="690"/>
      <c r="F249" s="690"/>
      <c r="G249" s="690"/>
      <c r="H249" s="690"/>
      <c r="I249" s="690"/>
      <c r="J249" s="690"/>
      <c r="K249" s="690"/>
      <c r="L249" s="690"/>
      <c r="M249" s="690"/>
      <c r="N249" s="690"/>
      <c r="O249" s="690"/>
      <c r="P249" s="690"/>
      <c r="Q249" s="690"/>
      <c r="R249" s="690"/>
      <c r="S249" s="690"/>
      <c r="T249" s="690"/>
      <c r="U249" s="690"/>
      <c r="V249" s="690"/>
      <c r="W249" s="690"/>
      <c r="X249" s="690"/>
      <c r="Y249" s="691"/>
    </row>
    <row r="250" spans="1:25" ht="18" customHeight="1" x14ac:dyDescent="0.2">
      <c r="A250" s="337"/>
      <c r="B250" s="337"/>
      <c r="C250" s="689"/>
      <c r="D250" s="690"/>
      <c r="E250" s="690"/>
      <c r="F250" s="690"/>
      <c r="G250" s="690"/>
      <c r="H250" s="690"/>
      <c r="I250" s="690"/>
      <c r="J250" s="690"/>
      <c r="K250" s="690"/>
      <c r="L250" s="690"/>
      <c r="M250" s="690"/>
      <c r="N250" s="690"/>
      <c r="O250" s="690"/>
      <c r="P250" s="690"/>
      <c r="Q250" s="690"/>
      <c r="R250" s="690"/>
      <c r="S250" s="690"/>
      <c r="T250" s="690"/>
      <c r="U250" s="690"/>
      <c r="V250" s="690"/>
      <c r="W250" s="690"/>
      <c r="X250" s="690"/>
      <c r="Y250" s="691"/>
    </row>
    <row r="251" spans="1:25" ht="18" customHeight="1" x14ac:dyDescent="0.2">
      <c r="A251" s="337"/>
      <c r="B251" s="337"/>
      <c r="C251" s="689"/>
      <c r="D251" s="690"/>
      <c r="E251" s="690"/>
      <c r="F251" s="690"/>
      <c r="G251" s="690"/>
      <c r="H251" s="690"/>
      <c r="I251" s="690"/>
      <c r="J251" s="690"/>
      <c r="K251" s="690"/>
      <c r="L251" s="690"/>
      <c r="M251" s="690"/>
      <c r="N251" s="690"/>
      <c r="O251" s="690"/>
      <c r="P251" s="690"/>
      <c r="Q251" s="690"/>
      <c r="R251" s="690"/>
      <c r="S251" s="690"/>
      <c r="T251" s="690"/>
      <c r="U251" s="690"/>
      <c r="V251" s="690"/>
      <c r="W251" s="690"/>
      <c r="X251" s="690"/>
      <c r="Y251" s="691"/>
    </row>
    <row r="252" spans="1:25" ht="18" customHeight="1" x14ac:dyDescent="0.2">
      <c r="A252" s="337"/>
      <c r="B252" s="337"/>
      <c r="C252" s="689"/>
      <c r="D252" s="690"/>
      <c r="E252" s="690"/>
      <c r="F252" s="690"/>
      <c r="G252" s="690"/>
      <c r="H252" s="690"/>
      <c r="I252" s="690"/>
      <c r="J252" s="690"/>
      <c r="K252" s="690"/>
      <c r="L252" s="690"/>
      <c r="M252" s="690"/>
      <c r="N252" s="690"/>
      <c r="O252" s="690"/>
      <c r="P252" s="690"/>
      <c r="Q252" s="690"/>
      <c r="R252" s="690"/>
      <c r="S252" s="690"/>
      <c r="T252" s="690"/>
      <c r="U252" s="690"/>
      <c r="V252" s="690"/>
      <c r="W252" s="690"/>
      <c r="X252" s="690"/>
      <c r="Y252" s="691"/>
    </row>
    <row r="253" spans="1:25" ht="18" customHeight="1" x14ac:dyDescent="0.2">
      <c r="A253" s="337"/>
      <c r="B253" s="337"/>
      <c r="C253" s="689"/>
      <c r="D253" s="690"/>
      <c r="E253" s="690"/>
      <c r="F253" s="690"/>
      <c r="G253" s="690"/>
      <c r="H253" s="690"/>
      <c r="I253" s="690"/>
      <c r="J253" s="690"/>
      <c r="K253" s="690"/>
      <c r="L253" s="690"/>
      <c r="M253" s="690"/>
      <c r="N253" s="690"/>
      <c r="O253" s="690"/>
      <c r="P253" s="690"/>
      <c r="Q253" s="690"/>
      <c r="R253" s="690"/>
      <c r="S253" s="690"/>
      <c r="T253" s="690"/>
      <c r="U253" s="690"/>
      <c r="V253" s="690"/>
      <c r="W253" s="690"/>
      <c r="X253" s="690"/>
      <c r="Y253" s="691"/>
    </row>
    <row r="254" spans="1:25" ht="18" customHeight="1" x14ac:dyDescent="0.2">
      <c r="A254" s="337"/>
      <c r="B254" s="337"/>
      <c r="C254" s="689"/>
      <c r="D254" s="690"/>
      <c r="E254" s="690"/>
      <c r="F254" s="690"/>
      <c r="G254" s="690"/>
      <c r="H254" s="690"/>
      <c r="I254" s="690"/>
      <c r="J254" s="690"/>
      <c r="K254" s="690"/>
      <c r="L254" s="690"/>
      <c r="M254" s="690"/>
      <c r="N254" s="690"/>
      <c r="O254" s="690"/>
      <c r="P254" s="690"/>
      <c r="Q254" s="690"/>
      <c r="R254" s="690"/>
      <c r="S254" s="690"/>
      <c r="T254" s="690"/>
      <c r="U254" s="690"/>
      <c r="V254" s="690"/>
      <c r="W254" s="690"/>
      <c r="X254" s="690"/>
      <c r="Y254" s="691"/>
    </row>
    <row r="255" spans="1:25" ht="18" customHeight="1" x14ac:dyDescent="0.2">
      <c r="A255" s="337"/>
      <c r="B255" s="337"/>
      <c r="C255" s="689"/>
      <c r="D255" s="690"/>
      <c r="E255" s="690"/>
      <c r="F255" s="690"/>
      <c r="G255" s="690"/>
      <c r="H255" s="690"/>
      <c r="I255" s="690"/>
      <c r="J255" s="690"/>
      <c r="K255" s="690"/>
      <c r="L255" s="690"/>
      <c r="M255" s="690"/>
      <c r="N255" s="690"/>
      <c r="O255" s="690"/>
      <c r="P255" s="690"/>
      <c r="Q255" s="690"/>
      <c r="R255" s="690"/>
      <c r="S255" s="690"/>
      <c r="T255" s="690"/>
      <c r="U255" s="690"/>
      <c r="V255" s="690"/>
      <c r="W255" s="690"/>
      <c r="X255" s="690"/>
      <c r="Y255" s="691"/>
    </row>
    <row r="256" spans="1:25" ht="18" customHeight="1" x14ac:dyDescent="0.2">
      <c r="A256" s="337"/>
      <c r="B256" s="337"/>
      <c r="C256" s="689"/>
      <c r="D256" s="690"/>
      <c r="E256" s="690"/>
      <c r="F256" s="690"/>
      <c r="G256" s="690"/>
      <c r="H256" s="690"/>
      <c r="I256" s="690"/>
      <c r="J256" s="690"/>
      <c r="K256" s="690"/>
      <c r="L256" s="690"/>
      <c r="M256" s="690"/>
      <c r="N256" s="690"/>
      <c r="O256" s="690"/>
      <c r="P256" s="690"/>
      <c r="Q256" s="690"/>
      <c r="R256" s="690"/>
      <c r="S256" s="690"/>
      <c r="T256" s="690"/>
      <c r="U256" s="690"/>
      <c r="V256" s="690"/>
      <c r="W256" s="690"/>
      <c r="X256" s="690"/>
      <c r="Y256" s="691"/>
    </row>
    <row r="257" spans="1:25" ht="18" customHeight="1" x14ac:dyDescent="0.2">
      <c r="A257" s="337"/>
      <c r="B257" s="337"/>
      <c r="C257" s="689"/>
      <c r="D257" s="690"/>
      <c r="E257" s="690"/>
      <c r="F257" s="690"/>
      <c r="G257" s="690"/>
      <c r="H257" s="690"/>
      <c r="I257" s="690"/>
      <c r="J257" s="690"/>
      <c r="K257" s="690"/>
      <c r="L257" s="690"/>
      <c r="M257" s="690"/>
      <c r="N257" s="690"/>
      <c r="O257" s="690"/>
      <c r="P257" s="690"/>
      <c r="Q257" s="690"/>
      <c r="R257" s="690"/>
      <c r="S257" s="690"/>
      <c r="T257" s="690"/>
      <c r="U257" s="690"/>
      <c r="V257" s="690"/>
      <c r="W257" s="690"/>
      <c r="X257" s="690"/>
      <c r="Y257" s="691"/>
    </row>
    <row r="258" spans="1:25" ht="18" customHeight="1" x14ac:dyDescent="0.2">
      <c r="A258" s="337"/>
      <c r="B258" s="337"/>
      <c r="C258" s="689"/>
      <c r="D258" s="690"/>
      <c r="E258" s="690"/>
      <c r="F258" s="690"/>
      <c r="G258" s="690"/>
      <c r="H258" s="690"/>
      <c r="I258" s="690"/>
      <c r="J258" s="690"/>
      <c r="K258" s="690"/>
      <c r="L258" s="690"/>
      <c r="M258" s="690"/>
      <c r="N258" s="690"/>
      <c r="O258" s="690"/>
      <c r="P258" s="690"/>
      <c r="Q258" s="690"/>
      <c r="R258" s="690"/>
      <c r="S258" s="690"/>
      <c r="T258" s="690"/>
      <c r="U258" s="690"/>
      <c r="V258" s="690"/>
      <c r="W258" s="690"/>
      <c r="X258" s="690"/>
      <c r="Y258" s="691"/>
    </row>
    <row r="259" spans="1:25" ht="18" customHeight="1" x14ac:dyDescent="0.2">
      <c r="A259" s="337"/>
      <c r="B259" s="337"/>
      <c r="C259" s="689"/>
      <c r="D259" s="690"/>
      <c r="E259" s="690"/>
      <c r="F259" s="690"/>
      <c r="G259" s="690"/>
      <c r="H259" s="690"/>
      <c r="I259" s="690"/>
      <c r="J259" s="690"/>
      <c r="K259" s="690"/>
      <c r="L259" s="690"/>
      <c r="M259" s="690"/>
      <c r="N259" s="690"/>
      <c r="O259" s="690"/>
      <c r="P259" s="690"/>
      <c r="Q259" s="690"/>
      <c r="R259" s="690"/>
      <c r="S259" s="690"/>
      <c r="T259" s="690"/>
      <c r="U259" s="690"/>
      <c r="V259" s="690"/>
      <c r="W259" s="690"/>
      <c r="X259" s="690"/>
      <c r="Y259" s="691"/>
    </row>
    <row r="260" spans="1:25" ht="18" customHeight="1" x14ac:dyDescent="0.2">
      <c r="A260" s="337"/>
      <c r="B260" s="337"/>
      <c r="C260" s="689"/>
      <c r="D260" s="690"/>
      <c r="E260" s="690"/>
      <c r="F260" s="690"/>
      <c r="G260" s="690"/>
      <c r="H260" s="690"/>
      <c r="I260" s="690"/>
      <c r="J260" s="690"/>
      <c r="K260" s="690"/>
      <c r="L260" s="690"/>
      <c r="M260" s="690"/>
      <c r="N260" s="690"/>
      <c r="O260" s="690"/>
      <c r="P260" s="690"/>
      <c r="Q260" s="690"/>
      <c r="R260" s="690"/>
      <c r="S260" s="690"/>
      <c r="T260" s="690"/>
      <c r="U260" s="690"/>
      <c r="V260" s="690"/>
      <c r="W260" s="690"/>
      <c r="X260" s="690"/>
      <c r="Y260" s="691"/>
    </row>
    <row r="261" spans="1:25" ht="18" customHeight="1" x14ac:dyDescent="0.2">
      <c r="A261" s="337"/>
      <c r="B261" s="337"/>
      <c r="C261" s="689"/>
      <c r="D261" s="690"/>
      <c r="E261" s="690"/>
      <c r="F261" s="690"/>
      <c r="G261" s="690"/>
      <c r="H261" s="690"/>
      <c r="I261" s="690"/>
      <c r="J261" s="690"/>
      <c r="K261" s="690"/>
      <c r="L261" s="690"/>
      <c r="M261" s="690"/>
      <c r="N261" s="690"/>
      <c r="O261" s="690"/>
      <c r="P261" s="690"/>
      <c r="Q261" s="690"/>
      <c r="R261" s="690"/>
      <c r="S261" s="690"/>
      <c r="T261" s="690"/>
      <c r="U261" s="690"/>
      <c r="V261" s="690"/>
      <c r="W261" s="690"/>
      <c r="X261" s="690"/>
      <c r="Y261" s="691"/>
    </row>
    <row r="262" spans="1:25" ht="18" customHeight="1" x14ac:dyDescent="0.2">
      <c r="A262" s="337"/>
      <c r="B262" s="337"/>
      <c r="C262" s="689"/>
      <c r="D262" s="690"/>
      <c r="E262" s="690"/>
      <c r="F262" s="690"/>
      <c r="G262" s="690"/>
      <c r="H262" s="690"/>
      <c r="I262" s="690"/>
      <c r="J262" s="690"/>
      <c r="K262" s="690"/>
      <c r="L262" s="690"/>
      <c r="M262" s="690"/>
      <c r="N262" s="690"/>
      <c r="O262" s="690"/>
      <c r="P262" s="690"/>
      <c r="Q262" s="690"/>
      <c r="R262" s="690"/>
      <c r="S262" s="690"/>
      <c r="T262" s="690"/>
      <c r="U262" s="690"/>
      <c r="V262" s="690"/>
      <c r="W262" s="690"/>
      <c r="X262" s="690"/>
      <c r="Y262" s="691"/>
    </row>
    <row r="263" spans="1:25" ht="18" customHeight="1" x14ac:dyDescent="0.2">
      <c r="A263" s="337"/>
      <c r="B263" s="337"/>
      <c r="C263" s="689"/>
      <c r="D263" s="690"/>
      <c r="E263" s="690"/>
      <c r="F263" s="690"/>
      <c r="G263" s="690"/>
      <c r="H263" s="690"/>
      <c r="I263" s="690"/>
      <c r="J263" s="690"/>
      <c r="K263" s="690"/>
      <c r="L263" s="690"/>
      <c r="M263" s="690"/>
      <c r="N263" s="690"/>
      <c r="O263" s="690"/>
      <c r="P263" s="690"/>
      <c r="Q263" s="690"/>
      <c r="R263" s="690"/>
      <c r="S263" s="690"/>
      <c r="T263" s="690"/>
      <c r="U263" s="690"/>
      <c r="V263" s="690"/>
      <c r="W263" s="690"/>
      <c r="X263" s="690"/>
      <c r="Y263" s="691"/>
    </row>
    <row r="264" spans="1:25" ht="18" customHeight="1" x14ac:dyDescent="0.2">
      <c r="A264" s="337"/>
      <c r="B264" s="337"/>
      <c r="C264" s="689"/>
      <c r="D264" s="690"/>
      <c r="E264" s="690"/>
      <c r="F264" s="690"/>
      <c r="G264" s="690"/>
      <c r="H264" s="690"/>
      <c r="I264" s="690"/>
      <c r="J264" s="690"/>
      <c r="K264" s="690"/>
      <c r="L264" s="690"/>
      <c r="M264" s="690"/>
      <c r="N264" s="690"/>
      <c r="O264" s="690"/>
      <c r="P264" s="690"/>
      <c r="Q264" s="690"/>
      <c r="R264" s="690"/>
      <c r="S264" s="690"/>
      <c r="T264" s="690"/>
      <c r="U264" s="690"/>
      <c r="V264" s="690"/>
      <c r="W264" s="690"/>
      <c r="X264" s="690"/>
      <c r="Y264" s="691"/>
    </row>
    <row r="265" spans="1:25" ht="18" customHeight="1" x14ac:dyDescent="0.2">
      <c r="A265" s="337"/>
      <c r="B265" s="337"/>
      <c r="C265" s="689"/>
      <c r="D265" s="690"/>
      <c r="E265" s="690"/>
      <c r="F265" s="690"/>
      <c r="G265" s="690"/>
      <c r="H265" s="690"/>
      <c r="I265" s="690"/>
      <c r="J265" s="690"/>
      <c r="K265" s="690"/>
      <c r="L265" s="690"/>
      <c r="M265" s="690"/>
      <c r="N265" s="690"/>
      <c r="O265" s="690"/>
      <c r="P265" s="690"/>
      <c r="Q265" s="690"/>
      <c r="R265" s="690"/>
      <c r="S265" s="690"/>
      <c r="T265" s="690"/>
      <c r="U265" s="690"/>
      <c r="V265" s="690"/>
      <c r="W265" s="690"/>
      <c r="X265" s="690"/>
      <c r="Y265" s="691"/>
    </row>
    <row r="266" spans="1:25" ht="18" customHeight="1" x14ac:dyDescent="0.2">
      <c r="A266" s="337"/>
      <c r="B266" s="337"/>
      <c r="C266" s="689"/>
      <c r="D266" s="690"/>
      <c r="E266" s="690"/>
      <c r="F266" s="690"/>
      <c r="G266" s="690"/>
      <c r="H266" s="690"/>
      <c r="I266" s="690"/>
      <c r="J266" s="690"/>
      <c r="K266" s="690"/>
      <c r="L266" s="690"/>
      <c r="M266" s="690"/>
      <c r="N266" s="690"/>
      <c r="O266" s="690"/>
      <c r="P266" s="690"/>
      <c r="Q266" s="690"/>
      <c r="R266" s="690"/>
      <c r="S266" s="690"/>
      <c r="T266" s="690"/>
      <c r="U266" s="690"/>
      <c r="V266" s="690"/>
      <c r="W266" s="690"/>
      <c r="X266" s="690"/>
      <c r="Y266" s="691"/>
    </row>
    <row r="267" spans="1:25" ht="18" customHeight="1" x14ac:dyDescent="0.2">
      <c r="A267" s="337"/>
      <c r="B267" s="337"/>
      <c r="C267" s="689"/>
      <c r="D267" s="690"/>
      <c r="E267" s="690"/>
      <c r="F267" s="690"/>
      <c r="G267" s="690"/>
      <c r="H267" s="690"/>
      <c r="I267" s="690"/>
      <c r="J267" s="690"/>
      <c r="K267" s="690"/>
      <c r="L267" s="690"/>
      <c r="M267" s="690"/>
      <c r="N267" s="690"/>
      <c r="O267" s="690"/>
      <c r="P267" s="690"/>
      <c r="Q267" s="690"/>
      <c r="R267" s="690"/>
      <c r="S267" s="690"/>
      <c r="T267" s="690"/>
      <c r="U267" s="690"/>
      <c r="V267" s="690"/>
      <c r="W267" s="690"/>
      <c r="X267" s="690"/>
      <c r="Y267" s="691"/>
    </row>
    <row r="268" spans="1:25" ht="18" customHeight="1" x14ac:dyDescent="0.2">
      <c r="A268" s="337"/>
      <c r="B268" s="337"/>
      <c r="C268" s="689"/>
      <c r="D268" s="690"/>
      <c r="E268" s="690"/>
      <c r="F268" s="690"/>
      <c r="G268" s="690"/>
      <c r="H268" s="690"/>
      <c r="I268" s="690"/>
      <c r="J268" s="690"/>
      <c r="K268" s="690"/>
      <c r="L268" s="690"/>
      <c r="M268" s="690"/>
      <c r="N268" s="690"/>
      <c r="O268" s="690"/>
      <c r="P268" s="690"/>
      <c r="Q268" s="690"/>
      <c r="R268" s="690"/>
      <c r="S268" s="690"/>
      <c r="T268" s="690"/>
      <c r="U268" s="690"/>
      <c r="V268" s="690"/>
      <c r="W268" s="690"/>
      <c r="X268" s="690"/>
      <c r="Y268" s="691"/>
    </row>
    <row r="269" spans="1:25" ht="18" customHeight="1" x14ac:dyDescent="0.2">
      <c r="A269" s="337"/>
      <c r="B269" s="337"/>
      <c r="C269" s="689"/>
      <c r="D269" s="690"/>
      <c r="E269" s="690"/>
      <c r="F269" s="690"/>
      <c r="G269" s="690"/>
      <c r="H269" s="690"/>
      <c r="I269" s="690"/>
      <c r="J269" s="690"/>
      <c r="K269" s="690"/>
      <c r="L269" s="690"/>
      <c r="M269" s="690"/>
      <c r="N269" s="690"/>
      <c r="O269" s="690"/>
      <c r="P269" s="690"/>
      <c r="Q269" s="690"/>
      <c r="R269" s="690"/>
      <c r="S269" s="690"/>
      <c r="T269" s="690"/>
      <c r="U269" s="690"/>
      <c r="V269" s="690"/>
      <c r="W269" s="690"/>
      <c r="X269" s="690"/>
      <c r="Y269" s="691"/>
    </row>
    <row r="270" spans="1:25" ht="18" customHeight="1" x14ac:dyDescent="0.2">
      <c r="A270" s="337"/>
      <c r="B270" s="337"/>
      <c r="C270" s="689"/>
      <c r="D270" s="690"/>
      <c r="E270" s="690"/>
      <c r="F270" s="690"/>
      <c r="G270" s="690"/>
      <c r="H270" s="690"/>
      <c r="I270" s="690"/>
      <c r="J270" s="690"/>
      <c r="K270" s="690"/>
      <c r="L270" s="690"/>
      <c r="M270" s="690"/>
      <c r="N270" s="690"/>
      <c r="O270" s="690"/>
      <c r="P270" s="690"/>
      <c r="Q270" s="690"/>
      <c r="R270" s="690"/>
      <c r="S270" s="690"/>
      <c r="T270" s="690"/>
      <c r="U270" s="690"/>
      <c r="V270" s="690"/>
      <c r="W270" s="690"/>
      <c r="X270" s="690"/>
      <c r="Y270" s="691"/>
    </row>
    <row r="271" spans="1:25" ht="18" customHeight="1" x14ac:dyDescent="0.2">
      <c r="A271" s="337"/>
      <c r="B271" s="337"/>
      <c r="C271" s="689"/>
      <c r="D271" s="690"/>
      <c r="E271" s="690"/>
      <c r="F271" s="690"/>
      <c r="G271" s="690"/>
      <c r="H271" s="690"/>
      <c r="I271" s="690"/>
      <c r="J271" s="690"/>
      <c r="K271" s="690"/>
      <c r="L271" s="690"/>
      <c r="M271" s="690"/>
      <c r="N271" s="690"/>
      <c r="O271" s="690"/>
      <c r="P271" s="690"/>
      <c r="Q271" s="690"/>
      <c r="R271" s="690"/>
      <c r="S271" s="690"/>
      <c r="T271" s="690"/>
      <c r="U271" s="690"/>
      <c r="V271" s="690"/>
      <c r="W271" s="690"/>
      <c r="X271" s="690"/>
      <c r="Y271" s="691"/>
    </row>
    <row r="272" spans="1:25" ht="18" customHeight="1" x14ac:dyDescent="0.2">
      <c r="A272" s="337"/>
      <c r="B272" s="337"/>
      <c r="C272" s="689"/>
      <c r="D272" s="690"/>
      <c r="E272" s="690"/>
      <c r="F272" s="690"/>
      <c r="G272" s="690"/>
      <c r="H272" s="690"/>
      <c r="I272" s="690"/>
      <c r="J272" s="690"/>
      <c r="K272" s="690"/>
      <c r="L272" s="690"/>
      <c r="M272" s="690"/>
      <c r="N272" s="690"/>
      <c r="O272" s="690"/>
      <c r="P272" s="690"/>
      <c r="Q272" s="690"/>
      <c r="R272" s="690"/>
      <c r="S272" s="690"/>
      <c r="T272" s="690"/>
      <c r="U272" s="690"/>
      <c r="V272" s="690"/>
      <c r="W272" s="690"/>
      <c r="X272" s="690"/>
      <c r="Y272" s="691"/>
    </row>
    <row r="273" spans="1:25" ht="18" customHeight="1" x14ac:dyDescent="0.2">
      <c r="A273" s="337"/>
      <c r="B273" s="337"/>
      <c r="C273" s="689"/>
      <c r="D273" s="690"/>
      <c r="E273" s="690"/>
      <c r="F273" s="690"/>
      <c r="G273" s="690"/>
      <c r="H273" s="690"/>
      <c r="I273" s="690"/>
      <c r="J273" s="690"/>
      <c r="K273" s="690"/>
      <c r="L273" s="690"/>
      <c r="M273" s="690"/>
      <c r="N273" s="690"/>
      <c r="O273" s="690"/>
      <c r="P273" s="690"/>
      <c r="Q273" s="690"/>
      <c r="R273" s="690"/>
      <c r="S273" s="690"/>
      <c r="T273" s="690"/>
      <c r="U273" s="690"/>
      <c r="V273" s="690"/>
      <c r="W273" s="690"/>
      <c r="X273" s="690"/>
      <c r="Y273" s="691"/>
    </row>
    <row r="274" spans="1:25" ht="18" customHeight="1" x14ac:dyDescent="0.2">
      <c r="A274" s="337"/>
      <c r="B274" s="337"/>
      <c r="C274" s="689"/>
      <c r="D274" s="690"/>
      <c r="E274" s="690"/>
      <c r="F274" s="690"/>
      <c r="G274" s="690"/>
      <c r="H274" s="690"/>
      <c r="I274" s="690"/>
      <c r="J274" s="690"/>
      <c r="K274" s="690"/>
      <c r="L274" s="690"/>
      <c r="M274" s="690"/>
      <c r="N274" s="690"/>
      <c r="O274" s="690"/>
      <c r="P274" s="690"/>
      <c r="Q274" s="690"/>
      <c r="R274" s="690"/>
      <c r="S274" s="690"/>
      <c r="T274" s="690"/>
      <c r="U274" s="690"/>
      <c r="V274" s="690"/>
      <c r="W274" s="690"/>
      <c r="X274" s="690"/>
      <c r="Y274" s="691"/>
    </row>
    <row r="275" spans="1:25" ht="18" customHeight="1" x14ac:dyDescent="0.2">
      <c r="A275" s="337"/>
      <c r="B275" s="337"/>
      <c r="C275" s="689"/>
      <c r="D275" s="690"/>
      <c r="E275" s="690"/>
      <c r="F275" s="690"/>
      <c r="G275" s="690"/>
      <c r="H275" s="690"/>
      <c r="I275" s="690"/>
      <c r="J275" s="690"/>
      <c r="K275" s="690"/>
      <c r="L275" s="690"/>
      <c r="M275" s="690"/>
      <c r="N275" s="690"/>
      <c r="O275" s="690"/>
      <c r="P275" s="690"/>
      <c r="Q275" s="690"/>
      <c r="R275" s="690"/>
      <c r="S275" s="690"/>
      <c r="T275" s="690"/>
      <c r="U275" s="690"/>
      <c r="V275" s="690"/>
      <c r="W275" s="690"/>
      <c r="X275" s="690"/>
      <c r="Y275" s="691"/>
    </row>
    <row r="276" spans="1:25" ht="18" customHeight="1" x14ac:dyDescent="0.2">
      <c r="A276" s="337"/>
      <c r="B276" s="337"/>
      <c r="C276" s="689"/>
      <c r="D276" s="690"/>
      <c r="E276" s="690"/>
      <c r="F276" s="690"/>
      <c r="G276" s="690"/>
      <c r="H276" s="690"/>
      <c r="I276" s="690"/>
      <c r="J276" s="690"/>
      <c r="K276" s="690"/>
      <c r="L276" s="690"/>
      <c r="M276" s="690"/>
      <c r="N276" s="690"/>
      <c r="O276" s="690"/>
      <c r="P276" s="690"/>
      <c r="Q276" s="690"/>
      <c r="R276" s="690"/>
      <c r="S276" s="690"/>
      <c r="T276" s="690"/>
      <c r="U276" s="690"/>
      <c r="V276" s="690"/>
      <c r="W276" s="690"/>
      <c r="X276" s="690"/>
      <c r="Y276" s="691"/>
    </row>
    <row r="277" spans="1:25" ht="18" customHeight="1" x14ac:dyDescent="0.2">
      <c r="A277" s="337"/>
      <c r="B277" s="337"/>
      <c r="C277" s="689"/>
      <c r="D277" s="690"/>
      <c r="E277" s="690"/>
      <c r="F277" s="690"/>
      <c r="G277" s="690"/>
      <c r="H277" s="690"/>
      <c r="I277" s="690"/>
      <c r="J277" s="690"/>
      <c r="K277" s="690"/>
      <c r="L277" s="690"/>
      <c r="M277" s="690"/>
      <c r="N277" s="690"/>
      <c r="O277" s="690"/>
      <c r="P277" s="690"/>
      <c r="Q277" s="690"/>
      <c r="R277" s="690"/>
      <c r="S277" s="690"/>
      <c r="T277" s="690"/>
      <c r="U277" s="690"/>
      <c r="V277" s="690"/>
      <c r="W277" s="690"/>
      <c r="X277" s="690"/>
      <c r="Y277" s="691"/>
    </row>
    <row r="278" spans="1:25" ht="18" customHeight="1" x14ac:dyDescent="0.2">
      <c r="A278" s="337"/>
      <c r="B278" s="337"/>
      <c r="C278" s="689"/>
      <c r="D278" s="690"/>
      <c r="E278" s="690"/>
      <c r="F278" s="690"/>
      <c r="G278" s="690"/>
      <c r="H278" s="690"/>
      <c r="I278" s="690"/>
      <c r="J278" s="690"/>
      <c r="K278" s="690"/>
      <c r="L278" s="690"/>
      <c r="M278" s="690"/>
      <c r="N278" s="690"/>
      <c r="O278" s="690"/>
      <c r="P278" s="690"/>
      <c r="Q278" s="690"/>
      <c r="R278" s="690"/>
      <c r="S278" s="690"/>
      <c r="T278" s="690"/>
      <c r="U278" s="690"/>
      <c r="V278" s="690"/>
      <c r="W278" s="690"/>
      <c r="X278" s="690"/>
      <c r="Y278" s="691"/>
    </row>
    <row r="279" spans="1:25" ht="18" customHeight="1" x14ac:dyDescent="0.2">
      <c r="A279" s="337"/>
      <c r="B279" s="337"/>
      <c r="C279" s="689"/>
      <c r="D279" s="690"/>
      <c r="E279" s="690"/>
      <c r="F279" s="690"/>
      <c r="G279" s="690"/>
      <c r="H279" s="690"/>
      <c r="I279" s="690"/>
      <c r="J279" s="690"/>
      <c r="K279" s="690"/>
      <c r="L279" s="690"/>
      <c r="M279" s="690"/>
      <c r="N279" s="690"/>
      <c r="O279" s="690"/>
      <c r="P279" s="690"/>
      <c r="Q279" s="690"/>
      <c r="R279" s="690"/>
      <c r="S279" s="690"/>
      <c r="T279" s="690"/>
      <c r="U279" s="690"/>
      <c r="V279" s="690"/>
      <c r="W279" s="690"/>
      <c r="X279" s="690"/>
      <c r="Y279" s="691"/>
    </row>
    <row r="280" spans="1:25" ht="18" customHeight="1" x14ac:dyDescent="0.2">
      <c r="A280" s="337"/>
      <c r="B280" s="337"/>
      <c r="C280" s="689"/>
      <c r="D280" s="690"/>
      <c r="E280" s="690"/>
      <c r="F280" s="690"/>
      <c r="G280" s="690"/>
      <c r="H280" s="690"/>
      <c r="I280" s="690"/>
      <c r="J280" s="690"/>
      <c r="K280" s="690"/>
      <c r="L280" s="690"/>
      <c r="M280" s="690"/>
      <c r="N280" s="690"/>
      <c r="O280" s="690"/>
      <c r="P280" s="690"/>
      <c r="Q280" s="690"/>
      <c r="R280" s="690"/>
      <c r="S280" s="690"/>
      <c r="T280" s="690"/>
      <c r="U280" s="690"/>
      <c r="V280" s="690"/>
      <c r="W280" s="690"/>
      <c r="X280" s="690"/>
      <c r="Y280" s="691"/>
    </row>
    <row r="281" spans="1:25" ht="18" customHeight="1" x14ac:dyDescent="0.2">
      <c r="A281" s="337"/>
      <c r="B281" s="337"/>
      <c r="C281" s="689"/>
      <c r="D281" s="690"/>
      <c r="E281" s="690"/>
      <c r="F281" s="690"/>
      <c r="G281" s="690"/>
      <c r="H281" s="690"/>
      <c r="I281" s="690"/>
      <c r="J281" s="690"/>
      <c r="K281" s="690"/>
      <c r="L281" s="690"/>
      <c r="M281" s="690"/>
      <c r="N281" s="690"/>
      <c r="O281" s="690"/>
      <c r="P281" s="690"/>
      <c r="Q281" s="690"/>
      <c r="R281" s="690"/>
      <c r="S281" s="690"/>
      <c r="T281" s="690"/>
      <c r="U281" s="690"/>
      <c r="V281" s="690"/>
      <c r="W281" s="690"/>
      <c r="X281" s="690"/>
      <c r="Y281" s="691"/>
    </row>
    <row r="282" spans="1:25" ht="18" customHeight="1" x14ac:dyDescent="0.2">
      <c r="A282" s="337"/>
      <c r="B282" s="337"/>
      <c r="C282" s="689"/>
      <c r="D282" s="690"/>
      <c r="E282" s="690"/>
      <c r="F282" s="690"/>
      <c r="G282" s="690"/>
      <c r="H282" s="690"/>
      <c r="I282" s="690"/>
      <c r="J282" s="690"/>
      <c r="K282" s="690"/>
      <c r="L282" s="690"/>
      <c r="M282" s="690"/>
      <c r="N282" s="690"/>
      <c r="O282" s="690"/>
      <c r="P282" s="690"/>
      <c r="Q282" s="690"/>
      <c r="R282" s="690"/>
      <c r="S282" s="690"/>
      <c r="T282" s="690"/>
      <c r="U282" s="690"/>
      <c r="V282" s="690"/>
      <c r="W282" s="690"/>
      <c r="X282" s="690"/>
      <c r="Y282" s="691"/>
    </row>
    <row r="283" spans="1:25" ht="18" customHeight="1" x14ac:dyDescent="0.2">
      <c r="A283" s="337"/>
      <c r="B283" s="337"/>
      <c r="C283" s="689"/>
      <c r="D283" s="690"/>
      <c r="E283" s="690"/>
      <c r="F283" s="690"/>
      <c r="G283" s="690"/>
      <c r="H283" s="690"/>
      <c r="I283" s="690"/>
      <c r="J283" s="690"/>
      <c r="K283" s="690"/>
      <c r="L283" s="690"/>
      <c r="M283" s="690"/>
      <c r="N283" s="690"/>
      <c r="O283" s="690"/>
      <c r="P283" s="690"/>
      <c r="Q283" s="690"/>
      <c r="R283" s="690"/>
      <c r="S283" s="690"/>
      <c r="T283" s="690"/>
      <c r="U283" s="690"/>
      <c r="V283" s="690"/>
      <c r="W283" s="690"/>
      <c r="X283" s="690"/>
      <c r="Y283" s="691"/>
    </row>
    <row r="284" spans="1:25" ht="18" customHeight="1" x14ac:dyDescent="0.2">
      <c r="A284" s="337"/>
      <c r="B284" s="337"/>
      <c r="C284" s="689"/>
      <c r="D284" s="690"/>
      <c r="E284" s="690"/>
      <c r="F284" s="690"/>
      <c r="G284" s="690"/>
      <c r="H284" s="690"/>
      <c r="I284" s="690"/>
      <c r="J284" s="690"/>
      <c r="K284" s="690"/>
      <c r="L284" s="690"/>
      <c r="M284" s="690"/>
      <c r="N284" s="690"/>
      <c r="O284" s="690"/>
      <c r="P284" s="690"/>
      <c r="Q284" s="690"/>
      <c r="R284" s="690"/>
      <c r="S284" s="690"/>
      <c r="T284" s="690"/>
      <c r="U284" s="690"/>
      <c r="V284" s="690"/>
      <c r="W284" s="690"/>
      <c r="X284" s="690"/>
      <c r="Y284" s="691"/>
    </row>
    <row r="285" spans="1:25" ht="18" customHeight="1" x14ac:dyDescent="0.2">
      <c r="A285" s="337"/>
      <c r="B285" s="337"/>
      <c r="C285" s="689"/>
      <c r="D285" s="690"/>
      <c r="E285" s="690"/>
      <c r="F285" s="690"/>
      <c r="G285" s="690"/>
      <c r="H285" s="690"/>
      <c r="I285" s="690"/>
      <c r="J285" s="690"/>
      <c r="K285" s="690"/>
      <c r="L285" s="690"/>
      <c r="M285" s="690"/>
      <c r="N285" s="690"/>
      <c r="O285" s="690"/>
      <c r="P285" s="690"/>
      <c r="Q285" s="690"/>
      <c r="R285" s="690"/>
      <c r="S285" s="690"/>
      <c r="T285" s="690"/>
      <c r="U285" s="690"/>
      <c r="V285" s="690"/>
      <c r="W285" s="690"/>
      <c r="X285" s="690"/>
      <c r="Y285" s="691"/>
    </row>
    <row r="286" spans="1:25" ht="18" customHeight="1" x14ac:dyDescent="0.2">
      <c r="A286" s="337"/>
      <c r="B286" s="337"/>
      <c r="C286" s="689"/>
      <c r="D286" s="690"/>
      <c r="E286" s="690"/>
      <c r="F286" s="690"/>
      <c r="G286" s="690"/>
      <c r="H286" s="690"/>
      <c r="I286" s="690"/>
      <c r="J286" s="690"/>
      <c r="K286" s="690"/>
      <c r="L286" s="690"/>
      <c r="M286" s="690"/>
      <c r="N286" s="690"/>
      <c r="O286" s="690"/>
      <c r="P286" s="690"/>
      <c r="Q286" s="690"/>
      <c r="R286" s="690"/>
      <c r="S286" s="690"/>
      <c r="T286" s="690"/>
      <c r="U286" s="690"/>
      <c r="V286" s="690"/>
      <c r="W286" s="690"/>
      <c r="X286" s="690"/>
      <c r="Y286" s="691"/>
    </row>
    <row r="287" spans="1:25" ht="18" customHeight="1" x14ac:dyDescent="0.2">
      <c r="A287" s="337"/>
      <c r="B287" s="337"/>
      <c r="C287" s="692"/>
      <c r="D287" s="693"/>
      <c r="E287" s="693"/>
      <c r="F287" s="693"/>
      <c r="G287" s="693"/>
      <c r="H287" s="693"/>
      <c r="I287" s="693"/>
      <c r="J287" s="693"/>
      <c r="K287" s="693"/>
      <c r="L287" s="693"/>
      <c r="M287" s="693"/>
      <c r="N287" s="693"/>
      <c r="O287" s="693"/>
      <c r="P287" s="693"/>
      <c r="Q287" s="693"/>
      <c r="R287" s="693"/>
      <c r="S287" s="693"/>
      <c r="T287" s="693"/>
      <c r="U287" s="693"/>
      <c r="V287" s="693"/>
      <c r="W287" s="693"/>
      <c r="X287" s="693"/>
      <c r="Y287" s="694"/>
    </row>
    <row r="288" spans="1:25" ht="18" customHeight="1" x14ac:dyDescent="0.2">
      <c r="A288" s="337"/>
      <c r="B288" s="337"/>
      <c r="C288" s="356"/>
      <c r="D288" s="373"/>
      <c r="E288" s="390"/>
      <c r="F288" s="357" t="s">
        <v>367</v>
      </c>
      <c r="G288" s="536"/>
      <c r="H288" s="538"/>
      <c r="I288" s="337"/>
      <c r="J288" s="337"/>
      <c r="K288" s="337"/>
      <c r="L288" s="337"/>
      <c r="M288" s="337"/>
      <c r="N288" s="337"/>
      <c r="O288" s="337"/>
    </row>
    <row r="289" spans="1:25" ht="18" customHeight="1" x14ac:dyDescent="0.2">
      <c r="A289" s="337"/>
      <c r="B289" s="337"/>
      <c r="C289" s="345"/>
      <c r="D289" s="391"/>
      <c r="E289" s="391"/>
      <c r="F289" s="391"/>
      <c r="G289" s="347"/>
      <c r="H289" s="347"/>
      <c r="O289" s="337"/>
    </row>
    <row r="290" spans="1:25" ht="18" customHeight="1" x14ac:dyDescent="0.2">
      <c r="A290" s="337"/>
      <c r="B290" s="337"/>
      <c r="C290" s="345"/>
      <c r="D290" s="391"/>
      <c r="E290" s="391"/>
      <c r="F290" s="391"/>
      <c r="G290" s="347"/>
      <c r="H290" s="347"/>
      <c r="O290" s="337"/>
    </row>
    <row r="291" spans="1:25" ht="18" customHeight="1" x14ac:dyDescent="0.2">
      <c r="A291" s="337"/>
      <c r="B291" s="337"/>
      <c r="C291" s="581" t="s">
        <v>293</v>
      </c>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row>
    <row r="292" spans="1:25" ht="18" customHeight="1" x14ac:dyDescent="0.2">
      <c r="A292" s="337"/>
      <c r="B292" s="337"/>
      <c r="C292" s="337"/>
      <c r="D292" s="337"/>
      <c r="E292" s="337"/>
      <c r="F292" s="337"/>
      <c r="G292" s="337"/>
      <c r="H292" s="337"/>
      <c r="I292" s="337"/>
      <c r="J292" s="337"/>
      <c r="K292" s="386"/>
      <c r="L292" s="386"/>
      <c r="M292" s="337"/>
      <c r="N292" s="386"/>
      <c r="O292" s="380"/>
      <c r="S292" s="353" t="s">
        <v>247</v>
      </c>
      <c r="T292" s="578"/>
      <c r="U292" s="578"/>
      <c r="V292" s="578"/>
      <c r="W292" s="578"/>
      <c r="X292" s="591" t="s">
        <v>111</v>
      </c>
      <c r="Y292" s="591"/>
    </row>
    <row r="293" spans="1:25" ht="18" customHeight="1" x14ac:dyDescent="0.2">
      <c r="A293" s="337"/>
      <c r="B293" s="337"/>
      <c r="C293" s="345"/>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row>
    <row r="294" spans="1:25" ht="18" customHeight="1" x14ac:dyDescent="0.2">
      <c r="A294" s="337"/>
      <c r="B294" s="337"/>
      <c r="C294" s="345"/>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row>
    <row r="295" spans="1:25" ht="18" customHeight="1" x14ac:dyDescent="0.2">
      <c r="A295" s="337"/>
      <c r="B295" s="337"/>
      <c r="C295" s="592" t="s">
        <v>294</v>
      </c>
      <c r="D295" s="592"/>
      <c r="E295" s="592"/>
      <c r="F295" s="592"/>
      <c r="G295" s="592"/>
      <c r="H295" s="592"/>
      <c r="I295" s="592"/>
      <c r="J295" s="592"/>
      <c r="K295" s="592"/>
      <c r="L295" s="592"/>
      <c r="M295" s="592"/>
      <c r="N295" s="592"/>
      <c r="O295" s="592"/>
      <c r="P295" s="592"/>
      <c r="Q295" s="592"/>
      <c r="R295" s="592"/>
      <c r="S295" s="592"/>
      <c r="T295" s="592"/>
      <c r="U295" s="592"/>
      <c r="V295" s="592"/>
      <c r="W295" s="592"/>
      <c r="X295" s="592"/>
      <c r="Y295" s="592"/>
    </row>
    <row r="296" spans="1:25" ht="18" customHeight="1" thickBot="1" x14ac:dyDescent="0.25">
      <c r="A296" s="337"/>
      <c r="B296" s="337"/>
      <c r="C296" s="337"/>
      <c r="D296" s="337"/>
      <c r="E296" s="337"/>
      <c r="F296" s="337"/>
      <c r="G296" s="337"/>
      <c r="H296" s="337"/>
      <c r="I296" s="337"/>
      <c r="J296" s="337"/>
      <c r="K296" s="368"/>
      <c r="L296" s="368"/>
      <c r="M296" s="368"/>
      <c r="N296" s="386"/>
      <c r="O296" s="380"/>
      <c r="S296" s="353" t="s">
        <v>248</v>
      </c>
      <c r="T296" s="590"/>
      <c r="U296" s="590"/>
      <c r="V296" s="590"/>
      <c r="W296" s="590"/>
      <c r="X296" s="591" t="s">
        <v>118</v>
      </c>
      <c r="Y296" s="591"/>
    </row>
    <row r="297" spans="1:25" ht="18" customHeight="1" thickBot="1" x14ac:dyDescent="0.25">
      <c r="A297" s="337"/>
      <c r="B297" s="337"/>
      <c r="C297" s="345"/>
      <c r="D297" s="391"/>
      <c r="E297" s="391"/>
      <c r="F297" s="391"/>
      <c r="G297" s="347"/>
      <c r="H297" s="347"/>
      <c r="O297" s="337"/>
      <c r="T297" s="392"/>
      <c r="U297" s="393"/>
      <c r="V297" s="393"/>
      <c r="W297" s="377" t="str">
        <f>CONCATENATE(IF($T$296&gt;100,"La proportion de la zone tampon occupée par un couvert végétal permanent ne peut pas être supérieure à 100%. ",""),IF(AND($T$292=0,$T$296&lt;&gt;""),"En l'absence de zone tampon, aucune valeur à octroyer en réponse à cette question.",""))</f>
        <v/>
      </c>
    </row>
    <row r="298" spans="1:25" ht="18" customHeight="1" x14ac:dyDescent="0.2">
      <c r="A298" s="337"/>
      <c r="B298" s="337"/>
      <c r="C298" s="345"/>
      <c r="D298" s="391"/>
      <c r="E298" s="391"/>
      <c r="F298" s="391"/>
      <c r="G298" s="347"/>
      <c r="H298" s="347"/>
      <c r="O298" s="337"/>
      <c r="T298" s="382"/>
      <c r="U298" s="382"/>
      <c r="V298" s="382"/>
      <c r="W298" s="378"/>
    </row>
    <row r="299" spans="1:25" ht="18" customHeight="1" x14ac:dyDescent="0.2">
      <c r="A299" s="337"/>
      <c r="B299" s="337"/>
      <c r="C299" s="345"/>
      <c r="D299" s="391"/>
      <c r="E299" s="391"/>
      <c r="F299" s="391"/>
      <c r="G299" s="347"/>
      <c r="H299" s="347"/>
      <c r="O299" s="337"/>
      <c r="T299" s="382"/>
      <c r="U299" s="382"/>
      <c r="V299" s="382"/>
      <c r="W299" s="378"/>
    </row>
    <row r="300" spans="1:25" ht="33.75" customHeight="1" x14ac:dyDescent="0.2">
      <c r="A300" s="337"/>
      <c r="B300" s="337"/>
      <c r="C300" s="341" t="s">
        <v>401</v>
      </c>
      <c r="D300" s="695" t="s">
        <v>49</v>
      </c>
      <c r="E300" s="696"/>
      <c r="F300" s="696"/>
      <c r="G300" s="696"/>
      <c r="H300" s="696"/>
      <c r="I300" s="696"/>
      <c r="J300" s="696"/>
      <c r="K300" s="696"/>
      <c r="L300" s="696"/>
      <c r="M300" s="696"/>
      <c r="N300" s="696"/>
      <c r="O300" s="696"/>
      <c r="P300" s="696"/>
      <c r="Q300" s="696"/>
      <c r="R300" s="696"/>
      <c r="S300" s="696"/>
      <c r="T300" s="696"/>
      <c r="U300" s="696"/>
      <c r="V300" s="696"/>
      <c r="W300" s="696"/>
      <c r="X300" s="696"/>
      <c r="Y300" s="697"/>
    </row>
    <row r="301" spans="1:25" s="347" customFormat="1" ht="18" customHeight="1" x14ac:dyDescent="0.2">
      <c r="A301" s="346"/>
      <c r="B301" s="346"/>
      <c r="C301" s="517"/>
      <c r="D301" s="517"/>
      <c r="E301" s="517"/>
      <c r="F301" s="517"/>
      <c r="G301" s="517"/>
      <c r="H301" s="517"/>
      <c r="I301" s="517"/>
      <c r="J301" s="517"/>
      <c r="K301" s="517"/>
      <c r="L301" s="517"/>
      <c r="M301" s="517"/>
      <c r="N301" s="517"/>
      <c r="O301" s="517"/>
      <c r="P301" s="517"/>
      <c r="Q301" s="517"/>
      <c r="R301" s="517"/>
      <c r="S301" s="517"/>
      <c r="T301" s="517"/>
      <c r="U301" s="517"/>
      <c r="V301" s="517"/>
      <c r="W301" s="517"/>
      <c r="X301" s="517"/>
      <c r="Y301" s="517"/>
    </row>
    <row r="302" spans="1:25" ht="18" customHeight="1" x14ac:dyDescent="0.2">
      <c r="A302" s="337"/>
      <c r="B302" s="337"/>
      <c r="C302" s="581" t="s">
        <v>295</v>
      </c>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row>
    <row r="303" spans="1:25" ht="18" customHeight="1" x14ac:dyDescent="0.2">
      <c r="A303" s="337"/>
      <c r="B303" s="337"/>
      <c r="C303" s="684" t="s">
        <v>249</v>
      </c>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row>
    <row r="304" spans="1:25" ht="18" customHeight="1" x14ac:dyDescent="0.2">
      <c r="A304" s="337"/>
      <c r="B304" s="337"/>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row>
    <row r="305" spans="1:25" ht="18" customHeight="1" x14ac:dyDescent="0.2">
      <c r="A305" s="337"/>
      <c r="B305" s="337"/>
      <c r="C305" s="686"/>
      <c r="D305" s="687"/>
      <c r="E305" s="687"/>
      <c r="F305" s="687"/>
      <c r="G305" s="687"/>
      <c r="H305" s="687"/>
      <c r="I305" s="687"/>
      <c r="J305" s="687"/>
      <c r="K305" s="687"/>
      <c r="L305" s="687"/>
      <c r="M305" s="687"/>
      <c r="N305" s="687"/>
      <c r="O305" s="687"/>
      <c r="P305" s="687"/>
      <c r="Q305" s="687"/>
      <c r="R305" s="687"/>
      <c r="S305" s="687"/>
      <c r="T305" s="687"/>
      <c r="U305" s="687"/>
      <c r="V305" s="687"/>
      <c r="W305" s="687"/>
      <c r="X305" s="687"/>
      <c r="Y305" s="688"/>
    </row>
    <row r="306" spans="1:25" ht="18" customHeight="1" x14ac:dyDescent="0.2">
      <c r="A306" s="337"/>
      <c r="B306" s="337"/>
      <c r="C306" s="689"/>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1"/>
    </row>
    <row r="307" spans="1:25" ht="18" customHeight="1" x14ac:dyDescent="0.2">
      <c r="A307" s="337"/>
      <c r="B307" s="337"/>
      <c r="C307" s="689"/>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1"/>
    </row>
    <row r="308" spans="1:25" ht="18" customHeight="1" x14ac:dyDescent="0.2">
      <c r="A308" s="337"/>
      <c r="B308" s="337"/>
      <c r="C308" s="689"/>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1"/>
    </row>
    <row r="309" spans="1:25" ht="18" customHeight="1" x14ac:dyDescent="0.2">
      <c r="A309" s="337"/>
      <c r="B309" s="337"/>
      <c r="C309" s="689"/>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1"/>
    </row>
    <row r="310" spans="1:25" ht="18" customHeight="1" x14ac:dyDescent="0.2">
      <c r="A310" s="337"/>
      <c r="B310" s="337"/>
      <c r="C310" s="689"/>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1"/>
    </row>
    <row r="311" spans="1:25" ht="18" customHeight="1" x14ac:dyDescent="0.2">
      <c r="A311" s="337"/>
      <c r="B311" s="337"/>
      <c r="C311" s="689"/>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1"/>
    </row>
    <row r="312" spans="1:25" ht="18" customHeight="1" x14ac:dyDescent="0.2">
      <c r="A312" s="337"/>
      <c r="B312" s="337"/>
      <c r="C312" s="689"/>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1"/>
    </row>
    <row r="313" spans="1:25" ht="18" customHeight="1" x14ac:dyDescent="0.2">
      <c r="A313" s="337"/>
      <c r="B313" s="337"/>
      <c r="C313" s="689"/>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1"/>
    </row>
    <row r="314" spans="1:25" ht="18" customHeight="1" x14ac:dyDescent="0.2">
      <c r="A314" s="337"/>
      <c r="B314" s="337"/>
      <c r="C314" s="689"/>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1"/>
    </row>
    <row r="315" spans="1:25" ht="18" customHeight="1" x14ac:dyDescent="0.2">
      <c r="A315" s="337"/>
      <c r="B315" s="337"/>
      <c r="C315" s="689"/>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1"/>
    </row>
    <row r="316" spans="1:25" ht="18" customHeight="1" x14ac:dyDescent="0.2">
      <c r="A316" s="337"/>
      <c r="B316" s="337"/>
      <c r="C316" s="689"/>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1"/>
    </row>
    <row r="317" spans="1:25" ht="18" customHeight="1" x14ac:dyDescent="0.2">
      <c r="A317" s="337"/>
      <c r="B317" s="337"/>
      <c r="C317" s="689"/>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1"/>
    </row>
    <row r="318" spans="1:25" ht="18" customHeight="1" x14ac:dyDescent="0.2">
      <c r="A318" s="337"/>
      <c r="B318" s="337"/>
      <c r="C318" s="689"/>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1"/>
    </row>
    <row r="319" spans="1:25" ht="18" customHeight="1" x14ac:dyDescent="0.2">
      <c r="A319" s="337"/>
      <c r="B319" s="337"/>
      <c r="C319" s="689"/>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1"/>
    </row>
    <row r="320" spans="1:25" ht="18" customHeight="1" x14ac:dyDescent="0.2">
      <c r="A320" s="337"/>
      <c r="B320" s="337"/>
      <c r="C320" s="689"/>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1"/>
    </row>
    <row r="321" spans="1:25" ht="18" customHeight="1" x14ac:dyDescent="0.2">
      <c r="A321" s="337"/>
      <c r="B321" s="337"/>
      <c r="C321" s="689"/>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1"/>
    </row>
    <row r="322" spans="1:25" ht="18" customHeight="1" x14ac:dyDescent="0.2">
      <c r="A322" s="337"/>
      <c r="B322" s="337"/>
      <c r="C322" s="689"/>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1"/>
    </row>
    <row r="323" spans="1:25" ht="18" customHeight="1" x14ac:dyDescent="0.2">
      <c r="A323" s="337"/>
      <c r="B323" s="337"/>
      <c r="C323" s="689"/>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1"/>
    </row>
    <row r="324" spans="1:25" ht="18" customHeight="1" x14ac:dyDescent="0.2">
      <c r="A324" s="337"/>
      <c r="B324" s="337"/>
      <c r="C324" s="689"/>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1"/>
    </row>
    <row r="325" spans="1:25" ht="18" customHeight="1" x14ac:dyDescent="0.2">
      <c r="A325" s="337"/>
      <c r="B325" s="337"/>
      <c r="C325" s="689"/>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1"/>
    </row>
    <row r="326" spans="1:25" ht="18" customHeight="1" x14ac:dyDescent="0.2">
      <c r="A326" s="337"/>
      <c r="B326" s="337"/>
      <c r="C326" s="689"/>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1"/>
    </row>
    <row r="327" spans="1:25" ht="18" customHeight="1" x14ac:dyDescent="0.2">
      <c r="A327" s="337"/>
      <c r="B327" s="337"/>
      <c r="C327" s="689"/>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1"/>
    </row>
    <row r="328" spans="1:25" ht="18" customHeight="1" x14ac:dyDescent="0.2">
      <c r="A328" s="337"/>
      <c r="B328" s="337"/>
      <c r="C328" s="689"/>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1"/>
    </row>
    <row r="329" spans="1:25" ht="18" customHeight="1" x14ac:dyDescent="0.2">
      <c r="A329" s="337"/>
      <c r="B329" s="337"/>
      <c r="C329" s="689"/>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1"/>
    </row>
    <row r="330" spans="1:25" ht="18" customHeight="1" x14ac:dyDescent="0.2">
      <c r="A330" s="337"/>
      <c r="B330" s="337"/>
      <c r="C330" s="689"/>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1"/>
    </row>
    <row r="331" spans="1:25" ht="18" customHeight="1" x14ac:dyDescent="0.2">
      <c r="A331" s="337"/>
      <c r="B331" s="337"/>
      <c r="C331" s="689"/>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1"/>
    </row>
    <row r="332" spans="1:25" ht="18" customHeight="1" x14ac:dyDescent="0.2">
      <c r="A332" s="337"/>
      <c r="B332" s="337"/>
      <c r="C332" s="689"/>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1"/>
    </row>
    <row r="333" spans="1:25" ht="18" customHeight="1" x14ac:dyDescent="0.2">
      <c r="A333" s="337"/>
      <c r="B333" s="337"/>
      <c r="C333" s="689"/>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1"/>
    </row>
    <row r="334" spans="1:25" ht="18" customHeight="1" x14ac:dyDescent="0.2">
      <c r="A334" s="337"/>
      <c r="B334" s="337"/>
      <c r="C334" s="689"/>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1"/>
    </row>
    <row r="335" spans="1:25" ht="18" customHeight="1" x14ac:dyDescent="0.2">
      <c r="A335" s="337"/>
      <c r="B335" s="337"/>
      <c r="C335" s="689"/>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1"/>
    </row>
    <row r="336" spans="1:25" ht="18" customHeight="1" x14ac:dyDescent="0.2">
      <c r="A336" s="337"/>
      <c r="B336" s="337"/>
      <c r="C336" s="689"/>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1"/>
    </row>
    <row r="337" spans="1:25" ht="18" customHeight="1" x14ac:dyDescent="0.2">
      <c r="A337" s="337"/>
      <c r="B337" s="337"/>
      <c r="C337" s="689"/>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1"/>
    </row>
    <row r="338" spans="1:25" ht="18" customHeight="1" x14ac:dyDescent="0.2">
      <c r="A338" s="337"/>
      <c r="B338" s="337"/>
      <c r="C338" s="689"/>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1"/>
    </row>
    <row r="339" spans="1:25" ht="18" customHeight="1" x14ac:dyDescent="0.2">
      <c r="A339" s="337"/>
      <c r="B339" s="337"/>
      <c r="C339" s="689"/>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1"/>
    </row>
    <row r="340" spans="1:25" ht="18" customHeight="1" x14ac:dyDescent="0.2">
      <c r="A340" s="337"/>
      <c r="B340" s="337"/>
      <c r="C340" s="689"/>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1"/>
    </row>
    <row r="341" spans="1:25" ht="18" customHeight="1" x14ac:dyDescent="0.2">
      <c r="A341" s="337"/>
      <c r="B341" s="337"/>
      <c r="C341" s="689"/>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1"/>
    </row>
    <row r="342" spans="1:25" ht="18" customHeight="1" x14ac:dyDescent="0.2">
      <c r="A342" s="337"/>
      <c r="B342" s="337"/>
      <c r="C342" s="689"/>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1"/>
    </row>
    <row r="343" spans="1:25" ht="18" customHeight="1" x14ac:dyDescent="0.2">
      <c r="A343" s="337"/>
      <c r="B343" s="337"/>
      <c r="C343" s="689"/>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1"/>
    </row>
    <row r="344" spans="1:25" ht="18" customHeight="1" x14ac:dyDescent="0.2">
      <c r="A344" s="337"/>
      <c r="B344" s="337"/>
      <c r="C344" s="689"/>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1"/>
    </row>
    <row r="345" spans="1:25" ht="18" customHeight="1" x14ac:dyDescent="0.2">
      <c r="A345" s="337"/>
      <c r="B345" s="337"/>
      <c r="C345" s="689"/>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1"/>
    </row>
    <row r="346" spans="1:25" ht="18" customHeight="1" x14ac:dyDescent="0.2">
      <c r="A346" s="337"/>
      <c r="B346" s="337"/>
      <c r="C346" s="689"/>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1"/>
    </row>
    <row r="347" spans="1:25" ht="18" customHeight="1" x14ac:dyDescent="0.2">
      <c r="A347" s="337"/>
      <c r="B347" s="337"/>
      <c r="C347" s="689"/>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1"/>
    </row>
    <row r="348" spans="1:25" ht="18" customHeight="1" x14ac:dyDescent="0.2">
      <c r="A348" s="337"/>
      <c r="B348" s="337"/>
      <c r="C348" s="689"/>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1"/>
    </row>
    <row r="349" spans="1:25" ht="18" customHeight="1" x14ac:dyDescent="0.2">
      <c r="A349" s="337"/>
      <c r="B349" s="337"/>
      <c r="C349" s="689"/>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1"/>
    </row>
    <row r="350" spans="1:25" ht="18" customHeight="1" x14ac:dyDescent="0.2">
      <c r="A350" s="337"/>
      <c r="B350" s="337"/>
      <c r="C350" s="689"/>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1"/>
    </row>
    <row r="351" spans="1:25" ht="18" customHeight="1" x14ac:dyDescent="0.2">
      <c r="A351" s="337"/>
      <c r="B351" s="337"/>
      <c r="C351" s="692"/>
      <c r="D351" s="693"/>
      <c r="E351" s="693"/>
      <c r="F351" s="693"/>
      <c r="G351" s="693"/>
      <c r="H351" s="693"/>
      <c r="I351" s="693"/>
      <c r="J351" s="693"/>
      <c r="K351" s="693"/>
      <c r="L351" s="693"/>
      <c r="M351" s="693"/>
      <c r="N351" s="693"/>
      <c r="O351" s="693"/>
      <c r="P351" s="693"/>
      <c r="Q351" s="693"/>
      <c r="R351" s="693"/>
      <c r="S351" s="693"/>
      <c r="T351" s="693"/>
      <c r="U351" s="693"/>
      <c r="V351" s="693"/>
      <c r="W351" s="693"/>
      <c r="X351" s="693"/>
      <c r="Y351" s="694"/>
    </row>
    <row r="352" spans="1:25" ht="18" customHeight="1" x14ac:dyDescent="0.2">
      <c r="A352" s="337"/>
      <c r="B352" s="337"/>
      <c r="C352" s="346"/>
      <c r="D352" s="373"/>
      <c r="E352" s="365"/>
      <c r="F352" s="362" t="s">
        <v>363</v>
      </c>
      <c r="G352" s="536"/>
      <c r="H352" s="538"/>
      <c r="I352" s="337"/>
      <c r="J352" s="337"/>
      <c r="K352" s="337"/>
      <c r="L352" s="337"/>
      <c r="M352" s="337"/>
      <c r="N352" s="337"/>
      <c r="O352" s="337"/>
    </row>
    <row r="353" spans="1:25" ht="18" customHeight="1" x14ac:dyDescent="0.2">
      <c r="A353" s="337"/>
      <c r="B353" s="337"/>
      <c r="C353" s="345"/>
      <c r="D353" s="337"/>
      <c r="E353" s="337"/>
      <c r="F353" s="337"/>
      <c r="G353" s="337"/>
      <c r="H353" s="337"/>
      <c r="I353" s="337"/>
      <c r="J353" s="337"/>
      <c r="K353" s="337"/>
      <c r="L353" s="337"/>
      <c r="M353" s="337"/>
      <c r="N353" s="337"/>
      <c r="O353" s="337"/>
    </row>
    <row r="354" spans="1:25" ht="18" customHeight="1" x14ac:dyDescent="0.2">
      <c r="A354" s="337"/>
      <c r="B354" s="337"/>
      <c r="C354" s="345"/>
      <c r="D354" s="337"/>
      <c r="E354" s="337"/>
      <c r="F354" s="337"/>
      <c r="G354" s="337"/>
      <c r="H354" s="337"/>
      <c r="I354" s="337"/>
      <c r="J354" s="337"/>
      <c r="K354" s="337"/>
      <c r="L354" s="337"/>
      <c r="M354" s="337"/>
      <c r="N354" s="337"/>
      <c r="O354" s="337"/>
    </row>
    <row r="355" spans="1:25" ht="18" customHeight="1" x14ac:dyDescent="0.2">
      <c r="A355" s="337"/>
      <c r="B355" s="337"/>
      <c r="C355" s="581" t="s">
        <v>296</v>
      </c>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row>
    <row r="356" spans="1:25" ht="18" customHeight="1" thickBot="1" x14ac:dyDescent="0.25">
      <c r="A356" s="337"/>
      <c r="B356" s="337"/>
      <c r="C356" s="337"/>
      <c r="D356" s="337"/>
      <c r="E356" s="337"/>
      <c r="F356" s="337"/>
      <c r="G356" s="337"/>
      <c r="H356" s="337"/>
      <c r="I356" s="337"/>
      <c r="J356" s="337"/>
      <c r="K356" s="337"/>
      <c r="L356" s="337"/>
      <c r="M356" s="394"/>
      <c r="N356" s="337"/>
      <c r="O356" s="337"/>
      <c r="P356" s="339"/>
      <c r="S356" s="353" t="s">
        <v>250</v>
      </c>
      <c r="T356" s="785"/>
      <c r="U356" s="785"/>
      <c r="V356" s="785"/>
      <c r="W356" s="785"/>
      <c r="X356" s="591" t="s">
        <v>111</v>
      </c>
      <c r="Y356" s="591"/>
    </row>
    <row r="357" spans="1:25" ht="18" customHeight="1" thickBot="1" x14ac:dyDescent="0.25">
      <c r="A357" s="337"/>
      <c r="B357" s="337"/>
      <c r="C357" s="345"/>
      <c r="D357" s="337"/>
      <c r="E357" s="337"/>
      <c r="F357" s="337"/>
      <c r="G357" s="337"/>
      <c r="H357" s="337"/>
      <c r="I357" s="337"/>
      <c r="J357" s="337"/>
      <c r="K357" s="337"/>
      <c r="L357" s="337"/>
      <c r="M357" s="337"/>
      <c r="N357" s="337"/>
      <c r="O357" s="337"/>
      <c r="T357" s="395"/>
      <c r="U357" s="396"/>
      <c r="V357" s="396"/>
      <c r="W357" s="397" t="str">
        <f>IF($T$356="","",IF($T$356&lt;$T$107,"La superficie du paysage ne peut pas être inférieure à la superficie du site.",""))</f>
        <v/>
      </c>
    </row>
    <row r="358" spans="1:25" ht="18" customHeight="1" x14ac:dyDescent="0.2">
      <c r="A358" s="337"/>
      <c r="B358" s="337"/>
      <c r="C358" s="345"/>
      <c r="D358" s="337"/>
      <c r="E358" s="337"/>
      <c r="F358" s="337"/>
      <c r="G358" s="337"/>
      <c r="H358" s="337"/>
      <c r="I358" s="337"/>
      <c r="J358" s="337"/>
      <c r="K358" s="337"/>
      <c r="L358" s="337"/>
      <c r="M358" s="337"/>
      <c r="N358" s="337"/>
      <c r="O358" s="337"/>
      <c r="T358" s="347"/>
      <c r="U358" s="347"/>
      <c r="V358" s="347"/>
      <c r="W358" s="398"/>
    </row>
    <row r="359" spans="1:25" ht="18" customHeight="1" x14ac:dyDescent="0.2">
      <c r="A359" s="337"/>
      <c r="B359" s="337"/>
      <c r="C359" s="581" t="s">
        <v>368</v>
      </c>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row>
    <row r="360" spans="1:25" ht="36" customHeight="1" x14ac:dyDescent="0.2">
      <c r="A360" s="337"/>
      <c r="B360" s="337"/>
      <c r="C360" s="698" t="s">
        <v>4</v>
      </c>
      <c r="D360" s="699"/>
      <c r="E360" s="699"/>
      <c r="F360" s="699"/>
      <c r="G360" s="699"/>
      <c r="H360" s="699"/>
      <c r="I360" s="699"/>
      <c r="J360" s="699"/>
      <c r="K360" s="699"/>
      <c r="L360" s="699"/>
      <c r="M360" s="699"/>
      <c r="N360" s="699"/>
      <c r="O360" s="699"/>
      <c r="P360" s="699"/>
      <c r="Q360" s="699"/>
      <c r="R360" s="699"/>
      <c r="S360" s="699"/>
      <c r="T360" s="700" t="s">
        <v>42</v>
      </c>
      <c r="U360" s="700"/>
      <c r="V360" s="700"/>
      <c r="W360" s="700"/>
      <c r="X360" s="700"/>
      <c r="Y360" s="700"/>
    </row>
    <row r="361" spans="1:25" ht="26.25" customHeight="1" x14ac:dyDescent="0.2">
      <c r="A361" s="337"/>
      <c r="B361" s="337"/>
      <c r="C361" s="399"/>
      <c r="D361" s="400" t="s">
        <v>55</v>
      </c>
      <c r="E361" s="677" t="s">
        <v>65</v>
      </c>
      <c r="F361" s="678"/>
      <c r="G361" s="678"/>
      <c r="H361" s="678"/>
      <c r="I361" s="678"/>
      <c r="J361" s="678"/>
      <c r="K361" s="678"/>
      <c r="L361" s="678"/>
      <c r="M361" s="678"/>
      <c r="N361" s="678"/>
      <c r="O361" s="678"/>
      <c r="P361" s="678"/>
      <c r="Q361" s="678"/>
      <c r="R361" s="678"/>
      <c r="S361" s="678"/>
      <c r="T361" s="679"/>
      <c r="U361" s="679"/>
      <c r="V361" s="679"/>
      <c r="W361" s="679"/>
      <c r="X361" s="634" t="s">
        <v>5</v>
      </c>
      <c r="Y361" s="635"/>
    </row>
    <row r="362" spans="1:25" ht="26.25" customHeight="1" x14ac:dyDescent="0.2">
      <c r="A362" s="337"/>
      <c r="B362" s="337"/>
      <c r="C362" s="401"/>
      <c r="D362" s="400" t="s">
        <v>56</v>
      </c>
      <c r="E362" s="677" t="s">
        <v>66</v>
      </c>
      <c r="F362" s="678"/>
      <c r="G362" s="678"/>
      <c r="H362" s="678"/>
      <c r="I362" s="678"/>
      <c r="J362" s="678"/>
      <c r="K362" s="678"/>
      <c r="L362" s="678"/>
      <c r="M362" s="678"/>
      <c r="N362" s="678"/>
      <c r="O362" s="678"/>
      <c r="P362" s="678"/>
      <c r="Q362" s="678"/>
      <c r="R362" s="678"/>
      <c r="S362" s="678"/>
      <c r="T362" s="679"/>
      <c r="U362" s="679"/>
      <c r="V362" s="679"/>
      <c r="W362" s="679"/>
      <c r="X362" s="634" t="s">
        <v>5</v>
      </c>
      <c r="Y362" s="635"/>
    </row>
    <row r="363" spans="1:25" ht="26.25" customHeight="1" x14ac:dyDescent="0.2">
      <c r="A363" s="337"/>
      <c r="B363" s="337"/>
      <c r="C363" s="402"/>
      <c r="D363" s="400" t="s">
        <v>57</v>
      </c>
      <c r="E363" s="677" t="s">
        <v>369</v>
      </c>
      <c r="F363" s="678"/>
      <c r="G363" s="678"/>
      <c r="H363" s="678"/>
      <c r="I363" s="678"/>
      <c r="J363" s="678"/>
      <c r="K363" s="678"/>
      <c r="L363" s="678"/>
      <c r="M363" s="678"/>
      <c r="N363" s="678"/>
      <c r="O363" s="678"/>
      <c r="P363" s="678"/>
      <c r="Q363" s="678"/>
      <c r="R363" s="678"/>
      <c r="S363" s="678"/>
      <c r="T363" s="679"/>
      <c r="U363" s="679"/>
      <c r="V363" s="679"/>
      <c r="W363" s="679"/>
      <c r="X363" s="634" t="s">
        <v>5</v>
      </c>
      <c r="Y363" s="635"/>
    </row>
    <row r="364" spans="1:25" ht="26.25" customHeight="1" x14ac:dyDescent="0.2">
      <c r="A364" s="337"/>
      <c r="B364" s="337"/>
      <c r="C364" s="403"/>
      <c r="D364" s="400" t="s">
        <v>58</v>
      </c>
      <c r="E364" s="677" t="s">
        <v>67</v>
      </c>
      <c r="F364" s="678"/>
      <c r="G364" s="678"/>
      <c r="H364" s="678"/>
      <c r="I364" s="678"/>
      <c r="J364" s="678"/>
      <c r="K364" s="678"/>
      <c r="L364" s="678"/>
      <c r="M364" s="678"/>
      <c r="N364" s="678"/>
      <c r="O364" s="678"/>
      <c r="P364" s="678"/>
      <c r="Q364" s="678"/>
      <c r="R364" s="678"/>
      <c r="S364" s="678"/>
      <c r="T364" s="679"/>
      <c r="U364" s="679"/>
      <c r="V364" s="679"/>
      <c r="W364" s="679"/>
      <c r="X364" s="634" t="s">
        <v>5</v>
      </c>
      <c r="Y364" s="635"/>
    </row>
    <row r="365" spans="1:25" ht="26.25" customHeight="1" x14ac:dyDescent="0.2">
      <c r="A365" s="337"/>
      <c r="B365" s="337"/>
      <c r="C365" s="404"/>
      <c r="D365" s="400" t="s">
        <v>59</v>
      </c>
      <c r="E365" s="677" t="s">
        <v>68</v>
      </c>
      <c r="F365" s="678"/>
      <c r="G365" s="678"/>
      <c r="H365" s="678"/>
      <c r="I365" s="678"/>
      <c r="J365" s="678"/>
      <c r="K365" s="678"/>
      <c r="L365" s="678"/>
      <c r="M365" s="678"/>
      <c r="N365" s="678"/>
      <c r="O365" s="678"/>
      <c r="P365" s="678"/>
      <c r="Q365" s="678"/>
      <c r="R365" s="678"/>
      <c r="S365" s="678"/>
      <c r="T365" s="679"/>
      <c r="U365" s="679"/>
      <c r="V365" s="679"/>
      <c r="W365" s="679"/>
      <c r="X365" s="634" t="s">
        <v>5</v>
      </c>
      <c r="Y365" s="635"/>
    </row>
    <row r="366" spans="1:25" ht="26.25" customHeight="1" x14ac:dyDescent="0.2">
      <c r="A366" s="337"/>
      <c r="B366" s="337"/>
      <c r="C366" s="405"/>
      <c r="D366" s="400" t="s">
        <v>60</v>
      </c>
      <c r="E366" s="677" t="s">
        <v>69</v>
      </c>
      <c r="F366" s="678"/>
      <c r="G366" s="678"/>
      <c r="H366" s="678"/>
      <c r="I366" s="678"/>
      <c r="J366" s="678"/>
      <c r="K366" s="678"/>
      <c r="L366" s="678"/>
      <c r="M366" s="678"/>
      <c r="N366" s="678"/>
      <c r="O366" s="678"/>
      <c r="P366" s="678"/>
      <c r="Q366" s="678"/>
      <c r="R366" s="678"/>
      <c r="S366" s="678"/>
      <c r="T366" s="679"/>
      <c r="U366" s="679"/>
      <c r="V366" s="679"/>
      <c r="W366" s="679"/>
      <c r="X366" s="634" t="s">
        <v>5</v>
      </c>
      <c r="Y366" s="635"/>
    </row>
    <row r="367" spans="1:25" ht="26.25" customHeight="1" x14ac:dyDescent="0.2">
      <c r="A367" s="337"/>
      <c r="B367" s="337"/>
      <c r="C367" s="406"/>
      <c r="D367" s="400" t="s">
        <v>61</v>
      </c>
      <c r="E367" s="677" t="s">
        <v>370</v>
      </c>
      <c r="F367" s="678"/>
      <c r="G367" s="678"/>
      <c r="H367" s="678"/>
      <c r="I367" s="678"/>
      <c r="J367" s="678"/>
      <c r="K367" s="678"/>
      <c r="L367" s="678"/>
      <c r="M367" s="678"/>
      <c r="N367" s="678"/>
      <c r="O367" s="678"/>
      <c r="P367" s="678"/>
      <c r="Q367" s="678"/>
      <c r="R367" s="678"/>
      <c r="S367" s="678"/>
      <c r="T367" s="679"/>
      <c r="U367" s="679"/>
      <c r="V367" s="679"/>
      <c r="W367" s="679"/>
      <c r="X367" s="634" t="s">
        <v>5</v>
      </c>
      <c r="Y367" s="635"/>
    </row>
    <row r="368" spans="1:25" ht="26.25" customHeight="1" x14ac:dyDescent="0.2">
      <c r="A368" s="337"/>
      <c r="B368" s="337"/>
      <c r="C368" s="407"/>
      <c r="D368" s="400" t="s">
        <v>62</v>
      </c>
      <c r="E368" s="677" t="s">
        <v>70</v>
      </c>
      <c r="F368" s="678"/>
      <c r="G368" s="678"/>
      <c r="H368" s="678"/>
      <c r="I368" s="678"/>
      <c r="J368" s="678"/>
      <c r="K368" s="678"/>
      <c r="L368" s="678"/>
      <c r="M368" s="678"/>
      <c r="N368" s="678"/>
      <c r="O368" s="678"/>
      <c r="P368" s="678"/>
      <c r="Q368" s="678"/>
      <c r="R368" s="678"/>
      <c r="S368" s="678"/>
      <c r="T368" s="679"/>
      <c r="U368" s="679"/>
      <c r="V368" s="679"/>
      <c r="W368" s="679"/>
      <c r="X368" s="634" t="s">
        <v>5</v>
      </c>
      <c r="Y368" s="635"/>
    </row>
    <row r="369" spans="1:25" ht="26.25" customHeight="1" x14ac:dyDescent="0.2">
      <c r="A369" s="337"/>
      <c r="B369" s="337"/>
      <c r="C369" s="408"/>
      <c r="D369" s="400" t="s">
        <v>63</v>
      </c>
      <c r="E369" s="677" t="s">
        <v>71</v>
      </c>
      <c r="F369" s="678"/>
      <c r="G369" s="678"/>
      <c r="H369" s="678"/>
      <c r="I369" s="678"/>
      <c r="J369" s="678"/>
      <c r="K369" s="678"/>
      <c r="L369" s="678"/>
      <c r="M369" s="678"/>
      <c r="N369" s="678"/>
      <c r="O369" s="678"/>
      <c r="P369" s="678"/>
      <c r="Q369" s="678"/>
      <c r="R369" s="678"/>
      <c r="S369" s="678"/>
      <c r="T369" s="679"/>
      <c r="U369" s="679"/>
      <c r="V369" s="679"/>
      <c r="W369" s="679"/>
      <c r="X369" s="634" t="s">
        <v>5</v>
      </c>
      <c r="Y369" s="635"/>
    </row>
    <row r="370" spans="1:25" ht="26.25" customHeight="1" x14ac:dyDescent="0.2">
      <c r="A370" s="337"/>
      <c r="B370" s="337"/>
      <c r="C370" s="409"/>
      <c r="D370" s="400" t="s">
        <v>64</v>
      </c>
      <c r="E370" s="677" t="s">
        <v>72</v>
      </c>
      <c r="F370" s="678"/>
      <c r="G370" s="678"/>
      <c r="H370" s="678"/>
      <c r="I370" s="678"/>
      <c r="J370" s="678"/>
      <c r="K370" s="678"/>
      <c r="L370" s="678"/>
      <c r="M370" s="678"/>
      <c r="N370" s="678"/>
      <c r="O370" s="678"/>
      <c r="P370" s="678"/>
      <c r="Q370" s="678"/>
      <c r="R370" s="678"/>
      <c r="S370" s="678"/>
      <c r="T370" s="679"/>
      <c r="U370" s="679"/>
      <c r="V370" s="679"/>
      <c r="W370" s="679"/>
      <c r="X370" s="634" t="s">
        <v>5</v>
      </c>
      <c r="Y370" s="635"/>
    </row>
    <row r="371" spans="1:25" ht="26.25" customHeight="1" thickBot="1" x14ac:dyDescent="0.25">
      <c r="A371" s="337"/>
      <c r="B371" s="337"/>
      <c r="C371" s="410"/>
      <c r="D371" s="680" t="s">
        <v>214</v>
      </c>
      <c r="E371" s="680"/>
      <c r="F371" s="680"/>
      <c r="G371" s="680"/>
      <c r="H371" s="680"/>
      <c r="I371" s="680"/>
      <c r="J371" s="680"/>
      <c r="K371" s="680"/>
      <c r="L371" s="680"/>
      <c r="M371" s="680"/>
      <c r="N371" s="680"/>
      <c r="O371" s="680"/>
      <c r="P371" s="680"/>
      <c r="Q371" s="680"/>
      <c r="R371" s="680"/>
      <c r="S371" s="680"/>
      <c r="T371" s="681">
        <f>SUM($T$361:$W$370)</f>
        <v>0</v>
      </c>
      <c r="U371" s="681"/>
      <c r="V371" s="681"/>
      <c r="W371" s="681"/>
      <c r="X371" s="682" t="s">
        <v>5</v>
      </c>
      <c r="Y371" s="683"/>
    </row>
    <row r="372" spans="1:25" ht="18" customHeight="1" thickBot="1" x14ac:dyDescent="0.25">
      <c r="A372" s="337"/>
      <c r="B372" s="337"/>
      <c r="C372" s="345"/>
      <c r="D372" s="337"/>
      <c r="E372" s="337"/>
      <c r="F372" s="337"/>
      <c r="G372" s="337"/>
      <c r="H372" s="337"/>
      <c r="I372" s="337"/>
      <c r="J372" s="337"/>
      <c r="K372" s="337"/>
      <c r="L372" s="337"/>
      <c r="M372" s="337"/>
      <c r="N372" s="337"/>
      <c r="O372" s="337"/>
      <c r="T372" s="395"/>
      <c r="U372" s="396"/>
      <c r="V372" s="396"/>
      <c r="W372" s="397" t="str">
        <f>IF(AND(SUM($T$361:$W$370)&lt;&gt;0,$T$371&lt;&gt;100),"La somme de la proportion des différents habitats dans le paysage doit être égale à 100. ","")</f>
        <v/>
      </c>
    </row>
    <row r="373" spans="1:25" ht="18" customHeight="1" x14ac:dyDescent="0.2">
      <c r="A373" s="337"/>
      <c r="B373" s="337"/>
      <c r="C373" s="345"/>
      <c r="D373" s="337"/>
      <c r="E373" s="337"/>
      <c r="F373" s="337"/>
      <c r="G373" s="337"/>
      <c r="H373" s="337"/>
      <c r="I373" s="337"/>
      <c r="J373" s="337"/>
      <c r="K373" s="337"/>
      <c r="L373" s="337"/>
      <c r="M373" s="337"/>
      <c r="N373" s="337"/>
      <c r="O373" s="337"/>
    </row>
    <row r="374" spans="1:25" ht="18" customHeight="1" x14ac:dyDescent="0.2">
      <c r="A374" s="337"/>
      <c r="B374" s="337"/>
      <c r="C374" s="345"/>
      <c r="D374" s="337"/>
      <c r="E374" s="337"/>
      <c r="F374" s="337"/>
      <c r="G374" s="337"/>
      <c r="H374" s="337"/>
      <c r="I374" s="337"/>
      <c r="J374" s="337"/>
      <c r="K374" s="337"/>
      <c r="L374" s="337"/>
      <c r="M374" s="337"/>
      <c r="N374" s="337"/>
      <c r="O374" s="337"/>
    </row>
    <row r="375" spans="1:25" ht="18" customHeight="1" x14ac:dyDescent="0.2">
      <c r="A375" s="337"/>
      <c r="B375" s="337"/>
      <c r="C375" s="581" t="s">
        <v>297</v>
      </c>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row>
    <row r="376" spans="1:25" ht="18" customHeight="1" x14ac:dyDescent="0.2">
      <c r="A376" s="337"/>
      <c r="B376" s="337"/>
      <c r="C376" s="675" t="s">
        <v>234</v>
      </c>
      <c r="D376" s="675"/>
      <c r="E376" s="675"/>
      <c r="F376" s="675"/>
      <c r="G376" s="675"/>
      <c r="H376" s="368"/>
      <c r="I376" s="353" t="s">
        <v>24</v>
      </c>
      <c r="J376" s="588"/>
      <c r="K376" s="588"/>
      <c r="P376" s="339"/>
      <c r="Q376" s="368"/>
      <c r="S376" s="353" t="s">
        <v>25</v>
      </c>
      <c r="T376" s="588"/>
      <c r="U376" s="588"/>
      <c r="V376" s="588"/>
      <c r="W376" s="588"/>
    </row>
    <row r="377" spans="1:25" ht="18" customHeight="1" x14ac:dyDescent="0.2">
      <c r="A377" s="337"/>
      <c r="B377" s="337"/>
      <c r="C377" s="676"/>
      <c r="D377" s="676"/>
      <c r="E377" s="676"/>
      <c r="F377" s="676"/>
      <c r="G377" s="676"/>
      <c r="H377" s="367"/>
      <c r="I377" s="369" t="s">
        <v>26</v>
      </c>
      <c r="J377" s="588"/>
      <c r="K377" s="588"/>
      <c r="P377" s="339"/>
      <c r="Q377" s="368"/>
      <c r="T377" s="347"/>
      <c r="U377" s="347"/>
      <c r="V377" s="347"/>
      <c r="W377" s="347"/>
    </row>
    <row r="378" spans="1:25" ht="18" customHeight="1" x14ac:dyDescent="0.2">
      <c r="A378" s="337"/>
      <c r="B378" s="337"/>
      <c r="C378" s="345"/>
      <c r="D378" s="337"/>
      <c r="E378" s="337"/>
      <c r="F378" s="337"/>
      <c r="G378" s="337"/>
      <c r="H378" s="337"/>
      <c r="I378" s="337"/>
      <c r="J378" s="337"/>
      <c r="K378" s="337"/>
      <c r="L378" s="337"/>
      <c r="M378" s="337"/>
      <c r="N378" s="337"/>
      <c r="O378" s="337"/>
    </row>
    <row r="379" spans="1:25" ht="18" customHeight="1" x14ac:dyDescent="0.2">
      <c r="A379" s="337"/>
      <c r="B379" s="337"/>
      <c r="C379" s="345"/>
      <c r="D379" s="337"/>
      <c r="E379" s="337"/>
      <c r="F379" s="337"/>
      <c r="G379" s="337"/>
      <c r="H379" s="337"/>
      <c r="I379" s="337"/>
      <c r="J379" s="337"/>
      <c r="K379" s="337"/>
      <c r="L379" s="337"/>
      <c r="M379" s="337"/>
      <c r="N379" s="337"/>
      <c r="O379" s="337"/>
    </row>
    <row r="380" spans="1:25" ht="18" customHeight="1" x14ac:dyDescent="0.2">
      <c r="A380" s="337"/>
      <c r="B380" s="337"/>
      <c r="C380" s="583" t="s">
        <v>371</v>
      </c>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row>
    <row r="381" spans="1:25" ht="18" customHeight="1" x14ac:dyDescent="0.2">
      <c r="A381" s="337"/>
      <c r="B381" s="337"/>
      <c r="C381" s="592"/>
      <c r="D381" s="592"/>
      <c r="E381" s="592"/>
      <c r="F381" s="592"/>
      <c r="G381" s="592"/>
      <c r="H381" s="592"/>
      <c r="I381" s="592"/>
      <c r="J381" s="592"/>
      <c r="K381" s="592"/>
      <c r="L381" s="592"/>
      <c r="M381" s="592"/>
      <c r="N381" s="592"/>
      <c r="O381" s="592"/>
      <c r="P381" s="592"/>
      <c r="Q381" s="592"/>
      <c r="R381" s="592"/>
      <c r="S381" s="592"/>
      <c r="T381" s="592"/>
      <c r="U381" s="592"/>
      <c r="V381" s="592"/>
      <c r="W381" s="592"/>
      <c r="X381" s="592"/>
      <c r="Y381" s="592"/>
    </row>
    <row r="382" spans="1:25" ht="18" customHeight="1" x14ac:dyDescent="0.2">
      <c r="A382" s="337"/>
      <c r="B382" s="337"/>
      <c r="C382" s="337"/>
      <c r="D382" s="337"/>
      <c r="E382" s="337"/>
      <c r="F382" s="337"/>
      <c r="G382" s="337"/>
      <c r="H382" s="337"/>
      <c r="I382" s="337"/>
      <c r="J382" s="337"/>
      <c r="K382" s="386"/>
      <c r="L382" s="337"/>
      <c r="M382" s="386"/>
      <c r="N382" s="386"/>
      <c r="O382" s="380"/>
      <c r="S382" s="353" t="s">
        <v>251</v>
      </c>
      <c r="T382" s="578"/>
      <c r="U382" s="578"/>
      <c r="V382" s="578"/>
      <c r="W382" s="578"/>
      <c r="X382" s="591" t="s">
        <v>111</v>
      </c>
      <c r="Y382" s="591"/>
    </row>
    <row r="383" spans="1:25" ht="18" customHeight="1" x14ac:dyDescent="0.2">
      <c r="A383" s="337"/>
      <c r="B383" s="337"/>
      <c r="C383" s="345"/>
      <c r="D383" s="337"/>
      <c r="E383" s="337"/>
      <c r="F383" s="337"/>
      <c r="G383" s="337"/>
      <c r="H383" s="337"/>
      <c r="I383" s="337"/>
      <c r="J383" s="337"/>
      <c r="K383" s="337"/>
      <c r="L383" s="337"/>
      <c r="M383" s="337"/>
      <c r="N383" s="337"/>
      <c r="O383" s="337"/>
    </row>
    <row r="384" spans="1:25" ht="18" customHeight="1" x14ac:dyDescent="0.2">
      <c r="A384" s="337"/>
      <c r="B384" s="337"/>
      <c r="C384" s="345"/>
      <c r="D384" s="337"/>
      <c r="E384" s="337"/>
      <c r="F384" s="337"/>
      <c r="G384" s="337"/>
      <c r="H384" s="337"/>
      <c r="I384" s="337"/>
      <c r="J384" s="337"/>
      <c r="K384" s="337"/>
      <c r="L384" s="337"/>
      <c r="M384" s="337"/>
      <c r="N384" s="337"/>
      <c r="O384" s="337"/>
    </row>
    <row r="385" spans="1:25" ht="18" customHeight="1" x14ac:dyDescent="0.2">
      <c r="A385" s="337"/>
      <c r="B385" s="337"/>
      <c r="C385" s="583" t="s">
        <v>372</v>
      </c>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row>
    <row r="386" spans="1:25" ht="18" customHeight="1" x14ac:dyDescent="0.2">
      <c r="A386" s="337"/>
      <c r="B386" s="337"/>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row>
    <row r="387" spans="1:25" ht="18" customHeight="1" x14ac:dyDescent="0.2">
      <c r="A387" s="337"/>
      <c r="B387" s="337"/>
      <c r="C387" s="337"/>
      <c r="D387" s="337"/>
      <c r="E387" s="337"/>
      <c r="F387" s="337"/>
      <c r="G387" s="337"/>
      <c r="H387" s="337"/>
      <c r="I387" s="337"/>
      <c r="J387" s="337"/>
      <c r="K387" s="337"/>
      <c r="L387" s="368"/>
      <c r="M387" s="368"/>
      <c r="N387" s="386"/>
      <c r="O387" s="380"/>
      <c r="S387" s="353" t="s">
        <v>252</v>
      </c>
      <c r="T387" s="578"/>
      <c r="U387" s="578"/>
      <c r="V387" s="578"/>
      <c r="W387" s="578"/>
      <c r="X387" s="591" t="s">
        <v>112</v>
      </c>
      <c r="Y387" s="591"/>
    </row>
    <row r="388" spans="1:25" ht="18" customHeight="1" x14ac:dyDescent="0.2">
      <c r="C388" s="345"/>
      <c r="I388" s="411"/>
      <c r="J388" s="411"/>
      <c r="K388" s="412"/>
      <c r="N388" s="413"/>
      <c r="O388" s="414"/>
    </row>
    <row r="389" spans="1:25" ht="18" customHeight="1" x14ac:dyDescent="0.2">
      <c r="C389" s="345"/>
      <c r="I389" s="411"/>
      <c r="J389" s="411"/>
      <c r="K389" s="412"/>
      <c r="N389" s="413"/>
      <c r="O389" s="414"/>
    </row>
    <row r="390" spans="1:25" ht="18" customHeight="1" x14ac:dyDescent="0.2">
      <c r="A390" s="337"/>
      <c r="B390" s="337"/>
      <c r="C390" s="583" t="s">
        <v>373</v>
      </c>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row>
    <row r="391" spans="1:25" ht="18" customHeight="1" x14ac:dyDescent="0.2">
      <c r="A391" s="337"/>
      <c r="B391" s="337"/>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row>
    <row r="392" spans="1:25" ht="18" customHeight="1" x14ac:dyDescent="0.2">
      <c r="A392" s="337"/>
      <c r="B392" s="337"/>
      <c r="C392" s="592"/>
      <c r="D392" s="592"/>
      <c r="E392" s="592"/>
      <c r="F392" s="592"/>
      <c r="G392" s="592"/>
      <c r="H392" s="592"/>
      <c r="I392" s="592"/>
      <c r="J392" s="592"/>
      <c r="K392" s="592"/>
      <c r="L392" s="592"/>
      <c r="M392" s="592"/>
      <c r="N392" s="592"/>
      <c r="O392" s="592"/>
      <c r="P392" s="592"/>
      <c r="Q392" s="592"/>
      <c r="R392" s="592"/>
      <c r="S392" s="592"/>
      <c r="T392" s="592"/>
      <c r="U392" s="592"/>
      <c r="V392" s="592"/>
      <c r="W392" s="592"/>
      <c r="X392" s="592"/>
      <c r="Y392" s="592"/>
    </row>
    <row r="393" spans="1:25" ht="18" customHeight="1" x14ac:dyDescent="0.2">
      <c r="A393" s="337"/>
      <c r="B393" s="337"/>
      <c r="C393" s="337"/>
      <c r="D393" s="337"/>
      <c r="E393" s="337"/>
      <c r="F393" s="337"/>
      <c r="G393" s="337"/>
      <c r="H393" s="337"/>
      <c r="I393" s="389"/>
      <c r="J393" s="337"/>
      <c r="K393" s="368"/>
      <c r="L393" s="368"/>
      <c r="M393" s="368"/>
      <c r="N393" s="386"/>
      <c r="O393" s="380"/>
      <c r="S393" s="353" t="s">
        <v>253</v>
      </c>
      <c r="T393" s="578"/>
      <c r="U393" s="578"/>
      <c r="V393" s="578"/>
      <c r="W393" s="578"/>
      <c r="X393" s="591" t="s">
        <v>111</v>
      </c>
      <c r="Y393" s="591"/>
    </row>
    <row r="394" spans="1:25" ht="18" customHeight="1" x14ac:dyDescent="0.2">
      <c r="A394" s="337"/>
      <c r="B394" s="337"/>
      <c r="C394" s="337"/>
      <c r="D394" s="415"/>
      <c r="E394" s="415"/>
      <c r="F394" s="337"/>
      <c r="G394" s="337"/>
      <c r="H394" s="337"/>
      <c r="I394" s="415"/>
      <c r="J394" s="416"/>
      <c r="K394" s="417"/>
      <c r="L394" s="417"/>
      <c r="M394" s="368"/>
      <c r="N394" s="386"/>
      <c r="O394" s="380"/>
      <c r="S394" s="353" t="s">
        <v>254</v>
      </c>
      <c r="T394" s="578"/>
      <c r="U394" s="578"/>
      <c r="V394" s="578"/>
      <c r="W394" s="578"/>
      <c r="X394" s="591" t="s">
        <v>112</v>
      </c>
      <c r="Y394" s="591"/>
    </row>
    <row r="395" spans="1:25" ht="18" customHeight="1" x14ac:dyDescent="0.2">
      <c r="A395" s="337"/>
      <c r="B395" s="337"/>
      <c r="C395" s="345"/>
      <c r="D395" s="337"/>
      <c r="E395" s="337"/>
      <c r="F395" s="337"/>
      <c r="G395" s="337"/>
      <c r="H395" s="337"/>
      <c r="I395" s="337"/>
      <c r="J395" s="337"/>
      <c r="K395" s="337"/>
      <c r="L395" s="337"/>
      <c r="M395" s="337"/>
      <c r="N395" s="337"/>
      <c r="O395" s="337"/>
    </row>
    <row r="396" spans="1:25" ht="18" customHeight="1" x14ac:dyDescent="0.2">
      <c r="A396" s="337"/>
      <c r="B396" s="337"/>
      <c r="C396" s="345"/>
      <c r="D396" s="337"/>
      <c r="E396" s="337"/>
      <c r="F396" s="337"/>
      <c r="G396" s="337"/>
      <c r="H396" s="337"/>
      <c r="I396" s="337"/>
      <c r="J396" s="337"/>
      <c r="K396" s="337"/>
      <c r="L396" s="337"/>
      <c r="M396" s="337"/>
      <c r="N396" s="337"/>
      <c r="O396" s="337"/>
    </row>
    <row r="397" spans="1:25" ht="18" customHeight="1" x14ac:dyDescent="0.2">
      <c r="A397" s="337"/>
      <c r="B397" s="337"/>
      <c r="C397" s="581" t="s">
        <v>298</v>
      </c>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row>
    <row r="398" spans="1:25" ht="18" customHeight="1" x14ac:dyDescent="0.2">
      <c r="A398" s="337"/>
      <c r="B398" s="337"/>
      <c r="C398" s="346"/>
      <c r="D398" s="346"/>
      <c r="E398" s="346"/>
      <c r="F398" s="346"/>
      <c r="G398" s="346"/>
      <c r="H398" s="362"/>
      <c r="I398" s="346"/>
      <c r="J398" s="346"/>
      <c r="K398" s="368"/>
      <c r="L398" s="368"/>
      <c r="M398" s="368"/>
      <c r="N398" s="374"/>
      <c r="O398" s="337"/>
      <c r="S398" s="362" t="s">
        <v>374</v>
      </c>
      <c r="T398" s="782"/>
      <c r="U398" s="782"/>
      <c r="V398" s="782"/>
      <c r="W398" s="782"/>
      <c r="X398" s="591" t="s">
        <v>112</v>
      </c>
      <c r="Y398" s="591"/>
    </row>
    <row r="399" spans="1:25" ht="18" customHeight="1" x14ac:dyDescent="0.2">
      <c r="A399" s="337"/>
      <c r="B399" s="337"/>
      <c r="C399" s="346"/>
      <c r="D399" s="346"/>
      <c r="E399" s="346"/>
      <c r="F399" s="346"/>
      <c r="G399" s="346"/>
      <c r="H399" s="362"/>
      <c r="I399" s="346"/>
      <c r="J399" s="346"/>
      <c r="K399" s="368"/>
      <c r="L399" s="368"/>
      <c r="M399" s="368"/>
      <c r="N399" s="386"/>
      <c r="O399" s="380"/>
      <c r="S399" s="362" t="s">
        <v>255</v>
      </c>
      <c r="T399" s="578"/>
      <c r="U399" s="578"/>
      <c r="V399" s="578"/>
      <c r="W399" s="578"/>
      <c r="X399" s="591" t="s">
        <v>112</v>
      </c>
      <c r="Y399" s="591"/>
    </row>
    <row r="400" spans="1:25" ht="18" customHeight="1" x14ac:dyDescent="0.2">
      <c r="A400" s="337"/>
      <c r="B400" s="337"/>
      <c r="C400" s="345"/>
      <c r="D400" s="337"/>
      <c r="E400" s="337"/>
      <c r="F400" s="337"/>
      <c r="G400" s="337"/>
      <c r="H400" s="337"/>
      <c r="I400" s="337"/>
      <c r="J400" s="337"/>
      <c r="K400" s="337"/>
      <c r="L400" s="337"/>
      <c r="M400" s="337"/>
      <c r="N400" s="337"/>
      <c r="O400" s="337"/>
    </row>
    <row r="401" spans="1:25" ht="18" customHeight="1" x14ac:dyDescent="0.2">
      <c r="A401" s="337"/>
      <c r="B401" s="337"/>
      <c r="C401" s="345"/>
      <c r="D401" s="337"/>
      <c r="E401" s="337"/>
      <c r="F401" s="337"/>
      <c r="G401" s="337"/>
      <c r="H401" s="337"/>
      <c r="I401" s="337"/>
      <c r="J401" s="337"/>
      <c r="K401" s="337"/>
      <c r="L401" s="337"/>
      <c r="M401" s="337"/>
      <c r="N401" s="337"/>
      <c r="O401" s="337"/>
    </row>
    <row r="402" spans="1:25" ht="18" customHeight="1" x14ac:dyDescent="0.2">
      <c r="A402" s="337"/>
      <c r="B402" s="337"/>
      <c r="C402" s="583" t="s">
        <v>299</v>
      </c>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row>
    <row r="403" spans="1:25" ht="18" customHeight="1" x14ac:dyDescent="0.2">
      <c r="A403" s="337"/>
      <c r="B403" s="337"/>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row>
    <row r="404" spans="1:25" ht="18" customHeight="1" x14ac:dyDescent="0.2">
      <c r="A404" s="337"/>
      <c r="B404" s="337"/>
      <c r="C404" s="354" t="s">
        <v>234</v>
      </c>
      <c r="D404" s="354"/>
      <c r="E404" s="337"/>
      <c r="H404" s="368"/>
      <c r="I404" s="353" t="s">
        <v>28</v>
      </c>
      <c r="J404" s="588"/>
      <c r="K404" s="588"/>
      <c r="P404" s="339"/>
      <c r="Q404" s="368"/>
      <c r="R404" s="368"/>
      <c r="S404" s="369" t="s">
        <v>29</v>
      </c>
      <c r="T404" s="588"/>
      <c r="U404" s="588"/>
      <c r="V404" s="588"/>
      <c r="W404" s="588"/>
    </row>
    <row r="405" spans="1:25" ht="18" customHeight="1" x14ac:dyDescent="0.2">
      <c r="A405" s="337"/>
      <c r="B405" s="337"/>
      <c r="C405" s="345"/>
      <c r="D405" s="337"/>
      <c r="E405" s="337"/>
      <c r="F405" s="337"/>
      <c r="G405" s="337"/>
      <c r="H405" s="337"/>
      <c r="I405" s="337"/>
      <c r="J405" s="337"/>
      <c r="K405" s="337"/>
      <c r="L405" s="337"/>
      <c r="M405" s="337"/>
      <c r="N405" s="337"/>
      <c r="O405" s="337"/>
    </row>
    <row r="406" spans="1:25" ht="18" customHeight="1" x14ac:dyDescent="0.2">
      <c r="A406" s="337"/>
      <c r="B406" s="337"/>
      <c r="C406" s="345"/>
      <c r="D406" s="337"/>
      <c r="E406" s="337"/>
      <c r="F406" s="337"/>
      <c r="G406" s="337"/>
      <c r="H406" s="337"/>
      <c r="I406" s="337"/>
      <c r="J406" s="337"/>
      <c r="K406" s="337"/>
      <c r="L406" s="337"/>
      <c r="M406" s="337"/>
      <c r="N406" s="337"/>
      <c r="O406" s="337"/>
    </row>
    <row r="407" spans="1:25" ht="18" customHeight="1" x14ac:dyDescent="0.2">
      <c r="A407" s="337"/>
      <c r="B407" s="337"/>
      <c r="C407" s="581" t="s">
        <v>300</v>
      </c>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row>
    <row r="408" spans="1:25" ht="18" customHeight="1" x14ac:dyDescent="0.2">
      <c r="A408" s="337"/>
      <c r="B408" s="337"/>
      <c r="C408" s="337"/>
      <c r="D408" s="337"/>
      <c r="E408" s="337"/>
      <c r="F408" s="337"/>
      <c r="G408" s="337"/>
      <c r="H408" s="337"/>
      <c r="I408" s="337"/>
      <c r="J408" s="337"/>
      <c r="K408" s="353"/>
      <c r="L408" s="368"/>
      <c r="M408" s="368"/>
      <c r="N408" s="386"/>
      <c r="O408" s="380"/>
      <c r="S408" s="353" t="s">
        <v>256</v>
      </c>
      <c r="T408" s="578"/>
      <c r="U408" s="578"/>
      <c r="V408" s="578"/>
      <c r="W408" s="578"/>
      <c r="X408" s="591" t="s">
        <v>112</v>
      </c>
      <c r="Y408" s="591"/>
    </row>
    <row r="409" spans="1:25" ht="18" customHeight="1" x14ac:dyDescent="0.2">
      <c r="A409" s="337"/>
      <c r="B409" s="337"/>
      <c r="C409" s="345"/>
      <c r="D409" s="337"/>
      <c r="E409" s="337"/>
      <c r="F409" s="337"/>
      <c r="G409" s="337"/>
      <c r="H409" s="337"/>
      <c r="I409" s="337"/>
      <c r="J409" s="337"/>
      <c r="K409" s="337"/>
      <c r="L409" s="337"/>
      <c r="M409" s="337"/>
      <c r="N409" s="337"/>
      <c r="O409" s="337"/>
    </row>
    <row r="410" spans="1:25" ht="18" customHeight="1" x14ac:dyDescent="0.2">
      <c r="A410" s="337"/>
      <c r="B410" s="337"/>
      <c r="C410" s="345"/>
      <c r="D410" s="337"/>
      <c r="E410" s="337"/>
      <c r="F410" s="337"/>
      <c r="G410" s="337"/>
      <c r="H410" s="337"/>
      <c r="I410" s="337"/>
      <c r="J410" s="337"/>
      <c r="K410" s="337"/>
      <c r="L410" s="337"/>
      <c r="M410" s="337"/>
      <c r="N410" s="337"/>
      <c r="O410" s="337"/>
    </row>
    <row r="411" spans="1:25" ht="18" customHeight="1" x14ac:dyDescent="0.2">
      <c r="A411" s="337"/>
      <c r="B411" s="337"/>
      <c r="C411" s="583" t="s">
        <v>301</v>
      </c>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row>
    <row r="412" spans="1:25" ht="18" customHeight="1" x14ac:dyDescent="0.2">
      <c r="A412" s="337"/>
      <c r="B412" s="337"/>
      <c r="C412" s="592"/>
      <c r="D412" s="592"/>
      <c r="E412" s="592"/>
      <c r="F412" s="592"/>
      <c r="G412" s="592"/>
      <c r="H412" s="592"/>
      <c r="I412" s="592"/>
      <c r="J412" s="592"/>
      <c r="K412" s="592"/>
      <c r="L412" s="592"/>
      <c r="M412" s="592"/>
      <c r="N412" s="592"/>
      <c r="O412" s="592"/>
      <c r="P412" s="592"/>
      <c r="Q412" s="592"/>
      <c r="R412" s="592"/>
      <c r="S412" s="592"/>
      <c r="T412" s="592"/>
      <c r="U412" s="592"/>
      <c r="V412" s="592"/>
      <c r="W412" s="592"/>
      <c r="X412" s="592"/>
      <c r="Y412" s="592"/>
    </row>
    <row r="413" spans="1:25" ht="18" customHeight="1" x14ac:dyDescent="0.2">
      <c r="A413" s="337"/>
      <c r="B413" s="337"/>
      <c r="C413" s="354" t="s">
        <v>234</v>
      </c>
      <c r="D413" s="354"/>
      <c r="E413" s="337"/>
      <c r="H413" s="368"/>
      <c r="I413" s="353" t="s">
        <v>28</v>
      </c>
      <c r="J413" s="588"/>
      <c r="K413" s="588"/>
      <c r="P413" s="339"/>
      <c r="Q413" s="368"/>
      <c r="R413" s="368"/>
      <c r="S413" s="369" t="s">
        <v>29</v>
      </c>
      <c r="T413" s="588"/>
      <c r="U413" s="588"/>
      <c r="V413" s="588"/>
      <c r="W413" s="588"/>
    </row>
    <row r="414" spans="1:25" ht="18" customHeight="1" x14ac:dyDescent="0.2">
      <c r="A414" s="337"/>
      <c r="B414" s="337"/>
      <c r="C414" s="345"/>
      <c r="D414" s="337"/>
      <c r="E414" s="337"/>
      <c r="F414" s="337"/>
      <c r="G414" s="337"/>
      <c r="H414" s="337"/>
      <c r="I414" s="337"/>
      <c r="J414" s="337"/>
      <c r="K414" s="337"/>
      <c r="L414" s="337"/>
      <c r="M414" s="337"/>
      <c r="N414" s="337"/>
      <c r="O414" s="337"/>
    </row>
    <row r="415" spans="1:25" ht="18" customHeight="1" x14ac:dyDescent="0.2">
      <c r="A415" s="337"/>
      <c r="B415" s="337"/>
      <c r="C415" s="345"/>
      <c r="D415" s="337"/>
      <c r="E415" s="337"/>
      <c r="F415" s="337"/>
      <c r="G415" s="337"/>
      <c r="H415" s="337"/>
      <c r="I415" s="337"/>
      <c r="J415" s="337"/>
      <c r="K415" s="337"/>
      <c r="L415" s="337"/>
      <c r="M415" s="337"/>
      <c r="N415" s="337"/>
      <c r="O415" s="337"/>
    </row>
    <row r="416" spans="1:25" ht="18" customHeight="1" x14ac:dyDescent="0.2">
      <c r="A416" s="337"/>
      <c r="B416" s="337"/>
      <c r="C416" s="583" t="s">
        <v>302</v>
      </c>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row>
    <row r="417" spans="1:25" ht="18" customHeight="1" x14ac:dyDescent="0.2">
      <c r="A417" s="337"/>
      <c r="B417" s="337"/>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row>
    <row r="418" spans="1:25" ht="18" customHeight="1" x14ac:dyDescent="0.2">
      <c r="A418" s="337"/>
      <c r="B418" s="337"/>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row>
    <row r="419" spans="1:25" ht="18" customHeight="1" x14ac:dyDescent="0.2">
      <c r="A419" s="337"/>
      <c r="B419" s="337"/>
      <c r="C419" s="669"/>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1"/>
    </row>
    <row r="420" spans="1:25" ht="18" customHeight="1" x14ac:dyDescent="0.2">
      <c r="A420" s="337"/>
      <c r="B420" s="337"/>
      <c r="C420" s="672"/>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4"/>
    </row>
    <row r="421" spans="1:25" ht="18" customHeight="1" x14ac:dyDescent="0.2">
      <c r="A421" s="337"/>
      <c r="B421" s="337"/>
      <c r="C421" s="337"/>
      <c r="D421" s="337"/>
      <c r="E421" s="337"/>
      <c r="F421" s="337"/>
      <c r="G421" s="337"/>
      <c r="H421" s="337"/>
      <c r="I421" s="337"/>
      <c r="J421" s="337"/>
      <c r="K421" s="337"/>
      <c r="L421" s="337"/>
      <c r="M421" s="337"/>
      <c r="N421" s="337"/>
      <c r="O421" s="337"/>
    </row>
    <row r="422" spans="1:25" ht="18" customHeight="1" x14ac:dyDescent="0.2">
      <c r="A422" s="337"/>
      <c r="B422" s="337"/>
      <c r="C422" s="337"/>
      <c r="D422" s="337"/>
      <c r="E422" s="337"/>
      <c r="F422" s="337"/>
      <c r="G422" s="337"/>
      <c r="H422" s="337"/>
      <c r="I422" s="337"/>
      <c r="J422" s="337"/>
      <c r="K422" s="337"/>
      <c r="L422" s="337"/>
      <c r="M422" s="337"/>
      <c r="N422" s="337"/>
      <c r="O422" s="337"/>
    </row>
    <row r="423" spans="1:25" ht="18" customHeight="1" x14ac:dyDescent="0.2">
      <c r="A423" s="337"/>
      <c r="B423" s="337"/>
      <c r="C423" s="581" t="s">
        <v>303</v>
      </c>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row>
    <row r="424" spans="1:25" ht="18" customHeight="1" x14ac:dyDescent="0.2">
      <c r="A424" s="337"/>
      <c r="B424" s="337"/>
      <c r="C424" s="337"/>
      <c r="D424" s="337"/>
      <c r="E424" s="337"/>
      <c r="F424" s="337"/>
      <c r="G424" s="337"/>
      <c r="H424" s="337"/>
      <c r="I424" s="337"/>
      <c r="J424" s="337"/>
      <c r="K424" s="337"/>
      <c r="L424" s="386"/>
      <c r="M424" s="386"/>
      <c r="N424" s="386"/>
      <c r="O424" s="380"/>
      <c r="S424" s="353" t="s">
        <v>257</v>
      </c>
      <c r="T424" s="578"/>
      <c r="U424" s="578"/>
      <c r="V424" s="578"/>
      <c r="W424" s="578"/>
      <c r="X424" s="591" t="s">
        <v>112</v>
      </c>
      <c r="Y424" s="591"/>
    </row>
    <row r="425" spans="1:25" ht="18" customHeight="1" x14ac:dyDescent="0.2">
      <c r="A425" s="337"/>
      <c r="B425" s="337"/>
      <c r="C425" s="345"/>
      <c r="D425" s="337"/>
      <c r="E425" s="337"/>
      <c r="F425" s="337"/>
      <c r="G425" s="337"/>
      <c r="H425" s="337"/>
      <c r="I425" s="337"/>
      <c r="J425" s="337"/>
      <c r="K425" s="337"/>
      <c r="L425" s="337"/>
      <c r="M425" s="337"/>
      <c r="N425" s="337"/>
      <c r="O425" s="337"/>
    </row>
    <row r="426" spans="1:25" ht="18" customHeight="1" x14ac:dyDescent="0.2">
      <c r="A426" s="337"/>
      <c r="B426" s="337"/>
      <c r="C426" s="345"/>
      <c r="D426" s="337"/>
      <c r="E426" s="337"/>
      <c r="F426" s="337"/>
      <c r="G426" s="337"/>
      <c r="H426" s="337"/>
      <c r="I426" s="337"/>
      <c r="J426" s="337"/>
      <c r="K426" s="337"/>
      <c r="L426" s="337"/>
      <c r="M426" s="337"/>
      <c r="N426" s="337"/>
      <c r="O426" s="337"/>
    </row>
    <row r="427" spans="1:25" ht="23.1" customHeight="1" x14ac:dyDescent="0.2">
      <c r="A427" s="337"/>
      <c r="B427" s="337"/>
      <c r="C427" s="583" t="s">
        <v>304</v>
      </c>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row>
    <row r="428" spans="1:25" ht="23.1" customHeight="1" x14ac:dyDescent="0.2">
      <c r="A428" s="337"/>
      <c r="B428" s="337"/>
      <c r="C428" s="592"/>
      <c r="D428" s="592"/>
      <c r="E428" s="592"/>
      <c r="F428" s="592"/>
      <c r="G428" s="592"/>
      <c r="H428" s="592"/>
      <c r="I428" s="592"/>
      <c r="J428" s="592"/>
      <c r="K428" s="592"/>
      <c r="L428" s="592"/>
      <c r="M428" s="592"/>
      <c r="N428" s="592"/>
      <c r="O428" s="592"/>
      <c r="P428" s="592"/>
      <c r="Q428" s="592"/>
      <c r="R428" s="592"/>
      <c r="S428" s="592"/>
      <c r="T428" s="592"/>
      <c r="U428" s="592"/>
      <c r="V428" s="592"/>
      <c r="W428" s="592"/>
      <c r="X428" s="592"/>
      <c r="Y428" s="592"/>
    </row>
    <row r="429" spans="1:25" ht="18" customHeight="1" x14ac:dyDescent="0.2">
      <c r="A429" s="337"/>
      <c r="B429" s="337"/>
      <c r="C429" s="354" t="s">
        <v>234</v>
      </c>
      <c r="D429" s="354"/>
      <c r="E429" s="337"/>
      <c r="H429" s="368"/>
      <c r="I429" s="353" t="s">
        <v>28</v>
      </c>
      <c r="J429" s="588"/>
      <c r="K429" s="588"/>
      <c r="P429" s="339"/>
      <c r="Q429" s="368"/>
      <c r="R429" s="368"/>
      <c r="S429" s="369" t="s">
        <v>29</v>
      </c>
      <c r="T429" s="588"/>
      <c r="U429" s="588"/>
      <c r="V429" s="588"/>
      <c r="W429" s="588"/>
    </row>
    <row r="430" spans="1:25" ht="18" customHeight="1" x14ac:dyDescent="0.2">
      <c r="A430" s="337"/>
      <c r="B430" s="337"/>
      <c r="C430" s="345"/>
      <c r="D430" s="337"/>
      <c r="E430" s="337"/>
      <c r="F430" s="337"/>
      <c r="G430" s="337"/>
      <c r="H430" s="337"/>
      <c r="I430" s="337"/>
      <c r="J430" s="337"/>
      <c r="K430" s="337"/>
      <c r="L430" s="337"/>
      <c r="M430" s="337"/>
      <c r="N430" s="337"/>
      <c r="O430" s="337"/>
    </row>
    <row r="431" spans="1:25" ht="18" customHeight="1" x14ac:dyDescent="0.2">
      <c r="A431" s="337"/>
      <c r="B431" s="337"/>
      <c r="C431" s="345"/>
      <c r="D431" s="337"/>
      <c r="E431" s="337"/>
      <c r="F431" s="337"/>
      <c r="G431" s="337"/>
      <c r="H431" s="337"/>
      <c r="I431" s="337"/>
      <c r="J431" s="337"/>
      <c r="K431" s="337"/>
      <c r="L431" s="337"/>
      <c r="M431" s="337"/>
      <c r="N431" s="337"/>
      <c r="O431" s="337"/>
    </row>
    <row r="432" spans="1:25" ht="18" customHeight="1" x14ac:dyDescent="0.2">
      <c r="A432" s="337"/>
      <c r="B432" s="337"/>
      <c r="C432" s="583" t="s">
        <v>305</v>
      </c>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row>
    <row r="433" spans="1:25" ht="18" customHeight="1" x14ac:dyDescent="0.2">
      <c r="A433" s="337"/>
      <c r="B433" s="337"/>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row>
    <row r="434" spans="1:25" ht="18" customHeight="1" x14ac:dyDescent="0.2">
      <c r="A434" s="337"/>
      <c r="B434" s="337"/>
      <c r="C434" s="592"/>
      <c r="D434" s="592"/>
      <c r="E434" s="592"/>
      <c r="F434" s="592"/>
      <c r="G434" s="592"/>
      <c r="H434" s="592"/>
      <c r="I434" s="592"/>
      <c r="J434" s="592"/>
      <c r="K434" s="592"/>
      <c r="L434" s="592"/>
      <c r="M434" s="592"/>
      <c r="N434" s="592"/>
      <c r="O434" s="592"/>
      <c r="P434" s="592"/>
      <c r="Q434" s="592"/>
      <c r="R434" s="592"/>
      <c r="S434" s="592"/>
      <c r="T434" s="592"/>
      <c r="U434" s="592"/>
      <c r="V434" s="592"/>
      <c r="W434" s="592"/>
      <c r="X434" s="592"/>
      <c r="Y434" s="592"/>
    </row>
    <row r="435" spans="1:25" ht="18" customHeight="1" x14ac:dyDescent="0.2">
      <c r="A435" s="337"/>
      <c r="B435" s="337"/>
      <c r="C435" s="669"/>
      <c r="D435" s="670"/>
      <c r="E435" s="670"/>
      <c r="F435" s="670"/>
      <c r="G435" s="670"/>
      <c r="H435" s="670"/>
      <c r="I435" s="670"/>
      <c r="J435" s="670"/>
      <c r="K435" s="670"/>
      <c r="L435" s="670"/>
      <c r="M435" s="670"/>
      <c r="N435" s="670"/>
      <c r="O435" s="670"/>
      <c r="P435" s="670"/>
      <c r="Q435" s="670"/>
      <c r="R435" s="670"/>
      <c r="S435" s="670"/>
      <c r="T435" s="670"/>
      <c r="U435" s="670"/>
      <c r="V435" s="670"/>
      <c r="W435" s="670"/>
      <c r="X435" s="670"/>
      <c r="Y435" s="671"/>
    </row>
    <row r="436" spans="1:25" ht="18" customHeight="1" x14ac:dyDescent="0.2">
      <c r="A436" s="337"/>
      <c r="B436" s="337"/>
      <c r="C436" s="672"/>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4"/>
    </row>
    <row r="437" spans="1:25" ht="18" customHeight="1" x14ac:dyDescent="0.2">
      <c r="A437" s="337"/>
      <c r="B437" s="337"/>
      <c r="C437" s="337"/>
      <c r="D437" s="337"/>
      <c r="E437" s="337"/>
      <c r="F437" s="337"/>
      <c r="G437" s="337"/>
      <c r="H437" s="337"/>
      <c r="I437" s="337"/>
      <c r="J437" s="337"/>
      <c r="K437" s="337"/>
      <c r="L437" s="337"/>
      <c r="M437" s="337"/>
      <c r="N437" s="337"/>
      <c r="O437" s="337"/>
    </row>
    <row r="438" spans="1:25" ht="18" customHeight="1" x14ac:dyDescent="0.2">
      <c r="A438" s="337"/>
      <c r="B438" s="337"/>
      <c r="C438" s="337"/>
      <c r="D438" s="337"/>
      <c r="E438" s="337"/>
      <c r="F438" s="337"/>
      <c r="G438" s="337"/>
      <c r="H438" s="337"/>
      <c r="I438" s="337"/>
      <c r="J438" s="337"/>
      <c r="K438" s="337"/>
      <c r="L438" s="337"/>
      <c r="M438" s="337"/>
      <c r="N438" s="337"/>
      <c r="O438" s="337"/>
    </row>
    <row r="439" spans="1:25" ht="18" customHeight="1" x14ac:dyDescent="0.2">
      <c r="A439" s="337"/>
      <c r="B439" s="337"/>
      <c r="C439" s="581" t="s">
        <v>306</v>
      </c>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row>
    <row r="440" spans="1:25" ht="18" customHeight="1" x14ac:dyDescent="0.2">
      <c r="A440" s="337"/>
      <c r="B440" s="337"/>
      <c r="C440" s="354" t="s">
        <v>234</v>
      </c>
      <c r="D440" s="354"/>
      <c r="E440" s="337"/>
      <c r="H440" s="368"/>
      <c r="I440" s="353" t="s">
        <v>28</v>
      </c>
      <c r="J440" s="588"/>
      <c r="K440" s="588"/>
      <c r="P440" s="339"/>
      <c r="Q440" s="368"/>
      <c r="R440" s="368"/>
      <c r="S440" s="369" t="s">
        <v>29</v>
      </c>
      <c r="T440" s="588"/>
      <c r="U440" s="588"/>
      <c r="V440" s="588"/>
      <c r="W440" s="588"/>
    </row>
    <row r="441" spans="1:25" ht="18" customHeight="1" x14ac:dyDescent="0.2">
      <c r="A441" s="337"/>
      <c r="B441" s="337"/>
      <c r="C441" s="345"/>
      <c r="D441" s="337"/>
      <c r="E441" s="337"/>
      <c r="F441" s="337"/>
      <c r="G441" s="337"/>
      <c r="H441" s="337"/>
      <c r="I441" s="337"/>
      <c r="J441" s="337"/>
      <c r="K441" s="337"/>
      <c r="L441" s="337"/>
      <c r="M441" s="337"/>
      <c r="N441" s="337"/>
      <c r="O441" s="337"/>
    </row>
    <row r="442" spans="1:25" ht="18" customHeight="1" x14ac:dyDescent="0.2">
      <c r="A442" s="337"/>
      <c r="B442" s="337"/>
      <c r="C442" s="345"/>
      <c r="D442" s="337"/>
      <c r="E442" s="337"/>
      <c r="F442" s="337"/>
      <c r="G442" s="337"/>
      <c r="H442" s="337"/>
      <c r="I442" s="337"/>
      <c r="J442" s="337"/>
      <c r="K442" s="337"/>
      <c r="L442" s="337"/>
      <c r="M442" s="337"/>
      <c r="N442" s="337"/>
      <c r="O442" s="337"/>
    </row>
    <row r="443" spans="1:25" ht="18" customHeight="1" x14ac:dyDescent="0.2">
      <c r="A443" s="337"/>
      <c r="B443" s="337"/>
      <c r="C443" s="592" t="s">
        <v>307</v>
      </c>
      <c r="D443" s="592"/>
      <c r="E443" s="592"/>
      <c r="F443" s="592"/>
      <c r="G443" s="592"/>
      <c r="H443" s="592"/>
      <c r="I443" s="592"/>
      <c r="J443" s="592"/>
      <c r="K443" s="592"/>
      <c r="L443" s="592"/>
      <c r="M443" s="592"/>
      <c r="N443" s="592"/>
      <c r="O443" s="592"/>
      <c r="P443" s="592"/>
      <c r="Q443" s="592"/>
      <c r="R443" s="592"/>
      <c r="S443" s="592"/>
      <c r="T443" s="592"/>
      <c r="U443" s="592"/>
      <c r="V443" s="592"/>
      <c r="W443" s="592"/>
      <c r="X443" s="592"/>
      <c r="Y443" s="592"/>
    </row>
    <row r="444" spans="1:25" ht="18" customHeight="1" x14ac:dyDescent="0.2">
      <c r="A444" s="337"/>
      <c r="B444" s="337"/>
      <c r="C444" s="354" t="s">
        <v>234</v>
      </c>
      <c r="D444" s="354"/>
      <c r="E444" s="337"/>
      <c r="H444" s="368"/>
      <c r="I444" s="353" t="s">
        <v>28</v>
      </c>
      <c r="J444" s="771"/>
      <c r="K444" s="771"/>
      <c r="P444" s="339"/>
      <c r="Q444" s="368"/>
      <c r="R444" s="368"/>
      <c r="S444" s="369" t="s">
        <v>29</v>
      </c>
      <c r="T444" s="771"/>
      <c r="U444" s="771"/>
      <c r="V444" s="771"/>
      <c r="W444" s="771"/>
    </row>
    <row r="445" spans="1:25" ht="18" customHeight="1" x14ac:dyDescent="0.2">
      <c r="A445" s="337"/>
      <c r="B445" s="337"/>
      <c r="C445" s="345"/>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row>
    <row r="446" spans="1:25" ht="18" customHeight="1" x14ac:dyDescent="0.2">
      <c r="A446" s="337"/>
      <c r="B446" s="337"/>
      <c r="C446" s="345"/>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row>
    <row r="447" spans="1:25" ht="18" customHeight="1" x14ac:dyDescent="0.2">
      <c r="A447" s="337"/>
      <c r="B447" s="337"/>
      <c r="C447" s="583" t="s">
        <v>308</v>
      </c>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row>
    <row r="448" spans="1:25" ht="18" customHeight="1" x14ac:dyDescent="0.2">
      <c r="A448" s="337"/>
      <c r="B448" s="337"/>
      <c r="C448" s="592"/>
      <c r="D448" s="592"/>
      <c r="E448" s="592"/>
      <c r="F448" s="592"/>
      <c r="G448" s="592"/>
      <c r="H448" s="592"/>
      <c r="I448" s="592"/>
      <c r="J448" s="592"/>
      <c r="K448" s="592"/>
      <c r="L448" s="592"/>
      <c r="M448" s="592"/>
      <c r="N448" s="592"/>
      <c r="O448" s="592"/>
      <c r="P448" s="592"/>
      <c r="Q448" s="592"/>
      <c r="R448" s="592"/>
      <c r="S448" s="592"/>
      <c r="T448" s="592"/>
      <c r="U448" s="592"/>
      <c r="V448" s="592"/>
      <c r="W448" s="592"/>
      <c r="X448" s="592"/>
      <c r="Y448" s="592"/>
    </row>
    <row r="449" spans="1:27" ht="18" customHeight="1" x14ac:dyDescent="0.2">
      <c r="A449" s="337"/>
      <c r="B449" s="337"/>
      <c r="C449" s="354" t="s">
        <v>234</v>
      </c>
      <c r="D449" s="354"/>
      <c r="E449" s="337"/>
      <c r="H449" s="368"/>
      <c r="I449" s="353" t="s">
        <v>28</v>
      </c>
      <c r="J449" s="588"/>
      <c r="K449" s="588"/>
      <c r="P449" s="339"/>
      <c r="Q449" s="368"/>
      <c r="R449" s="368"/>
      <c r="S449" s="369" t="s">
        <v>29</v>
      </c>
      <c r="T449" s="588"/>
      <c r="U449" s="588"/>
      <c r="V449" s="588"/>
      <c r="W449" s="588"/>
    </row>
    <row r="450" spans="1:27" ht="18" customHeight="1" x14ac:dyDescent="0.2">
      <c r="A450" s="337"/>
      <c r="B450" s="337"/>
      <c r="C450" s="345"/>
      <c r="D450" s="337"/>
      <c r="E450" s="337"/>
      <c r="F450" s="337"/>
      <c r="G450" s="337"/>
      <c r="H450" s="337"/>
      <c r="I450" s="337"/>
      <c r="J450" s="337"/>
      <c r="K450" s="337"/>
      <c r="L450" s="337"/>
      <c r="M450" s="337"/>
      <c r="N450" s="337"/>
      <c r="O450" s="337"/>
    </row>
    <row r="451" spans="1:27" ht="18" customHeight="1" x14ac:dyDescent="0.2">
      <c r="A451" s="337"/>
      <c r="B451" s="337"/>
      <c r="C451" s="345"/>
      <c r="D451" s="337"/>
      <c r="E451" s="337"/>
      <c r="F451" s="337"/>
      <c r="G451" s="337"/>
      <c r="H451" s="337"/>
      <c r="I451" s="337"/>
      <c r="J451" s="337"/>
      <c r="K451" s="337"/>
      <c r="L451" s="337"/>
      <c r="M451" s="337"/>
      <c r="N451" s="337"/>
      <c r="O451" s="337"/>
    </row>
    <row r="452" spans="1:27" ht="33.75" customHeight="1" x14ac:dyDescent="0.2">
      <c r="A452" s="337"/>
      <c r="B452" s="337"/>
      <c r="C452" s="341" t="s">
        <v>400</v>
      </c>
      <c r="D452" s="695" t="s">
        <v>405</v>
      </c>
      <c r="E452" s="696"/>
      <c r="F452" s="696"/>
      <c r="G452" s="696"/>
      <c r="H452" s="696"/>
      <c r="I452" s="696"/>
      <c r="J452" s="696"/>
      <c r="K452" s="696"/>
      <c r="L452" s="696"/>
      <c r="M452" s="696"/>
      <c r="N452" s="696"/>
      <c r="O452" s="696"/>
      <c r="P452" s="696"/>
      <c r="Q452" s="696"/>
      <c r="R452" s="696"/>
      <c r="S452" s="696"/>
      <c r="T452" s="696"/>
      <c r="U452" s="696"/>
      <c r="V452" s="696"/>
      <c r="W452" s="696"/>
      <c r="X452" s="696"/>
      <c r="Y452" s="697"/>
    </row>
    <row r="453" spans="1:27" ht="18" customHeight="1" x14ac:dyDescent="0.2">
      <c r="A453" s="337"/>
      <c r="B453" s="337"/>
      <c r="C453" s="583" t="s">
        <v>309</v>
      </c>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row>
    <row r="454" spans="1:27" s="367" customFormat="1" ht="18" customHeight="1" x14ac:dyDescent="0.2">
      <c r="A454" s="368"/>
      <c r="B454" s="368"/>
      <c r="C454" s="592"/>
      <c r="D454" s="592"/>
      <c r="E454" s="592"/>
      <c r="F454" s="592"/>
      <c r="G454" s="592"/>
      <c r="H454" s="592"/>
      <c r="I454" s="592"/>
      <c r="J454" s="592"/>
      <c r="K454" s="592"/>
      <c r="L454" s="592"/>
      <c r="M454" s="592"/>
      <c r="N454" s="592"/>
      <c r="O454" s="592"/>
      <c r="P454" s="592"/>
      <c r="Q454" s="592"/>
      <c r="R454" s="592"/>
      <c r="S454" s="592"/>
      <c r="T454" s="592"/>
      <c r="U454" s="592"/>
      <c r="V454" s="592"/>
      <c r="W454" s="592"/>
      <c r="X454" s="592"/>
      <c r="Y454" s="592"/>
    </row>
    <row r="455" spans="1:27" s="367" customFormat="1" ht="18" customHeight="1" x14ac:dyDescent="0.2">
      <c r="A455" s="368"/>
      <c r="B455" s="781" t="s">
        <v>1522</v>
      </c>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c r="AA455" s="781"/>
    </row>
    <row r="456" spans="1:27" ht="18" customHeight="1" x14ac:dyDescent="0.2">
      <c r="A456" s="337"/>
      <c r="B456" s="337"/>
      <c r="C456" s="354" t="s">
        <v>234</v>
      </c>
      <c r="D456" s="354"/>
      <c r="E456" s="337"/>
      <c r="I456" s="362" t="s">
        <v>8</v>
      </c>
      <c r="J456" s="588"/>
      <c r="K456" s="588"/>
      <c r="N456" s="346"/>
      <c r="P456" s="339"/>
      <c r="S456" s="362" t="s">
        <v>9</v>
      </c>
      <c r="T456" s="588"/>
      <c r="U456" s="588"/>
      <c r="V456" s="588"/>
      <c r="W456" s="588"/>
    </row>
    <row r="457" spans="1:27" ht="18" customHeight="1" x14ac:dyDescent="0.2">
      <c r="A457" s="337"/>
      <c r="B457" s="337"/>
      <c r="C457" s="354"/>
      <c r="D457" s="354"/>
      <c r="E457" s="337"/>
      <c r="F457" s="337"/>
      <c r="G457" s="337"/>
      <c r="H457" s="337"/>
      <c r="I457" s="362" t="s">
        <v>10</v>
      </c>
      <c r="J457" s="588"/>
      <c r="K457" s="588"/>
      <c r="P457" s="339"/>
      <c r="S457" s="362" t="s">
        <v>11</v>
      </c>
      <c r="T457" s="588"/>
      <c r="U457" s="588"/>
      <c r="V457" s="588"/>
      <c r="W457" s="588"/>
    </row>
    <row r="458" spans="1:27" s="347" customFormat="1" ht="18" customHeight="1" x14ac:dyDescent="0.2">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row>
    <row r="459" spans="1:27" s="347" customFormat="1" ht="18" customHeight="1" x14ac:dyDescent="0.2">
      <c r="A459" s="346"/>
      <c r="B459" s="346"/>
      <c r="C459" s="583" t="s">
        <v>310</v>
      </c>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row>
    <row r="460" spans="1:27" s="347" customFormat="1" ht="18" customHeight="1" x14ac:dyDescent="0.2">
      <c r="A460" s="346"/>
      <c r="B460" s="346"/>
      <c r="C460" s="583"/>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row>
    <row r="461" spans="1:27" ht="18" customHeight="1" x14ac:dyDescent="0.2">
      <c r="A461" s="337"/>
      <c r="B461" s="705" t="s">
        <v>1525</v>
      </c>
      <c r="C461" s="705"/>
      <c r="D461" s="705"/>
      <c r="E461" s="705"/>
      <c r="F461" s="705"/>
      <c r="G461" s="705"/>
      <c r="H461" s="705"/>
      <c r="I461" s="705"/>
      <c r="J461" s="705"/>
      <c r="K461" s="705"/>
      <c r="L461" s="705"/>
      <c r="M461" s="705"/>
      <c r="N461" s="705"/>
      <c r="O461" s="705"/>
      <c r="P461" s="705"/>
      <c r="Q461" s="705"/>
      <c r="R461" s="705"/>
      <c r="S461" s="705"/>
      <c r="T461" s="705"/>
      <c r="U461" s="705"/>
      <c r="V461" s="705"/>
      <c r="W461" s="705"/>
      <c r="X461" s="705"/>
      <c r="Y461" s="705"/>
      <c r="Z461" s="705"/>
      <c r="AA461" s="705"/>
    </row>
    <row r="462" spans="1:27" ht="39.75" customHeight="1" x14ac:dyDescent="0.2">
      <c r="A462" s="337"/>
      <c r="B462" s="337"/>
      <c r="C462" s="640" t="s">
        <v>85</v>
      </c>
      <c r="D462" s="640"/>
      <c r="E462" s="640"/>
      <c r="F462" s="772" t="s">
        <v>86</v>
      </c>
      <c r="G462" s="773"/>
      <c r="H462" s="773"/>
      <c r="I462" s="773"/>
      <c r="J462" s="773"/>
      <c r="K462" s="773"/>
      <c r="L462" s="773"/>
      <c r="M462" s="773"/>
      <c r="N462" s="773"/>
      <c r="O462" s="773"/>
      <c r="P462" s="773"/>
      <c r="Q462" s="773"/>
      <c r="R462" s="773"/>
      <c r="S462" s="774"/>
      <c r="T462" s="772" t="s">
        <v>12</v>
      </c>
      <c r="U462" s="773"/>
      <c r="V462" s="773"/>
      <c r="W462" s="773"/>
      <c r="X462" s="773"/>
      <c r="Y462" s="774"/>
      <c r="Z462" s="419"/>
      <c r="AA462" s="419"/>
    </row>
    <row r="463" spans="1:27" ht="23.1" customHeight="1" x14ac:dyDescent="0.2">
      <c r="A463" s="337"/>
      <c r="B463" s="337"/>
      <c r="C463" s="775" t="s">
        <v>37</v>
      </c>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7"/>
      <c r="Z463" s="419"/>
      <c r="AA463" s="419"/>
    </row>
    <row r="464" spans="1:27" ht="26.25" customHeight="1" x14ac:dyDescent="0.2">
      <c r="A464" s="337"/>
      <c r="B464" s="337"/>
      <c r="C464" s="770" t="s">
        <v>113</v>
      </c>
      <c r="D464" s="770"/>
      <c r="E464" s="770"/>
      <c r="F464" s="778" t="s">
        <v>114</v>
      </c>
      <c r="G464" s="779"/>
      <c r="H464" s="779"/>
      <c r="I464" s="779"/>
      <c r="J464" s="779"/>
      <c r="K464" s="779"/>
      <c r="L464" s="779"/>
      <c r="M464" s="779"/>
      <c r="N464" s="779"/>
      <c r="O464" s="779"/>
      <c r="P464" s="779"/>
      <c r="Q464" s="779"/>
      <c r="R464" s="779"/>
      <c r="S464" s="780"/>
      <c r="T464" s="770">
        <v>35</v>
      </c>
      <c r="U464" s="770"/>
      <c r="V464" s="770"/>
      <c r="W464" s="770"/>
      <c r="X464" s="770" t="s">
        <v>5</v>
      </c>
      <c r="Y464" s="770"/>
      <c r="Z464" s="419"/>
      <c r="AA464" s="419"/>
    </row>
    <row r="465" spans="1:28" ht="26.25" customHeight="1" x14ac:dyDescent="0.2">
      <c r="A465" s="337"/>
      <c r="B465" s="337"/>
      <c r="C465" s="638"/>
      <c r="D465" s="638"/>
      <c r="E465" s="638"/>
      <c r="F465" s="665"/>
      <c r="G465" s="666"/>
      <c r="H465" s="666"/>
      <c r="I465" s="666"/>
      <c r="J465" s="666"/>
      <c r="K465" s="666"/>
      <c r="L465" s="666"/>
      <c r="M465" s="666"/>
      <c r="N465" s="666"/>
      <c r="O465" s="666"/>
      <c r="P465" s="666"/>
      <c r="Q465" s="666"/>
      <c r="R465" s="666"/>
      <c r="S465" s="667"/>
      <c r="T465" s="590"/>
      <c r="U465" s="590"/>
      <c r="V465" s="590"/>
      <c r="W465" s="590"/>
      <c r="X465" s="668" t="s">
        <v>5</v>
      </c>
      <c r="Y465" s="668"/>
      <c r="Z465" s="420"/>
      <c r="AA465" s="420"/>
    </row>
    <row r="466" spans="1:28" ht="26.25" customHeight="1" x14ac:dyDescent="0.2">
      <c r="A466" s="337"/>
      <c r="B466" s="337"/>
      <c r="C466" s="638"/>
      <c r="D466" s="638"/>
      <c r="E466" s="638"/>
      <c r="F466" s="665"/>
      <c r="G466" s="666"/>
      <c r="H466" s="666"/>
      <c r="I466" s="666"/>
      <c r="J466" s="666"/>
      <c r="K466" s="666"/>
      <c r="L466" s="666"/>
      <c r="M466" s="666"/>
      <c r="N466" s="666"/>
      <c r="O466" s="666"/>
      <c r="P466" s="666"/>
      <c r="Q466" s="666"/>
      <c r="R466" s="666"/>
      <c r="S466" s="667"/>
      <c r="T466" s="590"/>
      <c r="U466" s="590"/>
      <c r="V466" s="590"/>
      <c r="W466" s="590"/>
      <c r="X466" s="668" t="s">
        <v>5</v>
      </c>
      <c r="Y466" s="668"/>
    </row>
    <row r="467" spans="1:28" ht="26.25" customHeight="1" x14ac:dyDescent="0.2">
      <c r="A467" s="337"/>
      <c r="B467" s="337"/>
      <c r="C467" s="638"/>
      <c r="D467" s="638"/>
      <c r="E467" s="638"/>
      <c r="F467" s="665"/>
      <c r="G467" s="666"/>
      <c r="H467" s="666"/>
      <c r="I467" s="666"/>
      <c r="J467" s="666"/>
      <c r="K467" s="666"/>
      <c r="L467" s="666"/>
      <c r="M467" s="666"/>
      <c r="N467" s="666"/>
      <c r="O467" s="666"/>
      <c r="P467" s="666"/>
      <c r="Q467" s="666"/>
      <c r="R467" s="666"/>
      <c r="S467" s="667"/>
      <c r="T467" s="590"/>
      <c r="U467" s="590"/>
      <c r="V467" s="590"/>
      <c r="W467" s="590"/>
      <c r="X467" s="668" t="s">
        <v>5</v>
      </c>
      <c r="Y467" s="668"/>
    </row>
    <row r="468" spans="1:28" ht="26.25" customHeight="1" x14ac:dyDescent="0.2">
      <c r="A468" s="337"/>
      <c r="B468" s="337"/>
      <c r="C468" s="638"/>
      <c r="D468" s="638"/>
      <c r="E468" s="638"/>
      <c r="F468" s="665"/>
      <c r="G468" s="666"/>
      <c r="H468" s="666"/>
      <c r="I468" s="666"/>
      <c r="J468" s="666"/>
      <c r="K468" s="666"/>
      <c r="L468" s="666"/>
      <c r="M468" s="666"/>
      <c r="N468" s="666"/>
      <c r="O468" s="666"/>
      <c r="P468" s="666"/>
      <c r="Q468" s="666"/>
      <c r="R468" s="666"/>
      <c r="S468" s="667"/>
      <c r="T468" s="590"/>
      <c r="U468" s="590"/>
      <c r="V468" s="590"/>
      <c r="W468" s="590"/>
      <c r="X468" s="668" t="s">
        <v>5</v>
      </c>
      <c r="Y468" s="668"/>
    </row>
    <row r="469" spans="1:28" ht="26.25" customHeight="1" x14ac:dyDescent="0.2">
      <c r="A469" s="337"/>
      <c r="B469" s="337"/>
      <c r="C469" s="638"/>
      <c r="D469" s="638"/>
      <c r="E469" s="638"/>
      <c r="F469" s="665"/>
      <c r="G469" s="666"/>
      <c r="H469" s="666"/>
      <c r="I469" s="666"/>
      <c r="J469" s="666"/>
      <c r="K469" s="666"/>
      <c r="L469" s="666"/>
      <c r="M469" s="666"/>
      <c r="N469" s="666"/>
      <c r="O469" s="666"/>
      <c r="P469" s="666"/>
      <c r="Q469" s="666"/>
      <c r="R469" s="666"/>
      <c r="S469" s="667"/>
      <c r="T469" s="590"/>
      <c r="U469" s="590"/>
      <c r="V469" s="590"/>
      <c r="W469" s="590"/>
      <c r="X469" s="668" t="s">
        <v>5</v>
      </c>
      <c r="Y469" s="668"/>
    </row>
    <row r="470" spans="1:28" ht="26.25" customHeight="1" x14ac:dyDescent="0.2">
      <c r="A470" s="337"/>
      <c r="B470" s="337"/>
      <c r="C470" s="638"/>
      <c r="D470" s="638"/>
      <c r="E470" s="638"/>
      <c r="F470" s="665"/>
      <c r="G470" s="666"/>
      <c r="H470" s="666"/>
      <c r="I470" s="666"/>
      <c r="J470" s="666"/>
      <c r="K470" s="666"/>
      <c r="L470" s="666"/>
      <c r="M470" s="666"/>
      <c r="N470" s="666"/>
      <c r="O470" s="666"/>
      <c r="P470" s="666"/>
      <c r="Q470" s="666"/>
      <c r="R470" s="666"/>
      <c r="S470" s="667"/>
      <c r="T470" s="590"/>
      <c r="U470" s="590"/>
      <c r="V470" s="590"/>
      <c r="W470" s="590"/>
      <c r="X470" s="668" t="s">
        <v>5</v>
      </c>
      <c r="Y470" s="668"/>
    </row>
    <row r="471" spans="1:28" ht="26.25" customHeight="1" x14ac:dyDescent="0.2">
      <c r="A471" s="337"/>
      <c r="B471" s="337"/>
      <c r="C471" s="638"/>
      <c r="D471" s="638"/>
      <c r="E471" s="638"/>
      <c r="F471" s="665"/>
      <c r="G471" s="666"/>
      <c r="H471" s="666"/>
      <c r="I471" s="666"/>
      <c r="J471" s="666"/>
      <c r="K471" s="666"/>
      <c r="L471" s="666"/>
      <c r="M471" s="666"/>
      <c r="N471" s="666"/>
      <c r="O471" s="666"/>
      <c r="P471" s="666"/>
      <c r="Q471" s="666"/>
      <c r="R471" s="666"/>
      <c r="S471" s="667"/>
      <c r="T471" s="590"/>
      <c r="U471" s="590"/>
      <c r="V471" s="590"/>
      <c r="W471" s="590"/>
      <c r="X471" s="668" t="s">
        <v>5</v>
      </c>
      <c r="Y471" s="668"/>
    </row>
    <row r="472" spans="1:28" ht="26.25" customHeight="1" x14ac:dyDescent="0.2">
      <c r="A472" s="337"/>
      <c r="B472" s="337"/>
      <c r="C472" s="638"/>
      <c r="D472" s="638"/>
      <c r="E472" s="638"/>
      <c r="F472" s="665"/>
      <c r="G472" s="666"/>
      <c r="H472" s="666"/>
      <c r="I472" s="666"/>
      <c r="J472" s="666"/>
      <c r="K472" s="666"/>
      <c r="L472" s="666"/>
      <c r="M472" s="666"/>
      <c r="N472" s="666"/>
      <c r="O472" s="666"/>
      <c r="P472" s="666"/>
      <c r="Q472" s="666"/>
      <c r="R472" s="666"/>
      <c r="S472" s="667"/>
      <c r="T472" s="590"/>
      <c r="U472" s="590"/>
      <c r="V472" s="590"/>
      <c r="W472" s="590"/>
      <c r="X472" s="668" t="s">
        <v>5</v>
      </c>
      <c r="Y472" s="668"/>
    </row>
    <row r="473" spans="1:28" ht="26.25" customHeight="1" x14ac:dyDescent="0.2">
      <c r="A473" s="337"/>
      <c r="B473" s="337"/>
      <c r="C473" s="638"/>
      <c r="D473" s="638"/>
      <c r="E473" s="638"/>
      <c r="F473" s="665"/>
      <c r="G473" s="666"/>
      <c r="H473" s="666"/>
      <c r="I473" s="666"/>
      <c r="J473" s="666"/>
      <c r="K473" s="666"/>
      <c r="L473" s="666"/>
      <c r="M473" s="666"/>
      <c r="N473" s="666"/>
      <c r="O473" s="666"/>
      <c r="P473" s="666"/>
      <c r="Q473" s="666"/>
      <c r="R473" s="666"/>
      <c r="S473" s="667"/>
      <c r="T473" s="590"/>
      <c r="U473" s="590"/>
      <c r="V473" s="590"/>
      <c r="W473" s="590"/>
      <c r="X473" s="668" t="s">
        <v>5</v>
      </c>
      <c r="Y473" s="668"/>
    </row>
    <row r="474" spans="1:28" ht="26.25" customHeight="1" x14ac:dyDescent="0.2">
      <c r="A474" s="337"/>
      <c r="B474" s="337"/>
      <c r="C474" s="638"/>
      <c r="D474" s="638"/>
      <c r="E474" s="638"/>
      <c r="F474" s="665"/>
      <c r="G474" s="666"/>
      <c r="H474" s="666"/>
      <c r="I474" s="666"/>
      <c r="J474" s="666"/>
      <c r="K474" s="666"/>
      <c r="L474" s="666"/>
      <c r="M474" s="666"/>
      <c r="N474" s="666"/>
      <c r="O474" s="666"/>
      <c r="P474" s="666"/>
      <c r="Q474" s="666"/>
      <c r="R474" s="666"/>
      <c r="S474" s="667"/>
      <c r="T474" s="590"/>
      <c r="U474" s="590"/>
      <c r="V474" s="590"/>
      <c r="W474" s="590"/>
      <c r="X474" s="668" t="s">
        <v>5</v>
      </c>
      <c r="Y474" s="668"/>
    </row>
    <row r="475" spans="1:28" ht="26.25" customHeight="1" x14ac:dyDescent="0.2">
      <c r="A475" s="337"/>
      <c r="B475" s="337"/>
      <c r="C475" s="638"/>
      <c r="D475" s="638"/>
      <c r="E475" s="638"/>
      <c r="F475" s="665"/>
      <c r="G475" s="666"/>
      <c r="H475" s="666"/>
      <c r="I475" s="666"/>
      <c r="J475" s="666"/>
      <c r="K475" s="666"/>
      <c r="L475" s="666"/>
      <c r="M475" s="666"/>
      <c r="N475" s="666"/>
      <c r="O475" s="666"/>
      <c r="P475" s="666"/>
      <c r="Q475" s="666"/>
      <c r="R475" s="666"/>
      <c r="S475" s="667"/>
      <c r="T475" s="590"/>
      <c r="U475" s="590"/>
      <c r="V475" s="590"/>
      <c r="W475" s="590"/>
      <c r="X475" s="668" t="s">
        <v>5</v>
      </c>
      <c r="Y475" s="668"/>
    </row>
    <row r="476" spans="1:28" ht="26.25" customHeight="1" x14ac:dyDescent="0.2">
      <c r="A476" s="337"/>
      <c r="B476" s="337"/>
      <c r="C476" s="638"/>
      <c r="D476" s="638"/>
      <c r="E476" s="638"/>
      <c r="F476" s="665"/>
      <c r="G476" s="666"/>
      <c r="H476" s="666"/>
      <c r="I476" s="666"/>
      <c r="J476" s="666"/>
      <c r="K476" s="666"/>
      <c r="L476" s="666"/>
      <c r="M476" s="666"/>
      <c r="N476" s="666"/>
      <c r="O476" s="666"/>
      <c r="P476" s="666"/>
      <c r="Q476" s="666"/>
      <c r="R476" s="666"/>
      <c r="S476" s="667"/>
      <c r="T476" s="590"/>
      <c r="U476" s="590"/>
      <c r="V476" s="590"/>
      <c r="W476" s="590"/>
      <c r="X476" s="668" t="s">
        <v>5</v>
      </c>
      <c r="Y476" s="668"/>
    </row>
    <row r="477" spans="1:28" ht="26.25" customHeight="1" x14ac:dyDescent="0.2">
      <c r="A477" s="337"/>
      <c r="B477" s="337"/>
      <c r="C477" s="638"/>
      <c r="D477" s="638"/>
      <c r="E477" s="638"/>
      <c r="F477" s="665"/>
      <c r="G477" s="666"/>
      <c r="H477" s="666"/>
      <c r="I477" s="666"/>
      <c r="J477" s="666"/>
      <c r="K477" s="666"/>
      <c r="L477" s="666"/>
      <c r="M477" s="666"/>
      <c r="N477" s="666"/>
      <c r="O477" s="666"/>
      <c r="P477" s="666"/>
      <c r="Q477" s="666"/>
      <c r="R477" s="666"/>
      <c r="S477" s="667"/>
      <c r="T477" s="590"/>
      <c r="U477" s="590"/>
      <c r="V477" s="590"/>
      <c r="W477" s="590"/>
      <c r="X477" s="668" t="s">
        <v>5</v>
      </c>
      <c r="Y477" s="668"/>
    </row>
    <row r="478" spans="1:28" ht="26.25" customHeight="1" x14ac:dyDescent="0.2">
      <c r="A478" s="337"/>
      <c r="B478" s="337"/>
      <c r="C478" s="638"/>
      <c r="D478" s="638"/>
      <c r="E478" s="638"/>
      <c r="F478" s="665"/>
      <c r="G478" s="666"/>
      <c r="H478" s="666"/>
      <c r="I478" s="666"/>
      <c r="J478" s="666"/>
      <c r="K478" s="666"/>
      <c r="L478" s="666"/>
      <c r="M478" s="666"/>
      <c r="N478" s="666"/>
      <c r="O478" s="666"/>
      <c r="P478" s="666"/>
      <c r="Q478" s="666"/>
      <c r="R478" s="666"/>
      <c r="S478" s="667"/>
      <c r="T478" s="590"/>
      <c r="U478" s="590"/>
      <c r="V478" s="590"/>
      <c r="W478" s="590"/>
      <c r="X478" s="668" t="s">
        <v>5</v>
      </c>
      <c r="Y478" s="668"/>
    </row>
    <row r="479" spans="1:28" ht="26.25" customHeight="1" x14ac:dyDescent="0.2">
      <c r="C479" s="638"/>
      <c r="D479" s="638"/>
      <c r="E479" s="638"/>
      <c r="F479" s="665"/>
      <c r="G479" s="666"/>
      <c r="H479" s="666"/>
      <c r="I479" s="666"/>
      <c r="J479" s="666"/>
      <c r="K479" s="666"/>
      <c r="L479" s="666"/>
      <c r="M479" s="666"/>
      <c r="N479" s="666"/>
      <c r="O479" s="666"/>
      <c r="P479" s="666"/>
      <c r="Q479" s="666"/>
      <c r="R479" s="666"/>
      <c r="S479" s="667"/>
      <c r="T479" s="590"/>
      <c r="U479" s="590"/>
      <c r="V479" s="590"/>
      <c r="W479" s="590"/>
      <c r="X479" s="668" t="s">
        <v>5</v>
      </c>
      <c r="Y479" s="668"/>
      <c r="Z479" s="421"/>
      <c r="AA479" s="421"/>
      <c r="AB479" s="421"/>
    </row>
    <row r="480" spans="1:28" ht="18" customHeight="1" thickBot="1" x14ac:dyDescent="0.25">
      <c r="A480" s="337"/>
      <c r="B480" s="337"/>
      <c r="C480" s="625" t="s">
        <v>258</v>
      </c>
      <c r="D480" s="626"/>
      <c r="E480" s="626"/>
      <c r="F480" s="626"/>
      <c r="G480" s="626"/>
      <c r="H480" s="626"/>
      <c r="I480" s="626"/>
      <c r="J480" s="626"/>
      <c r="K480" s="626"/>
      <c r="L480" s="626"/>
      <c r="M480" s="626"/>
      <c r="N480" s="626"/>
      <c r="O480" s="626"/>
      <c r="P480" s="626"/>
      <c r="Q480" s="626"/>
      <c r="R480" s="626"/>
      <c r="S480" s="627"/>
      <c r="T480" s="662" t="str">
        <f>IF(COUNTA($T$465:$W$479)=0,"",SUM($T$465:$W$479))</f>
        <v/>
      </c>
      <c r="U480" s="662"/>
      <c r="V480" s="662"/>
      <c r="W480" s="662"/>
      <c r="X480" s="663" t="s">
        <v>5</v>
      </c>
      <c r="Y480" s="663"/>
      <c r="Z480" s="422"/>
      <c r="AA480" s="422"/>
      <c r="AB480" s="423"/>
    </row>
    <row r="481" spans="1:27" ht="18" customHeight="1" thickBot="1" x14ac:dyDescent="0.25">
      <c r="A481" s="337"/>
      <c r="B481" s="337"/>
      <c r="C481" s="337"/>
      <c r="D481" s="337"/>
      <c r="E481" s="337"/>
      <c r="F481" s="337"/>
      <c r="I481" s="424"/>
      <c r="J481" s="424"/>
      <c r="K481" s="337"/>
      <c r="L481" s="337"/>
      <c r="M481" s="369"/>
      <c r="N481" s="337"/>
      <c r="O481" s="337"/>
      <c r="P481" s="337"/>
      <c r="Q481" s="337"/>
      <c r="R481" s="337"/>
      <c r="S481" s="337"/>
      <c r="T481" s="528">
        <f t="array" ref="T481">SUM(IF(COUNTIF(C465:E479,C465:E479)&lt;&gt;0,1/COUNTIF(C465:E479,C465:E479),""))</f>
        <v>0</v>
      </c>
      <c r="U481" s="396"/>
      <c r="V481" s="396"/>
      <c r="W481" s="397" t="str">
        <f>IF($T$480="","",IF($T$480&lt;&gt;100,"La somme des proportions du site occupée par les différents types d'habitats EUNIS niveau 3 doit être égale à 100%. ",""))</f>
        <v/>
      </c>
      <c r="X481" s="425"/>
      <c r="Y481" s="425"/>
      <c r="Z481" s="425"/>
      <c r="AA481" s="425"/>
    </row>
    <row r="482" spans="1:27" ht="18" customHeight="1" thickBot="1" x14ac:dyDescent="0.25">
      <c r="A482" s="337"/>
      <c r="B482" s="337"/>
      <c r="C482" s="423"/>
      <c r="D482" s="337"/>
      <c r="E482" s="337"/>
      <c r="F482" s="337"/>
      <c r="G482" s="337"/>
      <c r="H482" s="337"/>
      <c r="I482" s="337"/>
      <c r="J482" s="337"/>
      <c r="K482" s="337"/>
      <c r="L482" s="337"/>
      <c r="M482" s="337"/>
      <c r="N482" s="337"/>
      <c r="O482" s="337"/>
      <c r="P482" s="337"/>
      <c r="Q482" s="337"/>
      <c r="R482" s="337"/>
      <c r="S482" s="337"/>
      <c r="T482" s="426" t="str">
        <f>CONCATENATE(IF(SUM(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IF(AND(LEN(C478)&lt;&gt;4,C478&lt;&gt;""),1,0),IF(AND(LEN(C479)&lt;&gt;4,C479&lt;&gt;""),1,0))&gt;0,"Au moins un code EUNIS niveau 3 est mal renseigné (voir les instructions dans le guide page 106).",""),IF(SUM(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IF(AND(LEFT(RIGHT(C478,2),1)&lt;&gt;".",LEFT(RIGHT(C478,2),1)&lt;&gt;""),1,0),IF(AND(LEFT(RIGHT(C479,2),1)&lt;&gt;".",LEFT(RIGHT(C479,2),1)&lt;&gt;""),1,0))&gt;0,"Au moins un code EUNIS niveau 3 est mal renseigné (voir instructions du guide page 106).",""),IF(SUM(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IF(OR(LEFT(C478,2)="C1",LEFT(C478,2)="C2",LEFT(C478,2)="J5",LEFT(C478,2)="J1",LEFT(C478,2)="J2",LEFT(C478,2)="J4"),1,0),IF(OR(LEFT(C479,2)="C1",LEFT(C479,2)="C2",LEFT(C479,2)="J5",LEFT(C479,2)="J1",LEFT(C479,2)="J2",LEFT(C479,2)="J4"),1,0))&gt;0,"C1, C2, J1, J2, J4 et J5 ne peuvent pas figurer ici (non humide). Avec impact envisagé ou après impact, réduisez l'emprise sur site impacté (question 1) pour les exclure et ne pas les noter ici.",""),IF(COUNTA(C465:E479)-T481&gt;0,"Un code EUNIS apparaît en doublon et ce n'est pas logique.",""),IF(COUNTA(C465:E479)&gt;COUNTIF(T465:W479,"&gt;0"),"La part de chaque habitat indiqué dans la colonne de gauche, doit être renseignée dans la colonne de droite.",""),IF(COUNTIF(T465:W479,"&gt;0")&gt;COUNTA(C465:E479),"Le code de chaque habitat doit être indiqué dans la colonne de gauche.",""))</f>
        <v/>
      </c>
      <c r="U482" s="427"/>
      <c r="V482" s="427"/>
      <c r="W482" s="397" t="str">
        <f>IF(COUNTA($T$465:$W$479)=0,"",CONCATENATE(IF(AND($J$456="X",MIN($T$465:$T$479)*$T$107*100&lt;15625),"La part d'un des habitats est inférieure à la surface minimale cartographiable choisie (15 625 m²).",IF(AND($T$456="X",MIN($T$465:$T$479)*$T$107*100&lt;2500),"La part d'un des habitats est inférieure à la surface minimale cartographiable choisie (2500 m²).",IF(AND($J$457="X",MIN($T$465:$T$479)*$T$107*100&lt;625),"La part d'un des habitats est inférieure à la surface minimale cartographiable choisie (625 m²).",IF(AND($T$457="X",MIN($T$465:$T$479)*$T$107*100&lt;156),"La part d'un des habitats est inférieure à la surface minimale cartographiable choisie (156 m²).","")))),CONCATENATE(IF(SUMIF($C$465:$E$479,"A*",$T$465:$W$479)*$T$107*100&gt;$T$361*$T$356*100,"La superficie de l’habitat A dans le paysage ne peut pas être inférieure à celle de l’habitat A dans le site. ",""),IF(SUMIF($C$465:$E$479,"B*",$T$465:$W$479)*$T$107*100&gt;$T$362*$T$356*100,"La superficie de l’habitat B dans le paysage ne peut pas être inférieure à celle de l’habitat B dans le site. ",""),IF(SUMIF($C$465:$E$479,"C*",$T$465:$W$479)*$T$107*100&gt;$T$363*$T$356*100,"La superficie de l’habitat C dans le paysage ne peut pas être inférieure à celle de l’habitat C dans le site. ",""),IF(SUMIF($C$465:$E$479,"D*",$T$465:$W$479)*$T$107*100&gt;$T$364*$T$356*100,"La superficie de l’habitat D dans le paysage ne peut pas être inférieure à celle de l’habitat D dans le site. ",""),IF(SUMIF($C$465:$E$479,"E*",$T$465:$W$479)*$T$107*100&gt;$T$365*$T$356*100,"La superficie de l’habitat E dans le paysage ne peut pas être inférieure à celle de l’habitat E dans le site. ",""),IF(SUMIF($C$465:$E$479,"F*",$T$465:$W$479)*$T$107*100&gt;$T$366*$T$356*100,"La superficie de l’habitat F dans le paysage ne peut pas être inférieure à celle de l’habitat F dans le site. ",""),IF(SUMIF($C$465:$E$479,"G*",$T$465:$W$479)*$T$107*100&gt;$T$367*$T$356*100,"La superficie de l’habitat G dans le paysage ne peut pas être inférieure à celle de l’habitat G dans le site. ",""),IF(SUMIF($C$465:$E$479,"H*",$T$465:$W$479)*$T$107*100&gt;$T$368*$T$356*100,"La superficie de l’habitat H dans le paysage ne peut pas être inférieure à celle de l’habitat H dans le site. ",""),IF(SUMIF($C$465:$E$479,"I*",$T$465:$W$479)*$T$107*100&gt;$T$369*$T$356*100,"La superficie de l’habitat I dans le paysage ne peut pas être inférieure à celle de l’habitat I dans le site. ",""),IF(SUMIF($C$465:$E$479,"J*",$T$465:$W$479)*$T$107*100&gt;$T$370*$T$356*100,"La superficie de l’habitat J dans le paysage ne peut pas être inférieure à celle de l’habitat J dans le site.",""))))</f>
        <v/>
      </c>
      <c r="X482" s="428"/>
      <c r="Y482" s="428"/>
      <c r="Z482" s="428"/>
      <c r="AA482" s="428"/>
    </row>
    <row r="483" spans="1:27" ht="18" customHeight="1" x14ac:dyDescent="0.2">
      <c r="A483" s="337"/>
      <c r="B483" s="337"/>
      <c r="C483" s="345"/>
      <c r="D483" s="337"/>
      <c r="E483" s="337"/>
      <c r="F483" s="337"/>
      <c r="G483" s="337"/>
      <c r="H483" s="337"/>
      <c r="I483" s="337"/>
      <c r="J483" s="337"/>
      <c r="K483" s="337"/>
      <c r="L483" s="337"/>
      <c r="M483" s="337"/>
      <c r="N483" s="337"/>
      <c r="O483" s="337"/>
      <c r="P483" s="337"/>
      <c r="Q483" s="337"/>
      <c r="R483" s="337"/>
      <c r="S483" s="337"/>
      <c r="T483" s="429"/>
      <c r="U483" s="429"/>
      <c r="V483" s="429"/>
      <c r="W483" s="398"/>
      <c r="X483" s="428"/>
      <c r="Y483" s="428"/>
      <c r="Z483" s="428"/>
      <c r="AA483" s="428"/>
    </row>
    <row r="484" spans="1:27" ht="23.1" customHeight="1" x14ac:dyDescent="0.2">
      <c r="A484" s="337"/>
      <c r="B484" s="337"/>
      <c r="C484" s="583" t="s">
        <v>311</v>
      </c>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row>
    <row r="485" spans="1:27" ht="23.1" customHeight="1" x14ac:dyDescent="0.2">
      <c r="A485" s="337"/>
      <c r="B485" s="337"/>
      <c r="C485" s="592"/>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row>
    <row r="486" spans="1:27" ht="18" customHeight="1" x14ac:dyDescent="0.2">
      <c r="A486" s="337"/>
      <c r="B486" s="337"/>
      <c r="C486" s="669"/>
      <c r="D486" s="670"/>
      <c r="E486" s="670"/>
      <c r="F486" s="670"/>
      <c r="G486" s="670"/>
      <c r="H486" s="670"/>
      <c r="I486" s="670"/>
      <c r="J486" s="670"/>
      <c r="K486" s="670"/>
      <c r="L486" s="670"/>
      <c r="M486" s="670"/>
      <c r="N486" s="670"/>
      <c r="O486" s="670"/>
      <c r="P486" s="670"/>
      <c r="Q486" s="670"/>
      <c r="R486" s="670"/>
      <c r="S486" s="670"/>
      <c r="T486" s="670"/>
      <c r="U486" s="670"/>
      <c r="V486" s="670"/>
      <c r="W486" s="670"/>
      <c r="X486" s="670"/>
      <c r="Y486" s="671"/>
    </row>
    <row r="487" spans="1:27" ht="18" customHeight="1" x14ac:dyDescent="0.2">
      <c r="A487" s="337"/>
      <c r="B487" s="337"/>
      <c r="C487" s="672"/>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4"/>
    </row>
    <row r="488" spans="1:27" s="347" customFormat="1" ht="18" customHeight="1" x14ac:dyDescent="0.2">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row>
    <row r="489" spans="1:27" s="347" customFormat="1" ht="18" customHeight="1" x14ac:dyDescent="0.2">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row>
    <row r="490" spans="1:27" ht="18" customHeight="1" x14ac:dyDescent="0.2">
      <c r="A490" s="337"/>
      <c r="B490" s="337"/>
      <c r="C490" s="581" t="s">
        <v>312</v>
      </c>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row>
    <row r="491" spans="1:27" ht="18" customHeight="1" thickBot="1" x14ac:dyDescent="0.25">
      <c r="A491" s="337"/>
      <c r="B491" s="337"/>
      <c r="C491" s="337"/>
      <c r="D491" s="337"/>
      <c r="E491" s="337"/>
      <c r="F491" s="337"/>
      <c r="G491" s="337"/>
      <c r="H491" s="337"/>
      <c r="I491" s="337"/>
      <c r="J491" s="337"/>
      <c r="K491" s="337"/>
      <c r="L491" s="337"/>
      <c r="M491" s="337"/>
      <c r="N491" s="337"/>
      <c r="O491" s="337"/>
      <c r="S491" s="353" t="s">
        <v>259</v>
      </c>
      <c r="T491" s="769"/>
      <c r="U491" s="769"/>
      <c r="V491" s="769"/>
      <c r="W491" s="769"/>
      <c r="X491" s="591" t="s">
        <v>118</v>
      </c>
      <c r="Y491" s="591"/>
    </row>
    <row r="492" spans="1:27" ht="18" customHeight="1" thickBot="1" x14ac:dyDescent="0.25">
      <c r="A492" s="337"/>
      <c r="B492" s="337"/>
      <c r="C492" s="345"/>
      <c r="D492" s="337"/>
      <c r="E492" s="337"/>
      <c r="F492" s="337"/>
      <c r="G492" s="337"/>
      <c r="H492" s="337"/>
      <c r="I492" s="337"/>
      <c r="J492" s="337"/>
      <c r="K492" s="337"/>
      <c r="L492" s="337"/>
      <c r="M492" s="337"/>
      <c r="N492" s="337"/>
      <c r="O492" s="337"/>
      <c r="T492" s="395"/>
      <c r="U492" s="396"/>
      <c r="V492" s="396"/>
      <c r="W492" s="397" t="str">
        <f>IF($T$491="","",IF($T$491&gt;100,"La proportion du site occupée par un couvert végétal permanent ne peut pas être supérieure à 100%",""))</f>
        <v/>
      </c>
    </row>
    <row r="493" spans="1:27" ht="18" customHeight="1" x14ac:dyDescent="0.2">
      <c r="A493" s="337"/>
      <c r="B493" s="337"/>
      <c r="C493" s="345"/>
      <c r="D493" s="337"/>
      <c r="E493" s="337"/>
      <c r="F493" s="337"/>
      <c r="G493" s="337"/>
      <c r="H493" s="337"/>
      <c r="I493" s="337"/>
      <c r="J493" s="337"/>
      <c r="K493" s="337"/>
      <c r="L493" s="337"/>
      <c r="M493" s="337"/>
      <c r="N493" s="337"/>
      <c r="O493" s="337"/>
      <c r="T493" s="347"/>
      <c r="U493" s="347"/>
      <c r="V493" s="347"/>
      <c r="W493" s="398"/>
    </row>
    <row r="494" spans="1:27" ht="33.75" customHeight="1" x14ac:dyDescent="0.2">
      <c r="A494" s="337"/>
      <c r="B494" s="337"/>
      <c r="C494" s="341" t="s">
        <v>399</v>
      </c>
      <c r="D494" s="695" t="s">
        <v>406</v>
      </c>
      <c r="E494" s="696"/>
      <c r="F494" s="696"/>
      <c r="G494" s="696"/>
      <c r="H494" s="696"/>
      <c r="I494" s="696"/>
      <c r="J494" s="696"/>
      <c r="K494" s="696"/>
      <c r="L494" s="696"/>
      <c r="M494" s="696"/>
      <c r="N494" s="696"/>
      <c r="O494" s="696"/>
      <c r="P494" s="696"/>
      <c r="Q494" s="696"/>
      <c r="R494" s="696"/>
      <c r="S494" s="696"/>
      <c r="T494" s="696"/>
      <c r="U494" s="696"/>
      <c r="V494" s="696"/>
      <c r="W494" s="696"/>
      <c r="X494" s="696"/>
      <c r="Y494" s="697"/>
    </row>
    <row r="495" spans="1:27" s="432" customFormat="1" ht="18" customHeight="1" thickBot="1" x14ac:dyDescent="0.25">
      <c r="A495" s="431"/>
      <c r="B495" s="431"/>
      <c r="C495" s="664" t="s">
        <v>115</v>
      </c>
      <c r="D495" s="664"/>
      <c r="E495" s="664"/>
      <c r="F495" s="664"/>
      <c r="G495" s="664"/>
      <c r="H495" s="664"/>
      <c r="I495" s="664"/>
      <c r="J495" s="664"/>
      <c r="K495" s="664"/>
      <c r="L495" s="664"/>
      <c r="M495" s="664"/>
      <c r="N495" s="664"/>
      <c r="O495" s="664"/>
      <c r="P495" s="664"/>
      <c r="Q495" s="664"/>
      <c r="R495" s="664"/>
      <c r="S495" s="664"/>
      <c r="T495" s="664"/>
      <c r="U495" s="664"/>
      <c r="V495" s="664"/>
      <c r="W495" s="664"/>
      <c r="X495" s="664"/>
      <c r="Y495" s="664"/>
    </row>
    <row r="496" spans="1:27" ht="18" customHeight="1" thickBot="1" x14ac:dyDescent="0.25">
      <c r="A496" s="337"/>
      <c r="B496" s="337"/>
      <c r="C496" s="433"/>
      <c r="D496" s="433"/>
      <c r="E496" s="433"/>
      <c r="F496" s="433"/>
      <c r="G496" s="433"/>
      <c r="H496" s="433"/>
      <c r="I496" s="433"/>
      <c r="J496" s="433"/>
      <c r="K496" s="433"/>
      <c r="L496" s="433"/>
      <c r="M496" s="433"/>
      <c r="N496" s="433"/>
      <c r="O496" s="433"/>
      <c r="P496" s="433"/>
      <c r="Q496" s="433"/>
      <c r="R496" s="433"/>
      <c r="S496" s="433"/>
      <c r="T496" s="434"/>
      <c r="U496" s="435"/>
      <c r="V496" s="435"/>
      <c r="W496" s="377" t="str">
        <f>IF(AND($J$121="X",COUNTA($T$503,$T$504,$J$508,$T$508)&lt;3),"Le site est dans un système hydrogéomorphologique alluvial, la sous-partie 1.6 doit être renseignée. ",IF(AND(COUNTA($J$121)=0,COUNTA($T$498,$T$503,$T$504,$J$508,$T$508)&gt;0),"Le système n'est pas dans un système hydromorphologique alluvial, ne répondez pas aux 3 questions suivantes.",""))</f>
        <v/>
      </c>
      <c r="X496" s="433"/>
      <c r="Y496" s="433"/>
    </row>
    <row r="497" spans="1:25" ht="18" customHeight="1" x14ac:dyDescent="0.2">
      <c r="A497" s="337"/>
      <c r="B497" s="337"/>
      <c r="C497" s="581" t="s">
        <v>313</v>
      </c>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row>
    <row r="498" spans="1:25" ht="18" customHeight="1" x14ac:dyDescent="0.2">
      <c r="A498" s="337"/>
      <c r="B498" s="337"/>
      <c r="C498" s="337"/>
      <c r="D498" s="337"/>
      <c r="E498" s="337"/>
      <c r="F498" s="337"/>
      <c r="G498" s="337"/>
      <c r="H498" s="337"/>
      <c r="I498" s="337"/>
      <c r="J498" s="337"/>
      <c r="K498" s="394"/>
      <c r="L498" s="394"/>
      <c r="M498" s="394"/>
      <c r="N498" s="337"/>
      <c r="O498" s="337"/>
      <c r="S498" s="353" t="s">
        <v>260</v>
      </c>
      <c r="T498" s="578"/>
      <c r="U498" s="578"/>
      <c r="V498" s="578"/>
      <c r="W498" s="578"/>
      <c r="X498" s="591" t="s">
        <v>112</v>
      </c>
      <c r="Y498" s="591"/>
    </row>
    <row r="499" spans="1:25" ht="18" customHeight="1" x14ac:dyDescent="0.2">
      <c r="A499" s="337"/>
      <c r="B499" s="337"/>
      <c r="C499" s="337"/>
      <c r="D499" s="337"/>
      <c r="E499" s="337"/>
      <c r="F499" s="337"/>
      <c r="G499" s="337"/>
      <c r="H499" s="337"/>
      <c r="I499" s="337"/>
      <c r="J499" s="337"/>
      <c r="K499" s="337"/>
      <c r="L499" s="337"/>
      <c r="M499" s="337"/>
      <c r="N499" s="337"/>
      <c r="O499" s="337"/>
    </row>
    <row r="500" spans="1:25" ht="18" customHeight="1" x14ac:dyDescent="0.2">
      <c r="A500" s="337"/>
      <c r="B500" s="337"/>
      <c r="C500" s="337"/>
      <c r="D500" s="337"/>
      <c r="E500" s="337"/>
      <c r="F500" s="337"/>
      <c r="G500" s="337"/>
      <c r="H500" s="337"/>
      <c r="I500" s="337"/>
      <c r="J500" s="337"/>
      <c r="K500" s="337"/>
      <c r="L500" s="337"/>
      <c r="M500" s="337"/>
      <c r="N500" s="337"/>
      <c r="O500" s="337"/>
    </row>
    <row r="501" spans="1:25" ht="18" customHeight="1" x14ac:dyDescent="0.2">
      <c r="A501" s="337"/>
      <c r="B501" s="337"/>
      <c r="C501" s="583" t="s">
        <v>314</v>
      </c>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row>
    <row r="502" spans="1:25" ht="18" customHeight="1" x14ac:dyDescent="0.2">
      <c r="A502" s="337"/>
      <c r="B502" s="337"/>
      <c r="C502" s="592"/>
      <c r="D502" s="592"/>
      <c r="E502" s="592"/>
      <c r="F502" s="592"/>
      <c r="G502" s="592"/>
      <c r="H502" s="592"/>
      <c r="I502" s="592"/>
      <c r="J502" s="592"/>
      <c r="K502" s="592"/>
      <c r="L502" s="592"/>
      <c r="M502" s="592"/>
      <c r="N502" s="592"/>
      <c r="O502" s="592"/>
      <c r="P502" s="592"/>
      <c r="Q502" s="592"/>
      <c r="R502" s="592"/>
      <c r="S502" s="592"/>
      <c r="T502" s="592"/>
      <c r="U502" s="592"/>
      <c r="V502" s="592"/>
      <c r="W502" s="592"/>
      <c r="X502" s="592"/>
      <c r="Y502" s="592"/>
    </row>
    <row r="503" spans="1:25" ht="18" customHeight="1" x14ac:dyDescent="0.2">
      <c r="A503" s="337"/>
      <c r="B503" s="337"/>
      <c r="C503" s="436"/>
      <c r="D503" s="436"/>
      <c r="E503" s="436"/>
      <c r="F503" s="436"/>
      <c r="G503" s="436"/>
      <c r="H503" s="353"/>
      <c r="I503" s="353"/>
      <c r="J503" s="353"/>
      <c r="K503" s="337"/>
      <c r="L503" s="337"/>
      <c r="M503" s="337"/>
      <c r="N503" s="337"/>
      <c r="O503" s="337"/>
      <c r="S503" s="437" t="s">
        <v>261</v>
      </c>
      <c r="T503" s="578"/>
      <c r="U503" s="578"/>
      <c r="V503" s="578"/>
      <c r="W503" s="578"/>
      <c r="X503" s="591" t="s">
        <v>112</v>
      </c>
      <c r="Y503" s="591"/>
    </row>
    <row r="504" spans="1:25" ht="17.25" customHeight="1" thickBot="1" x14ac:dyDescent="0.25">
      <c r="A504" s="337"/>
      <c r="B504" s="337"/>
      <c r="C504" s="438"/>
      <c r="D504" s="439"/>
      <c r="E504" s="439"/>
      <c r="F504" s="439"/>
      <c r="G504" s="439"/>
      <c r="H504" s="439"/>
      <c r="I504" s="439"/>
      <c r="J504" s="439"/>
      <c r="K504" s="337"/>
      <c r="L504" s="337"/>
      <c r="M504" s="337"/>
      <c r="N504" s="337"/>
      <c r="O504" s="337"/>
      <c r="S504" s="440" t="s">
        <v>262</v>
      </c>
      <c r="T504" s="578"/>
      <c r="U504" s="578"/>
      <c r="V504" s="578"/>
      <c r="W504" s="578"/>
      <c r="X504" s="591" t="s">
        <v>112</v>
      </c>
      <c r="Y504" s="591"/>
    </row>
    <row r="505" spans="1:25" ht="18" customHeight="1" thickBot="1" x14ac:dyDescent="0.25">
      <c r="A505" s="337"/>
      <c r="B505" s="337"/>
      <c r="C505" s="337"/>
      <c r="D505" s="337"/>
      <c r="E505" s="337"/>
      <c r="F505" s="337"/>
      <c r="G505" s="337"/>
      <c r="H505" s="337"/>
      <c r="I505" s="337"/>
      <c r="J505" s="337"/>
      <c r="K505" s="337"/>
      <c r="L505" s="337"/>
      <c r="M505" s="337"/>
      <c r="N505" s="337"/>
      <c r="O505" s="337"/>
      <c r="T505" s="395"/>
      <c r="U505" s="396"/>
      <c r="V505" s="396"/>
      <c r="W505" s="397" t="str">
        <f>CONCATENATE(IF(AND($J$121="X",COUNTBLANK($T$503:$T$504)&gt;0),"Le site est dans un système hydrogéomorphologique alluvial, répondez à cette question.",""),(IF($T$503&lt;$T$504,CONCATENATE("La longueur développée doit être supérieure ou égale à la longueur de l'enveloppe de méandrage en passant par les points d'inflexion des sinuosités."),"")))</f>
        <v/>
      </c>
    </row>
    <row r="506" spans="1:25" ht="18" customHeight="1" x14ac:dyDescent="0.2">
      <c r="A506" s="337"/>
      <c r="B506" s="337"/>
      <c r="C506" s="337"/>
      <c r="D506" s="337"/>
      <c r="E506" s="337"/>
      <c r="F506" s="337"/>
      <c r="G506" s="337"/>
      <c r="H506" s="337"/>
      <c r="I506" s="337"/>
      <c r="J506" s="337"/>
      <c r="K506" s="337"/>
      <c r="L506" s="337"/>
      <c r="M506" s="337"/>
      <c r="N506" s="337"/>
      <c r="O506" s="337"/>
    </row>
    <row r="507" spans="1:25" ht="18" customHeight="1" x14ac:dyDescent="0.2">
      <c r="A507" s="337"/>
      <c r="B507" s="337"/>
      <c r="C507" s="581" t="s">
        <v>375</v>
      </c>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row>
    <row r="508" spans="1:25" ht="18" customHeight="1" x14ac:dyDescent="0.2">
      <c r="A508" s="337"/>
      <c r="B508" s="337"/>
      <c r="C508" s="354" t="s">
        <v>234</v>
      </c>
      <c r="D508" s="354"/>
      <c r="E508" s="337"/>
      <c r="H508" s="368"/>
      <c r="I508" s="353" t="s">
        <v>28</v>
      </c>
      <c r="J508" s="588"/>
      <c r="K508" s="588"/>
      <c r="P508" s="339"/>
      <c r="Q508" s="368"/>
      <c r="R508" s="368"/>
      <c r="S508" s="369" t="s">
        <v>29</v>
      </c>
      <c r="T508" s="588"/>
      <c r="U508" s="588"/>
      <c r="V508" s="588"/>
      <c r="W508" s="588"/>
    </row>
    <row r="509" spans="1:25" ht="18" customHeight="1" x14ac:dyDescent="0.2">
      <c r="A509" s="337"/>
      <c r="B509" s="337"/>
      <c r="C509" s="345"/>
      <c r="D509" s="337"/>
      <c r="E509" s="337"/>
      <c r="F509" s="337"/>
      <c r="G509" s="337"/>
      <c r="H509" s="337"/>
      <c r="I509" s="337"/>
      <c r="J509" s="337"/>
      <c r="K509" s="337"/>
      <c r="L509" s="337"/>
      <c r="M509" s="337"/>
      <c r="N509" s="337"/>
      <c r="O509" s="337"/>
    </row>
    <row r="510" spans="1:25" ht="18" customHeight="1" x14ac:dyDescent="0.2">
      <c r="A510" s="337"/>
      <c r="B510" s="337"/>
      <c r="C510" s="345"/>
      <c r="D510" s="337"/>
      <c r="E510" s="337"/>
      <c r="F510" s="337"/>
      <c r="G510" s="337"/>
      <c r="H510" s="337"/>
      <c r="I510" s="337"/>
      <c r="J510" s="337"/>
      <c r="K510" s="337"/>
      <c r="L510" s="337"/>
      <c r="M510" s="337"/>
      <c r="N510" s="337"/>
      <c r="O510" s="337"/>
    </row>
    <row r="511" spans="1:25" ht="35.25" customHeight="1" x14ac:dyDescent="0.2">
      <c r="A511" s="337"/>
      <c r="B511" s="337"/>
      <c r="C511" s="341" t="s">
        <v>398</v>
      </c>
      <c r="D511" s="695" t="s">
        <v>407</v>
      </c>
      <c r="E511" s="696"/>
      <c r="F511" s="696"/>
      <c r="G511" s="696"/>
      <c r="H511" s="696"/>
      <c r="I511" s="696"/>
      <c r="J511" s="696"/>
      <c r="K511" s="696"/>
      <c r="L511" s="696"/>
      <c r="M511" s="696"/>
      <c r="N511" s="696"/>
      <c r="O511" s="696"/>
      <c r="P511" s="696"/>
      <c r="Q511" s="696"/>
      <c r="R511" s="696"/>
      <c r="S511" s="696"/>
      <c r="T511" s="696"/>
      <c r="U511" s="696"/>
      <c r="V511" s="696"/>
      <c r="W511" s="696"/>
      <c r="X511" s="696"/>
      <c r="Y511" s="697"/>
    </row>
    <row r="512" spans="1:25" ht="18" customHeight="1" x14ac:dyDescent="0.2">
      <c r="A512" s="337"/>
      <c r="B512" s="337"/>
      <c r="C512" s="517"/>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row>
    <row r="513" spans="1:25" ht="18" customHeight="1" x14ac:dyDescent="0.2">
      <c r="A513" s="337"/>
      <c r="B513" s="337"/>
      <c r="C513" s="581" t="s">
        <v>315</v>
      </c>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row>
    <row r="514" spans="1:25" ht="18" customHeight="1" x14ac:dyDescent="0.2">
      <c r="A514" s="337"/>
      <c r="B514" s="337"/>
      <c r="C514" s="536"/>
      <c r="D514" s="537"/>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1:25" s="347" customFormat="1" ht="18" customHeight="1" x14ac:dyDescent="0.2">
      <c r="C515" s="345"/>
      <c r="D515" s="520"/>
      <c r="E515" s="352"/>
      <c r="F515" s="352"/>
      <c r="G515" s="352"/>
      <c r="H515" s="352"/>
      <c r="I515" s="352"/>
      <c r="J515" s="352"/>
      <c r="K515" s="352"/>
      <c r="L515" s="352"/>
      <c r="M515" s="352"/>
      <c r="N515" s="352"/>
      <c r="O515" s="352"/>
      <c r="P515" s="352"/>
      <c r="Q515" s="352"/>
      <c r="R515" s="352"/>
      <c r="S515" s="352"/>
      <c r="T515" s="352"/>
      <c r="U515" s="352"/>
      <c r="V515" s="352"/>
      <c r="W515" s="352"/>
      <c r="X515" s="352"/>
      <c r="Y515" s="352"/>
    </row>
    <row r="516" spans="1:25" s="347" customFormat="1" ht="18" customHeight="1" x14ac:dyDescent="0.2">
      <c r="C516" s="345"/>
      <c r="D516" s="520"/>
      <c r="E516" s="352"/>
      <c r="F516" s="352"/>
      <c r="G516" s="352"/>
      <c r="H516" s="352"/>
      <c r="I516" s="352"/>
      <c r="J516" s="352"/>
      <c r="K516" s="352"/>
      <c r="L516" s="352"/>
      <c r="M516" s="352"/>
      <c r="N516" s="352"/>
      <c r="O516" s="352"/>
      <c r="P516" s="352"/>
      <c r="Q516" s="352"/>
      <c r="R516" s="352"/>
      <c r="S516" s="352"/>
      <c r="T516" s="352"/>
      <c r="U516" s="352"/>
      <c r="V516" s="352"/>
      <c r="W516" s="352"/>
      <c r="X516" s="352"/>
      <c r="Y516" s="352"/>
    </row>
    <row r="517" spans="1:25" ht="33.75" customHeight="1" x14ac:dyDescent="0.2">
      <c r="A517" s="337"/>
      <c r="B517" s="337"/>
      <c r="C517" s="341" t="s">
        <v>397</v>
      </c>
      <c r="D517" s="695" t="s">
        <v>408</v>
      </c>
      <c r="E517" s="696"/>
      <c r="F517" s="696"/>
      <c r="G517" s="696"/>
      <c r="H517" s="696"/>
      <c r="I517" s="696"/>
      <c r="J517" s="696"/>
      <c r="K517" s="696"/>
      <c r="L517" s="696"/>
      <c r="M517" s="696"/>
      <c r="N517" s="696"/>
      <c r="O517" s="696"/>
      <c r="P517" s="696"/>
      <c r="Q517" s="696"/>
      <c r="R517" s="696"/>
      <c r="S517" s="696"/>
      <c r="T517" s="696"/>
      <c r="U517" s="696"/>
      <c r="V517" s="696"/>
      <c r="W517" s="696"/>
      <c r="X517" s="696"/>
      <c r="Y517" s="697"/>
    </row>
    <row r="518" spans="1:25" ht="18" customHeight="1" x14ac:dyDescent="0.2">
      <c r="A518" s="337"/>
      <c r="B518" s="337"/>
      <c r="C518" s="660" t="s">
        <v>116</v>
      </c>
      <c r="D518" s="660"/>
      <c r="E518" s="660"/>
      <c r="F518" s="660"/>
      <c r="G518" s="660"/>
      <c r="H518" s="660"/>
      <c r="I518" s="660"/>
      <c r="J518" s="660"/>
      <c r="K518" s="660"/>
      <c r="L518" s="660"/>
      <c r="M518" s="660"/>
      <c r="N518" s="660"/>
      <c r="O518" s="660"/>
      <c r="P518" s="660"/>
      <c r="Q518" s="660"/>
      <c r="R518" s="660"/>
      <c r="S518" s="660"/>
      <c r="T518" s="660"/>
      <c r="U518" s="660"/>
      <c r="V518" s="660"/>
      <c r="W518" s="660"/>
      <c r="X518" s="660"/>
      <c r="Y518" s="660"/>
    </row>
    <row r="519" spans="1:25" ht="18" customHeight="1" x14ac:dyDescent="0.2">
      <c r="A519" s="337"/>
      <c r="B519" s="337"/>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row>
    <row r="520" spans="1:25" ht="18" customHeight="1" x14ac:dyDescent="0.2">
      <c r="A520" s="337"/>
      <c r="B520" s="337"/>
      <c r="C520" s="516"/>
      <c r="D520" s="516"/>
      <c r="E520" s="516"/>
      <c r="F520" s="516"/>
      <c r="G520" s="516"/>
      <c r="H520" s="516"/>
      <c r="I520" s="516"/>
      <c r="J520" s="516"/>
      <c r="K520" s="516"/>
      <c r="L520" s="516"/>
      <c r="M520" s="516"/>
      <c r="N520" s="516"/>
      <c r="O520" s="516"/>
      <c r="P520" s="516"/>
      <c r="Q520" s="516"/>
      <c r="R520" s="516"/>
      <c r="S520" s="516"/>
      <c r="T520" s="516"/>
      <c r="U520" s="516"/>
      <c r="V520" s="516"/>
      <c r="W520" s="516"/>
      <c r="X520" s="516"/>
      <c r="Y520" s="516"/>
    </row>
    <row r="521" spans="1:25" ht="18" customHeight="1" x14ac:dyDescent="0.2">
      <c r="A521" s="337"/>
      <c r="B521" s="337"/>
      <c r="C521" s="581" t="s">
        <v>316</v>
      </c>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row>
    <row r="522" spans="1:25" ht="18" customHeight="1" x14ac:dyDescent="0.2">
      <c r="A522" s="337"/>
      <c r="B522" s="337"/>
      <c r="C522" s="354" t="s">
        <v>234</v>
      </c>
      <c r="D522" s="354"/>
      <c r="E522" s="337"/>
      <c r="H522" s="368"/>
      <c r="I522" s="353" t="s">
        <v>28</v>
      </c>
      <c r="J522" s="588"/>
      <c r="K522" s="588"/>
      <c r="P522" s="339"/>
      <c r="Q522" s="368"/>
      <c r="R522" s="368"/>
      <c r="S522" s="369" t="s">
        <v>29</v>
      </c>
      <c r="T522" s="588"/>
      <c r="U522" s="588"/>
      <c r="V522" s="588"/>
      <c r="W522" s="588"/>
    </row>
    <row r="523" spans="1:25" ht="18" customHeight="1" x14ac:dyDescent="0.2">
      <c r="A523" s="337"/>
      <c r="B523" s="337"/>
      <c r="C523" s="345"/>
      <c r="D523" s="337"/>
    </row>
    <row r="524" spans="1:25" ht="18" customHeight="1" x14ac:dyDescent="0.2">
      <c r="A524" s="337"/>
      <c r="B524" s="337"/>
      <c r="C524" s="345"/>
      <c r="D524" s="337"/>
    </row>
    <row r="525" spans="1:25" ht="18" customHeight="1" x14ac:dyDescent="0.2">
      <c r="A525" s="337"/>
      <c r="B525" s="337"/>
      <c r="C525" s="581" t="s">
        <v>317</v>
      </c>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row>
    <row r="526" spans="1:25" ht="18" customHeight="1" x14ac:dyDescent="0.2">
      <c r="A526" s="337"/>
      <c r="B526" s="337"/>
      <c r="C526" s="536"/>
      <c r="D526" s="537"/>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1:25" ht="18" customHeight="1" x14ac:dyDescent="0.2">
      <c r="A527" s="337"/>
      <c r="B527" s="337"/>
      <c r="C527" s="345"/>
      <c r="D527" s="337"/>
    </row>
    <row r="528" spans="1:25" ht="18" customHeight="1" x14ac:dyDescent="0.2">
      <c r="A528" s="337"/>
      <c r="B528" s="337"/>
      <c r="C528" s="345"/>
      <c r="D528" s="337"/>
    </row>
    <row r="529" spans="1:25" ht="35.25" customHeight="1" x14ac:dyDescent="0.2">
      <c r="A529" s="337"/>
      <c r="B529" s="337"/>
      <c r="C529" s="341" t="s">
        <v>396</v>
      </c>
      <c r="D529" s="695" t="s">
        <v>748</v>
      </c>
      <c r="E529" s="696"/>
      <c r="F529" s="696"/>
      <c r="G529" s="696"/>
      <c r="H529" s="696"/>
      <c r="I529" s="696"/>
      <c r="J529" s="696"/>
      <c r="K529" s="696"/>
      <c r="L529" s="696"/>
      <c r="M529" s="696"/>
      <c r="N529" s="696"/>
      <c r="O529" s="696"/>
      <c r="P529" s="696"/>
      <c r="Q529" s="696"/>
      <c r="R529" s="696"/>
      <c r="S529" s="696"/>
      <c r="T529" s="696"/>
      <c r="U529" s="696"/>
      <c r="V529" s="696"/>
      <c r="W529" s="696"/>
      <c r="X529" s="696"/>
      <c r="Y529" s="697"/>
    </row>
    <row r="530" spans="1:25" ht="18" customHeight="1" x14ac:dyDescent="0.2">
      <c r="A530" s="337"/>
      <c r="B530" s="337"/>
      <c r="C530" s="517"/>
      <c r="D530" s="517"/>
      <c r="E530" s="517"/>
      <c r="F530" s="517"/>
      <c r="G530" s="517"/>
      <c r="H530" s="517"/>
      <c r="I530" s="517"/>
      <c r="J530" s="517"/>
      <c r="K530" s="517"/>
      <c r="L530" s="517"/>
      <c r="M530" s="517"/>
      <c r="N530" s="517"/>
      <c r="O530" s="517"/>
      <c r="P530" s="517"/>
      <c r="Q530" s="517"/>
      <c r="R530" s="517"/>
      <c r="S530" s="517"/>
      <c r="T530" s="517"/>
      <c r="U530" s="517"/>
      <c r="V530" s="517"/>
      <c r="W530" s="517"/>
      <c r="X530" s="517"/>
      <c r="Y530" s="517"/>
    </row>
    <row r="531" spans="1:25" ht="18" customHeight="1" x14ac:dyDescent="0.2">
      <c r="A531" s="337"/>
      <c r="B531" s="337"/>
      <c r="C531" s="583" t="s">
        <v>318</v>
      </c>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row>
    <row r="532" spans="1:25" ht="18" customHeight="1" x14ac:dyDescent="0.2">
      <c r="A532" s="337"/>
      <c r="B532" s="337"/>
      <c r="C532" s="592"/>
      <c r="D532" s="592"/>
      <c r="E532" s="592"/>
      <c r="F532" s="592"/>
      <c r="G532" s="592"/>
      <c r="H532" s="592"/>
      <c r="I532" s="592"/>
      <c r="J532" s="592"/>
      <c r="K532" s="592"/>
      <c r="L532" s="592"/>
      <c r="M532" s="592"/>
      <c r="N532" s="592"/>
      <c r="O532" s="592"/>
      <c r="P532" s="592"/>
      <c r="Q532" s="592"/>
      <c r="R532" s="592"/>
      <c r="S532" s="592"/>
      <c r="T532" s="592"/>
      <c r="U532" s="592"/>
      <c r="V532" s="592"/>
      <c r="W532" s="592"/>
      <c r="X532" s="592"/>
      <c r="Y532" s="592"/>
    </row>
    <row r="533" spans="1:25" ht="18" customHeight="1" x14ac:dyDescent="0.2">
      <c r="A533" s="337"/>
      <c r="B533" s="337"/>
      <c r="C533" s="652" t="s">
        <v>749</v>
      </c>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row>
    <row r="534" spans="1:25" ht="18" customHeight="1" x14ac:dyDescent="0.2">
      <c r="A534" s="337"/>
      <c r="B534" s="337"/>
      <c r="C534" s="645"/>
      <c r="D534" s="646"/>
      <c r="E534" s="646"/>
      <c r="F534" s="646"/>
      <c r="G534" s="646"/>
      <c r="H534" s="646"/>
      <c r="I534" s="646"/>
      <c r="J534" s="646"/>
      <c r="K534" s="646"/>
      <c r="L534" s="646"/>
      <c r="M534" s="646"/>
      <c r="N534" s="646"/>
      <c r="O534" s="646"/>
      <c r="P534" s="646"/>
      <c r="Q534" s="646"/>
      <c r="R534" s="646"/>
      <c r="S534" s="646"/>
      <c r="T534" s="646"/>
      <c r="U534" s="646"/>
      <c r="V534" s="646"/>
      <c r="W534" s="646"/>
      <c r="X534" s="646"/>
      <c r="Y534" s="647"/>
    </row>
    <row r="535" spans="1:25" ht="18" customHeight="1" x14ac:dyDescent="0.2">
      <c r="A535" s="337"/>
      <c r="B535" s="337"/>
      <c r="C535" s="648"/>
      <c r="D535" s="649"/>
      <c r="E535" s="649"/>
      <c r="F535" s="649"/>
      <c r="G535" s="649"/>
      <c r="H535" s="649"/>
      <c r="I535" s="649"/>
      <c r="J535" s="649"/>
      <c r="K535" s="649"/>
      <c r="L535" s="649"/>
      <c r="M535" s="649"/>
      <c r="N535" s="649"/>
      <c r="O535" s="649"/>
      <c r="P535" s="649"/>
      <c r="Q535" s="649"/>
      <c r="R535" s="649"/>
      <c r="S535" s="649"/>
      <c r="T535" s="649"/>
      <c r="U535" s="649"/>
      <c r="V535" s="649"/>
      <c r="W535" s="649"/>
      <c r="X535" s="649"/>
      <c r="Y535" s="650"/>
    </row>
    <row r="536" spans="1:25" ht="18" customHeight="1" x14ac:dyDescent="0.2">
      <c r="A536" s="337"/>
      <c r="B536" s="337"/>
      <c r="C536" s="652" t="s">
        <v>752</v>
      </c>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row>
    <row r="537" spans="1:25" ht="18" customHeight="1" x14ac:dyDescent="0.2">
      <c r="A537" s="337"/>
      <c r="B537" s="337"/>
      <c r="C537" s="645"/>
      <c r="D537" s="646"/>
      <c r="E537" s="646"/>
      <c r="F537" s="646"/>
      <c r="G537" s="646"/>
      <c r="H537" s="646"/>
      <c r="I537" s="646"/>
      <c r="J537" s="646"/>
      <c r="K537" s="646"/>
      <c r="L537" s="646"/>
      <c r="M537" s="646"/>
      <c r="N537" s="646"/>
      <c r="O537" s="646"/>
      <c r="P537" s="646"/>
      <c r="Q537" s="646"/>
      <c r="R537" s="646"/>
      <c r="S537" s="646"/>
      <c r="T537" s="646"/>
      <c r="U537" s="646"/>
      <c r="V537" s="646"/>
      <c r="W537" s="646"/>
      <c r="X537" s="646"/>
      <c r="Y537" s="647"/>
    </row>
    <row r="538" spans="1:25" ht="18" customHeight="1" x14ac:dyDescent="0.2">
      <c r="A538" s="337"/>
      <c r="B538" s="337"/>
      <c r="C538" s="648"/>
      <c r="D538" s="649"/>
      <c r="E538" s="649"/>
      <c r="F538" s="649"/>
      <c r="G538" s="649"/>
      <c r="H538" s="649"/>
      <c r="I538" s="649"/>
      <c r="J538" s="649"/>
      <c r="K538" s="649"/>
      <c r="L538" s="649"/>
      <c r="M538" s="649"/>
      <c r="N538" s="649"/>
      <c r="O538" s="649"/>
      <c r="P538" s="649"/>
      <c r="Q538" s="649"/>
      <c r="R538" s="649"/>
      <c r="S538" s="649"/>
      <c r="T538" s="649"/>
      <c r="U538" s="649"/>
      <c r="V538" s="649"/>
      <c r="W538" s="649"/>
      <c r="X538" s="649"/>
      <c r="Y538" s="650"/>
    </row>
    <row r="539" spans="1:25" ht="18" customHeight="1" x14ac:dyDescent="0.2">
      <c r="A539" s="337"/>
      <c r="B539" s="337"/>
      <c r="C539" s="652" t="s">
        <v>264</v>
      </c>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row>
    <row r="540" spans="1:25" ht="18" customHeight="1" x14ac:dyDescent="0.2">
      <c r="A540" s="337"/>
      <c r="B540" s="337"/>
      <c r="C540" s="645"/>
      <c r="D540" s="646"/>
      <c r="E540" s="646"/>
      <c r="F540" s="646"/>
      <c r="G540" s="646"/>
      <c r="H540" s="646"/>
      <c r="I540" s="646"/>
      <c r="J540" s="646"/>
      <c r="K540" s="646"/>
      <c r="L540" s="646"/>
      <c r="M540" s="646"/>
      <c r="N540" s="646"/>
      <c r="O540" s="646"/>
      <c r="P540" s="646"/>
      <c r="Q540" s="646"/>
      <c r="R540" s="646"/>
      <c r="S540" s="646"/>
      <c r="T540" s="646"/>
      <c r="U540" s="646"/>
      <c r="V540" s="646"/>
      <c r="W540" s="646"/>
      <c r="X540" s="646"/>
      <c r="Y540" s="647"/>
    </row>
    <row r="541" spans="1:25" ht="18" customHeight="1" x14ac:dyDescent="0.2">
      <c r="A541" s="337"/>
      <c r="B541" s="337"/>
      <c r="C541" s="648"/>
      <c r="D541" s="649"/>
      <c r="E541" s="649"/>
      <c r="F541" s="649"/>
      <c r="G541" s="649"/>
      <c r="H541" s="649"/>
      <c r="I541" s="649"/>
      <c r="J541" s="649"/>
      <c r="K541" s="649"/>
      <c r="L541" s="649"/>
      <c r="M541" s="649"/>
      <c r="N541" s="649"/>
      <c r="O541" s="649"/>
      <c r="P541" s="649"/>
      <c r="Q541" s="649"/>
      <c r="R541" s="649"/>
      <c r="S541" s="649"/>
      <c r="T541" s="649"/>
      <c r="U541" s="649"/>
      <c r="V541" s="649"/>
      <c r="W541" s="649"/>
      <c r="X541" s="649"/>
      <c r="Y541" s="650"/>
    </row>
    <row r="542" spans="1:25" ht="18" customHeight="1" x14ac:dyDescent="0.2">
      <c r="A542" s="337"/>
      <c r="B542" s="337"/>
      <c r="C542" s="651" t="s">
        <v>750</v>
      </c>
      <c r="D542" s="651"/>
      <c r="E542" s="651"/>
      <c r="F542" s="651"/>
      <c r="G542" s="651"/>
      <c r="H542" s="651"/>
      <c r="I542" s="651"/>
      <c r="J542" s="651"/>
      <c r="K542" s="651"/>
      <c r="L542" s="651"/>
      <c r="M542" s="651"/>
      <c r="N542" s="651"/>
      <c r="O542" s="651"/>
      <c r="P542" s="651"/>
      <c r="Q542" s="651"/>
      <c r="R542" s="651"/>
      <c r="S542" s="651"/>
      <c r="T542" s="651"/>
      <c r="U542" s="651"/>
      <c r="V542" s="651"/>
      <c r="W542" s="651"/>
      <c r="X542" s="651"/>
      <c r="Y542" s="651"/>
    </row>
    <row r="543" spans="1:25" ht="18" customHeight="1" x14ac:dyDescent="0.2">
      <c r="A543" s="337"/>
      <c r="B543" s="337"/>
      <c r="C543" s="645"/>
      <c r="D543" s="646"/>
      <c r="E543" s="646"/>
      <c r="F543" s="646"/>
      <c r="G543" s="646"/>
      <c r="H543" s="646"/>
      <c r="I543" s="646"/>
      <c r="J543" s="646"/>
      <c r="K543" s="646"/>
      <c r="L543" s="646"/>
      <c r="M543" s="646"/>
      <c r="N543" s="646"/>
      <c r="O543" s="646"/>
      <c r="P543" s="646"/>
      <c r="Q543" s="646"/>
      <c r="R543" s="646"/>
      <c r="S543" s="646"/>
      <c r="T543" s="646"/>
      <c r="U543" s="646"/>
      <c r="V543" s="646"/>
      <c r="W543" s="646"/>
      <c r="X543" s="646"/>
      <c r="Y543" s="647"/>
    </row>
    <row r="544" spans="1:25" ht="18" customHeight="1" x14ac:dyDescent="0.2">
      <c r="A544" s="337"/>
      <c r="B544" s="337"/>
      <c r="C544" s="648"/>
      <c r="D544" s="649"/>
      <c r="E544" s="649"/>
      <c r="F544" s="649"/>
      <c r="G544" s="649"/>
      <c r="H544" s="649"/>
      <c r="I544" s="649"/>
      <c r="J544" s="649"/>
      <c r="K544" s="649"/>
      <c r="L544" s="649"/>
      <c r="M544" s="649"/>
      <c r="N544" s="649"/>
      <c r="O544" s="649"/>
      <c r="P544" s="649"/>
      <c r="Q544" s="649"/>
      <c r="R544" s="649"/>
      <c r="S544" s="649"/>
      <c r="T544" s="649"/>
      <c r="U544" s="649"/>
      <c r="V544" s="649"/>
      <c r="W544" s="649"/>
      <c r="X544" s="649"/>
      <c r="Y544" s="650"/>
    </row>
    <row r="545" spans="1:25" ht="18" customHeight="1" x14ac:dyDescent="0.2">
      <c r="A545" s="337"/>
      <c r="B545" s="337"/>
      <c r="C545" s="651" t="s">
        <v>263</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row>
    <row r="546" spans="1:25" ht="18" customHeight="1" x14ac:dyDescent="0.2">
      <c r="A546" s="337"/>
      <c r="B546" s="337"/>
      <c r="C546" s="645"/>
      <c r="D546" s="646"/>
      <c r="E546" s="646"/>
      <c r="F546" s="646"/>
      <c r="G546" s="646"/>
      <c r="H546" s="646"/>
      <c r="I546" s="646"/>
      <c r="J546" s="646"/>
      <c r="K546" s="646"/>
      <c r="L546" s="646"/>
      <c r="M546" s="646"/>
      <c r="N546" s="646"/>
      <c r="O546" s="646"/>
      <c r="P546" s="646"/>
      <c r="Q546" s="646"/>
      <c r="R546" s="646"/>
      <c r="S546" s="646"/>
      <c r="T546" s="646"/>
      <c r="U546" s="646"/>
      <c r="V546" s="646"/>
      <c r="W546" s="646"/>
      <c r="X546" s="646"/>
      <c r="Y546" s="647"/>
    </row>
    <row r="547" spans="1:25" ht="18" customHeight="1" x14ac:dyDescent="0.2">
      <c r="A547" s="337"/>
      <c r="B547" s="337"/>
      <c r="C547" s="648"/>
      <c r="D547" s="649"/>
      <c r="E547" s="649"/>
      <c r="F547" s="649"/>
      <c r="G547" s="649"/>
      <c r="H547" s="649"/>
      <c r="I547" s="649"/>
      <c r="J547" s="649"/>
      <c r="K547" s="649"/>
      <c r="L547" s="649"/>
      <c r="M547" s="649"/>
      <c r="N547" s="649"/>
      <c r="O547" s="649"/>
      <c r="P547" s="649"/>
      <c r="Q547" s="649"/>
      <c r="R547" s="649"/>
      <c r="S547" s="649"/>
      <c r="T547" s="649"/>
      <c r="U547" s="649"/>
      <c r="V547" s="649"/>
      <c r="W547" s="649"/>
      <c r="X547" s="649"/>
      <c r="Y547" s="650"/>
    </row>
    <row r="548" spans="1:25" ht="18" customHeight="1" x14ac:dyDescent="0.2">
      <c r="A548" s="337"/>
      <c r="B548" s="337"/>
      <c r="C548" s="337"/>
      <c r="D548" s="337"/>
      <c r="E548" s="337"/>
      <c r="F548" s="337"/>
      <c r="G548" s="337"/>
      <c r="H548" s="337"/>
      <c r="I548" s="337"/>
      <c r="J548" s="337"/>
      <c r="K548" s="337"/>
      <c r="L548" s="337"/>
      <c r="M548" s="337"/>
      <c r="N548" s="337"/>
      <c r="O548" s="337"/>
    </row>
    <row r="549" spans="1:25" ht="18" customHeight="1" x14ac:dyDescent="0.2">
      <c r="A549" s="337"/>
      <c r="B549" s="337"/>
      <c r="C549" s="337"/>
      <c r="D549" s="337"/>
      <c r="E549" s="337"/>
      <c r="F549" s="337"/>
      <c r="G549" s="337"/>
      <c r="H549" s="337"/>
      <c r="I549" s="337"/>
      <c r="J549" s="337"/>
      <c r="K549" s="337"/>
      <c r="L549" s="337"/>
      <c r="M549" s="337"/>
      <c r="N549" s="337"/>
      <c r="O549" s="337"/>
    </row>
    <row r="550" spans="1:25" ht="18" customHeight="1" x14ac:dyDescent="0.2">
      <c r="A550" s="337"/>
      <c r="B550" s="337"/>
      <c r="C550" s="583" t="s">
        <v>751</v>
      </c>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row>
    <row r="551" spans="1:25" ht="18" customHeight="1" x14ac:dyDescent="0.2">
      <c r="A551" s="337"/>
      <c r="B551" s="337"/>
      <c r="C551" s="583"/>
      <c r="D551" s="583"/>
      <c r="E551" s="583"/>
      <c r="F551" s="583"/>
      <c r="G551" s="583"/>
      <c r="H551" s="583"/>
      <c r="I551" s="583"/>
      <c r="J551" s="583"/>
      <c r="K551" s="583"/>
      <c r="L551" s="583"/>
      <c r="M551" s="583"/>
      <c r="N551" s="583"/>
      <c r="O551" s="583"/>
      <c r="P551" s="583"/>
      <c r="Q551" s="583"/>
      <c r="R551" s="583"/>
      <c r="S551" s="583"/>
      <c r="T551" s="583"/>
      <c r="U551" s="583"/>
      <c r="V551" s="583"/>
      <c r="W551" s="583"/>
      <c r="X551" s="583"/>
      <c r="Y551" s="583"/>
    </row>
    <row r="552" spans="1:25" ht="18" customHeight="1" x14ac:dyDescent="0.2">
      <c r="A552" s="337"/>
      <c r="B552" s="337"/>
      <c r="C552" s="654"/>
      <c r="D552" s="655"/>
      <c r="E552" s="655"/>
      <c r="F552" s="655"/>
      <c r="G552" s="655"/>
      <c r="H552" s="655"/>
      <c r="I552" s="655"/>
      <c r="J552" s="655"/>
      <c r="K552" s="655"/>
      <c r="L552" s="655"/>
      <c r="M552" s="655"/>
      <c r="N552" s="655"/>
      <c r="O552" s="655"/>
      <c r="P552" s="655"/>
      <c r="Q552" s="655"/>
      <c r="R552" s="655"/>
      <c r="S552" s="655"/>
      <c r="T552" s="655"/>
      <c r="U552" s="655"/>
      <c r="V552" s="655"/>
      <c r="W552" s="655"/>
      <c r="X552" s="655"/>
      <c r="Y552" s="656"/>
    </row>
    <row r="553" spans="1:25" ht="18" customHeight="1" x14ac:dyDescent="0.2">
      <c r="A553" s="337"/>
      <c r="B553" s="337"/>
      <c r="C553" s="657"/>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9"/>
    </row>
    <row r="554" spans="1:25" ht="18" customHeight="1" x14ac:dyDescent="0.2">
      <c r="A554" s="337"/>
      <c r="B554" s="337"/>
      <c r="C554" s="337"/>
      <c r="D554" s="337"/>
      <c r="E554" s="337"/>
      <c r="F554" s="337"/>
      <c r="G554" s="337"/>
      <c r="H554" s="337"/>
      <c r="I554" s="337"/>
      <c r="J554" s="337"/>
      <c r="K554" s="337"/>
      <c r="L554" s="337"/>
      <c r="M554" s="337"/>
      <c r="N554" s="337"/>
      <c r="O554" s="337"/>
    </row>
    <row r="555" spans="1:25" ht="18" customHeight="1" x14ac:dyDescent="0.2">
      <c r="A555" s="337"/>
      <c r="B555" s="337"/>
      <c r="C555" s="337"/>
      <c r="D555" s="337"/>
      <c r="E555" s="337"/>
      <c r="F555" s="337"/>
      <c r="G555" s="337"/>
      <c r="H555" s="337"/>
      <c r="I555" s="337"/>
      <c r="J555" s="337"/>
      <c r="K555" s="337"/>
      <c r="L555" s="337"/>
      <c r="M555" s="337"/>
      <c r="N555" s="337"/>
      <c r="O555" s="337"/>
    </row>
    <row r="556" spans="1:25" ht="18" customHeight="1" x14ac:dyDescent="0.2">
      <c r="A556" s="337"/>
      <c r="B556" s="337"/>
      <c r="C556" s="583" t="s">
        <v>319</v>
      </c>
      <c r="D556" s="583"/>
      <c r="E556" s="583"/>
      <c r="F556" s="583"/>
      <c r="G556" s="583"/>
      <c r="H556" s="583"/>
      <c r="I556" s="583"/>
      <c r="J556" s="583"/>
      <c r="K556" s="583"/>
      <c r="L556" s="583"/>
      <c r="M556" s="583"/>
      <c r="N556" s="583"/>
      <c r="O556" s="583"/>
      <c r="P556" s="583"/>
      <c r="Q556" s="583"/>
      <c r="R556" s="583"/>
      <c r="S556" s="583"/>
      <c r="T556" s="583"/>
      <c r="U556" s="583"/>
      <c r="V556" s="583"/>
      <c r="W556" s="583"/>
      <c r="X556" s="583"/>
      <c r="Y556" s="583"/>
    </row>
    <row r="557" spans="1:25" ht="18" customHeight="1" x14ac:dyDescent="0.2">
      <c r="A557" s="337"/>
      <c r="B557" s="337"/>
      <c r="C557" s="592"/>
      <c r="D557" s="592"/>
      <c r="E557" s="592"/>
      <c r="F557" s="592"/>
      <c r="G557" s="592"/>
      <c r="H557" s="592"/>
      <c r="I557" s="592"/>
      <c r="J557" s="592"/>
      <c r="K557" s="592"/>
      <c r="L557" s="592"/>
      <c r="M557" s="592"/>
      <c r="N557" s="592"/>
      <c r="O557" s="592"/>
      <c r="P557" s="592"/>
      <c r="Q557" s="592"/>
      <c r="R557" s="592"/>
      <c r="S557" s="592"/>
      <c r="T557" s="592"/>
      <c r="U557" s="592"/>
      <c r="V557" s="592"/>
      <c r="W557" s="592"/>
      <c r="X557" s="592"/>
      <c r="Y557" s="592"/>
    </row>
    <row r="558" spans="1:25" ht="18" customHeight="1" x14ac:dyDescent="0.2">
      <c r="A558" s="337"/>
      <c r="B558" s="337"/>
      <c r="C558" s="652" t="s">
        <v>749</v>
      </c>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row>
    <row r="559" spans="1:25" ht="18" customHeight="1" x14ac:dyDescent="0.2">
      <c r="A559" s="337"/>
      <c r="B559" s="337"/>
      <c r="C559" s="645"/>
      <c r="D559" s="646"/>
      <c r="E559" s="646"/>
      <c r="F559" s="646"/>
      <c r="G559" s="646"/>
      <c r="H559" s="646"/>
      <c r="I559" s="646"/>
      <c r="J559" s="646"/>
      <c r="K559" s="646"/>
      <c r="L559" s="646"/>
      <c r="M559" s="646"/>
      <c r="N559" s="646"/>
      <c r="O559" s="646"/>
      <c r="P559" s="646"/>
      <c r="Q559" s="646"/>
      <c r="R559" s="646"/>
      <c r="S559" s="646"/>
      <c r="T559" s="646"/>
      <c r="U559" s="646"/>
      <c r="V559" s="646"/>
      <c r="W559" s="646"/>
      <c r="X559" s="646"/>
      <c r="Y559" s="647"/>
    </row>
    <row r="560" spans="1:25" ht="18" customHeight="1" x14ac:dyDescent="0.2">
      <c r="A560" s="337"/>
      <c r="B560" s="337"/>
      <c r="C560" s="648"/>
      <c r="D560" s="649"/>
      <c r="E560" s="649"/>
      <c r="F560" s="649"/>
      <c r="G560" s="649"/>
      <c r="H560" s="649"/>
      <c r="I560" s="649"/>
      <c r="J560" s="649"/>
      <c r="K560" s="649"/>
      <c r="L560" s="649"/>
      <c r="M560" s="649"/>
      <c r="N560" s="649"/>
      <c r="O560" s="649"/>
      <c r="P560" s="649"/>
      <c r="Q560" s="649"/>
      <c r="R560" s="649"/>
      <c r="S560" s="649"/>
      <c r="T560" s="649"/>
      <c r="U560" s="649"/>
      <c r="V560" s="649"/>
      <c r="W560" s="649"/>
      <c r="X560" s="649"/>
      <c r="Y560" s="650"/>
    </row>
    <row r="561" spans="1:25" ht="18" customHeight="1" x14ac:dyDescent="0.2">
      <c r="A561" s="337"/>
      <c r="B561" s="337"/>
      <c r="C561" s="652" t="s">
        <v>752</v>
      </c>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row>
    <row r="562" spans="1:25" ht="18" customHeight="1" x14ac:dyDescent="0.2">
      <c r="A562" s="337"/>
      <c r="B562" s="337"/>
      <c r="C562" s="645"/>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7"/>
    </row>
    <row r="563" spans="1:25" ht="18" customHeight="1" x14ac:dyDescent="0.2">
      <c r="A563" s="337"/>
      <c r="B563" s="337"/>
      <c r="C563" s="648"/>
      <c r="D563" s="649"/>
      <c r="E563" s="649"/>
      <c r="F563" s="649"/>
      <c r="G563" s="649"/>
      <c r="H563" s="649"/>
      <c r="I563" s="649"/>
      <c r="J563" s="649"/>
      <c r="K563" s="649"/>
      <c r="L563" s="649"/>
      <c r="M563" s="649"/>
      <c r="N563" s="649"/>
      <c r="O563" s="649"/>
      <c r="P563" s="649"/>
      <c r="Q563" s="649"/>
      <c r="R563" s="649"/>
      <c r="S563" s="649"/>
      <c r="T563" s="649"/>
      <c r="U563" s="649"/>
      <c r="V563" s="649"/>
      <c r="W563" s="649"/>
      <c r="X563" s="649"/>
      <c r="Y563" s="650"/>
    </row>
    <row r="564" spans="1:25" ht="18" customHeight="1" x14ac:dyDescent="0.2">
      <c r="A564" s="337"/>
      <c r="B564" s="337"/>
      <c r="C564" s="653" t="s">
        <v>264</v>
      </c>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row>
    <row r="565" spans="1:25" ht="18" customHeight="1" x14ac:dyDescent="0.2">
      <c r="A565" s="337"/>
      <c r="B565" s="337"/>
      <c r="C565" s="645"/>
      <c r="D565" s="646"/>
      <c r="E565" s="646"/>
      <c r="F565" s="646"/>
      <c r="G565" s="646"/>
      <c r="H565" s="646"/>
      <c r="I565" s="646"/>
      <c r="J565" s="646"/>
      <c r="K565" s="646"/>
      <c r="L565" s="646"/>
      <c r="M565" s="646"/>
      <c r="N565" s="646"/>
      <c r="O565" s="646"/>
      <c r="P565" s="646"/>
      <c r="Q565" s="646"/>
      <c r="R565" s="646"/>
      <c r="S565" s="646"/>
      <c r="T565" s="646"/>
      <c r="U565" s="646"/>
      <c r="V565" s="646"/>
      <c r="W565" s="646"/>
      <c r="X565" s="646"/>
      <c r="Y565" s="647"/>
    </row>
    <row r="566" spans="1:25" ht="18" customHeight="1" x14ac:dyDescent="0.2">
      <c r="A566" s="337"/>
      <c r="B566" s="337"/>
      <c r="C566" s="648"/>
      <c r="D566" s="649"/>
      <c r="E566" s="649"/>
      <c r="F566" s="649"/>
      <c r="G566" s="649"/>
      <c r="H566" s="649"/>
      <c r="I566" s="649"/>
      <c r="J566" s="649"/>
      <c r="K566" s="649"/>
      <c r="L566" s="649"/>
      <c r="M566" s="649"/>
      <c r="N566" s="649"/>
      <c r="O566" s="649"/>
      <c r="P566" s="649"/>
      <c r="Q566" s="649"/>
      <c r="R566" s="649"/>
      <c r="S566" s="649"/>
      <c r="T566" s="649"/>
      <c r="U566" s="649"/>
      <c r="V566" s="649"/>
      <c r="W566" s="649"/>
      <c r="X566" s="649"/>
      <c r="Y566" s="650"/>
    </row>
    <row r="567" spans="1:25" ht="18" customHeight="1" x14ac:dyDescent="0.2">
      <c r="A567" s="337"/>
      <c r="B567" s="337"/>
      <c r="C567" s="651" t="s">
        <v>753</v>
      </c>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row>
    <row r="568" spans="1:25" ht="18" customHeight="1" x14ac:dyDescent="0.2">
      <c r="A568" s="337"/>
      <c r="B568" s="337"/>
      <c r="C568" s="645"/>
      <c r="D568" s="646"/>
      <c r="E568" s="646"/>
      <c r="F568" s="646"/>
      <c r="G568" s="646"/>
      <c r="H568" s="646"/>
      <c r="I568" s="646"/>
      <c r="J568" s="646"/>
      <c r="K568" s="646"/>
      <c r="L568" s="646"/>
      <c r="M568" s="646"/>
      <c r="N568" s="646"/>
      <c r="O568" s="646"/>
      <c r="P568" s="646"/>
      <c r="Q568" s="646"/>
      <c r="R568" s="646"/>
      <c r="S568" s="646"/>
      <c r="T568" s="646"/>
      <c r="U568" s="646"/>
      <c r="V568" s="646"/>
      <c r="W568" s="646"/>
      <c r="X568" s="646"/>
      <c r="Y568" s="647"/>
    </row>
    <row r="569" spans="1:25" ht="18" customHeight="1" x14ac:dyDescent="0.2">
      <c r="A569" s="337"/>
      <c r="B569" s="337"/>
      <c r="C569" s="648"/>
      <c r="D569" s="649"/>
      <c r="E569" s="649"/>
      <c r="F569" s="649"/>
      <c r="G569" s="649"/>
      <c r="H569" s="649"/>
      <c r="I569" s="649"/>
      <c r="J569" s="649"/>
      <c r="K569" s="649"/>
      <c r="L569" s="649"/>
      <c r="M569" s="649"/>
      <c r="N569" s="649"/>
      <c r="O569" s="649"/>
      <c r="P569" s="649"/>
      <c r="Q569" s="649"/>
      <c r="R569" s="649"/>
      <c r="S569" s="649"/>
      <c r="T569" s="649"/>
      <c r="U569" s="649"/>
      <c r="V569" s="649"/>
      <c r="W569" s="649"/>
      <c r="X569" s="649"/>
      <c r="Y569" s="650"/>
    </row>
    <row r="570" spans="1:25" ht="18" customHeight="1" x14ac:dyDescent="0.2">
      <c r="A570" s="337"/>
      <c r="B570" s="337"/>
      <c r="C570" s="337"/>
      <c r="D570" s="337"/>
      <c r="E570" s="337"/>
      <c r="F570" s="337"/>
      <c r="G570" s="337"/>
      <c r="H570" s="337"/>
      <c r="I570" s="337"/>
      <c r="J570" s="337"/>
      <c r="K570" s="337"/>
      <c r="L570" s="337"/>
      <c r="M570" s="337"/>
      <c r="N570" s="337"/>
      <c r="O570" s="337"/>
    </row>
    <row r="571" spans="1:25" ht="18" customHeight="1" x14ac:dyDescent="0.2">
      <c r="A571" s="337"/>
      <c r="B571" s="337"/>
      <c r="C571" s="337"/>
      <c r="D571" s="337"/>
      <c r="E571" s="337"/>
      <c r="F571" s="337"/>
      <c r="G571" s="337"/>
      <c r="H571" s="337"/>
      <c r="I571" s="337"/>
      <c r="J571" s="337"/>
      <c r="K571" s="337"/>
      <c r="L571" s="337"/>
      <c r="M571" s="337"/>
      <c r="N571" s="337"/>
      <c r="O571" s="337"/>
    </row>
    <row r="572" spans="1:25" ht="33.75" customHeight="1" x14ac:dyDescent="0.2">
      <c r="A572" s="337"/>
      <c r="B572" s="337"/>
      <c r="C572" s="341" t="s">
        <v>395</v>
      </c>
      <c r="D572" s="695" t="s">
        <v>754</v>
      </c>
      <c r="E572" s="696"/>
      <c r="F572" s="696"/>
      <c r="G572" s="696"/>
      <c r="H572" s="696"/>
      <c r="I572" s="696"/>
      <c r="J572" s="696"/>
      <c r="K572" s="696"/>
      <c r="L572" s="696"/>
      <c r="M572" s="696"/>
      <c r="N572" s="696"/>
      <c r="O572" s="696"/>
      <c r="P572" s="696"/>
      <c r="Q572" s="696"/>
      <c r="R572" s="696"/>
      <c r="S572" s="696"/>
      <c r="T572" s="696"/>
      <c r="U572" s="696"/>
      <c r="V572" s="696"/>
      <c r="W572" s="696"/>
      <c r="X572" s="696"/>
      <c r="Y572" s="697"/>
    </row>
    <row r="573" spans="1:25" ht="18" customHeight="1" x14ac:dyDescent="0.2">
      <c r="A573" s="337"/>
      <c r="B573" s="337"/>
      <c r="C573" s="517"/>
      <c r="D573" s="517"/>
      <c r="E573" s="517"/>
      <c r="F573" s="517"/>
      <c r="G573" s="517"/>
      <c r="H573" s="517"/>
      <c r="I573" s="517"/>
      <c r="J573" s="517"/>
      <c r="K573" s="517"/>
      <c r="L573" s="517"/>
      <c r="M573" s="517"/>
      <c r="N573" s="517"/>
      <c r="O573" s="517"/>
      <c r="P573" s="517"/>
      <c r="Q573" s="517"/>
      <c r="R573" s="517"/>
      <c r="S573" s="517"/>
      <c r="T573" s="517"/>
      <c r="U573" s="517"/>
      <c r="V573" s="517"/>
      <c r="W573" s="517"/>
      <c r="X573" s="517"/>
      <c r="Y573" s="517"/>
    </row>
    <row r="574" spans="1:25" ht="18" customHeight="1" x14ac:dyDescent="0.2">
      <c r="A574" s="337"/>
      <c r="B574" s="337"/>
      <c r="C574" s="583" t="s">
        <v>320</v>
      </c>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row>
    <row r="575" spans="1:25" ht="18" customHeight="1" x14ac:dyDescent="0.2">
      <c r="A575" s="337"/>
      <c r="B575" s="337"/>
      <c r="C575" s="583"/>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row>
    <row r="576" spans="1:25" ht="18" customHeight="1" x14ac:dyDescent="0.2">
      <c r="A576" s="337"/>
      <c r="B576" s="337"/>
      <c r="C576" s="645"/>
      <c r="D576" s="646"/>
      <c r="E576" s="646"/>
      <c r="F576" s="646"/>
      <c r="G576" s="646"/>
      <c r="H576" s="646"/>
      <c r="I576" s="646"/>
      <c r="J576" s="646"/>
      <c r="K576" s="646"/>
      <c r="L576" s="646"/>
      <c r="M576" s="646"/>
      <c r="N576" s="646"/>
      <c r="O576" s="646"/>
      <c r="P576" s="646"/>
      <c r="Q576" s="646"/>
      <c r="R576" s="646"/>
      <c r="S576" s="646"/>
      <c r="T576" s="646"/>
      <c r="U576" s="646"/>
      <c r="V576" s="646"/>
      <c r="W576" s="646"/>
      <c r="X576" s="646"/>
      <c r="Y576" s="647"/>
    </row>
    <row r="577" spans="1:25" ht="18" customHeight="1" x14ac:dyDescent="0.2">
      <c r="A577" s="337"/>
      <c r="B577" s="337"/>
      <c r="C577" s="648"/>
      <c r="D577" s="649"/>
      <c r="E577" s="649"/>
      <c r="F577" s="649"/>
      <c r="G577" s="649"/>
      <c r="H577" s="649"/>
      <c r="I577" s="649"/>
      <c r="J577" s="649"/>
      <c r="K577" s="649"/>
      <c r="L577" s="649"/>
      <c r="M577" s="649"/>
      <c r="N577" s="649"/>
      <c r="O577" s="649"/>
      <c r="P577" s="649"/>
      <c r="Q577" s="649"/>
      <c r="R577" s="649"/>
      <c r="S577" s="649"/>
      <c r="T577" s="649"/>
      <c r="U577" s="649"/>
      <c r="V577" s="649"/>
      <c r="W577" s="649"/>
      <c r="X577" s="649"/>
      <c r="Y577" s="650"/>
    </row>
    <row r="578" spans="1:25" ht="18" customHeight="1" x14ac:dyDescent="0.2">
      <c r="A578" s="337"/>
      <c r="B578" s="337"/>
      <c r="C578" s="345"/>
      <c r="D578" s="337"/>
      <c r="E578" s="337"/>
      <c r="F578" s="337"/>
      <c r="G578" s="337"/>
      <c r="H578" s="337"/>
      <c r="I578" s="337"/>
      <c r="J578" s="337"/>
      <c r="K578" s="337"/>
      <c r="L578" s="337"/>
      <c r="M578" s="337"/>
      <c r="N578" s="337"/>
      <c r="O578" s="337"/>
    </row>
    <row r="579" spans="1:25" ht="18" customHeight="1" x14ac:dyDescent="0.2">
      <c r="A579" s="337"/>
      <c r="B579" s="337"/>
      <c r="C579" s="345"/>
      <c r="D579" s="337"/>
      <c r="E579" s="337"/>
      <c r="F579" s="337"/>
      <c r="G579" s="337"/>
      <c r="H579" s="337"/>
      <c r="I579" s="337"/>
      <c r="J579" s="337"/>
      <c r="K579" s="337"/>
      <c r="L579" s="337"/>
      <c r="M579" s="337"/>
      <c r="N579" s="337"/>
      <c r="O579" s="337"/>
    </row>
    <row r="580" spans="1:25" ht="18" customHeight="1" x14ac:dyDescent="0.2">
      <c r="A580" s="337"/>
      <c r="B580" s="337"/>
      <c r="C580" s="583" t="s">
        <v>321</v>
      </c>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row>
    <row r="581" spans="1:25" ht="18" customHeight="1" x14ac:dyDescent="0.2">
      <c r="A581" s="337"/>
      <c r="B581" s="337"/>
      <c r="C581" s="583"/>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row>
    <row r="582" spans="1:25" ht="18" customHeight="1" x14ac:dyDescent="0.2">
      <c r="A582" s="337"/>
      <c r="B582" s="337"/>
      <c r="C582" s="645"/>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7"/>
    </row>
    <row r="583" spans="1:25" ht="18" customHeight="1" x14ac:dyDescent="0.2">
      <c r="A583" s="337"/>
      <c r="B583" s="337"/>
      <c r="C583" s="648"/>
      <c r="D583" s="649"/>
      <c r="E583" s="649"/>
      <c r="F583" s="649"/>
      <c r="G583" s="649"/>
      <c r="H583" s="649"/>
      <c r="I583" s="649"/>
      <c r="J583" s="649"/>
      <c r="K583" s="649"/>
      <c r="L583" s="649"/>
      <c r="M583" s="649"/>
      <c r="N583" s="649"/>
      <c r="O583" s="649"/>
      <c r="P583" s="649"/>
      <c r="Q583" s="649"/>
      <c r="R583" s="649"/>
      <c r="S583" s="649"/>
      <c r="T583" s="649"/>
      <c r="U583" s="649"/>
      <c r="V583" s="649"/>
      <c r="W583" s="649"/>
      <c r="X583" s="649"/>
      <c r="Y583" s="650"/>
    </row>
    <row r="584" spans="1:25" ht="18" customHeight="1" x14ac:dyDescent="0.2">
      <c r="A584" s="337"/>
      <c r="B584" s="337"/>
      <c r="C584" s="345"/>
      <c r="D584" s="337"/>
      <c r="E584" s="337"/>
      <c r="F584" s="337"/>
      <c r="G584" s="337"/>
      <c r="H584" s="337"/>
      <c r="I584" s="337"/>
      <c r="J584" s="337"/>
      <c r="K584" s="337"/>
      <c r="L584" s="337"/>
      <c r="M584" s="337"/>
      <c r="N584" s="337"/>
      <c r="O584" s="337"/>
    </row>
    <row r="585" spans="1:25" ht="18" customHeight="1" x14ac:dyDescent="0.2">
      <c r="A585" s="337"/>
      <c r="B585" s="337"/>
      <c r="C585" s="345"/>
      <c r="D585" s="337"/>
      <c r="E585" s="337"/>
      <c r="F585" s="337"/>
      <c r="G585" s="337"/>
      <c r="H585" s="337"/>
      <c r="I585" s="337"/>
      <c r="J585" s="337"/>
      <c r="K585" s="337"/>
      <c r="L585" s="337"/>
      <c r="M585" s="337"/>
      <c r="N585" s="337"/>
      <c r="O585" s="337"/>
    </row>
    <row r="586" spans="1:25" ht="18" customHeight="1" x14ac:dyDescent="0.2">
      <c r="A586" s="337"/>
      <c r="B586" s="337"/>
      <c r="C586" s="583" t="s">
        <v>322</v>
      </c>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row>
    <row r="587" spans="1:25" ht="18" customHeight="1" x14ac:dyDescent="0.2">
      <c r="A587" s="337"/>
      <c r="B587" s="337"/>
      <c r="C587" s="583"/>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row>
    <row r="588" spans="1:25" ht="18" customHeight="1" x14ac:dyDescent="0.2">
      <c r="A588" s="337"/>
      <c r="B588" s="337"/>
      <c r="C588" s="645"/>
      <c r="D588" s="646"/>
      <c r="E588" s="646"/>
      <c r="F588" s="646"/>
      <c r="G588" s="646"/>
      <c r="H588" s="646"/>
      <c r="I588" s="646"/>
      <c r="J588" s="646"/>
      <c r="K588" s="646"/>
      <c r="L588" s="646"/>
      <c r="M588" s="646"/>
      <c r="N588" s="646"/>
      <c r="O588" s="646"/>
      <c r="P588" s="646"/>
      <c r="Q588" s="646"/>
      <c r="R588" s="646"/>
      <c r="S588" s="646"/>
      <c r="T588" s="646"/>
      <c r="U588" s="646"/>
      <c r="V588" s="646"/>
      <c r="W588" s="646"/>
      <c r="X588" s="646"/>
      <c r="Y588" s="647"/>
    </row>
    <row r="589" spans="1:25" ht="18" customHeight="1" x14ac:dyDescent="0.2">
      <c r="A589" s="337"/>
      <c r="B589" s="337"/>
      <c r="C589" s="648"/>
      <c r="D589" s="649"/>
      <c r="E589" s="649"/>
      <c r="F589" s="649"/>
      <c r="G589" s="649"/>
      <c r="H589" s="649"/>
      <c r="I589" s="649"/>
      <c r="J589" s="649"/>
      <c r="K589" s="649"/>
      <c r="L589" s="649"/>
      <c r="M589" s="649"/>
      <c r="N589" s="649"/>
      <c r="O589" s="649"/>
      <c r="P589" s="649"/>
      <c r="Q589" s="649"/>
      <c r="R589" s="649"/>
      <c r="S589" s="649"/>
      <c r="T589" s="649"/>
      <c r="U589" s="649"/>
      <c r="V589" s="649"/>
      <c r="W589" s="649"/>
      <c r="X589" s="649"/>
      <c r="Y589" s="650"/>
    </row>
    <row r="590" spans="1:25" ht="18" customHeight="1" x14ac:dyDescent="0.2">
      <c r="A590" s="337"/>
      <c r="B590" s="337"/>
      <c r="C590" s="345"/>
      <c r="D590" s="337"/>
      <c r="E590" s="337"/>
      <c r="F590" s="337"/>
      <c r="G590" s="337"/>
      <c r="H590" s="337"/>
      <c r="I590" s="337"/>
      <c r="J590" s="337"/>
      <c r="K590" s="337"/>
      <c r="L590" s="337"/>
      <c r="M590" s="337"/>
      <c r="N590" s="386"/>
      <c r="O590" s="380"/>
    </row>
    <row r="591" spans="1:25" ht="18" customHeight="1" x14ac:dyDescent="0.2">
      <c r="A591" s="337"/>
      <c r="B591" s="337"/>
      <c r="C591" s="345"/>
      <c r="D591" s="337"/>
      <c r="E591" s="337"/>
      <c r="F591" s="337"/>
      <c r="G591" s="337"/>
      <c r="H591" s="337"/>
      <c r="I591" s="337"/>
      <c r="J591" s="337"/>
      <c r="K591" s="337"/>
      <c r="L591" s="337"/>
      <c r="M591" s="337"/>
      <c r="N591" s="386"/>
      <c r="O591" s="380"/>
    </row>
    <row r="592" spans="1:25" ht="18" customHeight="1" x14ac:dyDescent="0.2">
      <c r="A592" s="337"/>
      <c r="B592" s="337"/>
      <c r="C592" s="583" t="s">
        <v>323</v>
      </c>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row>
    <row r="593" spans="1:25" ht="18" customHeight="1" x14ac:dyDescent="0.2">
      <c r="A593" s="337"/>
      <c r="B593" s="337"/>
      <c r="C593" s="592"/>
      <c r="D593" s="592"/>
      <c r="E593" s="592"/>
      <c r="F593" s="592"/>
      <c r="G593" s="592"/>
      <c r="H593" s="592"/>
      <c r="I593" s="592"/>
      <c r="J593" s="592"/>
      <c r="K593" s="592"/>
      <c r="L593" s="592"/>
      <c r="M593" s="592"/>
      <c r="N593" s="592"/>
      <c r="O593" s="592"/>
      <c r="P593" s="592"/>
      <c r="Q593" s="592"/>
      <c r="R593" s="592"/>
      <c r="S593" s="592"/>
      <c r="T593" s="592"/>
      <c r="U593" s="592"/>
      <c r="V593" s="592"/>
      <c r="W593" s="592"/>
      <c r="X593" s="592"/>
      <c r="Y593" s="592"/>
    </row>
    <row r="594" spans="1:25" ht="18" customHeight="1" x14ac:dyDescent="0.2">
      <c r="A594" s="337"/>
      <c r="B594" s="337"/>
      <c r="C594" s="354" t="s">
        <v>234</v>
      </c>
      <c r="D594" s="354"/>
      <c r="E594" s="337"/>
      <c r="H594" s="368"/>
      <c r="I594" s="353" t="s">
        <v>28</v>
      </c>
      <c r="J594" s="588"/>
      <c r="K594" s="588"/>
      <c r="P594" s="339"/>
      <c r="Q594" s="368"/>
      <c r="R594" s="368"/>
      <c r="S594" s="369" t="s">
        <v>29</v>
      </c>
      <c r="T594" s="588"/>
      <c r="U594" s="588"/>
      <c r="V594" s="588"/>
      <c r="W594" s="588"/>
    </row>
    <row r="595" spans="1:25" ht="18" customHeight="1" x14ac:dyDescent="0.2">
      <c r="A595" s="337"/>
      <c r="B595" s="337"/>
      <c r="C595" s="345"/>
      <c r="D595" s="337"/>
      <c r="E595" s="337"/>
      <c r="F595" s="337"/>
      <c r="G595" s="337"/>
      <c r="H595" s="337"/>
      <c r="I595" s="337"/>
      <c r="J595" s="337"/>
      <c r="K595" s="337"/>
      <c r="L595" s="337"/>
      <c r="M595" s="337"/>
      <c r="N595" s="337"/>
      <c r="O595" s="337"/>
    </row>
    <row r="596" spans="1:25" ht="18" customHeight="1" x14ac:dyDescent="0.2">
      <c r="A596" s="337"/>
      <c r="B596" s="337"/>
      <c r="C596" s="345"/>
      <c r="D596" s="337"/>
      <c r="E596" s="337"/>
      <c r="F596" s="337"/>
      <c r="G596" s="337"/>
      <c r="H596" s="337"/>
      <c r="I596" s="337"/>
      <c r="J596" s="337"/>
      <c r="K596" s="337"/>
      <c r="L596" s="337"/>
      <c r="M596" s="337"/>
      <c r="N596" s="337"/>
      <c r="O596" s="337"/>
    </row>
    <row r="597" spans="1:25" ht="18" customHeight="1" x14ac:dyDescent="0.2">
      <c r="A597" s="337"/>
      <c r="B597" s="337"/>
      <c r="C597" s="583" t="s">
        <v>376</v>
      </c>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row>
    <row r="598" spans="1:25" ht="18" customHeight="1" x14ac:dyDescent="0.2">
      <c r="A598" s="337"/>
      <c r="B598" s="337"/>
      <c r="C598" s="592"/>
      <c r="D598" s="592"/>
      <c r="E598" s="592"/>
      <c r="F598" s="592"/>
      <c r="G598" s="592"/>
      <c r="H598" s="592"/>
      <c r="I598" s="592"/>
      <c r="J598" s="592"/>
      <c r="K598" s="592"/>
      <c r="L598" s="592"/>
      <c r="M598" s="592"/>
      <c r="N598" s="592"/>
      <c r="O598" s="592"/>
      <c r="P598" s="592"/>
      <c r="Q598" s="592"/>
      <c r="R598" s="592"/>
      <c r="S598" s="592"/>
      <c r="T598" s="592"/>
      <c r="U598" s="592"/>
      <c r="V598" s="592"/>
      <c r="W598" s="592"/>
      <c r="X598" s="592"/>
      <c r="Y598" s="592"/>
    </row>
    <row r="599" spans="1:25" ht="18" customHeight="1" x14ac:dyDescent="0.2">
      <c r="A599" s="337"/>
      <c r="B599" s="337"/>
      <c r="C599" s="356"/>
      <c r="D599" s="443"/>
      <c r="E599" s="443"/>
      <c r="F599" s="443"/>
      <c r="G599" s="641" t="s">
        <v>265</v>
      </c>
      <c r="H599" s="641"/>
      <c r="I599" s="641"/>
      <c r="J599" s="641"/>
      <c r="K599" s="641"/>
      <c r="L599" s="641"/>
      <c r="M599" s="641"/>
      <c r="N599" s="641"/>
      <c r="O599" s="641"/>
      <c r="P599" s="641"/>
      <c r="Q599" s="641"/>
      <c r="R599" s="641"/>
      <c r="S599" s="641"/>
    </row>
    <row r="600" spans="1:25" ht="18" customHeight="1" x14ac:dyDescent="0.2">
      <c r="A600" s="337"/>
      <c r="B600" s="337"/>
      <c r="C600" s="419"/>
      <c r="D600" s="419"/>
      <c r="E600" s="419"/>
      <c r="F600" s="419"/>
      <c r="G600" s="642"/>
      <c r="H600" s="642"/>
      <c r="I600" s="642"/>
      <c r="J600" s="642"/>
      <c r="K600" s="642"/>
      <c r="L600" s="642"/>
      <c r="M600" s="642"/>
      <c r="N600" s="642"/>
      <c r="O600" s="642"/>
      <c r="P600" s="642"/>
      <c r="Q600" s="642"/>
      <c r="R600" s="642"/>
      <c r="S600" s="642"/>
      <c r="T600" s="590"/>
      <c r="U600" s="590"/>
      <c r="V600" s="590"/>
      <c r="W600" s="590"/>
      <c r="X600" s="591" t="s">
        <v>118</v>
      </c>
      <c r="Y600" s="591"/>
    </row>
    <row r="601" spans="1:25" ht="18" customHeight="1" x14ac:dyDescent="0.2">
      <c r="A601" s="337"/>
      <c r="B601" s="337"/>
      <c r="C601" s="345"/>
      <c r="D601" s="419"/>
      <c r="E601" s="419"/>
      <c r="F601" s="419"/>
      <c r="G601" s="419"/>
      <c r="H601" s="419"/>
      <c r="I601" s="419"/>
      <c r="J601" s="419"/>
      <c r="K601" s="337"/>
      <c r="L601" s="337"/>
      <c r="M601" s="337"/>
      <c r="N601" s="337"/>
      <c r="O601" s="337"/>
    </row>
    <row r="602" spans="1:25" ht="18" customHeight="1" x14ac:dyDescent="0.2">
      <c r="A602" s="337"/>
      <c r="B602" s="337"/>
      <c r="C602" s="337"/>
      <c r="D602" s="337"/>
      <c r="E602" s="337"/>
      <c r="F602" s="337"/>
      <c r="G602" s="337"/>
      <c r="H602" s="337"/>
      <c r="I602" s="337"/>
      <c r="J602" s="337"/>
      <c r="K602" s="444"/>
      <c r="L602" s="337"/>
      <c r="M602" s="337"/>
      <c r="N602" s="337"/>
      <c r="O602" s="337"/>
    </row>
    <row r="603" spans="1:25" ht="35.25" customHeight="1" x14ac:dyDescent="0.2">
      <c r="A603" s="337"/>
      <c r="B603" s="337"/>
      <c r="C603" s="341">
        <v>2</v>
      </c>
      <c r="D603" s="695" t="s">
        <v>385</v>
      </c>
      <c r="E603" s="696"/>
      <c r="F603" s="696"/>
      <c r="G603" s="696"/>
      <c r="H603" s="696"/>
      <c r="I603" s="696"/>
      <c r="J603" s="696"/>
      <c r="K603" s="696"/>
      <c r="L603" s="696"/>
      <c r="M603" s="696"/>
      <c r="N603" s="696"/>
      <c r="O603" s="696"/>
      <c r="P603" s="696"/>
      <c r="Q603" s="696"/>
      <c r="R603" s="696"/>
      <c r="S603" s="696"/>
      <c r="T603" s="696"/>
      <c r="U603" s="696"/>
      <c r="V603" s="696"/>
      <c r="W603" s="696"/>
      <c r="X603" s="696"/>
      <c r="Y603" s="697"/>
    </row>
    <row r="604" spans="1:25" ht="18" customHeight="1" x14ac:dyDescent="0.2">
      <c r="A604" s="337"/>
      <c r="B604" s="337"/>
      <c r="C604" s="337"/>
      <c r="D604" s="337"/>
      <c r="E604" s="337"/>
      <c r="F604" s="337"/>
      <c r="G604" s="337"/>
      <c r="H604" s="337"/>
      <c r="I604" s="337"/>
      <c r="J604" s="337"/>
      <c r="K604" s="337"/>
      <c r="L604" s="337"/>
      <c r="M604" s="337"/>
      <c r="N604" s="337"/>
      <c r="O604" s="337"/>
    </row>
    <row r="605" spans="1:25" ht="18" customHeight="1" x14ac:dyDescent="0.2">
      <c r="A605" s="337"/>
      <c r="B605" s="337"/>
      <c r="C605" s="337"/>
      <c r="D605" s="337"/>
      <c r="E605" s="337"/>
      <c r="F605" s="337"/>
      <c r="G605" s="337"/>
      <c r="H605" s="337"/>
      <c r="I605" s="343" t="s">
        <v>266</v>
      </c>
      <c r="J605" s="643"/>
      <c r="K605" s="644"/>
      <c r="L605" s="337"/>
      <c r="M605" s="337"/>
      <c r="N605" s="337"/>
      <c r="O605" s="337"/>
    </row>
    <row r="606" spans="1:25" ht="18" customHeight="1" x14ac:dyDescent="0.2">
      <c r="A606" s="337"/>
      <c r="B606" s="337"/>
      <c r="C606" s="345"/>
      <c r="D606" s="337"/>
      <c r="E606" s="337"/>
      <c r="F606" s="337"/>
      <c r="G606" s="337"/>
      <c r="H606" s="337"/>
      <c r="I606" s="445"/>
      <c r="J606" s="337"/>
      <c r="K606" s="337"/>
      <c r="L606" s="337"/>
      <c r="M606" s="337"/>
      <c r="N606" s="337"/>
      <c r="O606" s="337"/>
    </row>
    <row r="607" spans="1:25" ht="18" customHeight="1" x14ac:dyDescent="0.2">
      <c r="A607" s="337"/>
      <c r="B607" s="337"/>
      <c r="C607" s="344" t="s">
        <v>267</v>
      </c>
      <c r="D607" s="344"/>
      <c r="E607" s="344"/>
      <c r="F607" s="344"/>
      <c r="G607" s="344"/>
      <c r="H607" s="344"/>
      <c r="I607" s="344"/>
      <c r="J607" s="344"/>
      <c r="K607" s="344"/>
      <c r="L607" s="344"/>
      <c r="M607" s="344"/>
      <c r="N607" s="337"/>
      <c r="O607" s="337"/>
    </row>
    <row r="608" spans="1:25" ht="18" customHeight="1" x14ac:dyDescent="0.2">
      <c r="A608" s="337"/>
      <c r="B608" s="337"/>
      <c r="C608" s="344"/>
      <c r="D608" s="446"/>
      <c r="E608" s="447"/>
      <c r="F608" s="640" t="s">
        <v>0</v>
      </c>
      <c r="G608" s="640"/>
      <c r="H608" s="640"/>
      <c r="I608" s="640" t="s">
        <v>1</v>
      </c>
      <c r="J608" s="640"/>
      <c r="K608" s="640"/>
      <c r="L608" s="640" t="s">
        <v>2</v>
      </c>
      <c r="M608" s="640"/>
      <c r="N608" s="640"/>
      <c r="O608" s="640" t="s">
        <v>3</v>
      </c>
      <c r="P608" s="640"/>
      <c r="Q608" s="640"/>
      <c r="R608" s="640"/>
      <c r="S608" s="640"/>
      <c r="T608" s="640"/>
    </row>
    <row r="609" spans="1:25" ht="18" customHeight="1" x14ac:dyDescent="0.2">
      <c r="A609" s="337"/>
      <c r="B609" s="337"/>
      <c r="C609" s="344"/>
      <c r="D609" s="446"/>
      <c r="E609" s="447"/>
      <c r="F609" s="638"/>
      <c r="G609" s="638"/>
      <c r="H609" s="638"/>
      <c r="I609" s="638"/>
      <c r="J609" s="638"/>
      <c r="K609" s="638"/>
      <c r="L609" s="638"/>
      <c r="M609" s="638"/>
      <c r="N609" s="638"/>
      <c r="O609" s="638"/>
      <c r="P609" s="638"/>
      <c r="Q609" s="638"/>
      <c r="R609" s="638"/>
      <c r="S609" s="638"/>
      <c r="T609" s="638"/>
    </row>
    <row r="610" spans="1:25" ht="18" customHeight="1" x14ac:dyDescent="0.2">
      <c r="A610" s="337"/>
      <c r="B610" s="337"/>
      <c r="C610" s="344"/>
      <c r="D610" s="446"/>
      <c r="E610" s="447"/>
      <c r="F610" s="638"/>
      <c r="G610" s="638"/>
      <c r="H610" s="638"/>
      <c r="I610" s="638"/>
      <c r="J610" s="638"/>
      <c r="K610" s="638"/>
      <c r="L610" s="638"/>
      <c r="M610" s="638"/>
      <c r="N610" s="638"/>
      <c r="O610" s="638"/>
      <c r="P610" s="638"/>
      <c r="Q610" s="638"/>
      <c r="R610" s="638"/>
      <c r="S610" s="638"/>
      <c r="T610" s="638"/>
    </row>
    <row r="611" spans="1:25" ht="18" customHeight="1" x14ac:dyDescent="0.2">
      <c r="A611" s="337"/>
      <c r="B611" s="337"/>
      <c r="C611" s="344"/>
      <c r="D611" s="446"/>
      <c r="E611" s="447"/>
      <c r="F611" s="638"/>
      <c r="G611" s="638"/>
      <c r="H611" s="638"/>
      <c r="I611" s="638"/>
      <c r="J611" s="638"/>
      <c r="K611" s="638"/>
      <c r="L611" s="638"/>
      <c r="M611" s="638"/>
      <c r="N611" s="638"/>
      <c r="O611" s="638"/>
      <c r="P611" s="638"/>
      <c r="Q611" s="638"/>
      <c r="R611" s="638"/>
      <c r="S611" s="638"/>
      <c r="T611" s="638"/>
    </row>
    <row r="612" spans="1:25" ht="18" customHeight="1" x14ac:dyDescent="0.2">
      <c r="A612" s="337"/>
      <c r="B612" s="337"/>
      <c r="C612" s="344"/>
      <c r="D612" s="446"/>
      <c r="E612" s="447"/>
      <c r="F612" s="638"/>
      <c r="G612" s="638"/>
      <c r="H612" s="638"/>
      <c r="I612" s="638"/>
      <c r="J612" s="638"/>
      <c r="K612" s="638"/>
      <c r="L612" s="638"/>
      <c r="M612" s="638"/>
      <c r="N612" s="638"/>
      <c r="O612" s="638"/>
      <c r="P612" s="638"/>
      <c r="Q612" s="638"/>
      <c r="R612" s="638"/>
      <c r="S612" s="638"/>
      <c r="T612" s="638"/>
    </row>
    <row r="613" spans="1:25" ht="18" customHeight="1" x14ac:dyDescent="0.2">
      <c r="A613" s="337"/>
      <c r="B613" s="337"/>
      <c r="C613" s="345"/>
      <c r="D613" s="337"/>
      <c r="E613" s="337"/>
      <c r="F613" s="337"/>
      <c r="G613" s="337"/>
      <c r="H613" s="337"/>
      <c r="I613" s="337"/>
      <c r="J613" s="337"/>
      <c r="K613" s="337"/>
      <c r="L613" s="337"/>
      <c r="M613" s="337"/>
      <c r="N613" s="337"/>
      <c r="O613" s="337"/>
    </row>
    <row r="614" spans="1:25" ht="18" customHeight="1" x14ac:dyDescent="0.2">
      <c r="A614" s="337"/>
      <c r="B614" s="337"/>
      <c r="C614" s="345"/>
      <c r="D614" s="337"/>
      <c r="E614" s="337"/>
      <c r="F614" s="337"/>
      <c r="G614" s="337"/>
      <c r="H614" s="337"/>
      <c r="I614" s="337"/>
      <c r="J614" s="337"/>
      <c r="K614" s="337"/>
      <c r="L614" s="337"/>
      <c r="M614" s="337"/>
      <c r="N614" s="337"/>
      <c r="O614" s="337"/>
    </row>
    <row r="615" spans="1:25" ht="33.75" customHeight="1" x14ac:dyDescent="0.2">
      <c r="A615" s="337"/>
      <c r="B615" s="337"/>
      <c r="C615" s="341" t="s">
        <v>394</v>
      </c>
      <c r="D615" s="695" t="s">
        <v>409</v>
      </c>
      <c r="E615" s="696"/>
      <c r="F615" s="696"/>
      <c r="G615" s="696"/>
      <c r="H615" s="696"/>
      <c r="I615" s="696"/>
      <c r="J615" s="696"/>
      <c r="K615" s="696"/>
      <c r="L615" s="696"/>
      <c r="M615" s="696"/>
      <c r="N615" s="696"/>
      <c r="O615" s="696"/>
      <c r="P615" s="696"/>
      <c r="Q615" s="696"/>
      <c r="R615" s="696"/>
      <c r="S615" s="696"/>
      <c r="T615" s="696"/>
      <c r="U615" s="696"/>
      <c r="V615" s="696"/>
      <c r="W615" s="696"/>
      <c r="X615" s="696"/>
      <c r="Y615" s="697"/>
    </row>
    <row r="616" spans="1:25" ht="18" customHeight="1" x14ac:dyDescent="0.2">
      <c r="A616" s="337"/>
      <c r="B616" s="337"/>
      <c r="C616" s="517"/>
      <c r="D616" s="517"/>
      <c r="E616" s="517"/>
      <c r="F616" s="517"/>
      <c r="G616" s="517"/>
      <c r="H616" s="517"/>
      <c r="I616" s="517"/>
      <c r="J616" s="517"/>
      <c r="K616" s="517"/>
      <c r="L616" s="517"/>
      <c r="M616" s="517"/>
      <c r="N616" s="517"/>
      <c r="O616" s="517"/>
      <c r="P616" s="517"/>
      <c r="Q616" s="517"/>
      <c r="R616" s="517"/>
      <c r="S616" s="517"/>
      <c r="T616" s="517"/>
      <c r="U616" s="517"/>
      <c r="V616" s="517"/>
      <c r="W616" s="517"/>
      <c r="X616" s="517"/>
      <c r="Y616" s="517"/>
    </row>
    <row r="617" spans="1:25" ht="18" customHeight="1" x14ac:dyDescent="0.2">
      <c r="A617" s="337"/>
      <c r="B617" s="337"/>
      <c r="C617" s="581" t="s">
        <v>324</v>
      </c>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row>
    <row r="618" spans="1:25" ht="18" customHeight="1" x14ac:dyDescent="0.2">
      <c r="A618" s="346"/>
      <c r="B618" s="346"/>
      <c r="C618" s="619" t="s">
        <v>74</v>
      </c>
      <c r="D618" s="619"/>
      <c r="E618" s="619"/>
      <c r="F618" s="619"/>
      <c r="G618" s="619"/>
      <c r="H618" s="619"/>
      <c r="I618" s="619"/>
      <c r="J618" s="619"/>
      <c r="K618" s="619"/>
      <c r="L618" s="619"/>
      <c r="M618" s="619"/>
      <c r="N618" s="619"/>
      <c r="O618" s="619"/>
      <c r="P618" s="619"/>
      <c r="Q618" s="619"/>
      <c r="R618" s="619"/>
      <c r="S618" s="619"/>
      <c r="T618" s="448" t="s">
        <v>73</v>
      </c>
      <c r="U618" s="347"/>
      <c r="V618" s="347"/>
      <c r="W618" s="347"/>
      <c r="X618" s="347"/>
      <c r="Y618" s="347"/>
    </row>
    <row r="619" spans="1:25" ht="18" customHeight="1" x14ac:dyDescent="0.2">
      <c r="A619" s="346"/>
      <c r="B619" s="346"/>
      <c r="C619" s="639" t="s">
        <v>377</v>
      </c>
      <c r="D619" s="639"/>
      <c r="E619" s="639"/>
      <c r="F619" s="639"/>
      <c r="G619" s="639"/>
      <c r="H619" s="639"/>
      <c r="I619" s="639"/>
      <c r="J619" s="639"/>
      <c r="K619" s="639"/>
      <c r="L619" s="639"/>
      <c r="M619" s="639"/>
      <c r="N619" s="639"/>
      <c r="O619" s="639"/>
      <c r="P619" s="639"/>
      <c r="Q619" s="639"/>
      <c r="R619" s="639"/>
      <c r="S619" s="639"/>
      <c r="T619" s="590"/>
      <c r="U619" s="590"/>
      <c r="V619" s="590"/>
      <c r="W619" s="590"/>
      <c r="X619" s="579" t="s">
        <v>5</v>
      </c>
      <c r="Y619" s="579"/>
    </row>
    <row r="620" spans="1:25" ht="18" customHeight="1" x14ac:dyDescent="0.2">
      <c r="A620" s="346"/>
      <c r="B620" s="346"/>
      <c r="C620" s="639"/>
      <c r="D620" s="639"/>
      <c r="E620" s="639"/>
      <c r="F620" s="639"/>
      <c r="G620" s="639"/>
      <c r="H620" s="639"/>
      <c r="I620" s="639"/>
      <c r="J620" s="639"/>
      <c r="K620" s="639"/>
      <c r="L620" s="639"/>
      <c r="M620" s="639"/>
      <c r="N620" s="639"/>
      <c r="O620" s="639"/>
      <c r="P620" s="639"/>
      <c r="Q620" s="639"/>
      <c r="R620" s="639"/>
      <c r="S620" s="639"/>
      <c r="T620" s="590"/>
      <c r="U620" s="590"/>
      <c r="V620" s="590"/>
      <c r="W620" s="590"/>
      <c r="X620" s="579"/>
      <c r="Y620" s="579"/>
    </row>
    <row r="621" spans="1:25" ht="18" customHeight="1" x14ac:dyDescent="0.2">
      <c r="A621" s="346"/>
      <c r="B621" s="346"/>
      <c r="C621" s="600" t="s">
        <v>498</v>
      </c>
      <c r="D621" s="601"/>
      <c r="E621" s="601"/>
      <c r="F621" s="601"/>
      <c r="G621" s="601"/>
      <c r="H621" s="601"/>
      <c r="I621" s="601"/>
      <c r="J621" s="601"/>
      <c r="K621" s="601"/>
      <c r="L621" s="601"/>
      <c r="M621" s="601"/>
      <c r="N621" s="601"/>
      <c r="O621" s="601"/>
      <c r="P621" s="601"/>
      <c r="Q621" s="601"/>
      <c r="R621" s="601"/>
      <c r="S621" s="601"/>
      <c r="T621" s="601"/>
      <c r="U621" s="601"/>
      <c r="V621" s="601"/>
      <c r="W621" s="601"/>
      <c r="X621" s="601"/>
      <c r="Y621" s="602"/>
    </row>
    <row r="622" spans="1:25" ht="18" customHeight="1" x14ac:dyDescent="0.2">
      <c r="A622" s="346"/>
      <c r="B622" s="346"/>
      <c r="C622" s="449"/>
      <c r="D622" s="620" t="s">
        <v>1518</v>
      </c>
      <c r="E622" s="620"/>
      <c r="F622" s="620"/>
      <c r="G622" s="620"/>
      <c r="H622" s="620"/>
      <c r="I622" s="620"/>
      <c r="J622" s="620"/>
      <c r="K622" s="620"/>
      <c r="L622" s="620"/>
      <c r="M622" s="620"/>
      <c r="N622" s="620"/>
      <c r="O622" s="620"/>
      <c r="P622" s="620"/>
      <c r="Q622" s="620"/>
      <c r="R622" s="620"/>
      <c r="S622" s="620"/>
      <c r="T622" s="590"/>
      <c r="U622" s="590"/>
      <c r="V622" s="590"/>
      <c r="W622" s="590"/>
      <c r="X622" s="622" t="s">
        <v>5</v>
      </c>
      <c r="Y622" s="623"/>
    </row>
    <row r="623" spans="1:25" ht="18" customHeight="1" x14ac:dyDescent="0.2">
      <c r="A623" s="346"/>
      <c r="B623" s="346"/>
      <c r="C623" s="450"/>
      <c r="D623" s="620" t="s">
        <v>439</v>
      </c>
      <c r="E623" s="620"/>
      <c r="F623" s="620"/>
      <c r="G623" s="620"/>
      <c r="H623" s="620"/>
      <c r="I623" s="620"/>
      <c r="J623" s="620"/>
      <c r="K623" s="620"/>
      <c r="L623" s="620"/>
      <c r="M623" s="620"/>
      <c r="N623" s="620"/>
      <c r="O623" s="620"/>
      <c r="P623" s="620"/>
      <c r="Q623" s="620"/>
      <c r="R623" s="620"/>
      <c r="S623" s="620"/>
      <c r="T623" s="590"/>
      <c r="U623" s="590"/>
      <c r="V623" s="590"/>
      <c r="W623" s="590"/>
      <c r="X623" s="622" t="s">
        <v>5</v>
      </c>
      <c r="Y623" s="623"/>
    </row>
    <row r="624" spans="1:25" ht="18" customHeight="1" x14ac:dyDescent="0.2">
      <c r="A624" s="346"/>
      <c r="B624" s="346"/>
      <c r="C624" s="451"/>
      <c r="D624" s="633" t="s">
        <v>75</v>
      </c>
      <c r="E624" s="633"/>
      <c r="F624" s="633"/>
      <c r="G624" s="633"/>
      <c r="H624" s="633"/>
      <c r="I624" s="633"/>
      <c r="J624" s="633"/>
      <c r="K624" s="633"/>
      <c r="L624" s="633"/>
      <c r="M624" s="633"/>
      <c r="N624" s="633"/>
      <c r="O624" s="633"/>
      <c r="P624" s="633"/>
      <c r="Q624" s="633"/>
      <c r="R624" s="633"/>
      <c r="S624" s="633"/>
      <c r="T624" s="590"/>
      <c r="U624" s="590"/>
      <c r="V624" s="590"/>
      <c r="W624" s="590"/>
      <c r="X624" s="634" t="s">
        <v>5</v>
      </c>
      <c r="Y624" s="635"/>
    </row>
    <row r="625" spans="1:25" ht="18" customHeight="1" x14ac:dyDescent="0.2">
      <c r="A625" s="346"/>
      <c r="B625" s="346"/>
      <c r="C625" s="600" t="s">
        <v>499</v>
      </c>
      <c r="D625" s="601"/>
      <c r="E625" s="601"/>
      <c r="F625" s="601"/>
      <c r="G625" s="601"/>
      <c r="H625" s="601"/>
      <c r="I625" s="601"/>
      <c r="J625" s="601"/>
      <c r="K625" s="601"/>
      <c r="L625" s="601"/>
      <c r="M625" s="601"/>
      <c r="N625" s="601"/>
      <c r="O625" s="601"/>
      <c r="P625" s="601"/>
      <c r="Q625" s="601"/>
      <c r="R625" s="601"/>
      <c r="S625" s="601"/>
      <c r="T625" s="601"/>
      <c r="U625" s="601"/>
      <c r="V625" s="601"/>
      <c r="W625" s="601"/>
      <c r="X625" s="601"/>
      <c r="Y625" s="602"/>
    </row>
    <row r="626" spans="1:25" ht="18" customHeight="1" x14ac:dyDescent="0.2">
      <c r="A626" s="346"/>
      <c r="B626" s="346"/>
      <c r="C626" s="449"/>
      <c r="D626" s="633" t="s">
        <v>1519</v>
      </c>
      <c r="E626" s="633"/>
      <c r="F626" s="633"/>
      <c r="G626" s="633"/>
      <c r="H626" s="633"/>
      <c r="I626" s="633"/>
      <c r="J626" s="633"/>
      <c r="K626" s="633"/>
      <c r="L626" s="633"/>
      <c r="M626" s="633"/>
      <c r="N626" s="633"/>
      <c r="O626" s="633"/>
      <c r="P626" s="633"/>
      <c r="Q626" s="633"/>
      <c r="R626" s="633"/>
      <c r="S626" s="633"/>
      <c r="T626" s="590"/>
      <c r="U626" s="590"/>
      <c r="V626" s="590"/>
      <c r="W626" s="590"/>
      <c r="X626" s="634" t="s">
        <v>5</v>
      </c>
      <c r="Y626" s="635"/>
    </row>
    <row r="627" spans="1:25" ht="18" customHeight="1" x14ac:dyDescent="0.2">
      <c r="A627" s="346"/>
      <c r="B627" s="346"/>
      <c r="C627" s="449"/>
      <c r="D627" s="633" t="s">
        <v>440</v>
      </c>
      <c r="E627" s="633"/>
      <c r="F627" s="633"/>
      <c r="G627" s="633"/>
      <c r="H627" s="633"/>
      <c r="I627" s="633"/>
      <c r="J627" s="633"/>
      <c r="K627" s="633"/>
      <c r="L627" s="633"/>
      <c r="M627" s="633"/>
      <c r="N627" s="633"/>
      <c r="O627" s="633"/>
      <c r="P627" s="633"/>
      <c r="Q627" s="633"/>
      <c r="R627" s="633"/>
      <c r="S627" s="633"/>
      <c r="T627" s="590"/>
      <c r="U627" s="590"/>
      <c r="V627" s="590"/>
      <c r="W627" s="590"/>
      <c r="X627" s="634" t="s">
        <v>5</v>
      </c>
      <c r="Y627" s="635"/>
    </row>
    <row r="628" spans="1:25" ht="18" customHeight="1" x14ac:dyDescent="0.2">
      <c r="A628" s="346"/>
      <c r="B628" s="346"/>
      <c r="C628" s="452"/>
      <c r="D628" s="636" t="s">
        <v>75</v>
      </c>
      <c r="E628" s="636"/>
      <c r="F628" s="636"/>
      <c r="G628" s="636"/>
      <c r="H628" s="636"/>
      <c r="I628" s="636"/>
      <c r="J628" s="636"/>
      <c r="K628" s="636"/>
      <c r="L628" s="636"/>
      <c r="M628" s="636"/>
      <c r="N628" s="636"/>
      <c r="O628" s="636"/>
      <c r="P628" s="636"/>
      <c r="Q628" s="636"/>
      <c r="R628" s="636"/>
      <c r="S628" s="636"/>
      <c r="T628" s="590"/>
      <c r="U628" s="590"/>
      <c r="V628" s="590"/>
      <c r="W628" s="590"/>
      <c r="X628" s="637" t="s">
        <v>5</v>
      </c>
      <c r="Y628" s="604"/>
    </row>
    <row r="629" spans="1:25" ht="18" customHeight="1" x14ac:dyDescent="0.2">
      <c r="A629" s="346"/>
      <c r="B629" s="346"/>
      <c r="C629" s="767" t="s">
        <v>500</v>
      </c>
      <c r="D629" s="768"/>
      <c r="E629" s="768"/>
      <c r="F629" s="768"/>
      <c r="G629" s="768"/>
      <c r="H629" s="768"/>
      <c r="I629" s="768"/>
      <c r="J629" s="768"/>
      <c r="K629" s="768"/>
      <c r="L629" s="768"/>
      <c r="M629" s="768"/>
      <c r="N629" s="768"/>
      <c r="O629" s="768"/>
      <c r="P629" s="768"/>
      <c r="Q629" s="768"/>
      <c r="R629" s="768"/>
      <c r="S629" s="768"/>
      <c r="T629" s="590"/>
      <c r="U629" s="590"/>
      <c r="V629" s="590"/>
      <c r="W629" s="590"/>
      <c r="X629" s="634" t="s">
        <v>5</v>
      </c>
      <c r="Y629" s="635"/>
    </row>
    <row r="630" spans="1:25" ht="18" customHeight="1" x14ac:dyDescent="0.2">
      <c r="A630" s="346"/>
      <c r="B630" s="346"/>
      <c r="C630" s="767" t="s">
        <v>501</v>
      </c>
      <c r="D630" s="768"/>
      <c r="E630" s="768"/>
      <c r="F630" s="768"/>
      <c r="G630" s="768"/>
      <c r="H630" s="768"/>
      <c r="I630" s="768"/>
      <c r="J630" s="768"/>
      <c r="K630" s="768"/>
      <c r="L630" s="768"/>
      <c r="M630" s="768"/>
      <c r="N630" s="768"/>
      <c r="O630" s="768"/>
      <c r="P630" s="768"/>
      <c r="Q630" s="768"/>
      <c r="R630" s="768"/>
      <c r="S630" s="768"/>
      <c r="T630" s="590"/>
      <c r="U630" s="590"/>
      <c r="V630" s="590"/>
      <c r="W630" s="590"/>
      <c r="X630" s="634" t="s">
        <v>5</v>
      </c>
      <c r="Y630" s="635"/>
    </row>
    <row r="631" spans="1:25" ht="18" customHeight="1" thickBot="1" x14ac:dyDescent="0.25">
      <c r="A631" s="346"/>
      <c r="B631" s="346"/>
      <c r="C631" s="625" t="s">
        <v>258</v>
      </c>
      <c r="D631" s="626"/>
      <c r="E631" s="626"/>
      <c r="F631" s="626"/>
      <c r="G631" s="626"/>
      <c r="H631" s="626"/>
      <c r="I631" s="626"/>
      <c r="J631" s="626"/>
      <c r="K631" s="626"/>
      <c r="L631" s="626"/>
      <c r="M631" s="626"/>
      <c r="N631" s="626"/>
      <c r="O631" s="626"/>
      <c r="P631" s="626"/>
      <c r="Q631" s="626"/>
      <c r="R631" s="626"/>
      <c r="S631" s="627"/>
      <c r="T631" s="628" t="str">
        <f>IF(COUNTA($T$626:$W$630,$T$622:$W$624,$T$619)=0,"",SUM($T$626:$W$630,$T$622:$W$624,$T$619))</f>
        <v/>
      </c>
      <c r="U631" s="628"/>
      <c r="V631" s="628"/>
      <c r="W631" s="628"/>
      <c r="X631" s="579" t="s">
        <v>5</v>
      </c>
      <c r="Y631" s="579"/>
    </row>
    <row r="632" spans="1:25" ht="18" customHeight="1" thickBot="1" x14ac:dyDescent="0.25">
      <c r="A632" s="346"/>
      <c r="B632" s="346"/>
      <c r="C632" s="345"/>
      <c r="D632" s="453"/>
      <c r="E632" s="453"/>
      <c r="F632" s="453"/>
      <c r="G632" s="453"/>
      <c r="H632" s="453"/>
      <c r="I632" s="453"/>
      <c r="J632" s="453"/>
      <c r="K632" s="454"/>
      <c r="L632" s="455"/>
      <c r="M632" s="455"/>
      <c r="N632" s="455"/>
      <c r="O632" s="346"/>
      <c r="P632" s="346"/>
      <c r="Q632" s="347"/>
      <c r="R632" s="347"/>
      <c r="S632" s="347"/>
      <c r="T632" s="395"/>
      <c r="U632" s="396"/>
      <c r="V632" s="396"/>
      <c r="W632" s="397" t="str">
        <f>IF(COUNTIF($T$626:$T$630,0)+COUNTIF($T$622:$T$624,0)+COUNTIF($T$619,0)&gt;0,"Supprimez les valeurs nulles.",IF(COUNTA($T$619,$T$622:$W$624,$T$626:$W$630)=0,"",CONCATENATE(CONCATENATE(IF(AND($J$456="X",MIN($T$619,$T$622:$W$624,$T$626:$W$630)*$T$107*100&lt;15625),"La part d'un type de couvert végétal est inférieure à la surface minimale cartographiable choisie (15 625 m²). ",IF(AND($T$456="X",MIN($T$619,$T$622:$W$624,$T$626:$W$630)*$T$107*100&lt;2500)," La part d'un type de couvert végétal est inférieure à la surface minimale cartographiable choisie (2500 m²). ",IF(AND($J$457="X",MIN($T$619,$T$622:$W$624,$T$626:$W$630)*$T$107*100&lt;625)," La part d'un type de couvert végétal est inférieure à la surface minimale cartographiable choisie (625 m²). ",IF(AND($T$457="X",MIN($T$619,$T$622:$W$624,$T$626:$W$630)*$T$107*100&lt;156)," La part d'un type de couvert végétal est inférieure à la surface minimale cartographiable choisie (156 m²). ",""))))),IF($T$631="","",IF(COUNTA($T$619,$T$622:$T$624,$T$626:$T$630)=0,"Renseignez la proportion du site occupée par les différents types de couverts végétaux. ",IF($T$631&lt;&gt;100,"La somme des proportions du site occupée par les différents types de couverts végétaux doit être égale à 100%. ",""))))))</f>
        <v/>
      </c>
      <c r="X632" s="347"/>
      <c r="Y632" s="347"/>
    </row>
    <row r="633" spans="1:25" ht="18" customHeight="1" x14ac:dyDescent="0.2">
      <c r="A633" s="346"/>
      <c r="B633" s="346"/>
      <c r="C633" s="345"/>
      <c r="D633" s="453"/>
      <c r="E633" s="453"/>
      <c r="F633" s="453"/>
      <c r="G633" s="453"/>
      <c r="H633" s="453"/>
      <c r="I633" s="453"/>
      <c r="J633" s="453"/>
      <c r="K633" s="453"/>
      <c r="L633" s="456"/>
      <c r="M633" s="455"/>
      <c r="N633" s="455"/>
      <c r="O633" s="346"/>
      <c r="P633" s="346"/>
      <c r="Q633" s="347"/>
      <c r="R633" s="347"/>
      <c r="S633" s="347"/>
      <c r="T633" s="457"/>
      <c r="U633" s="457"/>
      <c r="V633" s="347"/>
      <c r="W633" s="398"/>
      <c r="X633" s="347"/>
      <c r="Y633" s="347"/>
    </row>
    <row r="634" spans="1:25" ht="18" customHeight="1" x14ac:dyDescent="0.2">
      <c r="A634" s="337"/>
      <c r="B634" s="337"/>
      <c r="C634" s="583" t="s">
        <v>755</v>
      </c>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row>
    <row r="635" spans="1:25" ht="18" customHeight="1" x14ac:dyDescent="0.2">
      <c r="A635" s="337"/>
      <c r="B635" s="337"/>
      <c r="C635" s="592"/>
      <c r="D635" s="592"/>
      <c r="E635" s="592"/>
      <c r="F635" s="592"/>
      <c r="G635" s="592"/>
      <c r="H635" s="592"/>
      <c r="I635" s="592"/>
      <c r="J635" s="592"/>
      <c r="K635" s="592"/>
      <c r="L635" s="592"/>
      <c r="M635" s="592"/>
      <c r="N635" s="592"/>
      <c r="O635" s="592"/>
      <c r="P635" s="592"/>
      <c r="Q635" s="592"/>
      <c r="R635" s="592"/>
      <c r="S635" s="592"/>
      <c r="T635" s="592"/>
      <c r="U635" s="592"/>
      <c r="V635" s="592"/>
      <c r="W635" s="592"/>
      <c r="X635" s="592"/>
      <c r="Y635" s="592"/>
    </row>
    <row r="636" spans="1:25" ht="18" customHeight="1" x14ac:dyDescent="0.2">
      <c r="A636" s="337"/>
      <c r="B636" s="337"/>
      <c r="C636" s="619" t="s">
        <v>225</v>
      </c>
      <c r="D636" s="619"/>
      <c r="E636" s="619"/>
      <c r="F636" s="619"/>
      <c r="G636" s="619"/>
      <c r="H636" s="619"/>
      <c r="I636" s="619"/>
      <c r="J636" s="619"/>
      <c r="K636" s="619"/>
      <c r="L636" s="619"/>
      <c r="M636" s="619"/>
      <c r="N636" s="619"/>
      <c r="O636" s="619"/>
      <c r="P636" s="619"/>
      <c r="Q636" s="619"/>
      <c r="R636" s="619"/>
      <c r="S636" s="619"/>
      <c r="T636" s="448" t="s">
        <v>73</v>
      </c>
      <c r="U636" s="347"/>
      <c r="V636" s="347"/>
      <c r="W636" s="347"/>
      <c r="X636" s="347"/>
      <c r="Y636" s="347"/>
    </row>
    <row r="637" spans="1:25" ht="18" customHeight="1" x14ac:dyDescent="0.2">
      <c r="A637" s="337"/>
      <c r="B637" s="337"/>
      <c r="C637" s="600" t="s">
        <v>220</v>
      </c>
      <c r="D637" s="601"/>
      <c r="E637" s="601"/>
      <c r="F637" s="601"/>
      <c r="G637" s="601"/>
      <c r="H637" s="601"/>
      <c r="I637" s="601"/>
      <c r="J637" s="601"/>
      <c r="K637" s="601"/>
      <c r="L637" s="601"/>
      <c r="M637" s="601"/>
      <c r="N637" s="601"/>
      <c r="O637" s="601"/>
      <c r="P637" s="601"/>
      <c r="Q637" s="601"/>
      <c r="R637" s="601"/>
      <c r="S637" s="602"/>
      <c r="T637" s="629"/>
      <c r="U637" s="630"/>
      <c r="V637" s="630"/>
      <c r="W637" s="631"/>
      <c r="X637" s="632" t="s">
        <v>5</v>
      </c>
      <c r="Y637" s="623"/>
    </row>
    <row r="638" spans="1:25" ht="18" customHeight="1" x14ac:dyDescent="0.2">
      <c r="A638" s="337"/>
      <c r="B638" s="337"/>
      <c r="C638" s="600" t="s">
        <v>227</v>
      </c>
      <c r="D638" s="601"/>
      <c r="E638" s="601"/>
      <c r="F638" s="601"/>
      <c r="G638" s="601"/>
      <c r="H638" s="601"/>
      <c r="I638" s="601"/>
      <c r="J638" s="601"/>
      <c r="K638" s="601"/>
      <c r="L638" s="601"/>
      <c r="M638" s="601"/>
      <c r="N638" s="601"/>
      <c r="O638" s="601"/>
      <c r="P638" s="601"/>
      <c r="Q638" s="601"/>
      <c r="R638" s="601"/>
      <c r="S638" s="601"/>
      <c r="T638" s="458"/>
      <c r="U638" s="458"/>
      <c r="V638" s="458"/>
      <c r="W638" s="458"/>
      <c r="X638" s="458"/>
      <c r="Y638" s="459"/>
    </row>
    <row r="639" spans="1:25" ht="18" customHeight="1" x14ac:dyDescent="0.2">
      <c r="A639" s="337"/>
      <c r="B639" s="337"/>
      <c r="C639" s="449"/>
      <c r="D639" s="620" t="s">
        <v>221</v>
      </c>
      <c r="E639" s="620"/>
      <c r="F639" s="620"/>
      <c r="G639" s="620"/>
      <c r="H639" s="620"/>
      <c r="I639" s="620"/>
      <c r="J639" s="620"/>
      <c r="K639" s="620"/>
      <c r="L639" s="620"/>
      <c r="M639" s="620"/>
      <c r="N639" s="620"/>
      <c r="O639" s="620"/>
      <c r="P639" s="620"/>
      <c r="Q639" s="620"/>
      <c r="R639" s="620"/>
      <c r="S639" s="620"/>
      <c r="T639" s="621"/>
      <c r="U639" s="621"/>
      <c r="V639" s="621"/>
      <c r="W639" s="621"/>
      <c r="X639" s="622" t="s">
        <v>5</v>
      </c>
      <c r="Y639" s="623"/>
    </row>
    <row r="640" spans="1:25" ht="18" customHeight="1" x14ac:dyDescent="0.2">
      <c r="A640" s="337"/>
      <c r="B640" s="337"/>
      <c r="C640" s="451"/>
      <c r="D640" s="624" t="s">
        <v>222</v>
      </c>
      <c r="E640" s="577"/>
      <c r="F640" s="577"/>
      <c r="G640" s="577"/>
      <c r="H640" s="577"/>
      <c r="I640" s="577"/>
      <c r="J640" s="577"/>
      <c r="K640" s="577"/>
      <c r="L640" s="577"/>
      <c r="M640" s="577"/>
      <c r="N640" s="577"/>
      <c r="O640" s="577"/>
      <c r="P640" s="577"/>
      <c r="Q640" s="577"/>
      <c r="R640" s="577"/>
      <c r="S640" s="577"/>
      <c r="T640" s="588"/>
      <c r="U640" s="588"/>
      <c r="V640" s="588"/>
      <c r="W640" s="588"/>
      <c r="X640" s="579" t="s">
        <v>5</v>
      </c>
      <c r="Y640" s="579"/>
    </row>
    <row r="641" spans="1:25" ht="18" customHeight="1" thickBot="1" x14ac:dyDescent="0.25">
      <c r="C641" s="611" t="s">
        <v>486</v>
      </c>
      <c r="D641" s="612"/>
      <c r="E641" s="612"/>
      <c r="F641" s="612"/>
      <c r="G641" s="612"/>
      <c r="H641" s="612"/>
      <c r="I641" s="612"/>
      <c r="J641" s="612"/>
      <c r="K641" s="612"/>
      <c r="L641" s="612"/>
      <c r="M641" s="612"/>
      <c r="N641" s="612"/>
      <c r="O641" s="612"/>
      <c r="P641" s="612"/>
      <c r="Q641" s="612"/>
      <c r="R641" s="612"/>
      <c r="S641" s="613"/>
      <c r="T641" s="614" t="str">
        <f>IF(COUNTA($T$639:$W$640,$T$637)=0,"",SUM($T$639:$W$640,$T$637))</f>
        <v/>
      </c>
      <c r="U641" s="615"/>
      <c r="V641" s="615"/>
      <c r="W641" s="616"/>
      <c r="X641" s="617" t="s">
        <v>5</v>
      </c>
      <c r="Y641" s="618"/>
    </row>
    <row r="642" spans="1:25" ht="18" customHeight="1" thickBot="1" x14ac:dyDescent="0.25">
      <c r="A642" s="337"/>
      <c r="B642" s="337"/>
      <c r="C642" s="345"/>
      <c r="D642" s="382"/>
      <c r="E642" s="382"/>
      <c r="F642" s="382"/>
      <c r="G642" s="382"/>
      <c r="H642" s="382"/>
      <c r="I642" s="382"/>
      <c r="J642" s="382"/>
      <c r="K642" s="460"/>
      <c r="L642" s="382"/>
      <c r="M642" s="382"/>
      <c r="N642" s="382"/>
      <c r="O642" s="382"/>
      <c r="P642" s="382"/>
      <c r="Q642" s="382"/>
      <c r="R642" s="382"/>
      <c r="S642" s="382"/>
      <c r="T642" s="395"/>
      <c r="U642" s="396"/>
      <c r="V642" s="396"/>
      <c r="W642" s="397" t="str">
        <f>CONCATENATE(IF(COUNTIF($C$465:$C$479,"FA.1")+COUNTIF($C$465:$C$479,"FB.1")+COUNTIF($C$465:$C$479,"FB.2")+COUNTIF($C$465:$C$479,"FB.3")+COUNTIF($C$465:$C$479,"FB.4")=0,"",IF(AND(OR(COUNTIF($C$465:$C$479,"FA.1")&gt;0,COUNTIF($C$465:$C$479,"FB.1")&gt;0,COUNTIF($C$465:$C$479,"FB.2")&gt;0,COUNTIF($C$465:$C$479,"FB.3")&gt;0,COUNTIF($C$465:$C$479,"FB.4")&gt;0),COUNTA($T$637,$T$639:$T$640)=0),"Les habitats mentionnés ici ont été observés dans le site (voir question 39), renseignez les types de couverts herbacés.",IF($T$641&lt;&gt;(SUMIF($C$465:$C$479,"FA.1",$T$465:$T$479)+SUMIF($C$465:$C$479,"FB.1",$T$465:$T$479)+SUMIF($C$465:$C$479,"FB.2",$T$465:$T$479)+SUMIF($C$465:$C$479,"FB.3",$T$465:$T$479)+SUMIF($C$465:$C$479,"FB.4",$T$465:$T$479)),"La somme renseignée ici doit être égale à la somme des proportions des habitats FA.1, FB.1, FB.2, FB.3, FB.4 dans le site. ",""))),IF(AND(COUNTIF($C$465:$C$479,"FA.1")+COUNTIF($C$465:$C$479,"FB.1")+COUNTIF($C$465:$C$479,"FB.2")+COUNTIF($C$465:$C$479,"FB.3")+COUNTIF($C$465:$C$479,"FB.4")=0,SUM($T$637,$T$639:$T$640)&gt;0),"Les habitats mentionnés ici n’ont pas été détectés dans la question 39, ne répondez pas à la question. ",""))</f>
        <v/>
      </c>
      <c r="X642" s="382"/>
      <c r="Y642" s="382"/>
    </row>
    <row r="643" spans="1:25" ht="18" customHeight="1" x14ac:dyDescent="0.2">
      <c r="A643" s="337"/>
      <c r="B643" s="337"/>
      <c r="C643" s="345"/>
      <c r="D643" s="382"/>
      <c r="E643" s="382"/>
      <c r="F643" s="382"/>
      <c r="G643" s="382"/>
      <c r="H643" s="382"/>
      <c r="I643" s="382"/>
      <c r="J643" s="382"/>
      <c r="K643" s="382"/>
      <c r="L643" s="382"/>
      <c r="M643" s="382"/>
      <c r="N643" s="382"/>
      <c r="O643" s="382"/>
      <c r="P643" s="382"/>
      <c r="Q643" s="382"/>
      <c r="R643" s="382"/>
      <c r="S643" s="382"/>
      <c r="T643" s="347"/>
      <c r="U643" s="347"/>
      <c r="V643" s="347"/>
      <c r="W643" s="382"/>
      <c r="X643" s="382"/>
      <c r="Y643" s="382"/>
    </row>
    <row r="644" spans="1:25" ht="18" customHeight="1" x14ac:dyDescent="0.2">
      <c r="A644" s="337"/>
      <c r="B644" s="337"/>
      <c r="C644" s="583" t="s">
        <v>756</v>
      </c>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row>
    <row r="645" spans="1:25" ht="18" customHeight="1" x14ac:dyDescent="0.2">
      <c r="A645" s="337"/>
      <c r="B645" s="337"/>
      <c r="C645" s="592"/>
      <c r="D645" s="592"/>
      <c r="E645" s="592"/>
      <c r="F645" s="592"/>
      <c r="G645" s="592"/>
      <c r="H645" s="592"/>
      <c r="I645" s="592"/>
      <c r="J645" s="592"/>
      <c r="K645" s="592"/>
      <c r="L645" s="592"/>
      <c r="M645" s="592"/>
      <c r="N645" s="592"/>
      <c r="O645" s="592"/>
      <c r="P645" s="592"/>
      <c r="Q645" s="592"/>
      <c r="R645" s="592"/>
      <c r="S645" s="592"/>
      <c r="T645" s="592"/>
      <c r="U645" s="592"/>
      <c r="V645" s="592"/>
      <c r="W645" s="592"/>
      <c r="X645" s="592"/>
      <c r="Y645" s="592"/>
    </row>
    <row r="646" spans="1:25" ht="18" customHeight="1" x14ac:dyDescent="0.2">
      <c r="A646" s="337"/>
      <c r="B646" s="337"/>
      <c r="C646" s="619" t="s">
        <v>226</v>
      </c>
      <c r="D646" s="619"/>
      <c r="E646" s="619"/>
      <c r="F646" s="619"/>
      <c r="G646" s="619"/>
      <c r="H646" s="619"/>
      <c r="I646" s="619"/>
      <c r="J646" s="619"/>
      <c r="K646" s="619"/>
      <c r="L646" s="619"/>
      <c r="M646" s="619"/>
      <c r="N646" s="619"/>
      <c r="O646" s="619"/>
      <c r="P646" s="619"/>
      <c r="Q646" s="619"/>
      <c r="R646" s="619"/>
      <c r="S646" s="619"/>
      <c r="T646" s="461" t="s">
        <v>73</v>
      </c>
      <c r="U646" s="462"/>
      <c r="V646" s="462"/>
      <c r="W646" s="462"/>
      <c r="X646" s="462"/>
      <c r="Y646" s="462"/>
    </row>
    <row r="647" spans="1:25" ht="18" customHeight="1" x14ac:dyDescent="0.2">
      <c r="A647" s="337"/>
      <c r="B647" s="337"/>
      <c r="C647" s="600" t="s">
        <v>220</v>
      </c>
      <c r="D647" s="601"/>
      <c r="E647" s="601"/>
      <c r="F647" s="601"/>
      <c r="G647" s="601"/>
      <c r="H647" s="601"/>
      <c r="I647" s="601"/>
      <c r="J647" s="601"/>
      <c r="K647" s="601"/>
      <c r="L647" s="601"/>
      <c r="M647" s="601"/>
      <c r="N647" s="601"/>
      <c r="O647" s="601"/>
      <c r="P647" s="601"/>
      <c r="Q647" s="601"/>
      <c r="R647" s="601"/>
      <c r="S647" s="601"/>
      <c r="T647" s="601"/>
      <c r="U647" s="601"/>
      <c r="V647" s="601"/>
      <c r="W647" s="601"/>
      <c r="X647" s="601"/>
      <c r="Y647" s="602"/>
    </row>
    <row r="648" spans="1:25" ht="18" customHeight="1" x14ac:dyDescent="0.2">
      <c r="A648" s="337"/>
      <c r="C648" s="463"/>
      <c r="D648" s="562" t="s">
        <v>517</v>
      </c>
      <c r="E648" s="562"/>
      <c r="F648" s="562"/>
      <c r="G648" s="562"/>
      <c r="H648" s="562"/>
      <c r="I648" s="562"/>
      <c r="J648" s="562"/>
      <c r="K648" s="562"/>
      <c r="L648" s="562"/>
      <c r="M648" s="562"/>
      <c r="N648" s="562"/>
      <c r="O648" s="562"/>
      <c r="P648" s="562"/>
      <c r="Q648" s="562"/>
      <c r="R648" s="562"/>
      <c r="S648" s="562"/>
      <c r="T648" s="599"/>
      <c r="U648" s="599"/>
      <c r="V648" s="599"/>
      <c r="W648" s="599"/>
      <c r="X648" s="579" t="s">
        <v>5</v>
      </c>
      <c r="Y648" s="579"/>
    </row>
    <row r="649" spans="1:25" ht="18" customHeight="1" x14ac:dyDescent="0.2">
      <c r="A649" s="337"/>
      <c r="C649" s="463"/>
      <c r="D649" s="597" t="s">
        <v>518</v>
      </c>
      <c r="E649" s="598"/>
      <c r="F649" s="598"/>
      <c r="G649" s="598"/>
      <c r="H649" s="598"/>
      <c r="I649" s="598"/>
      <c r="J649" s="598"/>
      <c r="K649" s="598"/>
      <c r="L649" s="598"/>
      <c r="M649" s="598"/>
      <c r="N649" s="598"/>
      <c r="O649" s="598"/>
      <c r="P649" s="598"/>
      <c r="Q649" s="598"/>
      <c r="R649" s="598"/>
      <c r="S649" s="598"/>
      <c r="T649" s="599"/>
      <c r="U649" s="599"/>
      <c r="V649" s="599"/>
      <c r="W649" s="599"/>
      <c r="X649" s="603" t="s">
        <v>5</v>
      </c>
      <c r="Y649" s="604"/>
    </row>
    <row r="650" spans="1:25" ht="18" customHeight="1" x14ac:dyDescent="0.2">
      <c r="A650" s="337"/>
      <c r="C650" s="600" t="s">
        <v>223</v>
      </c>
      <c r="D650" s="601"/>
      <c r="E650" s="601"/>
      <c r="F650" s="601"/>
      <c r="G650" s="601"/>
      <c r="H650" s="601"/>
      <c r="I650" s="601"/>
      <c r="J650" s="601"/>
      <c r="K650" s="601"/>
      <c r="L650" s="601"/>
      <c r="M650" s="601"/>
      <c r="N650" s="601"/>
      <c r="O650" s="601"/>
      <c r="P650" s="601"/>
      <c r="Q650" s="601"/>
      <c r="R650" s="601"/>
      <c r="S650" s="601"/>
      <c r="T650" s="601"/>
      <c r="U650" s="601"/>
      <c r="V650" s="601"/>
      <c r="W650" s="601"/>
      <c r="X650" s="601"/>
      <c r="Y650" s="602"/>
    </row>
    <row r="651" spans="1:25" ht="18" customHeight="1" x14ac:dyDescent="0.2">
      <c r="A651" s="337"/>
      <c r="C651" s="463"/>
      <c r="D651" s="597" t="s">
        <v>517</v>
      </c>
      <c r="E651" s="598"/>
      <c r="F651" s="598"/>
      <c r="G651" s="598"/>
      <c r="H651" s="598"/>
      <c r="I651" s="598"/>
      <c r="J651" s="598"/>
      <c r="K651" s="598"/>
      <c r="L651" s="598"/>
      <c r="M651" s="598"/>
      <c r="N651" s="598"/>
      <c r="O651" s="598"/>
      <c r="P651" s="598"/>
      <c r="Q651" s="598"/>
      <c r="R651" s="598"/>
      <c r="S651" s="598"/>
      <c r="T651" s="599"/>
      <c r="U651" s="599"/>
      <c r="V651" s="599"/>
      <c r="W651" s="599"/>
      <c r="X651" s="579" t="s">
        <v>5</v>
      </c>
      <c r="Y651" s="579"/>
    </row>
    <row r="652" spans="1:25" ht="18" customHeight="1" x14ac:dyDescent="0.2">
      <c r="A652" s="337"/>
      <c r="C652" s="464"/>
      <c r="D652" s="605" t="s">
        <v>519</v>
      </c>
      <c r="E652" s="606"/>
      <c r="F652" s="606"/>
      <c r="G652" s="606"/>
      <c r="H652" s="606"/>
      <c r="I652" s="606"/>
      <c r="J652" s="606"/>
      <c r="K652" s="606"/>
      <c r="L652" s="606"/>
      <c r="M652" s="606"/>
      <c r="N652" s="606"/>
      <c r="O652" s="606"/>
      <c r="P652" s="606"/>
      <c r="Q652" s="606"/>
      <c r="R652" s="606"/>
      <c r="S652" s="607"/>
      <c r="T652" s="599"/>
      <c r="U652" s="599"/>
      <c r="V652" s="599"/>
      <c r="W652" s="599"/>
      <c r="X652" s="579" t="s">
        <v>5</v>
      </c>
      <c r="Y652" s="579"/>
    </row>
    <row r="653" spans="1:25" ht="18" customHeight="1" x14ac:dyDescent="0.2">
      <c r="A653" s="337"/>
      <c r="C653" s="600" t="s">
        <v>520</v>
      </c>
      <c r="D653" s="601"/>
      <c r="E653" s="601"/>
      <c r="F653" s="601"/>
      <c r="G653" s="601"/>
      <c r="H653" s="601"/>
      <c r="I653" s="601"/>
      <c r="J653" s="601"/>
      <c r="K653" s="601"/>
      <c r="L653" s="601"/>
      <c r="M653" s="601"/>
      <c r="N653" s="601"/>
      <c r="O653" s="601"/>
      <c r="P653" s="601"/>
      <c r="Q653" s="601"/>
      <c r="R653" s="601"/>
      <c r="S653" s="601"/>
      <c r="T653" s="601"/>
      <c r="U653" s="601"/>
      <c r="V653" s="601"/>
      <c r="W653" s="601"/>
      <c r="X653" s="601"/>
      <c r="Y653" s="602"/>
    </row>
    <row r="654" spans="1:25" ht="18" customHeight="1" x14ac:dyDescent="0.2">
      <c r="A654" s="337"/>
      <c r="C654" s="608" t="s">
        <v>224</v>
      </c>
      <c r="D654" s="609"/>
      <c r="E654" s="609"/>
      <c r="F654" s="609"/>
      <c r="G654" s="609"/>
      <c r="H654" s="609"/>
      <c r="I654" s="609"/>
      <c r="J654" s="609"/>
      <c r="K654" s="609"/>
      <c r="L654" s="609"/>
      <c r="M654" s="609"/>
      <c r="N654" s="609"/>
      <c r="O654" s="609"/>
      <c r="P654" s="609"/>
      <c r="Q654" s="609"/>
      <c r="R654" s="609"/>
      <c r="S654" s="610"/>
      <c r="T654" s="599"/>
      <c r="U654" s="599"/>
      <c r="V654" s="599"/>
      <c r="W654" s="599"/>
      <c r="X654" s="579" t="s">
        <v>5</v>
      </c>
      <c r="Y654" s="579"/>
    </row>
    <row r="655" spans="1:25" ht="18" customHeight="1" thickBot="1" x14ac:dyDescent="0.25">
      <c r="C655" s="611" t="s">
        <v>486</v>
      </c>
      <c r="D655" s="612"/>
      <c r="E655" s="612"/>
      <c r="F655" s="612"/>
      <c r="G655" s="612"/>
      <c r="H655" s="612"/>
      <c r="I655" s="612"/>
      <c r="J655" s="612"/>
      <c r="K655" s="612"/>
      <c r="L655" s="612"/>
      <c r="M655" s="612"/>
      <c r="N655" s="612"/>
      <c r="O655" s="612"/>
      <c r="P655" s="612"/>
      <c r="Q655" s="612"/>
      <c r="R655" s="612"/>
      <c r="S655" s="613"/>
      <c r="T655" s="614" t="str">
        <f>IF(COUNTA($T$648:$W$649,$T$651:$W$652,$T$654)=0,"",SUM($T$648:$W$649,$T$651:$W$652,$T$654))</f>
        <v/>
      </c>
      <c r="U655" s="615"/>
      <c r="V655" s="615"/>
      <c r="W655" s="616"/>
      <c r="X655" s="790" t="s">
        <v>5</v>
      </c>
      <c r="Y655" s="683"/>
    </row>
    <row r="656" spans="1:25" ht="18" customHeight="1" thickBot="1" x14ac:dyDescent="0.25">
      <c r="A656" s="337"/>
      <c r="B656" s="337"/>
      <c r="C656" s="345"/>
      <c r="D656" s="337"/>
      <c r="E656" s="337"/>
      <c r="F656" s="337"/>
      <c r="G656" s="337"/>
      <c r="H656" s="337"/>
      <c r="I656" s="337"/>
      <c r="J656" s="337"/>
      <c r="K656" s="337"/>
      <c r="L656" s="337"/>
      <c r="M656" s="337"/>
      <c r="N656" s="337"/>
      <c r="O656" s="337"/>
      <c r="T656" s="395"/>
      <c r="U656" s="396"/>
      <c r="V656" s="396"/>
      <c r="W656" s="397" t="str">
        <f>CONCATENATE(IF(COUNTIF($C$465:$C$479,"G1.C")+COUNTIF($C$465:$C$479,"G1.D")+COUNTIF($C$465:$C$479,"G2.8")+COUNTIF($C$465:$C$479,"G2.9")+COUNTIF($C$465:$C$479,"G3.F")=0,"",IF(AND(OR(COUNTIF($C$465:$C$479,"G1.C")&gt;0,COUNTIF($C$465:$C$479,"G1.D")&gt;0,COUNTIF($C$465:$C$479,"G2.8")&gt;0,COUNTIF($C$465:$C$479,"G2.9")&gt;0,COUNTIF($C$465:$C$479,"G3.F")&gt;0),COUNTA($T$648:$W$649,$T$651:$W$652,$T$654)=0),"Les habitats mentionnés ici ont été observés dans le site (voir question 39), renseignez les types de couverts herbacés et arbustifs. ",IF($T$655&lt;&gt;(SUMIF($C$465:$C$479,"G1.C",T465:T479)+SUMIF($C$465:$C$479,"G1.D",$T$465:$T$479)+SUMIF($C$465:$C$479,"G2.8",$T$465:$T$479)+SUMIF($C$465:$C$479,"G2.9",$T$465:$T$479)+SUMIF($C$465:$C$479,"G3.F",$T$465:$T$479)),"La somme renseignée ici doit être égale à la somme des proportions des habitats G1.C, G1.D, G2.8, G2.9, G3.F dans le site. ",""))),IF(AND(COUNTIF($C$465:$C$479,"G1.C")+COUNTIF($C$465:$C$479,"G1.D")+COUNTIF($C$465:$C$479,"G2.8")+COUNTIF($C$465:$C$479,"G2.9")+COUNTIF($C$465:$C$479,"G3.F")=0,SUM($T$648:$W$649,$T$651:$W$652,$T$654)&gt;0),"Les habitats mentionnés ici n’ont pas été détectés dans la question 39, ne répondez pas à la question. ",""))</f>
        <v/>
      </c>
      <c r="Y656" s="465"/>
    </row>
    <row r="657" spans="1:25" ht="18" customHeight="1" x14ac:dyDescent="0.2">
      <c r="A657" s="337"/>
      <c r="B657" s="337"/>
      <c r="C657" s="345"/>
      <c r="D657" s="337"/>
      <c r="E657" s="337"/>
      <c r="F657" s="337"/>
      <c r="G657" s="337"/>
      <c r="H657" s="337"/>
      <c r="I657" s="337"/>
      <c r="J657" s="337"/>
      <c r="K657" s="337"/>
      <c r="L657" s="337"/>
      <c r="M657" s="337"/>
      <c r="N657" s="337"/>
      <c r="O657" s="337"/>
      <c r="T657" s="347"/>
      <c r="U657" s="347"/>
      <c r="V657" s="347"/>
      <c r="W657" s="398"/>
    </row>
    <row r="658" spans="1:25" ht="33.75" customHeight="1" x14ac:dyDescent="0.2">
      <c r="A658" s="337"/>
      <c r="B658" s="337"/>
      <c r="C658" s="341" t="s">
        <v>393</v>
      </c>
      <c r="D658" s="695" t="s">
        <v>410</v>
      </c>
      <c r="E658" s="696"/>
      <c r="F658" s="696"/>
      <c r="G658" s="696"/>
      <c r="H658" s="696"/>
      <c r="I658" s="696"/>
      <c r="J658" s="696"/>
      <c r="K658" s="696"/>
      <c r="L658" s="696"/>
      <c r="M658" s="696"/>
      <c r="N658" s="696"/>
      <c r="O658" s="696"/>
      <c r="P658" s="696"/>
      <c r="Q658" s="696"/>
      <c r="R658" s="696"/>
      <c r="S658" s="696"/>
      <c r="T658" s="696"/>
      <c r="U658" s="696"/>
      <c r="V658" s="696"/>
      <c r="W658" s="696"/>
      <c r="X658" s="696"/>
      <c r="Y658" s="697"/>
    </row>
    <row r="659" spans="1:25" ht="18" customHeight="1" x14ac:dyDescent="0.2">
      <c r="A659" s="337"/>
      <c r="B659" s="337"/>
      <c r="C659" s="517"/>
      <c r="D659" s="517"/>
      <c r="E659" s="517"/>
      <c r="F659" s="517"/>
      <c r="G659" s="517"/>
      <c r="H659" s="517"/>
      <c r="I659" s="517"/>
      <c r="J659" s="517"/>
      <c r="K659" s="517"/>
      <c r="L659" s="517"/>
      <c r="M659" s="517"/>
      <c r="N659" s="517"/>
      <c r="O659" s="517"/>
      <c r="P659" s="517"/>
      <c r="Q659" s="517"/>
      <c r="R659" s="517"/>
      <c r="S659" s="517"/>
      <c r="T659" s="517"/>
      <c r="U659" s="517"/>
      <c r="V659" s="517"/>
      <c r="W659" s="517"/>
      <c r="X659" s="517"/>
      <c r="Y659" s="517"/>
    </row>
    <row r="660" spans="1:25" ht="18" customHeight="1" x14ac:dyDescent="0.2">
      <c r="A660" s="337"/>
      <c r="B660" s="337"/>
      <c r="C660" s="581" t="s">
        <v>325</v>
      </c>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row>
    <row r="661" spans="1:25" ht="18" customHeight="1" x14ac:dyDescent="0.2">
      <c r="A661" s="337"/>
      <c r="B661" s="337"/>
      <c r="C661" s="466" t="s">
        <v>236</v>
      </c>
      <c r="D661" s="466"/>
      <c r="E661" s="337"/>
      <c r="H661" s="369" t="s">
        <v>268</v>
      </c>
      <c r="I661" s="353" t="s">
        <v>28</v>
      </c>
      <c r="J661" s="588"/>
      <c r="K661" s="588"/>
      <c r="P661" s="339"/>
      <c r="Q661" s="368"/>
      <c r="R661" s="368"/>
      <c r="S661" s="369" t="s">
        <v>29</v>
      </c>
      <c r="T661" s="588"/>
      <c r="U661" s="588"/>
      <c r="V661" s="588"/>
      <c r="W661" s="588"/>
    </row>
    <row r="662" spans="1:25" ht="18" customHeight="1" thickBot="1" x14ac:dyDescent="0.25">
      <c r="A662" s="337"/>
      <c r="B662" s="337"/>
      <c r="C662" s="354"/>
      <c r="D662" s="354"/>
      <c r="E662" s="337"/>
      <c r="H662" s="369" t="s">
        <v>269</v>
      </c>
      <c r="I662" s="353" t="s">
        <v>28</v>
      </c>
      <c r="J662" s="588"/>
      <c r="K662" s="588"/>
      <c r="P662" s="339"/>
      <c r="Q662" s="368"/>
      <c r="R662" s="368"/>
      <c r="S662" s="369" t="s">
        <v>29</v>
      </c>
      <c r="T662" s="588"/>
      <c r="U662" s="588"/>
      <c r="V662" s="588"/>
      <c r="W662" s="588"/>
    </row>
    <row r="663" spans="1:25" ht="18" customHeight="1" thickBot="1" x14ac:dyDescent="0.25">
      <c r="A663" s="337"/>
      <c r="B663" s="337"/>
      <c r="C663" s="337"/>
      <c r="D663" s="337"/>
      <c r="E663" s="337"/>
      <c r="F663" s="337"/>
      <c r="G663" s="337"/>
      <c r="H663" s="337"/>
      <c r="I663" s="337"/>
      <c r="J663" s="337"/>
      <c r="K663" s="337"/>
      <c r="L663" s="337"/>
      <c r="M663" s="337"/>
      <c r="N663" s="337"/>
      <c r="O663" s="337"/>
      <c r="T663" s="395"/>
      <c r="U663" s="396"/>
      <c r="V663" s="396"/>
      <c r="W663" s="397" t="str">
        <f>CONCATENATE(IF(COUNTA($J$661,$J$662,$T$661,$T$662)=0,"",IF(COUNTA($J$661,$J$662,$T$661,$T$662)&lt;&gt;2,"2 réponses nécessaires. ","")),IF(AND($T$121="X",$J$662&lt;&gt;"X"),"Site dans un système de versant et bas-versant, improbable qu'il n'y ait pas de source dans le site et la zone tampon. ",""))</f>
        <v/>
      </c>
    </row>
    <row r="664" spans="1:25" ht="18" customHeight="1" x14ac:dyDescent="0.2">
      <c r="A664" s="337"/>
      <c r="B664" s="337"/>
      <c r="C664" s="345"/>
      <c r="D664" s="337"/>
      <c r="E664" s="337"/>
      <c r="F664" s="337"/>
      <c r="G664" s="337"/>
      <c r="H664" s="337"/>
      <c r="I664" s="337"/>
      <c r="J664" s="337"/>
      <c r="K664" s="337"/>
      <c r="L664" s="337"/>
      <c r="M664" s="337"/>
      <c r="N664" s="337"/>
      <c r="O664" s="337"/>
    </row>
    <row r="665" spans="1:25" ht="18" customHeight="1" x14ac:dyDescent="0.2">
      <c r="A665" s="337"/>
      <c r="B665" s="337"/>
      <c r="C665" s="583" t="s">
        <v>378</v>
      </c>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row>
    <row r="666" spans="1:25" ht="18" customHeight="1" x14ac:dyDescent="0.2">
      <c r="A666" s="337"/>
      <c r="B666" s="337"/>
      <c r="C666" s="592"/>
      <c r="D666" s="592"/>
      <c r="E666" s="592"/>
      <c r="F666" s="592"/>
      <c r="G666" s="592"/>
      <c r="H666" s="592"/>
      <c r="I666" s="592"/>
      <c r="J666" s="592"/>
      <c r="K666" s="592"/>
      <c r="L666" s="592"/>
      <c r="M666" s="592"/>
      <c r="N666" s="592"/>
      <c r="O666" s="592"/>
      <c r="P666" s="592"/>
      <c r="Q666" s="592"/>
      <c r="R666" s="592"/>
      <c r="S666" s="592"/>
      <c r="T666" s="592"/>
      <c r="U666" s="592"/>
      <c r="V666" s="592"/>
      <c r="W666" s="592"/>
      <c r="X666" s="592"/>
      <c r="Y666" s="592"/>
    </row>
    <row r="667" spans="1:25" ht="18" customHeight="1" x14ac:dyDescent="0.2">
      <c r="A667" s="337"/>
      <c r="B667" s="337"/>
      <c r="C667" s="346"/>
      <c r="D667" s="346"/>
      <c r="E667" s="346"/>
      <c r="F667" s="346"/>
      <c r="G667" s="346"/>
      <c r="H667" s="346"/>
      <c r="I667" s="346"/>
      <c r="J667" s="594" t="s">
        <v>78</v>
      </c>
      <c r="K667" s="594"/>
      <c r="L667" s="594"/>
      <c r="M667" s="346"/>
      <c r="N667" s="595" t="s">
        <v>379</v>
      </c>
      <c r="O667" s="595"/>
      <c r="P667" s="595"/>
      <c r="Q667" s="595"/>
      <c r="R667" s="595"/>
      <c r="S667" s="346"/>
      <c r="T667" s="594" t="s">
        <v>80</v>
      </c>
      <c r="U667" s="594"/>
      <c r="V667" s="594"/>
      <c r="W667" s="594"/>
      <c r="X667" s="594"/>
      <c r="Y667" s="594"/>
    </row>
    <row r="668" spans="1:25" ht="18" customHeight="1" x14ac:dyDescent="0.2">
      <c r="A668" s="337"/>
      <c r="B668" s="337"/>
      <c r="C668" s="346"/>
      <c r="D668" s="346"/>
      <c r="E668" s="346"/>
      <c r="F668" s="346"/>
      <c r="G668" s="346"/>
      <c r="H668" s="346"/>
      <c r="I668" s="346"/>
      <c r="J668" s="594" t="s">
        <v>77</v>
      </c>
      <c r="K668" s="594"/>
      <c r="L668" s="594"/>
      <c r="M668" s="346"/>
      <c r="N668" s="596"/>
      <c r="O668" s="596"/>
      <c r="P668" s="596"/>
      <c r="Q668" s="596"/>
      <c r="R668" s="596"/>
      <c r="S668" s="346"/>
      <c r="T668" s="594" t="s">
        <v>81</v>
      </c>
      <c r="U668" s="594"/>
      <c r="V668" s="594"/>
      <c r="W668" s="594"/>
      <c r="X668" s="594"/>
      <c r="Y668" s="594"/>
    </row>
    <row r="669" spans="1:25" ht="18" customHeight="1" x14ac:dyDescent="0.2">
      <c r="A669" s="337"/>
      <c r="B669" s="337"/>
      <c r="C669" s="346"/>
      <c r="D669" s="346"/>
      <c r="E669" s="346"/>
      <c r="F669" s="346"/>
      <c r="G669" s="346"/>
      <c r="H669" s="362" t="s">
        <v>38</v>
      </c>
      <c r="I669" s="346"/>
      <c r="J669" s="761"/>
      <c r="K669" s="762"/>
      <c r="L669" s="518" t="s">
        <v>6</v>
      </c>
      <c r="M669" s="346"/>
      <c r="N669" s="701"/>
      <c r="O669" s="701"/>
      <c r="P669" s="701"/>
      <c r="Q669" s="763" t="s">
        <v>6</v>
      </c>
      <c r="R669" s="763"/>
      <c r="S669" s="346"/>
      <c r="T669" s="761"/>
      <c r="U669" s="764"/>
      <c r="V669" s="764"/>
      <c r="W669" s="762"/>
      <c r="X669" s="765" t="s">
        <v>6</v>
      </c>
      <c r="Y669" s="765"/>
    </row>
    <row r="670" spans="1:25" ht="18" customHeight="1" thickBot="1" x14ac:dyDescent="0.3">
      <c r="A670" s="337"/>
      <c r="B670" s="337"/>
      <c r="C670" s="346"/>
      <c r="D670" s="346"/>
      <c r="E670" s="346"/>
      <c r="F670" s="346"/>
      <c r="G670" s="346"/>
      <c r="H670" s="362" t="s">
        <v>76</v>
      </c>
      <c r="I670" s="346"/>
      <c r="J670" s="701"/>
      <c r="K670" s="766"/>
      <c r="L670" s="518" t="s">
        <v>6</v>
      </c>
      <c r="M670" s="346"/>
      <c r="N670" s="701"/>
      <c r="O670" s="701"/>
      <c r="P670" s="701"/>
      <c r="Q670" s="763" t="s">
        <v>6</v>
      </c>
      <c r="R670" s="763"/>
      <c r="S670" s="346"/>
      <c r="T670" s="761"/>
      <c r="U670" s="764"/>
      <c r="V670" s="764"/>
      <c r="W670" s="762"/>
      <c r="X670" s="765" t="s">
        <v>6</v>
      </c>
      <c r="Y670" s="765"/>
    </row>
    <row r="671" spans="1:25" ht="18" customHeight="1" thickBot="1" x14ac:dyDescent="0.25">
      <c r="A671" s="337"/>
      <c r="B671" s="337"/>
      <c r="C671" s="345"/>
      <c r="D671" s="337"/>
      <c r="E671" s="337"/>
      <c r="F671" s="337"/>
      <c r="G671" s="337"/>
      <c r="H671" s="337"/>
      <c r="I671" s="337"/>
      <c r="J671" s="337"/>
      <c r="K671" s="337"/>
      <c r="L671" s="337"/>
      <c r="M671" s="337"/>
      <c r="N671" s="337"/>
      <c r="O671" s="337"/>
      <c r="T671" s="395"/>
      <c r="U671" s="396"/>
      <c r="V671" s="396"/>
      <c r="W671" s="397" t="str">
        <f>IF(COUNTA($J$669,$J$670,$N$669,$N$670,$T$669,$T$670)=0,"",IF(COUNTA($J$669,$J$670,$N$669,$N$670,$T$669,$T$670)&lt;6,"Renseignez 6 valeurs en réponse à cette question, y compris les valeurs nulles. ",""))</f>
        <v/>
      </c>
    </row>
    <row r="672" spans="1:25" ht="18" customHeight="1" x14ac:dyDescent="0.2">
      <c r="A672" s="337"/>
      <c r="B672" s="337"/>
      <c r="C672" s="345"/>
      <c r="D672" s="337"/>
      <c r="E672" s="337"/>
      <c r="F672" s="337"/>
      <c r="G672" s="337"/>
      <c r="H672" s="337"/>
      <c r="I672" s="337"/>
      <c r="J672" s="337"/>
      <c r="K672" s="337"/>
      <c r="L672" s="337"/>
      <c r="M672" s="337"/>
      <c r="N672" s="337"/>
      <c r="O672" s="337"/>
    </row>
    <row r="673" spans="1:25" ht="18" customHeight="1" x14ac:dyDescent="0.2">
      <c r="A673" s="337"/>
      <c r="B673" s="337"/>
      <c r="C673" s="345"/>
      <c r="D673" s="337"/>
      <c r="E673" s="337"/>
      <c r="F673" s="337"/>
      <c r="G673" s="337"/>
      <c r="H673" s="337"/>
      <c r="I673" s="337"/>
      <c r="J673" s="337"/>
      <c r="K673" s="337"/>
      <c r="L673" s="337"/>
      <c r="M673" s="337"/>
      <c r="N673" s="337"/>
      <c r="O673" s="337"/>
    </row>
    <row r="674" spans="1:25" ht="18" customHeight="1" x14ac:dyDescent="0.2">
      <c r="A674" s="337"/>
      <c r="B674" s="337"/>
      <c r="C674" s="593" t="s">
        <v>481</v>
      </c>
      <c r="D674" s="593"/>
      <c r="E674" s="593"/>
      <c r="F674" s="593"/>
      <c r="G674" s="593"/>
      <c r="H674" s="593"/>
      <c r="I674" s="593"/>
      <c r="J674" s="593"/>
      <c r="K674" s="593"/>
      <c r="L674" s="593"/>
      <c r="M674" s="593"/>
      <c r="N674" s="593"/>
      <c r="O674" s="593"/>
      <c r="P674" s="593"/>
      <c r="Q674" s="593"/>
      <c r="R674" s="593"/>
      <c r="S674" s="593"/>
      <c r="T674" s="593"/>
      <c r="U674" s="593"/>
      <c r="V674" s="593"/>
      <c r="W674" s="593"/>
      <c r="X674" s="593"/>
      <c r="Y674" s="593"/>
    </row>
    <row r="675" spans="1:25" ht="18" customHeight="1" x14ac:dyDescent="0.2">
      <c r="A675" s="337"/>
      <c r="B675" s="337"/>
      <c r="C675" s="468"/>
      <c r="D675" s="468"/>
      <c r="E675" s="468"/>
      <c r="F675" s="468"/>
      <c r="G675" s="468"/>
      <c r="H675" s="468"/>
      <c r="I675" s="468"/>
      <c r="J675" s="468"/>
      <c r="K675" s="468"/>
      <c r="L675" s="468"/>
      <c r="M675" s="468"/>
      <c r="N675" s="468"/>
      <c r="O675" s="468"/>
      <c r="P675" s="468"/>
      <c r="Q675" s="468"/>
      <c r="R675" s="468"/>
      <c r="S675" s="468"/>
      <c r="T675" s="468"/>
      <c r="U675" s="468"/>
      <c r="V675" s="468"/>
      <c r="W675" s="468"/>
      <c r="X675" s="468"/>
      <c r="Y675" s="468"/>
    </row>
    <row r="676" spans="1:25" ht="18" customHeight="1" x14ac:dyDescent="0.2">
      <c r="A676" s="337"/>
      <c r="B676" s="337"/>
      <c r="C676" s="581" t="s">
        <v>326</v>
      </c>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row>
    <row r="677" spans="1:25" ht="18" customHeight="1" thickBot="1" x14ac:dyDescent="0.25">
      <c r="A677" s="337"/>
      <c r="B677" s="337"/>
      <c r="C677" s="354" t="s">
        <v>234</v>
      </c>
      <c r="D677" s="354"/>
      <c r="E677" s="337"/>
      <c r="H677" s="368"/>
      <c r="I677" s="353" t="s">
        <v>28</v>
      </c>
      <c r="J677" s="588"/>
      <c r="K677" s="588"/>
      <c r="P677" s="339"/>
      <c r="Q677" s="368"/>
      <c r="R677" s="368"/>
      <c r="S677" s="369" t="s">
        <v>29</v>
      </c>
      <c r="T677" s="588"/>
      <c r="U677" s="588"/>
      <c r="V677" s="588"/>
      <c r="W677" s="588"/>
    </row>
    <row r="678" spans="1:25" ht="18" customHeight="1" thickBot="1" x14ac:dyDescent="0.25">
      <c r="A678" s="337"/>
      <c r="B678" s="337"/>
      <c r="C678" s="345"/>
      <c r="D678" s="337"/>
      <c r="E678" s="337"/>
      <c r="F678" s="337"/>
      <c r="G678" s="337"/>
      <c r="H678" s="337"/>
      <c r="I678" s="337"/>
      <c r="J678" s="337"/>
      <c r="K678" s="337"/>
      <c r="L678" s="337"/>
      <c r="M678" s="337"/>
      <c r="N678" s="337"/>
      <c r="O678" s="337"/>
      <c r="T678" s="395"/>
      <c r="U678" s="396"/>
      <c r="V678" s="396"/>
      <c r="W678" s="397" t="str">
        <f>CONCATENATE(IF(AND(SUM($N$669,$N$670,$T$669,$T$670)&gt;0,COUNTA($J$677,$T$677)=0),"Des fossés et/ou des fossés profonds sont présents dans le site, donc répondez à cette question. ",""),IF(COUNTA($J$677,$T$677)&gt;1,"Une seule réponse est possible.",""))</f>
        <v/>
      </c>
    </row>
    <row r="679" spans="1:25" ht="18" customHeight="1" x14ac:dyDescent="0.2">
      <c r="A679" s="337"/>
      <c r="B679" s="337"/>
      <c r="C679" s="345"/>
      <c r="D679" s="337"/>
      <c r="E679" s="337"/>
      <c r="F679" s="337"/>
      <c r="G679" s="337"/>
      <c r="H679" s="337"/>
      <c r="I679" s="337"/>
      <c r="J679" s="337"/>
      <c r="K679" s="337"/>
      <c r="L679" s="337"/>
      <c r="M679" s="337"/>
      <c r="N679" s="337"/>
      <c r="O679" s="337"/>
    </row>
    <row r="680" spans="1:25" ht="23.1" customHeight="1" x14ac:dyDescent="0.2">
      <c r="A680" s="337"/>
      <c r="B680" s="337"/>
      <c r="C680" s="583" t="s">
        <v>327</v>
      </c>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row>
    <row r="681" spans="1:25" ht="23.1" customHeight="1" x14ac:dyDescent="0.2">
      <c r="A681" s="337"/>
      <c r="B681" s="337"/>
      <c r="C681" s="592"/>
      <c r="D681" s="592"/>
      <c r="E681" s="592"/>
      <c r="F681" s="592"/>
      <c r="G681" s="592"/>
      <c r="H681" s="592"/>
      <c r="I681" s="592"/>
      <c r="J681" s="592"/>
      <c r="K681" s="592"/>
      <c r="L681" s="592"/>
      <c r="M681" s="592"/>
      <c r="N681" s="592"/>
      <c r="O681" s="592"/>
      <c r="P681" s="592"/>
      <c r="Q681" s="592"/>
      <c r="R681" s="592"/>
      <c r="S681" s="592"/>
      <c r="T681" s="592"/>
      <c r="U681" s="592"/>
      <c r="V681" s="592"/>
      <c r="W681" s="592"/>
      <c r="X681" s="592"/>
      <c r="Y681" s="592"/>
    </row>
    <row r="682" spans="1:25" ht="18" customHeight="1" thickBot="1" x14ac:dyDescent="0.25">
      <c r="A682" s="337"/>
      <c r="B682" s="337"/>
      <c r="C682" s="354" t="s">
        <v>234</v>
      </c>
      <c r="D682" s="354"/>
      <c r="E682" s="337"/>
      <c r="H682" s="368"/>
      <c r="I682" s="353" t="s">
        <v>28</v>
      </c>
      <c r="J682" s="588"/>
      <c r="K682" s="588"/>
      <c r="P682" s="339"/>
      <c r="Q682" s="368"/>
      <c r="R682" s="368"/>
      <c r="S682" s="369" t="s">
        <v>29</v>
      </c>
      <c r="T682" s="588"/>
      <c r="U682" s="588"/>
      <c r="V682" s="588"/>
      <c r="W682" s="588"/>
    </row>
    <row r="683" spans="1:25" ht="18" customHeight="1" thickBot="1" x14ac:dyDescent="0.25">
      <c r="A683" s="337"/>
      <c r="B683" s="337"/>
      <c r="C683" s="345"/>
      <c r="D683" s="337"/>
      <c r="E683" s="337"/>
      <c r="F683" s="337"/>
      <c r="G683" s="337"/>
      <c r="H683" s="337"/>
      <c r="I683" s="337"/>
      <c r="J683" s="337"/>
      <c r="K683" s="337"/>
      <c r="L683" s="337"/>
      <c r="M683" s="337"/>
      <c r="N683" s="337"/>
      <c r="O683" s="337"/>
      <c r="T683" s="395"/>
      <c r="U683" s="396"/>
      <c r="V683" s="396"/>
      <c r="W683" s="397" t="str">
        <f>CONCATENATE(IF(AND(SUM($N$669,$N$670,$T$669,$T$670)&gt;0,COUNTA($J$682,$T$682)=0),"Des fossés et/ou des fossés profonds sont présents dans le site, donc répondez à cette question. ",""),IF(COUNTA($J$682,$T$682)&gt;1,"Une seule réponse est possible.",""))</f>
        <v/>
      </c>
    </row>
    <row r="684" spans="1:25" ht="18" customHeight="1" x14ac:dyDescent="0.2">
      <c r="A684" s="337"/>
      <c r="B684" s="337"/>
      <c r="C684" s="345"/>
      <c r="D684" s="337"/>
      <c r="E684" s="337"/>
      <c r="F684" s="337"/>
      <c r="G684" s="337"/>
      <c r="H684" s="337"/>
      <c r="I684" s="337"/>
      <c r="J684" s="337"/>
      <c r="K684" s="337"/>
      <c r="L684" s="337"/>
      <c r="M684" s="337"/>
      <c r="N684" s="337"/>
      <c r="O684" s="337"/>
    </row>
    <row r="685" spans="1:25" ht="18" customHeight="1" x14ac:dyDescent="0.2">
      <c r="A685" s="337"/>
      <c r="B685" s="337"/>
      <c r="C685" s="581" t="s">
        <v>328</v>
      </c>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row>
    <row r="686" spans="1:25" ht="18" customHeight="1" thickBot="1" x14ac:dyDescent="0.25">
      <c r="A686" s="337"/>
      <c r="B686" s="337"/>
      <c r="C686" s="354" t="s">
        <v>234</v>
      </c>
      <c r="D686" s="354"/>
      <c r="E686" s="337"/>
      <c r="H686" s="368"/>
      <c r="I686" s="353" t="s">
        <v>28</v>
      </c>
      <c r="J686" s="588"/>
      <c r="K686" s="588"/>
      <c r="P686" s="339"/>
      <c r="Q686" s="368"/>
      <c r="R686" s="368"/>
      <c r="S686" s="369" t="s">
        <v>29</v>
      </c>
      <c r="T686" s="588"/>
      <c r="U686" s="588"/>
      <c r="V686" s="588"/>
      <c r="W686" s="588"/>
    </row>
    <row r="687" spans="1:25" ht="18" customHeight="1" thickBot="1" x14ac:dyDescent="0.25">
      <c r="A687" s="337"/>
      <c r="B687" s="337"/>
      <c r="C687" s="345"/>
      <c r="D687" s="337"/>
      <c r="E687" s="337"/>
      <c r="F687" s="337"/>
      <c r="G687" s="337"/>
      <c r="H687" s="337"/>
      <c r="I687" s="337"/>
      <c r="J687" s="337"/>
      <c r="K687" s="337"/>
      <c r="L687" s="337"/>
      <c r="M687" s="337"/>
      <c r="N687" s="337"/>
      <c r="O687" s="337"/>
      <c r="T687" s="395"/>
      <c r="U687" s="396"/>
      <c r="V687" s="396"/>
      <c r="W687" s="397" t="str">
        <f>IF(COUNTA($J$686,$T$686)&gt;1,"Une seule réponse est possible.","")</f>
        <v/>
      </c>
    </row>
    <row r="688" spans="1:25" ht="18" customHeight="1" x14ac:dyDescent="0.2">
      <c r="A688" s="337"/>
      <c r="B688" s="337"/>
      <c r="C688" s="345"/>
      <c r="D688" s="337"/>
      <c r="E688" s="337"/>
      <c r="F688" s="337"/>
      <c r="G688" s="337"/>
      <c r="H688" s="337"/>
      <c r="I688" s="337"/>
      <c r="J688" s="337"/>
      <c r="K688" s="337"/>
      <c r="L688" s="337"/>
      <c r="M688" s="337"/>
      <c r="N688" s="337"/>
      <c r="O688" s="337"/>
    </row>
    <row r="689" spans="1:27" ht="18" customHeight="1" x14ac:dyDescent="0.2">
      <c r="A689" s="337"/>
      <c r="B689" s="337"/>
      <c r="C689" s="583" t="s">
        <v>380</v>
      </c>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row>
    <row r="690" spans="1:27" ht="18" customHeight="1" x14ac:dyDescent="0.2">
      <c r="A690" s="337"/>
      <c r="B690" s="337"/>
      <c r="C690" s="592"/>
      <c r="D690" s="592"/>
      <c r="E690" s="592"/>
      <c r="F690" s="592"/>
      <c r="G690" s="592"/>
      <c r="H690" s="592"/>
      <c r="I690" s="592"/>
      <c r="J690" s="592"/>
      <c r="K690" s="592"/>
      <c r="L690" s="592"/>
      <c r="M690" s="592"/>
      <c r="N690" s="592"/>
      <c r="O690" s="592"/>
      <c r="P690" s="592"/>
      <c r="Q690" s="592"/>
      <c r="R690" s="592"/>
      <c r="S690" s="592"/>
      <c r="T690" s="592"/>
      <c r="U690" s="592"/>
      <c r="V690" s="592"/>
      <c r="W690" s="592"/>
      <c r="X690" s="592"/>
      <c r="Y690" s="592"/>
    </row>
    <row r="691" spans="1:27" ht="18" customHeight="1" thickBot="1" x14ac:dyDescent="0.25">
      <c r="A691" s="337"/>
      <c r="B691" s="337"/>
      <c r="C691" s="337"/>
      <c r="D691" s="337"/>
      <c r="E691" s="337"/>
      <c r="F691" s="337"/>
      <c r="G691" s="337"/>
      <c r="H691" s="337"/>
      <c r="I691" s="337"/>
      <c r="J691" s="337"/>
      <c r="K691" s="337"/>
      <c r="L691" s="337"/>
      <c r="M691" s="337"/>
      <c r="N691" s="337"/>
      <c r="O691" s="337"/>
      <c r="S691" s="369" t="s">
        <v>270</v>
      </c>
      <c r="T691" s="590"/>
      <c r="U691" s="590"/>
      <c r="V691" s="590"/>
      <c r="W691" s="590"/>
      <c r="X691" s="591" t="s">
        <v>118</v>
      </c>
      <c r="Y691" s="591"/>
    </row>
    <row r="692" spans="1:27" ht="18" customHeight="1" thickBot="1" x14ac:dyDescent="0.25">
      <c r="A692" s="337"/>
      <c r="B692" s="337"/>
      <c r="C692" s="345"/>
      <c r="D692" s="337"/>
      <c r="E692" s="337"/>
      <c r="F692" s="337"/>
      <c r="G692" s="337"/>
      <c r="H692" s="337"/>
      <c r="I692" s="337"/>
      <c r="J692" s="337"/>
      <c r="K692" s="337"/>
      <c r="L692" s="337"/>
      <c r="M692" s="337"/>
      <c r="N692" s="337"/>
      <c r="O692" s="337"/>
      <c r="P692" s="337"/>
      <c r="Q692" s="337"/>
      <c r="R692" s="337"/>
      <c r="S692" s="337"/>
      <c r="T692" s="395"/>
      <c r="U692" s="396"/>
      <c r="V692" s="396"/>
      <c r="W692" s="397" t="str">
        <f>IF(OR(AND(T686="X",LEN(T691)&gt;0),AND(J686="",LEN(T691)&gt;0)),"Si vous n'avez pas répondu oui à la question 63, ne répondez pas à celle-ci.",CONCATENATE(IF(AND($J$686="X",ISBLANK($T$691)),"Vous avez affirmé que vous saviez si des drains souterrains sont présents (question 63), donc répondez à cette question.",""),IF($T$691&gt;100," La valeur renseignée ne peut pas être supérieure à 100%.","")))</f>
        <v/>
      </c>
      <c r="X692" s="425"/>
      <c r="Y692" s="425"/>
      <c r="Z692" s="425"/>
      <c r="AA692" s="425"/>
    </row>
    <row r="693" spans="1:27" ht="18" customHeight="1" x14ac:dyDescent="0.2">
      <c r="A693" s="337"/>
      <c r="B693" s="337"/>
      <c r="C693" s="345"/>
      <c r="D693" s="337"/>
      <c r="E693" s="337"/>
      <c r="F693" s="337"/>
      <c r="G693" s="337"/>
      <c r="H693" s="337"/>
      <c r="I693" s="337"/>
      <c r="J693" s="337"/>
      <c r="K693" s="337"/>
      <c r="L693" s="337"/>
      <c r="M693" s="337"/>
      <c r="N693" s="337"/>
      <c r="O693" s="337"/>
      <c r="P693" s="337"/>
      <c r="Q693" s="337"/>
      <c r="R693" s="337"/>
      <c r="S693" s="337"/>
      <c r="T693" s="425"/>
      <c r="U693" s="425"/>
      <c r="V693" s="425"/>
      <c r="W693" s="425"/>
      <c r="X693" s="425"/>
      <c r="Y693" s="425"/>
      <c r="Z693" s="425"/>
      <c r="AA693" s="425"/>
    </row>
    <row r="694" spans="1:27" ht="18" customHeight="1" x14ac:dyDescent="0.2">
      <c r="A694" s="337"/>
      <c r="B694" s="337"/>
      <c r="C694" s="592" t="s">
        <v>329</v>
      </c>
      <c r="D694" s="592"/>
      <c r="E694" s="592"/>
      <c r="F694" s="592"/>
      <c r="G694" s="592"/>
      <c r="H694" s="592"/>
      <c r="I694" s="592"/>
      <c r="J694" s="592"/>
      <c r="K694" s="592"/>
      <c r="L694" s="592"/>
      <c r="M694" s="592"/>
      <c r="N694" s="592"/>
      <c r="O694" s="592"/>
      <c r="P694" s="592"/>
      <c r="Q694" s="592"/>
      <c r="R694" s="592"/>
      <c r="S694" s="592"/>
      <c r="T694" s="592"/>
      <c r="U694" s="592"/>
      <c r="V694" s="592"/>
      <c r="W694" s="592"/>
      <c r="X694" s="592"/>
      <c r="Y694" s="592"/>
    </row>
    <row r="695" spans="1:27" ht="18" customHeight="1" thickBot="1" x14ac:dyDescent="0.25">
      <c r="A695" s="337"/>
      <c r="B695" s="337"/>
      <c r="C695" s="354" t="s">
        <v>234</v>
      </c>
      <c r="D695" s="354"/>
      <c r="E695" s="337"/>
      <c r="H695" s="368"/>
      <c r="I695" s="353" t="s">
        <v>28</v>
      </c>
      <c r="J695" s="588"/>
      <c r="K695" s="588"/>
      <c r="P695" s="339"/>
      <c r="Q695" s="368"/>
      <c r="R695" s="368"/>
      <c r="S695" s="369" t="s">
        <v>29</v>
      </c>
      <c r="T695" s="588"/>
      <c r="U695" s="588"/>
      <c r="V695" s="588"/>
      <c r="W695" s="588"/>
    </row>
    <row r="696" spans="1:27" ht="18" customHeight="1" thickBot="1" x14ac:dyDescent="0.25">
      <c r="A696" s="337"/>
      <c r="B696" s="337"/>
      <c r="C696" s="345"/>
      <c r="D696" s="337"/>
      <c r="E696" s="337"/>
      <c r="F696" s="337"/>
      <c r="G696" s="337"/>
      <c r="H696" s="337"/>
      <c r="I696" s="337"/>
      <c r="J696" s="337"/>
      <c r="K696" s="337"/>
      <c r="L696" s="337"/>
      <c r="M696" s="337"/>
      <c r="N696" s="337"/>
      <c r="O696" s="337"/>
      <c r="T696" s="395"/>
      <c r="U696" s="396"/>
      <c r="V696" s="396"/>
      <c r="W696" s="397" t="str">
        <f>CONCATENATE(IF(AND($J$686="X",AND($J$695&lt;&gt;"X",$T$695&lt;&gt;"X")),"Vous avez affirmé que vous saviez si des drains souterrains sont présents (question 63), donc répondez à cette question.",""),IF(AND(COUNTA($J$695,$T$695)&gt;1)," Une seule réponse est possible.",""),IF(AND($T$686="X",COUNTA($J$695,$T$695)&gt;0),"Vous avez affirmé que vous ne saviez pas si des drains souterrains sont présents (question 63), donc ne répondez pas à cette question.",""))</f>
        <v/>
      </c>
    </row>
    <row r="697" spans="1:27" ht="18" customHeight="1" x14ac:dyDescent="0.2">
      <c r="A697" s="337"/>
      <c r="B697" s="337"/>
      <c r="C697" s="345"/>
      <c r="D697" s="337"/>
      <c r="E697" s="337"/>
      <c r="F697" s="337"/>
      <c r="G697" s="337"/>
      <c r="H697" s="337"/>
      <c r="I697" s="337"/>
      <c r="J697" s="337"/>
      <c r="K697" s="337"/>
      <c r="L697" s="337"/>
      <c r="M697" s="337"/>
      <c r="N697" s="337"/>
      <c r="O697" s="337"/>
    </row>
    <row r="698" spans="1:27" ht="18" customHeight="1" x14ac:dyDescent="0.2">
      <c r="A698" s="337"/>
      <c r="B698" s="337"/>
      <c r="C698" s="581" t="s">
        <v>330</v>
      </c>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row>
    <row r="699" spans="1:27" ht="18" customHeight="1" thickBot="1" x14ac:dyDescent="0.25">
      <c r="A699" s="337"/>
      <c r="B699" s="337"/>
      <c r="C699" s="337"/>
      <c r="D699" s="337"/>
      <c r="E699" s="337"/>
      <c r="F699" s="337"/>
      <c r="G699" s="337"/>
      <c r="H699" s="337"/>
      <c r="I699" s="337"/>
      <c r="J699" s="337"/>
      <c r="K699" s="469"/>
      <c r="L699" s="337"/>
      <c r="M699" s="337"/>
      <c r="N699" s="337"/>
      <c r="O699" s="337"/>
      <c r="S699" s="369" t="s">
        <v>271</v>
      </c>
      <c r="T699" s="590"/>
      <c r="U699" s="590"/>
      <c r="V699" s="590"/>
      <c r="W699" s="590"/>
      <c r="X699" s="591" t="s">
        <v>118</v>
      </c>
      <c r="Y699" s="591"/>
    </row>
    <row r="700" spans="1:27" ht="18" customHeight="1" thickBot="1" x14ac:dyDescent="0.25">
      <c r="A700" s="337"/>
      <c r="B700" s="337"/>
      <c r="C700" s="345"/>
      <c r="D700" s="337"/>
      <c r="E700" s="337"/>
      <c r="F700" s="337"/>
      <c r="G700" s="337"/>
      <c r="H700" s="337"/>
      <c r="I700" s="337"/>
      <c r="J700" s="337"/>
      <c r="K700" s="337"/>
      <c r="L700" s="337"/>
      <c r="M700" s="337"/>
      <c r="N700" s="337"/>
      <c r="O700" s="337"/>
      <c r="T700" s="395"/>
      <c r="U700" s="396"/>
      <c r="V700" s="396"/>
      <c r="W700" s="397" t="str">
        <f>IF($T$699&gt;100,"La réponse donnée ne peut pas être supérieure à 100%.","")</f>
        <v/>
      </c>
    </row>
    <row r="701" spans="1:27" ht="18" customHeight="1" x14ac:dyDescent="0.2">
      <c r="A701" s="337"/>
      <c r="B701" s="337"/>
      <c r="C701" s="345"/>
      <c r="D701" s="337"/>
      <c r="E701" s="337"/>
      <c r="F701" s="337"/>
      <c r="G701" s="337"/>
      <c r="H701" s="337"/>
      <c r="I701" s="337"/>
      <c r="J701" s="337"/>
      <c r="K701" s="337"/>
      <c r="L701" s="337"/>
      <c r="M701" s="337"/>
      <c r="N701" s="337"/>
      <c r="O701" s="337"/>
    </row>
    <row r="702" spans="1:27" ht="18" customHeight="1" x14ac:dyDescent="0.2">
      <c r="A702" s="337"/>
      <c r="B702" s="337"/>
      <c r="C702" s="581" t="s">
        <v>331</v>
      </c>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row>
    <row r="703" spans="1:27" ht="18" customHeight="1" thickBot="1" x14ac:dyDescent="0.25">
      <c r="A703" s="337"/>
      <c r="B703" s="337"/>
      <c r="C703" s="354" t="s">
        <v>234</v>
      </c>
      <c r="D703" s="354"/>
      <c r="E703" s="337"/>
      <c r="H703" s="368"/>
      <c r="I703" s="353" t="s">
        <v>28</v>
      </c>
      <c r="J703" s="588"/>
      <c r="K703" s="588"/>
      <c r="P703" s="339"/>
      <c r="Q703" s="368"/>
      <c r="R703" s="368"/>
      <c r="S703" s="369" t="s">
        <v>29</v>
      </c>
      <c r="T703" s="588"/>
      <c r="U703" s="588"/>
      <c r="V703" s="588"/>
      <c r="W703" s="588"/>
    </row>
    <row r="704" spans="1:27" ht="18" customHeight="1" thickBot="1" x14ac:dyDescent="0.25">
      <c r="A704" s="337"/>
      <c r="B704" s="337"/>
      <c r="C704" s="345"/>
      <c r="D704" s="337"/>
      <c r="E704" s="337"/>
      <c r="F704" s="337"/>
      <c r="G704" s="337"/>
      <c r="H704" s="337"/>
      <c r="I704" s="337"/>
      <c r="J704" s="337"/>
      <c r="K704" s="337"/>
      <c r="L704" s="337"/>
      <c r="M704" s="337"/>
      <c r="N704" s="337"/>
      <c r="O704" s="337"/>
      <c r="T704" s="395"/>
      <c r="U704" s="396"/>
      <c r="V704" s="396"/>
      <c r="W704" s="397" t="str">
        <f>IF(COUNTA($J$703,$T$703)&gt;1,"Une seule réponse est possible.","")</f>
        <v/>
      </c>
    </row>
    <row r="705" spans="1:25" ht="18" customHeight="1" x14ac:dyDescent="0.2">
      <c r="A705" s="337"/>
      <c r="B705" s="337"/>
      <c r="C705" s="345"/>
      <c r="D705" s="337"/>
      <c r="E705" s="337"/>
      <c r="F705" s="337"/>
      <c r="G705" s="337"/>
      <c r="H705" s="337"/>
      <c r="I705" s="337"/>
      <c r="J705" s="337"/>
      <c r="K705" s="337"/>
      <c r="L705" s="337"/>
      <c r="M705" s="337"/>
      <c r="N705" s="337"/>
      <c r="O705" s="337"/>
    </row>
    <row r="706" spans="1:25" ht="33.75" customHeight="1" x14ac:dyDescent="0.2">
      <c r="A706" s="337"/>
      <c r="B706" s="337"/>
      <c r="C706" s="341" t="s">
        <v>392</v>
      </c>
      <c r="D706" s="805" t="s">
        <v>406</v>
      </c>
      <c r="E706" s="805"/>
      <c r="F706" s="805"/>
      <c r="G706" s="805"/>
      <c r="H706" s="805"/>
      <c r="I706" s="805"/>
      <c r="J706" s="805"/>
      <c r="K706" s="805"/>
      <c r="L706" s="805"/>
      <c r="M706" s="805"/>
      <c r="N706" s="805"/>
      <c r="O706" s="805"/>
      <c r="P706" s="805"/>
      <c r="Q706" s="805"/>
      <c r="R706" s="805"/>
      <c r="S706" s="805"/>
      <c r="T706" s="805"/>
      <c r="U706" s="805"/>
      <c r="V706" s="805"/>
      <c r="W706" s="805"/>
      <c r="X706" s="805"/>
      <c r="Y706" s="805"/>
    </row>
    <row r="707" spans="1:25" ht="18" customHeight="1" x14ac:dyDescent="0.2">
      <c r="A707" s="337"/>
      <c r="B707" s="337"/>
      <c r="C707" s="470"/>
      <c r="D707" s="470"/>
      <c r="E707" s="470"/>
      <c r="F707" s="470"/>
      <c r="G707" s="470"/>
      <c r="H707" s="470"/>
      <c r="I707" s="470"/>
      <c r="J707" s="470"/>
      <c r="K707" s="470"/>
      <c r="L707" s="470"/>
      <c r="M707" s="470"/>
      <c r="N707" s="470"/>
      <c r="O707" s="470"/>
      <c r="P707" s="470"/>
      <c r="Q707" s="470"/>
      <c r="R707" s="470"/>
      <c r="S707" s="470"/>
      <c r="T707" s="470"/>
      <c r="U707" s="470"/>
      <c r="V707" s="470"/>
      <c r="W707" s="470"/>
      <c r="X707" s="470"/>
      <c r="Y707" s="470"/>
    </row>
    <row r="708" spans="1:25" ht="23.1" customHeight="1" thickBot="1" x14ac:dyDescent="0.25">
      <c r="A708" s="337"/>
      <c r="B708" s="337"/>
      <c r="C708" s="589" t="s">
        <v>117</v>
      </c>
      <c r="D708" s="589"/>
      <c r="E708" s="589"/>
      <c r="F708" s="589"/>
      <c r="G708" s="589"/>
      <c r="H708" s="589"/>
      <c r="I708" s="589"/>
      <c r="J708" s="589"/>
      <c r="K708" s="589"/>
      <c r="L708" s="589"/>
      <c r="M708" s="589"/>
      <c r="N708" s="589"/>
      <c r="O708" s="589"/>
      <c r="P708" s="589"/>
      <c r="Q708" s="589"/>
      <c r="R708" s="589"/>
      <c r="S708" s="589"/>
      <c r="T708" s="589"/>
      <c r="U708" s="589"/>
      <c r="V708" s="589"/>
      <c r="W708" s="589"/>
      <c r="X708" s="589"/>
      <c r="Y708" s="589"/>
    </row>
    <row r="709" spans="1:25" ht="18" customHeight="1" thickBot="1" x14ac:dyDescent="0.25">
      <c r="A709" s="337"/>
      <c r="B709" s="337"/>
      <c r="C709" s="345"/>
      <c r="D709" s="471"/>
      <c r="E709" s="471"/>
      <c r="F709" s="471"/>
      <c r="G709" s="471"/>
      <c r="H709" s="471"/>
      <c r="I709" s="471"/>
      <c r="J709" s="471"/>
      <c r="K709" s="471"/>
      <c r="L709" s="471"/>
      <c r="M709" s="471"/>
      <c r="N709" s="471"/>
      <c r="O709" s="471"/>
      <c r="P709" s="471"/>
      <c r="Q709" s="471"/>
      <c r="R709" s="471"/>
      <c r="S709" s="471"/>
      <c r="T709" s="395"/>
      <c r="U709" s="396"/>
      <c r="V709" s="396"/>
      <c r="W709" s="397" t="str">
        <f>IF(AND($J$121&lt;&gt;"X",COUNTA($J$711,$T$711,$J$715:$K$718,$T$715:$W$717,$T$722,$T$726,$T$732:$W$739)&gt;0),"Le site n'est pas dans un système alluvial, donc ne répondez pas à ces questions.","")</f>
        <v/>
      </c>
      <c r="X709" s="471"/>
      <c r="Y709" s="471"/>
    </row>
    <row r="710" spans="1:25" ht="18" customHeight="1" x14ac:dyDescent="0.2">
      <c r="A710" s="337"/>
      <c r="B710" s="337"/>
      <c r="C710" s="581" t="s">
        <v>332</v>
      </c>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row>
    <row r="711" spans="1:25" ht="18" customHeight="1" thickBot="1" x14ac:dyDescent="0.25">
      <c r="A711" s="337"/>
      <c r="B711" s="337"/>
      <c r="C711" s="354" t="s">
        <v>234</v>
      </c>
      <c r="D711" s="354"/>
      <c r="E711" s="337"/>
      <c r="H711" s="368"/>
      <c r="I711" s="353" t="s">
        <v>28</v>
      </c>
      <c r="J711" s="588"/>
      <c r="K711" s="588"/>
      <c r="P711" s="339"/>
      <c r="Q711" s="368"/>
      <c r="R711" s="368"/>
      <c r="S711" s="369" t="s">
        <v>29</v>
      </c>
      <c r="T711" s="588"/>
      <c r="U711" s="588"/>
      <c r="V711" s="588"/>
      <c r="W711" s="588"/>
    </row>
    <row r="712" spans="1:25" ht="18" customHeight="1" thickBot="1" x14ac:dyDescent="0.25">
      <c r="A712" s="337"/>
      <c r="B712" s="337"/>
      <c r="C712" s="345"/>
      <c r="D712" s="337"/>
      <c r="E712" s="337"/>
      <c r="F712" s="337"/>
      <c r="G712" s="337"/>
      <c r="H712" s="337"/>
      <c r="I712" s="337"/>
      <c r="J712" s="337"/>
      <c r="K712" s="337"/>
      <c r="L712" s="337"/>
      <c r="M712" s="337"/>
      <c r="N712" s="337"/>
      <c r="O712" s="337"/>
      <c r="T712" s="395"/>
      <c r="U712" s="396"/>
      <c r="V712" s="396"/>
      <c r="W712" s="397" t="str">
        <f>CONCATENATE(IF(COUNTA($J$711,$T$711)&gt;1,"Une seule réponse est possible.",""),IF(AND($J$121="x",AND($J$711&lt;&gt;"X",$T$711&lt;&gt;"X")),"Votre site est alluvial, donnez une réponse à cette question.",""))</f>
        <v/>
      </c>
    </row>
    <row r="713" spans="1:25" ht="18" customHeight="1" x14ac:dyDescent="0.2">
      <c r="A713" s="337"/>
      <c r="B713" s="337"/>
      <c r="C713" s="345"/>
      <c r="D713" s="337"/>
      <c r="E713" s="337"/>
      <c r="F713" s="337"/>
      <c r="G713" s="337"/>
      <c r="H713" s="337"/>
      <c r="I713" s="337"/>
      <c r="J713" s="337"/>
      <c r="K713" s="337"/>
      <c r="L713" s="337"/>
      <c r="M713" s="337"/>
      <c r="N713" s="337"/>
      <c r="O713" s="337"/>
    </row>
    <row r="714" spans="1:25" ht="18" customHeight="1" x14ac:dyDescent="0.2">
      <c r="A714" s="337"/>
      <c r="B714" s="337"/>
      <c r="C714" s="581" t="s">
        <v>333</v>
      </c>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row>
    <row r="715" spans="1:25" s="369" customFormat="1" ht="18" customHeight="1" x14ac:dyDescent="0.2">
      <c r="A715" s="353"/>
      <c r="B715" s="353"/>
      <c r="C715" s="472" t="s">
        <v>234</v>
      </c>
      <c r="D715" s="473"/>
      <c r="E715" s="353"/>
      <c r="I715" s="353" t="s">
        <v>13</v>
      </c>
      <c r="J715" s="588"/>
      <c r="K715" s="588"/>
      <c r="S715" s="353" t="s">
        <v>18</v>
      </c>
      <c r="T715" s="588"/>
      <c r="U715" s="588"/>
      <c r="V715" s="588"/>
      <c r="W715" s="588"/>
    </row>
    <row r="716" spans="1:25" s="369" customFormat="1" ht="18" customHeight="1" x14ac:dyDescent="0.2">
      <c r="A716" s="353"/>
      <c r="B716" s="353"/>
      <c r="C716" s="473"/>
      <c r="D716" s="473"/>
      <c r="E716" s="353"/>
      <c r="F716" s="353"/>
      <c r="G716" s="353"/>
      <c r="H716" s="353"/>
      <c r="I716" s="353" t="s">
        <v>19</v>
      </c>
      <c r="J716" s="588"/>
      <c r="K716" s="588"/>
      <c r="S716" s="353" t="s">
        <v>20</v>
      </c>
      <c r="T716" s="588"/>
      <c r="U716" s="588"/>
      <c r="V716" s="588"/>
      <c r="W716" s="588"/>
    </row>
    <row r="717" spans="1:25" s="369" customFormat="1" ht="18" customHeight="1" x14ac:dyDescent="0.2">
      <c r="A717" s="353"/>
      <c r="B717" s="353"/>
      <c r="C717" s="353"/>
      <c r="D717" s="353"/>
      <c r="E717" s="353"/>
      <c r="F717" s="353"/>
      <c r="G717" s="353"/>
      <c r="H717" s="353"/>
      <c r="I717" s="353" t="s">
        <v>14</v>
      </c>
      <c r="J717" s="588"/>
      <c r="K717" s="588"/>
      <c r="S717" s="353" t="s">
        <v>16</v>
      </c>
      <c r="T717" s="588"/>
      <c r="U717" s="588"/>
      <c r="V717" s="588"/>
      <c r="W717" s="588"/>
    </row>
    <row r="718" spans="1:25" s="369" customFormat="1" ht="18" customHeight="1" thickBot="1" x14ac:dyDescent="0.25">
      <c r="A718" s="353"/>
      <c r="B718" s="353"/>
      <c r="C718" s="353"/>
      <c r="D718" s="353"/>
      <c r="E718" s="353"/>
      <c r="F718" s="353"/>
      <c r="G718" s="353"/>
      <c r="H718" s="353"/>
      <c r="I718" s="353" t="s">
        <v>15</v>
      </c>
      <c r="J718" s="588"/>
      <c r="K718" s="588"/>
      <c r="S718" s="353"/>
    </row>
    <row r="719" spans="1:25" s="347" customFormat="1" ht="18" customHeight="1" thickBot="1" x14ac:dyDescent="0.25">
      <c r="C719" s="345"/>
      <c r="E719" s="352"/>
      <c r="F719" s="352"/>
      <c r="G719" s="370"/>
      <c r="H719" s="370"/>
      <c r="J719" s="352"/>
      <c r="K719" s="370"/>
      <c r="M719" s="352"/>
      <c r="N719" s="370"/>
      <c r="P719" s="418"/>
      <c r="R719" s="349"/>
      <c r="S719" s="349"/>
      <c r="T719" s="395"/>
      <c r="U719" s="396"/>
      <c r="V719" s="396"/>
      <c r="W719" s="397" t="str">
        <f>CONCATENATE(IF(COUNTA($J$715:$K$718,$T$715:$W$717)&gt;1,"Une seule réponse est possible.",""),IF(AND($J$121="x",AND($J$715&lt;&gt;"X",$J$716&lt;&gt;"X",$J$717&lt;&gt;"x",$J$718&lt;&gt;"x",$T$715&lt;&gt;"x",$T$716&lt;&gt;"x",$T$717&lt;&gt;"x")),"Votre site est alluvial, donnez une réponse à cette question.",""))</f>
        <v/>
      </c>
    </row>
    <row r="720" spans="1:25" s="347" customFormat="1" ht="18" customHeight="1" x14ac:dyDescent="0.2">
      <c r="C720" s="345"/>
      <c r="E720" s="352"/>
      <c r="F720" s="352"/>
      <c r="G720" s="370"/>
      <c r="H720" s="370"/>
      <c r="J720" s="352"/>
      <c r="K720" s="370"/>
      <c r="M720" s="352"/>
      <c r="N720" s="370"/>
      <c r="P720" s="418"/>
      <c r="R720" s="349"/>
      <c r="S720" s="349"/>
    </row>
    <row r="721" spans="1:25" ht="18" customHeight="1" x14ac:dyDescent="0.2">
      <c r="A721" s="337"/>
      <c r="B721" s="337"/>
      <c r="C721" s="581" t="s">
        <v>334</v>
      </c>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row>
    <row r="722" spans="1:25" ht="18" customHeight="1" thickBot="1" x14ac:dyDescent="0.25">
      <c r="A722" s="337"/>
      <c r="B722" s="337"/>
      <c r="C722" s="354" t="s">
        <v>234</v>
      </c>
      <c r="D722" s="354"/>
      <c r="E722" s="337"/>
      <c r="H722" s="368"/>
      <c r="I722" s="353" t="s">
        <v>28</v>
      </c>
      <c r="J722" s="588"/>
      <c r="K722" s="588"/>
      <c r="P722" s="339"/>
      <c r="Q722" s="368"/>
      <c r="R722" s="368"/>
      <c r="S722" s="369" t="s">
        <v>29</v>
      </c>
      <c r="T722" s="588"/>
      <c r="U722" s="588"/>
      <c r="V722" s="588"/>
      <c r="W722" s="588"/>
    </row>
    <row r="723" spans="1:25" s="347" customFormat="1" ht="18" customHeight="1" thickBot="1" x14ac:dyDescent="0.25">
      <c r="C723" s="345"/>
      <c r="D723" s="360"/>
      <c r="E723" s="352"/>
      <c r="F723" s="352"/>
      <c r="G723" s="349"/>
      <c r="H723" s="349"/>
      <c r="I723" s="349"/>
      <c r="J723" s="349"/>
      <c r="K723" s="352"/>
      <c r="L723" s="349"/>
      <c r="P723" s="418"/>
      <c r="T723" s="395"/>
      <c r="U723" s="396"/>
      <c r="V723" s="396"/>
      <c r="W723" s="397" t="str">
        <f>CONCATENATE(IF(COUNTA($J$722,$T$722)&gt;1,"Une seule réponse est possible.",""),IF(AND($J$121="x",AND($J$722&lt;&gt;"X",$T$722&lt;&gt;"X")),"Votre site est alluvial, donnez une réponse à cette question.",""))</f>
        <v/>
      </c>
    </row>
    <row r="724" spans="1:25" s="347" customFormat="1" ht="18" customHeight="1" x14ac:dyDescent="0.2">
      <c r="C724" s="345"/>
      <c r="D724" s="360"/>
      <c r="E724" s="352"/>
      <c r="F724" s="352"/>
      <c r="G724" s="349"/>
      <c r="H724" s="349"/>
      <c r="I724" s="349"/>
      <c r="J724" s="349"/>
      <c r="K724" s="352"/>
      <c r="L724" s="349"/>
      <c r="P724" s="418"/>
    </row>
    <row r="725" spans="1:25" ht="18" customHeight="1" x14ac:dyDescent="0.2">
      <c r="A725" s="337"/>
      <c r="B725" s="337"/>
      <c r="C725" s="581" t="s">
        <v>335</v>
      </c>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row>
    <row r="726" spans="1:25" ht="18" customHeight="1" thickBot="1" x14ac:dyDescent="0.25">
      <c r="A726" s="337"/>
      <c r="B726" s="337"/>
      <c r="C726" s="337"/>
      <c r="D726" s="337"/>
      <c r="E726" s="337"/>
      <c r="F726" s="337"/>
      <c r="G726" s="337"/>
      <c r="H726" s="337"/>
      <c r="I726" s="337"/>
      <c r="J726" s="337"/>
      <c r="K726" s="337"/>
      <c r="L726" s="337"/>
      <c r="M726" s="394"/>
      <c r="N726" s="337"/>
      <c r="O726" s="337"/>
      <c r="S726" s="369" t="s">
        <v>119</v>
      </c>
      <c r="T726" s="578"/>
      <c r="U726" s="578"/>
      <c r="V726" s="578"/>
      <c r="W726" s="578"/>
      <c r="X726" s="582" t="s">
        <v>112</v>
      </c>
      <c r="Y726" s="582"/>
    </row>
    <row r="727" spans="1:25" ht="18" customHeight="1" thickBot="1" x14ac:dyDescent="0.25">
      <c r="A727" s="337"/>
      <c r="B727" s="337"/>
      <c r="C727" s="345"/>
      <c r="D727" s="337"/>
      <c r="E727" s="337"/>
      <c r="F727" s="337"/>
      <c r="G727" s="337"/>
      <c r="H727" s="337"/>
      <c r="I727" s="337"/>
      <c r="J727" s="337"/>
      <c r="K727" s="337"/>
      <c r="L727" s="337"/>
      <c r="M727" s="337"/>
      <c r="N727" s="337"/>
      <c r="O727" s="337"/>
      <c r="T727" s="395"/>
      <c r="U727" s="396"/>
      <c r="V727" s="396"/>
      <c r="W727" s="397" t="str">
        <f>IF(AND($J$121="x",AND($T$726="")),"Votre site est alluvial, donnez une réponse à cette question.","")</f>
        <v/>
      </c>
    </row>
    <row r="728" spans="1:25" ht="18" customHeight="1" x14ac:dyDescent="0.2">
      <c r="A728" s="337"/>
      <c r="B728" s="337"/>
      <c r="C728" s="345"/>
      <c r="D728" s="337"/>
      <c r="E728" s="337"/>
      <c r="F728" s="337"/>
      <c r="G728" s="337"/>
      <c r="H728" s="337"/>
      <c r="I728" s="337"/>
      <c r="J728" s="337"/>
      <c r="K728" s="337"/>
      <c r="L728" s="337"/>
      <c r="M728" s="337"/>
      <c r="N728" s="337"/>
      <c r="O728" s="337"/>
    </row>
    <row r="729" spans="1:25" ht="23.1" customHeight="1" x14ac:dyDescent="0.2">
      <c r="A729" s="337"/>
      <c r="B729" s="337"/>
      <c r="C729" s="583" t="s">
        <v>336</v>
      </c>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row>
    <row r="730" spans="1:25" ht="23.1" customHeight="1" x14ac:dyDescent="0.2">
      <c r="A730" s="337"/>
      <c r="B730" s="337"/>
      <c r="C730" s="583"/>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row>
    <row r="731" spans="1:25" ht="36" customHeight="1" x14ac:dyDescent="0.2">
      <c r="A731" s="337"/>
      <c r="B731" s="337"/>
      <c r="C731" s="584" t="s">
        <v>84</v>
      </c>
      <c r="D731" s="584"/>
      <c r="E731" s="584"/>
      <c r="F731" s="584"/>
      <c r="G731" s="584"/>
      <c r="H731" s="584"/>
      <c r="I731" s="584"/>
      <c r="J731" s="584"/>
      <c r="K731" s="584"/>
      <c r="L731" s="584"/>
      <c r="M731" s="584"/>
      <c r="N731" s="584"/>
      <c r="O731" s="584"/>
      <c r="P731" s="584"/>
      <c r="Q731" s="584"/>
      <c r="R731" s="584"/>
      <c r="S731" s="584"/>
      <c r="T731" s="585" t="s">
        <v>110</v>
      </c>
      <c r="U731" s="586"/>
      <c r="V731" s="586"/>
      <c r="W731" s="586"/>
      <c r="X731" s="586"/>
      <c r="Y731" s="587"/>
    </row>
    <row r="732" spans="1:25" ht="18" customHeight="1" x14ac:dyDescent="0.2">
      <c r="A732" s="337"/>
      <c r="B732" s="337"/>
      <c r="C732" s="577" t="s">
        <v>337</v>
      </c>
      <c r="D732" s="577"/>
      <c r="E732" s="577"/>
      <c r="F732" s="577"/>
      <c r="G732" s="577"/>
      <c r="H732" s="577"/>
      <c r="I732" s="577"/>
      <c r="J732" s="577"/>
      <c r="K732" s="577"/>
      <c r="L732" s="577"/>
      <c r="M732" s="577"/>
      <c r="N732" s="577"/>
      <c r="O732" s="577"/>
      <c r="P732" s="577"/>
      <c r="Q732" s="577"/>
      <c r="R732" s="577"/>
      <c r="S732" s="577"/>
      <c r="T732" s="578"/>
      <c r="U732" s="578"/>
      <c r="V732" s="578"/>
      <c r="W732" s="578"/>
      <c r="X732" s="579" t="s">
        <v>82</v>
      </c>
      <c r="Y732" s="579"/>
    </row>
    <row r="733" spans="1:25" ht="18" customHeight="1" x14ac:dyDescent="0.2">
      <c r="A733" s="337"/>
      <c r="B733" s="337"/>
      <c r="C733" s="577"/>
      <c r="D733" s="577"/>
      <c r="E733" s="577"/>
      <c r="F733" s="577"/>
      <c r="G733" s="577"/>
      <c r="H733" s="577"/>
      <c r="I733" s="577"/>
      <c r="J733" s="577"/>
      <c r="K733" s="577"/>
      <c r="L733" s="577"/>
      <c r="M733" s="577"/>
      <c r="N733" s="577"/>
      <c r="O733" s="577"/>
      <c r="P733" s="577"/>
      <c r="Q733" s="577"/>
      <c r="R733" s="577"/>
      <c r="S733" s="577"/>
      <c r="T733" s="578"/>
      <c r="U733" s="578"/>
      <c r="V733" s="578"/>
      <c r="W733" s="578"/>
      <c r="X733" s="579"/>
      <c r="Y733" s="579"/>
    </row>
    <row r="734" spans="1:25" ht="18" customHeight="1" x14ac:dyDescent="0.2">
      <c r="A734" s="337"/>
      <c r="B734" s="337"/>
      <c r="C734" s="577" t="s">
        <v>480</v>
      </c>
      <c r="D734" s="577"/>
      <c r="E734" s="577"/>
      <c r="F734" s="577"/>
      <c r="G734" s="577"/>
      <c r="H734" s="577"/>
      <c r="I734" s="577"/>
      <c r="J734" s="577"/>
      <c r="K734" s="577"/>
      <c r="L734" s="577"/>
      <c r="M734" s="577"/>
      <c r="N734" s="577"/>
      <c r="O734" s="577"/>
      <c r="P734" s="577"/>
      <c r="Q734" s="577"/>
      <c r="R734" s="577"/>
      <c r="S734" s="577"/>
      <c r="T734" s="578"/>
      <c r="U734" s="578"/>
      <c r="V734" s="578"/>
      <c r="W734" s="578"/>
      <c r="X734" s="580" t="s">
        <v>82</v>
      </c>
      <c r="Y734" s="580"/>
    </row>
    <row r="735" spans="1:25" ht="18" customHeight="1" x14ac:dyDescent="0.2">
      <c r="A735" s="337"/>
      <c r="B735" s="337"/>
      <c r="C735" s="577"/>
      <c r="D735" s="577"/>
      <c r="E735" s="577"/>
      <c r="F735" s="577"/>
      <c r="G735" s="577"/>
      <c r="H735" s="577"/>
      <c r="I735" s="577"/>
      <c r="J735" s="577"/>
      <c r="K735" s="577"/>
      <c r="L735" s="577"/>
      <c r="M735" s="577"/>
      <c r="N735" s="577"/>
      <c r="O735" s="577"/>
      <c r="P735" s="577"/>
      <c r="Q735" s="577"/>
      <c r="R735" s="577"/>
      <c r="S735" s="577"/>
      <c r="T735" s="578"/>
      <c r="U735" s="578"/>
      <c r="V735" s="578"/>
      <c r="W735" s="578"/>
      <c r="X735" s="580"/>
      <c r="Y735" s="580"/>
    </row>
    <row r="736" spans="1:25" ht="18" customHeight="1" x14ac:dyDescent="0.2">
      <c r="A736" s="337"/>
      <c r="B736" s="337"/>
      <c r="C736" s="561" t="s">
        <v>83</v>
      </c>
      <c r="D736" s="562"/>
      <c r="E736" s="562"/>
      <c r="F736" s="562"/>
      <c r="G736" s="562"/>
      <c r="H736" s="562"/>
      <c r="I736" s="562"/>
      <c r="J736" s="562"/>
      <c r="K736" s="562"/>
      <c r="L736" s="562"/>
      <c r="M736" s="562"/>
      <c r="N736" s="562"/>
      <c r="O736" s="562"/>
      <c r="P736" s="562"/>
      <c r="Q736" s="562"/>
      <c r="R736" s="562"/>
      <c r="S736" s="563"/>
      <c r="T736" s="567"/>
      <c r="U736" s="568"/>
      <c r="V736" s="568"/>
      <c r="W736" s="569"/>
      <c r="X736" s="573" t="s">
        <v>82</v>
      </c>
      <c r="Y736" s="574"/>
    </row>
    <row r="737" spans="1:28" ht="18" customHeight="1" x14ac:dyDescent="0.2">
      <c r="A737" s="337"/>
      <c r="B737" s="337"/>
      <c r="C737" s="564"/>
      <c r="D737" s="565"/>
      <c r="E737" s="565"/>
      <c r="F737" s="565"/>
      <c r="G737" s="565"/>
      <c r="H737" s="565"/>
      <c r="I737" s="565"/>
      <c r="J737" s="565"/>
      <c r="K737" s="565"/>
      <c r="L737" s="565"/>
      <c r="M737" s="565"/>
      <c r="N737" s="565"/>
      <c r="O737" s="565"/>
      <c r="P737" s="565"/>
      <c r="Q737" s="565"/>
      <c r="R737" s="565"/>
      <c r="S737" s="566"/>
      <c r="T737" s="570"/>
      <c r="U737" s="571"/>
      <c r="V737" s="571"/>
      <c r="W737" s="572"/>
      <c r="X737" s="575"/>
      <c r="Y737" s="576"/>
    </row>
    <row r="738" spans="1:28" ht="18" customHeight="1" x14ac:dyDescent="0.2">
      <c r="A738" s="337"/>
      <c r="B738" s="337"/>
      <c r="C738" s="561" t="s">
        <v>338</v>
      </c>
      <c r="D738" s="562"/>
      <c r="E738" s="562"/>
      <c r="F738" s="562"/>
      <c r="G738" s="562"/>
      <c r="H738" s="562"/>
      <c r="I738" s="562"/>
      <c r="J738" s="562"/>
      <c r="K738" s="562"/>
      <c r="L738" s="562"/>
      <c r="M738" s="562"/>
      <c r="N738" s="562"/>
      <c r="O738" s="562"/>
      <c r="P738" s="562"/>
      <c r="Q738" s="562"/>
      <c r="R738" s="562"/>
      <c r="S738" s="563"/>
      <c r="T738" s="567"/>
      <c r="U738" s="568"/>
      <c r="V738" s="568"/>
      <c r="W738" s="569"/>
      <c r="X738" s="573" t="s">
        <v>82</v>
      </c>
      <c r="Y738" s="574"/>
    </row>
    <row r="739" spans="1:28" ht="18" customHeight="1" thickBot="1" x14ac:dyDescent="0.25">
      <c r="A739" s="337"/>
      <c r="B739" s="337"/>
      <c r="C739" s="564"/>
      <c r="D739" s="565"/>
      <c r="E739" s="565"/>
      <c r="F739" s="565"/>
      <c r="G739" s="565"/>
      <c r="H739" s="565"/>
      <c r="I739" s="565"/>
      <c r="J739" s="565"/>
      <c r="K739" s="565"/>
      <c r="L739" s="565"/>
      <c r="M739" s="565"/>
      <c r="N739" s="565"/>
      <c r="O739" s="565"/>
      <c r="P739" s="565"/>
      <c r="Q739" s="565"/>
      <c r="R739" s="565"/>
      <c r="S739" s="566"/>
      <c r="T739" s="570"/>
      <c r="U739" s="571"/>
      <c r="V739" s="571"/>
      <c r="W739" s="572"/>
      <c r="X739" s="575"/>
      <c r="Y739" s="576"/>
    </row>
    <row r="740" spans="1:28" ht="18" customHeight="1" thickBot="1" x14ac:dyDescent="0.25">
      <c r="A740" s="337"/>
      <c r="B740" s="337"/>
      <c r="C740" s="345"/>
      <c r="D740" s="337"/>
      <c r="G740" s="337"/>
      <c r="H740" s="337"/>
      <c r="I740" s="337"/>
      <c r="J740" s="337"/>
      <c r="K740" s="337"/>
      <c r="L740" s="337"/>
      <c r="M740" s="337"/>
      <c r="N740" s="337"/>
      <c r="O740" s="337"/>
      <c r="T740" s="395"/>
      <c r="U740" s="396"/>
      <c r="V740" s="396"/>
      <c r="W740" s="397" t="str">
        <f>IF(SUM($T$732:$W$739)&lt;&gt;$T$726,"La somme des réponses données à cette question doit correspondre au linéaire total de berges (question 71).","")</f>
        <v/>
      </c>
    </row>
    <row r="741" spans="1:28" ht="18" customHeight="1" x14ac:dyDescent="0.2">
      <c r="A741" s="337"/>
      <c r="B741" s="337"/>
      <c r="C741" s="345"/>
      <c r="D741" s="337"/>
      <c r="G741" s="337"/>
      <c r="H741" s="337"/>
      <c r="I741" s="337"/>
      <c r="J741" s="337"/>
      <c r="K741" s="337"/>
      <c r="L741" s="337"/>
      <c r="M741" s="337"/>
      <c r="N741" s="337"/>
      <c r="O741" s="337"/>
    </row>
    <row r="742" spans="1:28" ht="33.75" customHeight="1" x14ac:dyDescent="0.2">
      <c r="A742" s="337"/>
      <c r="B742" s="337"/>
      <c r="C742" s="341" t="s">
        <v>391</v>
      </c>
      <c r="D742" s="695" t="s">
        <v>411</v>
      </c>
      <c r="E742" s="696"/>
      <c r="F742" s="696"/>
      <c r="G742" s="696"/>
      <c r="H742" s="696"/>
      <c r="I742" s="696"/>
      <c r="J742" s="696"/>
      <c r="K742" s="696"/>
      <c r="L742" s="696"/>
      <c r="M742" s="696"/>
      <c r="N742" s="696"/>
      <c r="O742" s="696"/>
      <c r="P742" s="696"/>
      <c r="Q742" s="696"/>
      <c r="R742" s="696"/>
      <c r="S742" s="696"/>
      <c r="T742" s="696"/>
      <c r="U742" s="696"/>
      <c r="V742" s="696"/>
      <c r="W742" s="696"/>
      <c r="X742" s="696"/>
      <c r="Y742" s="697"/>
    </row>
    <row r="743" spans="1:28" ht="18" customHeight="1" x14ac:dyDescent="0.2">
      <c r="A743" s="337"/>
      <c r="B743" s="337"/>
      <c r="C743" s="517"/>
      <c r="D743" s="517"/>
      <c r="E743" s="517"/>
      <c r="F743" s="517"/>
      <c r="G743" s="517"/>
      <c r="H743" s="517"/>
      <c r="I743" s="517"/>
      <c r="J743" s="517"/>
      <c r="K743" s="517"/>
      <c r="L743" s="517"/>
      <c r="M743" s="517"/>
      <c r="N743" s="517"/>
      <c r="O743" s="517"/>
      <c r="P743" s="517"/>
      <c r="Q743" s="517"/>
      <c r="R743" s="517"/>
      <c r="S743" s="517"/>
      <c r="T743" s="517"/>
      <c r="U743" s="517"/>
      <c r="V743" s="517"/>
      <c r="W743" s="517"/>
      <c r="X743" s="517"/>
      <c r="Y743" s="517"/>
    </row>
    <row r="744" spans="1:28" ht="17.25" customHeight="1" x14ac:dyDescent="0.2">
      <c r="A744" s="337"/>
      <c r="B744" s="337"/>
      <c r="C744" s="581" t="s">
        <v>339</v>
      </c>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row>
    <row r="745" spans="1:28" ht="33.75" customHeight="1" x14ac:dyDescent="0.2">
      <c r="A745" s="542" t="s">
        <v>466</v>
      </c>
      <c r="B745" s="543" t="s">
        <v>483</v>
      </c>
      <c r="C745" s="546" t="s">
        <v>87</v>
      </c>
      <c r="D745" s="546" t="s">
        <v>30</v>
      </c>
      <c r="E745" s="548" t="s">
        <v>31</v>
      </c>
      <c r="F745" s="549"/>
      <c r="G745" s="544" t="s">
        <v>32</v>
      </c>
      <c r="H745" s="552" t="s">
        <v>482</v>
      </c>
      <c r="I745" s="553"/>
      <c r="J745" s="553"/>
      <c r="K745" s="554"/>
      <c r="L745" s="544" t="s">
        <v>488</v>
      </c>
      <c r="M745" s="544" t="s">
        <v>487</v>
      </c>
      <c r="N745" s="743" t="s">
        <v>462</v>
      </c>
      <c r="O745" s="744"/>
      <c r="P745" s="744"/>
      <c r="Q745" s="744"/>
      <c r="R745" s="744"/>
      <c r="S745" s="744"/>
      <c r="T745" s="744"/>
      <c r="U745" s="744"/>
      <c r="V745" s="744"/>
      <c r="W745" s="744"/>
      <c r="X745" s="744"/>
      <c r="Y745" s="745"/>
      <c r="Z745" s="746" t="s">
        <v>216</v>
      </c>
      <c r="AA745" s="749" t="s">
        <v>215</v>
      </c>
      <c r="AB745" s="752" t="s">
        <v>105</v>
      </c>
    </row>
    <row r="746" spans="1:28" ht="54" customHeight="1" x14ac:dyDescent="0.2">
      <c r="A746" s="542"/>
      <c r="B746" s="544"/>
      <c r="C746" s="546"/>
      <c r="D746" s="546"/>
      <c r="E746" s="548"/>
      <c r="F746" s="549"/>
      <c r="G746" s="544"/>
      <c r="H746" s="753" t="s">
        <v>340</v>
      </c>
      <c r="I746" s="754"/>
      <c r="J746" s="754"/>
      <c r="K746" s="755"/>
      <c r="L746" s="544"/>
      <c r="M746" s="544"/>
      <c r="N746" s="756" t="s">
        <v>102</v>
      </c>
      <c r="O746" s="757"/>
      <c r="P746" s="757"/>
      <c r="Q746" s="757"/>
      <c r="R746" s="757"/>
      <c r="S746" s="758"/>
      <c r="T746" s="759" t="s">
        <v>103</v>
      </c>
      <c r="U746" s="757"/>
      <c r="V746" s="757"/>
      <c r="W746" s="757"/>
      <c r="X746" s="757"/>
      <c r="Y746" s="760"/>
      <c r="Z746" s="747"/>
      <c r="AA746" s="750"/>
      <c r="AB746" s="549"/>
    </row>
    <row r="747" spans="1:28" ht="32.25" customHeight="1" x14ac:dyDescent="0.2">
      <c r="A747" s="542"/>
      <c r="B747" s="544"/>
      <c r="C747" s="546"/>
      <c r="D747" s="546"/>
      <c r="E747" s="548"/>
      <c r="F747" s="549"/>
      <c r="G747" s="544"/>
      <c r="H747" s="543" t="s">
        <v>33</v>
      </c>
      <c r="I747" s="543" t="s">
        <v>34</v>
      </c>
      <c r="J747" s="543" t="s">
        <v>35</v>
      </c>
      <c r="K747" s="543" t="s">
        <v>109</v>
      </c>
      <c r="L747" s="544"/>
      <c r="M747" s="544"/>
      <c r="N747" s="555" t="s">
        <v>447</v>
      </c>
      <c r="O747" s="556"/>
      <c r="P747" s="556"/>
      <c r="Q747" s="556"/>
      <c r="R747" s="556"/>
      <c r="S747" s="557"/>
      <c r="T747" s="734" t="s">
        <v>441</v>
      </c>
      <c r="U747" s="735"/>
      <c r="V747" s="735"/>
      <c r="W747" s="735"/>
      <c r="X747" s="735"/>
      <c r="Y747" s="736"/>
      <c r="Z747" s="747"/>
      <c r="AA747" s="750"/>
      <c r="AB747" s="549"/>
    </row>
    <row r="748" spans="1:28" ht="32.25" customHeight="1" x14ac:dyDescent="0.2">
      <c r="A748" s="542"/>
      <c r="B748" s="544"/>
      <c r="C748" s="546"/>
      <c r="D748" s="546"/>
      <c r="E748" s="548"/>
      <c r="F748" s="549"/>
      <c r="G748" s="544"/>
      <c r="H748" s="544"/>
      <c r="I748" s="544"/>
      <c r="J748" s="544"/>
      <c r="K748" s="544"/>
      <c r="L748" s="544"/>
      <c r="M748" s="544"/>
      <c r="N748" s="555" t="s">
        <v>448</v>
      </c>
      <c r="O748" s="556"/>
      <c r="P748" s="556"/>
      <c r="Q748" s="556"/>
      <c r="R748" s="556"/>
      <c r="S748" s="557"/>
      <c r="T748" s="734" t="s">
        <v>442</v>
      </c>
      <c r="U748" s="735"/>
      <c r="V748" s="735"/>
      <c r="W748" s="735"/>
      <c r="X748" s="735"/>
      <c r="Y748" s="736"/>
      <c r="Z748" s="747"/>
      <c r="AA748" s="750"/>
      <c r="AB748" s="549"/>
    </row>
    <row r="749" spans="1:28" ht="32.25" customHeight="1" x14ac:dyDescent="0.2">
      <c r="A749" s="542"/>
      <c r="B749" s="544"/>
      <c r="C749" s="546"/>
      <c r="D749" s="546"/>
      <c r="E749" s="548"/>
      <c r="F749" s="549"/>
      <c r="G749" s="544"/>
      <c r="H749" s="544"/>
      <c r="I749" s="544"/>
      <c r="J749" s="544"/>
      <c r="K749" s="544"/>
      <c r="L749" s="544"/>
      <c r="M749" s="544"/>
      <c r="N749" s="555" t="s">
        <v>449</v>
      </c>
      <c r="O749" s="556"/>
      <c r="P749" s="556"/>
      <c r="Q749" s="556"/>
      <c r="R749" s="556"/>
      <c r="S749" s="557"/>
      <c r="T749" s="734" t="s">
        <v>443</v>
      </c>
      <c r="U749" s="735"/>
      <c r="V749" s="735"/>
      <c r="W749" s="735"/>
      <c r="X749" s="735"/>
      <c r="Y749" s="736"/>
      <c r="Z749" s="747"/>
      <c r="AA749" s="750"/>
      <c r="AB749" s="549"/>
    </row>
    <row r="750" spans="1:28" ht="32.25" customHeight="1" x14ac:dyDescent="0.2">
      <c r="A750" s="542"/>
      <c r="B750" s="544"/>
      <c r="C750" s="546"/>
      <c r="D750" s="546"/>
      <c r="E750" s="548"/>
      <c r="F750" s="549"/>
      <c r="G750" s="544"/>
      <c r="H750" s="544"/>
      <c r="I750" s="544"/>
      <c r="J750" s="544"/>
      <c r="K750" s="544"/>
      <c r="L750" s="544"/>
      <c r="M750" s="544"/>
      <c r="N750" s="555" t="s">
        <v>450</v>
      </c>
      <c r="O750" s="556"/>
      <c r="P750" s="556"/>
      <c r="Q750" s="556"/>
      <c r="R750" s="556"/>
      <c r="S750" s="557"/>
      <c r="T750" s="737" t="s">
        <v>104</v>
      </c>
      <c r="U750" s="738"/>
      <c r="V750" s="738"/>
      <c r="W750" s="738"/>
      <c r="X750" s="738"/>
      <c r="Y750" s="739"/>
      <c r="Z750" s="747"/>
      <c r="AA750" s="750"/>
      <c r="AB750" s="549"/>
    </row>
    <row r="751" spans="1:28" ht="32.25" customHeight="1" x14ac:dyDescent="0.2">
      <c r="A751" s="542"/>
      <c r="B751" s="544"/>
      <c r="C751" s="546"/>
      <c r="D751" s="546"/>
      <c r="E751" s="548"/>
      <c r="F751" s="549"/>
      <c r="G751" s="544"/>
      <c r="H751" s="544"/>
      <c r="I751" s="544"/>
      <c r="J751" s="544"/>
      <c r="K751" s="544"/>
      <c r="L751" s="544"/>
      <c r="M751" s="544"/>
      <c r="N751" s="555" t="s">
        <v>451</v>
      </c>
      <c r="O751" s="556"/>
      <c r="P751" s="556"/>
      <c r="Q751" s="556"/>
      <c r="R751" s="556"/>
      <c r="S751" s="557"/>
      <c r="T751" s="737"/>
      <c r="U751" s="738"/>
      <c r="V751" s="738"/>
      <c r="W751" s="738"/>
      <c r="X751" s="738"/>
      <c r="Y751" s="739"/>
      <c r="Z751" s="747"/>
      <c r="AA751" s="750"/>
      <c r="AB751" s="549"/>
    </row>
    <row r="752" spans="1:28" ht="32.25" customHeight="1" x14ac:dyDescent="0.2">
      <c r="A752" s="542"/>
      <c r="B752" s="544"/>
      <c r="C752" s="546"/>
      <c r="D752" s="546"/>
      <c r="E752" s="548"/>
      <c r="F752" s="549"/>
      <c r="G752" s="544"/>
      <c r="H752" s="544"/>
      <c r="I752" s="544"/>
      <c r="J752" s="544"/>
      <c r="K752" s="544"/>
      <c r="L752" s="544"/>
      <c r="M752" s="544"/>
      <c r="N752" s="555" t="s">
        <v>452</v>
      </c>
      <c r="O752" s="556"/>
      <c r="P752" s="556"/>
      <c r="Q752" s="556"/>
      <c r="R752" s="556"/>
      <c r="S752" s="557"/>
      <c r="T752" s="737"/>
      <c r="U752" s="738"/>
      <c r="V752" s="738"/>
      <c r="W752" s="738"/>
      <c r="X752" s="738"/>
      <c r="Y752" s="739"/>
      <c r="Z752" s="747"/>
      <c r="AA752" s="750"/>
      <c r="AB752" s="549"/>
    </row>
    <row r="753" spans="1:28" ht="32.25" customHeight="1" x14ac:dyDescent="0.2">
      <c r="A753" s="542"/>
      <c r="B753" s="544"/>
      <c r="C753" s="546"/>
      <c r="D753" s="546"/>
      <c r="E753" s="548"/>
      <c r="F753" s="549"/>
      <c r="G753" s="544"/>
      <c r="H753" s="544"/>
      <c r="I753" s="544"/>
      <c r="J753" s="544"/>
      <c r="K753" s="544"/>
      <c r="L753" s="544"/>
      <c r="M753" s="544"/>
      <c r="N753" s="558" t="s">
        <v>453</v>
      </c>
      <c r="O753" s="559"/>
      <c r="P753" s="559"/>
      <c r="Q753" s="559"/>
      <c r="R753" s="559"/>
      <c r="S753" s="560"/>
      <c r="T753" s="740"/>
      <c r="U753" s="741"/>
      <c r="V753" s="741"/>
      <c r="W753" s="741"/>
      <c r="X753" s="741"/>
      <c r="Y753" s="742"/>
      <c r="Z753" s="747"/>
      <c r="AA753" s="750"/>
      <c r="AB753" s="549"/>
    </row>
    <row r="754" spans="1:28" ht="84.75" customHeight="1" x14ac:dyDescent="0.2">
      <c r="A754" s="542"/>
      <c r="B754" s="545"/>
      <c r="C754" s="547"/>
      <c r="D754" s="547"/>
      <c r="E754" s="550"/>
      <c r="F754" s="551"/>
      <c r="G754" s="545"/>
      <c r="H754" s="545"/>
      <c r="I754" s="545"/>
      <c r="J754" s="545"/>
      <c r="K754" s="545"/>
      <c r="L754" s="545"/>
      <c r="M754" s="545"/>
      <c r="N754" s="474" t="s">
        <v>90</v>
      </c>
      <c r="O754" s="474" t="s">
        <v>91</v>
      </c>
      <c r="P754" s="474" t="s">
        <v>92</v>
      </c>
      <c r="Q754" s="474" t="s">
        <v>93</v>
      </c>
      <c r="R754" s="474" t="s">
        <v>94</v>
      </c>
      <c r="S754" s="474" t="s">
        <v>95</v>
      </c>
      <c r="T754" s="474" t="s">
        <v>96</v>
      </c>
      <c r="U754" s="474" t="s">
        <v>97</v>
      </c>
      <c r="V754" s="474" t="s">
        <v>98</v>
      </c>
      <c r="W754" s="474" t="s">
        <v>99</v>
      </c>
      <c r="X754" s="474" t="s">
        <v>100</v>
      </c>
      <c r="Y754" s="474" t="s">
        <v>101</v>
      </c>
      <c r="Z754" s="748"/>
      <c r="AA754" s="751"/>
      <c r="AB754" s="551"/>
    </row>
    <row r="755" spans="1:28" ht="39" customHeight="1" x14ac:dyDescent="0.2">
      <c r="A755" s="475"/>
      <c r="B755" s="522"/>
      <c r="C755" s="522"/>
      <c r="D755" s="730" t="s">
        <v>446</v>
      </c>
      <c r="E755" s="731"/>
      <c r="F755" s="731"/>
      <c r="G755" s="731"/>
      <c r="H755" s="731"/>
      <c r="I755" s="731"/>
      <c r="J755" s="731"/>
      <c r="K755" s="731"/>
      <c r="L755" s="731"/>
      <c r="M755" s="731"/>
      <c r="N755" s="731"/>
      <c r="O755" s="731"/>
      <c r="P755" s="731"/>
      <c r="Q755" s="731"/>
      <c r="R755" s="731"/>
      <c r="S755" s="731"/>
      <c r="T755" s="731"/>
      <c r="U755" s="731"/>
      <c r="V755" s="731"/>
      <c r="W755" s="731"/>
      <c r="X755" s="731"/>
      <c r="Y755" s="731"/>
      <c r="Z755" s="731"/>
      <c r="AA755" s="731"/>
      <c r="AB755" s="731"/>
    </row>
    <row r="756" spans="1:28" ht="15" x14ac:dyDescent="0.2">
      <c r="A756" s="732" t="s">
        <v>37</v>
      </c>
      <c r="B756" s="733"/>
      <c r="C756" s="733"/>
      <c r="D756" s="733"/>
      <c r="E756" s="733"/>
      <c r="F756" s="733"/>
      <c r="G756" s="733"/>
      <c r="H756" s="733"/>
      <c r="I756" s="733"/>
      <c r="J756" s="733"/>
      <c r="K756" s="733"/>
      <c r="L756" s="733"/>
      <c r="M756" s="733"/>
      <c r="N756" s="733"/>
      <c r="O756" s="733"/>
      <c r="P756" s="733"/>
      <c r="Q756" s="733"/>
      <c r="R756" s="733"/>
      <c r="S756" s="733"/>
      <c r="T756" s="733"/>
      <c r="U756" s="733"/>
      <c r="V756" s="733"/>
      <c r="W756" s="733"/>
      <c r="X756" s="733"/>
      <c r="Y756" s="733"/>
      <c r="Z756" s="733"/>
      <c r="AA756" s="733"/>
      <c r="AB756" s="733"/>
    </row>
    <row r="757" spans="1:28" ht="30" customHeight="1" x14ac:dyDescent="0.2">
      <c r="A757" s="476">
        <v>1</v>
      </c>
      <c r="B757" s="476">
        <v>30</v>
      </c>
      <c r="C757" s="476" t="s">
        <v>88</v>
      </c>
      <c r="D757" s="477">
        <v>1</v>
      </c>
      <c r="E757" s="539" t="s">
        <v>89</v>
      </c>
      <c r="F757" s="540"/>
      <c r="G757" s="478">
        <v>6</v>
      </c>
      <c r="H757" s="476" t="s">
        <v>7</v>
      </c>
      <c r="I757" s="476"/>
      <c r="J757" s="476"/>
      <c r="K757" s="476"/>
      <c r="L757" s="476">
        <v>0</v>
      </c>
      <c r="M757" s="479">
        <v>0</v>
      </c>
      <c r="N757" s="476" t="s">
        <v>106</v>
      </c>
      <c r="O757" s="476" t="s">
        <v>106</v>
      </c>
      <c r="P757" s="476" t="s">
        <v>106</v>
      </c>
      <c r="Q757" s="476" t="s">
        <v>107</v>
      </c>
      <c r="R757" s="476" t="s">
        <v>107</v>
      </c>
      <c r="S757" s="476" t="s">
        <v>55</v>
      </c>
      <c r="T757" s="476" t="s">
        <v>55</v>
      </c>
      <c r="U757" s="476" t="s">
        <v>55</v>
      </c>
      <c r="V757" s="476" t="s">
        <v>55</v>
      </c>
      <c r="W757" s="476" t="s">
        <v>55</v>
      </c>
      <c r="X757" s="476" t="s">
        <v>55</v>
      </c>
      <c r="Y757" s="476" t="s">
        <v>55</v>
      </c>
      <c r="Z757" s="541" t="s">
        <v>108</v>
      </c>
      <c r="AA757" s="541"/>
      <c r="AB757" s="541"/>
    </row>
    <row r="758" spans="1:28" ht="30" customHeight="1" x14ac:dyDescent="0.2">
      <c r="A758" s="480">
        <v>1</v>
      </c>
      <c r="B758" s="480">
        <v>30</v>
      </c>
      <c r="C758" s="480" t="s">
        <v>88</v>
      </c>
      <c r="D758" s="481">
        <v>2</v>
      </c>
      <c r="E758" s="539" t="s">
        <v>206</v>
      </c>
      <c r="F758" s="540"/>
      <c r="G758" s="482">
        <v>5</v>
      </c>
      <c r="H758" s="480" t="s">
        <v>7</v>
      </c>
      <c r="I758" s="480"/>
      <c r="J758" s="480"/>
      <c r="K758" s="480"/>
      <c r="L758" s="480">
        <v>0</v>
      </c>
      <c r="M758" s="483">
        <v>0</v>
      </c>
      <c r="N758" s="476" t="s">
        <v>106</v>
      </c>
      <c r="O758" s="476" t="s">
        <v>106</v>
      </c>
      <c r="P758" s="476" t="s">
        <v>107</v>
      </c>
      <c r="Q758" s="476" t="s">
        <v>107</v>
      </c>
      <c r="R758" s="476" t="s">
        <v>55</v>
      </c>
      <c r="S758" s="476" t="s">
        <v>55</v>
      </c>
      <c r="T758" s="476" t="s">
        <v>55</v>
      </c>
      <c r="U758" s="476" t="s">
        <v>55</v>
      </c>
      <c r="V758" s="476" t="s">
        <v>55</v>
      </c>
      <c r="W758" s="476" t="s">
        <v>55</v>
      </c>
      <c r="X758" s="476" t="s">
        <v>55</v>
      </c>
      <c r="Y758" s="476" t="s">
        <v>55</v>
      </c>
      <c r="Z758" s="541" t="s">
        <v>209</v>
      </c>
      <c r="AA758" s="541"/>
      <c r="AB758" s="540"/>
    </row>
    <row r="759" spans="1:28" ht="30" customHeight="1" x14ac:dyDescent="0.2">
      <c r="A759" s="480">
        <v>2</v>
      </c>
      <c r="B759" s="480">
        <v>70</v>
      </c>
      <c r="C759" s="480" t="s">
        <v>205</v>
      </c>
      <c r="D759" s="481">
        <v>3</v>
      </c>
      <c r="E759" s="539" t="s">
        <v>207</v>
      </c>
      <c r="F759" s="540"/>
      <c r="G759" s="482">
        <v>5</v>
      </c>
      <c r="H759" s="480"/>
      <c r="I759" s="480"/>
      <c r="J759" s="480" t="s">
        <v>7</v>
      </c>
      <c r="K759" s="480"/>
      <c r="L759" s="478">
        <v>22</v>
      </c>
      <c r="M759" s="512">
        <v>0</v>
      </c>
      <c r="N759" s="476" t="s">
        <v>212</v>
      </c>
      <c r="O759" s="476" t="s">
        <v>212</v>
      </c>
      <c r="P759" s="476" t="s">
        <v>212</v>
      </c>
      <c r="Q759" s="476" t="s">
        <v>210</v>
      </c>
      <c r="R759" s="476" t="s">
        <v>55</v>
      </c>
      <c r="S759" s="476" t="s">
        <v>55</v>
      </c>
      <c r="T759" s="476" t="s">
        <v>55</v>
      </c>
      <c r="U759" s="476" t="s">
        <v>55</v>
      </c>
      <c r="V759" s="476" t="s">
        <v>55</v>
      </c>
      <c r="W759" s="476" t="s">
        <v>57</v>
      </c>
      <c r="X759" s="476"/>
      <c r="Y759" s="476"/>
      <c r="Z759" s="541" t="s">
        <v>211</v>
      </c>
      <c r="AA759" s="541"/>
      <c r="AB759" s="540"/>
    </row>
    <row r="760" spans="1:28" ht="30" customHeight="1" x14ac:dyDescent="0.2">
      <c r="A760" s="480">
        <v>2</v>
      </c>
      <c r="B760" s="480">
        <v>70</v>
      </c>
      <c r="C760" s="480" t="s">
        <v>205</v>
      </c>
      <c r="D760" s="481">
        <v>4</v>
      </c>
      <c r="E760" s="539" t="s">
        <v>208</v>
      </c>
      <c r="F760" s="540"/>
      <c r="G760" s="482">
        <v>6</v>
      </c>
      <c r="H760" s="480"/>
      <c r="I760" s="480"/>
      <c r="J760" s="480" t="s">
        <v>7</v>
      </c>
      <c r="K760" s="480"/>
      <c r="L760" s="482">
        <v>35</v>
      </c>
      <c r="M760" s="485">
        <v>0</v>
      </c>
      <c r="N760" s="476" t="s">
        <v>212</v>
      </c>
      <c r="O760" s="476" t="s">
        <v>212</v>
      </c>
      <c r="P760" s="476" t="s">
        <v>55</v>
      </c>
      <c r="Q760" s="476" t="s">
        <v>55</v>
      </c>
      <c r="R760" s="476" t="s">
        <v>55</v>
      </c>
      <c r="S760" s="476" t="s">
        <v>55</v>
      </c>
      <c r="T760" s="476" t="s">
        <v>55</v>
      </c>
      <c r="U760" s="476" t="s">
        <v>55</v>
      </c>
      <c r="V760" s="476" t="s">
        <v>55</v>
      </c>
      <c r="W760" s="476" t="s">
        <v>55</v>
      </c>
      <c r="X760" s="476" t="s">
        <v>55</v>
      </c>
      <c r="Y760" s="476" t="s">
        <v>55</v>
      </c>
      <c r="Z760" s="541" t="s">
        <v>213</v>
      </c>
      <c r="AA760" s="541"/>
      <c r="AB760" s="540"/>
    </row>
    <row r="761" spans="1:28" ht="33" customHeight="1" x14ac:dyDescent="0.2">
      <c r="A761" s="522"/>
      <c r="B761" s="522"/>
      <c r="C761" s="522"/>
      <c r="D761" s="486">
        <v>1</v>
      </c>
      <c r="E761" s="529"/>
      <c r="F761" s="531"/>
      <c r="G761" s="522"/>
      <c r="H761" s="522"/>
      <c r="I761" s="522"/>
      <c r="J761" s="522"/>
      <c r="K761" s="522"/>
      <c r="L761" s="525"/>
      <c r="M761" s="525"/>
      <c r="N761" s="522"/>
      <c r="O761" s="522"/>
      <c r="P761" s="522"/>
      <c r="Q761" s="522"/>
      <c r="R761" s="522"/>
      <c r="S761" s="522"/>
      <c r="T761" s="522"/>
      <c r="U761" s="522"/>
      <c r="V761" s="522"/>
      <c r="W761" s="522"/>
      <c r="X761" s="522"/>
      <c r="Y761" s="522"/>
      <c r="Z761" s="529"/>
      <c r="AA761" s="530"/>
      <c r="AB761" s="531"/>
    </row>
    <row r="762" spans="1:28" ht="33" customHeight="1" x14ac:dyDescent="0.2">
      <c r="A762" s="523"/>
      <c r="B762" s="523"/>
      <c r="C762" s="523"/>
      <c r="D762" s="487">
        <v>2</v>
      </c>
      <c r="E762" s="529"/>
      <c r="F762" s="531"/>
      <c r="G762" s="522"/>
      <c r="H762" s="523"/>
      <c r="I762" s="523"/>
      <c r="J762" s="523"/>
      <c r="K762" s="523"/>
      <c r="L762" s="525"/>
      <c r="M762" s="525"/>
      <c r="N762" s="522"/>
      <c r="O762" s="522"/>
      <c r="P762" s="522"/>
      <c r="Q762" s="522"/>
      <c r="R762" s="522"/>
      <c r="S762" s="522"/>
      <c r="T762" s="522"/>
      <c r="U762" s="522"/>
      <c r="V762" s="522"/>
      <c r="W762" s="522"/>
      <c r="X762" s="522"/>
      <c r="Y762" s="522"/>
      <c r="Z762" s="529"/>
      <c r="AA762" s="530"/>
      <c r="AB762" s="531"/>
    </row>
    <row r="763" spans="1:28" ht="33" customHeight="1" x14ac:dyDescent="0.2">
      <c r="A763" s="523"/>
      <c r="B763" s="523"/>
      <c r="C763" s="523"/>
      <c r="D763" s="487">
        <v>3</v>
      </c>
      <c r="E763" s="529"/>
      <c r="F763" s="531"/>
      <c r="G763" s="522"/>
      <c r="H763" s="523"/>
      <c r="I763" s="523"/>
      <c r="J763" s="523"/>
      <c r="K763" s="523"/>
      <c r="L763" s="525"/>
      <c r="M763" s="525"/>
      <c r="N763" s="523"/>
      <c r="O763" s="523"/>
      <c r="P763" s="523"/>
      <c r="Q763" s="523"/>
      <c r="R763" s="523"/>
      <c r="S763" s="522"/>
      <c r="T763" s="522"/>
      <c r="U763" s="522"/>
      <c r="V763" s="522"/>
      <c r="W763" s="522"/>
      <c r="X763" s="522"/>
      <c r="Y763" s="522"/>
      <c r="Z763" s="529"/>
      <c r="AA763" s="530"/>
      <c r="AB763" s="531"/>
    </row>
    <row r="764" spans="1:28" ht="33" customHeight="1" x14ac:dyDescent="0.2">
      <c r="A764" s="523"/>
      <c r="B764" s="523"/>
      <c r="C764" s="523"/>
      <c r="D764" s="487">
        <v>4</v>
      </c>
      <c r="E764" s="529"/>
      <c r="F764" s="531"/>
      <c r="G764" s="522"/>
      <c r="H764" s="523"/>
      <c r="I764" s="523"/>
      <c r="J764" s="523"/>
      <c r="K764" s="523"/>
      <c r="L764" s="525"/>
      <c r="M764" s="525"/>
      <c r="N764" s="523"/>
      <c r="O764" s="523"/>
      <c r="P764" s="523"/>
      <c r="Q764" s="523"/>
      <c r="R764" s="523"/>
      <c r="S764" s="523"/>
      <c r="T764" s="523"/>
      <c r="U764" s="523"/>
      <c r="V764" s="523"/>
      <c r="W764" s="523"/>
      <c r="X764" s="523"/>
      <c r="Y764" s="523"/>
      <c r="Z764" s="529"/>
      <c r="AA764" s="530"/>
      <c r="AB764" s="531"/>
    </row>
    <row r="765" spans="1:28" ht="33" customHeight="1" x14ac:dyDescent="0.2">
      <c r="A765" s="523"/>
      <c r="B765" s="523"/>
      <c r="C765" s="523"/>
      <c r="D765" s="487">
        <v>5</v>
      </c>
      <c r="E765" s="532"/>
      <c r="F765" s="533"/>
      <c r="G765" s="522"/>
      <c r="H765" s="523"/>
      <c r="I765" s="523"/>
      <c r="J765" s="523"/>
      <c r="K765" s="523"/>
      <c r="L765" s="525"/>
      <c r="M765" s="525"/>
      <c r="N765" s="523"/>
      <c r="O765" s="523"/>
      <c r="P765" s="523"/>
      <c r="Q765" s="523"/>
      <c r="R765" s="523"/>
      <c r="S765" s="523"/>
      <c r="T765" s="523"/>
      <c r="U765" s="523"/>
      <c r="V765" s="523"/>
      <c r="W765" s="523"/>
      <c r="X765" s="523"/>
      <c r="Y765" s="523"/>
      <c r="Z765" s="529"/>
      <c r="AA765" s="530"/>
      <c r="AB765" s="531"/>
    </row>
    <row r="766" spans="1:28" ht="33" customHeight="1" x14ac:dyDescent="0.2">
      <c r="A766" s="523"/>
      <c r="B766" s="523"/>
      <c r="C766" s="523"/>
      <c r="D766" s="487">
        <v>6</v>
      </c>
      <c r="E766" s="532"/>
      <c r="F766" s="533"/>
      <c r="G766" s="522"/>
      <c r="H766" s="523"/>
      <c r="I766" s="523"/>
      <c r="J766" s="523"/>
      <c r="K766" s="523"/>
      <c r="L766" s="525"/>
      <c r="M766" s="525"/>
      <c r="N766" s="523"/>
      <c r="O766" s="523"/>
      <c r="P766" s="523"/>
      <c r="Q766" s="523"/>
      <c r="R766" s="523"/>
      <c r="S766" s="523"/>
      <c r="T766" s="523"/>
      <c r="U766" s="523"/>
      <c r="V766" s="523"/>
      <c r="W766" s="523"/>
      <c r="X766" s="523"/>
      <c r="Y766" s="523"/>
      <c r="Z766" s="529"/>
      <c r="AA766" s="530"/>
      <c r="AB766" s="531"/>
    </row>
    <row r="767" spans="1:28" ht="33" customHeight="1" x14ac:dyDescent="0.2">
      <c r="A767" s="523"/>
      <c r="B767" s="523"/>
      <c r="C767" s="523"/>
      <c r="D767" s="487">
        <v>7</v>
      </c>
      <c r="E767" s="532"/>
      <c r="F767" s="533"/>
      <c r="G767" s="522"/>
      <c r="H767" s="523"/>
      <c r="I767" s="523"/>
      <c r="J767" s="523"/>
      <c r="K767" s="523"/>
      <c r="L767" s="525"/>
      <c r="M767" s="525"/>
      <c r="N767" s="523"/>
      <c r="O767" s="523"/>
      <c r="P767" s="523"/>
      <c r="Q767" s="523"/>
      <c r="R767" s="523"/>
      <c r="S767" s="522"/>
      <c r="T767" s="522"/>
      <c r="U767" s="522"/>
      <c r="V767" s="522"/>
      <c r="W767" s="522"/>
      <c r="X767" s="522"/>
      <c r="Y767" s="522"/>
      <c r="Z767" s="529"/>
      <c r="AA767" s="530"/>
      <c r="AB767" s="531"/>
    </row>
    <row r="768" spans="1:28" ht="33" customHeight="1" x14ac:dyDescent="0.2">
      <c r="A768" s="523"/>
      <c r="B768" s="523"/>
      <c r="C768" s="523"/>
      <c r="D768" s="487">
        <v>8</v>
      </c>
      <c r="E768" s="532"/>
      <c r="F768" s="533"/>
      <c r="G768" s="522"/>
      <c r="H768" s="523"/>
      <c r="I768" s="523"/>
      <c r="J768" s="523"/>
      <c r="K768" s="523"/>
      <c r="L768" s="525"/>
      <c r="M768" s="525"/>
      <c r="N768" s="523"/>
      <c r="O768" s="523"/>
      <c r="P768" s="523"/>
      <c r="Q768" s="523"/>
      <c r="R768" s="523"/>
      <c r="S768" s="523"/>
      <c r="T768" s="523"/>
      <c r="U768" s="523"/>
      <c r="V768" s="523"/>
      <c r="W768" s="523"/>
      <c r="X768" s="523"/>
      <c r="Y768" s="523"/>
      <c r="Z768" s="529"/>
      <c r="AA768" s="530"/>
      <c r="AB768" s="531"/>
    </row>
    <row r="769" spans="1:28" ht="33" customHeight="1" x14ac:dyDescent="0.2">
      <c r="A769" s="523"/>
      <c r="B769" s="523"/>
      <c r="C769" s="523"/>
      <c r="D769" s="487">
        <v>9</v>
      </c>
      <c r="E769" s="532"/>
      <c r="F769" s="533"/>
      <c r="G769" s="522"/>
      <c r="H769" s="523"/>
      <c r="I769" s="523"/>
      <c r="J769" s="523"/>
      <c r="K769" s="523"/>
      <c r="L769" s="525"/>
      <c r="M769" s="525"/>
      <c r="N769" s="523"/>
      <c r="O769" s="523"/>
      <c r="P769" s="523"/>
      <c r="Q769" s="523"/>
      <c r="R769" s="523"/>
      <c r="S769" s="523"/>
      <c r="T769" s="523"/>
      <c r="U769" s="523"/>
      <c r="V769" s="523"/>
      <c r="W769" s="523"/>
      <c r="X769" s="523"/>
      <c r="Y769" s="523"/>
      <c r="Z769" s="529"/>
      <c r="AA769" s="530"/>
      <c r="AB769" s="531"/>
    </row>
    <row r="770" spans="1:28" ht="33" customHeight="1" x14ac:dyDescent="0.2">
      <c r="A770" s="523"/>
      <c r="B770" s="523"/>
      <c r="C770" s="523"/>
      <c r="D770" s="487">
        <v>10</v>
      </c>
      <c r="E770" s="532"/>
      <c r="F770" s="533"/>
      <c r="G770" s="522"/>
      <c r="H770" s="523"/>
      <c r="I770" s="523"/>
      <c r="J770" s="523"/>
      <c r="K770" s="523"/>
      <c r="L770" s="525"/>
      <c r="M770" s="525"/>
      <c r="N770" s="523"/>
      <c r="O770" s="523"/>
      <c r="P770" s="523"/>
      <c r="Q770" s="523"/>
      <c r="R770" s="523"/>
      <c r="S770" s="523"/>
      <c r="T770" s="523"/>
      <c r="U770" s="523"/>
      <c r="V770" s="523"/>
      <c r="W770" s="523"/>
      <c r="X770" s="523"/>
      <c r="Y770" s="523"/>
      <c r="Z770" s="529"/>
      <c r="AA770" s="530"/>
      <c r="AB770" s="531"/>
    </row>
    <row r="771" spans="1:28" ht="33" customHeight="1" x14ac:dyDescent="0.2">
      <c r="A771" s="523"/>
      <c r="B771" s="523"/>
      <c r="C771" s="523"/>
      <c r="D771" s="487">
        <v>11</v>
      </c>
      <c r="E771" s="532"/>
      <c r="F771" s="533"/>
      <c r="G771" s="522"/>
      <c r="H771" s="523"/>
      <c r="I771" s="523"/>
      <c r="J771" s="523"/>
      <c r="K771" s="523"/>
      <c r="L771" s="525"/>
      <c r="M771" s="525"/>
      <c r="N771" s="523"/>
      <c r="O771" s="523"/>
      <c r="P771" s="523"/>
      <c r="Q771" s="523"/>
      <c r="R771" s="523"/>
      <c r="S771" s="523"/>
      <c r="T771" s="523"/>
      <c r="U771" s="523"/>
      <c r="V771" s="523"/>
      <c r="W771" s="523"/>
      <c r="X771" s="523"/>
      <c r="Y771" s="523"/>
      <c r="Z771" s="529"/>
      <c r="AA771" s="530"/>
      <c r="AB771" s="531"/>
    </row>
    <row r="772" spans="1:28" ht="33" customHeight="1" x14ac:dyDescent="0.2">
      <c r="A772" s="523"/>
      <c r="B772" s="523"/>
      <c r="C772" s="523"/>
      <c r="D772" s="487">
        <v>12</v>
      </c>
      <c r="E772" s="532"/>
      <c r="F772" s="533"/>
      <c r="G772" s="522"/>
      <c r="H772" s="523"/>
      <c r="I772" s="523"/>
      <c r="J772" s="523"/>
      <c r="K772" s="523"/>
      <c r="L772" s="525"/>
      <c r="M772" s="525"/>
      <c r="N772" s="523"/>
      <c r="O772" s="523"/>
      <c r="P772" s="523"/>
      <c r="Q772" s="523"/>
      <c r="R772" s="523"/>
      <c r="S772" s="523"/>
      <c r="T772" s="523"/>
      <c r="U772" s="523"/>
      <c r="V772" s="523"/>
      <c r="W772" s="523"/>
      <c r="X772" s="523"/>
      <c r="Y772" s="523"/>
      <c r="Z772" s="529"/>
      <c r="AA772" s="530"/>
      <c r="AB772" s="531"/>
    </row>
    <row r="773" spans="1:28" ht="33" customHeight="1" x14ac:dyDescent="0.2">
      <c r="A773" s="523"/>
      <c r="B773" s="523"/>
      <c r="C773" s="523"/>
      <c r="D773" s="487">
        <v>13</v>
      </c>
      <c r="E773" s="532"/>
      <c r="F773" s="533"/>
      <c r="G773" s="522"/>
      <c r="H773" s="523"/>
      <c r="I773" s="523"/>
      <c r="J773" s="523"/>
      <c r="K773" s="523"/>
      <c r="L773" s="525"/>
      <c r="M773" s="525"/>
      <c r="N773" s="523"/>
      <c r="O773" s="523"/>
      <c r="P773" s="523"/>
      <c r="Q773" s="523"/>
      <c r="R773" s="523"/>
      <c r="S773" s="523"/>
      <c r="T773" s="523"/>
      <c r="U773" s="523"/>
      <c r="V773" s="523"/>
      <c r="W773" s="523"/>
      <c r="X773" s="523"/>
      <c r="Y773" s="523"/>
      <c r="Z773" s="529"/>
      <c r="AA773" s="530"/>
      <c r="AB773" s="531"/>
    </row>
    <row r="774" spans="1:28" ht="33" customHeight="1" x14ac:dyDescent="0.2">
      <c r="A774" s="523"/>
      <c r="B774" s="523"/>
      <c r="C774" s="523"/>
      <c r="D774" s="487">
        <v>14</v>
      </c>
      <c r="E774" s="532"/>
      <c r="F774" s="533"/>
      <c r="G774" s="522"/>
      <c r="H774" s="523"/>
      <c r="I774" s="523"/>
      <c r="J774" s="523"/>
      <c r="K774" s="523"/>
      <c r="L774" s="525"/>
      <c r="M774" s="525"/>
      <c r="N774" s="523"/>
      <c r="O774" s="523"/>
      <c r="P774" s="523"/>
      <c r="Q774" s="523"/>
      <c r="R774" s="523"/>
      <c r="S774" s="523"/>
      <c r="T774" s="523"/>
      <c r="U774" s="523"/>
      <c r="V774" s="523"/>
      <c r="W774" s="523"/>
      <c r="X774" s="523"/>
      <c r="Y774" s="523"/>
      <c r="Z774" s="529"/>
      <c r="AA774" s="530"/>
      <c r="AB774" s="531"/>
    </row>
    <row r="775" spans="1:28" ht="33" customHeight="1" x14ac:dyDescent="0.2">
      <c r="A775" s="523"/>
      <c r="B775" s="523"/>
      <c r="C775" s="523"/>
      <c r="D775" s="487">
        <v>15</v>
      </c>
      <c r="E775" s="532"/>
      <c r="F775" s="533"/>
      <c r="G775" s="523"/>
      <c r="H775" s="523"/>
      <c r="I775" s="523"/>
      <c r="J775" s="523"/>
      <c r="K775" s="523"/>
      <c r="L775" s="526"/>
      <c r="M775" s="526"/>
      <c r="N775" s="523"/>
      <c r="O775" s="523"/>
      <c r="P775" s="523"/>
      <c r="Q775" s="523"/>
      <c r="R775" s="523"/>
      <c r="S775" s="523"/>
      <c r="T775" s="523"/>
      <c r="U775" s="523"/>
      <c r="V775" s="523"/>
      <c r="W775" s="523"/>
      <c r="X775" s="523"/>
      <c r="Y775" s="523"/>
      <c r="Z775" s="529"/>
      <c r="AA775" s="530"/>
      <c r="AB775" s="531"/>
    </row>
    <row r="776" spans="1:28" ht="33" customHeight="1" x14ac:dyDescent="0.2">
      <c r="A776" s="523"/>
      <c r="B776" s="523"/>
      <c r="C776" s="523"/>
      <c r="D776" s="487">
        <v>16</v>
      </c>
      <c r="E776" s="532"/>
      <c r="F776" s="533"/>
      <c r="G776" s="523"/>
      <c r="H776" s="523"/>
      <c r="I776" s="523"/>
      <c r="J776" s="523"/>
      <c r="K776" s="523"/>
      <c r="L776" s="526"/>
      <c r="M776" s="526"/>
      <c r="N776" s="523"/>
      <c r="O776" s="523"/>
      <c r="P776" s="523"/>
      <c r="Q776" s="523"/>
      <c r="R776" s="523"/>
      <c r="S776" s="523"/>
      <c r="T776" s="523"/>
      <c r="U776" s="523"/>
      <c r="V776" s="523"/>
      <c r="W776" s="523"/>
      <c r="X776" s="523"/>
      <c r="Y776" s="523"/>
      <c r="Z776" s="529"/>
      <c r="AA776" s="530"/>
      <c r="AB776" s="531"/>
    </row>
    <row r="777" spans="1:28" ht="33" customHeight="1" x14ac:dyDescent="0.2">
      <c r="A777" s="523"/>
      <c r="B777" s="523"/>
      <c r="C777" s="523"/>
      <c r="D777" s="487">
        <v>17</v>
      </c>
      <c r="E777" s="532"/>
      <c r="F777" s="533"/>
      <c r="G777" s="523"/>
      <c r="H777" s="523"/>
      <c r="I777" s="523"/>
      <c r="J777" s="523"/>
      <c r="K777" s="523"/>
      <c r="L777" s="526"/>
      <c r="M777" s="526"/>
      <c r="N777" s="523"/>
      <c r="O777" s="523"/>
      <c r="P777" s="523"/>
      <c r="Q777" s="523"/>
      <c r="R777" s="523"/>
      <c r="S777" s="523"/>
      <c r="T777" s="523"/>
      <c r="U777" s="523"/>
      <c r="V777" s="523"/>
      <c r="W777" s="523"/>
      <c r="X777" s="523"/>
      <c r="Y777" s="523"/>
      <c r="Z777" s="529"/>
      <c r="AA777" s="530"/>
      <c r="AB777" s="531"/>
    </row>
    <row r="778" spans="1:28" ht="33" customHeight="1" x14ac:dyDescent="0.2">
      <c r="A778" s="523"/>
      <c r="B778" s="523"/>
      <c r="C778" s="523"/>
      <c r="D778" s="487">
        <v>18</v>
      </c>
      <c r="E778" s="532"/>
      <c r="F778" s="533"/>
      <c r="G778" s="523"/>
      <c r="H778" s="523"/>
      <c r="I778" s="523"/>
      <c r="J778" s="523"/>
      <c r="K778" s="523"/>
      <c r="L778" s="526"/>
      <c r="M778" s="526"/>
      <c r="N778" s="523"/>
      <c r="O778" s="523"/>
      <c r="P778" s="523"/>
      <c r="Q778" s="523"/>
      <c r="R778" s="523"/>
      <c r="S778" s="523"/>
      <c r="T778" s="523"/>
      <c r="U778" s="523"/>
      <c r="V778" s="523"/>
      <c r="W778" s="523"/>
      <c r="X778" s="523"/>
      <c r="Y778" s="523"/>
      <c r="Z778" s="529"/>
      <c r="AA778" s="530"/>
      <c r="AB778" s="531"/>
    </row>
    <row r="779" spans="1:28" ht="33" customHeight="1" x14ac:dyDescent="0.2">
      <c r="A779" s="523"/>
      <c r="B779" s="523"/>
      <c r="C779" s="523"/>
      <c r="D779" s="487">
        <v>19</v>
      </c>
      <c r="E779" s="532"/>
      <c r="F779" s="533"/>
      <c r="G779" s="523"/>
      <c r="H779" s="523"/>
      <c r="I779" s="523"/>
      <c r="J779" s="523"/>
      <c r="K779" s="523"/>
      <c r="L779" s="526"/>
      <c r="M779" s="526"/>
      <c r="N779" s="523"/>
      <c r="O779" s="523"/>
      <c r="P779" s="523"/>
      <c r="Q779" s="523"/>
      <c r="R779" s="523"/>
      <c r="S779" s="523"/>
      <c r="T779" s="523"/>
      <c r="U779" s="523"/>
      <c r="V779" s="523"/>
      <c r="W779" s="523"/>
      <c r="X779" s="523"/>
      <c r="Y779" s="523"/>
      <c r="Z779" s="529"/>
      <c r="AA779" s="530"/>
      <c r="AB779" s="531"/>
    </row>
    <row r="780" spans="1:28" ht="33" customHeight="1" x14ac:dyDescent="0.2">
      <c r="A780" s="523"/>
      <c r="B780" s="524"/>
      <c r="C780" s="524"/>
      <c r="D780" s="487">
        <v>20</v>
      </c>
      <c r="E780" s="532"/>
      <c r="F780" s="533"/>
      <c r="G780" s="523"/>
      <c r="H780" s="523"/>
      <c r="I780" s="523"/>
      <c r="J780" s="523"/>
      <c r="K780" s="523"/>
      <c r="L780" s="526"/>
      <c r="M780" s="526"/>
      <c r="N780" s="523"/>
      <c r="O780" s="523"/>
      <c r="P780" s="523"/>
      <c r="Q780" s="523"/>
      <c r="R780" s="523"/>
      <c r="S780" s="523"/>
      <c r="T780" s="523"/>
      <c r="U780" s="523"/>
      <c r="V780" s="523"/>
      <c r="W780" s="523"/>
      <c r="X780" s="523"/>
      <c r="Y780" s="523"/>
      <c r="Z780" s="529"/>
      <c r="AA780" s="530"/>
      <c r="AB780" s="531"/>
    </row>
    <row r="781" spans="1:28" ht="33" customHeight="1" x14ac:dyDescent="0.2">
      <c r="A781" s="488"/>
      <c r="B781" s="489" t="str">
        <f>IF(COUNTA(B761:B780,B755)=0,"",IF(COUNTIF($A$761:$A$780,1)=0,0,SUMIF($A$761:$A$780,"1",$B$761:$B$780)/COUNTIF($A$761:$A$780,1))+IF(COUNTIF($A$761:$A$780,2)=0,0,SUMIF($A$761:$A$780,"2",$B$761:$B$780)/COUNTIF($A$761:$A$780,2))+IF(COUNTIF($A$761:$A$780,3)=0,0,SUMIF($A$761:$A$780,"3",$B$761:$B$780)/COUNTIF($A$761:$A$780,3))+IF(COUNTIF($A$761:$A$780,4)=0,0,SUMIF($A$761:$A$780,"4",$B$761:$B$780)/COUNTIF($A$761:$A$780,4))+IF(COUNTIF($A$761:$A$780,5)=0,0,SUMIF($A$761:$A$780,"5",$B$761:$B$780)/COUNTIF($A$761:$A$780,5))+IF(COUNTIF($A$761:$A$780,6)=0,0,SUMIF($A$761:$A$780,"6",$B$761:$B$780)/COUNTIF($A$761:$A$780,6))+IF(COUNTIF($A$761:$A$780,7)=0,0,SUMIF($A$761:$A$780,"7",$B$761:$B$780)/COUNTIF($A$761:$A$780,7))+IF(COUNTIF($A$761:$A$780,8)=0,0,SUMIF($A$761:$A$780,"8",$B$761:$B$780)/COUNTIF($A$761:$A$780,8))+IF(COUNTIF($A$761:$A$780,9)=0,0,SUMIF($A$761:$A$780,"9",$B$761:$B$780)/COUNTIF($A$761:$A$780,9))+IF(COUNTIF($A$761:$A$780,10)=0,0,SUMIF($A$761:$A$780,"10",$B$761:$B$780)/COUNTIF($A$761:$A$780,10))+IF(COUNTIF($A$761:$A$780,11)=0,0,SUMIF($A$761:$A$780,"11",$B$761:$B$780)/COUNTIF($A$761:$A$780,11))+IF(COUNTIF($A$761:$A$780,12)=0,0,SUMIF($A$761:$A$780,"12",$B$761:$B$780)/COUNTIF($A$761:$A$780,12))+IF(COUNTIF($A$761:$A$780,13)=0,0,SUMIF($A$761:$A$780,"13",$B$761:$B$780)/COUNTIF($A$761:$A$780,13))+IF(COUNTIF($A$761:$A$780,14)=0,0,SUMIF($A$761:$A$780,"14",$B$761:$B$780)/COUNTIF($A$761:$A$780,14))+IF(COUNTIF($A$761:$A$780,15)=0,0,SUMIF($A$761:$A$780,"15",$B$761:$B$780)/COUNTIF($A$761:$A$780,15))+$B$755)</f>
        <v/>
      </c>
      <c r="C781" s="490" t="s">
        <v>5</v>
      </c>
      <c r="D781" s="491" t="s">
        <v>214</v>
      </c>
      <c r="E781" s="488"/>
      <c r="F781" s="488"/>
      <c r="G781" s="488"/>
      <c r="H781" s="488"/>
      <c r="I781" s="488"/>
      <c r="J781" s="488"/>
      <c r="K781" s="488"/>
      <c r="L781" s="492"/>
      <c r="M781" s="492"/>
      <c r="N781" s="488"/>
      <c r="O781" s="488"/>
      <c r="P781" s="488"/>
      <c r="Q781" s="488"/>
      <c r="R781" s="488"/>
      <c r="S781" s="488"/>
      <c r="T781" s="488"/>
      <c r="U781" s="488"/>
      <c r="V781" s="488"/>
      <c r="W781" s="488"/>
      <c r="X781" s="488"/>
      <c r="Y781" s="488"/>
      <c r="Z781" s="492"/>
      <c r="AA781" s="492"/>
      <c r="AB781" s="492"/>
    </row>
    <row r="782" spans="1:28" ht="17.25" customHeight="1" x14ac:dyDescent="0.2">
      <c r="A782" s="534" t="s">
        <v>484</v>
      </c>
      <c r="B782" s="535"/>
      <c r="C782" s="535"/>
      <c r="D782" s="534"/>
      <c r="E782" s="534"/>
      <c r="F782" s="534"/>
      <c r="G782" s="534"/>
      <c r="H782" s="534"/>
      <c r="I782" s="534"/>
      <c r="J782" s="534"/>
      <c r="K782" s="534"/>
      <c r="L782" s="534"/>
      <c r="M782" s="534"/>
      <c r="N782" s="534"/>
      <c r="O782" s="534"/>
      <c r="P782" s="534"/>
      <c r="Q782" s="534"/>
      <c r="R782" s="534"/>
      <c r="S782" s="534"/>
      <c r="T782" s="534"/>
      <c r="U782" s="534"/>
      <c r="V782" s="534"/>
      <c r="W782" s="534"/>
      <c r="X782" s="534"/>
      <c r="Y782" s="534"/>
      <c r="Z782" s="534"/>
      <c r="AA782" s="534"/>
      <c r="AB782" s="534"/>
    </row>
    <row r="783" spans="1:28" ht="17.25" customHeight="1" thickBot="1" x14ac:dyDescent="0.25">
      <c r="A783" s="535"/>
      <c r="B783" s="535"/>
      <c r="C783" s="535"/>
      <c r="D783" s="535"/>
      <c r="E783" s="535"/>
      <c r="F783" s="535"/>
      <c r="G783" s="535"/>
      <c r="H783" s="535"/>
      <c r="I783" s="535"/>
      <c r="J783" s="535"/>
      <c r="K783" s="535"/>
      <c r="L783" s="535"/>
      <c r="M783" s="535"/>
      <c r="N783" s="535"/>
      <c r="O783" s="535"/>
      <c r="P783" s="535"/>
      <c r="Q783" s="535"/>
      <c r="R783" s="535"/>
      <c r="S783" s="535"/>
      <c r="T783" s="535"/>
      <c r="U783" s="535"/>
      <c r="V783" s="535"/>
      <c r="W783" s="535"/>
      <c r="X783" s="535"/>
      <c r="Y783" s="535"/>
      <c r="Z783" s="535"/>
      <c r="AA783" s="535"/>
      <c r="AB783" s="535"/>
    </row>
    <row r="784" spans="1:28" ht="17.25" customHeight="1" thickBot="1" x14ac:dyDescent="0.25">
      <c r="A784" s="493"/>
      <c r="B784" s="493"/>
      <c r="C784" s="494"/>
      <c r="D784" s="521"/>
      <c r="E784" s="521"/>
      <c r="F784" s="521"/>
      <c r="G784" s="521"/>
      <c r="H784" s="521"/>
      <c r="I784" s="493"/>
      <c r="J784" s="493"/>
      <c r="K784" s="493"/>
      <c r="L784" s="493"/>
      <c r="M784" s="494"/>
      <c r="N784" s="493"/>
      <c r="O784" s="493"/>
      <c r="P784" s="493"/>
      <c r="Q784" s="493"/>
      <c r="R784" s="493"/>
      <c r="S784" s="493"/>
      <c r="T784" s="495"/>
      <c r="U784" s="396"/>
      <c r="V784" s="496" t="str">
        <f>IF(OR(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COUNTA(N779)-COUNTA(O779)&lt;0,COUNTA(O779)-COUNTA(P779)&lt;0,COUNTA(P779)-COUNTA(Q779)&lt;0,COUNTA(Q779)-COUNTA(R779)&lt;0,COUNTA(R779)-COUNTA(S779)&lt;0,COUNTA(S779)-COUNTA(T779)&lt;0,COUNTA(T779)-COUNTA(U779)&lt;0,COUNTA(U779)-COUNTA(V779)&lt;0,COUNTA(V779)-COUNTA(W779)&lt;0,COUNTA(W779)-COUNTA(X779)&lt;0,COUNTA(X779)-COUNTA(Y779)&lt;0,COUNTA(N780)-COUNTA(O780)&lt;0,COUNTA(O780)-COUNTA(P780)&lt;0,COUNTA(P780)-COUNTA(Q780)&lt;0,COUNTA(Q780)-COUNTA(R780)&lt;0,COUNTA(R780)-COUNTA(S780)&lt;0,COUNTA(S780)-COUNTA(T780)&lt;0,COUNTA(T780)-COUNTA(U780)&lt;0,COUNTA(U780)-COUNTA(V780)&lt;0,COUNTA(V780)-COUNTA(W780)&lt;0,COUNTA(W780)-COUNTA(X780)&lt;0,COUNTA(X780)-COUNTA(Y780)&lt;0),"Il ne peut pas y avoir de blancs entre deux valeurs renseignées dans les informations sur la texture et les horizons histiques dans un sondage.","")</f>
        <v/>
      </c>
      <c r="W784" s="497" t="str">
        <f>CONCATENATE(IF(AND($B$781&lt;&gt;"",$B$781&lt;&gt;100),"La somme des proportions des sous-ensembles homogènes dans le site n'est pas égale à 100%. ",""),IF(COUNTA($A$761:$A$780)&lt;&gt;COUNTA($M$761:$M$780),"L'horizon Ab doit être renseigné dans tous les sondages (valeur de 0 cm si absent). ",""),IF(COUNTA($A$761:$A$780)&lt;&gt;COUNTA($L$761:$L$780),"L'épisolum humifère doit être renseigné dans tous les sondages (valeur de 0 cm si absent). ",""),IF(MAX($L$761:$L$780)&gt;120,"La valeur maximale entrée pour l'épisolum humifère ne peut excéder 120 cm. ",""),IF(MAX($M$761:$M$780)&gt;120,"La valeur maximale entrée pour l'horizon Ab ne peut excéder 120 cm. ",""),IF(COUNTA($B$755,$B$761:$B$780)=0,"",IF(AND($J$456="X",MIN($B$761:$B$780,$B$755)*$T$107*100&lt;15625),"La part d'un sous-ensemble homogène est inférieure à la surface minimale cartographiable choisie (15 625 m²).",IF(AND($T$456="X",MIN($B$761:$B$780,$B$755)*$T$107*100&lt;2500),"La part d'un sous-ensemble homogène est inférieure à la surface minimale cartographiable choisie (2500 m²).",IF(AND($J$457="X",MIN($B$761:$B$780,$B$755)*$T$107*100&lt;625),"La part d'un sous-ensemble homogène est inférieure à la surface minimale cartographiable choisie (625 m²).",IF(AND($T$457="X",MIN($B$761:$B$780,$B$755)*$T$107*100&lt;156),"La part d'un sous-ensemble homogène est inférieure à la surface minimale cartographiable choisie (156 m²).",""))))),IF(OR(AND(MIN($G$761:$G$780)&gt;0,MIN($G$761:$G$780)&lt;4),MAX($G$761:$G$780)&gt;9),"Les valeurs de pH &gt; 9 ou &lt; 4 sont improbables. ",""),IF(OR(SUMIFS($L$761:$L$780,$H$761:$H$780,"x")&gt;0,SUMIFS($L$761:$L$780,$N$761:$N$780,{"TF";"TM";"TS"})&gt;0),"Il ne peut pas y avoir à la fois un épisolum humifère et un horizon histique ou de la tourbe en surface. ",""),IF(MAX($A$761:$A$780)&lt;16,"","Le n° des sous-ensembles homogènes doit être compris entre 0 et 15. "),IF(COUNTIF(N761:Y780,"A")+COUNTIF(N761:Y780,"AL")+COUNTIF(N761:Y780,"LA")+COUNTIF(N761:Y780,"L")+COUNTIF(N761:Y780,"LS")+COUNTIF(N761:Y780,"SL")+COUNTIF(N761:Y780,"S")+COUNTIF(N761:Y780,"TS")+COUNTIF(N761:Y780,"TM")+COUNTIF(N761:Y780,"TF")+COUNTIF(N761:Y780,"C")&lt;COUNTA(N761:Y780),"Erreur de saisie d'au moins une valeur renseignée dans les informations sur la texture et les horizons histiques.",""))</f>
        <v/>
      </c>
      <c r="X784" s="493"/>
      <c r="Y784" s="493"/>
      <c r="Z784" s="493"/>
      <c r="AA784" s="493"/>
      <c r="AB784" s="493"/>
    </row>
    <row r="785" spans="1:28" ht="17.25" customHeight="1" x14ac:dyDescent="0.2">
      <c r="A785" s="493"/>
      <c r="B785" s="493"/>
      <c r="C785" s="521"/>
      <c r="D785" s="494"/>
      <c r="E785" s="521"/>
      <c r="F785" s="521"/>
      <c r="G785" s="521"/>
      <c r="H785" s="521"/>
      <c r="I785" s="521"/>
      <c r="J785" s="493"/>
      <c r="K785" s="493"/>
      <c r="L785" s="493"/>
      <c r="M785" s="493"/>
      <c r="N785" s="493"/>
      <c r="O785" s="493"/>
      <c r="P785" s="493"/>
      <c r="Q785" s="493"/>
      <c r="R785" s="493"/>
      <c r="S785" s="493"/>
      <c r="T785" s="347"/>
      <c r="U785" s="347"/>
      <c r="V785" s="347"/>
      <c r="W785" s="398"/>
      <c r="X785" s="493"/>
      <c r="Y785" s="493"/>
      <c r="Z785" s="493"/>
      <c r="AA785" s="493"/>
      <c r="AB785" s="493"/>
    </row>
    <row r="786" spans="1:28" ht="18" customHeight="1" x14ac:dyDescent="0.2">
      <c r="A786" s="337"/>
      <c r="B786" s="337"/>
      <c r="C786" s="498" t="s">
        <v>272</v>
      </c>
      <c r="D786" s="337"/>
      <c r="E786" s="337"/>
      <c r="F786" s="337"/>
      <c r="G786" s="337"/>
      <c r="H786" s="337"/>
      <c r="I786" s="337"/>
      <c r="J786" s="337"/>
      <c r="K786" s="337"/>
      <c r="L786" s="337"/>
      <c r="M786" s="337"/>
      <c r="N786" s="337"/>
      <c r="O786" s="337"/>
      <c r="P786" s="337"/>
      <c r="Q786" s="337"/>
      <c r="R786" s="337"/>
      <c r="S786" s="337"/>
      <c r="T786" s="425"/>
      <c r="U786" s="425"/>
      <c r="V786" s="425"/>
      <c r="W786" s="425"/>
      <c r="X786" s="425"/>
      <c r="Y786" s="425"/>
      <c r="Z786" s="425"/>
      <c r="AA786" s="425"/>
    </row>
    <row r="787" spans="1:28" ht="18" customHeight="1" x14ac:dyDescent="0.2">
      <c r="A787" s="337"/>
      <c r="B787" s="337"/>
      <c r="C787" s="536"/>
      <c r="D787" s="537"/>
      <c r="E787" s="537"/>
      <c r="F787" s="537"/>
      <c r="G787" s="537"/>
      <c r="H787" s="537"/>
      <c r="I787" s="537"/>
      <c r="J787" s="537"/>
      <c r="K787" s="537"/>
      <c r="L787" s="537"/>
      <c r="M787" s="537"/>
      <c r="N787" s="537"/>
      <c r="O787" s="537"/>
      <c r="P787" s="537"/>
      <c r="Q787" s="537"/>
      <c r="R787" s="537"/>
      <c r="S787" s="537"/>
      <c r="T787" s="537"/>
      <c r="U787" s="537"/>
      <c r="V787" s="537"/>
      <c r="W787" s="538"/>
      <c r="X787" s="425"/>
      <c r="Y787" s="425"/>
      <c r="Z787" s="425"/>
      <c r="AA787" s="425"/>
    </row>
    <row r="788" spans="1:28" ht="17.25" customHeight="1" x14ac:dyDescent="0.2">
      <c r="A788" s="337"/>
      <c r="B788" s="337"/>
      <c r="C788" s="345"/>
      <c r="D788" s="337"/>
      <c r="E788" s="337"/>
      <c r="F788" s="337"/>
      <c r="G788" s="337"/>
      <c r="H788" s="337"/>
      <c r="I788" s="337"/>
      <c r="J788" s="337"/>
      <c r="K788" s="337"/>
      <c r="L788" s="337"/>
      <c r="M788" s="337"/>
      <c r="N788" s="337"/>
      <c r="O788" s="337"/>
    </row>
    <row r="789" spans="1:28" ht="17.25" customHeight="1" x14ac:dyDescent="0.2">
      <c r="A789" s="337"/>
      <c r="B789" s="337"/>
      <c r="C789" s="345"/>
      <c r="D789" s="337"/>
      <c r="E789" s="337"/>
      <c r="F789" s="337"/>
      <c r="G789" s="337"/>
      <c r="H789" s="337"/>
      <c r="I789" s="337"/>
      <c r="J789" s="337"/>
      <c r="K789" s="337"/>
      <c r="L789" s="337"/>
      <c r="M789" s="337"/>
      <c r="N789" s="337"/>
      <c r="O789" s="337"/>
    </row>
    <row r="790" spans="1:28" ht="33.75" customHeight="1" x14ac:dyDescent="0.2">
      <c r="A790" s="337"/>
      <c r="B790" s="337"/>
      <c r="C790" s="341" t="s">
        <v>390</v>
      </c>
      <c r="D790" s="695" t="s">
        <v>412</v>
      </c>
      <c r="E790" s="696"/>
      <c r="F790" s="696"/>
      <c r="G790" s="696"/>
      <c r="H790" s="696"/>
      <c r="I790" s="696"/>
      <c r="J790" s="696"/>
      <c r="K790" s="696"/>
      <c r="L790" s="696"/>
      <c r="M790" s="696"/>
      <c r="N790" s="696"/>
      <c r="O790" s="696"/>
      <c r="P790" s="696"/>
      <c r="Q790" s="696"/>
      <c r="R790" s="696"/>
      <c r="S790" s="696"/>
      <c r="T790" s="696"/>
      <c r="U790" s="696"/>
      <c r="V790" s="696"/>
      <c r="W790" s="696"/>
      <c r="X790" s="696"/>
      <c r="Y790" s="697"/>
    </row>
    <row r="791" spans="1:28" ht="16.5" customHeight="1" x14ac:dyDescent="0.2">
      <c r="A791" s="337"/>
      <c r="B791" s="337"/>
      <c r="C791" s="337"/>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row>
    <row r="792" spans="1:28" ht="18" customHeight="1" x14ac:dyDescent="0.2">
      <c r="A792" s="337"/>
      <c r="B792" s="337"/>
      <c r="C792" s="727" t="s">
        <v>121</v>
      </c>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row>
    <row r="793" spans="1:28" ht="18" customHeight="1" thickBot="1" x14ac:dyDescent="0.25">
      <c r="A793" s="337"/>
      <c r="B793" s="33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row>
    <row r="794" spans="1:28" ht="18" customHeight="1" thickBot="1" x14ac:dyDescent="0.25">
      <c r="A794" s="337"/>
      <c r="B794" s="337"/>
      <c r="C794" s="345"/>
      <c r="D794" s="337"/>
      <c r="E794" s="337"/>
      <c r="F794" s="337"/>
      <c r="G794" s="337"/>
      <c r="H794" s="337"/>
      <c r="I794" s="337"/>
      <c r="J794" s="337"/>
      <c r="K794" s="337"/>
      <c r="L794" s="337"/>
      <c r="M794" s="337"/>
      <c r="N794" s="337"/>
      <c r="O794" s="337"/>
      <c r="P794" s="337"/>
      <c r="Q794" s="337"/>
      <c r="R794" s="337"/>
      <c r="S794" s="337"/>
      <c r="T794" s="395"/>
      <c r="U794" s="396"/>
      <c r="V794" s="396"/>
      <c r="W794" s="397" t="str">
        <f>IF(AND(COUNTIF($H$761:$H$780,"X")=0,OR($J$797="X",$T$797="X")),"Il n'y a pas de traits d'hydromorphie histiques dans le site, la présence de fosses d'extraction de tourbe est donc peu probable.","")</f>
        <v/>
      </c>
      <c r="X794" s="425"/>
      <c r="Y794" s="425"/>
      <c r="Z794" s="425"/>
      <c r="AA794" s="425"/>
    </row>
    <row r="795" spans="1:28" ht="18" customHeight="1" x14ac:dyDescent="0.2">
      <c r="A795" s="337"/>
      <c r="B795" s="337"/>
      <c r="C795" s="583" t="s">
        <v>341</v>
      </c>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row>
    <row r="796" spans="1:28" ht="18" customHeight="1" x14ac:dyDescent="0.2">
      <c r="A796" s="337"/>
      <c r="B796" s="337"/>
      <c r="C796" s="592"/>
      <c r="D796" s="592"/>
      <c r="E796" s="592"/>
      <c r="F796" s="592"/>
      <c r="G796" s="592"/>
      <c r="H796" s="592"/>
      <c r="I796" s="592"/>
      <c r="J796" s="592"/>
      <c r="K796" s="592"/>
      <c r="L796" s="592"/>
      <c r="M796" s="592"/>
      <c r="N796" s="592"/>
      <c r="O796" s="592"/>
      <c r="P796" s="592"/>
      <c r="Q796" s="592"/>
      <c r="R796" s="592"/>
      <c r="S796" s="592"/>
      <c r="T796" s="592"/>
      <c r="U796" s="592"/>
      <c r="V796" s="592"/>
      <c r="W796" s="592"/>
      <c r="X796" s="592"/>
      <c r="Y796" s="592"/>
    </row>
    <row r="797" spans="1:28" ht="18" customHeight="1" x14ac:dyDescent="0.2">
      <c r="A797" s="337"/>
      <c r="B797" s="337"/>
      <c r="C797" s="354" t="s">
        <v>234</v>
      </c>
      <c r="D797" s="354"/>
      <c r="E797" s="337"/>
      <c r="H797" s="368"/>
      <c r="I797" s="353" t="s">
        <v>28</v>
      </c>
      <c r="J797" s="588"/>
      <c r="K797" s="588"/>
      <c r="P797" s="339"/>
      <c r="Q797" s="368"/>
      <c r="R797" s="368"/>
      <c r="S797" s="369" t="s">
        <v>29</v>
      </c>
      <c r="T797" s="588"/>
      <c r="U797" s="588"/>
      <c r="V797" s="588"/>
      <c r="W797" s="588"/>
    </row>
    <row r="798" spans="1:28" ht="18" customHeight="1" x14ac:dyDescent="0.2">
      <c r="A798" s="337"/>
      <c r="B798" s="337"/>
      <c r="C798" s="374"/>
      <c r="D798" s="374"/>
      <c r="E798" s="374"/>
      <c r="F798" s="374"/>
      <c r="G798" s="374"/>
      <c r="H798" s="374"/>
      <c r="I798" s="374"/>
      <c r="J798" s="374"/>
      <c r="K798" s="374"/>
      <c r="L798" s="374"/>
      <c r="M798" s="374"/>
      <c r="N798" s="374"/>
      <c r="O798" s="374"/>
      <c r="P798" s="374"/>
      <c r="Q798" s="374"/>
      <c r="R798" s="374"/>
      <c r="S798" s="374"/>
      <c r="T798" s="374"/>
      <c r="U798" s="374"/>
      <c r="V798" s="374"/>
      <c r="W798" s="374"/>
      <c r="X798" s="374"/>
      <c r="Y798" s="374"/>
    </row>
    <row r="799" spans="1:28" ht="18" customHeight="1" x14ac:dyDescent="0.2">
      <c r="A799" s="337"/>
      <c r="B799" s="337"/>
      <c r="C799" s="374"/>
      <c r="D799" s="374"/>
      <c r="E799" s="374"/>
      <c r="F799" s="374"/>
      <c r="G799" s="374"/>
      <c r="H799" s="374"/>
      <c r="I799" s="374"/>
      <c r="J799" s="374"/>
      <c r="K799" s="374"/>
      <c r="L799" s="374"/>
      <c r="M799" s="374"/>
      <c r="N799" s="374"/>
      <c r="O799" s="374"/>
      <c r="P799" s="374"/>
      <c r="Q799" s="374"/>
      <c r="R799" s="374"/>
      <c r="S799" s="374"/>
      <c r="T799" s="374"/>
      <c r="U799" s="374"/>
      <c r="V799" s="374"/>
      <c r="W799" s="374"/>
      <c r="X799" s="374"/>
      <c r="Y799" s="374"/>
    </row>
    <row r="800" spans="1:28" ht="35.25" customHeight="1" x14ac:dyDescent="0.2">
      <c r="A800" s="337"/>
      <c r="B800" s="337"/>
      <c r="C800" s="341">
        <v>3</v>
      </c>
      <c r="D800" s="695" t="s">
        <v>384</v>
      </c>
      <c r="E800" s="696"/>
      <c r="F800" s="696"/>
      <c r="G800" s="696"/>
      <c r="H800" s="696"/>
      <c r="I800" s="696"/>
      <c r="J800" s="696"/>
      <c r="K800" s="696"/>
      <c r="L800" s="696"/>
      <c r="M800" s="696"/>
      <c r="N800" s="696"/>
      <c r="O800" s="696"/>
      <c r="P800" s="696"/>
      <c r="Q800" s="696"/>
      <c r="R800" s="696"/>
      <c r="S800" s="696"/>
      <c r="T800" s="696"/>
      <c r="U800" s="696"/>
      <c r="V800" s="696"/>
      <c r="W800" s="696"/>
      <c r="X800" s="696"/>
      <c r="Y800" s="697"/>
    </row>
    <row r="801" spans="1:25" ht="18" customHeight="1" x14ac:dyDescent="0.2">
      <c r="A801" s="337"/>
      <c r="B801" s="337"/>
      <c r="C801" s="374"/>
      <c r="D801" s="374"/>
      <c r="E801" s="374"/>
      <c r="F801" s="374"/>
      <c r="G801" s="374"/>
      <c r="H801" s="374"/>
      <c r="I801" s="374"/>
      <c r="J801" s="374"/>
      <c r="K801" s="374"/>
      <c r="L801" s="374"/>
      <c r="M801" s="374"/>
      <c r="N801" s="374"/>
      <c r="O801" s="374"/>
      <c r="P801" s="374"/>
      <c r="Q801" s="374"/>
      <c r="R801" s="374"/>
      <c r="S801" s="374"/>
      <c r="T801" s="374"/>
      <c r="U801" s="374"/>
      <c r="V801" s="374"/>
      <c r="W801" s="374"/>
      <c r="X801" s="374"/>
      <c r="Y801" s="374"/>
    </row>
    <row r="802" spans="1:25" ht="18" customHeight="1" x14ac:dyDescent="0.2">
      <c r="A802" s="337"/>
      <c r="B802" s="337"/>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4"/>
    </row>
    <row r="803" spans="1:25" ht="33.75" customHeight="1" x14ac:dyDescent="0.2">
      <c r="A803" s="337"/>
      <c r="B803" s="337"/>
      <c r="C803" s="341" t="s">
        <v>389</v>
      </c>
      <c r="D803" s="695" t="s">
        <v>413</v>
      </c>
      <c r="E803" s="696"/>
      <c r="F803" s="696"/>
      <c r="G803" s="696"/>
      <c r="H803" s="696"/>
      <c r="I803" s="696"/>
      <c r="J803" s="696"/>
      <c r="K803" s="696"/>
      <c r="L803" s="696"/>
      <c r="M803" s="696"/>
      <c r="N803" s="696"/>
      <c r="O803" s="696"/>
      <c r="P803" s="696"/>
      <c r="Q803" s="696"/>
      <c r="R803" s="696"/>
      <c r="S803" s="696"/>
      <c r="T803" s="696"/>
      <c r="U803" s="696"/>
      <c r="V803" s="696"/>
      <c r="W803" s="696"/>
      <c r="X803" s="696"/>
      <c r="Y803" s="697"/>
    </row>
    <row r="804" spans="1:25" ht="18" customHeight="1" x14ac:dyDescent="0.2">
      <c r="A804" s="337"/>
      <c r="B804" s="337"/>
      <c r="C804" s="500"/>
      <c r="D804" s="500"/>
      <c r="E804" s="500"/>
      <c r="F804" s="500"/>
      <c r="G804" s="500"/>
      <c r="H804" s="500"/>
      <c r="I804" s="500"/>
      <c r="J804" s="500"/>
      <c r="K804" s="500"/>
      <c r="L804" s="500"/>
      <c r="M804" s="500"/>
      <c r="N804" s="500"/>
      <c r="O804" s="500"/>
      <c r="P804" s="500"/>
      <c r="Q804" s="500"/>
      <c r="R804" s="500"/>
      <c r="S804" s="500"/>
      <c r="T804" s="500"/>
      <c r="U804" s="500"/>
      <c r="V804" s="500"/>
      <c r="W804" s="500"/>
      <c r="X804" s="500"/>
      <c r="Y804" s="500"/>
    </row>
    <row r="805" spans="1:25" ht="18" customHeight="1" x14ac:dyDescent="0.2">
      <c r="C805" s="581" t="s">
        <v>342</v>
      </c>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row>
    <row r="806" spans="1:25" ht="18" customHeight="1" x14ac:dyDescent="0.2">
      <c r="C806" s="337"/>
      <c r="D806" s="337"/>
      <c r="E806" s="337"/>
      <c r="F806" s="337"/>
      <c r="G806" s="337"/>
      <c r="H806" s="337"/>
      <c r="I806" s="337"/>
      <c r="J806" s="337"/>
      <c r="K806" s="394"/>
      <c r="L806" s="337"/>
      <c r="M806" s="337"/>
      <c r="N806" s="337"/>
      <c r="O806" s="337"/>
      <c r="S806" s="369" t="s">
        <v>343</v>
      </c>
      <c r="T806" s="590"/>
      <c r="U806" s="590"/>
      <c r="V806" s="590"/>
      <c r="W806" s="590"/>
      <c r="X806" s="591" t="s">
        <v>120</v>
      </c>
      <c r="Y806" s="591"/>
    </row>
    <row r="807" spans="1:25" ht="18" customHeight="1" x14ac:dyDescent="0.2">
      <c r="C807" s="337"/>
      <c r="D807" s="337"/>
      <c r="E807" s="337"/>
      <c r="F807" s="337"/>
      <c r="G807" s="337"/>
      <c r="H807" s="337"/>
      <c r="I807" s="411"/>
      <c r="J807" s="411"/>
      <c r="K807" s="394"/>
      <c r="L807" s="337"/>
      <c r="M807" s="337"/>
      <c r="N807" s="337"/>
      <c r="O807" s="337"/>
    </row>
    <row r="808" spans="1:25" ht="18" customHeight="1" x14ac:dyDescent="0.2">
      <c r="C808" s="337"/>
      <c r="D808" s="337"/>
      <c r="E808" s="337"/>
      <c r="F808" s="337"/>
      <c r="G808" s="337"/>
      <c r="H808" s="337"/>
      <c r="I808" s="501"/>
      <c r="J808" s="501"/>
      <c r="K808" s="394"/>
      <c r="L808" s="337"/>
      <c r="M808" s="337"/>
      <c r="N808" s="337"/>
      <c r="O808" s="337"/>
    </row>
    <row r="809" spans="1:25" ht="35.25" customHeight="1" x14ac:dyDescent="0.2">
      <c r="A809" s="337"/>
      <c r="B809" s="337"/>
      <c r="C809" s="341" t="s">
        <v>388</v>
      </c>
      <c r="D809" s="695" t="s">
        <v>414</v>
      </c>
      <c r="E809" s="696"/>
      <c r="F809" s="696"/>
      <c r="G809" s="696"/>
      <c r="H809" s="696"/>
      <c r="I809" s="696"/>
      <c r="J809" s="696"/>
      <c r="K809" s="696"/>
      <c r="L809" s="696"/>
      <c r="M809" s="696"/>
      <c r="N809" s="696"/>
      <c r="O809" s="696"/>
      <c r="P809" s="696"/>
      <c r="Q809" s="696"/>
      <c r="R809" s="696"/>
      <c r="S809" s="696"/>
      <c r="T809" s="696"/>
      <c r="U809" s="696"/>
      <c r="V809" s="696"/>
      <c r="W809" s="696"/>
      <c r="X809" s="696"/>
      <c r="Y809" s="697"/>
    </row>
    <row r="810" spans="1:25" ht="18" customHeight="1" x14ac:dyDescent="0.2">
      <c r="A810" s="337"/>
      <c r="B810" s="337"/>
      <c r="C810" s="500"/>
      <c r="D810" s="500"/>
      <c r="E810" s="500"/>
      <c r="F810" s="500"/>
      <c r="G810" s="500"/>
      <c r="H810" s="500"/>
      <c r="I810" s="500"/>
      <c r="J810" s="500"/>
      <c r="K810" s="500"/>
      <c r="L810" s="500"/>
      <c r="M810" s="500"/>
      <c r="N810" s="500"/>
      <c r="O810" s="500"/>
      <c r="P810" s="500"/>
      <c r="Q810" s="500"/>
      <c r="R810" s="500"/>
      <c r="S810" s="500"/>
      <c r="T810" s="500"/>
      <c r="U810" s="500"/>
      <c r="V810" s="500"/>
      <c r="W810" s="500"/>
      <c r="X810" s="500"/>
      <c r="Y810" s="500"/>
    </row>
    <row r="811" spans="1:25" ht="18" customHeight="1" x14ac:dyDescent="0.2">
      <c r="C811" s="581" t="s">
        <v>344</v>
      </c>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row>
    <row r="812" spans="1:25" ht="18" customHeight="1" x14ac:dyDescent="0.2">
      <c r="C812" s="337"/>
      <c r="D812" s="337"/>
      <c r="E812" s="337"/>
      <c r="F812" s="337"/>
      <c r="G812" s="337"/>
      <c r="H812" s="337"/>
      <c r="I812" s="337"/>
      <c r="J812" s="337"/>
      <c r="K812" s="337"/>
      <c r="L812" s="337"/>
      <c r="M812" s="337"/>
      <c r="N812" s="337"/>
      <c r="O812" s="337"/>
      <c r="S812" s="369" t="s">
        <v>273</v>
      </c>
      <c r="T812" s="578"/>
      <c r="U812" s="578"/>
      <c r="V812" s="578"/>
      <c r="W812" s="578"/>
      <c r="X812" s="591" t="s">
        <v>112</v>
      </c>
      <c r="Y812" s="591"/>
    </row>
    <row r="813" spans="1:25" ht="18" customHeight="1" x14ac:dyDescent="0.2">
      <c r="C813" s="337"/>
      <c r="D813" s="337"/>
      <c r="E813" s="337"/>
      <c r="F813" s="337"/>
      <c r="G813" s="337"/>
      <c r="H813" s="337"/>
      <c r="I813" s="337"/>
      <c r="J813" s="337"/>
      <c r="K813" s="337"/>
      <c r="L813" s="337"/>
      <c r="M813" s="337"/>
      <c r="N813" s="337"/>
      <c r="O813" s="337"/>
    </row>
    <row r="814" spans="1:25" ht="18" customHeight="1" x14ac:dyDescent="0.2">
      <c r="C814" s="337"/>
      <c r="D814" s="337"/>
      <c r="E814" s="337"/>
      <c r="F814" s="337"/>
      <c r="G814" s="337"/>
      <c r="H814" s="337"/>
      <c r="I814" s="337"/>
      <c r="J814" s="337"/>
      <c r="K814" s="337"/>
      <c r="L814" s="337"/>
      <c r="M814" s="337"/>
      <c r="N814" s="337"/>
      <c r="O814" s="337"/>
    </row>
    <row r="815" spans="1:25" ht="18" customHeight="1" x14ac:dyDescent="0.2">
      <c r="C815" s="581" t="s">
        <v>345</v>
      </c>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row>
    <row r="816" spans="1:25" ht="18" customHeight="1" thickBot="1" x14ac:dyDescent="0.25">
      <c r="C816" s="337"/>
      <c r="D816" s="337"/>
      <c r="E816" s="337"/>
      <c r="F816" s="337"/>
      <c r="G816" s="337"/>
      <c r="H816" s="337"/>
      <c r="I816" s="337"/>
      <c r="J816" s="337"/>
      <c r="K816" s="337"/>
      <c r="L816" s="337"/>
      <c r="M816" s="337"/>
      <c r="N816" s="337"/>
      <c r="O816" s="337"/>
      <c r="S816" s="369" t="s">
        <v>274</v>
      </c>
      <c r="T816" s="701"/>
      <c r="U816" s="701"/>
      <c r="V816" s="701"/>
      <c r="W816" s="701"/>
      <c r="X816" s="703"/>
      <c r="Y816" s="703"/>
    </row>
    <row r="817" spans="1:25" ht="18" customHeight="1" thickBot="1" x14ac:dyDescent="0.25">
      <c r="C817" s="337"/>
      <c r="D817" s="337"/>
      <c r="E817" s="337"/>
      <c r="F817" s="337"/>
      <c r="G817" s="337"/>
      <c r="H817" s="337"/>
      <c r="I817" s="337"/>
      <c r="J817" s="337"/>
      <c r="K817" s="337"/>
      <c r="L817" s="337"/>
      <c r="M817" s="337"/>
      <c r="N817" s="337"/>
      <c r="O817" s="337"/>
      <c r="T817" s="502"/>
      <c r="U817" s="396"/>
      <c r="V817" s="396"/>
      <c r="W817" s="397" t="str">
        <f>IF(ISBLANK($T$816),"",CONCATENATE(IF($T$816&gt;0,"","Le nombre d'unités d'habitats EUNIS niveau 1 dans le site ne peut pas être égal à 0. "),IF($T$816&lt;SUM(IF(COUNTIF($C$465:$C$479,"A*")&gt;0,1,0),IF(COUNTIF($C$465:$C$479,"B*")&gt;0,1,0),IF(COUNTIF($C$465:$C$479,"C*")&gt;0,1,0),IF(COUNTIF($C$465:$C$479,"D*")&gt;0,1,0),IF(COUNTIF($C$465:$C$479,"E*")&gt;0,1,0),IF(COUNTIF($C$465:$C$479,"F*")&gt;0,1,0),IF(COUNTIF($C$465:$C$479,"G*")&gt;0,1,0),IF(COUNTIF($C$465:$C$479,"H*")&gt;0,1,0),IF(COUNTIF($C$465:$C$479,"I*")&gt;0,1,0),IF(COUNTIF($C$465:$C$479,"J*")&gt;0,1,0)),"La réponse donnée doit être supérieure ou égale au nombre d'habitats EUNIS niveau 1 détectés dans le site (question 39). ",""),IF(AND($T$816&gt;1,SUM(IF(COUNTIF($C$465:$C$479,"A*")&gt;0,1,0),IF(COUNTIF($C$465:$C$479,"B*")&gt;0,1,0),IF(COUNTIF($C$465:$C$479,"C*")&gt;0,1,0),IF(COUNTIF($C$465:$C$479,"D*")&gt;0,1,0),IF(COUNTIF($C$465:$C$479,"E*")&gt;0,1,0),IF(COUNTIF($C$465:$C$479,"F*")&gt;0,1,0),IF(COUNTIF($C$465:$C$479,"G*")&gt;0,1,0),IF(COUNTIF($C$465:$C$479,"H*")&gt;0,1,0),IF(COUNTIF($C$465:$C$479,"I*")&gt;0,1,0),IF(COUNTIF($C$465:$C$479,"J*")&gt;0,1,0))=1),"Il n’y a qu’un habitat EUNIS niveau 1 dans le site (question 39), il ne peut pas y avoir plusieurs unités d’habitats EUNIS niveau 1. ","")))</f>
        <v/>
      </c>
    </row>
    <row r="818" spans="1:25" ht="18" customHeight="1" x14ac:dyDescent="0.2">
      <c r="C818" s="337"/>
      <c r="D818" s="337"/>
      <c r="E818" s="337"/>
      <c r="F818" s="337"/>
      <c r="G818" s="337"/>
      <c r="H818" s="337"/>
      <c r="I818" s="337"/>
      <c r="J818" s="337"/>
      <c r="K818" s="337"/>
      <c r="L818" s="337"/>
      <c r="M818" s="337"/>
      <c r="N818" s="337"/>
      <c r="O818" s="337"/>
      <c r="T818" s="347"/>
      <c r="U818" s="347"/>
      <c r="V818" s="347"/>
      <c r="W818" s="398"/>
    </row>
    <row r="819" spans="1:25" ht="18" customHeight="1" x14ac:dyDescent="0.2">
      <c r="C819" s="583" t="s">
        <v>346</v>
      </c>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row>
    <row r="820" spans="1:25" ht="18" customHeight="1" x14ac:dyDescent="0.2">
      <c r="C820" s="592"/>
      <c r="D820" s="592"/>
      <c r="E820" s="592"/>
      <c r="F820" s="592"/>
      <c r="G820" s="592"/>
      <c r="H820" s="592"/>
      <c r="I820" s="592"/>
      <c r="J820" s="592"/>
      <c r="K820" s="592"/>
      <c r="L820" s="592"/>
      <c r="M820" s="592"/>
      <c r="N820" s="592"/>
      <c r="O820" s="592"/>
      <c r="P820" s="592"/>
      <c r="Q820" s="592"/>
      <c r="R820" s="592"/>
      <c r="S820" s="592"/>
      <c r="T820" s="592"/>
      <c r="U820" s="592"/>
      <c r="V820" s="592"/>
      <c r="W820" s="592"/>
      <c r="X820" s="592"/>
      <c r="Y820" s="592"/>
    </row>
    <row r="821" spans="1:25" ht="18" customHeight="1" x14ac:dyDescent="0.2">
      <c r="C821" s="728" t="s">
        <v>275</v>
      </c>
      <c r="D821" s="728"/>
      <c r="E821" s="728"/>
      <c r="F821" s="728"/>
      <c r="G821" s="728"/>
      <c r="H821" s="728"/>
      <c r="I821" s="728"/>
      <c r="J821" s="728"/>
      <c r="K821" s="728"/>
      <c r="L821" s="728"/>
      <c r="M821" s="728"/>
      <c r="N821" s="728"/>
      <c r="O821" s="728"/>
      <c r="P821" s="728"/>
      <c r="Q821" s="728"/>
      <c r="R821" s="728"/>
      <c r="S821" s="728"/>
      <c r="T821" s="514"/>
      <c r="U821" s="514"/>
      <c r="V821" s="514"/>
      <c r="W821" s="514"/>
      <c r="X821" s="513"/>
      <c r="Y821" s="513"/>
    </row>
    <row r="822" spans="1:25" ht="18" customHeight="1" thickBot="1" x14ac:dyDescent="0.25">
      <c r="C822" s="729"/>
      <c r="D822" s="729"/>
      <c r="E822" s="729"/>
      <c r="F822" s="729"/>
      <c r="G822" s="729"/>
      <c r="H822" s="729"/>
      <c r="I822" s="729"/>
      <c r="J822" s="729"/>
      <c r="K822" s="729"/>
      <c r="L822" s="729"/>
      <c r="M822" s="729"/>
      <c r="N822" s="729"/>
      <c r="O822" s="729"/>
      <c r="P822" s="729"/>
      <c r="Q822" s="729"/>
      <c r="R822" s="729"/>
      <c r="S822" s="729"/>
      <c r="T822" s="578"/>
      <c r="U822" s="578"/>
      <c r="V822" s="578"/>
      <c r="W822" s="578"/>
      <c r="X822" s="591" t="s">
        <v>112</v>
      </c>
      <c r="Y822" s="591"/>
    </row>
    <row r="823" spans="1:25" ht="18" customHeight="1" thickBot="1" x14ac:dyDescent="0.25">
      <c r="A823" s="337"/>
      <c r="B823" s="337"/>
      <c r="C823" s="337"/>
      <c r="D823" s="337"/>
      <c r="E823" s="337"/>
      <c r="F823" s="337"/>
      <c r="G823" s="337"/>
      <c r="H823" s="337"/>
      <c r="I823" s="337"/>
      <c r="J823" s="337"/>
      <c r="K823" s="337"/>
      <c r="L823" s="337"/>
      <c r="M823" s="337"/>
      <c r="N823" s="386"/>
      <c r="O823" s="380"/>
      <c r="T823" s="395"/>
      <c r="U823" s="396"/>
      <c r="V823" s="396"/>
      <c r="W823" s="397" t="str">
        <f>IF(OR($T$822="",$T$816=""),"",IF($T$822/$T$816&gt;1,"La distance maximale entre deux unités d'habitats est de 1 km.",""))</f>
        <v/>
      </c>
    </row>
    <row r="824" spans="1:25" ht="18" customHeight="1" x14ac:dyDescent="0.2">
      <c r="A824" s="337"/>
      <c r="B824" s="337"/>
      <c r="C824" s="337"/>
      <c r="D824" s="337"/>
      <c r="E824" s="337"/>
      <c r="F824" s="337"/>
      <c r="G824" s="337"/>
      <c r="H824" s="337"/>
      <c r="I824" s="337"/>
      <c r="J824" s="337"/>
      <c r="K824" s="337"/>
      <c r="L824" s="337"/>
      <c r="M824" s="337"/>
      <c r="N824" s="386"/>
      <c r="O824" s="380"/>
    </row>
    <row r="825" spans="1:25" ht="33.75" customHeight="1" x14ac:dyDescent="0.2">
      <c r="A825" s="337"/>
      <c r="B825" s="337"/>
      <c r="C825" s="341" t="s">
        <v>387</v>
      </c>
      <c r="D825" s="695" t="s">
        <v>412</v>
      </c>
      <c r="E825" s="696"/>
      <c r="F825" s="696"/>
      <c r="G825" s="696"/>
      <c r="H825" s="696"/>
      <c r="I825" s="696"/>
      <c r="J825" s="696"/>
      <c r="K825" s="696"/>
      <c r="L825" s="696"/>
      <c r="M825" s="696"/>
      <c r="N825" s="696"/>
      <c r="O825" s="696"/>
      <c r="P825" s="696"/>
      <c r="Q825" s="696"/>
      <c r="R825" s="696"/>
      <c r="S825" s="696"/>
      <c r="T825" s="696"/>
      <c r="U825" s="696"/>
      <c r="V825" s="696"/>
      <c r="W825" s="696"/>
      <c r="X825" s="696"/>
      <c r="Y825" s="697"/>
    </row>
    <row r="826" spans="1:25" ht="18" customHeight="1" x14ac:dyDescent="0.2">
      <c r="A826" s="337"/>
      <c r="B826" s="337"/>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row>
    <row r="827" spans="1:25" ht="18" customHeight="1" x14ac:dyDescent="0.2">
      <c r="A827" s="337"/>
      <c r="B827" s="337"/>
      <c r="C827" s="583" t="s">
        <v>347</v>
      </c>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row>
    <row r="828" spans="1:25" ht="18" customHeight="1" x14ac:dyDescent="0.2">
      <c r="A828" s="337"/>
      <c r="B828" s="337"/>
      <c r="C828" s="592"/>
      <c r="D828" s="592"/>
      <c r="E828" s="592"/>
      <c r="F828" s="592"/>
      <c r="G828" s="592"/>
      <c r="H828" s="592"/>
      <c r="I828" s="592"/>
      <c r="J828" s="592"/>
      <c r="K828" s="592"/>
      <c r="L828" s="592"/>
      <c r="M828" s="592"/>
      <c r="N828" s="592"/>
      <c r="O828" s="592"/>
      <c r="P828" s="592"/>
      <c r="Q828" s="592"/>
      <c r="R828" s="592"/>
      <c r="S828" s="592"/>
      <c r="T828" s="592"/>
      <c r="U828" s="592"/>
      <c r="V828" s="592"/>
      <c r="W828" s="592"/>
      <c r="X828" s="592"/>
      <c r="Y828" s="592"/>
    </row>
    <row r="829" spans="1:25" ht="18" customHeight="1" x14ac:dyDescent="0.2">
      <c r="A829" s="337"/>
      <c r="B829" s="337"/>
      <c r="C829" s="718"/>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20"/>
    </row>
    <row r="830" spans="1:25" ht="18" customHeight="1" x14ac:dyDescent="0.2">
      <c r="A830" s="337"/>
      <c r="B830" s="337"/>
      <c r="C830" s="721"/>
      <c r="D830" s="722"/>
      <c r="E830" s="722"/>
      <c r="F830" s="722"/>
      <c r="G830" s="722"/>
      <c r="H830" s="722"/>
      <c r="I830" s="722"/>
      <c r="J830" s="722"/>
      <c r="K830" s="722"/>
      <c r="L830" s="722"/>
      <c r="M830" s="722"/>
      <c r="N830" s="722"/>
      <c r="O830" s="722"/>
      <c r="P830" s="722"/>
      <c r="Q830" s="722"/>
      <c r="R830" s="722"/>
      <c r="S830" s="722"/>
      <c r="T830" s="722"/>
      <c r="U830" s="722"/>
      <c r="V830" s="722"/>
      <c r="W830" s="722"/>
      <c r="X830" s="722"/>
      <c r="Y830" s="723"/>
    </row>
    <row r="831" spans="1:25" ht="18" customHeight="1" x14ac:dyDescent="0.2">
      <c r="A831" s="337"/>
      <c r="B831" s="337"/>
      <c r="C831" s="721"/>
      <c r="D831" s="722"/>
      <c r="E831" s="722"/>
      <c r="F831" s="722"/>
      <c r="G831" s="722"/>
      <c r="H831" s="722"/>
      <c r="I831" s="722"/>
      <c r="J831" s="722"/>
      <c r="K831" s="722"/>
      <c r="L831" s="722"/>
      <c r="M831" s="722"/>
      <c r="N831" s="722"/>
      <c r="O831" s="722"/>
      <c r="P831" s="722"/>
      <c r="Q831" s="722"/>
      <c r="R831" s="722"/>
      <c r="S831" s="722"/>
      <c r="T831" s="722"/>
      <c r="U831" s="722"/>
      <c r="V831" s="722"/>
      <c r="W831" s="722"/>
      <c r="X831" s="722"/>
      <c r="Y831" s="723"/>
    </row>
    <row r="832" spans="1:25" ht="18" customHeight="1" x14ac:dyDescent="0.2">
      <c r="C832" s="721"/>
      <c r="D832" s="722"/>
      <c r="E832" s="722"/>
      <c r="F832" s="722"/>
      <c r="G832" s="722"/>
      <c r="H832" s="722"/>
      <c r="I832" s="722"/>
      <c r="J832" s="722"/>
      <c r="K832" s="722"/>
      <c r="L832" s="722"/>
      <c r="M832" s="722"/>
      <c r="N832" s="722"/>
      <c r="O832" s="722"/>
      <c r="P832" s="722"/>
      <c r="Q832" s="722"/>
      <c r="R832" s="722"/>
      <c r="S832" s="722"/>
      <c r="T832" s="722"/>
      <c r="U832" s="722"/>
      <c r="V832" s="722"/>
      <c r="W832" s="722"/>
      <c r="X832" s="722"/>
      <c r="Y832" s="723"/>
    </row>
    <row r="833" spans="3:25" ht="18" customHeight="1" x14ac:dyDescent="0.2">
      <c r="C833" s="721"/>
      <c r="D833" s="722"/>
      <c r="E833" s="722"/>
      <c r="F833" s="722"/>
      <c r="G833" s="722"/>
      <c r="H833" s="722"/>
      <c r="I833" s="722"/>
      <c r="J833" s="722"/>
      <c r="K833" s="722"/>
      <c r="L833" s="722"/>
      <c r="M833" s="722"/>
      <c r="N833" s="722"/>
      <c r="O833" s="722"/>
      <c r="P833" s="722"/>
      <c r="Q833" s="722"/>
      <c r="R833" s="722"/>
      <c r="S833" s="722"/>
      <c r="T833" s="722"/>
      <c r="U833" s="722"/>
      <c r="V833" s="722"/>
      <c r="W833" s="722"/>
      <c r="X833" s="722"/>
      <c r="Y833" s="723"/>
    </row>
    <row r="834" spans="3:25" ht="18" customHeight="1" x14ac:dyDescent="0.2">
      <c r="C834" s="721"/>
      <c r="D834" s="722"/>
      <c r="E834" s="722"/>
      <c r="F834" s="722"/>
      <c r="G834" s="722"/>
      <c r="H834" s="722"/>
      <c r="I834" s="722"/>
      <c r="J834" s="722"/>
      <c r="K834" s="722"/>
      <c r="L834" s="722"/>
      <c r="M834" s="722"/>
      <c r="N834" s="722"/>
      <c r="O834" s="722"/>
      <c r="P834" s="722"/>
      <c r="Q834" s="722"/>
      <c r="R834" s="722"/>
      <c r="S834" s="722"/>
      <c r="T834" s="722"/>
      <c r="U834" s="722"/>
      <c r="V834" s="722"/>
      <c r="W834" s="722"/>
      <c r="X834" s="722"/>
      <c r="Y834" s="723"/>
    </row>
    <row r="835" spans="3:25" ht="18" customHeight="1" x14ac:dyDescent="0.2">
      <c r="C835" s="721"/>
      <c r="D835" s="722"/>
      <c r="E835" s="722"/>
      <c r="F835" s="722"/>
      <c r="G835" s="722"/>
      <c r="H835" s="722"/>
      <c r="I835" s="722"/>
      <c r="J835" s="722"/>
      <c r="K835" s="722"/>
      <c r="L835" s="722"/>
      <c r="M835" s="722"/>
      <c r="N835" s="722"/>
      <c r="O835" s="722"/>
      <c r="P835" s="722"/>
      <c r="Q835" s="722"/>
      <c r="R835" s="722"/>
      <c r="S835" s="722"/>
      <c r="T835" s="722"/>
      <c r="U835" s="722"/>
      <c r="V835" s="722"/>
      <c r="W835" s="722"/>
      <c r="X835" s="722"/>
      <c r="Y835" s="723"/>
    </row>
    <row r="836" spans="3:25" ht="18" customHeight="1" x14ac:dyDescent="0.2">
      <c r="C836" s="721"/>
      <c r="D836" s="722"/>
      <c r="E836" s="722"/>
      <c r="F836" s="722"/>
      <c r="G836" s="722"/>
      <c r="H836" s="722"/>
      <c r="I836" s="722"/>
      <c r="J836" s="722"/>
      <c r="K836" s="722"/>
      <c r="L836" s="722"/>
      <c r="M836" s="722"/>
      <c r="N836" s="722"/>
      <c r="O836" s="722"/>
      <c r="P836" s="722"/>
      <c r="Q836" s="722"/>
      <c r="R836" s="722"/>
      <c r="S836" s="722"/>
      <c r="T836" s="722"/>
      <c r="U836" s="722"/>
      <c r="V836" s="722"/>
      <c r="W836" s="722"/>
      <c r="X836" s="722"/>
      <c r="Y836" s="723"/>
    </row>
    <row r="837" spans="3:25" ht="18" customHeight="1" x14ac:dyDescent="0.2">
      <c r="C837" s="721"/>
      <c r="D837" s="722"/>
      <c r="E837" s="722"/>
      <c r="F837" s="722"/>
      <c r="G837" s="722"/>
      <c r="H837" s="722"/>
      <c r="I837" s="722"/>
      <c r="J837" s="722"/>
      <c r="K837" s="722"/>
      <c r="L837" s="722"/>
      <c r="M837" s="722"/>
      <c r="N837" s="722"/>
      <c r="O837" s="722"/>
      <c r="P837" s="722"/>
      <c r="Q837" s="722"/>
      <c r="R837" s="722"/>
      <c r="S837" s="722"/>
      <c r="T837" s="722"/>
      <c r="U837" s="722"/>
      <c r="V837" s="722"/>
      <c r="W837" s="722"/>
      <c r="X837" s="722"/>
      <c r="Y837" s="723"/>
    </row>
    <row r="838" spans="3:25" ht="18" customHeight="1" x14ac:dyDescent="0.2">
      <c r="C838" s="721"/>
      <c r="D838" s="722"/>
      <c r="E838" s="722"/>
      <c r="F838" s="722"/>
      <c r="G838" s="722"/>
      <c r="H838" s="722"/>
      <c r="I838" s="722"/>
      <c r="J838" s="722"/>
      <c r="K838" s="722"/>
      <c r="L838" s="722"/>
      <c r="M838" s="722"/>
      <c r="N838" s="722"/>
      <c r="O838" s="722"/>
      <c r="P838" s="722"/>
      <c r="Q838" s="722"/>
      <c r="R838" s="722"/>
      <c r="S838" s="722"/>
      <c r="T838" s="722"/>
      <c r="U838" s="722"/>
      <c r="V838" s="722"/>
      <c r="W838" s="722"/>
      <c r="X838" s="722"/>
      <c r="Y838" s="723"/>
    </row>
    <row r="839" spans="3:25" ht="18" customHeight="1" x14ac:dyDescent="0.2">
      <c r="C839" s="721"/>
      <c r="D839" s="722"/>
      <c r="E839" s="722"/>
      <c r="F839" s="722"/>
      <c r="G839" s="722"/>
      <c r="H839" s="722"/>
      <c r="I839" s="722"/>
      <c r="J839" s="722"/>
      <c r="K839" s="722"/>
      <c r="L839" s="722"/>
      <c r="M839" s="722"/>
      <c r="N839" s="722"/>
      <c r="O839" s="722"/>
      <c r="P839" s="722"/>
      <c r="Q839" s="722"/>
      <c r="R839" s="722"/>
      <c r="S839" s="722"/>
      <c r="T839" s="722"/>
      <c r="U839" s="722"/>
      <c r="V839" s="722"/>
      <c r="W839" s="722"/>
      <c r="X839" s="722"/>
      <c r="Y839" s="723"/>
    </row>
    <row r="840" spans="3:25" ht="18" customHeight="1" x14ac:dyDescent="0.2">
      <c r="C840" s="721"/>
      <c r="D840" s="722"/>
      <c r="E840" s="722"/>
      <c r="F840" s="722"/>
      <c r="G840" s="722"/>
      <c r="H840" s="722"/>
      <c r="I840" s="722"/>
      <c r="J840" s="722"/>
      <c r="K840" s="722"/>
      <c r="L840" s="722"/>
      <c r="M840" s="722"/>
      <c r="N840" s="722"/>
      <c r="O840" s="722"/>
      <c r="P840" s="722"/>
      <c r="Q840" s="722"/>
      <c r="R840" s="722"/>
      <c r="S840" s="722"/>
      <c r="T840" s="722"/>
      <c r="U840" s="722"/>
      <c r="V840" s="722"/>
      <c r="W840" s="722"/>
      <c r="X840" s="722"/>
      <c r="Y840" s="723"/>
    </row>
    <row r="841" spans="3:25" ht="18" customHeight="1" x14ac:dyDescent="0.2">
      <c r="C841" s="721"/>
      <c r="D841" s="722"/>
      <c r="E841" s="722"/>
      <c r="F841" s="722"/>
      <c r="G841" s="722"/>
      <c r="H841" s="722"/>
      <c r="I841" s="722"/>
      <c r="J841" s="722"/>
      <c r="K841" s="722"/>
      <c r="L841" s="722"/>
      <c r="M841" s="722"/>
      <c r="N841" s="722"/>
      <c r="O841" s="722"/>
      <c r="P841" s="722"/>
      <c r="Q841" s="722"/>
      <c r="R841" s="722"/>
      <c r="S841" s="722"/>
      <c r="T841" s="722"/>
      <c r="U841" s="722"/>
      <c r="V841" s="722"/>
      <c r="W841" s="722"/>
      <c r="X841" s="722"/>
      <c r="Y841" s="723"/>
    </row>
    <row r="842" spans="3:25" ht="18" customHeight="1" x14ac:dyDescent="0.2">
      <c r="C842" s="721"/>
      <c r="D842" s="722"/>
      <c r="E842" s="722"/>
      <c r="F842" s="722"/>
      <c r="G842" s="722"/>
      <c r="H842" s="722"/>
      <c r="I842" s="722"/>
      <c r="J842" s="722"/>
      <c r="K842" s="722"/>
      <c r="L842" s="722"/>
      <c r="M842" s="722"/>
      <c r="N842" s="722"/>
      <c r="O842" s="722"/>
      <c r="P842" s="722"/>
      <c r="Q842" s="722"/>
      <c r="R842" s="722"/>
      <c r="S842" s="722"/>
      <c r="T842" s="722"/>
      <c r="U842" s="722"/>
      <c r="V842" s="722"/>
      <c r="W842" s="722"/>
      <c r="X842" s="722"/>
      <c r="Y842" s="723"/>
    </row>
    <row r="843" spans="3:25" ht="18" customHeight="1" x14ac:dyDescent="0.2">
      <c r="C843" s="721"/>
      <c r="D843" s="722"/>
      <c r="E843" s="722"/>
      <c r="F843" s="722"/>
      <c r="G843" s="722"/>
      <c r="H843" s="722"/>
      <c r="I843" s="722"/>
      <c r="J843" s="722"/>
      <c r="K843" s="722"/>
      <c r="L843" s="722"/>
      <c r="M843" s="722"/>
      <c r="N843" s="722"/>
      <c r="O843" s="722"/>
      <c r="P843" s="722"/>
      <c r="Q843" s="722"/>
      <c r="R843" s="722"/>
      <c r="S843" s="722"/>
      <c r="T843" s="722"/>
      <c r="U843" s="722"/>
      <c r="V843" s="722"/>
      <c r="W843" s="722"/>
      <c r="X843" s="722"/>
      <c r="Y843" s="723"/>
    </row>
    <row r="844" spans="3:25" ht="18" customHeight="1" x14ac:dyDescent="0.2">
      <c r="C844" s="721"/>
      <c r="D844" s="722"/>
      <c r="E844" s="722"/>
      <c r="F844" s="722"/>
      <c r="G844" s="722"/>
      <c r="H844" s="722"/>
      <c r="I844" s="722"/>
      <c r="J844" s="722"/>
      <c r="K844" s="722"/>
      <c r="L844" s="722"/>
      <c r="M844" s="722"/>
      <c r="N844" s="722"/>
      <c r="O844" s="722"/>
      <c r="P844" s="722"/>
      <c r="Q844" s="722"/>
      <c r="R844" s="722"/>
      <c r="S844" s="722"/>
      <c r="T844" s="722"/>
      <c r="U844" s="722"/>
      <c r="V844" s="722"/>
      <c r="W844" s="722"/>
      <c r="X844" s="722"/>
      <c r="Y844" s="723"/>
    </row>
    <row r="845" spans="3:25" ht="18" customHeight="1" x14ac:dyDescent="0.2">
      <c r="C845" s="721"/>
      <c r="D845" s="722"/>
      <c r="E845" s="722"/>
      <c r="F845" s="722"/>
      <c r="G845" s="722"/>
      <c r="H845" s="722"/>
      <c r="I845" s="722"/>
      <c r="J845" s="722"/>
      <c r="K845" s="722"/>
      <c r="L845" s="722"/>
      <c r="M845" s="722"/>
      <c r="N845" s="722"/>
      <c r="O845" s="722"/>
      <c r="P845" s="722"/>
      <c r="Q845" s="722"/>
      <c r="R845" s="722"/>
      <c r="S845" s="722"/>
      <c r="T845" s="722"/>
      <c r="U845" s="722"/>
      <c r="V845" s="722"/>
      <c r="W845" s="722"/>
      <c r="X845" s="722"/>
      <c r="Y845" s="723"/>
    </row>
    <row r="846" spans="3:25" ht="18" customHeight="1" x14ac:dyDescent="0.2">
      <c r="C846" s="721"/>
      <c r="D846" s="722"/>
      <c r="E846" s="722"/>
      <c r="F846" s="722"/>
      <c r="G846" s="722"/>
      <c r="H846" s="722"/>
      <c r="I846" s="722"/>
      <c r="J846" s="722"/>
      <c r="K846" s="722"/>
      <c r="L846" s="722"/>
      <c r="M846" s="722"/>
      <c r="N846" s="722"/>
      <c r="O846" s="722"/>
      <c r="P846" s="722"/>
      <c r="Q846" s="722"/>
      <c r="R846" s="722"/>
      <c r="S846" s="722"/>
      <c r="T846" s="722"/>
      <c r="U846" s="722"/>
      <c r="V846" s="722"/>
      <c r="W846" s="722"/>
      <c r="X846" s="722"/>
      <c r="Y846" s="723"/>
    </row>
    <row r="847" spans="3:25" ht="18" customHeight="1" x14ac:dyDescent="0.2">
      <c r="C847" s="721"/>
      <c r="D847" s="722"/>
      <c r="E847" s="722"/>
      <c r="F847" s="722"/>
      <c r="G847" s="722"/>
      <c r="H847" s="722"/>
      <c r="I847" s="722"/>
      <c r="J847" s="722"/>
      <c r="K847" s="722"/>
      <c r="L847" s="722"/>
      <c r="M847" s="722"/>
      <c r="N847" s="722"/>
      <c r="O847" s="722"/>
      <c r="P847" s="722"/>
      <c r="Q847" s="722"/>
      <c r="R847" s="722"/>
      <c r="S847" s="722"/>
      <c r="T847" s="722"/>
      <c r="U847" s="722"/>
      <c r="V847" s="722"/>
      <c r="W847" s="722"/>
      <c r="X847" s="722"/>
      <c r="Y847" s="723"/>
    </row>
    <row r="848" spans="3:25" ht="18" customHeight="1" x14ac:dyDescent="0.2">
      <c r="C848" s="721"/>
      <c r="D848" s="722"/>
      <c r="E848" s="722"/>
      <c r="F848" s="722"/>
      <c r="G848" s="722"/>
      <c r="H848" s="722"/>
      <c r="I848" s="722"/>
      <c r="J848" s="722"/>
      <c r="K848" s="722"/>
      <c r="L848" s="722"/>
      <c r="M848" s="722"/>
      <c r="N848" s="722"/>
      <c r="O848" s="722"/>
      <c r="P848" s="722"/>
      <c r="Q848" s="722"/>
      <c r="R848" s="722"/>
      <c r="S848" s="722"/>
      <c r="T848" s="722"/>
      <c r="U848" s="722"/>
      <c r="V848" s="722"/>
      <c r="W848" s="722"/>
      <c r="X848" s="722"/>
      <c r="Y848" s="723"/>
    </row>
    <row r="849" spans="3:25" ht="18" customHeight="1" x14ac:dyDescent="0.2">
      <c r="C849" s="721"/>
      <c r="D849" s="722"/>
      <c r="E849" s="722"/>
      <c r="F849" s="722"/>
      <c r="G849" s="722"/>
      <c r="H849" s="722"/>
      <c r="I849" s="722"/>
      <c r="J849" s="722"/>
      <c r="K849" s="722"/>
      <c r="L849" s="722"/>
      <c r="M849" s="722"/>
      <c r="N849" s="722"/>
      <c r="O849" s="722"/>
      <c r="P849" s="722"/>
      <c r="Q849" s="722"/>
      <c r="R849" s="722"/>
      <c r="S849" s="722"/>
      <c r="T849" s="722"/>
      <c r="U849" s="722"/>
      <c r="V849" s="722"/>
      <c r="W849" s="722"/>
      <c r="X849" s="722"/>
      <c r="Y849" s="723"/>
    </row>
    <row r="850" spans="3:25" ht="18" customHeight="1" x14ac:dyDescent="0.2">
      <c r="C850" s="721"/>
      <c r="D850" s="722"/>
      <c r="E850" s="722"/>
      <c r="F850" s="722"/>
      <c r="G850" s="722"/>
      <c r="H850" s="722"/>
      <c r="I850" s="722"/>
      <c r="J850" s="722"/>
      <c r="K850" s="722"/>
      <c r="L850" s="722"/>
      <c r="M850" s="722"/>
      <c r="N850" s="722"/>
      <c r="O850" s="722"/>
      <c r="P850" s="722"/>
      <c r="Q850" s="722"/>
      <c r="R850" s="722"/>
      <c r="S850" s="722"/>
      <c r="T850" s="722"/>
      <c r="U850" s="722"/>
      <c r="V850" s="722"/>
      <c r="W850" s="722"/>
      <c r="X850" s="722"/>
      <c r="Y850" s="723"/>
    </row>
    <row r="851" spans="3:25" ht="18" customHeight="1" x14ac:dyDescent="0.2">
      <c r="C851" s="721"/>
      <c r="D851" s="722"/>
      <c r="E851" s="722"/>
      <c r="F851" s="722"/>
      <c r="G851" s="722"/>
      <c r="H851" s="722"/>
      <c r="I851" s="722"/>
      <c r="J851" s="722"/>
      <c r="K851" s="722"/>
      <c r="L851" s="722"/>
      <c r="M851" s="722"/>
      <c r="N851" s="722"/>
      <c r="O851" s="722"/>
      <c r="P851" s="722"/>
      <c r="Q851" s="722"/>
      <c r="R851" s="722"/>
      <c r="S851" s="722"/>
      <c r="T851" s="722"/>
      <c r="U851" s="722"/>
      <c r="V851" s="722"/>
      <c r="W851" s="722"/>
      <c r="X851" s="722"/>
      <c r="Y851" s="723"/>
    </row>
    <row r="852" spans="3:25" ht="18" customHeight="1" x14ac:dyDescent="0.2">
      <c r="C852" s="721"/>
      <c r="D852" s="722"/>
      <c r="E852" s="722"/>
      <c r="F852" s="722"/>
      <c r="G852" s="722"/>
      <c r="H852" s="722"/>
      <c r="I852" s="722"/>
      <c r="J852" s="722"/>
      <c r="K852" s="722"/>
      <c r="L852" s="722"/>
      <c r="M852" s="722"/>
      <c r="N852" s="722"/>
      <c r="O852" s="722"/>
      <c r="P852" s="722"/>
      <c r="Q852" s="722"/>
      <c r="R852" s="722"/>
      <c r="S852" s="722"/>
      <c r="T852" s="722"/>
      <c r="U852" s="722"/>
      <c r="V852" s="722"/>
      <c r="W852" s="722"/>
      <c r="X852" s="722"/>
      <c r="Y852" s="723"/>
    </row>
    <row r="853" spans="3:25" ht="18" customHeight="1" x14ac:dyDescent="0.2">
      <c r="C853" s="721"/>
      <c r="D853" s="722"/>
      <c r="E853" s="722"/>
      <c r="F853" s="722"/>
      <c r="G853" s="722"/>
      <c r="H853" s="722"/>
      <c r="I853" s="722"/>
      <c r="J853" s="722"/>
      <c r="K853" s="722"/>
      <c r="L853" s="722"/>
      <c r="M853" s="722"/>
      <c r="N853" s="722"/>
      <c r="O853" s="722"/>
      <c r="P853" s="722"/>
      <c r="Q853" s="722"/>
      <c r="R853" s="722"/>
      <c r="S853" s="722"/>
      <c r="T853" s="722"/>
      <c r="U853" s="722"/>
      <c r="V853" s="722"/>
      <c r="W853" s="722"/>
      <c r="X853" s="722"/>
      <c r="Y853" s="723"/>
    </row>
    <row r="854" spans="3:25" ht="18" customHeight="1" x14ac:dyDescent="0.2">
      <c r="C854" s="721"/>
      <c r="D854" s="722"/>
      <c r="E854" s="722"/>
      <c r="F854" s="722"/>
      <c r="G854" s="722"/>
      <c r="H854" s="722"/>
      <c r="I854" s="722"/>
      <c r="J854" s="722"/>
      <c r="K854" s="722"/>
      <c r="L854" s="722"/>
      <c r="M854" s="722"/>
      <c r="N854" s="722"/>
      <c r="O854" s="722"/>
      <c r="P854" s="722"/>
      <c r="Q854" s="722"/>
      <c r="R854" s="722"/>
      <c r="S854" s="722"/>
      <c r="T854" s="722"/>
      <c r="U854" s="722"/>
      <c r="V854" s="722"/>
      <c r="W854" s="722"/>
      <c r="X854" s="722"/>
      <c r="Y854" s="723"/>
    </row>
    <row r="855" spans="3:25" ht="18" customHeight="1" x14ac:dyDescent="0.2">
      <c r="C855" s="721"/>
      <c r="D855" s="722"/>
      <c r="E855" s="722"/>
      <c r="F855" s="722"/>
      <c r="G855" s="722"/>
      <c r="H855" s="722"/>
      <c r="I855" s="722"/>
      <c r="J855" s="722"/>
      <c r="K855" s="722"/>
      <c r="L855" s="722"/>
      <c r="M855" s="722"/>
      <c r="N855" s="722"/>
      <c r="O855" s="722"/>
      <c r="P855" s="722"/>
      <c r="Q855" s="722"/>
      <c r="R855" s="722"/>
      <c r="S855" s="722"/>
      <c r="T855" s="722"/>
      <c r="U855" s="722"/>
      <c r="V855" s="722"/>
      <c r="W855" s="722"/>
      <c r="X855" s="722"/>
      <c r="Y855" s="723"/>
    </row>
    <row r="856" spans="3:25" ht="18" customHeight="1" x14ac:dyDescent="0.2">
      <c r="C856" s="721"/>
      <c r="D856" s="722"/>
      <c r="E856" s="722"/>
      <c r="F856" s="722"/>
      <c r="G856" s="722"/>
      <c r="H856" s="722"/>
      <c r="I856" s="722"/>
      <c r="J856" s="722"/>
      <c r="K856" s="722"/>
      <c r="L856" s="722"/>
      <c r="M856" s="722"/>
      <c r="N856" s="722"/>
      <c r="O856" s="722"/>
      <c r="P856" s="722"/>
      <c r="Q856" s="722"/>
      <c r="R856" s="722"/>
      <c r="S856" s="722"/>
      <c r="T856" s="722"/>
      <c r="U856" s="722"/>
      <c r="V856" s="722"/>
      <c r="W856" s="722"/>
      <c r="X856" s="722"/>
      <c r="Y856" s="723"/>
    </row>
    <row r="857" spans="3:25" ht="18" customHeight="1" x14ac:dyDescent="0.2">
      <c r="C857" s="721"/>
      <c r="D857" s="722"/>
      <c r="E857" s="722"/>
      <c r="F857" s="722"/>
      <c r="G857" s="722"/>
      <c r="H857" s="722"/>
      <c r="I857" s="722"/>
      <c r="J857" s="722"/>
      <c r="K857" s="722"/>
      <c r="L857" s="722"/>
      <c r="M857" s="722"/>
      <c r="N857" s="722"/>
      <c r="O857" s="722"/>
      <c r="P857" s="722"/>
      <c r="Q857" s="722"/>
      <c r="R857" s="722"/>
      <c r="S857" s="722"/>
      <c r="T857" s="722"/>
      <c r="U857" s="722"/>
      <c r="V857" s="722"/>
      <c r="W857" s="722"/>
      <c r="X857" s="722"/>
      <c r="Y857" s="723"/>
    </row>
    <row r="858" spans="3:25" ht="18" customHeight="1" x14ac:dyDescent="0.2">
      <c r="C858" s="721"/>
      <c r="D858" s="722"/>
      <c r="E858" s="722"/>
      <c r="F858" s="722"/>
      <c r="G858" s="722"/>
      <c r="H858" s="722"/>
      <c r="I858" s="722"/>
      <c r="J858" s="722"/>
      <c r="K858" s="722"/>
      <c r="L858" s="722"/>
      <c r="M858" s="722"/>
      <c r="N858" s="722"/>
      <c r="O858" s="722"/>
      <c r="P858" s="722"/>
      <c r="Q858" s="722"/>
      <c r="R858" s="722"/>
      <c r="S858" s="722"/>
      <c r="T858" s="722"/>
      <c r="U858" s="722"/>
      <c r="V858" s="722"/>
      <c r="W858" s="722"/>
      <c r="X858" s="722"/>
      <c r="Y858" s="723"/>
    </row>
    <row r="859" spans="3:25" ht="18" customHeight="1" x14ac:dyDescent="0.2">
      <c r="C859" s="721"/>
      <c r="D859" s="722"/>
      <c r="E859" s="722"/>
      <c r="F859" s="722"/>
      <c r="G859" s="722"/>
      <c r="H859" s="722"/>
      <c r="I859" s="722"/>
      <c r="J859" s="722"/>
      <c r="K859" s="722"/>
      <c r="L859" s="722"/>
      <c r="M859" s="722"/>
      <c r="N859" s="722"/>
      <c r="O859" s="722"/>
      <c r="P859" s="722"/>
      <c r="Q859" s="722"/>
      <c r="R859" s="722"/>
      <c r="S859" s="722"/>
      <c r="T859" s="722"/>
      <c r="U859" s="722"/>
      <c r="V859" s="722"/>
      <c r="W859" s="722"/>
      <c r="X859" s="722"/>
      <c r="Y859" s="723"/>
    </row>
    <row r="860" spans="3:25" ht="18" customHeight="1" x14ac:dyDescent="0.2">
      <c r="C860" s="721"/>
      <c r="D860" s="722"/>
      <c r="E860" s="722"/>
      <c r="F860" s="722"/>
      <c r="G860" s="722"/>
      <c r="H860" s="722"/>
      <c r="I860" s="722"/>
      <c r="J860" s="722"/>
      <c r="K860" s="722"/>
      <c r="L860" s="722"/>
      <c r="M860" s="722"/>
      <c r="N860" s="722"/>
      <c r="O860" s="722"/>
      <c r="P860" s="722"/>
      <c r="Q860" s="722"/>
      <c r="R860" s="722"/>
      <c r="S860" s="722"/>
      <c r="T860" s="722"/>
      <c r="U860" s="722"/>
      <c r="V860" s="722"/>
      <c r="W860" s="722"/>
      <c r="X860" s="722"/>
      <c r="Y860" s="723"/>
    </row>
    <row r="861" spans="3:25" ht="18" customHeight="1" x14ac:dyDescent="0.2">
      <c r="C861" s="721"/>
      <c r="D861" s="722"/>
      <c r="E861" s="722"/>
      <c r="F861" s="722"/>
      <c r="G861" s="722"/>
      <c r="H861" s="722"/>
      <c r="I861" s="722"/>
      <c r="J861" s="722"/>
      <c r="K861" s="722"/>
      <c r="L861" s="722"/>
      <c r="M861" s="722"/>
      <c r="N861" s="722"/>
      <c r="O861" s="722"/>
      <c r="P861" s="722"/>
      <c r="Q861" s="722"/>
      <c r="R861" s="722"/>
      <c r="S861" s="722"/>
      <c r="T861" s="722"/>
      <c r="U861" s="722"/>
      <c r="V861" s="722"/>
      <c r="W861" s="722"/>
      <c r="X861" s="722"/>
      <c r="Y861" s="723"/>
    </row>
    <row r="862" spans="3:25" ht="18" customHeight="1" x14ac:dyDescent="0.2">
      <c r="C862" s="721"/>
      <c r="D862" s="722"/>
      <c r="E862" s="722"/>
      <c r="F862" s="722"/>
      <c r="G862" s="722"/>
      <c r="H862" s="722"/>
      <c r="I862" s="722"/>
      <c r="J862" s="722"/>
      <c r="K862" s="722"/>
      <c r="L862" s="722"/>
      <c r="M862" s="722"/>
      <c r="N862" s="722"/>
      <c r="O862" s="722"/>
      <c r="P862" s="722"/>
      <c r="Q862" s="722"/>
      <c r="R862" s="722"/>
      <c r="S862" s="722"/>
      <c r="T862" s="722"/>
      <c r="U862" s="722"/>
      <c r="V862" s="722"/>
      <c r="W862" s="722"/>
      <c r="X862" s="722"/>
      <c r="Y862" s="723"/>
    </row>
    <row r="863" spans="3:25" ht="18" customHeight="1" x14ac:dyDescent="0.2">
      <c r="C863" s="721"/>
      <c r="D863" s="722"/>
      <c r="E863" s="722"/>
      <c r="F863" s="722"/>
      <c r="G863" s="722"/>
      <c r="H863" s="722"/>
      <c r="I863" s="722"/>
      <c r="J863" s="722"/>
      <c r="K863" s="722"/>
      <c r="L863" s="722"/>
      <c r="M863" s="722"/>
      <c r="N863" s="722"/>
      <c r="O863" s="722"/>
      <c r="P863" s="722"/>
      <c r="Q863" s="722"/>
      <c r="R863" s="722"/>
      <c r="S863" s="722"/>
      <c r="T863" s="722"/>
      <c r="U863" s="722"/>
      <c r="V863" s="722"/>
      <c r="W863" s="722"/>
      <c r="X863" s="722"/>
      <c r="Y863" s="723"/>
    </row>
    <row r="864" spans="3:25" ht="18" customHeight="1" x14ac:dyDescent="0.2">
      <c r="C864" s="721"/>
      <c r="D864" s="722"/>
      <c r="E864" s="722"/>
      <c r="F864" s="722"/>
      <c r="G864" s="722"/>
      <c r="H864" s="722"/>
      <c r="I864" s="722"/>
      <c r="J864" s="722"/>
      <c r="K864" s="722"/>
      <c r="L864" s="722"/>
      <c r="M864" s="722"/>
      <c r="N864" s="722"/>
      <c r="O864" s="722"/>
      <c r="P864" s="722"/>
      <c r="Q864" s="722"/>
      <c r="R864" s="722"/>
      <c r="S864" s="722"/>
      <c r="T864" s="722"/>
      <c r="U864" s="722"/>
      <c r="V864" s="722"/>
      <c r="W864" s="722"/>
      <c r="X864" s="722"/>
      <c r="Y864" s="723"/>
    </row>
    <row r="865" spans="3:25" ht="18" customHeight="1" x14ac:dyDescent="0.2">
      <c r="C865" s="721"/>
      <c r="D865" s="722"/>
      <c r="E865" s="722"/>
      <c r="F865" s="722"/>
      <c r="G865" s="722"/>
      <c r="H865" s="722"/>
      <c r="I865" s="722"/>
      <c r="J865" s="722"/>
      <c r="K865" s="722"/>
      <c r="L865" s="722"/>
      <c r="M865" s="722"/>
      <c r="N865" s="722"/>
      <c r="O865" s="722"/>
      <c r="P865" s="722"/>
      <c r="Q865" s="722"/>
      <c r="R865" s="722"/>
      <c r="S865" s="722"/>
      <c r="T865" s="722"/>
      <c r="U865" s="722"/>
      <c r="V865" s="722"/>
      <c r="W865" s="722"/>
      <c r="X865" s="722"/>
      <c r="Y865" s="723"/>
    </row>
    <row r="866" spans="3:25" ht="18" customHeight="1" x14ac:dyDescent="0.2">
      <c r="C866" s="721"/>
      <c r="D866" s="722"/>
      <c r="E866" s="722"/>
      <c r="F866" s="722"/>
      <c r="G866" s="722"/>
      <c r="H866" s="722"/>
      <c r="I866" s="722"/>
      <c r="J866" s="722"/>
      <c r="K866" s="722"/>
      <c r="L866" s="722"/>
      <c r="M866" s="722"/>
      <c r="N866" s="722"/>
      <c r="O866" s="722"/>
      <c r="P866" s="722"/>
      <c r="Q866" s="722"/>
      <c r="R866" s="722"/>
      <c r="S866" s="722"/>
      <c r="T866" s="722"/>
      <c r="U866" s="722"/>
      <c r="V866" s="722"/>
      <c r="W866" s="722"/>
      <c r="X866" s="722"/>
      <c r="Y866" s="723"/>
    </row>
    <row r="867" spans="3:25" ht="18" customHeight="1" x14ac:dyDescent="0.2">
      <c r="C867" s="721"/>
      <c r="D867" s="722"/>
      <c r="E867" s="722"/>
      <c r="F867" s="722"/>
      <c r="G867" s="722"/>
      <c r="H867" s="722"/>
      <c r="I867" s="722"/>
      <c r="J867" s="722"/>
      <c r="K867" s="722"/>
      <c r="L867" s="722"/>
      <c r="M867" s="722"/>
      <c r="N867" s="722"/>
      <c r="O867" s="722"/>
      <c r="P867" s="722"/>
      <c r="Q867" s="722"/>
      <c r="R867" s="722"/>
      <c r="S867" s="722"/>
      <c r="T867" s="722"/>
      <c r="U867" s="722"/>
      <c r="V867" s="722"/>
      <c r="W867" s="722"/>
      <c r="X867" s="722"/>
      <c r="Y867" s="723"/>
    </row>
    <row r="868" spans="3:25" ht="18" customHeight="1" x14ac:dyDescent="0.2">
      <c r="C868" s="721"/>
      <c r="D868" s="722"/>
      <c r="E868" s="722"/>
      <c r="F868" s="722"/>
      <c r="G868" s="722"/>
      <c r="H868" s="722"/>
      <c r="I868" s="722"/>
      <c r="J868" s="722"/>
      <c r="K868" s="722"/>
      <c r="L868" s="722"/>
      <c r="M868" s="722"/>
      <c r="N868" s="722"/>
      <c r="O868" s="722"/>
      <c r="P868" s="722"/>
      <c r="Q868" s="722"/>
      <c r="R868" s="722"/>
      <c r="S868" s="722"/>
      <c r="T868" s="722"/>
      <c r="U868" s="722"/>
      <c r="V868" s="722"/>
      <c r="W868" s="722"/>
      <c r="X868" s="722"/>
      <c r="Y868" s="723"/>
    </row>
    <row r="869" spans="3:25" ht="18" customHeight="1" x14ac:dyDescent="0.2">
      <c r="C869" s="721"/>
      <c r="D869" s="722"/>
      <c r="E869" s="722"/>
      <c r="F869" s="722"/>
      <c r="G869" s="722"/>
      <c r="H869" s="722"/>
      <c r="I869" s="722"/>
      <c r="J869" s="722"/>
      <c r="K869" s="722"/>
      <c r="L869" s="722"/>
      <c r="M869" s="722"/>
      <c r="N869" s="722"/>
      <c r="O869" s="722"/>
      <c r="P869" s="722"/>
      <c r="Q869" s="722"/>
      <c r="R869" s="722"/>
      <c r="S869" s="722"/>
      <c r="T869" s="722"/>
      <c r="U869" s="722"/>
      <c r="V869" s="722"/>
      <c r="W869" s="722"/>
      <c r="X869" s="722"/>
      <c r="Y869" s="723"/>
    </row>
    <row r="870" spans="3:25" ht="18" customHeight="1" x14ac:dyDescent="0.2">
      <c r="C870" s="721"/>
      <c r="D870" s="722"/>
      <c r="E870" s="722"/>
      <c r="F870" s="722"/>
      <c r="G870" s="722"/>
      <c r="H870" s="722"/>
      <c r="I870" s="722"/>
      <c r="J870" s="722"/>
      <c r="K870" s="722"/>
      <c r="L870" s="722"/>
      <c r="M870" s="722"/>
      <c r="N870" s="722"/>
      <c r="O870" s="722"/>
      <c r="P870" s="722"/>
      <c r="Q870" s="722"/>
      <c r="R870" s="722"/>
      <c r="S870" s="722"/>
      <c r="T870" s="722"/>
      <c r="U870" s="722"/>
      <c r="V870" s="722"/>
      <c r="W870" s="722"/>
      <c r="X870" s="722"/>
      <c r="Y870" s="723"/>
    </row>
    <row r="871" spans="3:25" ht="18" customHeight="1" x14ac:dyDescent="0.2">
      <c r="C871" s="721"/>
      <c r="D871" s="722"/>
      <c r="E871" s="722"/>
      <c r="F871" s="722"/>
      <c r="G871" s="722"/>
      <c r="H871" s="722"/>
      <c r="I871" s="722"/>
      <c r="J871" s="722"/>
      <c r="K871" s="722"/>
      <c r="L871" s="722"/>
      <c r="M871" s="722"/>
      <c r="N871" s="722"/>
      <c r="O871" s="722"/>
      <c r="P871" s="722"/>
      <c r="Q871" s="722"/>
      <c r="R871" s="722"/>
      <c r="S871" s="722"/>
      <c r="T871" s="722"/>
      <c r="U871" s="722"/>
      <c r="V871" s="722"/>
      <c r="W871" s="722"/>
      <c r="X871" s="722"/>
      <c r="Y871" s="723"/>
    </row>
    <row r="872" spans="3:25" ht="18" customHeight="1" x14ac:dyDescent="0.2">
      <c r="C872" s="721"/>
      <c r="D872" s="722"/>
      <c r="E872" s="722"/>
      <c r="F872" s="722"/>
      <c r="G872" s="722"/>
      <c r="H872" s="722"/>
      <c r="I872" s="722"/>
      <c r="J872" s="722"/>
      <c r="K872" s="722"/>
      <c r="L872" s="722"/>
      <c r="M872" s="722"/>
      <c r="N872" s="722"/>
      <c r="O872" s="722"/>
      <c r="P872" s="722"/>
      <c r="Q872" s="722"/>
      <c r="R872" s="722"/>
      <c r="S872" s="722"/>
      <c r="T872" s="722"/>
      <c r="U872" s="722"/>
      <c r="V872" s="722"/>
      <c r="W872" s="722"/>
      <c r="X872" s="722"/>
      <c r="Y872" s="723"/>
    </row>
    <row r="873" spans="3:25" ht="18" customHeight="1" x14ac:dyDescent="0.2">
      <c r="C873" s="721"/>
      <c r="D873" s="722"/>
      <c r="E873" s="722"/>
      <c r="F873" s="722"/>
      <c r="G873" s="722"/>
      <c r="H873" s="722"/>
      <c r="I873" s="722"/>
      <c r="J873" s="722"/>
      <c r="K873" s="722"/>
      <c r="L873" s="722"/>
      <c r="M873" s="722"/>
      <c r="N873" s="722"/>
      <c r="O873" s="722"/>
      <c r="P873" s="722"/>
      <c r="Q873" s="722"/>
      <c r="R873" s="722"/>
      <c r="S873" s="722"/>
      <c r="T873" s="722"/>
      <c r="U873" s="722"/>
      <c r="V873" s="722"/>
      <c r="W873" s="722"/>
      <c r="X873" s="722"/>
      <c r="Y873" s="723"/>
    </row>
    <row r="874" spans="3:25" ht="18" customHeight="1" x14ac:dyDescent="0.2">
      <c r="C874" s="721"/>
      <c r="D874" s="722"/>
      <c r="E874" s="722"/>
      <c r="F874" s="722"/>
      <c r="G874" s="722"/>
      <c r="H874" s="722"/>
      <c r="I874" s="722"/>
      <c r="J874" s="722"/>
      <c r="K874" s="722"/>
      <c r="L874" s="722"/>
      <c r="M874" s="722"/>
      <c r="N874" s="722"/>
      <c r="O874" s="722"/>
      <c r="P874" s="722"/>
      <c r="Q874" s="722"/>
      <c r="R874" s="722"/>
      <c r="S874" s="722"/>
      <c r="T874" s="722"/>
      <c r="U874" s="722"/>
      <c r="V874" s="722"/>
      <c r="W874" s="722"/>
      <c r="X874" s="722"/>
      <c r="Y874" s="723"/>
    </row>
    <row r="875" spans="3:25" ht="18" customHeight="1" x14ac:dyDescent="0.2">
      <c r="C875" s="721"/>
      <c r="D875" s="722"/>
      <c r="E875" s="722"/>
      <c r="F875" s="722"/>
      <c r="G875" s="722"/>
      <c r="H875" s="722"/>
      <c r="I875" s="722"/>
      <c r="J875" s="722"/>
      <c r="K875" s="722"/>
      <c r="L875" s="722"/>
      <c r="M875" s="722"/>
      <c r="N875" s="722"/>
      <c r="O875" s="722"/>
      <c r="P875" s="722"/>
      <c r="Q875" s="722"/>
      <c r="R875" s="722"/>
      <c r="S875" s="722"/>
      <c r="T875" s="722"/>
      <c r="U875" s="722"/>
      <c r="V875" s="722"/>
      <c r="W875" s="722"/>
      <c r="X875" s="722"/>
      <c r="Y875" s="723"/>
    </row>
    <row r="876" spans="3:25" ht="18" customHeight="1" x14ac:dyDescent="0.2">
      <c r="C876" s="721"/>
      <c r="D876" s="722"/>
      <c r="E876" s="722"/>
      <c r="F876" s="722"/>
      <c r="G876" s="722"/>
      <c r="H876" s="722"/>
      <c r="I876" s="722"/>
      <c r="J876" s="722"/>
      <c r="K876" s="722"/>
      <c r="L876" s="722"/>
      <c r="M876" s="722"/>
      <c r="N876" s="722"/>
      <c r="O876" s="722"/>
      <c r="P876" s="722"/>
      <c r="Q876" s="722"/>
      <c r="R876" s="722"/>
      <c r="S876" s="722"/>
      <c r="T876" s="722"/>
      <c r="U876" s="722"/>
      <c r="V876" s="722"/>
      <c r="W876" s="722"/>
      <c r="X876" s="722"/>
      <c r="Y876" s="723"/>
    </row>
    <row r="877" spans="3:25" ht="18" customHeight="1" x14ac:dyDescent="0.2">
      <c r="C877" s="721"/>
      <c r="D877" s="722"/>
      <c r="E877" s="722"/>
      <c r="F877" s="722"/>
      <c r="G877" s="722"/>
      <c r="H877" s="722"/>
      <c r="I877" s="722"/>
      <c r="J877" s="722"/>
      <c r="K877" s="722"/>
      <c r="L877" s="722"/>
      <c r="M877" s="722"/>
      <c r="N877" s="722"/>
      <c r="O877" s="722"/>
      <c r="P877" s="722"/>
      <c r="Q877" s="722"/>
      <c r="R877" s="722"/>
      <c r="S877" s="722"/>
      <c r="T877" s="722"/>
      <c r="U877" s="722"/>
      <c r="V877" s="722"/>
      <c r="W877" s="722"/>
      <c r="X877" s="722"/>
      <c r="Y877" s="723"/>
    </row>
    <row r="878" spans="3:25" ht="18" customHeight="1" x14ac:dyDescent="0.2">
      <c r="C878" s="721"/>
      <c r="D878" s="722"/>
      <c r="E878" s="722"/>
      <c r="F878" s="722"/>
      <c r="G878" s="722"/>
      <c r="H878" s="722"/>
      <c r="I878" s="722"/>
      <c r="J878" s="722"/>
      <c r="K878" s="722"/>
      <c r="L878" s="722"/>
      <c r="M878" s="722"/>
      <c r="N878" s="722"/>
      <c r="O878" s="722"/>
      <c r="P878" s="722"/>
      <c r="Q878" s="722"/>
      <c r="R878" s="722"/>
      <c r="S878" s="722"/>
      <c r="T878" s="722"/>
      <c r="U878" s="722"/>
      <c r="V878" s="722"/>
      <c r="W878" s="722"/>
      <c r="X878" s="722"/>
      <c r="Y878" s="723"/>
    </row>
    <row r="879" spans="3:25" ht="18" customHeight="1" x14ac:dyDescent="0.2">
      <c r="C879" s="721"/>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3"/>
    </row>
    <row r="880" spans="3:25" ht="18" customHeight="1" x14ac:dyDescent="0.2">
      <c r="C880" s="721"/>
      <c r="D880" s="722"/>
      <c r="E880" s="722"/>
      <c r="F880" s="722"/>
      <c r="G880" s="722"/>
      <c r="H880" s="722"/>
      <c r="I880" s="722"/>
      <c r="J880" s="722"/>
      <c r="K880" s="722"/>
      <c r="L880" s="722"/>
      <c r="M880" s="722"/>
      <c r="N880" s="722"/>
      <c r="O880" s="722"/>
      <c r="P880" s="722"/>
      <c r="Q880" s="722"/>
      <c r="R880" s="722"/>
      <c r="S880" s="722"/>
      <c r="T880" s="722"/>
      <c r="U880" s="722"/>
      <c r="V880" s="722"/>
      <c r="W880" s="722"/>
      <c r="X880" s="722"/>
      <c r="Y880" s="723"/>
    </row>
    <row r="881" spans="3:25" ht="18" customHeight="1" x14ac:dyDescent="0.2">
      <c r="C881" s="721"/>
      <c r="D881" s="722"/>
      <c r="E881" s="722"/>
      <c r="F881" s="722"/>
      <c r="G881" s="722"/>
      <c r="H881" s="722"/>
      <c r="I881" s="722"/>
      <c r="J881" s="722"/>
      <c r="K881" s="722"/>
      <c r="L881" s="722"/>
      <c r="M881" s="722"/>
      <c r="N881" s="722"/>
      <c r="O881" s="722"/>
      <c r="P881" s="722"/>
      <c r="Q881" s="722"/>
      <c r="R881" s="722"/>
      <c r="S881" s="722"/>
      <c r="T881" s="722"/>
      <c r="U881" s="722"/>
      <c r="V881" s="722"/>
      <c r="W881" s="722"/>
      <c r="X881" s="722"/>
      <c r="Y881" s="723"/>
    </row>
    <row r="882" spans="3:25" ht="18" customHeight="1" x14ac:dyDescent="0.2">
      <c r="C882" s="721"/>
      <c r="D882" s="722"/>
      <c r="E882" s="722"/>
      <c r="F882" s="722"/>
      <c r="G882" s="722"/>
      <c r="H882" s="722"/>
      <c r="I882" s="722"/>
      <c r="J882" s="722"/>
      <c r="K882" s="722"/>
      <c r="L882" s="722"/>
      <c r="M882" s="722"/>
      <c r="N882" s="722"/>
      <c r="O882" s="722"/>
      <c r="P882" s="722"/>
      <c r="Q882" s="722"/>
      <c r="R882" s="722"/>
      <c r="S882" s="722"/>
      <c r="T882" s="722"/>
      <c r="U882" s="722"/>
      <c r="V882" s="722"/>
      <c r="W882" s="722"/>
      <c r="X882" s="722"/>
      <c r="Y882" s="723"/>
    </row>
    <row r="883" spans="3:25" ht="18" customHeight="1" x14ac:dyDescent="0.2">
      <c r="C883" s="721"/>
      <c r="D883" s="722"/>
      <c r="E883" s="722"/>
      <c r="F883" s="722"/>
      <c r="G883" s="722"/>
      <c r="H883" s="722"/>
      <c r="I883" s="722"/>
      <c r="J883" s="722"/>
      <c r="K883" s="722"/>
      <c r="L883" s="722"/>
      <c r="M883" s="722"/>
      <c r="N883" s="722"/>
      <c r="O883" s="722"/>
      <c r="P883" s="722"/>
      <c r="Q883" s="722"/>
      <c r="R883" s="722"/>
      <c r="S883" s="722"/>
      <c r="T883" s="722"/>
      <c r="U883" s="722"/>
      <c r="V883" s="722"/>
      <c r="W883" s="722"/>
      <c r="X883" s="722"/>
      <c r="Y883" s="723"/>
    </row>
    <row r="884" spans="3:25" ht="18" customHeight="1" x14ac:dyDescent="0.2">
      <c r="C884" s="721"/>
      <c r="D884" s="722"/>
      <c r="E884" s="722"/>
      <c r="F884" s="722"/>
      <c r="G884" s="722"/>
      <c r="H884" s="722"/>
      <c r="I884" s="722"/>
      <c r="J884" s="722"/>
      <c r="K884" s="722"/>
      <c r="L884" s="722"/>
      <c r="M884" s="722"/>
      <c r="N884" s="722"/>
      <c r="O884" s="722"/>
      <c r="P884" s="722"/>
      <c r="Q884" s="722"/>
      <c r="R884" s="722"/>
      <c r="S884" s="722"/>
      <c r="T884" s="722"/>
      <c r="U884" s="722"/>
      <c r="V884" s="722"/>
      <c r="W884" s="722"/>
      <c r="X884" s="722"/>
      <c r="Y884" s="723"/>
    </row>
    <row r="885" spans="3:25" ht="18" customHeight="1" x14ac:dyDescent="0.2">
      <c r="C885" s="721"/>
      <c r="D885" s="722"/>
      <c r="E885" s="722"/>
      <c r="F885" s="722"/>
      <c r="G885" s="722"/>
      <c r="H885" s="722"/>
      <c r="I885" s="722"/>
      <c r="J885" s="722"/>
      <c r="K885" s="722"/>
      <c r="L885" s="722"/>
      <c r="M885" s="722"/>
      <c r="N885" s="722"/>
      <c r="O885" s="722"/>
      <c r="P885" s="722"/>
      <c r="Q885" s="722"/>
      <c r="R885" s="722"/>
      <c r="S885" s="722"/>
      <c r="T885" s="722"/>
      <c r="U885" s="722"/>
      <c r="V885" s="722"/>
      <c r="W885" s="722"/>
      <c r="X885" s="722"/>
      <c r="Y885" s="723"/>
    </row>
    <row r="886" spans="3:25" ht="18" customHeight="1" x14ac:dyDescent="0.2">
      <c r="C886" s="721"/>
      <c r="D886" s="722"/>
      <c r="E886" s="722"/>
      <c r="F886" s="722"/>
      <c r="G886" s="722"/>
      <c r="H886" s="722"/>
      <c r="I886" s="722"/>
      <c r="J886" s="722"/>
      <c r="K886" s="722"/>
      <c r="L886" s="722"/>
      <c r="M886" s="722"/>
      <c r="N886" s="722"/>
      <c r="O886" s="722"/>
      <c r="P886" s="722"/>
      <c r="Q886" s="722"/>
      <c r="R886" s="722"/>
      <c r="S886" s="722"/>
      <c r="T886" s="722"/>
      <c r="U886" s="722"/>
      <c r="V886" s="722"/>
      <c r="W886" s="722"/>
      <c r="X886" s="722"/>
      <c r="Y886" s="723"/>
    </row>
    <row r="887" spans="3:25" ht="18" customHeight="1" x14ac:dyDescent="0.2">
      <c r="C887" s="721"/>
      <c r="D887" s="722"/>
      <c r="E887" s="722"/>
      <c r="F887" s="722"/>
      <c r="G887" s="722"/>
      <c r="H887" s="722"/>
      <c r="I887" s="722"/>
      <c r="J887" s="722"/>
      <c r="K887" s="722"/>
      <c r="L887" s="722"/>
      <c r="M887" s="722"/>
      <c r="N887" s="722"/>
      <c r="O887" s="722"/>
      <c r="P887" s="722"/>
      <c r="Q887" s="722"/>
      <c r="R887" s="722"/>
      <c r="S887" s="722"/>
      <c r="T887" s="722"/>
      <c r="U887" s="722"/>
      <c r="V887" s="722"/>
      <c r="W887" s="722"/>
      <c r="X887" s="722"/>
      <c r="Y887" s="723"/>
    </row>
    <row r="888" spans="3:25" ht="18" customHeight="1" x14ac:dyDescent="0.2">
      <c r="C888" s="721"/>
      <c r="D888" s="722"/>
      <c r="E888" s="722"/>
      <c r="F888" s="722"/>
      <c r="G888" s="722"/>
      <c r="H888" s="722"/>
      <c r="I888" s="722"/>
      <c r="J888" s="722"/>
      <c r="K888" s="722"/>
      <c r="L888" s="722"/>
      <c r="M888" s="722"/>
      <c r="N888" s="722"/>
      <c r="O888" s="722"/>
      <c r="P888" s="722"/>
      <c r="Q888" s="722"/>
      <c r="R888" s="722"/>
      <c r="S888" s="722"/>
      <c r="T888" s="722"/>
      <c r="U888" s="722"/>
      <c r="V888" s="722"/>
      <c r="W888" s="722"/>
      <c r="X888" s="722"/>
      <c r="Y888" s="723"/>
    </row>
    <row r="889" spans="3:25" ht="18" customHeight="1" x14ac:dyDescent="0.2">
      <c r="C889" s="721"/>
      <c r="D889" s="722"/>
      <c r="E889" s="722"/>
      <c r="F889" s="722"/>
      <c r="G889" s="722"/>
      <c r="H889" s="722"/>
      <c r="I889" s="722"/>
      <c r="J889" s="722"/>
      <c r="K889" s="722"/>
      <c r="L889" s="722"/>
      <c r="M889" s="722"/>
      <c r="N889" s="722"/>
      <c r="O889" s="722"/>
      <c r="P889" s="722"/>
      <c r="Q889" s="722"/>
      <c r="R889" s="722"/>
      <c r="S889" s="722"/>
      <c r="T889" s="722"/>
      <c r="U889" s="722"/>
      <c r="V889" s="722"/>
      <c r="W889" s="722"/>
      <c r="X889" s="722"/>
      <c r="Y889" s="723"/>
    </row>
    <row r="890" spans="3:25" ht="18" customHeight="1" x14ac:dyDescent="0.2">
      <c r="C890" s="721"/>
      <c r="D890" s="722"/>
      <c r="E890" s="722"/>
      <c r="F890" s="722"/>
      <c r="G890" s="722"/>
      <c r="H890" s="722"/>
      <c r="I890" s="722"/>
      <c r="J890" s="722"/>
      <c r="K890" s="722"/>
      <c r="L890" s="722"/>
      <c r="M890" s="722"/>
      <c r="N890" s="722"/>
      <c r="O890" s="722"/>
      <c r="P890" s="722"/>
      <c r="Q890" s="722"/>
      <c r="R890" s="722"/>
      <c r="S890" s="722"/>
      <c r="T890" s="722"/>
      <c r="U890" s="722"/>
      <c r="V890" s="722"/>
      <c r="W890" s="722"/>
      <c r="X890" s="722"/>
      <c r="Y890" s="723"/>
    </row>
    <row r="891" spans="3:25" ht="18" customHeight="1" x14ac:dyDescent="0.2">
      <c r="C891" s="721"/>
      <c r="D891" s="722"/>
      <c r="E891" s="722"/>
      <c r="F891" s="722"/>
      <c r="G891" s="722"/>
      <c r="H891" s="722"/>
      <c r="I891" s="722"/>
      <c r="J891" s="722"/>
      <c r="K891" s="722"/>
      <c r="L891" s="722"/>
      <c r="M891" s="722"/>
      <c r="N891" s="722"/>
      <c r="O891" s="722"/>
      <c r="P891" s="722"/>
      <c r="Q891" s="722"/>
      <c r="R891" s="722"/>
      <c r="S891" s="722"/>
      <c r="T891" s="722"/>
      <c r="U891" s="722"/>
      <c r="V891" s="722"/>
      <c r="W891" s="722"/>
      <c r="X891" s="722"/>
      <c r="Y891" s="723"/>
    </row>
    <row r="892" spans="3:25" ht="18" customHeight="1" x14ac:dyDescent="0.2">
      <c r="C892" s="721"/>
      <c r="D892" s="722"/>
      <c r="E892" s="722"/>
      <c r="F892" s="722"/>
      <c r="G892" s="722"/>
      <c r="H892" s="722"/>
      <c r="I892" s="722"/>
      <c r="J892" s="722"/>
      <c r="K892" s="722"/>
      <c r="L892" s="722"/>
      <c r="M892" s="722"/>
      <c r="N892" s="722"/>
      <c r="O892" s="722"/>
      <c r="P892" s="722"/>
      <c r="Q892" s="722"/>
      <c r="R892" s="722"/>
      <c r="S892" s="722"/>
      <c r="T892" s="722"/>
      <c r="U892" s="722"/>
      <c r="V892" s="722"/>
      <c r="W892" s="722"/>
      <c r="X892" s="722"/>
      <c r="Y892" s="723"/>
    </row>
    <row r="893" spans="3:25" ht="18" customHeight="1" x14ac:dyDescent="0.2">
      <c r="C893" s="721"/>
      <c r="D893" s="722"/>
      <c r="E893" s="722"/>
      <c r="F893" s="722"/>
      <c r="G893" s="722"/>
      <c r="H893" s="722"/>
      <c r="I893" s="722"/>
      <c r="J893" s="722"/>
      <c r="K893" s="722"/>
      <c r="L893" s="722"/>
      <c r="M893" s="722"/>
      <c r="N893" s="722"/>
      <c r="O893" s="722"/>
      <c r="P893" s="722"/>
      <c r="Q893" s="722"/>
      <c r="R893" s="722"/>
      <c r="S893" s="722"/>
      <c r="T893" s="722"/>
      <c r="U893" s="722"/>
      <c r="V893" s="722"/>
      <c r="W893" s="722"/>
      <c r="X893" s="722"/>
      <c r="Y893" s="723"/>
    </row>
    <row r="894" spans="3:25" ht="18" customHeight="1" x14ac:dyDescent="0.2">
      <c r="C894" s="721"/>
      <c r="D894" s="722"/>
      <c r="E894" s="722"/>
      <c r="F894" s="722"/>
      <c r="G894" s="722"/>
      <c r="H894" s="722"/>
      <c r="I894" s="722"/>
      <c r="J894" s="722"/>
      <c r="K894" s="722"/>
      <c r="L894" s="722"/>
      <c r="M894" s="722"/>
      <c r="N894" s="722"/>
      <c r="O894" s="722"/>
      <c r="P894" s="722"/>
      <c r="Q894" s="722"/>
      <c r="R894" s="722"/>
      <c r="S894" s="722"/>
      <c r="T894" s="722"/>
      <c r="U894" s="722"/>
      <c r="V894" s="722"/>
      <c r="W894" s="722"/>
      <c r="X894" s="722"/>
      <c r="Y894" s="723"/>
    </row>
    <row r="895" spans="3:25" ht="18" customHeight="1" x14ac:dyDescent="0.2">
      <c r="C895" s="721"/>
      <c r="D895" s="722"/>
      <c r="E895" s="722"/>
      <c r="F895" s="722"/>
      <c r="G895" s="722"/>
      <c r="H895" s="722"/>
      <c r="I895" s="722"/>
      <c r="J895" s="722"/>
      <c r="K895" s="722"/>
      <c r="L895" s="722"/>
      <c r="M895" s="722"/>
      <c r="N895" s="722"/>
      <c r="O895" s="722"/>
      <c r="P895" s="722"/>
      <c r="Q895" s="722"/>
      <c r="R895" s="722"/>
      <c r="S895" s="722"/>
      <c r="T895" s="722"/>
      <c r="U895" s="722"/>
      <c r="V895" s="722"/>
      <c r="W895" s="722"/>
      <c r="X895" s="722"/>
      <c r="Y895" s="723"/>
    </row>
    <row r="896" spans="3:25" ht="18" customHeight="1" x14ac:dyDescent="0.2">
      <c r="C896" s="721"/>
      <c r="D896" s="722"/>
      <c r="E896" s="722"/>
      <c r="F896" s="722"/>
      <c r="G896" s="722"/>
      <c r="H896" s="722"/>
      <c r="I896" s="722"/>
      <c r="J896" s="722"/>
      <c r="K896" s="722"/>
      <c r="L896" s="722"/>
      <c r="M896" s="722"/>
      <c r="N896" s="722"/>
      <c r="O896" s="722"/>
      <c r="P896" s="722"/>
      <c r="Q896" s="722"/>
      <c r="R896" s="722"/>
      <c r="S896" s="722"/>
      <c r="T896" s="722"/>
      <c r="U896" s="722"/>
      <c r="V896" s="722"/>
      <c r="W896" s="722"/>
      <c r="X896" s="722"/>
      <c r="Y896" s="723"/>
    </row>
    <row r="897" spans="3:25" ht="18" customHeight="1" x14ac:dyDescent="0.2">
      <c r="C897" s="721"/>
      <c r="D897" s="722"/>
      <c r="E897" s="722"/>
      <c r="F897" s="722"/>
      <c r="G897" s="722"/>
      <c r="H897" s="722"/>
      <c r="I897" s="722"/>
      <c r="J897" s="722"/>
      <c r="K897" s="722"/>
      <c r="L897" s="722"/>
      <c r="M897" s="722"/>
      <c r="N897" s="722"/>
      <c r="O897" s="722"/>
      <c r="P897" s="722"/>
      <c r="Q897" s="722"/>
      <c r="R897" s="722"/>
      <c r="S897" s="722"/>
      <c r="T897" s="722"/>
      <c r="U897" s="722"/>
      <c r="V897" s="722"/>
      <c r="W897" s="722"/>
      <c r="X897" s="722"/>
      <c r="Y897" s="723"/>
    </row>
    <row r="898" spans="3:25" ht="18" customHeight="1" x14ac:dyDescent="0.2">
      <c r="C898" s="721"/>
      <c r="D898" s="722"/>
      <c r="E898" s="722"/>
      <c r="F898" s="722"/>
      <c r="G898" s="722"/>
      <c r="H898" s="722"/>
      <c r="I898" s="722"/>
      <c r="J898" s="722"/>
      <c r="K898" s="722"/>
      <c r="L898" s="722"/>
      <c r="M898" s="722"/>
      <c r="N898" s="722"/>
      <c r="O898" s="722"/>
      <c r="P898" s="722"/>
      <c r="Q898" s="722"/>
      <c r="R898" s="722"/>
      <c r="S898" s="722"/>
      <c r="T898" s="722"/>
      <c r="U898" s="722"/>
      <c r="V898" s="722"/>
      <c r="W898" s="722"/>
      <c r="X898" s="722"/>
      <c r="Y898" s="723"/>
    </row>
    <row r="899" spans="3:25" ht="18" customHeight="1" x14ac:dyDescent="0.2">
      <c r="C899" s="721"/>
      <c r="D899" s="722"/>
      <c r="E899" s="722"/>
      <c r="F899" s="722"/>
      <c r="G899" s="722"/>
      <c r="H899" s="722"/>
      <c r="I899" s="722"/>
      <c r="J899" s="722"/>
      <c r="K899" s="722"/>
      <c r="L899" s="722"/>
      <c r="M899" s="722"/>
      <c r="N899" s="722"/>
      <c r="O899" s="722"/>
      <c r="P899" s="722"/>
      <c r="Q899" s="722"/>
      <c r="R899" s="722"/>
      <c r="S899" s="722"/>
      <c r="T899" s="722"/>
      <c r="U899" s="722"/>
      <c r="V899" s="722"/>
      <c r="W899" s="722"/>
      <c r="X899" s="722"/>
      <c r="Y899" s="723"/>
    </row>
    <row r="900" spans="3:25" ht="18" customHeight="1" x14ac:dyDescent="0.2">
      <c r="C900" s="724"/>
      <c r="D900" s="725"/>
      <c r="E900" s="725"/>
      <c r="F900" s="725"/>
      <c r="G900" s="725"/>
      <c r="H900" s="725"/>
      <c r="I900" s="725"/>
      <c r="J900" s="725"/>
      <c r="K900" s="725"/>
      <c r="L900" s="725"/>
      <c r="M900" s="725"/>
      <c r="N900" s="725"/>
      <c r="O900" s="725"/>
      <c r="P900" s="725"/>
      <c r="Q900" s="725"/>
      <c r="R900" s="725"/>
      <c r="S900" s="725"/>
      <c r="T900" s="725"/>
      <c r="U900" s="725"/>
      <c r="V900" s="725"/>
      <c r="W900" s="725"/>
      <c r="X900" s="725"/>
      <c r="Y900" s="726"/>
    </row>
  </sheetData>
  <mergeCells count="624">
    <mergeCell ref="C821:S822"/>
    <mergeCell ref="T822:W822"/>
    <mergeCell ref="X822:Y822"/>
    <mergeCell ref="D825:Y825"/>
    <mergeCell ref="C827:Y828"/>
    <mergeCell ref="C829:Y900"/>
    <mergeCell ref="T812:W812"/>
    <mergeCell ref="X812:Y812"/>
    <mergeCell ref="C815:Y815"/>
    <mergeCell ref="T816:W816"/>
    <mergeCell ref="X816:Y816"/>
    <mergeCell ref="C819:Y820"/>
    <mergeCell ref="D803:Y803"/>
    <mergeCell ref="C805:Y805"/>
    <mergeCell ref="T806:W806"/>
    <mergeCell ref="X806:Y806"/>
    <mergeCell ref="D809:Y809"/>
    <mergeCell ref="C811:Y811"/>
    <mergeCell ref="D790:Y790"/>
    <mergeCell ref="C792:Y793"/>
    <mergeCell ref="C795:Y796"/>
    <mergeCell ref="J797:K797"/>
    <mergeCell ref="T797:W797"/>
    <mergeCell ref="D800:Y800"/>
    <mergeCell ref="E779:F779"/>
    <mergeCell ref="Z779:AB779"/>
    <mergeCell ref="E780:F780"/>
    <mergeCell ref="Z780:AB780"/>
    <mergeCell ref="A782:AB783"/>
    <mergeCell ref="C787:W787"/>
    <mergeCell ref="E776:F776"/>
    <mergeCell ref="Z776:AB776"/>
    <mergeCell ref="E777:F777"/>
    <mergeCell ref="Z777:AB777"/>
    <mergeCell ref="E778:F778"/>
    <mergeCell ref="Z778:AB778"/>
    <mergeCell ref="E773:F773"/>
    <mergeCell ref="Z773:AB773"/>
    <mergeCell ref="E774:F774"/>
    <mergeCell ref="Z774:AB774"/>
    <mergeCell ref="E775:F775"/>
    <mergeCell ref="Z775:AB775"/>
    <mergeCell ref="E770:F770"/>
    <mergeCell ref="Z770:AB770"/>
    <mergeCell ref="E771:F771"/>
    <mergeCell ref="Z771:AB771"/>
    <mergeCell ref="E772:F772"/>
    <mergeCell ref="Z772:AB772"/>
    <mergeCell ref="E767:F767"/>
    <mergeCell ref="Z767:AB767"/>
    <mergeCell ref="E768:F768"/>
    <mergeCell ref="Z768:AB768"/>
    <mergeCell ref="E769:F769"/>
    <mergeCell ref="Z769:AB769"/>
    <mergeCell ref="E764:F764"/>
    <mergeCell ref="Z764:AB764"/>
    <mergeCell ref="E765:F765"/>
    <mergeCell ref="Z765:AB765"/>
    <mergeCell ref="E766:F766"/>
    <mergeCell ref="Z766:AB766"/>
    <mergeCell ref="E761:F761"/>
    <mergeCell ref="Z761:AB761"/>
    <mergeCell ref="E762:F762"/>
    <mergeCell ref="Z762:AB762"/>
    <mergeCell ref="E763:F763"/>
    <mergeCell ref="Z763:AB763"/>
    <mergeCell ref="E758:F758"/>
    <mergeCell ref="Z758:AB758"/>
    <mergeCell ref="E759:F759"/>
    <mergeCell ref="Z759:AB759"/>
    <mergeCell ref="E760:F760"/>
    <mergeCell ref="Z760:AB760"/>
    <mergeCell ref="D755:AB755"/>
    <mergeCell ref="A756:AB756"/>
    <mergeCell ref="E757:F757"/>
    <mergeCell ref="Z757:AB757"/>
    <mergeCell ref="J747:J754"/>
    <mergeCell ref="K747:K754"/>
    <mergeCell ref="N747:S747"/>
    <mergeCell ref="T747:Y747"/>
    <mergeCell ref="N748:S748"/>
    <mergeCell ref="T748:Y748"/>
    <mergeCell ref="N749:S749"/>
    <mergeCell ref="T749:Y749"/>
    <mergeCell ref="N750:S750"/>
    <mergeCell ref="T750:Y753"/>
    <mergeCell ref="M745:M754"/>
    <mergeCell ref="N745:Y745"/>
    <mergeCell ref="Z745:Z754"/>
    <mergeCell ref="AA745:AA754"/>
    <mergeCell ref="AB745:AB754"/>
    <mergeCell ref="H746:K746"/>
    <mergeCell ref="N746:S746"/>
    <mergeCell ref="T746:Y746"/>
    <mergeCell ref="H747:H754"/>
    <mergeCell ref="I747:I754"/>
    <mergeCell ref="D742:Y742"/>
    <mergeCell ref="C744:Y744"/>
    <mergeCell ref="A745:A754"/>
    <mergeCell ref="B745:B754"/>
    <mergeCell ref="C745:C754"/>
    <mergeCell ref="D745:D754"/>
    <mergeCell ref="E745:F754"/>
    <mergeCell ref="G745:G754"/>
    <mergeCell ref="H745:K745"/>
    <mergeCell ref="L745:L754"/>
    <mergeCell ref="N751:S751"/>
    <mergeCell ref="N752:S752"/>
    <mergeCell ref="N753:S753"/>
    <mergeCell ref="C736:S737"/>
    <mergeCell ref="T736:W737"/>
    <mergeCell ref="X736:Y737"/>
    <mergeCell ref="C738:S739"/>
    <mergeCell ref="T738:W739"/>
    <mergeCell ref="X738:Y739"/>
    <mergeCell ref="C732:S733"/>
    <mergeCell ref="T732:W733"/>
    <mergeCell ref="X732:Y733"/>
    <mergeCell ref="C734:S735"/>
    <mergeCell ref="T734:W735"/>
    <mergeCell ref="X734:Y735"/>
    <mergeCell ref="C725:Y725"/>
    <mergeCell ref="T726:W726"/>
    <mergeCell ref="X726:Y726"/>
    <mergeCell ref="C729:Y730"/>
    <mergeCell ref="C731:S731"/>
    <mergeCell ref="T731:Y731"/>
    <mergeCell ref="J717:K717"/>
    <mergeCell ref="T717:W717"/>
    <mergeCell ref="J718:K718"/>
    <mergeCell ref="C721:Y721"/>
    <mergeCell ref="J722:K722"/>
    <mergeCell ref="T722:W722"/>
    <mergeCell ref="J711:K711"/>
    <mergeCell ref="T711:W711"/>
    <mergeCell ref="C714:Y714"/>
    <mergeCell ref="J715:K715"/>
    <mergeCell ref="T715:W715"/>
    <mergeCell ref="J716:K716"/>
    <mergeCell ref="T716:W716"/>
    <mergeCell ref="C702:Y702"/>
    <mergeCell ref="J703:K703"/>
    <mergeCell ref="T703:W703"/>
    <mergeCell ref="D706:Y706"/>
    <mergeCell ref="C708:Y708"/>
    <mergeCell ref="C710:Y710"/>
    <mergeCell ref="C694:Y694"/>
    <mergeCell ref="J695:K695"/>
    <mergeCell ref="T695:W695"/>
    <mergeCell ref="C698:Y698"/>
    <mergeCell ref="T699:W699"/>
    <mergeCell ref="X699:Y699"/>
    <mergeCell ref="C685:Y685"/>
    <mergeCell ref="J686:K686"/>
    <mergeCell ref="T686:W686"/>
    <mergeCell ref="C689:Y690"/>
    <mergeCell ref="T691:W691"/>
    <mergeCell ref="X691:Y691"/>
    <mergeCell ref="C674:Y674"/>
    <mergeCell ref="C676:Y676"/>
    <mergeCell ref="J677:K677"/>
    <mergeCell ref="T677:W677"/>
    <mergeCell ref="C680:Y681"/>
    <mergeCell ref="J682:K682"/>
    <mergeCell ref="T682:W682"/>
    <mergeCell ref="J669:K669"/>
    <mergeCell ref="N669:P669"/>
    <mergeCell ref="Q669:R669"/>
    <mergeCell ref="T669:W669"/>
    <mergeCell ref="X669:Y669"/>
    <mergeCell ref="J670:K670"/>
    <mergeCell ref="N670:P670"/>
    <mergeCell ref="Q670:R670"/>
    <mergeCell ref="T670:W670"/>
    <mergeCell ref="X670:Y670"/>
    <mergeCell ref="C665:Y666"/>
    <mergeCell ref="J667:L667"/>
    <mergeCell ref="N667:R668"/>
    <mergeCell ref="T667:Y667"/>
    <mergeCell ref="J668:L668"/>
    <mergeCell ref="T668:Y668"/>
    <mergeCell ref="D658:Y658"/>
    <mergeCell ref="C660:Y660"/>
    <mergeCell ref="J661:K661"/>
    <mergeCell ref="T661:W661"/>
    <mergeCell ref="J662:K662"/>
    <mergeCell ref="T662:W662"/>
    <mergeCell ref="C653:Y653"/>
    <mergeCell ref="C654:S654"/>
    <mergeCell ref="T654:W654"/>
    <mergeCell ref="X654:Y654"/>
    <mergeCell ref="C655:S655"/>
    <mergeCell ref="T655:W655"/>
    <mergeCell ref="X655:Y655"/>
    <mergeCell ref="C650:Y650"/>
    <mergeCell ref="D651:S651"/>
    <mergeCell ref="T651:W651"/>
    <mergeCell ref="X651:Y651"/>
    <mergeCell ref="D652:S652"/>
    <mergeCell ref="T652:W652"/>
    <mergeCell ref="X652:Y652"/>
    <mergeCell ref="D648:S648"/>
    <mergeCell ref="T648:W648"/>
    <mergeCell ref="X648:Y648"/>
    <mergeCell ref="D649:S649"/>
    <mergeCell ref="T649:W649"/>
    <mergeCell ref="X649:Y649"/>
    <mergeCell ref="C641:S641"/>
    <mergeCell ref="T641:W641"/>
    <mergeCell ref="X641:Y641"/>
    <mergeCell ref="C644:Y645"/>
    <mergeCell ref="C646:S646"/>
    <mergeCell ref="C647:Y647"/>
    <mergeCell ref="C638:S638"/>
    <mergeCell ref="D639:S639"/>
    <mergeCell ref="T639:W639"/>
    <mergeCell ref="X639:Y639"/>
    <mergeCell ref="D640:S640"/>
    <mergeCell ref="T640:W640"/>
    <mergeCell ref="X640:Y640"/>
    <mergeCell ref="C631:S631"/>
    <mergeCell ref="T631:W631"/>
    <mergeCell ref="X631:Y631"/>
    <mergeCell ref="C634:Y635"/>
    <mergeCell ref="C636:S636"/>
    <mergeCell ref="C637:S637"/>
    <mergeCell ref="T637:W637"/>
    <mergeCell ref="X637:Y637"/>
    <mergeCell ref="C629:S629"/>
    <mergeCell ref="T629:W629"/>
    <mergeCell ref="X629:Y629"/>
    <mergeCell ref="C630:S630"/>
    <mergeCell ref="T630:W630"/>
    <mergeCell ref="X630:Y630"/>
    <mergeCell ref="D627:S627"/>
    <mergeCell ref="T627:W627"/>
    <mergeCell ref="X627:Y627"/>
    <mergeCell ref="D628:S628"/>
    <mergeCell ref="T628:W628"/>
    <mergeCell ref="X628:Y628"/>
    <mergeCell ref="D624:S624"/>
    <mergeCell ref="T624:W624"/>
    <mergeCell ref="X624:Y624"/>
    <mergeCell ref="C625:Y625"/>
    <mergeCell ref="D626:S626"/>
    <mergeCell ref="T626:W626"/>
    <mergeCell ref="X626:Y626"/>
    <mergeCell ref="C621:Y621"/>
    <mergeCell ref="D622:S622"/>
    <mergeCell ref="T622:W622"/>
    <mergeCell ref="X622:Y622"/>
    <mergeCell ref="D623:S623"/>
    <mergeCell ref="T623:W623"/>
    <mergeCell ref="X623:Y623"/>
    <mergeCell ref="D615:Y615"/>
    <mergeCell ref="C617:Y617"/>
    <mergeCell ref="C618:S618"/>
    <mergeCell ref="C619:S620"/>
    <mergeCell ref="T619:W620"/>
    <mergeCell ref="X619:Y620"/>
    <mergeCell ref="F611:H611"/>
    <mergeCell ref="I611:K611"/>
    <mergeCell ref="L611:N611"/>
    <mergeCell ref="O611:T611"/>
    <mergeCell ref="F612:H612"/>
    <mergeCell ref="I612:K612"/>
    <mergeCell ref="L612:N612"/>
    <mergeCell ref="O612:T612"/>
    <mergeCell ref="F609:H609"/>
    <mergeCell ref="I609:K609"/>
    <mergeCell ref="L609:N609"/>
    <mergeCell ref="O609:T609"/>
    <mergeCell ref="F610:H610"/>
    <mergeCell ref="I610:K610"/>
    <mergeCell ref="L610:N610"/>
    <mergeCell ref="O610:T610"/>
    <mergeCell ref="G599:S600"/>
    <mergeCell ref="T600:W600"/>
    <mergeCell ref="X600:Y600"/>
    <mergeCell ref="D603:Y603"/>
    <mergeCell ref="J605:K605"/>
    <mergeCell ref="F608:H608"/>
    <mergeCell ref="I608:K608"/>
    <mergeCell ref="L608:N608"/>
    <mergeCell ref="O608:T608"/>
    <mergeCell ref="C586:Y587"/>
    <mergeCell ref="C588:Y589"/>
    <mergeCell ref="C592:Y593"/>
    <mergeCell ref="J594:K594"/>
    <mergeCell ref="T594:W594"/>
    <mergeCell ref="C597:Y598"/>
    <mergeCell ref="C568:Y569"/>
    <mergeCell ref="D572:Y572"/>
    <mergeCell ref="C574:Y575"/>
    <mergeCell ref="C576:Y577"/>
    <mergeCell ref="C580:Y581"/>
    <mergeCell ref="C582:Y583"/>
    <mergeCell ref="C559:Y560"/>
    <mergeCell ref="C561:Y561"/>
    <mergeCell ref="C562:Y563"/>
    <mergeCell ref="C564:Y564"/>
    <mergeCell ref="C565:Y566"/>
    <mergeCell ref="C567:Y567"/>
    <mergeCell ref="C545:Y545"/>
    <mergeCell ref="C546:Y547"/>
    <mergeCell ref="C550:Y551"/>
    <mergeCell ref="C552:Y553"/>
    <mergeCell ref="C556:Y557"/>
    <mergeCell ref="C558:Y558"/>
    <mergeCell ref="C536:Y536"/>
    <mergeCell ref="C537:Y538"/>
    <mergeCell ref="C539:Y539"/>
    <mergeCell ref="C540:Y541"/>
    <mergeCell ref="C542:Y542"/>
    <mergeCell ref="C543:Y544"/>
    <mergeCell ref="C525:Y525"/>
    <mergeCell ref="C526:Y526"/>
    <mergeCell ref="D529:Y529"/>
    <mergeCell ref="C531:Y532"/>
    <mergeCell ref="C533:Y533"/>
    <mergeCell ref="C534:Y535"/>
    <mergeCell ref="C513:Y513"/>
    <mergeCell ref="C514:Y514"/>
    <mergeCell ref="D517:Y517"/>
    <mergeCell ref="C518:Y519"/>
    <mergeCell ref="C521:Y521"/>
    <mergeCell ref="J522:K522"/>
    <mergeCell ref="T522:W522"/>
    <mergeCell ref="T504:W504"/>
    <mergeCell ref="X504:Y504"/>
    <mergeCell ref="C507:Y507"/>
    <mergeCell ref="J508:K508"/>
    <mergeCell ref="T508:W508"/>
    <mergeCell ref="D511:Y511"/>
    <mergeCell ref="C495:Y495"/>
    <mergeCell ref="C497:Y497"/>
    <mergeCell ref="T498:W498"/>
    <mergeCell ref="X498:Y498"/>
    <mergeCell ref="C501:Y502"/>
    <mergeCell ref="T503:W503"/>
    <mergeCell ref="X503:Y503"/>
    <mergeCell ref="C484:Y485"/>
    <mergeCell ref="C486:Y487"/>
    <mergeCell ref="C490:Y490"/>
    <mergeCell ref="T491:W491"/>
    <mergeCell ref="X491:Y491"/>
    <mergeCell ref="D494:Y494"/>
    <mergeCell ref="C479:E479"/>
    <mergeCell ref="F479:S479"/>
    <mergeCell ref="T479:W479"/>
    <mergeCell ref="X479:Y479"/>
    <mergeCell ref="C480:S480"/>
    <mergeCell ref="T480:W480"/>
    <mergeCell ref="X480:Y480"/>
    <mergeCell ref="C477:E477"/>
    <mergeCell ref="F477:S477"/>
    <mergeCell ref="T477:W477"/>
    <mergeCell ref="X477:Y477"/>
    <mergeCell ref="C478:E478"/>
    <mergeCell ref="F478:S478"/>
    <mergeCell ref="T478:W478"/>
    <mergeCell ref="X478:Y478"/>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59:Y460"/>
    <mergeCell ref="C462:E462"/>
    <mergeCell ref="F462:S462"/>
    <mergeCell ref="T462:Y462"/>
    <mergeCell ref="C463:Y463"/>
    <mergeCell ref="C464:E464"/>
    <mergeCell ref="F464:S464"/>
    <mergeCell ref="T464:W464"/>
    <mergeCell ref="X464:Y464"/>
    <mergeCell ref="B461:AA461"/>
    <mergeCell ref="D452:Y452"/>
    <mergeCell ref="C453:Y454"/>
    <mergeCell ref="J456:K456"/>
    <mergeCell ref="T456:W456"/>
    <mergeCell ref="J457:K457"/>
    <mergeCell ref="T457:W457"/>
    <mergeCell ref="C443:Y443"/>
    <mergeCell ref="J444:K444"/>
    <mergeCell ref="T444:W444"/>
    <mergeCell ref="C447:Y448"/>
    <mergeCell ref="J449:K449"/>
    <mergeCell ref="T449:W449"/>
    <mergeCell ref="B455:AA455"/>
    <mergeCell ref="J429:K429"/>
    <mergeCell ref="T429:W429"/>
    <mergeCell ref="C432:Y434"/>
    <mergeCell ref="C435:Y436"/>
    <mergeCell ref="C439:Y439"/>
    <mergeCell ref="J440:K440"/>
    <mergeCell ref="T440:W440"/>
    <mergeCell ref="C416:Y418"/>
    <mergeCell ref="C419:Y420"/>
    <mergeCell ref="C423:Y423"/>
    <mergeCell ref="T424:W424"/>
    <mergeCell ref="X424:Y424"/>
    <mergeCell ref="C427:Y428"/>
    <mergeCell ref="C407:Y407"/>
    <mergeCell ref="T408:W408"/>
    <mergeCell ref="X408:Y408"/>
    <mergeCell ref="C411:Y412"/>
    <mergeCell ref="J413:K413"/>
    <mergeCell ref="T413:W413"/>
    <mergeCell ref="T398:W398"/>
    <mergeCell ref="X398:Y398"/>
    <mergeCell ref="T399:W399"/>
    <mergeCell ref="X399:Y399"/>
    <mergeCell ref="C402:Y403"/>
    <mergeCell ref="J404:K404"/>
    <mergeCell ref="T404:W404"/>
    <mergeCell ref="C390:Y392"/>
    <mergeCell ref="T393:W393"/>
    <mergeCell ref="X393:Y393"/>
    <mergeCell ref="T394:W394"/>
    <mergeCell ref="X394:Y394"/>
    <mergeCell ref="C397:Y397"/>
    <mergeCell ref="C380:Y381"/>
    <mergeCell ref="T382:W382"/>
    <mergeCell ref="X382:Y382"/>
    <mergeCell ref="C385:Y386"/>
    <mergeCell ref="T387:W387"/>
    <mergeCell ref="X387:Y387"/>
    <mergeCell ref="D371:S371"/>
    <mergeCell ref="T371:W371"/>
    <mergeCell ref="X371:Y371"/>
    <mergeCell ref="C375:Y375"/>
    <mergeCell ref="C376:G377"/>
    <mergeCell ref="J376:K376"/>
    <mergeCell ref="T376:W376"/>
    <mergeCell ref="J377:K377"/>
    <mergeCell ref="E369:S369"/>
    <mergeCell ref="T369:W369"/>
    <mergeCell ref="X369:Y369"/>
    <mergeCell ref="E370:S370"/>
    <mergeCell ref="T370:W370"/>
    <mergeCell ref="X370:Y370"/>
    <mergeCell ref="E367:S367"/>
    <mergeCell ref="T367:W367"/>
    <mergeCell ref="X367:Y367"/>
    <mergeCell ref="E368:S368"/>
    <mergeCell ref="T368:W368"/>
    <mergeCell ref="X368:Y368"/>
    <mergeCell ref="E365:S365"/>
    <mergeCell ref="T365:W365"/>
    <mergeCell ref="X365:Y365"/>
    <mergeCell ref="E366:S366"/>
    <mergeCell ref="T366:W366"/>
    <mergeCell ref="X366:Y366"/>
    <mergeCell ref="E363:S363"/>
    <mergeCell ref="T363:W363"/>
    <mergeCell ref="X363:Y363"/>
    <mergeCell ref="E364:S364"/>
    <mergeCell ref="T364:W364"/>
    <mergeCell ref="X364:Y364"/>
    <mergeCell ref="E361:S361"/>
    <mergeCell ref="T361:W361"/>
    <mergeCell ref="X361:Y361"/>
    <mergeCell ref="E362:S362"/>
    <mergeCell ref="T362:W362"/>
    <mergeCell ref="X362:Y362"/>
    <mergeCell ref="G352:H352"/>
    <mergeCell ref="C355:Y355"/>
    <mergeCell ref="T356:W356"/>
    <mergeCell ref="X356:Y356"/>
    <mergeCell ref="C359:Y359"/>
    <mergeCell ref="C360:S360"/>
    <mergeCell ref="T360:Y360"/>
    <mergeCell ref="T296:W296"/>
    <mergeCell ref="X296:Y296"/>
    <mergeCell ref="D300:Y300"/>
    <mergeCell ref="C302:Y302"/>
    <mergeCell ref="C303:Y304"/>
    <mergeCell ref="C305:Y351"/>
    <mergeCell ref="C242:Y287"/>
    <mergeCell ref="G288:H288"/>
    <mergeCell ref="C291:Y291"/>
    <mergeCell ref="T292:W292"/>
    <mergeCell ref="X292:Y292"/>
    <mergeCell ref="C295:Y295"/>
    <mergeCell ref="C233:Y233"/>
    <mergeCell ref="T234:W234"/>
    <mergeCell ref="X234:Y234"/>
    <mergeCell ref="D237:Y237"/>
    <mergeCell ref="C239:Y239"/>
    <mergeCell ref="C240:Y241"/>
    <mergeCell ref="C225:Y225"/>
    <mergeCell ref="J226:K226"/>
    <mergeCell ref="T226:W226"/>
    <mergeCell ref="C229:Y229"/>
    <mergeCell ref="T230:W230"/>
    <mergeCell ref="X230:Y230"/>
    <mergeCell ref="C216:Y216"/>
    <mergeCell ref="T217:W217"/>
    <mergeCell ref="C220:Y220"/>
    <mergeCell ref="T221:W221"/>
    <mergeCell ref="X221:Y221"/>
    <mergeCell ref="T222:W222"/>
    <mergeCell ref="X222:Y222"/>
    <mergeCell ref="J197:K197"/>
    <mergeCell ref="C198:Y200"/>
    <mergeCell ref="C203:Y204"/>
    <mergeCell ref="C205:Y207"/>
    <mergeCell ref="C210:Y210"/>
    <mergeCell ref="T213:W213"/>
    <mergeCell ref="X213:Y213"/>
    <mergeCell ref="C194:G196"/>
    <mergeCell ref="J194:K194"/>
    <mergeCell ref="T194:W194"/>
    <mergeCell ref="J195:K195"/>
    <mergeCell ref="T195:W195"/>
    <mergeCell ref="J196:K196"/>
    <mergeCell ref="G197:I197"/>
    <mergeCell ref="B211:Z212"/>
    <mergeCell ref="T139:W139"/>
    <mergeCell ref="X139:Y139"/>
    <mergeCell ref="C142:Y142"/>
    <mergeCell ref="C143:Y144"/>
    <mergeCell ref="C145:Y190"/>
    <mergeCell ref="C193:Y193"/>
    <mergeCell ref="C126:Y127"/>
    <mergeCell ref="C128:Y128"/>
    <mergeCell ref="C131:Y131"/>
    <mergeCell ref="T132:W132"/>
    <mergeCell ref="D135:Y135"/>
    <mergeCell ref="C137:Y138"/>
    <mergeCell ref="C120:Y120"/>
    <mergeCell ref="J121:K121"/>
    <mergeCell ref="T121:W121"/>
    <mergeCell ref="J122:K122"/>
    <mergeCell ref="T122:W122"/>
    <mergeCell ref="J123:K123"/>
    <mergeCell ref="C110:Y110"/>
    <mergeCell ref="T111:W111"/>
    <mergeCell ref="T112:W112"/>
    <mergeCell ref="T113:W113"/>
    <mergeCell ref="C116:Y116"/>
    <mergeCell ref="G117:Y117"/>
    <mergeCell ref="C53:Y53"/>
    <mergeCell ref="C54:Y102"/>
    <mergeCell ref="G103:H103"/>
    <mergeCell ref="T107:W107"/>
    <mergeCell ref="X107:Y107"/>
    <mergeCell ref="C34:Y34"/>
    <mergeCell ref="C35:Y38"/>
    <mergeCell ref="D41:Y41"/>
    <mergeCell ref="C44:Y44"/>
    <mergeCell ref="C47:Y47"/>
    <mergeCell ref="C50:Y50"/>
    <mergeCell ref="C105:Y105"/>
    <mergeCell ref="B106:AA106"/>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B1:Z3"/>
    <mergeCell ref="B4:Z14"/>
    <mergeCell ref="C17:Y20"/>
    <mergeCell ref="D23:Y23"/>
    <mergeCell ref="K26:L26"/>
    <mergeCell ref="F28:H28"/>
    <mergeCell ref="I28:K28"/>
    <mergeCell ref="L28:N28"/>
    <mergeCell ref="O28:T28"/>
  </mergeCells>
  <conditionalFormatting sqref="B198">
    <cfRule type="expression" dxfId="0"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60" fitToHeight="0" pageOrder="overThenDown" orientation="portrait" r:id="rId1"/>
  <headerFooter>
    <oddHeader>&amp;C&amp;A</oddHeader>
    <oddFooter>&amp;CPage &amp;P</oddFooter>
  </headerFooter>
  <rowBreaks count="18" manualBreakCount="18">
    <brk id="52" max="28" man="1"/>
    <brk id="104" max="27" man="1"/>
    <brk id="141" max="28" man="1"/>
    <brk id="192" max="27" man="1"/>
    <brk id="236" max="28" man="1"/>
    <brk id="299" max="27" man="1"/>
    <brk id="358" max="27" man="1"/>
    <brk id="374" max="27" man="1"/>
    <brk id="431" max="27" man="1"/>
    <brk id="493" max="27" man="1"/>
    <brk id="528" max="27" man="1"/>
    <brk id="602" max="27" man="1"/>
    <brk id="657" max="27" man="1"/>
    <brk id="705" max="27" man="1"/>
    <brk id="741" max="16383" man="1"/>
    <brk id="785" max="27" man="1"/>
    <brk id="799" max="27" man="1"/>
    <brk id="824" max="2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499984740745262"/>
  </sheetPr>
  <dimension ref="A1:AE326"/>
  <sheetViews>
    <sheetView showGridLines="0" showRowColHeaders="0" view="pageBreakPreview" zoomScale="55" zoomScaleNormal="100" zoomScaleSheetLayoutView="55" workbookViewId="0">
      <selection activeCell="B2" sqref="B2:AD5"/>
    </sheetView>
  </sheetViews>
  <sheetFormatPr baseColWidth="10" defaultColWidth="5.875" defaultRowHeight="12" customHeight="1" x14ac:dyDescent="0.2"/>
  <cols>
    <col min="1" max="1" width="2.75" style="2" customWidth="1"/>
    <col min="2" max="6" width="5.875" style="2"/>
    <col min="7" max="7" width="5.875" style="2" customWidth="1"/>
    <col min="8" max="9" width="5.875" style="2"/>
    <col min="10" max="10" width="5.875" style="2" customWidth="1"/>
    <col min="11" max="28" width="5.875" style="2"/>
    <col min="29" max="29" width="6.375" style="2" bestFit="1" customWidth="1"/>
    <col min="30" max="16384" width="5.875" style="2"/>
  </cols>
  <sheetData>
    <row r="1" spans="1:31" ht="12" customHeight="1" thickBot="1"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row>
    <row r="2" spans="1:31" ht="12" customHeight="1" x14ac:dyDescent="0.2">
      <c r="A2" s="34"/>
      <c r="B2" s="868" t="s">
        <v>567</v>
      </c>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70"/>
      <c r="AE2" s="34"/>
    </row>
    <row r="3" spans="1:31" ht="12" customHeight="1" x14ac:dyDescent="0.2">
      <c r="A3" s="34"/>
      <c r="B3" s="871"/>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3"/>
      <c r="AE3" s="34"/>
    </row>
    <row r="4" spans="1:31" ht="12" customHeight="1" x14ac:dyDescent="0.2">
      <c r="A4" s="34"/>
      <c r="B4" s="871"/>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3"/>
      <c r="AE4" s="34"/>
    </row>
    <row r="5" spans="1:31" ht="12" customHeight="1" thickBot="1" x14ac:dyDescent="0.25">
      <c r="A5" s="34"/>
      <c r="B5" s="874"/>
      <c r="C5" s="875"/>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6"/>
      <c r="AE5" s="34"/>
    </row>
    <row r="6" spans="1:31" ht="12" customHeight="1" x14ac:dyDescent="0.2">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row>
    <row r="7" spans="1:31" ht="12" customHeight="1" x14ac:dyDescent="0.2">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row>
    <row r="8" spans="1:31" ht="12" customHeight="1" x14ac:dyDescent="0.2">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row>
    <row r="9" spans="1:31" ht="12" customHeight="1" x14ac:dyDescent="0.2">
      <c r="A9" s="34"/>
      <c r="B9" s="917" t="s">
        <v>568</v>
      </c>
      <c r="C9" s="917"/>
      <c r="D9" s="917"/>
      <c r="E9" s="917"/>
      <c r="F9" s="917"/>
      <c r="G9" s="917"/>
      <c r="H9" s="917"/>
      <c r="I9" s="917"/>
      <c r="J9" s="917"/>
      <c r="K9" s="917"/>
      <c r="L9" s="917"/>
      <c r="M9" s="917"/>
      <c r="N9" s="917"/>
      <c r="O9" s="917"/>
      <c r="P9" s="952"/>
      <c r="Q9" s="897"/>
      <c r="R9" s="915" t="s">
        <v>530</v>
      </c>
      <c r="S9" s="916"/>
      <c r="T9" s="916"/>
      <c r="U9" s="916"/>
      <c r="V9" s="916"/>
      <c r="W9" s="916"/>
      <c r="X9" s="916"/>
      <c r="Y9" s="916"/>
      <c r="Z9" s="916"/>
      <c r="AA9" s="916"/>
      <c r="AB9" s="916"/>
      <c r="AC9" s="916"/>
      <c r="AD9" s="916"/>
      <c r="AE9" s="34"/>
    </row>
    <row r="10" spans="1:31" ht="12" customHeight="1" x14ac:dyDescent="0.2">
      <c r="A10" s="34"/>
      <c r="B10" s="917"/>
      <c r="C10" s="917"/>
      <c r="D10" s="917"/>
      <c r="E10" s="917"/>
      <c r="F10" s="917"/>
      <c r="G10" s="917"/>
      <c r="H10" s="917"/>
      <c r="I10" s="917"/>
      <c r="J10" s="917"/>
      <c r="K10" s="917"/>
      <c r="L10" s="917"/>
      <c r="M10" s="917"/>
      <c r="N10" s="917"/>
      <c r="O10" s="917"/>
      <c r="P10" s="952"/>
      <c r="Q10" s="897"/>
      <c r="R10" s="915"/>
      <c r="S10" s="916"/>
      <c r="T10" s="916"/>
      <c r="U10" s="916"/>
      <c r="V10" s="916"/>
      <c r="W10" s="916"/>
      <c r="X10" s="916"/>
      <c r="Y10" s="916"/>
      <c r="Z10" s="916"/>
      <c r="AA10" s="916"/>
      <c r="AB10" s="916"/>
      <c r="AC10" s="916"/>
      <c r="AD10" s="916"/>
      <c r="AE10" s="34"/>
    </row>
    <row r="11" spans="1:31" ht="12" customHeight="1" x14ac:dyDescent="0.2">
      <c r="A11" s="34"/>
      <c r="B11" s="36"/>
      <c r="C11" s="36"/>
      <c r="D11" s="36"/>
      <c r="E11" s="36"/>
      <c r="F11" s="36"/>
      <c r="G11" s="36"/>
      <c r="H11" s="36"/>
      <c r="I11" s="36"/>
      <c r="J11" s="36"/>
      <c r="K11" s="34"/>
      <c r="L11" s="34"/>
      <c r="M11" s="34"/>
      <c r="N11" s="34"/>
      <c r="O11" s="34"/>
      <c r="P11" s="34"/>
      <c r="Q11" s="897"/>
      <c r="R11" s="915" t="s">
        <v>566</v>
      </c>
      <c r="S11" s="916"/>
      <c r="T11" s="916"/>
      <c r="U11" s="916"/>
      <c r="V11" s="916"/>
      <c r="W11" s="916"/>
      <c r="X11" s="916"/>
      <c r="Y11" s="916"/>
      <c r="Z11" s="916"/>
      <c r="AA11" s="916"/>
      <c r="AB11" s="916"/>
      <c r="AC11" s="916"/>
      <c r="AD11" s="916"/>
      <c r="AE11" s="34"/>
    </row>
    <row r="12" spans="1:31" ht="12" customHeight="1" x14ac:dyDescent="0.2">
      <c r="A12" s="34"/>
      <c r="B12" s="36"/>
      <c r="C12" s="36"/>
      <c r="D12" s="36"/>
      <c r="E12" s="36"/>
      <c r="F12" s="36"/>
      <c r="G12" s="36"/>
      <c r="H12" s="36"/>
      <c r="I12" s="36"/>
      <c r="J12" s="36"/>
      <c r="K12" s="34"/>
      <c r="L12" s="34"/>
      <c r="M12" s="34"/>
      <c r="N12" s="34"/>
      <c r="O12" s="34"/>
      <c r="P12" s="34"/>
      <c r="Q12" s="897"/>
      <c r="R12" s="915"/>
      <c r="S12" s="916"/>
      <c r="T12" s="916"/>
      <c r="U12" s="916"/>
      <c r="V12" s="916"/>
      <c r="W12" s="916"/>
      <c r="X12" s="916"/>
      <c r="Y12" s="916"/>
      <c r="Z12" s="916"/>
      <c r="AA12" s="916"/>
      <c r="AB12" s="916"/>
      <c r="AC12" s="916"/>
      <c r="AD12" s="916"/>
      <c r="AE12" s="34"/>
    </row>
    <row r="13" spans="1:31" ht="12" customHeight="1"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row>
    <row r="14" spans="1:31" ht="12" customHeight="1"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row>
    <row r="15" spans="1:31" ht="12" customHeight="1" thickBot="1"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row>
    <row r="16" spans="1:31" ht="12" customHeight="1" x14ac:dyDescent="0.2">
      <c r="A16" s="34"/>
      <c r="B16" s="34"/>
      <c r="C16" s="34"/>
      <c r="D16" s="34"/>
      <c r="E16" s="34"/>
      <c r="F16" s="34"/>
      <c r="G16" s="34"/>
      <c r="H16" s="906" t="str">
        <f>IF('Eval-Avant impact'!$T$107="","",CONCATENATE("SITE AVANT IMPACT ",'Eval-Avant impact'!$C$50," - ",'Eval-Avant impact'!$C$47," - ",'Eval-Avant impact'!$T$107," ha (",'Eval-Avant impact'!$C$44,")"))</f>
        <v/>
      </c>
      <c r="I16" s="907"/>
      <c r="J16" s="907"/>
      <c r="K16" s="907"/>
      <c r="L16" s="907"/>
      <c r="M16" s="907"/>
      <c r="N16" s="907"/>
      <c r="O16" s="907"/>
      <c r="P16" s="907"/>
      <c r="Q16" s="908"/>
      <c r="R16" s="34"/>
      <c r="S16" s="34"/>
      <c r="T16" s="906" t="str">
        <f>IF($Q$9="X",CONCATENATE("SITE AVEC ACTION ECOLOGIQUE ENVISAGEE ",'Eval-Avec act. écol. envisagée'!$C$50," - ",'Eval-Avec act. écol. envisagée'!$C$47," - ",'Eval-Avec act. écol. envisagée'!$T$107," ha (",'Eval-Avec act. écol. envisagée'!$C$44,")"),IF($Q$11="X",CONCATENATE("SITE APRES ACTION ECOLOGIQUE ",'Eval-Après action écologique'!$C$50," - ",'Eval-Après action écologique'!$C$47," - ",'Eval-Après action écologique'!$T$107," ha (",'Eval-Après action écologique'!$C$44,")"),""))</f>
        <v/>
      </c>
      <c r="U16" s="907"/>
      <c r="V16" s="907"/>
      <c r="W16" s="907"/>
      <c r="X16" s="907"/>
      <c r="Y16" s="907"/>
      <c r="Z16" s="907"/>
      <c r="AA16" s="907"/>
      <c r="AB16" s="907"/>
      <c r="AC16" s="908"/>
      <c r="AD16" s="34"/>
      <c r="AE16" s="34"/>
    </row>
    <row r="17" spans="1:31" ht="12" customHeight="1" x14ac:dyDescent="0.2">
      <c r="A17" s="34"/>
      <c r="B17" s="34"/>
      <c r="C17" s="34"/>
      <c r="D17" s="34"/>
      <c r="E17" s="34"/>
      <c r="F17" s="34"/>
      <c r="G17" s="34"/>
      <c r="H17" s="909"/>
      <c r="I17" s="910"/>
      <c r="J17" s="910"/>
      <c r="K17" s="910"/>
      <c r="L17" s="910"/>
      <c r="M17" s="910"/>
      <c r="N17" s="910"/>
      <c r="O17" s="910"/>
      <c r="P17" s="910"/>
      <c r="Q17" s="911"/>
      <c r="R17" s="34"/>
      <c r="S17" s="34"/>
      <c r="T17" s="909"/>
      <c r="U17" s="910"/>
      <c r="V17" s="910"/>
      <c r="W17" s="910"/>
      <c r="X17" s="910"/>
      <c r="Y17" s="910"/>
      <c r="Z17" s="910"/>
      <c r="AA17" s="910"/>
      <c r="AB17" s="910"/>
      <c r="AC17" s="911"/>
      <c r="AD17" s="34"/>
      <c r="AE17" s="34"/>
    </row>
    <row r="18" spans="1:31" ht="12" customHeight="1" thickBot="1" x14ac:dyDescent="0.25">
      <c r="A18" s="34"/>
      <c r="B18" s="34"/>
      <c r="C18" s="34"/>
      <c r="D18" s="34"/>
      <c r="E18" s="34"/>
      <c r="F18" s="34"/>
      <c r="G18" s="34"/>
      <c r="H18" s="912"/>
      <c r="I18" s="913"/>
      <c r="J18" s="913"/>
      <c r="K18" s="913"/>
      <c r="L18" s="913"/>
      <c r="M18" s="913"/>
      <c r="N18" s="913"/>
      <c r="O18" s="913"/>
      <c r="P18" s="913"/>
      <c r="Q18" s="914"/>
      <c r="R18" s="34"/>
      <c r="S18" s="34"/>
      <c r="T18" s="912"/>
      <c r="U18" s="913"/>
      <c r="V18" s="913"/>
      <c r="W18" s="913"/>
      <c r="X18" s="913"/>
      <c r="Y18" s="913"/>
      <c r="Z18" s="913"/>
      <c r="AA18" s="913"/>
      <c r="AB18" s="913"/>
      <c r="AC18" s="914"/>
      <c r="AD18" s="34"/>
      <c r="AE18" s="34"/>
    </row>
    <row r="19" spans="1:31" ht="12"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row>
    <row r="20" spans="1:31" ht="12" customHeight="1" x14ac:dyDescent="0.2">
      <c r="A20" s="34"/>
      <c r="B20" s="34"/>
      <c r="C20" s="954" t="s">
        <v>438</v>
      </c>
      <c r="D20" s="954"/>
      <c r="E20" s="954"/>
      <c r="F20" s="954"/>
      <c r="G20" s="954"/>
      <c r="H20" s="34"/>
      <c r="I20" s="34"/>
      <c r="J20" s="34"/>
      <c r="K20" s="956" t="str">
        <f>IF('Eval-Avant impact'!$T$107="","",'Eval-Avant impact'!$K$26)</f>
        <v/>
      </c>
      <c r="L20" s="956"/>
      <c r="M20" s="956"/>
      <c r="N20" s="956"/>
      <c r="O20" s="34"/>
      <c r="P20" s="34"/>
      <c r="Q20" s="34"/>
      <c r="R20" s="34"/>
      <c r="S20" s="34"/>
      <c r="T20" s="34"/>
      <c r="U20" s="34"/>
      <c r="V20" s="34"/>
      <c r="W20" s="956" t="str">
        <f>IF($Q$9="X",'Eval-Avec act. écol. envisagée'!$K$26,IF($Q$11="X",'Eval-Après action écologique'!$K$26,""))</f>
        <v/>
      </c>
      <c r="X20" s="956"/>
      <c r="Y20" s="956"/>
      <c r="Z20" s="956"/>
      <c r="AA20" s="34"/>
      <c r="AB20" s="34"/>
      <c r="AC20" s="34"/>
      <c r="AD20" s="34"/>
      <c r="AE20" s="34"/>
    </row>
    <row r="21" spans="1:31" ht="12" customHeight="1" x14ac:dyDescent="0.2">
      <c r="A21" s="34"/>
      <c r="B21" s="34"/>
      <c r="C21" s="954" t="s">
        <v>434</v>
      </c>
      <c r="D21" s="955"/>
      <c r="E21" s="955"/>
      <c r="F21" s="955"/>
      <c r="G21" s="955"/>
      <c r="H21" s="34"/>
      <c r="I21" s="34"/>
      <c r="J21" s="34"/>
      <c r="K21" s="956" t="str">
        <f>IF('Eval-Avant impact'!$T$107="","",'Eval-Avant impact'!$J$605)</f>
        <v/>
      </c>
      <c r="L21" s="956"/>
      <c r="M21" s="956"/>
      <c r="N21" s="956"/>
      <c r="O21" s="34"/>
      <c r="P21" s="34"/>
      <c r="Q21" s="34"/>
      <c r="R21" s="34"/>
      <c r="S21" s="34"/>
      <c r="T21" s="34"/>
      <c r="U21" s="34"/>
      <c r="V21" s="34"/>
      <c r="W21" s="956" t="str">
        <f>IF($Q$9="X",'Eval-Avec act. écol. envisagée'!$J$605,IF($Q$11="X",'Eval-Après action écologique'!$J$605,""))</f>
        <v/>
      </c>
      <c r="X21" s="956"/>
      <c r="Y21" s="956"/>
      <c r="Z21" s="956"/>
      <c r="AA21" s="34"/>
      <c r="AB21" s="34"/>
      <c r="AC21" s="34"/>
      <c r="AD21" s="34"/>
      <c r="AE21" s="34"/>
    </row>
    <row r="22" spans="1:31" ht="12" customHeight="1" x14ac:dyDescent="0.2">
      <c r="A22" s="34"/>
      <c r="B22" s="34"/>
      <c r="C22" s="34"/>
      <c r="D22" s="34"/>
      <c r="E22" s="34"/>
      <c r="F22" s="34"/>
      <c r="G22" s="34"/>
      <c r="H22" s="34"/>
      <c r="I22" s="34"/>
      <c r="J22" s="34"/>
      <c r="K22" s="34"/>
      <c r="L22" s="34"/>
      <c r="M22" s="34"/>
      <c r="N22" s="34"/>
      <c r="O22" s="34"/>
      <c r="P22" s="34"/>
      <c r="Q22" s="34"/>
      <c r="R22" s="953" t="s">
        <v>348</v>
      </c>
      <c r="S22" s="953"/>
      <c r="T22" s="34"/>
      <c r="U22" s="34"/>
      <c r="V22" s="34"/>
      <c r="W22" s="34"/>
      <c r="X22" s="34"/>
      <c r="Y22" s="34"/>
      <c r="Z22" s="34"/>
      <c r="AA22" s="34"/>
      <c r="AB22" s="34"/>
      <c r="AC22" s="34"/>
      <c r="AD22" s="34"/>
      <c r="AE22" s="34"/>
    </row>
    <row r="23" spans="1:31" ht="12" customHeight="1" x14ac:dyDescent="0.2">
      <c r="A23" s="34"/>
      <c r="B23" s="34"/>
      <c r="C23" s="34"/>
      <c r="D23" s="34"/>
      <c r="E23" s="34"/>
      <c r="F23" s="34"/>
      <c r="G23" s="44"/>
      <c r="H23" s="44"/>
      <c r="I23" s="44"/>
      <c r="J23" s="44"/>
      <c r="K23" s="34"/>
      <c r="L23" s="34"/>
      <c r="M23" s="34"/>
      <c r="N23" s="34"/>
      <c r="O23" s="34"/>
      <c r="P23" s="34"/>
      <c r="Q23" s="34"/>
      <c r="R23" s="953"/>
      <c r="S23" s="953"/>
      <c r="T23" s="94"/>
      <c r="U23" s="34"/>
      <c r="V23" s="34"/>
      <c r="W23" s="34"/>
      <c r="X23" s="34"/>
      <c r="Y23" s="34"/>
      <c r="Z23" s="34"/>
      <c r="AA23" s="34"/>
      <c r="AB23" s="34"/>
      <c r="AC23" s="34"/>
      <c r="AD23" s="34"/>
      <c r="AE23" s="34"/>
    </row>
    <row r="24" spans="1:31" ht="12" customHeight="1" thickBot="1" x14ac:dyDescent="0.25">
      <c r="A24" s="34"/>
      <c r="B24" s="34"/>
      <c r="C24" s="34"/>
      <c r="D24" s="34"/>
      <c r="E24" s="34"/>
      <c r="F24" s="34"/>
      <c r="G24" s="922"/>
      <c r="H24" s="922"/>
      <c r="I24" s="922"/>
      <c r="J24" s="922"/>
      <c r="K24" s="922"/>
      <c r="L24" s="922"/>
      <c r="M24" s="34"/>
      <c r="N24" s="34"/>
      <c r="O24" s="34"/>
      <c r="P24" s="34"/>
      <c r="Q24" s="95"/>
      <c r="R24" s="948"/>
      <c r="S24" s="948"/>
      <c r="T24" s="95"/>
      <c r="U24" s="34"/>
      <c r="V24" s="34"/>
      <c r="W24" s="34"/>
      <c r="X24" s="34"/>
      <c r="Y24" s="944"/>
      <c r="Z24" s="944"/>
      <c r="AA24" s="96"/>
      <c r="AB24" s="34"/>
      <c r="AC24" s="34"/>
      <c r="AD24" s="34"/>
      <c r="AE24" s="34"/>
    </row>
    <row r="25" spans="1:31" ht="12" customHeight="1" x14ac:dyDescent="0.2">
      <c r="A25" s="34"/>
      <c r="B25" s="34"/>
      <c r="C25" s="97"/>
      <c r="D25" s="98"/>
      <c r="E25" s="98"/>
      <c r="F25" s="98"/>
      <c r="G25" s="99"/>
      <c r="H25" s="99"/>
      <c r="I25" s="99"/>
      <c r="J25" s="99"/>
      <c r="K25" s="99"/>
      <c r="L25" s="99"/>
      <c r="M25" s="98"/>
      <c r="N25" s="98"/>
      <c r="O25" s="98"/>
      <c r="P25" s="98"/>
      <c r="Q25" s="950" t="s">
        <v>1524</v>
      </c>
      <c r="R25" s="950"/>
      <c r="S25" s="950"/>
      <c r="T25" s="950"/>
      <c r="U25" s="98"/>
      <c r="V25" s="98"/>
      <c r="W25" s="98"/>
      <c r="X25" s="98"/>
      <c r="Y25" s="98"/>
      <c r="Z25" s="98"/>
      <c r="AA25" s="100"/>
      <c r="AB25" s="98"/>
      <c r="AC25" s="101"/>
      <c r="AD25" s="34"/>
      <c r="AE25" s="34"/>
    </row>
    <row r="26" spans="1:31" ht="12" customHeight="1" x14ac:dyDescent="0.2">
      <c r="A26" s="34"/>
      <c r="B26" s="34"/>
      <c r="C26" s="909" t="s">
        <v>527</v>
      </c>
      <c r="D26" s="910"/>
      <c r="E26" s="910"/>
      <c r="F26" s="910"/>
      <c r="G26" s="910"/>
      <c r="H26" s="910"/>
      <c r="I26" s="924" t="str">
        <f>IF('Eval-Avant impact'!$T$107="","",'Eval-Avant impact'!$G$117)</f>
        <v/>
      </c>
      <c r="J26" s="924"/>
      <c r="K26" s="924"/>
      <c r="L26" s="924"/>
      <c r="M26" s="924"/>
      <c r="N26" s="924"/>
      <c r="O26" s="924"/>
      <c r="P26" s="924"/>
      <c r="Q26" s="937"/>
      <c r="R26" s="937"/>
      <c r="S26" s="937"/>
      <c r="T26" s="937"/>
      <c r="U26" s="924" t="str">
        <f>IF($Q$9="X",'Eval-Avec act. écol. envisagée'!$G$117,IF($Q$11="X",'Eval-Après action écologique'!$G$117,""))</f>
        <v/>
      </c>
      <c r="V26" s="924"/>
      <c r="W26" s="924"/>
      <c r="X26" s="924"/>
      <c r="Y26" s="924"/>
      <c r="Z26" s="924"/>
      <c r="AA26" s="924"/>
      <c r="AB26" s="924"/>
      <c r="AC26" s="102"/>
      <c r="AD26" s="34"/>
      <c r="AE26" s="34"/>
    </row>
    <row r="27" spans="1:31" ht="12" customHeight="1" x14ac:dyDescent="0.2">
      <c r="A27" s="34"/>
      <c r="B27" s="34"/>
      <c r="C27" s="909"/>
      <c r="D27" s="910"/>
      <c r="E27" s="910"/>
      <c r="F27" s="910"/>
      <c r="G27" s="910"/>
      <c r="H27" s="910"/>
      <c r="I27" s="924"/>
      <c r="J27" s="924"/>
      <c r="K27" s="924"/>
      <c r="L27" s="924"/>
      <c r="M27" s="924"/>
      <c r="N27" s="924"/>
      <c r="O27" s="924"/>
      <c r="P27" s="924"/>
      <c r="Q27" s="949" t="s">
        <v>349</v>
      </c>
      <c r="R27" s="949"/>
      <c r="S27" s="949"/>
      <c r="T27" s="949"/>
      <c r="U27" s="924"/>
      <c r="V27" s="924"/>
      <c r="W27" s="924"/>
      <c r="X27" s="924"/>
      <c r="Y27" s="924"/>
      <c r="Z27" s="924"/>
      <c r="AA27" s="924"/>
      <c r="AB27" s="924"/>
      <c r="AC27" s="102"/>
      <c r="AD27" s="34"/>
      <c r="AE27" s="34"/>
    </row>
    <row r="28" spans="1:31" ht="12" customHeight="1" x14ac:dyDescent="0.2">
      <c r="A28" s="34"/>
      <c r="B28" s="34"/>
      <c r="C28" s="909"/>
      <c r="D28" s="910"/>
      <c r="E28" s="910"/>
      <c r="F28" s="910"/>
      <c r="G28" s="910"/>
      <c r="H28" s="910"/>
      <c r="I28" s="924"/>
      <c r="J28" s="924"/>
      <c r="K28" s="924"/>
      <c r="L28" s="924"/>
      <c r="M28" s="924"/>
      <c r="N28" s="924"/>
      <c r="O28" s="924"/>
      <c r="P28" s="924"/>
      <c r="Q28" s="949"/>
      <c r="R28" s="949"/>
      <c r="S28" s="949"/>
      <c r="T28" s="949"/>
      <c r="U28" s="924"/>
      <c r="V28" s="924"/>
      <c r="W28" s="924"/>
      <c r="X28" s="924"/>
      <c r="Y28" s="924"/>
      <c r="Z28" s="924"/>
      <c r="AA28" s="924"/>
      <c r="AB28" s="924"/>
      <c r="AC28" s="102"/>
      <c r="AD28" s="34"/>
      <c r="AE28" s="34"/>
    </row>
    <row r="29" spans="1:31" ht="12" customHeight="1" x14ac:dyDescent="0.2">
      <c r="A29" s="34"/>
      <c r="B29" s="34"/>
      <c r="C29" s="909"/>
      <c r="D29" s="910"/>
      <c r="E29" s="910"/>
      <c r="F29" s="910"/>
      <c r="G29" s="910"/>
      <c r="H29" s="910"/>
      <c r="I29" s="924"/>
      <c r="J29" s="924"/>
      <c r="K29" s="924"/>
      <c r="L29" s="924"/>
      <c r="M29" s="924"/>
      <c r="N29" s="924"/>
      <c r="O29" s="924"/>
      <c r="P29" s="924"/>
      <c r="Q29" s="949"/>
      <c r="R29" s="949"/>
      <c r="S29" s="949"/>
      <c r="T29" s="949"/>
      <c r="U29" s="924"/>
      <c r="V29" s="924"/>
      <c r="W29" s="924"/>
      <c r="X29" s="924"/>
      <c r="Y29" s="924"/>
      <c r="Z29" s="924"/>
      <c r="AA29" s="924"/>
      <c r="AB29" s="924"/>
      <c r="AC29" s="102"/>
      <c r="AD29" s="34"/>
      <c r="AE29" s="34"/>
    </row>
    <row r="30" spans="1:31" ht="12" customHeight="1" x14ac:dyDescent="0.2">
      <c r="A30" s="34"/>
      <c r="B30" s="34"/>
      <c r="C30" s="909"/>
      <c r="D30" s="910"/>
      <c r="E30" s="910"/>
      <c r="F30" s="910"/>
      <c r="G30" s="910"/>
      <c r="H30" s="910"/>
      <c r="I30" s="924"/>
      <c r="J30" s="924"/>
      <c r="K30" s="924"/>
      <c r="L30" s="924"/>
      <c r="M30" s="924"/>
      <c r="N30" s="924"/>
      <c r="O30" s="924"/>
      <c r="P30" s="924"/>
      <c r="Q30" s="938" t="s">
        <v>1523</v>
      </c>
      <c r="R30" s="938"/>
      <c r="S30" s="938"/>
      <c r="T30" s="938"/>
      <c r="U30" s="924"/>
      <c r="V30" s="924"/>
      <c r="W30" s="924"/>
      <c r="X30" s="924"/>
      <c r="Y30" s="924"/>
      <c r="Z30" s="924"/>
      <c r="AA30" s="924"/>
      <c r="AB30" s="924"/>
      <c r="AC30" s="102"/>
      <c r="AD30" s="34"/>
      <c r="AE30" s="34"/>
    </row>
    <row r="31" spans="1:31" ht="12" customHeight="1" thickBot="1" x14ac:dyDescent="0.25">
      <c r="A31" s="34"/>
      <c r="B31" s="34"/>
      <c r="C31" s="103"/>
      <c r="D31" s="53"/>
      <c r="E31" s="104"/>
      <c r="F31" s="104"/>
      <c r="G31" s="104"/>
      <c r="H31" s="104"/>
      <c r="I31" s="105"/>
      <c r="J31" s="105"/>
      <c r="K31" s="105"/>
      <c r="L31" s="105"/>
      <c r="M31" s="105"/>
      <c r="N31" s="105"/>
      <c r="O31" s="105"/>
      <c r="P31" s="105"/>
      <c r="Q31" s="951"/>
      <c r="R31" s="951"/>
      <c r="S31" s="951"/>
      <c r="T31" s="951"/>
      <c r="U31" s="105"/>
      <c r="V31" s="105"/>
      <c r="W31" s="105"/>
      <c r="X31" s="105"/>
      <c r="Y31" s="105"/>
      <c r="Z31" s="105"/>
      <c r="AA31" s="105"/>
      <c r="AB31" s="105"/>
      <c r="AC31" s="106"/>
      <c r="AD31" s="34"/>
      <c r="AE31" s="34"/>
    </row>
    <row r="32" spans="1:31" ht="12" customHeight="1" x14ac:dyDescent="0.2">
      <c r="A32" s="34"/>
      <c r="B32" s="34"/>
      <c r="C32" s="34"/>
      <c r="D32" s="34"/>
      <c r="E32" s="34"/>
      <c r="F32" s="34"/>
      <c r="G32" s="34"/>
      <c r="H32" s="34"/>
      <c r="I32" s="34"/>
      <c r="J32" s="34"/>
      <c r="K32" s="34"/>
      <c r="L32" s="34"/>
      <c r="M32" s="34"/>
      <c r="N32" s="34"/>
      <c r="O32" s="34"/>
      <c r="P32" s="34"/>
      <c r="Q32" s="34"/>
      <c r="R32" s="948" t="s">
        <v>348</v>
      </c>
      <c r="S32" s="948"/>
      <c r="T32" s="95"/>
      <c r="U32" s="34"/>
      <c r="V32" s="34"/>
      <c r="W32" s="34"/>
      <c r="X32" s="34"/>
      <c r="Y32" s="34"/>
      <c r="Z32" s="34"/>
      <c r="AA32" s="96"/>
      <c r="AB32" s="34"/>
      <c r="AC32" s="107"/>
      <c r="AD32" s="34"/>
      <c r="AE32" s="34"/>
    </row>
    <row r="33" spans="1:31" ht="12" customHeight="1" x14ac:dyDescent="0.2">
      <c r="A33" s="34"/>
      <c r="B33" s="34"/>
      <c r="C33" s="34"/>
      <c r="D33" s="34"/>
      <c r="E33" s="34"/>
      <c r="F33" s="34"/>
      <c r="G33" s="34"/>
      <c r="H33" s="34"/>
      <c r="I33" s="34"/>
      <c r="J33" s="34"/>
      <c r="K33" s="34"/>
      <c r="L33" s="34"/>
      <c r="M33" s="34"/>
      <c r="N33" s="34"/>
      <c r="O33" s="34"/>
      <c r="P33" s="34"/>
      <c r="Q33" s="94"/>
      <c r="R33" s="948"/>
      <c r="S33" s="948"/>
      <c r="T33" s="94"/>
      <c r="U33" s="34"/>
      <c r="V33" s="34"/>
      <c r="W33" s="34"/>
      <c r="X33" s="34"/>
      <c r="Y33" s="34"/>
      <c r="Z33" s="34"/>
      <c r="AA33" s="96"/>
      <c r="AB33" s="34"/>
      <c r="AC33" s="107"/>
      <c r="AD33" s="34"/>
      <c r="AE33" s="34"/>
    </row>
    <row r="34" spans="1:31" ht="12" customHeight="1" thickBot="1" x14ac:dyDescent="0.25">
      <c r="A34" s="34"/>
      <c r="B34" s="34"/>
      <c r="C34" s="34"/>
      <c r="D34" s="34"/>
      <c r="E34" s="33"/>
      <c r="F34" s="33"/>
      <c r="G34" s="33"/>
      <c r="H34" s="33"/>
      <c r="I34" s="34"/>
      <c r="J34" s="34"/>
      <c r="K34" s="34"/>
      <c r="L34" s="34"/>
      <c r="M34" s="34"/>
      <c r="N34" s="34"/>
      <c r="O34" s="34"/>
      <c r="P34" s="34"/>
      <c r="Q34" s="95"/>
      <c r="R34" s="948"/>
      <c r="S34" s="948"/>
      <c r="T34" s="95"/>
      <c r="U34" s="34"/>
      <c r="V34" s="34"/>
      <c r="W34" s="34"/>
      <c r="X34" s="34"/>
      <c r="Y34" s="34"/>
      <c r="Z34" s="34"/>
      <c r="AA34" s="96"/>
      <c r="AB34" s="34"/>
      <c r="AC34" s="107"/>
      <c r="AD34" s="34"/>
      <c r="AE34" s="34"/>
    </row>
    <row r="35" spans="1:31" ht="12" customHeight="1" x14ac:dyDescent="0.2">
      <c r="A35" s="34"/>
      <c r="B35" s="34"/>
      <c r="C35" s="97"/>
      <c r="D35" s="98"/>
      <c r="E35" s="98"/>
      <c r="F35" s="98"/>
      <c r="G35" s="98"/>
      <c r="H35" s="98"/>
      <c r="I35" s="98"/>
      <c r="J35" s="98"/>
      <c r="K35" s="98"/>
      <c r="L35" s="98"/>
      <c r="M35" s="98"/>
      <c r="N35" s="98"/>
      <c r="O35" s="98"/>
      <c r="P35" s="98"/>
      <c r="Q35" s="98"/>
      <c r="R35" s="98"/>
      <c r="S35" s="98"/>
      <c r="T35" s="98"/>
      <c r="U35" s="98"/>
      <c r="V35" s="98"/>
      <c r="W35" s="98"/>
      <c r="X35" s="98"/>
      <c r="Y35" s="98"/>
      <c r="Z35" s="98"/>
      <c r="AA35" s="100"/>
      <c r="AB35" s="98"/>
      <c r="AC35" s="108"/>
      <c r="AD35" s="34"/>
      <c r="AE35" s="34"/>
    </row>
    <row r="36" spans="1:31" ht="12" customHeight="1" x14ac:dyDescent="0.2">
      <c r="A36" s="34"/>
      <c r="B36" s="34"/>
      <c r="C36" s="909" t="s">
        <v>44</v>
      </c>
      <c r="D36" s="910"/>
      <c r="E36" s="910"/>
      <c r="F36" s="910"/>
      <c r="G36" s="910"/>
      <c r="H36" s="910"/>
      <c r="I36" s="947" t="str">
        <f>IF('Eval-Avant impact'!$T$107="","",ROUND('Eval-Avant impact'!$T$213,1))</f>
        <v/>
      </c>
      <c r="J36" s="947"/>
      <c r="K36" s="947"/>
      <c r="L36" s="947"/>
      <c r="M36" s="947"/>
      <c r="N36" s="947"/>
      <c r="O36" s="947"/>
      <c r="P36" s="941" t="s">
        <v>111</v>
      </c>
      <c r="Q36" s="937" t="s">
        <v>1524</v>
      </c>
      <c r="R36" s="937"/>
      <c r="S36" s="937"/>
      <c r="T36" s="937"/>
      <c r="U36" s="947" t="str">
        <f>IF($Q$9="X",ROUND('Eval-Avec act. écol. envisagée'!$T$213,1),IF($Q$11="X",ROUND('Eval-Après action écologique'!$T$213,1),""))</f>
        <v/>
      </c>
      <c r="V36" s="947"/>
      <c r="W36" s="947"/>
      <c r="X36" s="947"/>
      <c r="Y36" s="947"/>
      <c r="Z36" s="947"/>
      <c r="AA36" s="947"/>
      <c r="AB36" s="941" t="s">
        <v>111</v>
      </c>
      <c r="AC36" s="109"/>
      <c r="AD36" s="34"/>
      <c r="AE36" s="34"/>
    </row>
    <row r="37" spans="1:31" ht="12" customHeight="1" x14ac:dyDescent="0.2">
      <c r="A37" s="34"/>
      <c r="B37" s="34"/>
      <c r="C37" s="909"/>
      <c r="D37" s="910"/>
      <c r="E37" s="910"/>
      <c r="F37" s="910"/>
      <c r="G37" s="910"/>
      <c r="H37" s="910"/>
      <c r="I37" s="947"/>
      <c r="J37" s="947"/>
      <c r="K37" s="947"/>
      <c r="L37" s="947"/>
      <c r="M37" s="947"/>
      <c r="N37" s="947"/>
      <c r="O37" s="947"/>
      <c r="P37" s="941"/>
      <c r="Q37" s="937"/>
      <c r="R37" s="937"/>
      <c r="S37" s="937"/>
      <c r="T37" s="937"/>
      <c r="U37" s="947"/>
      <c r="V37" s="947"/>
      <c r="W37" s="947"/>
      <c r="X37" s="947"/>
      <c r="Y37" s="947"/>
      <c r="Z37" s="947"/>
      <c r="AA37" s="947"/>
      <c r="AB37" s="941"/>
      <c r="AC37" s="109"/>
      <c r="AD37" s="34"/>
      <c r="AE37" s="34"/>
    </row>
    <row r="38" spans="1:31" ht="12" customHeight="1" x14ac:dyDescent="0.2">
      <c r="A38" s="34"/>
      <c r="B38" s="34"/>
      <c r="C38" s="942" t="s">
        <v>45</v>
      </c>
      <c r="D38" s="943"/>
      <c r="E38" s="943"/>
      <c r="F38" s="943"/>
      <c r="G38" s="943"/>
      <c r="H38" s="943"/>
      <c r="I38" s="947" t="str">
        <f>IF('Eval-Avant impact'!$T$107="","",IF(AND('Eval-Avant impact'!$T$139&gt;=6,'Eval-Avant impact'!$T$222=""),"Non renseignées, associé à un grand cours d'eau.",'Eval-Avant impact'!$T$222))</f>
        <v/>
      </c>
      <c r="J38" s="947"/>
      <c r="K38" s="947"/>
      <c r="L38" s="924" t="s">
        <v>351</v>
      </c>
      <c r="M38" s="940" t="str">
        <f>IF('Eval-Avant impact'!$T$107="","",IF(AND('Eval-Avant impact'!$T$139&gt;=6,'Eval-Avant impact'!$T$222=""),"Non renseignées, associé à un grand cours d'eau.",($I$38/$I$36)*100))</f>
        <v/>
      </c>
      <c r="N38" s="940"/>
      <c r="O38" s="940"/>
      <c r="P38" s="941" t="s">
        <v>118</v>
      </c>
      <c r="Q38" s="939" t="s">
        <v>350</v>
      </c>
      <c r="R38" s="939"/>
      <c r="S38" s="939"/>
      <c r="T38" s="939"/>
      <c r="U38" s="947" t="str">
        <f>IF(AND($Q$9="",$Q$11=""),"",IF($Q$9="X",IF(AND('Eval-Avec act. écol. envisagée'!T139&gt;=6,'Eval-Avec act. écol. envisagée'!T222=""),"Non renseignées, associé à un grand cours d'eau.",'Eval-Avec act. écol. envisagée'!T222),IF($Q$11="X",IF(AND('Eval-Après action écologique'!T139&gt;=6,'Eval-Après action écologique'!T222=""),"Non renseignées, associé à un grand cours d'eau.",'Eval-Après action écologique'!$T$222))))</f>
        <v/>
      </c>
      <c r="V38" s="947"/>
      <c r="W38" s="947"/>
      <c r="X38" s="924" t="s">
        <v>351</v>
      </c>
      <c r="Y38" s="940" t="str">
        <f>IF(AND($Q$9="",$Q$11=""),"",IF($U$38="Non renseignées, associé à un grand cours d'eau.","Non renseignées, associé à un grand cours d'eau.",($U$38/$U$36)*100))</f>
        <v/>
      </c>
      <c r="Z38" s="940"/>
      <c r="AA38" s="940"/>
      <c r="AB38" s="941" t="s">
        <v>118</v>
      </c>
      <c r="AC38" s="109"/>
      <c r="AD38" s="34"/>
      <c r="AE38" s="34"/>
    </row>
    <row r="39" spans="1:31" ht="12" customHeight="1" x14ac:dyDescent="0.2">
      <c r="A39" s="34"/>
      <c r="B39" s="34"/>
      <c r="C39" s="942"/>
      <c r="D39" s="943"/>
      <c r="E39" s="943"/>
      <c r="F39" s="943"/>
      <c r="G39" s="943"/>
      <c r="H39" s="943"/>
      <c r="I39" s="947"/>
      <c r="J39" s="947"/>
      <c r="K39" s="947"/>
      <c r="L39" s="924"/>
      <c r="M39" s="940"/>
      <c r="N39" s="940"/>
      <c r="O39" s="940"/>
      <c r="P39" s="941"/>
      <c r="Q39" s="939"/>
      <c r="R39" s="939"/>
      <c r="S39" s="939"/>
      <c r="T39" s="939"/>
      <c r="U39" s="947"/>
      <c r="V39" s="947"/>
      <c r="W39" s="947"/>
      <c r="X39" s="924"/>
      <c r="Y39" s="940"/>
      <c r="Z39" s="940"/>
      <c r="AA39" s="940"/>
      <c r="AB39" s="941"/>
      <c r="AC39" s="109"/>
      <c r="AD39" s="34"/>
      <c r="AE39" s="34"/>
    </row>
    <row r="40" spans="1:31" ht="12" customHeight="1" x14ac:dyDescent="0.2">
      <c r="A40" s="34"/>
      <c r="B40" s="34"/>
      <c r="C40" s="942" t="s">
        <v>46</v>
      </c>
      <c r="D40" s="943"/>
      <c r="E40" s="943"/>
      <c r="F40" s="943"/>
      <c r="G40" s="943"/>
      <c r="H40" s="943"/>
      <c r="I40" s="947" t="str">
        <f>IF('Eval-Avant impact'!$T$107="","",IF(AND('Eval-Avant impact'!$T$139&gt;=6,'Eval-Avant impact'!$T$221=""),"Non renseignées, associé à un grand cours d'eau.",'Eval-Avant impact'!$T$221))</f>
        <v/>
      </c>
      <c r="J40" s="947"/>
      <c r="K40" s="947"/>
      <c r="L40" s="924" t="s">
        <v>351</v>
      </c>
      <c r="M40" s="940" t="str">
        <f>IF('Eval-Avant impact'!$T$107="","",IF(AND('Eval-Avant impact'!$T$139&gt;=6,'Eval-Avant impact'!$T$221=""),"Non renseignées, associé à un grand cours d'eau.",($I$40/$I$36)*100))</f>
        <v/>
      </c>
      <c r="N40" s="940"/>
      <c r="O40" s="940"/>
      <c r="P40" s="941" t="s">
        <v>118</v>
      </c>
      <c r="Q40" s="939"/>
      <c r="R40" s="939"/>
      <c r="S40" s="939"/>
      <c r="T40" s="939"/>
      <c r="U40" s="947" t="str">
        <f>IF(AND($Q$9="",$Q$11=""),"",IF($Q$9="X",IF(AND('Eval-Avec act. écol. envisagée'!T139&gt;=6,'Eval-Avec act. écol. envisagée'!T221=""),"Non renseignées, associé à un grand cours d'eau.",'Eval-Avec act. écol. envisagée'!T221),IF($Q$11="X",IF(AND('Eval-Après action écologique'!T139&gt;=6,'Eval-Après action écologique'!T221=""),"Non renseignées, associé à un grand cours d'eau.",'Eval-Après action écologique'!$T$221))))</f>
        <v/>
      </c>
      <c r="V40" s="947"/>
      <c r="W40" s="947"/>
      <c r="X40" s="924" t="s">
        <v>351</v>
      </c>
      <c r="Y40" s="940" t="str">
        <f>IF(AND($Q$9="",$Q$11=""),"",IF($U$40="Non renseignées, associé à un grand cours d'eau.","Non renseignées, associé à un grand cours d'eau.",($U$40/$U$36)*100))</f>
        <v/>
      </c>
      <c r="Z40" s="940"/>
      <c r="AA40" s="940"/>
      <c r="AB40" s="941" t="s">
        <v>118</v>
      </c>
      <c r="AC40" s="109"/>
      <c r="AD40" s="34"/>
      <c r="AE40" s="34"/>
    </row>
    <row r="41" spans="1:31" ht="12" customHeight="1" x14ac:dyDescent="0.2">
      <c r="A41" s="34"/>
      <c r="B41" s="34"/>
      <c r="C41" s="942"/>
      <c r="D41" s="943"/>
      <c r="E41" s="943"/>
      <c r="F41" s="943"/>
      <c r="G41" s="943"/>
      <c r="H41" s="943"/>
      <c r="I41" s="947"/>
      <c r="J41" s="947"/>
      <c r="K41" s="947"/>
      <c r="L41" s="924"/>
      <c r="M41" s="940"/>
      <c r="N41" s="940"/>
      <c r="O41" s="940"/>
      <c r="P41" s="941"/>
      <c r="Q41" s="939"/>
      <c r="R41" s="939"/>
      <c r="S41" s="939"/>
      <c r="T41" s="939"/>
      <c r="U41" s="947"/>
      <c r="V41" s="947"/>
      <c r="W41" s="947"/>
      <c r="X41" s="924"/>
      <c r="Y41" s="940"/>
      <c r="Z41" s="940"/>
      <c r="AA41" s="940"/>
      <c r="AB41" s="941"/>
      <c r="AC41" s="109"/>
      <c r="AD41" s="34"/>
      <c r="AE41" s="34"/>
    </row>
    <row r="42" spans="1:31" ht="12" customHeight="1" x14ac:dyDescent="0.2">
      <c r="A42" s="34"/>
      <c r="B42" s="34"/>
      <c r="C42" s="942" t="s">
        <v>47</v>
      </c>
      <c r="D42" s="943"/>
      <c r="E42" s="943"/>
      <c r="F42" s="943"/>
      <c r="G42" s="943"/>
      <c r="H42" s="943"/>
      <c r="I42" s="947" t="str">
        <f>IF('Eval-Avant impact'!$T$107="","",IF(AND('Eval-Avant impact'!$T$139&gt;=6,'Eval-Avant impact'!$T$230=""),"Non renseignées, associé à un grand cours d'eau.",'Eval-Avant impact'!$T$230))</f>
        <v/>
      </c>
      <c r="J42" s="947"/>
      <c r="K42" s="947"/>
      <c r="L42" s="924" t="s">
        <v>351</v>
      </c>
      <c r="M42" s="940" t="str">
        <f>CONCATENATE('Calcul auto.'!$AB$43,'Calcul auto.'!$AA$43,'Calcul auto.'!$Z$43,'Calcul auto.'!$Y$43,'Calcul auto.'!$X$43)</f>
        <v/>
      </c>
      <c r="N42" s="940"/>
      <c r="O42" s="940"/>
      <c r="P42" s="940"/>
      <c r="Q42" s="939"/>
      <c r="R42" s="939"/>
      <c r="S42" s="939"/>
      <c r="T42" s="939"/>
      <c r="U42" s="947" t="str">
        <f>IF(AND($Q$9="",$Q$11=""),"",IF($Q$9="X",IF(AND('Eval-Avec act. écol. envisagée'!T139&gt;=6,'Eval-Avec act. écol. envisagée'!T230=""),"Non renseignées, associé à un grand cours d'eau.",'Eval-Avec act. écol. envisagée'!T230),IF($Q$11="X",IF(AND('Eval-Après action écologique'!T139&gt;=6,'Eval-Après action écologique'!T230=""),"Non renseignées, associé à un grand cours d'eau.",'Eval-Après action écologique'!$T$230))))</f>
        <v/>
      </c>
      <c r="V42" s="947"/>
      <c r="W42" s="947"/>
      <c r="X42" s="924" t="s">
        <v>351</v>
      </c>
      <c r="Y42" s="940" t="str">
        <f>IF($Q$9="X",CONCATENATE('Calcul auto.'!$EV$43,'Calcul auto.'!$EW$43,'Calcul auto.'!$EX$43,'Calcul auto.'!$EY$43,'Calcul auto.'!$EZ$43),IF($Q$11="X",CONCATENATE('Calcul auto.'!$GB$43,'Calcul auto.'!$GC$43,'Calcul auto.'!$GD$43,'Calcul auto.'!$GE$43,'Calcul auto.'!$GF$43),""))</f>
        <v/>
      </c>
      <c r="Z42" s="940"/>
      <c r="AA42" s="940"/>
      <c r="AB42" s="940"/>
      <c r="AC42" s="109"/>
      <c r="AD42" s="34"/>
      <c r="AE42" s="34"/>
    </row>
    <row r="43" spans="1:31" ht="12" customHeight="1" x14ac:dyDescent="0.2">
      <c r="A43" s="34"/>
      <c r="B43" s="34"/>
      <c r="C43" s="942"/>
      <c r="D43" s="943"/>
      <c r="E43" s="943"/>
      <c r="F43" s="943"/>
      <c r="G43" s="943"/>
      <c r="H43" s="943"/>
      <c r="I43" s="947"/>
      <c r="J43" s="947"/>
      <c r="K43" s="947"/>
      <c r="L43" s="924"/>
      <c r="M43" s="940"/>
      <c r="N43" s="940"/>
      <c r="O43" s="940"/>
      <c r="P43" s="940"/>
      <c r="Q43" s="939"/>
      <c r="R43" s="939"/>
      <c r="S43" s="939"/>
      <c r="T43" s="939"/>
      <c r="U43" s="947"/>
      <c r="V43" s="947"/>
      <c r="W43" s="947"/>
      <c r="X43" s="924"/>
      <c r="Y43" s="940"/>
      <c r="Z43" s="940"/>
      <c r="AA43" s="940"/>
      <c r="AB43" s="940"/>
      <c r="AC43" s="109"/>
      <c r="AD43" s="34"/>
      <c r="AE43" s="34"/>
    </row>
    <row r="44" spans="1:31" ht="12" customHeight="1" x14ac:dyDescent="0.2">
      <c r="A44" s="34"/>
      <c r="B44" s="34"/>
      <c r="C44" s="942"/>
      <c r="D44" s="943"/>
      <c r="E44" s="943"/>
      <c r="F44" s="943"/>
      <c r="G44" s="943"/>
      <c r="H44" s="943"/>
      <c r="I44" s="947"/>
      <c r="J44" s="947"/>
      <c r="K44" s="947"/>
      <c r="L44" s="924"/>
      <c r="M44" s="940"/>
      <c r="N44" s="940"/>
      <c r="O44" s="940"/>
      <c r="P44" s="940"/>
      <c r="Q44" s="939"/>
      <c r="R44" s="939"/>
      <c r="S44" s="939"/>
      <c r="T44" s="939"/>
      <c r="U44" s="947"/>
      <c r="V44" s="947"/>
      <c r="W44" s="947"/>
      <c r="X44" s="924"/>
      <c r="Y44" s="940"/>
      <c r="Z44" s="940"/>
      <c r="AA44" s="940"/>
      <c r="AB44" s="940"/>
      <c r="AC44" s="102"/>
      <c r="AD44" s="34"/>
      <c r="AE44" s="34"/>
    </row>
    <row r="45" spans="1:31" ht="12" customHeight="1" x14ac:dyDescent="0.2">
      <c r="A45" s="34"/>
      <c r="B45" s="34"/>
      <c r="C45" s="942" t="s">
        <v>48</v>
      </c>
      <c r="D45" s="943"/>
      <c r="E45" s="943"/>
      <c r="F45" s="943"/>
      <c r="G45" s="943"/>
      <c r="H45" s="943"/>
      <c r="I45" s="947" t="str">
        <f>IF('Eval-Avant impact'!$T$107="","",IF(AND('Eval-Avant impact'!$T$139&gt;=6,'Eval-Avant impact'!$T$234=""),"Non renseignées, associé à un grand cours d'eau.",'Eval-Avant impact'!$T$234))</f>
        <v/>
      </c>
      <c r="J45" s="947"/>
      <c r="K45" s="947"/>
      <c r="L45" s="924" t="s">
        <v>352</v>
      </c>
      <c r="M45" s="940" t="str">
        <f>IF('Eval-Avant impact'!$T$107="","",IF(AND('Eval-Avant impact'!$T$139&gt;=6,'Eval-Avant impact'!$T$234=""),"Non renseignées, associé à un grand cours d'eau.",($I$45*100)/$I$36))</f>
        <v/>
      </c>
      <c r="N45" s="940"/>
      <c r="O45" s="940"/>
      <c r="P45" s="922" t="s">
        <v>485</v>
      </c>
      <c r="Q45" s="938" t="s">
        <v>1523</v>
      </c>
      <c r="R45" s="938"/>
      <c r="S45" s="938"/>
      <c r="T45" s="938"/>
      <c r="U45" s="947" t="str">
        <f>IF(AND($Q$9="",$Q$11=""),"",IF($Q$9="X",IF(AND('Eval-Avec act. écol. envisagée'!T139&gt;=6,'Eval-Avec act. écol. envisagée'!T234=""),"Non renseignées, associé à un grand cours d'eau.",'Eval-Avec act. écol. envisagée'!T234),IF($Q$11="X",IF(AND('Eval-Après action écologique'!T139&gt;=6,'Eval-Après action écologique'!T234=""),"Non renseignées, associé à un grand cours d'eau.",'Eval-Après action écologique'!$T$234))))</f>
        <v/>
      </c>
      <c r="V45" s="947"/>
      <c r="W45" s="947"/>
      <c r="X45" s="924" t="s">
        <v>352</v>
      </c>
      <c r="Y45" s="940" t="str">
        <f>IF(AND($Q$9="",$Q$11=""),"",IF($U$45="Non renseignées, associé à un grand cours d'eau.","Non renseignées, associé à un grand cours d'eau.",($U$45/$U$36)*100))</f>
        <v/>
      </c>
      <c r="Z45" s="940"/>
      <c r="AA45" s="940"/>
      <c r="AB45" s="922" t="s">
        <v>485</v>
      </c>
      <c r="AC45" s="102"/>
      <c r="AD45" s="34"/>
      <c r="AE45" s="34"/>
    </row>
    <row r="46" spans="1:31" ht="12" customHeight="1" x14ac:dyDescent="0.2">
      <c r="A46" s="34"/>
      <c r="B46" s="34"/>
      <c r="C46" s="942"/>
      <c r="D46" s="943"/>
      <c r="E46" s="943"/>
      <c r="F46" s="943"/>
      <c r="G46" s="943"/>
      <c r="H46" s="943"/>
      <c r="I46" s="947"/>
      <c r="J46" s="947"/>
      <c r="K46" s="947"/>
      <c r="L46" s="924"/>
      <c r="M46" s="940"/>
      <c r="N46" s="940"/>
      <c r="O46" s="940"/>
      <c r="P46" s="944"/>
      <c r="Q46" s="938"/>
      <c r="R46" s="938"/>
      <c r="S46" s="938"/>
      <c r="T46" s="938"/>
      <c r="U46" s="947"/>
      <c r="V46" s="947"/>
      <c r="W46" s="947"/>
      <c r="X46" s="924"/>
      <c r="Y46" s="940"/>
      <c r="Z46" s="940"/>
      <c r="AA46" s="940"/>
      <c r="AB46" s="944"/>
      <c r="AC46" s="102"/>
      <c r="AD46" s="34"/>
      <c r="AE46" s="34"/>
    </row>
    <row r="47" spans="1:31" ht="12" customHeight="1" thickBot="1" x14ac:dyDescent="0.25">
      <c r="A47" s="34"/>
      <c r="B47" s="34"/>
      <c r="C47" s="103"/>
      <c r="D47" s="53"/>
      <c r="E47" s="105"/>
      <c r="F47" s="105"/>
      <c r="G47" s="105"/>
      <c r="H47" s="105"/>
      <c r="I47" s="105"/>
      <c r="J47" s="110"/>
      <c r="K47" s="53"/>
      <c r="L47" s="53"/>
      <c r="M47" s="53"/>
      <c r="N47" s="53"/>
      <c r="O47" s="53"/>
      <c r="P47" s="53"/>
      <c r="Q47" s="53"/>
      <c r="R47" s="53"/>
      <c r="S47" s="53"/>
      <c r="T47" s="53"/>
      <c r="U47" s="53"/>
      <c r="V47" s="53"/>
      <c r="W47" s="53"/>
      <c r="X47" s="53"/>
      <c r="Y47" s="105"/>
      <c r="Z47" s="110"/>
      <c r="AA47" s="53"/>
      <c r="AB47" s="53"/>
      <c r="AC47" s="106"/>
      <c r="AD47" s="34"/>
      <c r="AE47" s="34"/>
    </row>
    <row r="48" spans="1:31" ht="12" customHeight="1" x14ac:dyDescent="0.2">
      <c r="A48" s="34"/>
      <c r="B48" s="34"/>
      <c r="C48" s="920" t="s">
        <v>435</v>
      </c>
      <c r="D48" s="920"/>
      <c r="E48" s="920"/>
      <c r="F48" s="920"/>
      <c r="G48" s="34"/>
      <c r="H48" s="34"/>
      <c r="I48" s="111"/>
      <c r="J48" s="111"/>
      <c r="K48" s="945" t="str">
        <f>IF('Eval-Avant impact'!$T$107="","",'Eval-Avant impact'!$T$217)</f>
        <v/>
      </c>
      <c r="L48" s="945"/>
      <c r="M48" s="945"/>
      <c r="N48" s="945"/>
      <c r="O48" s="111"/>
      <c r="P48" s="34"/>
      <c r="Q48" s="34"/>
      <c r="R48" s="948" t="s">
        <v>348</v>
      </c>
      <c r="S48" s="948"/>
      <c r="T48" s="111"/>
      <c r="U48" s="111"/>
      <c r="V48" s="111"/>
      <c r="W48" s="945" t="str">
        <f>IF($Q$9="X",'Eval-Avec act. écol. envisagée'!$T$217,IF($Q$11="X",'Eval-Après action écologique'!$T$217,""))</f>
        <v/>
      </c>
      <c r="X48" s="945"/>
      <c r="Y48" s="945"/>
      <c r="Z48" s="945"/>
      <c r="AA48" s="945"/>
      <c r="AB48" s="34"/>
      <c r="AC48" s="34"/>
      <c r="AD48" s="34"/>
      <c r="AE48" s="34"/>
    </row>
    <row r="49" spans="1:31" ht="12" customHeight="1" x14ac:dyDescent="0.2">
      <c r="A49" s="34"/>
      <c r="B49" s="34"/>
      <c r="C49" s="921" t="s">
        <v>436</v>
      </c>
      <c r="D49" s="921"/>
      <c r="E49" s="921"/>
      <c r="F49" s="921"/>
      <c r="G49" s="34"/>
      <c r="H49" s="112"/>
      <c r="I49" s="112"/>
      <c r="J49" s="112"/>
      <c r="K49" s="946" t="str">
        <f>IF('Eval-Avant impact'!$T$107="","",'Eval-Avant impact'!$T$132)</f>
        <v/>
      </c>
      <c r="L49" s="946"/>
      <c r="M49" s="946"/>
      <c r="N49" s="946"/>
      <c r="O49" s="112"/>
      <c r="P49" s="113"/>
      <c r="Q49" s="94"/>
      <c r="R49" s="948"/>
      <c r="S49" s="948"/>
      <c r="T49" s="112"/>
      <c r="U49" s="112"/>
      <c r="V49" s="112"/>
      <c r="W49" s="946" t="str">
        <f>IF($Q$9="X",'Eval-Avec act. écol. envisagée'!$T$132,IF($Q$11="X",'Eval-Après action écologique'!$T$132,""))</f>
        <v/>
      </c>
      <c r="X49" s="946"/>
      <c r="Y49" s="946"/>
      <c r="Z49" s="946"/>
      <c r="AA49" s="946"/>
      <c r="AB49" s="113"/>
      <c r="AC49" s="114"/>
      <c r="AD49" s="34"/>
      <c r="AE49" s="34"/>
    </row>
    <row r="50" spans="1:31" ht="12" customHeight="1" thickBot="1" x14ac:dyDescent="0.25">
      <c r="A50" s="34"/>
      <c r="B50" s="34"/>
      <c r="C50" s="34"/>
      <c r="D50" s="34"/>
      <c r="E50" s="34"/>
      <c r="F50" s="34"/>
      <c r="G50" s="34"/>
      <c r="H50" s="34"/>
      <c r="I50" s="34"/>
      <c r="J50" s="34"/>
      <c r="K50" s="34"/>
      <c r="L50" s="34"/>
      <c r="M50" s="34"/>
      <c r="N50" s="34"/>
      <c r="O50" s="34"/>
      <c r="P50" s="34"/>
      <c r="Q50" s="95"/>
      <c r="R50" s="948"/>
      <c r="S50" s="948"/>
      <c r="T50" s="95"/>
      <c r="U50" s="34"/>
      <c r="V50" s="34"/>
      <c r="W50" s="34"/>
      <c r="X50" s="34"/>
      <c r="Y50" s="34"/>
      <c r="Z50" s="34"/>
      <c r="AA50" s="96"/>
      <c r="AB50" s="34"/>
      <c r="AC50" s="114"/>
      <c r="AD50" s="34"/>
      <c r="AE50" s="34"/>
    </row>
    <row r="51" spans="1:31" ht="12" customHeight="1" x14ac:dyDescent="0.2">
      <c r="A51" s="34"/>
      <c r="B51" s="34"/>
      <c r="C51" s="97"/>
      <c r="D51" s="98"/>
      <c r="E51" s="98"/>
      <c r="F51" s="98"/>
      <c r="G51" s="98"/>
      <c r="H51" s="98"/>
      <c r="I51" s="98"/>
      <c r="J51" s="98"/>
      <c r="K51" s="98"/>
      <c r="L51" s="98"/>
      <c r="M51" s="98"/>
      <c r="N51" s="98"/>
      <c r="O51" s="98"/>
      <c r="P51" s="98"/>
      <c r="Q51" s="98"/>
      <c r="R51" s="98"/>
      <c r="S51" s="98"/>
      <c r="T51" s="98"/>
      <c r="U51" s="98"/>
      <c r="V51" s="98"/>
      <c r="W51" s="98"/>
      <c r="X51" s="98"/>
      <c r="Y51" s="98"/>
      <c r="Z51" s="98"/>
      <c r="AA51" s="100"/>
      <c r="AB51" s="98"/>
      <c r="AC51" s="115"/>
      <c r="AD51" s="34"/>
      <c r="AE51" s="34"/>
    </row>
    <row r="52" spans="1:31" ht="12" customHeight="1" x14ac:dyDescent="0.2">
      <c r="A52" s="34"/>
      <c r="B52" s="34"/>
      <c r="C52" s="909" t="s">
        <v>49</v>
      </c>
      <c r="D52" s="910"/>
      <c r="E52" s="910"/>
      <c r="F52" s="910"/>
      <c r="G52" s="910"/>
      <c r="H52" s="910"/>
      <c r="I52" s="910"/>
      <c r="J52" s="910"/>
      <c r="K52" s="116"/>
      <c r="L52" s="940" t="str">
        <f>IF('Eval-Avant impact'!$T$107="","",ROUND('Eval-Avant impact'!$T$356,1))</f>
        <v/>
      </c>
      <c r="M52" s="940"/>
      <c r="N52" s="941" t="s">
        <v>111</v>
      </c>
      <c r="O52" s="117"/>
      <c r="P52" s="33"/>
      <c r="Q52" s="937" t="s">
        <v>1524</v>
      </c>
      <c r="R52" s="937"/>
      <c r="S52" s="937"/>
      <c r="T52" s="937"/>
      <c r="U52" s="33"/>
      <c r="V52" s="33"/>
      <c r="W52" s="117"/>
      <c r="X52" s="940" t="str">
        <f>IF($Q$9="X",ROUND('Eval-Avec act. écol. envisagée'!$T$356,1),IF($Q$11="X",ROUND('Eval-Après action écologique'!$T$356,1),""))</f>
        <v/>
      </c>
      <c r="Y52" s="940"/>
      <c r="Z52" s="941" t="s">
        <v>111</v>
      </c>
      <c r="AA52" s="33"/>
      <c r="AB52" s="33"/>
      <c r="AC52" s="118"/>
      <c r="AD52" s="34"/>
      <c r="AE52" s="34"/>
    </row>
    <row r="53" spans="1:31" ht="12" customHeight="1" x14ac:dyDescent="0.2">
      <c r="A53" s="34"/>
      <c r="B53" s="34"/>
      <c r="C53" s="909"/>
      <c r="D53" s="910"/>
      <c r="E53" s="910"/>
      <c r="F53" s="910"/>
      <c r="G53" s="910"/>
      <c r="H53" s="910"/>
      <c r="I53" s="910"/>
      <c r="J53" s="910"/>
      <c r="K53" s="116"/>
      <c r="L53" s="940"/>
      <c r="M53" s="940"/>
      <c r="N53" s="941"/>
      <c r="O53" s="117"/>
      <c r="P53" s="33"/>
      <c r="Q53" s="937"/>
      <c r="R53" s="937"/>
      <c r="S53" s="937"/>
      <c r="T53" s="937"/>
      <c r="U53" s="33"/>
      <c r="V53" s="33"/>
      <c r="W53" s="117"/>
      <c r="X53" s="940"/>
      <c r="Y53" s="940"/>
      <c r="Z53" s="941"/>
      <c r="AA53" s="33"/>
      <c r="AB53" s="33"/>
      <c r="AC53" s="118"/>
      <c r="AD53" s="34"/>
      <c r="AE53" s="34"/>
    </row>
    <row r="54" spans="1:31" ht="12" customHeight="1" x14ac:dyDescent="0.2">
      <c r="A54" s="34"/>
      <c r="B54" s="34"/>
      <c r="C54" s="942" t="s">
        <v>489</v>
      </c>
      <c r="D54" s="943"/>
      <c r="E54" s="943"/>
      <c r="F54" s="943"/>
      <c r="G54" s="943"/>
      <c r="H54" s="943"/>
      <c r="I54" s="943"/>
      <c r="J54" s="943"/>
      <c r="K54" s="116"/>
      <c r="L54" s="940" t="str">
        <f>IF('Eval-Avant impact'!$T$107="","",'Eval-Avant impact'!$T$361)</f>
        <v/>
      </c>
      <c r="M54" s="940"/>
      <c r="N54" s="941" t="s">
        <v>118</v>
      </c>
      <c r="O54" s="117"/>
      <c r="P54" s="33"/>
      <c r="Q54" s="939" t="s">
        <v>350</v>
      </c>
      <c r="R54" s="939"/>
      <c r="S54" s="939"/>
      <c r="T54" s="939"/>
      <c r="U54" s="33"/>
      <c r="V54" s="33"/>
      <c r="W54" s="117"/>
      <c r="X54" s="940" t="str">
        <f>IF($Q$9="X",'Eval-Avec act. écol. envisagée'!$T$361,IF($Q$11="X",'Eval-Après action écologique'!$T$361,""))</f>
        <v/>
      </c>
      <c r="Y54" s="940"/>
      <c r="Z54" s="941" t="s">
        <v>118</v>
      </c>
      <c r="AA54" s="33"/>
      <c r="AB54" s="33"/>
      <c r="AC54" s="118"/>
      <c r="AD54" s="34"/>
      <c r="AE54" s="34"/>
    </row>
    <row r="55" spans="1:31" ht="12" customHeight="1" x14ac:dyDescent="0.2">
      <c r="A55" s="34"/>
      <c r="B55" s="34"/>
      <c r="C55" s="942"/>
      <c r="D55" s="943"/>
      <c r="E55" s="943"/>
      <c r="F55" s="943"/>
      <c r="G55" s="943"/>
      <c r="H55" s="943"/>
      <c r="I55" s="943"/>
      <c r="J55" s="943"/>
      <c r="K55" s="116"/>
      <c r="L55" s="940"/>
      <c r="M55" s="940"/>
      <c r="N55" s="941"/>
      <c r="O55" s="117"/>
      <c r="P55" s="33"/>
      <c r="Q55" s="939"/>
      <c r="R55" s="939"/>
      <c r="S55" s="939"/>
      <c r="T55" s="939"/>
      <c r="U55" s="33"/>
      <c r="V55" s="33"/>
      <c r="W55" s="117"/>
      <c r="X55" s="940"/>
      <c r="Y55" s="940"/>
      <c r="Z55" s="941"/>
      <c r="AA55" s="33"/>
      <c r="AB55" s="33"/>
      <c r="AC55" s="118"/>
      <c r="AD55" s="34"/>
      <c r="AE55" s="34"/>
    </row>
    <row r="56" spans="1:31" ht="12" customHeight="1" x14ac:dyDescent="0.2">
      <c r="A56" s="34"/>
      <c r="B56" s="34"/>
      <c r="C56" s="942"/>
      <c r="D56" s="943"/>
      <c r="E56" s="943"/>
      <c r="F56" s="943"/>
      <c r="G56" s="943"/>
      <c r="H56" s="943"/>
      <c r="I56" s="943"/>
      <c r="J56" s="943"/>
      <c r="K56" s="116"/>
      <c r="L56" s="940"/>
      <c r="M56" s="940"/>
      <c r="N56" s="941"/>
      <c r="O56" s="117"/>
      <c r="P56" s="33"/>
      <c r="Q56" s="939"/>
      <c r="R56" s="939"/>
      <c r="S56" s="939"/>
      <c r="T56" s="939"/>
      <c r="U56" s="33"/>
      <c r="V56" s="33"/>
      <c r="W56" s="117"/>
      <c r="X56" s="940"/>
      <c r="Y56" s="940"/>
      <c r="Z56" s="941"/>
      <c r="AA56" s="33"/>
      <c r="AB56" s="33"/>
      <c r="AC56" s="118"/>
      <c r="AD56" s="34"/>
      <c r="AE56" s="34"/>
    </row>
    <row r="57" spans="1:31" ht="12" customHeight="1" x14ac:dyDescent="0.2">
      <c r="A57" s="34"/>
      <c r="B57" s="34"/>
      <c r="C57" s="942" t="s">
        <v>490</v>
      </c>
      <c r="D57" s="943"/>
      <c r="E57" s="943"/>
      <c r="F57" s="943"/>
      <c r="G57" s="943"/>
      <c r="H57" s="943"/>
      <c r="I57" s="943"/>
      <c r="J57" s="943"/>
      <c r="K57" s="116"/>
      <c r="L57" s="940" t="str">
        <f>IF('Eval-Avant impact'!$T$107="","",'Eval-Avant impact'!$T$362)</f>
        <v/>
      </c>
      <c r="M57" s="940"/>
      <c r="N57" s="941" t="s">
        <v>118</v>
      </c>
      <c r="O57" s="117"/>
      <c r="P57" s="33"/>
      <c r="Q57" s="939"/>
      <c r="R57" s="939"/>
      <c r="S57" s="939"/>
      <c r="T57" s="939"/>
      <c r="U57" s="33"/>
      <c r="V57" s="33"/>
      <c r="W57" s="117"/>
      <c r="X57" s="940" t="str">
        <f>IF($Q$9="X",'Eval-Avec act. écol. envisagée'!$T$362,IF($Q$11="X",'Eval-Après action écologique'!$T$362,""))</f>
        <v/>
      </c>
      <c r="Y57" s="940"/>
      <c r="Z57" s="941" t="s">
        <v>118</v>
      </c>
      <c r="AA57" s="33"/>
      <c r="AB57" s="33"/>
      <c r="AC57" s="118"/>
      <c r="AD57" s="34"/>
      <c r="AE57" s="34"/>
    </row>
    <row r="58" spans="1:31" ht="12" customHeight="1" x14ac:dyDescent="0.2">
      <c r="A58" s="34"/>
      <c r="B58" s="34"/>
      <c r="C58" s="942"/>
      <c r="D58" s="943"/>
      <c r="E58" s="943"/>
      <c r="F58" s="943"/>
      <c r="G58" s="943"/>
      <c r="H58" s="943"/>
      <c r="I58" s="943"/>
      <c r="J58" s="943"/>
      <c r="K58" s="116"/>
      <c r="L58" s="940"/>
      <c r="M58" s="940"/>
      <c r="N58" s="941"/>
      <c r="O58" s="117"/>
      <c r="P58" s="33"/>
      <c r="Q58" s="939"/>
      <c r="R58" s="939"/>
      <c r="S58" s="939"/>
      <c r="T58" s="939"/>
      <c r="U58" s="33"/>
      <c r="V58" s="33"/>
      <c r="W58" s="117"/>
      <c r="X58" s="940"/>
      <c r="Y58" s="940"/>
      <c r="Z58" s="941"/>
      <c r="AA58" s="33"/>
      <c r="AB58" s="33"/>
      <c r="AC58" s="118"/>
      <c r="AD58" s="34"/>
      <c r="AE58" s="34"/>
    </row>
    <row r="59" spans="1:31" ht="12" customHeight="1" x14ac:dyDescent="0.2">
      <c r="A59" s="34"/>
      <c r="B59" s="34"/>
      <c r="C59" s="942"/>
      <c r="D59" s="943"/>
      <c r="E59" s="943"/>
      <c r="F59" s="943"/>
      <c r="G59" s="943"/>
      <c r="H59" s="943"/>
      <c r="I59" s="943"/>
      <c r="J59" s="943"/>
      <c r="K59" s="116"/>
      <c r="L59" s="940"/>
      <c r="M59" s="940"/>
      <c r="N59" s="941"/>
      <c r="O59" s="117"/>
      <c r="P59" s="33"/>
      <c r="Q59" s="939"/>
      <c r="R59" s="939"/>
      <c r="S59" s="939"/>
      <c r="T59" s="939"/>
      <c r="U59" s="33"/>
      <c r="V59" s="33"/>
      <c r="W59" s="117"/>
      <c r="X59" s="940"/>
      <c r="Y59" s="940"/>
      <c r="Z59" s="941"/>
      <c r="AA59" s="33"/>
      <c r="AB59" s="33"/>
      <c r="AC59" s="118"/>
      <c r="AD59" s="34"/>
      <c r="AE59" s="34"/>
    </row>
    <row r="60" spans="1:31" ht="12" customHeight="1" x14ac:dyDescent="0.2">
      <c r="A60" s="34"/>
      <c r="B60" s="34"/>
      <c r="C60" s="942" t="s">
        <v>491</v>
      </c>
      <c r="D60" s="943"/>
      <c r="E60" s="943"/>
      <c r="F60" s="943"/>
      <c r="G60" s="943"/>
      <c r="H60" s="943"/>
      <c r="I60" s="943"/>
      <c r="J60" s="943"/>
      <c r="K60" s="116"/>
      <c r="L60" s="940" t="str">
        <f>IF('Eval-Avant impact'!$T$107="","",'Eval-Avant impact'!$T$363)</f>
        <v/>
      </c>
      <c r="M60" s="940"/>
      <c r="N60" s="941" t="s">
        <v>118</v>
      </c>
      <c r="O60" s="117"/>
      <c r="P60" s="33"/>
      <c r="Q60" s="939"/>
      <c r="R60" s="939"/>
      <c r="S60" s="939"/>
      <c r="T60" s="939"/>
      <c r="U60" s="33"/>
      <c r="V60" s="33"/>
      <c r="W60" s="117"/>
      <c r="X60" s="940" t="str">
        <f>IF($Q$9="X",'Eval-Avec act. écol. envisagée'!$T$363,IF($Q$11="X",'Eval-Après action écologique'!$T$363,""))</f>
        <v/>
      </c>
      <c r="Y60" s="940"/>
      <c r="Z60" s="941" t="s">
        <v>118</v>
      </c>
      <c r="AA60" s="33"/>
      <c r="AB60" s="33"/>
      <c r="AC60" s="118"/>
      <c r="AD60" s="34"/>
      <c r="AE60" s="34"/>
    </row>
    <row r="61" spans="1:31" ht="12" customHeight="1" x14ac:dyDescent="0.2">
      <c r="A61" s="34"/>
      <c r="B61" s="34"/>
      <c r="C61" s="942"/>
      <c r="D61" s="943"/>
      <c r="E61" s="943"/>
      <c r="F61" s="943"/>
      <c r="G61" s="943"/>
      <c r="H61" s="943"/>
      <c r="I61" s="943"/>
      <c r="J61" s="943"/>
      <c r="K61" s="116"/>
      <c r="L61" s="940"/>
      <c r="M61" s="940"/>
      <c r="N61" s="941"/>
      <c r="O61" s="117"/>
      <c r="P61" s="33"/>
      <c r="Q61" s="939"/>
      <c r="R61" s="939"/>
      <c r="S61" s="939"/>
      <c r="T61" s="939"/>
      <c r="U61" s="33"/>
      <c r="V61" s="33"/>
      <c r="W61" s="117"/>
      <c r="X61" s="940"/>
      <c r="Y61" s="940"/>
      <c r="Z61" s="941"/>
      <c r="AA61" s="33"/>
      <c r="AB61" s="33"/>
      <c r="AC61" s="118"/>
      <c r="AD61" s="34"/>
      <c r="AE61" s="34"/>
    </row>
    <row r="62" spans="1:31" ht="12" customHeight="1" x14ac:dyDescent="0.2">
      <c r="A62" s="34"/>
      <c r="B62" s="34"/>
      <c r="C62" s="942"/>
      <c r="D62" s="943"/>
      <c r="E62" s="943"/>
      <c r="F62" s="943"/>
      <c r="G62" s="943"/>
      <c r="H62" s="943"/>
      <c r="I62" s="943"/>
      <c r="J62" s="943"/>
      <c r="K62" s="116"/>
      <c r="L62" s="940"/>
      <c r="M62" s="940"/>
      <c r="N62" s="941"/>
      <c r="O62" s="117"/>
      <c r="P62" s="33"/>
      <c r="Q62" s="939"/>
      <c r="R62" s="939"/>
      <c r="S62" s="939"/>
      <c r="T62" s="939"/>
      <c r="U62" s="33"/>
      <c r="V62" s="33"/>
      <c r="W62" s="117"/>
      <c r="X62" s="940"/>
      <c r="Y62" s="940"/>
      <c r="Z62" s="941"/>
      <c r="AA62" s="33"/>
      <c r="AB62" s="33"/>
      <c r="AC62" s="118"/>
      <c r="AD62" s="34"/>
      <c r="AE62" s="34"/>
    </row>
    <row r="63" spans="1:31" ht="12" customHeight="1" x14ac:dyDescent="0.2">
      <c r="A63" s="34"/>
      <c r="B63" s="34"/>
      <c r="C63" s="942" t="s">
        <v>492</v>
      </c>
      <c r="D63" s="943"/>
      <c r="E63" s="943"/>
      <c r="F63" s="943"/>
      <c r="G63" s="943"/>
      <c r="H63" s="943"/>
      <c r="I63" s="943"/>
      <c r="J63" s="943"/>
      <c r="K63" s="116"/>
      <c r="L63" s="940" t="str">
        <f>IF('Eval-Avant impact'!$T$107="","",'Eval-Avant impact'!$T$364)</f>
        <v/>
      </c>
      <c r="M63" s="940"/>
      <c r="N63" s="941" t="s">
        <v>118</v>
      </c>
      <c r="O63" s="117"/>
      <c r="P63" s="33"/>
      <c r="Q63" s="939"/>
      <c r="R63" s="939"/>
      <c r="S63" s="939"/>
      <c r="T63" s="939"/>
      <c r="U63" s="33"/>
      <c r="V63" s="33"/>
      <c r="W63" s="117"/>
      <c r="X63" s="940" t="str">
        <f>IF($Q$9="X",'Eval-Avec act. écol. envisagée'!$T$364,IF($Q$11="X",'Eval-Après action écologique'!$T$364,""))</f>
        <v/>
      </c>
      <c r="Y63" s="940"/>
      <c r="Z63" s="941" t="s">
        <v>118</v>
      </c>
      <c r="AA63" s="33"/>
      <c r="AB63" s="33"/>
      <c r="AC63" s="118"/>
      <c r="AD63" s="34"/>
      <c r="AE63" s="34"/>
    </row>
    <row r="64" spans="1:31" ht="12" customHeight="1" x14ac:dyDescent="0.2">
      <c r="A64" s="34"/>
      <c r="B64" s="34"/>
      <c r="C64" s="942"/>
      <c r="D64" s="943"/>
      <c r="E64" s="943"/>
      <c r="F64" s="943"/>
      <c r="G64" s="943"/>
      <c r="H64" s="943"/>
      <c r="I64" s="943"/>
      <c r="J64" s="943"/>
      <c r="K64" s="116"/>
      <c r="L64" s="940"/>
      <c r="M64" s="940"/>
      <c r="N64" s="941"/>
      <c r="O64" s="117"/>
      <c r="P64" s="33"/>
      <c r="Q64" s="939"/>
      <c r="R64" s="939"/>
      <c r="S64" s="939"/>
      <c r="T64" s="939"/>
      <c r="U64" s="33"/>
      <c r="V64" s="33"/>
      <c r="W64" s="117"/>
      <c r="X64" s="940"/>
      <c r="Y64" s="940"/>
      <c r="Z64" s="941"/>
      <c r="AA64" s="33"/>
      <c r="AB64" s="33"/>
      <c r="AC64" s="118"/>
      <c r="AD64" s="34"/>
      <c r="AE64" s="34"/>
    </row>
    <row r="65" spans="1:31" ht="12" customHeight="1" x14ac:dyDescent="0.2">
      <c r="A65" s="34"/>
      <c r="B65" s="34"/>
      <c r="C65" s="942"/>
      <c r="D65" s="943"/>
      <c r="E65" s="943"/>
      <c r="F65" s="943"/>
      <c r="G65" s="943"/>
      <c r="H65" s="943"/>
      <c r="I65" s="943"/>
      <c r="J65" s="943"/>
      <c r="K65" s="116"/>
      <c r="L65" s="940"/>
      <c r="M65" s="940"/>
      <c r="N65" s="941"/>
      <c r="O65" s="117"/>
      <c r="P65" s="33"/>
      <c r="Q65" s="939"/>
      <c r="R65" s="939"/>
      <c r="S65" s="939"/>
      <c r="T65" s="939"/>
      <c r="U65" s="33"/>
      <c r="V65" s="33"/>
      <c r="W65" s="117"/>
      <c r="X65" s="940"/>
      <c r="Y65" s="940"/>
      <c r="Z65" s="941"/>
      <c r="AA65" s="33"/>
      <c r="AB65" s="33"/>
      <c r="AC65" s="118"/>
      <c r="AD65" s="34"/>
      <c r="AE65" s="34"/>
    </row>
    <row r="66" spans="1:31" ht="12" customHeight="1" x14ac:dyDescent="0.2">
      <c r="A66" s="34"/>
      <c r="B66" s="34"/>
      <c r="C66" s="942" t="s">
        <v>586</v>
      </c>
      <c r="D66" s="943"/>
      <c r="E66" s="943"/>
      <c r="F66" s="943"/>
      <c r="G66" s="943"/>
      <c r="H66" s="943"/>
      <c r="I66" s="943"/>
      <c r="J66" s="943"/>
      <c r="K66" s="116"/>
      <c r="L66" s="940" t="str">
        <f>IF('Eval-Avant impact'!$T$107="","",'Eval-Avant impact'!$T$365)</f>
        <v/>
      </c>
      <c r="M66" s="940"/>
      <c r="N66" s="941" t="s">
        <v>118</v>
      </c>
      <c r="O66" s="117"/>
      <c r="P66" s="33"/>
      <c r="Q66" s="939"/>
      <c r="R66" s="939"/>
      <c r="S66" s="939"/>
      <c r="T66" s="939"/>
      <c r="U66" s="33"/>
      <c r="V66" s="33"/>
      <c r="W66" s="117"/>
      <c r="X66" s="940" t="str">
        <f>IF($Q$9="X",'Eval-Avec act. écol. envisagée'!$T$365,IF($Q$11="X",'Eval-Après action écologique'!$T$365,""))</f>
        <v/>
      </c>
      <c r="Y66" s="940"/>
      <c r="Z66" s="941" t="s">
        <v>118</v>
      </c>
      <c r="AA66" s="33"/>
      <c r="AB66" s="33"/>
      <c r="AC66" s="118"/>
      <c r="AD66" s="34"/>
      <c r="AE66" s="34"/>
    </row>
    <row r="67" spans="1:31" ht="12" customHeight="1" x14ac:dyDescent="0.2">
      <c r="A67" s="34"/>
      <c r="B67" s="34"/>
      <c r="C67" s="942"/>
      <c r="D67" s="943"/>
      <c r="E67" s="943"/>
      <c r="F67" s="943"/>
      <c r="G67" s="943"/>
      <c r="H67" s="943"/>
      <c r="I67" s="943"/>
      <c r="J67" s="943"/>
      <c r="K67" s="116"/>
      <c r="L67" s="940"/>
      <c r="M67" s="940"/>
      <c r="N67" s="941"/>
      <c r="O67" s="117"/>
      <c r="P67" s="33"/>
      <c r="Q67" s="939"/>
      <c r="R67" s="939"/>
      <c r="S67" s="939"/>
      <c r="T67" s="939"/>
      <c r="U67" s="33"/>
      <c r="V67" s="33"/>
      <c r="W67" s="117"/>
      <c r="X67" s="940"/>
      <c r="Y67" s="940"/>
      <c r="Z67" s="941"/>
      <c r="AA67" s="33"/>
      <c r="AB67" s="33"/>
      <c r="AC67" s="118"/>
      <c r="AD67" s="34"/>
      <c r="AE67" s="34"/>
    </row>
    <row r="68" spans="1:31" ht="12" customHeight="1" x14ac:dyDescent="0.2">
      <c r="A68" s="34"/>
      <c r="B68" s="34"/>
      <c r="C68" s="942"/>
      <c r="D68" s="943"/>
      <c r="E68" s="943"/>
      <c r="F68" s="943"/>
      <c r="G68" s="943"/>
      <c r="H68" s="943"/>
      <c r="I68" s="943"/>
      <c r="J68" s="943"/>
      <c r="K68" s="116"/>
      <c r="L68" s="940"/>
      <c r="M68" s="940"/>
      <c r="N68" s="941"/>
      <c r="O68" s="117"/>
      <c r="P68" s="33"/>
      <c r="Q68" s="939"/>
      <c r="R68" s="939"/>
      <c r="S68" s="939"/>
      <c r="T68" s="939"/>
      <c r="U68" s="33"/>
      <c r="V68" s="33"/>
      <c r="W68" s="117"/>
      <c r="X68" s="940"/>
      <c r="Y68" s="940"/>
      <c r="Z68" s="941"/>
      <c r="AA68" s="33"/>
      <c r="AB68" s="33"/>
      <c r="AC68" s="118"/>
      <c r="AD68" s="34"/>
      <c r="AE68" s="34"/>
    </row>
    <row r="69" spans="1:31" ht="12" customHeight="1" x14ac:dyDescent="0.2">
      <c r="A69" s="34"/>
      <c r="B69" s="34"/>
      <c r="C69" s="942" t="s">
        <v>493</v>
      </c>
      <c r="D69" s="943"/>
      <c r="E69" s="943"/>
      <c r="F69" s="943"/>
      <c r="G69" s="943"/>
      <c r="H69" s="943"/>
      <c r="I69" s="943"/>
      <c r="J69" s="943"/>
      <c r="K69" s="116"/>
      <c r="L69" s="940" t="str">
        <f>IF('Eval-Avant impact'!$T$107="","",'Eval-Avant impact'!$T$366)</f>
        <v/>
      </c>
      <c r="M69" s="940"/>
      <c r="N69" s="941" t="s">
        <v>118</v>
      </c>
      <c r="O69" s="117"/>
      <c r="P69" s="33"/>
      <c r="Q69" s="939"/>
      <c r="R69" s="939"/>
      <c r="S69" s="939"/>
      <c r="T69" s="939"/>
      <c r="U69" s="33"/>
      <c r="V69" s="33"/>
      <c r="W69" s="117"/>
      <c r="X69" s="940" t="str">
        <f>IF($Q$9="X",'Eval-Avec act. écol. envisagée'!$T$366,IF($Q$11="X",'Eval-Après action écologique'!$T$366,""))</f>
        <v/>
      </c>
      <c r="Y69" s="940"/>
      <c r="Z69" s="941" t="s">
        <v>118</v>
      </c>
      <c r="AA69" s="33"/>
      <c r="AB69" s="33"/>
      <c r="AC69" s="118"/>
      <c r="AD69" s="34"/>
      <c r="AE69" s="34"/>
    </row>
    <row r="70" spans="1:31" ht="12" customHeight="1" x14ac:dyDescent="0.2">
      <c r="A70" s="34"/>
      <c r="B70" s="34"/>
      <c r="C70" s="942"/>
      <c r="D70" s="943"/>
      <c r="E70" s="943"/>
      <c r="F70" s="943"/>
      <c r="G70" s="943"/>
      <c r="H70" s="943"/>
      <c r="I70" s="943"/>
      <c r="J70" s="943"/>
      <c r="K70" s="116"/>
      <c r="L70" s="940"/>
      <c r="M70" s="940"/>
      <c r="N70" s="941"/>
      <c r="O70" s="117"/>
      <c r="P70" s="33"/>
      <c r="Q70" s="939"/>
      <c r="R70" s="939"/>
      <c r="S70" s="939"/>
      <c r="T70" s="939"/>
      <c r="U70" s="33"/>
      <c r="V70" s="33"/>
      <c r="W70" s="117"/>
      <c r="X70" s="940"/>
      <c r="Y70" s="940"/>
      <c r="Z70" s="941"/>
      <c r="AA70" s="33"/>
      <c r="AB70" s="33"/>
      <c r="AC70" s="118"/>
      <c r="AD70" s="34"/>
      <c r="AE70" s="34"/>
    </row>
    <row r="71" spans="1:31" ht="12" customHeight="1" x14ac:dyDescent="0.2">
      <c r="A71" s="34"/>
      <c r="B71" s="34"/>
      <c r="C71" s="942"/>
      <c r="D71" s="943"/>
      <c r="E71" s="943"/>
      <c r="F71" s="943"/>
      <c r="G71" s="943"/>
      <c r="H71" s="943"/>
      <c r="I71" s="943"/>
      <c r="J71" s="943"/>
      <c r="K71" s="116"/>
      <c r="L71" s="940"/>
      <c r="M71" s="940"/>
      <c r="N71" s="941"/>
      <c r="O71" s="117"/>
      <c r="P71" s="33"/>
      <c r="Q71" s="939"/>
      <c r="R71" s="939"/>
      <c r="S71" s="939"/>
      <c r="T71" s="939"/>
      <c r="U71" s="33"/>
      <c r="V71" s="33"/>
      <c r="W71" s="117"/>
      <c r="X71" s="940"/>
      <c r="Y71" s="940"/>
      <c r="Z71" s="941"/>
      <c r="AA71" s="33"/>
      <c r="AB71" s="33"/>
      <c r="AC71" s="118"/>
      <c r="AD71" s="34"/>
      <c r="AE71" s="34"/>
    </row>
    <row r="72" spans="1:31" ht="12" customHeight="1" x14ac:dyDescent="0.2">
      <c r="A72" s="34"/>
      <c r="B72" s="34"/>
      <c r="C72" s="942" t="s">
        <v>494</v>
      </c>
      <c r="D72" s="943"/>
      <c r="E72" s="943"/>
      <c r="F72" s="943"/>
      <c r="G72" s="943"/>
      <c r="H72" s="943"/>
      <c r="I72" s="943"/>
      <c r="J72" s="943"/>
      <c r="K72" s="116"/>
      <c r="L72" s="940" t="str">
        <f>IF('Eval-Avant impact'!$T$107="","",'Eval-Avant impact'!$T$367)</f>
        <v/>
      </c>
      <c r="M72" s="940"/>
      <c r="N72" s="941" t="s">
        <v>118</v>
      </c>
      <c r="O72" s="117"/>
      <c r="P72" s="33"/>
      <c r="Q72" s="939"/>
      <c r="R72" s="939"/>
      <c r="S72" s="939"/>
      <c r="T72" s="939"/>
      <c r="U72" s="33"/>
      <c r="V72" s="33"/>
      <c r="W72" s="117"/>
      <c r="X72" s="940" t="str">
        <f>IF($Q$9="X",'Eval-Avec act. écol. envisagée'!$T$367,IF($Q$11="X",'Eval-Après action écologique'!$T$367,""))</f>
        <v/>
      </c>
      <c r="Y72" s="940"/>
      <c r="Z72" s="941" t="s">
        <v>118</v>
      </c>
      <c r="AA72" s="33"/>
      <c r="AB72" s="33"/>
      <c r="AC72" s="118"/>
      <c r="AD72" s="34"/>
      <c r="AE72" s="34"/>
    </row>
    <row r="73" spans="1:31" ht="12" customHeight="1" x14ac:dyDescent="0.2">
      <c r="A73" s="34"/>
      <c r="B73" s="34"/>
      <c r="C73" s="942"/>
      <c r="D73" s="943"/>
      <c r="E73" s="943"/>
      <c r="F73" s="943"/>
      <c r="G73" s="943"/>
      <c r="H73" s="943"/>
      <c r="I73" s="943"/>
      <c r="J73" s="943"/>
      <c r="K73" s="116"/>
      <c r="L73" s="940"/>
      <c r="M73" s="940"/>
      <c r="N73" s="941"/>
      <c r="O73" s="117"/>
      <c r="P73" s="33"/>
      <c r="Q73" s="939"/>
      <c r="R73" s="939"/>
      <c r="S73" s="939"/>
      <c r="T73" s="939"/>
      <c r="U73" s="33"/>
      <c r="V73" s="33"/>
      <c r="W73" s="117"/>
      <c r="X73" s="940"/>
      <c r="Y73" s="940"/>
      <c r="Z73" s="941"/>
      <c r="AA73" s="33"/>
      <c r="AB73" s="33"/>
      <c r="AC73" s="118"/>
      <c r="AD73" s="34"/>
      <c r="AE73" s="34"/>
    </row>
    <row r="74" spans="1:31" ht="12" customHeight="1" x14ac:dyDescent="0.2">
      <c r="A74" s="34"/>
      <c r="B74" s="34"/>
      <c r="C74" s="942"/>
      <c r="D74" s="943"/>
      <c r="E74" s="943"/>
      <c r="F74" s="943"/>
      <c r="G74" s="943"/>
      <c r="H74" s="943"/>
      <c r="I74" s="943"/>
      <c r="J74" s="943"/>
      <c r="K74" s="116"/>
      <c r="L74" s="940"/>
      <c r="M74" s="940"/>
      <c r="N74" s="941"/>
      <c r="O74" s="117"/>
      <c r="P74" s="33"/>
      <c r="Q74" s="939"/>
      <c r="R74" s="939"/>
      <c r="S74" s="939"/>
      <c r="T74" s="939"/>
      <c r="U74" s="33"/>
      <c r="V74" s="33"/>
      <c r="W74" s="117"/>
      <c r="X74" s="940"/>
      <c r="Y74" s="940"/>
      <c r="Z74" s="941"/>
      <c r="AA74" s="33"/>
      <c r="AB74" s="33"/>
      <c r="AC74" s="118"/>
      <c r="AD74" s="34"/>
      <c r="AE74" s="34"/>
    </row>
    <row r="75" spans="1:31" ht="12" customHeight="1" x14ac:dyDescent="0.2">
      <c r="A75" s="34"/>
      <c r="B75" s="34"/>
      <c r="C75" s="942" t="s">
        <v>495</v>
      </c>
      <c r="D75" s="943"/>
      <c r="E75" s="943"/>
      <c r="F75" s="943"/>
      <c r="G75" s="943"/>
      <c r="H75" s="943"/>
      <c r="I75" s="943"/>
      <c r="J75" s="943"/>
      <c r="K75" s="116"/>
      <c r="L75" s="940" t="str">
        <f>IF('Eval-Avant impact'!$T$107="","",'Eval-Avant impact'!$T$368)</f>
        <v/>
      </c>
      <c r="M75" s="940"/>
      <c r="N75" s="941" t="s">
        <v>118</v>
      </c>
      <c r="O75" s="117"/>
      <c r="P75" s="33"/>
      <c r="Q75" s="939"/>
      <c r="R75" s="939"/>
      <c r="S75" s="939"/>
      <c r="T75" s="939"/>
      <c r="U75" s="33"/>
      <c r="V75" s="33"/>
      <c r="W75" s="117"/>
      <c r="X75" s="940" t="str">
        <f>IF($Q$9="X",'Eval-Avec act. écol. envisagée'!$T$368,IF($Q$11="X",'Eval-Après action écologique'!$T$368,""))</f>
        <v/>
      </c>
      <c r="Y75" s="940"/>
      <c r="Z75" s="941" t="s">
        <v>118</v>
      </c>
      <c r="AA75" s="33"/>
      <c r="AB75" s="33"/>
      <c r="AC75" s="118"/>
      <c r="AD75" s="34"/>
      <c r="AE75" s="34"/>
    </row>
    <row r="76" spans="1:31" ht="12" customHeight="1" x14ac:dyDescent="0.2">
      <c r="A76" s="34"/>
      <c r="B76" s="34"/>
      <c r="C76" s="942"/>
      <c r="D76" s="943"/>
      <c r="E76" s="943"/>
      <c r="F76" s="943"/>
      <c r="G76" s="943"/>
      <c r="H76" s="943"/>
      <c r="I76" s="943"/>
      <c r="J76" s="943"/>
      <c r="K76" s="116"/>
      <c r="L76" s="940"/>
      <c r="M76" s="940"/>
      <c r="N76" s="941"/>
      <c r="O76" s="117"/>
      <c r="P76" s="33"/>
      <c r="Q76" s="939"/>
      <c r="R76" s="939"/>
      <c r="S76" s="939"/>
      <c r="T76" s="939"/>
      <c r="U76" s="33"/>
      <c r="V76" s="33"/>
      <c r="W76" s="117"/>
      <c r="X76" s="940"/>
      <c r="Y76" s="940"/>
      <c r="Z76" s="941"/>
      <c r="AA76" s="33"/>
      <c r="AB76" s="33"/>
      <c r="AC76" s="118"/>
      <c r="AD76" s="34"/>
      <c r="AE76" s="34"/>
    </row>
    <row r="77" spans="1:31" ht="12" customHeight="1" x14ac:dyDescent="0.2">
      <c r="A77" s="34"/>
      <c r="B77" s="34"/>
      <c r="C77" s="942"/>
      <c r="D77" s="943"/>
      <c r="E77" s="943"/>
      <c r="F77" s="943"/>
      <c r="G77" s="943"/>
      <c r="H77" s="943"/>
      <c r="I77" s="943"/>
      <c r="J77" s="943"/>
      <c r="K77" s="116"/>
      <c r="L77" s="940"/>
      <c r="M77" s="940"/>
      <c r="N77" s="941"/>
      <c r="O77" s="117"/>
      <c r="P77" s="33"/>
      <c r="Q77" s="939"/>
      <c r="R77" s="939"/>
      <c r="S77" s="939"/>
      <c r="T77" s="939"/>
      <c r="U77" s="33"/>
      <c r="V77" s="33"/>
      <c r="W77" s="117"/>
      <c r="X77" s="940"/>
      <c r="Y77" s="940"/>
      <c r="Z77" s="941"/>
      <c r="AA77" s="33"/>
      <c r="AB77" s="33"/>
      <c r="AC77" s="118"/>
      <c r="AD77" s="34"/>
      <c r="AE77" s="34"/>
    </row>
    <row r="78" spans="1:31" ht="12" customHeight="1" x14ac:dyDescent="0.2">
      <c r="A78" s="34"/>
      <c r="B78" s="34"/>
      <c r="C78" s="942" t="s">
        <v>496</v>
      </c>
      <c r="D78" s="943"/>
      <c r="E78" s="943"/>
      <c r="F78" s="943"/>
      <c r="G78" s="943"/>
      <c r="H78" s="943"/>
      <c r="I78" s="943"/>
      <c r="J78" s="943"/>
      <c r="K78" s="116"/>
      <c r="L78" s="940" t="str">
        <f>IF('Eval-Avant impact'!$T$107="","",'Eval-Avant impact'!$T$369)</f>
        <v/>
      </c>
      <c r="M78" s="940"/>
      <c r="N78" s="941" t="s">
        <v>118</v>
      </c>
      <c r="O78" s="117"/>
      <c r="P78" s="33"/>
      <c r="Q78" s="939"/>
      <c r="R78" s="939"/>
      <c r="S78" s="939"/>
      <c r="T78" s="939"/>
      <c r="U78" s="33"/>
      <c r="V78" s="33"/>
      <c r="W78" s="117"/>
      <c r="X78" s="940" t="str">
        <f>IF($Q$9="X",'Eval-Avec act. écol. envisagée'!$T$369,IF($Q$11="X",'Eval-Après action écologique'!$T$369,""))</f>
        <v/>
      </c>
      <c r="Y78" s="940"/>
      <c r="Z78" s="941" t="s">
        <v>118</v>
      </c>
      <c r="AA78" s="33"/>
      <c r="AB78" s="33"/>
      <c r="AC78" s="118"/>
      <c r="AD78" s="34"/>
      <c r="AE78" s="34"/>
    </row>
    <row r="79" spans="1:31" ht="12" customHeight="1" x14ac:dyDescent="0.2">
      <c r="A79" s="34"/>
      <c r="B79" s="34"/>
      <c r="C79" s="942"/>
      <c r="D79" s="943"/>
      <c r="E79" s="943"/>
      <c r="F79" s="943"/>
      <c r="G79" s="943"/>
      <c r="H79" s="943"/>
      <c r="I79" s="943"/>
      <c r="J79" s="943"/>
      <c r="K79" s="116"/>
      <c r="L79" s="940"/>
      <c r="M79" s="940"/>
      <c r="N79" s="941"/>
      <c r="O79" s="117"/>
      <c r="P79" s="33"/>
      <c r="Q79" s="939"/>
      <c r="R79" s="939"/>
      <c r="S79" s="939"/>
      <c r="T79" s="939"/>
      <c r="U79" s="33"/>
      <c r="V79" s="33"/>
      <c r="W79" s="117"/>
      <c r="X79" s="940"/>
      <c r="Y79" s="940"/>
      <c r="Z79" s="941"/>
      <c r="AA79" s="33"/>
      <c r="AB79" s="33"/>
      <c r="AC79" s="118"/>
      <c r="AD79" s="34"/>
      <c r="AE79" s="34"/>
    </row>
    <row r="80" spans="1:31" ht="12" customHeight="1" x14ac:dyDescent="0.2">
      <c r="A80" s="34"/>
      <c r="B80" s="34"/>
      <c r="C80" s="942"/>
      <c r="D80" s="943"/>
      <c r="E80" s="943"/>
      <c r="F80" s="943"/>
      <c r="G80" s="943"/>
      <c r="H80" s="943"/>
      <c r="I80" s="943"/>
      <c r="J80" s="943"/>
      <c r="K80" s="116"/>
      <c r="L80" s="940"/>
      <c r="M80" s="940"/>
      <c r="N80" s="941"/>
      <c r="O80" s="117"/>
      <c r="P80" s="33"/>
      <c r="Q80" s="939"/>
      <c r="R80" s="939"/>
      <c r="S80" s="939"/>
      <c r="T80" s="939"/>
      <c r="U80" s="33"/>
      <c r="V80" s="33"/>
      <c r="W80" s="117"/>
      <c r="X80" s="940"/>
      <c r="Y80" s="940"/>
      <c r="Z80" s="941"/>
      <c r="AA80" s="33"/>
      <c r="AB80" s="33"/>
      <c r="AC80" s="118"/>
      <c r="AD80" s="34"/>
      <c r="AE80" s="34"/>
    </row>
    <row r="81" spans="1:31" ht="12" customHeight="1" x14ac:dyDescent="0.2">
      <c r="A81" s="34"/>
      <c r="B81" s="34"/>
      <c r="C81" s="942" t="s">
        <v>497</v>
      </c>
      <c r="D81" s="943"/>
      <c r="E81" s="943"/>
      <c r="F81" s="943"/>
      <c r="G81" s="943"/>
      <c r="H81" s="943"/>
      <c r="I81" s="943"/>
      <c r="J81" s="943"/>
      <c r="K81" s="116"/>
      <c r="L81" s="940" t="str">
        <f>IF('Eval-Avant impact'!$T$107="","",'Eval-Avant impact'!$T$370)</f>
        <v/>
      </c>
      <c r="M81" s="940"/>
      <c r="N81" s="941" t="s">
        <v>118</v>
      </c>
      <c r="O81" s="117"/>
      <c r="P81" s="33"/>
      <c r="Q81" s="939"/>
      <c r="R81" s="939"/>
      <c r="S81" s="939"/>
      <c r="T81" s="939"/>
      <c r="U81" s="33"/>
      <c r="V81" s="33"/>
      <c r="W81" s="117"/>
      <c r="X81" s="940" t="str">
        <f>IF($Q$9="X",'Eval-Avec act. écol. envisagée'!$T$370,IF($Q$11="X",'Eval-Après action écologique'!$T$370,""))</f>
        <v/>
      </c>
      <c r="Y81" s="940"/>
      <c r="Z81" s="941" t="s">
        <v>118</v>
      </c>
      <c r="AA81" s="33"/>
      <c r="AB81" s="33"/>
      <c r="AC81" s="118"/>
      <c r="AD81" s="34"/>
      <c r="AE81" s="34"/>
    </row>
    <row r="82" spans="1:31" ht="12" customHeight="1" x14ac:dyDescent="0.2">
      <c r="A82" s="34"/>
      <c r="B82" s="34"/>
      <c r="C82" s="942"/>
      <c r="D82" s="943"/>
      <c r="E82" s="943"/>
      <c r="F82" s="943"/>
      <c r="G82" s="943"/>
      <c r="H82" s="943"/>
      <c r="I82" s="943"/>
      <c r="J82" s="943"/>
      <c r="K82" s="116"/>
      <c r="L82" s="940"/>
      <c r="M82" s="940"/>
      <c r="N82" s="941"/>
      <c r="O82" s="117"/>
      <c r="P82" s="33"/>
      <c r="Q82" s="938" t="s">
        <v>1523</v>
      </c>
      <c r="R82" s="938"/>
      <c r="S82" s="938"/>
      <c r="T82" s="938"/>
      <c r="U82" s="33"/>
      <c r="V82" s="33"/>
      <c r="W82" s="117"/>
      <c r="X82" s="940"/>
      <c r="Y82" s="940"/>
      <c r="Z82" s="941"/>
      <c r="AA82" s="33"/>
      <c r="AB82" s="33"/>
      <c r="AC82" s="118"/>
      <c r="AD82" s="34"/>
      <c r="AE82" s="34"/>
    </row>
    <row r="83" spans="1:31" ht="12" customHeight="1" x14ac:dyDescent="0.2">
      <c r="A83" s="34"/>
      <c r="B83" s="34"/>
      <c r="C83" s="942"/>
      <c r="D83" s="943"/>
      <c r="E83" s="943"/>
      <c r="F83" s="943"/>
      <c r="G83" s="943"/>
      <c r="H83" s="943"/>
      <c r="I83" s="943"/>
      <c r="J83" s="943"/>
      <c r="K83" s="116"/>
      <c r="L83" s="940"/>
      <c r="M83" s="940"/>
      <c r="N83" s="941"/>
      <c r="O83" s="117"/>
      <c r="P83" s="33"/>
      <c r="Q83" s="938"/>
      <c r="R83" s="938"/>
      <c r="S83" s="938"/>
      <c r="T83" s="938"/>
      <c r="U83" s="33"/>
      <c r="V83" s="33"/>
      <c r="W83" s="117"/>
      <c r="X83" s="940"/>
      <c r="Y83" s="940"/>
      <c r="Z83" s="941"/>
      <c r="AA83" s="33"/>
      <c r="AB83" s="33"/>
      <c r="AC83" s="118"/>
      <c r="AD83" s="34"/>
      <c r="AE83" s="34"/>
    </row>
    <row r="84" spans="1:31" ht="12" customHeight="1" thickBot="1" x14ac:dyDescent="0.25">
      <c r="A84" s="34"/>
      <c r="B84" s="34"/>
      <c r="C84" s="103"/>
      <c r="D84" s="53"/>
      <c r="E84" s="105"/>
      <c r="F84" s="105"/>
      <c r="G84" s="105"/>
      <c r="H84" s="105"/>
      <c r="I84" s="105"/>
      <c r="J84" s="105"/>
      <c r="K84" s="105"/>
      <c r="L84" s="53"/>
      <c r="M84" s="105"/>
      <c r="N84" s="105"/>
      <c r="O84" s="105"/>
      <c r="P84" s="53"/>
      <c r="Q84" s="53"/>
      <c r="R84" s="53"/>
      <c r="S84" s="53"/>
      <c r="T84" s="53"/>
      <c r="U84" s="53"/>
      <c r="V84" s="53"/>
      <c r="W84" s="53"/>
      <c r="X84" s="53"/>
      <c r="Y84" s="53"/>
      <c r="Z84" s="53"/>
      <c r="AA84" s="119"/>
      <c r="AB84" s="53"/>
      <c r="AC84" s="120"/>
      <c r="AD84" s="34"/>
      <c r="AE84" s="34"/>
    </row>
    <row r="85" spans="1:31" ht="12" customHeight="1" x14ac:dyDescent="0.2">
      <c r="A85" s="34"/>
      <c r="B85" s="34"/>
      <c r="C85" s="920" t="s">
        <v>363</v>
      </c>
      <c r="D85" s="920"/>
      <c r="E85" s="920"/>
      <c r="F85" s="920"/>
      <c r="G85" s="920"/>
      <c r="H85" s="34"/>
      <c r="I85" s="34"/>
      <c r="J85" s="121"/>
      <c r="K85" s="923" t="str">
        <f>IF('Eval-Avant impact'!$T$107="","",'Eval-Avant impact'!$G$352)</f>
        <v/>
      </c>
      <c r="L85" s="923"/>
      <c r="M85" s="923"/>
      <c r="N85" s="923"/>
      <c r="O85" s="111"/>
      <c r="P85" s="34"/>
      <c r="Q85" s="953" t="s">
        <v>348</v>
      </c>
      <c r="R85" s="953"/>
      <c r="S85" s="953"/>
      <c r="T85" s="953"/>
      <c r="U85" s="34"/>
      <c r="V85" s="121"/>
      <c r="W85" s="923" t="str">
        <f>IF($Q$9="X",'Eval-Avec act. écol. envisagée'!$G$352,IF($Q$11="X",'Eval-Après action écologique'!$G$352,""))</f>
        <v/>
      </c>
      <c r="X85" s="923"/>
      <c r="Y85" s="923"/>
      <c r="Z85" s="923"/>
      <c r="AA85" s="111"/>
      <c r="AB85" s="34"/>
      <c r="AC85" s="34"/>
      <c r="AD85" s="34"/>
      <c r="AE85" s="34"/>
    </row>
    <row r="86" spans="1:31" ht="12" customHeight="1" x14ac:dyDescent="0.2">
      <c r="A86" s="34"/>
      <c r="B86" s="34"/>
      <c r="C86" s="34"/>
      <c r="D86" s="34"/>
      <c r="E86" s="34"/>
      <c r="F86" s="34"/>
      <c r="G86" s="33"/>
      <c r="H86" s="33"/>
      <c r="I86" s="33"/>
      <c r="J86" s="33"/>
      <c r="K86" s="112"/>
      <c r="L86" s="112"/>
      <c r="M86" s="112"/>
      <c r="N86" s="112"/>
      <c r="O86" s="112"/>
      <c r="P86" s="112"/>
      <c r="Q86" s="953"/>
      <c r="R86" s="953"/>
      <c r="S86" s="953"/>
      <c r="T86" s="953"/>
      <c r="U86" s="34"/>
      <c r="V86" s="34"/>
      <c r="W86" s="112"/>
      <c r="X86" s="112"/>
      <c r="Y86" s="112"/>
      <c r="Z86" s="112"/>
      <c r="AA86" s="112"/>
      <c r="AB86" s="112"/>
      <c r="AC86" s="34"/>
      <c r="AD86" s="34"/>
      <c r="AE86" s="34"/>
    </row>
    <row r="87" spans="1:31" ht="12" customHeight="1" thickBot="1" x14ac:dyDescent="0.25">
      <c r="A87" s="34"/>
      <c r="B87" s="34"/>
      <c r="C87" s="34"/>
      <c r="D87" s="34"/>
      <c r="E87" s="34"/>
      <c r="F87" s="34"/>
      <c r="G87" s="33"/>
      <c r="H87" s="33"/>
      <c r="I87" s="33"/>
      <c r="J87" s="33"/>
      <c r="K87" s="33"/>
      <c r="L87" s="33"/>
      <c r="M87" s="34"/>
      <c r="N87" s="34"/>
      <c r="O87" s="34"/>
      <c r="P87" s="34"/>
      <c r="Q87" s="948"/>
      <c r="R87" s="948"/>
      <c r="S87" s="948"/>
      <c r="T87" s="948"/>
      <c r="U87" s="34"/>
      <c r="V87" s="34"/>
      <c r="W87" s="34"/>
      <c r="X87" s="34"/>
      <c r="Y87" s="922"/>
      <c r="Z87" s="922"/>
      <c r="AA87" s="33"/>
      <c r="AB87" s="34"/>
      <c r="AC87" s="34"/>
      <c r="AD87" s="34"/>
      <c r="AE87" s="34"/>
    </row>
    <row r="88" spans="1:31" ht="12" customHeight="1" x14ac:dyDescent="0.2">
      <c r="A88" s="34"/>
      <c r="B88" s="34"/>
      <c r="C88" s="97"/>
      <c r="D88" s="98"/>
      <c r="E88" s="98"/>
      <c r="F88" s="98"/>
      <c r="G88" s="98"/>
      <c r="H88" s="98"/>
      <c r="I88" s="98"/>
      <c r="J88" s="98"/>
      <c r="K88" s="98"/>
      <c r="L88" s="98"/>
      <c r="M88" s="99"/>
      <c r="N88" s="99"/>
      <c r="O88" s="99"/>
      <c r="P88" s="98"/>
      <c r="Q88" s="98"/>
      <c r="R88" s="98"/>
      <c r="S88" s="98"/>
      <c r="T88" s="98"/>
      <c r="U88" s="98"/>
      <c r="V88" s="98"/>
      <c r="W88" s="98"/>
      <c r="X88" s="98"/>
      <c r="Y88" s="99"/>
      <c r="Z88" s="99"/>
      <c r="AA88" s="98"/>
      <c r="AB88" s="98"/>
      <c r="AC88" s="115"/>
      <c r="AD88" s="34"/>
      <c r="AE88" s="34"/>
    </row>
    <row r="89" spans="1:31" ht="12" customHeight="1" x14ac:dyDescent="0.2">
      <c r="A89" s="34"/>
      <c r="B89" s="34"/>
      <c r="C89" s="909" t="s">
        <v>528</v>
      </c>
      <c r="D89" s="910"/>
      <c r="E89" s="910"/>
      <c r="F89" s="910"/>
      <c r="G89" s="910"/>
      <c r="H89" s="910"/>
      <c r="I89" s="813" t="str">
        <f>CONCATENATE(IF('Eval-Avant impact'!$J$121="x","Alluvial ",""),IF('Eval-Avant impact'!$J$122="x","Riverain des étendues d'eau ",""),IF('Eval-Avant impact'!$J$123="x","Dépression ",""),IF('Eval-Avant impact'!$T$121="x","Versant et bas-versant ",""),IF('Eval-Avant impact'!$T$122="x","Plateau ",""))</f>
        <v/>
      </c>
      <c r="J89" s="813"/>
      <c r="K89" s="813"/>
      <c r="L89" s="813"/>
      <c r="M89" s="813"/>
      <c r="N89" s="813"/>
      <c r="O89" s="813"/>
      <c r="P89" s="813"/>
      <c r="Q89" s="937" t="s">
        <v>1524</v>
      </c>
      <c r="R89" s="937"/>
      <c r="S89" s="937"/>
      <c r="T89" s="937"/>
      <c r="U89" s="813" t="str">
        <f>IF($Q$9="X",CONCATENATE(IF('Eval-Avec act. écol. envisagée'!$J$121="x","Alluvial ",""),IF('Eval-Avec act. écol. envisagée'!$J$122="x","Riverain des étendues d'eau ",""),IF('Eval-Avec act. écol. envisagée'!$J$123="x","Dépression ",""),IF('Eval-Avec act. écol. envisagée'!$T$121="x","Versant et bas-versant ",""),IF('Eval-Avec act. écol. envisagée'!$T$122="x","Plateau ","")),IF($Q$11="X",CONCATENATE(IF('Eval-Après action écologique'!$J$121="x","Alluvial ",""),IF('Eval-Après action écologique'!$J$122="x","Riverain des étendues d'eau ",""),IF('Eval-Après action écologique'!$J$123="x","Dépression ",""),IF('Eval-Après action écologique'!$T$121="x","Versant et bas-versant ",""),IF('Eval-Après action écologique'!$T$122="x","Plateau ","")),""))</f>
        <v/>
      </c>
      <c r="V89" s="813"/>
      <c r="W89" s="813"/>
      <c r="X89" s="813"/>
      <c r="Y89" s="813"/>
      <c r="Z89" s="813"/>
      <c r="AA89" s="813"/>
      <c r="AB89" s="813"/>
      <c r="AC89" s="122"/>
      <c r="AD89" s="123"/>
      <c r="AE89" s="32"/>
    </row>
    <row r="90" spans="1:31" ht="12" customHeight="1" x14ac:dyDescent="0.2">
      <c r="A90" s="34"/>
      <c r="B90" s="34"/>
      <c r="C90" s="909"/>
      <c r="D90" s="910"/>
      <c r="E90" s="910"/>
      <c r="F90" s="910"/>
      <c r="G90" s="910"/>
      <c r="H90" s="910"/>
      <c r="I90" s="813"/>
      <c r="J90" s="813"/>
      <c r="K90" s="813"/>
      <c r="L90" s="813"/>
      <c r="M90" s="813"/>
      <c r="N90" s="813"/>
      <c r="O90" s="813"/>
      <c r="P90" s="813"/>
      <c r="Q90" s="937"/>
      <c r="R90" s="937"/>
      <c r="S90" s="937"/>
      <c r="T90" s="937"/>
      <c r="U90" s="813"/>
      <c r="V90" s="813"/>
      <c r="W90" s="813"/>
      <c r="X90" s="813"/>
      <c r="Y90" s="813"/>
      <c r="Z90" s="813"/>
      <c r="AA90" s="813"/>
      <c r="AB90" s="813"/>
      <c r="AC90" s="122"/>
      <c r="AD90" s="123"/>
      <c r="AE90" s="32"/>
    </row>
    <row r="91" spans="1:31" ht="12" customHeight="1" x14ac:dyDescent="0.2">
      <c r="A91" s="124"/>
      <c r="B91" s="34"/>
      <c r="C91" s="909"/>
      <c r="D91" s="910"/>
      <c r="E91" s="910"/>
      <c r="F91" s="910"/>
      <c r="G91" s="910"/>
      <c r="H91" s="910"/>
      <c r="I91" s="813"/>
      <c r="J91" s="813"/>
      <c r="K91" s="813"/>
      <c r="L91" s="813"/>
      <c r="M91" s="813"/>
      <c r="N91" s="813"/>
      <c r="O91" s="813"/>
      <c r="P91" s="813"/>
      <c r="Q91" s="939" t="s">
        <v>349</v>
      </c>
      <c r="R91" s="939"/>
      <c r="S91" s="939"/>
      <c r="T91" s="939"/>
      <c r="U91" s="813"/>
      <c r="V91" s="813"/>
      <c r="W91" s="813"/>
      <c r="X91" s="813"/>
      <c r="Y91" s="813"/>
      <c r="Z91" s="813"/>
      <c r="AA91" s="813"/>
      <c r="AB91" s="813"/>
      <c r="AC91" s="122"/>
      <c r="AD91" s="123"/>
      <c r="AE91" s="32"/>
    </row>
    <row r="92" spans="1:31" ht="12" customHeight="1" x14ac:dyDescent="0.2">
      <c r="A92" s="34"/>
      <c r="B92" s="34"/>
      <c r="C92" s="909"/>
      <c r="D92" s="910"/>
      <c r="E92" s="910"/>
      <c r="F92" s="910"/>
      <c r="G92" s="910"/>
      <c r="H92" s="910"/>
      <c r="I92" s="813"/>
      <c r="J92" s="813"/>
      <c r="K92" s="813"/>
      <c r="L92" s="813"/>
      <c r="M92" s="813"/>
      <c r="N92" s="813"/>
      <c r="O92" s="813"/>
      <c r="P92" s="813"/>
      <c r="Q92" s="939"/>
      <c r="R92" s="939"/>
      <c r="S92" s="939"/>
      <c r="T92" s="939"/>
      <c r="U92" s="813"/>
      <c r="V92" s="813"/>
      <c r="W92" s="813"/>
      <c r="X92" s="813"/>
      <c r="Y92" s="813"/>
      <c r="Z92" s="813"/>
      <c r="AA92" s="813"/>
      <c r="AB92" s="813"/>
      <c r="AC92" s="122"/>
      <c r="AD92" s="123"/>
      <c r="AE92" s="32"/>
    </row>
    <row r="93" spans="1:31" ht="12" customHeight="1" x14ac:dyDescent="0.2">
      <c r="A93" s="34"/>
      <c r="B93" s="34"/>
      <c r="C93" s="909"/>
      <c r="D93" s="910"/>
      <c r="E93" s="910"/>
      <c r="F93" s="910"/>
      <c r="G93" s="910"/>
      <c r="H93" s="910"/>
      <c r="I93" s="813"/>
      <c r="J93" s="813"/>
      <c r="K93" s="813"/>
      <c r="L93" s="813"/>
      <c r="M93" s="813"/>
      <c r="N93" s="813"/>
      <c r="O93" s="813"/>
      <c r="P93" s="813"/>
      <c r="Q93" s="939"/>
      <c r="R93" s="939"/>
      <c r="S93" s="939"/>
      <c r="T93" s="939"/>
      <c r="U93" s="813"/>
      <c r="V93" s="813"/>
      <c r="W93" s="813"/>
      <c r="X93" s="813"/>
      <c r="Y93" s="813"/>
      <c r="Z93" s="813"/>
      <c r="AA93" s="813"/>
      <c r="AB93" s="813"/>
      <c r="AC93" s="122"/>
      <c r="AD93" s="123"/>
      <c r="AE93" s="32"/>
    </row>
    <row r="94" spans="1:31" ht="12" customHeight="1" x14ac:dyDescent="0.2">
      <c r="A94" s="34"/>
      <c r="B94" s="34"/>
      <c r="C94" s="936" t="s">
        <v>353</v>
      </c>
      <c r="D94" s="922"/>
      <c r="E94" s="922"/>
      <c r="F94" s="922"/>
      <c r="G94" s="922"/>
      <c r="H94" s="922"/>
      <c r="I94" s="813" t="str">
        <f>IF(LEN('Eval-Avant impact'!$C$128)&gt;0,'Eval-Avant impact'!$C$128,"")</f>
        <v/>
      </c>
      <c r="J94" s="813"/>
      <c r="K94" s="813"/>
      <c r="L94" s="813"/>
      <c r="M94" s="813"/>
      <c r="N94" s="813"/>
      <c r="O94" s="813"/>
      <c r="P94" s="813"/>
      <c r="Q94" s="939"/>
      <c r="R94" s="939"/>
      <c r="S94" s="939"/>
      <c r="T94" s="939"/>
      <c r="U94" s="813" t="str">
        <f>IF($Q$9="X",IF(LEN('Eval-Avec act. écol. envisagée'!$C$128)&gt;0,'Eval-Avec act. écol. envisagée'!$C$128,""),IF($Q$11="X",IF(LEN('Eval-Après action écologique'!$C$128)&gt;0,'Eval-Après action écologique'!$C$128,""),""))</f>
        <v/>
      </c>
      <c r="V94" s="813"/>
      <c r="W94" s="813"/>
      <c r="X94" s="813"/>
      <c r="Y94" s="813"/>
      <c r="Z94" s="813"/>
      <c r="AA94" s="813"/>
      <c r="AB94" s="813"/>
      <c r="AC94" s="122"/>
      <c r="AD94" s="123"/>
      <c r="AE94" s="32"/>
    </row>
    <row r="95" spans="1:31" ht="12" customHeight="1" x14ac:dyDescent="0.2">
      <c r="A95" s="34"/>
      <c r="B95" s="34"/>
      <c r="C95" s="936"/>
      <c r="D95" s="922"/>
      <c r="E95" s="922"/>
      <c r="F95" s="922"/>
      <c r="G95" s="922"/>
      <c r="H95" s="922"/>
      <c r="I95" s="813"/>
      <c r="J95" s="813"/>
      <c r="K95" s="813"/>
      <c r="L95" s="813"/>
      <c r="M95" s="813"/>
      <c r="N95" s="813"/>
      <c r="O95" s="813"/>
      <c r="P95" s="813"/>
      <c r="Q95" s="939"/>
      <c r="R95" s="939"/>
      <c r="S95" s="939"/>
      <c r="T95" s="939"/>
      <c r="U95" s="813"/>
      <c r="V95" s="813"/>
      <c r="W95" s="813"/>
      <c r="X95" s="813"/>
      <c r="Y95" s="813"/>
      <c r="Z95" s="813"/>
      <c r="AA95" s="813"/>
      <c r="AB95" s="813"/>
      <c r="AC95" s="122"/>
      <c r="AD95" s="123"/>
      <c r="AE95" s="32"/>
    </row>
    <row r="96" spans="1:31" ht="12" customHeight="1" x14ac:dyDescent="0.2">
      <c r="A96" s="34"/>
      <c r="B96" s="34"/>
      <c r="C96" s="936"/>
      <c r="D96" s="922"/>
      <c r="E96" s="922"/>
      <c r="F96" s="922"/>
      <c r="G96" s="922"/>
      <c r="H96" s="922"/>
      <c r="I96" s="813"/>
      <c r="J96" s="813"/>
      <c r="K96" s="813"/>
      <c r="L96" s="813"/>
      <c r="M96" s="813"/>
      <c r="N96" s="813"/>
      <c r="O96" s="813"/>
      <c r="P96" s="813"/>
      <c r="Q96" s="939"/>
      <c r="R96" s="939"/>
      <c r="S96" s="939"/>
      <c r="T96" s="939"/>
      <c r="U96" s="813"/>
      <c r="V96" s="813"/>
      <c r="W96" s="813"/>
      <c r="X96" s="813"/>
      <c r="Y96" s="813"/>
      <c r="Z96" s="813"/>
      <c r="AA96" s="813"/>
      <c r="AB96" s="813"/>
      <c r="AC96" s="122"/>
      <c r="AD96" s="123"/>
      <c r="AE96" s="32"/>
    </row>
    <row r="97" spans="1:31" ht="12" customHeight="1" x14ac:dyDescent="0.2">
      <c r="A97" s="34"/>
      <c r="B97" s="34"/>
      <c r="C97" s="936"/>
      <c r="D97" s="922"/>
      <c r="E97" s="922"/>
      <c r="F97" s="922"/>
      <c r="G97" s="922"/>
      <c r="H97" s="922"/>
      <c r="I97" s="813"/>
      <c r="J97" s="813"/>
      <c r="K97" s="813"/>
      <c r="L97" s="813"/>
      <c r="M97" s="813"/>
      <c r="N97" s="813"/>
      <c r="O97" s="813"/>
      <c r="P97" s="813"/>
      <c r="Q97" s="938" t="s">
        <v>1523</v>
      </c>
      <c r="R97" s="938"/>
      <c r="S97" s="938"/>
      <c r="T97" s="938"/>
      <c r="U97" s="813"/>
      <c r="V97" s="813"/>
      <c r="W97" s="813"/>
      <c r="X97" s="813"/>
      <c r="Y97" s="813"/>
      <c r="Z97" s="813"/>
      <c r="AA97" s="813"/>
      <c r="AB97" s="813"/>
      <c r="AC97" s="122"/>
      <c r="AD97" s="123"/>
      <c r="AE97" s="32"/>
    </row>
    <row r="98" spans="1:31" ht="12" customHeight="1" x14ac:dyDescent="0.2">
      <c r="A98" s="34"/>
      <c r="B98" s="34"/>
      <c r="C98" s="936"/>
      <c r="D98" s="922"/>
      <c r="E98" s="922"/>
      <c r="F98" s="922"/>
      <c r="G98" s="922"/>
      <c r="H98" s="922"/>
      <c r="I98" s="813"/>
      <c r="J98" s="813"/>
      <c r="K98" s="813"/>
      <c r="L98" s="813"/>
      <c r="M98" s="813"/>
      <c r="N98" s="813"/>
      <c r="O98" s="813"/>
      <c r="P98" s="813"/>
      <c r="Q98" s="938"/>
      <c r="R98" s="938"/>
      <c r="S98" s="938"/>
      <c r="T98" s="938"/>
      <c r="U98" s="813"/>
      <c r="V98" s="813"/>
      <c r="W98" s="813"/>
      <c r="X98" s="813"/>
      <c r="Y98" s="813"/>
      <c r="Z98" s="813"/>
      <c r="AA98" s="813"/>
      <c r="AB98" s="813"/>
      <c r="AC98" s="122"/>
      <c r="AD98" s="123"/>
      <c r="AE98" s="32"/>
    </row>
    <row r="99" spans="1:31" ht="12" customHeight="1" thickBot="1" x14ac:dyDescent="0.25">
      <c r="A99" s="34"/>
      <c r="B99" s="34"/>
      <c r="C99" s="103"/>
      <c r="D99" s="53"/>
      <c r="E99" s="125"/>
      <c r="F99" s="125"/>
      <c r="G99" s="125"/>
      <c r="H99" s="125"/>
      <c r="I99" s="53"/>
      <c r="J99" s="53"/>
      <c r="K99" s="53"/>
      <c r="L99" s="53"/>
      <c r="M99" s="53"/>
      <c r="N99" s="53"/>
      <c r="O99" s="53"/>
      <c r="P99" s="53"/>
      <c r="Q99" s="53"/>
      <c r="R99" s="53"/>
      <c r="S99" s="53"/>
      <c r="T99" s="53"/>
      <c r="U99" s="53"/>
      <c r="V99" s="53"/>
      <c r="W99" s="53"/>
      <c r="X99" s="53"/>
      <c r="Y99" s="53"/>
      <c r="Z99" s="53"/>
      <c r="AA99" s="53"/>
      <c r="AB99" s="53"/>
      <c r="AC99" s="120"/>
      <c r="AD99" s="34"/>
      <c r="AE99" s="34"/>
    </row>
    <row r="100" spans="1:31" ht="12" customHeight="1" x14ac:dyDescent="0.2">
      <c r="A100" s="34"/>
      <c r="B100" s="34"/>
      <c r="C100" s="34"/>
      <c r="D100" s="34"/>
      <c r="E100" s="34"/>
      <c r="F100" s="34"/>
      <c r="G100" s="34"/>
      <c r="H100" s="34"/>
      <c r="I100" s="34"/>
      <c r="J100" s="34"/>
      <c r="K100" s="34"/>
      <c r="L100" s="34"/>
      <c r="M100" s="34"/>
      <c r="N100" s="34"/>
      <c r="O100" s="34"/>
      <c r="P100" s="34"/>
      <c r="Q100" s="34"/>
      <c r="R100" s="948" t="s">
        <v>348</v>
      </c>
      <c r="S100" s="948"/>
      <c r="T100" s="95"/>
      <c r="U100" s="34"/>
      <c r="V100" s="34"/>
      <c r="W100" s="34"/>
      <c r="X100" s="34"/>
      <c r="Y100" s="34"/>
      <c r="Z100" s="34"/>
      <c r="AA100" s="34"/>
      <c r="AB100" s="34"/>
      <c r="AC100" s="34"/>
      <c r="AD100" s="34"/>
      <c r="AE100" s="34"/>
    </row>
    <row r="101" spans="1:31" ht="12" customHeight="1" x14ac:dyDescent="0.2">
      <c r="A101" s="34"/>
      <c r="B101" s="34"/>
      <c r="C101" s="34"/>
      <c r="D101" s="34"/>
      <c r="E101" s="34"/>
      <c r="F101" s="34"/>
      <c r="G101" s="34"/>
      <c r="H101" s="34"/>
      <c r="I101" s="34"/>
      <c r="J101" s="34"/>
      <c r="K101" s="34"/>
      <c r="L101" s="34"/>
      <c r="M101" s="34"/>
      <c r="N101" s="34"/>
      <c r="O101" s="34"/>
      <c r="P101" s="34"/>
      <c r="Q101" s="94"/>
      <c r="R101" s="948"/>
      <c r="S101" s="948"/>
      <c r="T101" s="94"/>
      <c r="U101" s="34"/>
      <c r="V101" s="34"/>
      <c r="W101" s="34"/>
      <c r="X101" s="34"/>
      <c r="Y101" s="34"/>
      <c r="Z101" s="34"/>
      <c r="AA101" s="34"/>
      <c r="AB101" s="34"/>
      <c r="AC101" s="34"/>
      <c r="AD101" s="34"/>
      <c r="AE101" s="34"/>
    </row>
    <row r="102" spans="1:31" ht="12" customHeight="1" thickBot="1" x14ac:dyDescent="0.25">
      <c r="A102" s="34"/>
      <c r="B102" s="34"/>
      <c r="C102" s="34"/>
      <c r="D102" s="34"/>
      <c r="E102" s="34"/>
      <c r="F102" s="34"/>
      <c r="G102" s="34"/>
      <c r="H102" s="34"/>
      <c r="I102" s="34"/>
      <c r="J102" s="34"/>
      <c r="K102" s="34"/>
      <c r="L102" s="34"/>
      <c r="M102" s="34"/>
      <c r="N102" s="34"/>
      <c r="O102" s="34"/>
      <c r="P102" s="34"/>
      <c r="Q102" s="95"/>
      <c r="R102" s="948"/>
      <c r="S102" s="948"/>
      <c r="T102" s="95"/>
      <c r="U102" s="34"/>
      <c r="V102" s="34"/>
      <c r="W102" s="34"/>
      <c r="X102" s="34"/>
      <c r="Y102" s="34"/>
      <c r="Z102" s="34"/>
      <c r="AA102" s="34"/>
      <c r="AB102" s="34"/>
      <c r="AC102" s="34"/>
      <c r="AD102" s="34"/>
      <c r="AE102" s="34"/>
    </row>
    <row r="103" spans="1:31" ht="12" customHeight="1" x14ac:dyDescent="0.2">
      <c r="A103" s="34"/>
      <c r="B103" s="34"/>
      <c r="C103" s="97"/>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115"/>
      <c r="AD103" s="34"/>
      <c r="AE103" s="34"/>
    </row>
    <row r="104" spans="1:31" ht="12" customHeight="1" x14ac:dyDescent="0.2">
      <c r="A104" s="34"/>
      <c r="B104" s="34"/>
      <c r="C104" s="909" t="s">
        <v>529</v>
      </c>
      <c r="D104" s="910"/>
      <c r="E104" s="910"/>
      <c r="F104" s="910"/>
      <c r="G104" s="910"/>
      <c r="H104" s="910"/>
      <c r="I104" s="813" t="str">
        <f>CONCATENATE((IF('Eval-Avant impact'!$T$465&gt;0,CONCATENATE('Eval-Avant impact'!$C$465," : ",'Eval-Avant impact'!$F$465," (",'Eval-Avant impact'!$T$465," %) "),"")),(IF('Eval-Avant impact'!$T$466&gt;0,CONCATENATE('Eval-Avant impact'!$C$466," : ",'Eval-Avant impact'!$F$466," (",'Eval-Avant impact'!$T$466," %) "),"")),(IF('Eval-Avant impact'!$T$467&gt;0,CONCATENATE('Eval-Avant impact'!$C$467," : ",'Eval-Avant impact'!$F$467," (",'Eval-Avant impact'!$T$467," %) "),"")),(IF('Eval-Avant impact'!$T$468&gt;0,CONCATENATE('Eval-Avant impact'!$C$468," : ",'Eval-Avant impact'!$F$468," (",'Eval-Avant impact'!$T$468," %) "),"")),(IF('Eval-Avant impact'!$T$469&gt;0,CONCATENATE('Eval-Avant impact'!$C$469," : ",'Eval-Avant impact'!$F$469," (",'Eval-Avant impact'!$T$469," %) "),"")),(IF('Eval-Avant impact'!$T$470&gt;0,CONCATENATE('Eval-Avant impact'!$C$470," : ",'Eval-Avant impact'!$F$470," (",'Eval-Avant impact'!$T$470," %) "),"")),(IF('Eval-Avant impact'!$T$471&gt;0,CONCATENATE('Eval-Avant impact'!$C$471," : ",'Eval-Avant impact'!$F$471," (",'Eval-Avant impact'!$T$471," %) "),"")),(IF('Eval-Avant impact'!$T$472&gt;0,CONCATENATE('Eval-Avant impact'!$C$472," : ",'Eval-Avant impact'!$F$472," (",'Eval-Avant impact'!$T$472," %) "),"")),(IF('Eval-Avant impact'!$T$473&gt;0,CONCATENATE('Eval-Avant impact'!$C$473," : ",'Eval-Avant impact'!$F$473," (",'Eval-Avant impact'!$T$473," %) "),"")),(IF('Eval-Avant impact'!$T$474&gt;0,CONCATENATE('Eval-Avant impact'!$C$474," : ",'Eval-Avant impact'!$F$474," (",'Eval-Avant impact'!$T$474," %) "),"")),(IF('Eval-Avant impact'!$T$475&gt;0,CONCATENATE('Eval-Avant impact'!$C$475," : ",'Eval-Avant impact'!$F$475," (",'Eval-Avant impact'!$T$475," %) "),"")),(IF('Eval-Avant impact'!$T$476&gt;0,CONCATENATE('Eval-Avant impact'!$C$476," : ",'Eval-Avant impact'!$F$476," (",'Eval-Avant impact'!$T$476," %) "),"")),(IF('Eval-Avant impact'!$T$477&gt;0,CONCATENATE('Eval-Avant impact'!$C$477," : ",'Eval-Avant impact'!$F$477," (",'Eval-Avant impact'!$T$477," %) "),"")),(IF('Eval-Avant impact'!$T$478&gt;0,CONCATENATE('Eval-Avant impact'!$C$478," : ",'Eval-Avant impact'!$F$478," (",'Eval-Avant impact'!$T$478," %) "),"")),(IF('Eval-Avant impact'!$T$479&gt;0,CONCATENATE('Eval-Avant impact'!$C$479," : ",'Eval-Avant impact'!$F$479," (",'Eval-Avant impact'!$T$479," %) "),"")))</f>
        <v/>
      </c>
      <c r="J104" s="813"/>
      <c r="K104" s="813"/>
      <c r="L104" s="813"/>
      <c r="M104" s="813"/>
      <c r="N104" s="813"/>
      <c r="O104" s="813"/>
      <c r="P104" s="813"/>
      <c r="Q104" s="937" t="s">
        <v>1524</v>
      </c>
      <c r="R104" s="937"/>
      <c r="S104" s="937"/>
      <c r="T104" s="937"/>
      <c r="U104" s="813" t="str">
        <f>IF($Q$9="X",CONCATENATE((IF('Eval-Avec act. écol. envisagée'!$T$465&gt;0,CONCATENATE('Eval-Avec act. écol. envisagée'!$C$465," : ",'Eval-Avec act. écol. envisagée'!$F$465," (",'Eval-Avec act. écol. envisagée'!$T$465," %) "),"")),(IF('Eval-Avec act. écol. envisagée'!$T$466&gt;0,CONCATENATE('Eval-Avec act. écol. envisagée'!$C$466," : ",'Eval-Avec act. écol. envisagée'!$F$466," (",'Eval-Avec act. écol. envisagée'!$T$466," %) "),"")),(IF('Eval-Avec act. écol. envisagée'!$T$467&gt;0,CONCATENATE('Eval-Avec act. écol. envisagée'!$C$467," : ",'Eval-Avec act. écol. envisagée'!$F$467," (",'Eval-Avec act. écol. envisagée'!$T$467," %) "),"")),(IF('Eval-Avec act. écol. envisagée'!$T$468&gt;0,CONCATENATE('Eval-Avec act. écol. envisagée'!$C$468," : ",'Eval-Avec act. écol. envisagée'!$F$468," (",'Eval-Avec act. écol. envisagée'!$T$468," %) "),"")),(IF('Eval-Avec act. écol. envisagée'!$T$469&gt;0,CONCATENATE('Eval-Avec act. écol. envisagée'!$C$469," : ",'Eval-Avec act. écol. envisagée'!$F$469," (",'Eval-Avec act. écol. envisagée'!$T$469," %) "),"")),(IF('Eval-Avec act. écol. envisagée'!$T$470&gt;0,CONCATENATE('Eval-Avec act. écol. envisagée'!$C$470," : ",'Eval-Avec act. écol. envisagée'!$F$470," (",'Eval-Avec act. écol. envisagée'!$T$470," %) "),"")),(IF('Eval-Avec act. écol. envisagée'!$T$471&gt;0,CONCATENATE('Eval-Avec act. écol. envisagée'!$C$471," : ",'Eval-Avec act. écol. envisagée'!$F$471," (",'Eval-Avec act. écol. envisagée'!$T$471," %) "),"")),(IF('Eval-Avec act. écol. envisagée'!$T$472&gt;0,CONCATENATE('Eval-Avec act. écol. envisagée'!$C$472," : ",'Eval-Avec act. écol. envisagée'!$F$472," (",'Eval-Avec act. écol. envisagée'!$T$472," %) "),"")),(IF('Eval-Avec act. écol. envisagée'!$T$473&gt;0,CONCATENATE('Eval-Avec act. écol. envisagée'!$C$473," : ",'Eval-Avec act. écol. envisagée'!$F$473," (",'Eval-Avec act. écol. envisagée'!$T$473," %) "),"")),(IF('Eval-Avec act. écol. envisagée'!$T$474&gt;0,CONCATENATE('Eval-Avec act. écol. envisagée'!$C$474," : ",'Eval-Avec act. écol. envisagée'!$F$474," (",'Eval-Avec act. écol. envisagée'!$T$474," %) "),"")),(IF('Eval-Avec act. écol. envisagée'!$T$475&gt;0,CONCATENATE('Eval-Avec act. écol. envisagée'!$C$475," : ",'Eval-Avec act. écol. envisagée'!$F$475," (",'Eval-Avec act. écol. envisagée'!$T$475," %) "),"")),(IF('Eval-Avec act. écol. envisagée'!$T$476&gt;0,CONCATENATE('Eval-Avec act. écol. envisagée'!$C$476," : ",'Eval-Avec act. écol. envisagée'!$F$476," (",'Eval-Avec act. écol. envisagée'!$T$476," %) "),"")),(IF('Eval-Avec act. écol. envisagée'!$T$477&gt;0,CONCATENATE('Eval-Avec act. écol. envisagée'!$C$477," : ",'Eval-Avec act. écol. envisagée'!$F$477," (",'Eval-Avec act. écol. envisagée'!$T$477," %) "),"")),(IF('Eval-Avec act. écol. envisagée'!$T$478&gt;0,CONCATENATE('Eval-Avec act. écol. envisagée'!$C$478," : ",'Eval-Avec act. écol. envisagée'!$F$478," (",'Eval-Avec act. écol. envisagée'!$T$478," %) "),"")),(IF('Eval-Avec act. écol. envisagée'!$T$479&gt;0,CONCATENATE('Eval-Avec act. écol. envisagée'!$C$479," : ",'Eval-Avec act. écol. envisagée'!$F$479," (",'Eval-Avec act. écol. envisagée'!$T$479," %) "),""))),IF($Q$11="X",CONCATENATE((IF('Eval-Après action écologique'!$T$465&gt;0,CONCATENATE('Eval-Après action écologique'!$C$465," : ",'Eval-Après action écologique'!$F$465," (",'Eval-Après action écologique'!$T$465," %) "),"")),(IF('Eval-Après action écologique'!$T$466&gt;0,CONCATENATE('Eval-Après action écologique'!$C$466," : ",'Eval-Après action écologique'!$F$466," (",'Eval-Après action écologique'!$T$466," %) "),"")),(IF('Eval-Après action écologique'!$T$467&gt;0,CONCATENATE('Eval-Après action écologique'!$C$467," : ",'Eval-Après action écologique'!$F$467," (",'Eval-Après action écologique'!$T$467," %) "),"")),(IF('Eval-Après action écologique'!$T$468&gt;0,CONCATENATE('Eval-Après action écologique'!$C$468," : ",'Eval-Après action écologique'!$F$468," (",'Eval-Après action écologique'!$T$468," %) "),"")),(IF('Eval-Après action écologique'!$T$469&gt;0,CONCATENATE('Eval-Après action écologique'!$C$469," : ",'Eval-Après action écologique'!$F$469," (",'Eval-Après action écologique'!$T$469," %) "),"")),(IF('Eval-Après action écologique'!$T$470&gt;0,CONCATENATE('Eval-Après action écologique'!$C$470," : ",'Eval-Après action écologique'!$F$470," (",'Eval-Après action écologique'!$T$470," %) "),"")),(IF('Eval-Après action écologique'!$T$471&gt;0,CONCATENATE('Eval-Après action écologique'!$C$471," : ",'Eval-Après action écologique'!$F$471," (",'Eval-Après action écologique'!$T$471," %) "),"")),(IF('Eval-Après action écologique'!$T$472&gt;0,CONCATENATE('Eval-Après action écologique'!$C$472," : ",'Eval-Après action écologique'!$F$472," (",'Eval-Après action écologique'!$T$472," %) "),"")),(IF('Eval-Après action écologique'!$T$473&gt;0,CONCATENATE('Eval-Après action écologique'!$C$473," : ",'Eval-Après action écologique'!$F$473," (",'Eval-Après action écologique'!$T$473," %) "),"")),(IF('Eval-Après action écologique'!$T$474&gt;0,CONCATENATE('Eval-Après action écologique'!$C$474," : ",'Eval-Après action écologique'!$F$474," (",'Eval-Après action écologique'!$T$474," %) "),"")),(IF('Eval-Après action écologique'!$T$475&gt;0,CONCATENATE('Eval-Après action écologique'!$C$475," : ",'Eval-Après action écologique'!$F$475," (",'Eval-Après action écologique'!$T$475," %) "),"")),(IF('Eval-Après action écologique'!$T$476&gt;0,CONCATENATE('Eval-Après action écologique'!$C$476," : ",'Eval-Après action écologique'!$F$476," (",'Eval-Après action écologique'!$T$476," %) "),"")),(IF('Eval-Après action écologique'!$T$477&gt;0,CONCATENATE('Eval-Après action écologique'!$C$477," : ",'Eval-Après action écologique'!$F$477," (",'Eval-Après action écologique'!$T$477," %) "),"")),(IF('Eval-Après action écologique'!$T$478&gt;0,CONCATENATE('Eval-Après action écologique'!$C$478," : ",'Eval-Après action écologique'!$F$478," (",'Eval-Après action écologique'!$T$478," %) "),"")),(IF('Eval-Après action écologique'!$T$479&gt;0,CONCATENATE('Eval-Après action écologique'!$C$479," : ",'Eval-Après action écologique'!$F$479," (",'Eval-Après action écologique'!$T$479," %) "),""))),""))</f>
        <v/>
      </c>
      <c r="V104" s="813"/>
      <c r="W104" s="813"/>
      <c r="X104" s="813"/>
      <c r="Y104" s="813"/>
      <c r="Z104" s="813"/>
      <c r="AA104" s="813"/>
      <c r="AB104" s="813"/>
      <c r="AC104" s="122"/>
      <c r="AD104" s="34"/>
      <c r="AE104" s="34"/>
    </row>
    <row r="105" spans="1:31" ht="12" customHeight="1" x14ac:dyDescent="0.2">
      <c r="A105" s="34"/>
      <c r="B105" s="34"/>
      <c r="C105" s="909"/>
      <c r="D105" s="910"/>
      <c r="E105" s="910"/>
      <c r="F105" s="910"/>
      <c r="G105" s="910"/>
      <c r="H105" s="910"/>
      <c r="I105" s="813"/>
      <c r="J105" s="813"/>
      <c r="K105" s="813"/>
      <c r="L105" s="813"/>
      <c r="M105" s="813"/>
      <c r="N105" s="813"/>
      <c r="O105" s="813"/>
      <c r="P105" s="813"/>
      <c r="Q105" s="937"/>
      <c r="R105" s="937"/>
      <c r="S105" s="937"/>
      <c r="T105" s="937"/>
      <c r="U105" s="813"/>
      <c r="V105" s="813"/>
      <c r="W105" s="813"/>
      <c r="X105" s="813"/>
      <c r="Y105" s="813"/>
      <c r="Z105" s="813"/>
      <c r="AA105" s="813"/>
      <c r="AB105" s="813"/>
      <c r="AC105" s="122"/>
      <c r="AD105" s="34"/>
      <c r="AE105" s="34"/>
    </row>
    <row r="106" spans="1:31" ht="12" customHeight="1" x14ac:dyDescent="0.2">
      <c r="A106" s="34"/>
      <c r="B106" s="34"/>
      <c r="C106" s="909"/>
      <c r="D106" s="910"/>
      <c r="E106" s="910"/>
      <c r="F106" s="910"/>
      <c r="G106" s="910"/>
      <c r="H106" s="910"/>
      <c r="I106" s="813"/>
      <c r="J106" s="813"/>
      <c r="K106" s="813"/>
      <c r="L106" s="813"/>
      <c r="M106" s="813"/>
      <c r="N106" s="813"/>
      <c r="O106" s="813"/>
      <c r="P106" s="813"/>
      <c r="Q106" s="939" t="s">
        <v>350</v>
      </c>
      <c r="R106" s="939"/>
      <c r="S106" s="939"/>
      <c r="T106" s="939"/>
      <c r="U106" s="813"/>
      <c r="V106" s="813"/>
      <c r="W106" s="813"/>
      <c r="X106" s="813"/>
      <c r="Y106" s="813"/>
      <c r="Z106" s="813"/>
      <c r="AA106" s="813"/>
      <c r="AB106" s="813"/>
      <c r="AC106" s="122"/>
      <c r="AD106" s="34"/>
      <c r="AE106" s="34"/>
    </row>
    <row r="107" spans="1:31" ht="12" customHeight="1" x14ac:dyDescent="0.2">
      <c r="A107" s="34"/>
      <c r="B107" s="34"/>
      <c r="C107" s="909"/>
      <c r="D107" s="910"/>
      <c r="E107" s="910"/>
      <c r="F107" s="910"/>
      <c r="G107" s="910"/>
      <c r="H107" s="910"/>
      <c r="I107" s="813"/>
      <c r="J107" s="813"/>
      <c r="K107" s="813"/>
      <c r="L107" s="813"/>
      <c r="M107" s="813"/>
      <c r="N107" s="813"/>
      <c r="O107" s="813"/>
      <c r="P107" s="813"/>
      <c r="Q107" s="939"/>
      <c r="R107" s="939"/>
      <c r="S107" s="939"/>
      <c r="T107" s="939"/>
      <c r="U107" s="813"/>
      <c r="V107" s="813"/>
      <c r="W107" s="813"/>
      <c r="X107" s="813"/>
      <c r="Y107" s="813"/>
      <c r="Z107" s="813"/>
      <c r="AA107" s="813"/>
      <c r="AB107" s="813"/>
      <c r="AC107" s="122"/>
      <c r="AD107" s="34"/>
      <c r="AE107" s="34"/>
    </row>
    <row r="108" spans="1:31" ht="12" customHeight="1" x14ac:dyDescent="0.2">
      <c r="A108" s="34"/>
      <c r="B108" s="34"/>
      <c r="C108" s="909"/>
      <c r="D108" s="910"/>
      <c r="E108" s="910"/>
      <c r="F108" s="910"/>
      <c r="G108" s="910"/>
      <c r="H108" s="910"/>
      <c r="I108" s="813"/>
      <c r="J108" s="813"/>
      <c r="K108" s="813"/>
      <c r="L108" s="813"/>
      <c r="M108" s="813"/>
      <c r="N108" s="813"/>
      <c r="O108" s="813"/>
      <c r="P108" s="813"/>
      <c r="Q108" s="939"/>
      <c r="R108" s="939"/>
      <c r="S108" s="939"/>
      <c r="T108" s="939"/>
      <c r="U108" s="813"/>
      <c r="V108" s="813"/>
      <c r="W108" s="813"/>
      <c r="X108" s="813"/>
      <c r="Y108" s="813"/>
      <c r="Z108" s="813"/>
      <c r="AA108" s="813"/>
      <c r="AB108" s="813"/>
      <c r="AC108" s="122"/>
      <c r="AD108" s="34"/>
      <c r="AE108" s="34"/>
    </row>
    <row r="109" spans="1:31" ht="12" customHeight="1" x14ac:dyDescent="0.2">
      <c r="A109" s="34"/>
      <c r="B109" s="34"/>
      <c r="C109" s="909"/>
      <c r="D109" s="910"/>
      <c r="E109" s="910"/>
      <c r="F109" s="910"/>
      <c r="G109" s="910"/>
      <c r="H109" s="910"/>
      <c r="I109" s="813"/>
      <c r="J109" s="813"/>
      <c r="K109" s="813"/>
      <c r="L109" s="813"/>
      <c r="M109" s="813"/>
      <c r="N109" s="813"/>
      <c r="O109" s="813"/>
      <c r="P109" s="813"/>
      <c r="Q109" s="939"/>
      <c r="R109" s="939"/>
      <c r="S109" s="939"/>
      <c r="T109" s="939"/>
      <c r="U109" s="813"/>
      <c r="V109" s="813"/>
      <c r="W109" s="813"/>
      <c r="X109" s="813"/>
      <c r="Y109" s="813"/>
      <c r="Z109" s="813"/>
      <c r="AA109" s="813"/>
      <c r="AB109" s="813"/>
      <c r="AC109" s="122"/>
      <c r="AD109" s="34"/>
      <c r="AE109" s="34"/>
    </row>
    <row r="110" spans="1:31" ht="12" customHeight="1" x14ac:dyDescent="0.2">
      <c r="A110" s="34"/>
      <c r="B110" s="34"/>
      <c r="C110" s="909"/>
      <c r="D110" s="910"/>
      <c r="E110" s="910"/>
      <c r="F110" s="910"/>
      <c r="G110" s="910"/>
      <c r="H110" s="910"/>
      <c r="I110" s="813"/>
      <c r="J110" s="813"/>
      <c r="K110" s="813"/>
      <c r="L110" s="813"/>
      <c r="M110" s="813"/>
      <c r="N110" s="813"/>
      <c r="O110" s="813"/>
      <c r="P110" s="813"/>
      <c r="Q110" s="939"/>
      <c r="R110" s="939"/>
      <c r="S110" s="939"/>
      <c r="T110" s="939"/>
      <c r="U110" s="813"/>
      <c r="V110" s="813"/>
      <c r="W110" s="813"/>
      <c r="X110" s="813"/>
      <c r="Y110" s="813"/>
      <c r="Z110" s="813"/>
      <c r="AA110" s="813"/>
      <c r="AB110" s="813"/>
      <c r="AC110" s="122"/>
      <c r="AD110" s="34"/>
      <c r="AE110" s="34"/>
    </row>
    <row r="111" spans="1:31" ht="12" customHeight="1" x14ac:dyDescent="0.2">
      <c r="A111" s="34"/>
      <c r="B111" s="34"/>
      <c r="C111" s="936" t="s">
        <v>1516</v>
      </c>
      <c r="D111" s="922"/>
      <c r="E111" s="922"/>
      <c r="F111" s="922"/>
      <c r="G111" s="922"/>
      <c r="H111" s="922"/>
      <c r="I111" s="813"/>
      <c r="J111" s="813"/>
      <c r="K111" s="813"/>
      <c r="L111" s="813"/>
      <c r="M111" s="813"/>
      <c r="N111" s="813"/>
      <c r="O111" s="813"/>
      <c r="P111" s="813"/>
      <c r="Q111" s="939"/>
      <c r="R111" s="939"/>
      <c r="S111" s="939"/>
      <c r="T111" s="939"/>
      <c r="U111" s="813"/>
      <c r="V111" s="813"/>
      <c r="W111" s="813"/>
      <c r="X111" s="813"/>
      <c r="Y111" s="813"/>
      <c r="Z111" s="813"/>
      <c r="AA111" s="813"/>
      <c r="AB111" s="813"/>
      <c r="AC111" s="122"/>
      <c r="AD111" s="34"/>
      <c r="AE111" s="34"/>
    </row>
    <row r="112" spans="1:31" ht="12" customHeight="1" x14ac:dyDescent="0.2">
      <c r="A112" s="34"/>
      <c r="B112" s="34"/>
      <c r="C112" s="936"/>
      <c r="D112" s="922"/>
      <c r="E112" s="922"/>
      <c r="F112" s="922"/>
      <c r="G112" s="922"/>
      <c r="H112" s="922"/>
      <c r="I112" s="813"/>
      <c r="J112" s="813"/>
      <c r="K112" s="813"/>
      <c r="L112" s="813"/>
      <c r="M112" s="813"/>
      <c r="N112" s="813"/>
      <c r="O112" s="813"/>
      <c r="P112" s="813"/>
      <c r="Q112" s="939"/>
      <c r="R112" s="939"/>
      <c r="S112" s="939"/>
      <c r="T112" s="939"/>
      <c r="U112" s="813"/>
      <c r="V112" s="813"/>
      <c r="W112" s="813"/>
      <c r="X112" s="813"/>
      <c r="Y112" s="813"/>
      <c r="Z112" s="813"/>
      <c r="AA112" s="813"/>
      <c r="AB112" s="813"/>
      <c r="AC112" s="122"/>
      <c r="AD112" s="34"/>
      <c r="AE112" s="34"/>
    </row>
    <row r="113" spans="1:31" ht="12" customHeight="1" x14ac:dyDescent="0.2">
      <c r="A113" s="34"/>
      <c r="B113" s="34"/>
      <c r="C113" s="936"/>
      <c r="D113" s="922"/>
      <c r="E113" s="922"/>
      <c r="F113" s="922"/>
      <c r="G113" s="922"/>
      <c r="H113" s="922"/>
      <c r="I113" s="813"/>
      <c r="J113" s="813"/>
      <c r="K113" s="813"/>
      <c r="L113" s="813"/>
      <c r="M113" s="813"/>
      <c r="N113" s="813"/>
      <c r="O113" s="813"/>
      <c r="P113" s="813"/>
      <c r="Q113" s="939"/>
      <c r="R113" s="939"/>
      <c r="S113" s="939"/>
      <c r="T113" s="939"/>
      <c r="U113" s="813"/>
      <c r="V113" s="813"/>
      <c r="W113" s="813"/>
      <c r="X113" s="813"/>
      <c r="Y113" s="813"/>
      <c r="Z113" s="813"/>
      <c r="AA113" s="813"/>
      <c r="AB113" s="813"/>
      <c r="AC113" s="122"/>
      <c r="AD113" s="34"/>
      <c r="AE113" s="34"/>
    </row>
    <row r="114" spans="1:31" ht="12" customHeight="1" x14ac:dyDescent="0.2">
      <c r="A114" s="34"/>
      <c r="B114" s="34"/>
      <c r="C114" s="936"/>
      <c r="D114" s="922"/>
      <c r="E114" s="922"/>
      <c r="F114" s="922"/>
      <c r="G114" s="922"/>
      <c r="H114" s="922"/>
      <c r="I114" s="813"/>
      <c r="J114" s="813"/>
      <c r="K114" s="813"/>
      <c r="L114" s="813"/>
      <c r="M114" s="813"/>
      <c r="N114" s="813"/>
      <c r="O114" s="813"/>
      <c r="P114" s="813"/>
      <c r="Q114" s="939"/>
      <c r="R114" s="939"/>
      <c r="S114" s="939"/>
      <c r="T114" s="939"/>
      <c r="U114" s="813"/>
      <c r="V114" s="813"/>
      <c r="W114" s="813"/>
      <c r="X114" s="813"/>
      <c r="Y114" s="813"/>
      <c r="Z114" s="813"/>
      <c r="AA114" s="813"/>
      <c r="AB114" s="813"/>
      <c r="AC114" s="122"/>
      <c r="AD114" s="34"/>
      <c r="AE114" s="34"/>
    </row>
    <row r="115" spans="1:31" ht="12" customHeight="1" x14ac:dyDescent="0.2">
      <c r="A115" s="34"/>
      <c r="B115" s="34"/>
      <c r="C115" s="936"/>
      <c r="D115" s="922"/>
      <c r="E115" s="922"/>
      <c r="F115" s="922"/>
      <c r="G115" s="922"/>
      <c r="H115" s="922"/>
      <c r="I115" s="813"/>
      <c r="J115" s="813"/>
      <c r="K115" s="813"/>
      <c r="L115" s="813"/>
      <c r="M115" s="813"/>
      <c r="N115" s="813"/>
      <c r="O115" s="813"/>
      <c r="P115" s="813"/>
      <c r="Q115" s="938" t="s">
        <v>1523</v>
      </c>
      <c r="R115" s="938"/>
      <c r="S115" s="938"/>
      <c r="T115" s="938"/>
      <c r="U115" s="813"/>
      <c r="V115" s="813"/>
      <c r="W115" s="813"/>
      <c r="X115" s="813"/>
      <c r="Y115" s="813"/>
      <c r="Z115" s="813"/>
      <c r="AA115" s="813"/>
      <c r="AB115" s="813"/>
      <c r="AC115" s="122"/>
      <c r="AD115" s="34"/>
      <c r="AE115" s="34"/>
    </row>
    <row r="116" spans="1:31" ht="12" customHeight="1" x14ac:dyDescent="0.2">
      <c r="A116" s="34"/>
      <c r="B116" s="34"/>
      <c r="C116" s="936"/>
      <c r="D116" s="922"/>
      <c r="E116" s="922"/>
      <c r="F116" s="922"/>
      <c r="G116" s="922"/>
      <c r="H116" s="922"/>
      <c r="I116" s="813"/>
      <c r="J116" s="813"/>
      <c r="K116" s="813"/>
      <c r="L116" s="813"/>
      <c r="M116" s="813"/>
      <c r="N116" s="813"/>
      <c r="O116" s="813"/>
      <c r="P116" s="813"/>
      <c r="Q116" s="938"/>
      <c r="R116" s="938"/>
      <c r="S116" s="938"/>
      <c r="T116" s="938"/>
      <c r="U116" s="813"/>
      <c r="V116" s="813"/>
      <c r="W116" s="813"/>
      <c r="X116" s="813"/>
      <c r="Y116" s="813"/>
      <c r="Z116" s="813"/>
      <c r="AA116" s="813"/>
      <c r="AB116" s="813"/>
      <c r="AC116" s="122"/>
      <c r="AD116" s="34"/>
      <c r="AE116" s="34"/>
    </row>
    <row r="117" spans="1:31" ht="12" customHeight="1" thickBot="1" x14ac:dyDescent="0.25">
      <c r="A117" s="34"/>
      <c r="B117" s="34"/>
      <c r="C117" s="10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120"/>
      <c r="AD117" s="34"/>
      <c r="AE117" s="34"/>
    </row>
    <row r="118" spans="1:31" ht="12" customHeight="1" x14ac:dyDescent="0.2">
      <c r="A118" s="34"/>
      <c r="B118" s="34"/>
      <c r="C118" s="920" t="s">
        <v>363</v>
      </c>
      <c r="D118" s="920"/>
      <c r="E118" s="920"/>
      <c r="F118" s="920"/>
      <c r="G118" s="920"/>
      <c r="H118" s="111"/>
      <c r="I118" s="111"/>
      <c r="J118" s="111"/>
      <c r="K118" s="923" t="str">
        <f>IF('Eval-Avant impact'!$T$107="","",'Eval-Avant impact'!$G$352)</f>
        <v/>
      </c>
      <c r="L118" s="923"/>
      <c r="M118" s="923"/>
      <c r="N118" s="923"/>
      <c r="O118" s="111"/>
      <c r="P118" s="34"/>
      <c r="Q118" s="126"/>
      <c r="R118" s="111"/>
      <c r="S118" s="111"/>
      <c r="T118" s="111"/>
      <c r="U118" s="111"/>
      <c r="V118" s="111"/>
      <c r="W118" s="923" t="str">
        <f>IF($Q$9="X",'Eval-Avec act. écol. envisagée'!$G$352,IF($Q$11="X",'Eval-Après action écologique'!$G$352,""))</f>
        <v/>
      </c>
      <c r="X118" s="923"/>
      <c r="Y118" s="923"/>
      <c r="Z118" s="923"/>
      <c r="AA118" s="111"/>
      <c r="AB118" s="34"/>
      <c r="AC118" s="126"/>
      <c r="AD118" s="34"/>
      <c r="AE118" s="34"/>
    </row>
    <row r="119" spans="1:31" ht="12" customHeight="1" x14ac:dyDescent="0.2">
      <c r="A119" s="34"/>
      <c r="B119" s="34"/>
      <c r="C119" s="921" t="s">
        <v>437</v>
      </c>
      <c r="D119" s="921"/>
      <c r="E119" s="921"/>
      <c r="F119" s="921"/>
      <c r="G119" s="921"/>
      <c r="H119" s="112"/>
      <c r="I119" s="112"/>
      <c r="J119" s="112"/>
      <c r="K119" s="924" t="str">
        <f>CONCATENATE(IF('Eval-Avant impact'!$J$456="x",'Eval-Avant impact'!$I$456,""),IF('Eval-Avant impact'!$J$457="x",'Eval-Avant impact'!$I$457,""),IF('Eval-Avant impact'!$T$456="x",'Eval-Avant impact'!$S$456,""),IF('Eval-Avant impact'!$T$457="x",'Eval-Avant impact'!$S$457,""))</f>
        <v/>
      </c>
      <c r="L119" s="924"/>
      <c r="M119" s="924"/>
      <c r="N119" s="924"/>
      <c r="O119" s="112"/>
      <c r="P119" s="127"/>
      <c r="Q119" s="127"/>
      <c r="R119" s="112"/>
      <c r="S119" s="112"/>
      <c r="T119" s="112"/>
      <c r="U119" s="112"/>
      <c r="V119" s="112"/>
      <c r="W119" s="924" t="str">
        <f>IF($Q$9="X",CONCATENATE(IF('Eval-Avec act. écol. envisagée'!$J$456="x",'Eval-Avec act. écol. envisagée'!$I$456,""),IF('Eval-Avec act. écol. envisagée'!$J$457="x",'Eval-Avec act. écol. envisagée'!$I$457,""),IF('Eval-Avec act. écol. envisagée'!$T$456="x",'Eval-Avec act. écol. envisagée'!$S$456,""),IF('Eval-Avec act. écol. envisagée'!$T$457="x",'Eval-Avec act. écol. envisagée'!$S$457,"")),IF($Q$11="X",CONCATENATE(IF('Eval-Après action écologique'!$J$456="x",'Eval-Après action écologique'!$I$456,""),IF('Eval-Après action écologique'!$J$457="x",'Eval-Après action écologique'!$I$457,""),IF('Eval-Après action écologique'!$T$456="x",'Eval-Après action écologique'!$S$456,""),IF('Eval-Après action écologique'!$T$457="x",'Eval-Après action écologique'!$S$457,"")),""))</f>
        <v/>
      </c>
      <c r="X119" s="924"/>
      <c r="Y119" s="924"/>
      <c r="Z119" s="924"/>
      <c r="AA119" s="112"/>
      <c r="AB119" s="127"/>
      <c r="AC119" s="127"/>
      <c r="AD119" s="34"/>
      <c r="AE119" s="34"/>
    </row>
    <row r="120" spans="1:31" ht="12" customHeight="1" x14ac:dyDescent="0.2">
      <c r="A120" s="34"/>
      <c r="B120" s="34"/>
      <c r="C120" s="34"/>
      <c r="D120" s="34"/>
      <c r="E120" s="34"/>
      <c r="F120" s="128"/>
      <c r="G120" s="128"/>
      <c r="H120" s="128"/>
      <c r="I120" s="128"/>
      <c r="J120" s="128"/>
      <c r="K120" s="121"/>
      <c r="L120" s="33"/>
      <c r="M120" s="33"/>
      <c r="N120" s="33"/>
      <c r="O120" s="33"/>
      <c r="P120" s="129"/>
      <c r="Q120" s="34"/>
      <c r="R120" s="34"/>
      <c r="S120" s="33"/>
      <c r="T120" s="33"/>
      <c r="U120" s="33"/>
      <c r="V120" s="33"/>
      <c r="W120" s="121"/>
      <c r="X120" s="33"/>
      <c r="Y120" s="33"/>
      <c r="Z120" s="33"/>
      <c r="AA120" s="33"/>
      <c r="AB120" s="129"/>
      <c r="AC120" s="34"/>
      <c r="AD120" s="34"/>
      <c r="AE120" s="34"/>
    </row>
    <row r="121" spans="1:31" ht="12" customHeight="1" x14ac:dyDescent="0.2">
      <c r="A121" s="34"/>
      <c r="B121" s="926" t="s">
        <v>521</v>
      </c>
      <c r="C121" s="926"/>
      <c r="D121" s="926"/>
      <c r="E121" s="926"/>
      <c r="F121" s="926"/>
      <c r="G121" s="926"/>
      <c r="H121" s="926"/>
      <c r="I121" s="926"/>
      <c r="J121" s="926"/>
      <c r="K121" s="926"/>
      <c r="L121" s="926"/>
      <c r="M121" s="926"/>
      <c r="N121" s="926"/>
      <c r="O121" s="926"/>
      <c r="P121" s="926"/>
      <c r="Q121" s="926"/>
      <c r="R121" s="926"/>
      <c r="S121" s="926"/>
      <c r="T121" s="926"/>
      <c r="U121" s="926"/>
      <c r="V121" s="926"/>
      <c r="W121" s="926"/>
      <c r="X121" s="926"/>
      <c r="Y121" s="926"/>
      <c r="Z121" s="926"/>
      <c r="AA121" s="926"/>
      <c r="AB121" s="926"/>
      <c r="AC121" s="926"/>
      <c r="AD121" s="926"/>
      <c r="AE121" s="34"/>
    </row>
    <row r="122" spans="1:31" ht="12" customHeight="1" x14ac:dyDescent="0.2">
      <c r="A122" s="34"/>
      <c r="B122" s="926"/>
      <c r="C122" s="926"/>
      <c r="D122" s="926"/>
      <c r="E122" s="926"/>
      <c r="F122" s="926"/>
      <c r="G122" s="926"/>
      <c r="H122" s="926"/>
      <c r="I122" s="926"/>
      <c r="J122" s="926"/>
      <c r="K122" s="926"/>
      <c r="L122" s="926"/>
      <c r="M122" s="926"/>
      <c r="N122" s="926"/>
      <c r="O122" s="926"/>
      <c r="P122" s="926"/>
      <c r="Q122" s="926"/>
      <c r="R122" s="926"/>
      <c r="S122" s="926"/>
      <c r="T122" s="926"/>
      <c r="U122" s="926"/>
      <c r="V122" s="926"/>
      <c r="W122" s="926"/>
      <c r="X122" s="926"/>
      <c r="Y122" s="926"/>
      <c r="Z122" s="926"/>
      <c r="AA122" s="926"/>
      <c r="AB122" s="926"/>
      <c r="AC122" s="926"/>
      <c r="AD122" s="926"/>
      <c r="AE122" s="34"/>
    </row>
    <row r="123" spans="1:31" ht="12" customHeight="1"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2" customHeight="1"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2" customHeight="1" x14ac:dyDescent="0.2">
      <c r="A125" s="34"/>
      <c r="B125" s="872" t="s">
        <v>531</v>
      </c>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c r="AA125" s="872"/>
      <c r="AB125" s="872"/>
      <c r="AC125" s="872"/>
      <c r="AD125" s="872"/>
      <c r="AE125" s="34"/>
    </row>
    <row r="126" spans="1:31" ht="12" customHeight="1" x14ac:dyDescent="0.2">
      <c r="A126" s="34"/>
      <c r="B126" s="872"/>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872"/>
      <c r="AB126" s="872"/>
      <c r="AC126" s="872"/>
      <c r="AD126" s="872"/>
      <c r="AE126" s="34"/>
    </row>
    <row r="127" spans="1:31" ht="12" customHeight="1" x14ac:dyDescent="0.2">
      <c r="A127" s="34"/>
      <c r="B127" s="872"/>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c r="AA127" s="872"/>
      <c r="AB127" s="872"/>
      <c r="AC127" s="872"/>
      <c r="AD127" s="872"/>
      <c r="AE127" s="34"/>
    </row>
    <row r="128" spans="1:31" ht="12" customHeight="1" x14ac:dyDescent="0.2">
      <c r="A128" s="34"/>
      <c r="B128" s="872"/>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c r="AA128" s="872"/>
      <c r="AB128" s="872"/>
      <c r="AC128" s="872"/>
      <c r="AD128" s="872"/>
      <c r="AE128" s="34"/>
    </row>
    <row r="129" spans="1:31" ht="12" customHeight="1"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2" customHeight="1"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2" customHeight="1"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2" customHeight="1" thickBot="1" x14ac:dyDescent="0.25">
      <c r="A132" s="34"/>
      <c r="B132" s="45"/>
      <c r="C132" s="45"/>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34"/>
      <c r="AC132" s="34"/>
      <c r="AD132" s="34"/>
      <c r="AE132" s="34"/>
    </row>
    <row r="133" spans="1:31" ht="12" customHeight="1" x14ac:dyDescent="0.2">
      <c r="A133" s="34"/>
      <c r="B133" s="868" t="s">
        <v>764</v>
      </c>
      <c r="C133" s="869"/>
      <c r="D133" s="869"/>
      <c r="E133" s="869"/>
      <c r="F133" s="869"/>
      <c r="G133" s="869"/>
      <c r="H133" s="869"/>
      <c r="I133" s="869"/>
      <c r="J133" s="869"/>
      <c r="K133" s="869"/>
      <c r="L133" s="869"/>
      <c r="M133" s="869"/>
      <c r="N133" s="869"/>
      <c r="O133" s="869"/>
      <c r="P133" s="869"/>
      <c r="Q133" s="869"/>
      <c r="R133" s="869"/>
      <c r="S133" s="869"/>
      <c r="T133" s="869"/>
      <c r="U133" s="869"/>
      <c r="V133" s="869"/>
      <c r="W133" s="869"/>
      <c r="X133" s="869"/>
      <c r="Y133" s="869"/>
      <c r="Z133" s="869"/>
      <c r="AA133" s="869"/>
      <c r="AB133" s="869"/>
      <c r="AC133" s="869"/>
      <c r="AD133" s="870"/>
      <c r="AE133" s="34"/>
    </row>
    <row r="134" spans="1:31" ht="12" customHeight="1" x14ac:dyDescent="0.2">
      <c r="A134" s="34"/>
      <c r="B134" s="871"/>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c r="AA134" s="872"/>
      <c r="AB134" s="872"/>
      <c r="AC134" s="872"/>
      <c r="AD134" s="873"/>
      <c r="AE134" s="34"/>
    </row>
    <row r="135" spans="1:31" ht="12" customHeight="1" x14ac:dyDescent="0.2">
      <c r="A135" s="34"/>
      <c r="B135" s="871"/>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c r="AA135" s="872"/>
      <c r="AB135" s="872"/>
      <c r="AC135" s="872"/>
      <c r="AD135" s="873"/>
      <c r="AE135" s="34"/>
    </row>
    <row r="136" spans="1:31" ht="12" customHeight="1" thickBot="1" x14ac:dyDescent="0.25">
      <c r="A136" s="34"/>
      <c r="B136" s="874"/>
      <c r="C136" s="875"/>
      <c r="D136" s="875"/>
      <c r="E136" s="875"/>
      <c r="F136" s="875"/>
      <c r="G136" s="875"/>
      <c r="H136" s="875"/>
      <c r="I136" s="875"/>
      <c r="J136" s="875"/>
      <c r="K136" s="875"/>
      <c r="L136" s="875"/>
      <c r="M136" s="875"/>
      <c r="N136" s="875"/>
      <c r="O136" s="875"/>
      <c r="P136" s="875"/>
      <c r="Q136" s="875"/>
      <c r="R136" s="875"/>
      <c r="S136" s="875"/>
      <c r="T136" s="875"/>
      <c r="U136" s="875"/>
      <c r="V136" s="875"/>
      <c r="W136" s="875"/>
      <c r="X136" s="875"/>
      <c r="Y136" s="875"/>
      <c r="Z136" s="875"/>
      <c r="AA136" s="875"/>
      <c r="AB136" s="875"/>
      <c r="AC136" s="875"/>
      <c r="AD136" s="876"/>
      <c r="AE136" s="34"/>
    </row>
    <row r="137" spans="1:31" ht="12" customHeight="1" x14ac:dyDescent="0.2">
      <c r="A137" s="34"/>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34"/>
    </row>
    <row r="138" spans="1:31" ht="12" customHeight="1" x14ac:dyDescent="0.2">
      <c r="A138" s="34"/>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34"/>
    </row>
    <row r="139" spans="1:31" ht="12" customHeight="1" x14ac:dyDescent="0.2">
      <c r="A139" s="34"/>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34"/>
    </row>
    <row r="140" spans="1:31" ht="12" customHeight="1" x14ac:dyDescent="0.2">
      <c r="A140" s="34"/>
      <c r="B140" s="957" t="s">
        <v>354</v>
      </c>
      <c r="C140" s="957"/>
      <c r="D140" s="957"/>
      <c r="E140" s="957"/>
      <c r="F140" s="957"/>
      <c r="G140" s="957"/>
      <c r="H140" s="957"/>
      <c r="I140" s="957"/>
      <c r="J140" s="957"/>
      <c r="K140" s="957"/>
      <c r="L140" s="957"/>
      <c r="M140" s="957"/>
      <c r="N140" s="957"/>
      <c r="O140" s="957"/>
      <c r="P140" s="957"/>
      <c r="Q140" s="957"/>
      <c r="R140" s="957"/>
      <c r="S140" s="957"/>
      <c r="T140" s="957"/>
      <c r="U140" s="957"/>
      <c r="V140" s="957"/>
      <c r="W140" s="957"/>
      <c r="X140" s="957"/>
      <c r="Y140" s="957"/>
      <c r="Z140" s="957"/>
      <c r="AA140" s="93"/>
      <c r="AB140" s="93"/>
      <c r="AC140" s="893"/>
      <c r="AD140" s="896" t="s">
        <v>355</v>
      </c>
      <c r="AE140" s="34"/>
    </row>
    <row r="141" spans="1:31" ht="12" customHeight="1" x14ac:dyDescent="0.2">
      <c r="A141" s="34"/>
      <c r="B141" s="957"/>
      <c r="C141" s="957"/>
      <c r="D141" s="957"/>
      <c r="E141" s="957"/>
      <c r="F141" s="957"/>
      <c r="G141" s="957"/>
      <c r="H141" s="957"/>
      <c r="I141" s="957"/>
      <c r="J141" s="957"/>
      <c r="K141" s="957"/>
      <c r="L141" s="957"/>
      <c r="M141" s="957"/>
      <c r="N141" s="957"/>
      <c r="O141" s="957"/>
      <c r="P141" s="957"/>
      <c r="Q141" s="957"/>
      <c r="R141" s="957"/>
      <c r="S141" s="957"/>
      <c r="T141" s="957"/>
      <c r="U141" s="957"/>
      <c r="V141" s="957"/>
      <c r="W141" s="957"/>
      <c r="X141" s="957"/>
      <c r="Y141" s="957"/>
      <c r="Z141" s="957"/>
      <c r="AA141" s="93"/>
      <c r="AB141" s="93"/>
      <c r="AC141" s="894"/>
      <c r="AD141" s="896"/>
      <c r="AE141" s="34"/>
    </row>
    <row r="142" spans="1:31" ht="12" customHeight="1" x14ac:dyDescent="0.2">
      <c r="A142" s="34"/>
      <c r="B142" s="958" t="s">
        <v>516</v>
      </c>
      <c r="C142" s="958"/>
      <c r="D142" s="958"/>
      <c r="E142" s="958"/>
      <c r="F142" s="958"/>
      <c r="G142" s="958"/>
      <c r="H142" s="958"/>
      <c r="I142" s="958"/>
      <c r="J142" s="958"/>
      <c r="K142" s="958"/>
      <c r="L142" s="958"/>
      <c r="M142" s="958"/>
      <c r="N142" s="958"/>
      <c r="O142" s="958"/>
      <c r="P142" s="958"/>
      <c r="Q142" s="958"/>
      <c r="R142" s="958"/>
      <c r="S142" s="958"/>
      <c r="T142" s="958"/>
      <c r="U142" s="958"/>
      <c r="V142" s="958"/>
      <c r="W142" s="958"/>
      <c r="X142" s="958"/>
      <c r="Y142" s="958"/>
      <c r="Z142" s="958"/>
      <c r="AA142" s="36"/>
      <c r="AB142" s="36"/>
      <c r="AC142" s="894"/>
      <c r="AD142" s="896"/>
      <c r="AE142" s="34"/>
    </row>
    <row r="143" spans="1:31" ht="12" customHeight="1" x14ac:dyDescent="0.2">
      <c r="A143" s="34"/>
      <c r="B143" s="958"/>
      <c r="C143" s="958"/>
      <c r="D143" s="958"/>
      <c r="E143" s="958"/>
      <c r="F143" s="958"/>
      <c r="G143" s="958"/>
      <c r="H143" s="958"/>
      <c r="I143" s="958"/>
      <c r="J143" s="958"/>
      <c r="K143" s="958"/>
      <c r="L143" s="958"/>
      <c r="M143" s="958"/>
      <c r="N143" s="958"/>
      <c r="O143" s="958"/>
      <c r="P143" s="958"/>
      <c r="Q143" s="958"/>
      <c r="R143" s="958"/>
      <c r="S143" s="958"/>
      <c r="T143" s="958"/>
      <c r="U143" s="958"/>
      <c r="V143" s="958"/>
      <c r="W143" s="958"/>
      <c r="X143" s="958"/>
      <c r="Y143" s="958"/>
      <c r="Z143" s="958"/>
      <c r="AA143" s="36"/>
      <c r="AB143" s="36"/>
      <c r="AC143" s="894"/>
      <c r="AD143" s="896"/>
      <c r="AE143" s="34"/>
    </row>
    <row r="144" spans="1:31" ht="12" customHeight="1" x14ac:dyDescent="0.2">
      <c r="A144" s="34"/>
      <c r="B144" s="892" t="s">
        <v>585</v>
      </c>
      <c r="C144" s="892"/>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36"/>
      <c r="AB144" s="36"/>
      <c r="AC144" s="894"/>
      <c r="AD144" s="896"/>
      <c r="AE144" s="34"/>
    </row>
    <row r="145" spans="1:31" ht="12" customHeight="1" x14ac:dyDescent="0.2">
      <c r="A145" s="34"/>
      <c r="B145" s="892"/>
      <c r="C145" s="892"/>
      <c r="D145" s="892"/>
      <c r="E145" s="892"/>
      <c r="F145" s="892"/>
      <c r="G145" s="892"/>
      <c r="H145" s="892"/>
      <c r="I145" s="892"/>
      <c r="J145" s="892"/>
      <c r="K145" s="892"/>
      <c r="L145" s="892"/>
      <c r="M145" s="892"/>
      <c r="N145" s="892"/>
      <c r="O145" s="892"/>
      <c r="P145" s="892"/>
      <c r="Q145" s="892"/>
      <c r="R145" s="892"/>
      <c r="S145" s="892"/>
      <c r="T145" s="892"/>
      <c r="U145" s="892"/>
      <c r="V145" s="892"/>
      <c r="W145" s="892"/>
      <c r="X145" s="892"/>
      <c r="Y145" s="892"/>
      <c r="Z145" s="892"/>
      <c r="AA145" s="36"/>
      <c r="AB145" s="36"/>
      <c r="AC145" s="894"/>
      <c r="AD145" s="896"/>
      <c r="AE145" s="34"/>
    </row>
    <row r="146" spans="1:31" ht="12" customHeight="1" x14ac:dyDescent="0.2">
      <c r="A146" s="34"/>
      <c r="B146" s="892"/>
      <c r="C146" s="892"/>
      <c r="D146" s="892"/>
      <c r="E146" s="892"/>
      <c r="F146" s="892"/>
      <c r="G146" s="892"/>
      <c r="H146" s="892"/>
      <c r="I146" s="892"/>
      <c r="J146" s="892"/>
      <c r="K146" s="892"/>
      <c r="L146" s="892"/>
      <c r="M146" s="892"/>
      <c r="N146" s="892"/>
      <c r="O146" s="892"/>
      <c r="P146" s="892"/>
      <c r="Q146" s="892"/>
      <c r="R146" s="892"/>
      <c r="S146" s="892"/>
      <c r="T146" s="892"/>
      <c r="U146" s="892"/>
      <c r="V146" s="892"/>
      <c r="W146" s="892"/>
      <c r="X146" s="892"/>
      <c r="Y146" s="892"/>
      <c r="Z146" s="892"/>
      <c r="AA146" s="36"/>
      <c r="AB146" s="36"/>
      <c r="AC146" s="895"/>
      <c r="AD146" s="896"/>
      <c r="AE146" s="34"/>
    </row>
    <row r="147" spans="1:31" ht="12" customHeight="1" x14ac:dyDescent="0.2">
      <c r="A147" s="34"/>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6"/>
      <c r="AB147" s="36"/>
      <c r="AC147" s="36"/>
      <c r="AD147" s="37"/>
      <c r="AE147" s="34"/>
    </row>
    <row r="148" spans="1:31" ht="12" customHeight="1" x14ac:dyDescent="0.2">
      <c r="A148" s="34"/>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6"/>
      <c r="AB148" s="36"/>
      <c r="AC148" s="36"/>
      <c r="AD148" s="37"/>
      <c r="AE148" s="34"/>
    </row>
    <row r="149" spans="1:31" ht="12" customHeight="1"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2" customHeight="1" x14ac:dyDescent="0.2">
      <c r="A150" s="34"/>
      <c r="B150" s="917" t="s">
        <v>573</v>
      </c>
      <c r="C150" s="917"/>
      <c r="D150" s="917"/>
      <c r="E150" s="917"/>
      <c r="F150" s="917"/>
      <c r="G150" s="917"/>
      <c r="H150" s="917"/>
      <c r="I150" s="917"/>
      <c r="J150" s="917"/>
      <c r="K150" s="917"/>
      <c r="L150" s="897"/>
      <c r="M150" s="915" t="s">
        <v>574</v>
      </c>
      <c r="N150" s="916"/>
      <c r="O150" s="916"/>
      <c r="P150" s="916"/>
      <c r="Q150" s="916"/>
      <c r="R150" s="916"/>
      <c r="S150" s="916"/>
      <c r="T150" s="916"/>
      <c r="U150" s="916"/>
      <c r="V150" s="916"/>
      <c r="W150" s="916"/>
      <c r="X150" s="916"/>
      <c r="Y150" s="916"/>
      <c r="Z150" s="916"/>
      <c r="AA150" s="916"/>
      <c r="AB150" s="916"/>
      <c r="AC150" s="916"/>
      <c r="AD150" s="916"/>
      <c r="AE150" s="34"/>
    </row>
    <row r="151" spans="1:31" ht="12" customHeight="1" x14ac:dyDescent="0.2">
      <c r="A151" s="34"/>
      <c r="B151" s="917"/>
      <c r="C151" s="917"/>
      <c r="D151" s="917"/>
      <c r="E151" s="917"/>
      <c r="F151" s="917"/>
      <c r="G151" s="917"/>
      <c r="H151" s="917"/>
      <c r="I151" s="917"/>
      <c r="J151" s="917"/>
      <c r="K151" s="917"/>
      <c r="L151" s="897"/>
      <c r="M151" s="915"/>
      <c r="N151" s="916"/>
      <c r="O151" s="916"/>
      <c r="P151" s="916"/>
      <c r="Q151" s="916"/>
      <c r="R151" s="916"/>
      <c r="S151" s="916"/>
      <c r="T151" s="916"/>
      <c r="U151" s="916"/>
      <c r="V151" s="916"/>
      <c r="W151" s="916"/>
      <c r="X151" s="916"/>
      <c r="Y151" s="916"/>
      <c r="Z151" s="916"/>
      <c r="AA151" s="916"/>
      <c r="AB151" s="916"/>
      <c r="AC151" s="916"/>
      <c r="AD151" s="916"/>
      <c r="AE151" s="34"/>
    </row>
    <row r="152" spans="1:31" ht="12" customHeight="1" x14ac:dyDescent="0.2">
      <c r="A152" s="34"/>
      <c r="B152" s="90"/>
      <c r="C152" s="90"/>
      <c r="D152" s="90"/>
      <c r="E152" s="90"/>
      <c r="F152" s="90"/>
      <c r="G152" s="90"/>
      <c r="H152" s="90"/>
      <c r="I152" s="90"/>
      <c r="J152" s="90"/>
      <c r="K152" s="90"/>
      <c r="L152" s="90"/>
      <c r="M152" s="90"/>
      <c r="N152" s="91"/>
      <c r="O152" s="91"/>
      <c r="P152" s="91"/>
      <c r="Q152" s="91"/>
      <c r="R152" s="91"/>
      <c r="S152" s="91"/>
      <c r="T152" s="91"/>
      <c r="U152" s="91"/>
      <c r="V152" s="91"/>
      <c r="W152" s="91"/>
      <c r="X152" s="91"/>
      <c r="Y152" s="91"/>
      <c r="Z152" s="91"/>
      <c r="AA152" s="91"/>
      <c r="AB152" s="91"/>
      <c r="AC152" s="91"/>
      <c r="AD152" s="91"/>
      <c r="AE152" s="34"/>
    </row>
    <row r="153" spans="1:31" ht="12" customHeight="1" x14ac:dyDescent="0.2">
      <c r="A153" s="34"/>
      <c r="B153" s="90"/>
      <c r="C153" s="90"/>
      <c r="D153" s="90"/>
      <c r="E153" s="90"/>
      <c r="F153" s="90"/>
      <c r="G153" s="90"/>
      <c r="H153" s="90"/>
      <c r="I153" s="90"/>
      <c r="J153" s="90"/>
      <c r="K153" s="90"/>
      <c r="L153" s="90"/>
      <c r="M153" s="92" t="s">
        <v>658</v>
      </c>
      <c r="N153" s="91"/>
      <c r="O153" s="91"/>
      <c r="P153" s="91"/>
      <c r="Q153" s="91"/>
      <c r="R153" s="91"/>
      <c r="S153" s="91"/>
      <c r="T153" s="91"/>
      <c r="U153" s="91"/>
      <c r="V153" s="91"/>
      <c r="W153" s="91"/>
      <c r="X153" s="91"/>
      <c r="Y153" s="91"/>
      <c r="Z153" s="91"/>
      <c r="AA153" s="91"/>
      <c r="AB153" s="91"/>
      <c r="AC153" s="91"/>
      <c r="AD153" s="91"/>
      <c r="AE153" s="34"/>
    </row>
    <row r="154" spans="1:31" ht="12" customHeight="1" x14ac:dyDescent="0.2">
      <c r="A154" s="34"/>
      <c r="B154" s="90"/>
      <c r="C154" s="90"/>
      <c r="D154" s="90"/>
      <c r="E154" s="90"/>
      <c r="F154" s="90"/>
      <c r="G154" s="90"/>
      <c r="H154" s="90"/>
      <c r="I154" s="90"/>
      <c r="J154" s="90"/>
      <c r="K154" s="90"/>
      <c r="L154" s="90"/>
      <c r="M154" s="90"/>
      <c r="N154" s="91"/>
      <c r="O154" s="91"/>
      <c r="P154" s="91"/>
      <c r="Q154" s="91"/>
      <c r="R154" s="91"/>
      <c r="S154" s="91"/>
      <c r="T154" s="91"/>
      <c r="U154" s="91"/>
      <c r="V154" s="91"/>
      <c r="W154" s="91"/>
      <c r="X154" s="91"/>
      <c r="Y154" s="91"/>
      <c r="Z154" s="91"/>
      <c r="AA154" s="91"/>
      <c r="AB154" s="91"/>
      <c r="AC154" s="91"/>
      <c r="AD154" s="91"/>
      <c r="AE154" s="34"/>
    </row>
    <row r="155" spans="1:31" ht="12" customHeight="1" x14ac:dyDescent="0.2">
      <c r="A155" s="34"/>
      <c r="B155" s="36"/>
      <c r="C155" s="36"/>
      <c r="D155" s="36"/>
      <c r="E155" s="36"/>
      <c r="F155" s="36"/>
      <c r="G155" s="36"/>
      <c r="H155" s="36"/>
      <c r="I155" s="36"/>
      <c r="J155" s="36"/>
      <c r="K155" s="34"/>
      <c r="L155" s="897"/>
      <c r="M155" s="915" t="s">
        <v>661</v>
      </c>
      <c r="N155" s="916"/>
      <c r="O155" s="916"/>
      <c r="P155" s="916"/>
      <c r="Q155" s="916"/>
      <c r="R155" s="916"/>
      <c r="S155" s="916"/>
      <c r="T155" s="916"/>
      <c r="U155" s="916"/>
      <c r="V155" s="916"/>
      <c r="W155" s="916"/>
      <c r="X155" s="916"/>
      <c r="Y155" s="916"/>
      <c r="Z155" s="916"/>
      <c r="AA155" s="916"/>
      <c r="AB155" s="916"/>
      <c r="AC155" s="916"/>
      <c r="AD155" s="916"/>
      <c r="AE155" s="34"/>
    </row>
    <row r="156" spans="1:31" ht="12" customHeight="1" x14ac:dyDescent="0.2">
      <c r="A156" s="34"/>
      <c r="B156" s="36"/>
      <c r="C156" s="36"/>
      <c r="D156" s="36"/>
      <c r="E156" s="36"/>
      <c r="F156" s="36"/>
      <c r="G156" s="36"/>
      <c r="H156" s="36"/>
      <c r="I156" s="36"/>
      <c r="J156" s="36"/>
      <c r="K156" s="34"/>
      <c r="L156" s="897"/>
      <c r="M156" s="915"/>
      <c r="N156" s="916"/>
      <c r="O156" s="916"/>
      <c r="P156" s="916"/>
      <c r="Q156" s="916"/>
      <c r="R156" s="916"/>
      <c r="S156" s="916"/>
      <c r="T156" s="916"/>
      <c r="U156" s="916"/>
      <c r="V156" s="916"/>
      <c r="W156" s="916"/>
      <c r="X156" s="916"/>
      <c r="Y156" s="916"/>
      <c r="Z156" s="916"/>
      <c r="AA156" s="916"/>
      <c r="AB156" s="916"/>
      <c r="AC156" s="916"/>
      <c r="AD156" s="916"/>
      <c r="AE156" s="34"/>
    </row>
    <row r="157" spans="1:31" ht="12" customHeight="1" x14ac:dyDescent="0.2">
      <c r="A157" s="34"/>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6"/>
      <c r="AB157" s="36"/>
      <c r="AC157" s="36"/>
      <c r="AD157" s="37"/>
      <c r="AE157" s="34"/>
    </row>
    <row r="158" spans="1:31" ht="12" customHeight="1" x14ac:dyDescent="0.2">
      <c r="A158" s="34"/>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6"/>
      <c r="AB158" s="36"/>
      <c r="AC158" s="36"/>
      <c r="AD158" s="37"/>
      <c r="AE158" s="34"/>
    </row>
    <row r="159" spans="1:31" ht="12" customHeight="1" x14ac:dyDescent="0.2">
      <c r="A159" s="34"/>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963" t="str">
        <f>IF($L$150="X","CONCLUSION SUR UNE EQUIVALENCE FONCTIONNELLE VRAISEMBLABLE AVEC LA STRATEGIE DE COMPENSATION ENVISAGEE",IF($L$155="X","CONCLUSION SUR UNE EQUIVALENCE FONCTIONNELLE VRAISEMBLABLE APRES LA STRATEGIE DE COMPENSATION",""))</f>
        <v/>
      </c>
      <c r="Z159" s="963"/>
      <c r="AA159" s="963"/>
      <c r="AB159" s="963"/>
      <c r="AC159" s="963"/>
      <c r="AD159" s="963"/>
      <c r="AE159" s="34"/>
    </row>
    <row r="160" spans="1:31" s="1" customFormat="1" ht="12" customHeight="1" x14ac:dyDescent="0.2">
      <c r="A160" s="33"/>
      <c r="B160" s="38"/>
      <c r="C160" s="38"/>
      <c r="D160" s="38"/>
      <c r="E160" s="38"/>
      <c r="F160" s="38"/>
      <c r="G160" s="38"/>
      <c r="H160" s="38"/>
      <c r="I160" s="33"/>
      <c r="J160" s="33"/>
      <c r="K160" s="33"/>
      <c r="L160" s="33"/>
      <c r="M160" s="33"/>
      <c r="N160" s="33"/>
      <c r="O160" s="33"/>
      <c r="P160" s="33"/>
      <c r="Q160" s="33"/>
      <c r="R160" s="33"/>
      <c r="S160" s="38"/>
      <c r="T160" s="38"/>
      <c r="U160" s="38"/>
      <c r="V160" s="38"/>
      <c r="W160" s="38"/>
      <c r="X160" s="38"/>
      <c r="Y160" s="963"/>
      <c r="Z160" s="963"/>
      <c r="AA160" s="963"/>
      <c r="AB160" s="963"/>
      <c r="AC160" s="963"/>
      <c r="AD160" s="963"/>
      <c r="AE160" s="33"/>
    </row>
    <row r="161" spans="1:31" s="1" customFormat="1" ht="12" customHeight="1" x14ac:dyDescent="0.2">
      <c r="A161" s="33"/>
      <c r="B161" s="38"/>
      <c r="C161" s="33"/>
      <c r="D161" s="38"/>
      <c r="E161" s="38"/>
      <c r="F161" s="33"/>
      <c r="G161" s="33"/>
      <c r="H161" s="33"/>
      <c r="I161" s="33"/>
      <c r="J161" s="33"/>
      <c r="K161" s="33"/>
      <c r="L161" s="33"/>
      <c r="M161" s="33"/>
      <c r="N161" s="33"/>
      <c r="O161" s="33"/>
      <c r="P161" s="33"/>
      <c r="Q161" s="33"/>
      <c r="R161" s="33"/>
      <c r="S161" s="33"/>
      <c r="T161" s="33"/>
      <c r="U161" s="33"/>
      <c r="V161" s="33"/>
      <c r="W161" s="33"/>
      <c r="X161" s="39"/>
      <c r="Y161" s="963"/>
      <c r="Z161" s="963"/>
      <c r="AA161" s="963"/>
      <c r="AB161" s="963"/>
      <c r="AC161" s="963"/>
      <c r="AD161" s="963"/>
      <c r="AE161" s="33"/>
    </row>
    <row r="162" spans="1:31" s="1" customFormat="1" ht="12" customHeight="1" x14ac:dyDescent="0.2">
      <c r="A162" s="33"/>
      <c r="B162" s="38"/>
      <c r="C162" s="33"/>
      <c r="D162" s="33"/>
      <c r="E162" s="33"/>
      <c r="F162" s="33"/>
      <c r="G162" s="33"/>
      <c r="H162" s="33"/>
      <c r="I162" s="33"/>
      <c r="J162" s="33"/>
      <c r="K162" s="33"/>
      <c r="L162" s="33"/>
      <c r="M162" s="33"/>
      <c r="N162" s="33"/>
      <c r="O162" s="33"/>
      <c r="P162" s="33"/>
      <c r="Q162" s="33"/>
      <c r="R162" s="33"/>
      <c r="S162" s="33"/>
      <c r="T162" s="33"/>
      <c r="U162" s="33"/>
      <c r="V162" s="33"/>
      <c r="W162" s="33"/>
      <c r="X162" s="39"/>
      <c r="Y162" s="963"/>
      <c r="Z162" s="963"/>
      <c r="AA162" s="963"/>
      <c r="AB162" s="963"/>
      <c r="AC162" s="963"/>
      <c r="AD162" s="963"/>
      <c r="AE162" s="33"/>
    </row>
    <row r="163" spans="1:31" s="1" customFormat="1" ht="12" customHeight="1" thickBot="1" x14ac:dyDescent="0.25">
      <c r="A163" s="33"/>
      <c r="B163" s="38"/>
      <c r="C163" s="33"/>
      <c r="D163" s="33"/>
      <c r="E163" s="33"/>
      <c r="F163" s="33"/>
      <c r="G163" s="33"/>
      <c r="H163" s="33"/>
      <c r="I163" s="33"/>
      <c r="J163" s="33"/>
      <c r="K163" s="33"/>
      <c r="L163" s="33"/>
      <c r="M163" s="33"/>
      <c r="N163" s="33"/>
      <c r="O163" s="33"/>
      <c r="P163" s="33"/>
      <c r="Q163" s="33"/>
      <c r="R163" s="33"/>
      <c r="S163" s="33"/>
      <c r="T163" s="33"/>
      <c r="U163" s="33"/>
      <c r="V163" s="33"/>
      <c r="W163" s="33"/>
      <c r="X163" s="39"/>
      <c r="Y163" s="963"/>
      <c r="Z163" s="963"/>
      <c r="AA163" s="963"/>
      <c r="AB163" s="963"/>
      <c r="AC163" s="963"/>
      <c r="AD163" s="963"/>
      <c r="AE163" s="33"/>
    </row>
    <row r="164" spans="1:31" s="1" customFormat="1" ht="12" customHeight="1" x14ac:dyDescent="0.2">
      <c r="A164" s="33"/>
      <c r="B164" s="38"/>
      <c r="C164" s="38"/>
      <c r="D164" s="38"/>
      <c r="E164" s="38"/>
      <c r="F164" s="33"/>
      <c r="G164" s="39"/>
      <c r="H164" s="39"/>
      <c r="I164" s="33"/>
      <c r="J164" s="33"/>
      <c r="K164" s="906" t="str">
        <f>IF($L$150="X","SITE IMPACTE AVEC IMPACT ENVISAGE",IF($L$155="X","SITE IMPACTE APRES IMPACT",""))</f>
        <v/>
      </c>
      <c r="L164" s="907"/>
      <c r="M164" s="907"/>
      <c r="N164" s="907"/>
      <c r="O164" s="907"/>
      <c r="P164" s="908"/>
      <c r="Q164" s="33"/>
      <c r="R164" s="906" t="str">
        <f>IF($L$150="X","SITE DE COMPENSATION AVEC ACTION ECOLOGIQUE ENVISAGEE",IF($L$155="X","SITE DE COMPENSATION APRES ACTION ECOLOGIQUE",""))</f>
        <v/>
      </c>
      <c r="S164" s="907"/>
      <c r="T164" s="907"/>
      <c r="U164" s="907"/>
      <c r="V164" s="907"/>
      <c r="W164" s="908"/>
      <c r="X164" s="39"/>
      <c r="Y164" s="963"/>
      <c r="Z164" s="963"/>
      <c r="AA164" s="963"/>
      <c r="AB164" s="963"/>
      <c r="AC164" s="963"/>
      <c r="AD164" s="963"/>
      <c r="AE164" s="33"/>
    </row>
    <row r="165" spans="1:31" s="1" customFormat="1" ht="12" customHeight="1" x14ac:dyDescent="0.2">
      <c r="A165" s="33"/>
      <c r="B165" s="38"/>
      <c r="C165" s="38"/>
      <c r="D165" s="38"/>
      <c r="E165" s="38"/>
      <c r="F165" s="33"/>
      <c r="G165" s="39"/>
      <c r="H165" s="39"/>
      <c r="I165" s="33"/>
      <c r="J165" s="33"/>
      <c r="K165" s="909"/>
      <c r="L165" s="910"/>
      <c r="M165" s="910"/>
      <c r="N165" s="910"/>
      <c r="O165" s="910"/>
      <c r="P165" s="911"/>
      <c r="Q165" s="33"/>
      <c r="R165" s="909"/>
      <c r="S165" s="910"/>
      <c r="T165" s="910"/>
      <c r="U165" s="910"/>
      <c r="V165" s="910"/>
      <c r="W165" s="911"/>
      <c r="X165" s="39"/>
      <c r="Y165" s="963"/>
      <c r="Z165" s="963"/>
      <c r="AA165" s="963"/>
      <c r="AB165" s="963"/>
      <c r="AC165" s="963"/>
      <c r="AD165" s="963"/>
      <c r="AE165" s="33"/>
    </row>
    <row r="166" spans="1:31" s="1" customFormat="1" ht="12" customHeight="1" x14ac:dyDescent="0.2">
      <c r="A166" s="33"/>
      <c r="B166" s="38"/>
      <c r="C166" s="38"/>
      <c r="D166" s="38"/>
      <c r="E166" s="38"/>
      <c r="F166" s="33"/>
      <c r="G166" s="39"/>
      <c r="H166" s="39"/>
      <c r="I166" s="33"/>
      <c r="J166" s="33"/>
      <c r="K166" s="909"/>
      <c r="L166" s="910"/>
      <c r="M166" s="910"/>
      <c r="N166" s="910"/>
      <c r="O166" s="910"/>
      <c r="P166" s="911"/>
      <c r="Q166" s="33"/>
      <c r="R166" s="909"/>
      <c r="S166" s="910"/>
      <c r="T166" s="910"/>
      <c r="U166" s="910"/>
      <c r="V166" s="910"/>
      <c r="W166" s="911"/>
      <c r="X166" s="39"/>
      <c r="Y166" s="33"/>
      <c r="Z166" s="33"/>
      <c r="AA166" s="33"/>
      <c r="AB166" s="33"/>
      <c r="AC166" s="33"/>
      <c r="AD166" s="33"/>
      <c r="AE166" s="33"/>
    </row>
    <row r="167" spans="1:31" s="1" customFormat="1" ht="12" customHeight="1" x14ac:dyDescent="0.2">
      <c r="A167" s="33"/>
      <c r="B167" s="33"/>
      <c r="C167" s="33"/>
      <c r="D167" s="33"/>
      <c r="E167" s="33"/>
      <c r="F167" s="39"/>
      <c r="G167" s="39"/>
      <c r="H167" s="39"/>
      <c r="I167" s="33"/>
      <c r="J167" s="33"/>
      <c r="K167" s="909"/>
      <c r="L167" s="910"/>
      <c r="M167" s="910"/>
      <c r="N167" s="910"/>
      <c r="O167" s="910"/>
      <c r="P167" s="911"/>
      <c r="Q167" s="33"/>
      <c r="R167" s="909"/>
      <c r="S167" s="910"/>
      <c r="T167" s="910"/>
      <c r="U167" s="910"/>
      <c r="V167" s="910"/>
      <c r="W167" s="911"/>
      <c r="X167" s="39"/>
      <c r="Y167" s="39"/>
      <c r="Z167" s="39"/>
      <c r="AA167" s="39"/>
      <c r="AB167" s="39"/>
      <c r="AC167" s="39"/>
      <c r="AD167" s="39"/>
      <c r="AE167" s="33"/>
    </row>
    <row r="168" spans="1:31" s="1" customFormat="1" ht="12" customHeight="1" thickBot="1" x14ac:dyDescent="0.25">
      <c r="A168" s="33"/>
      <c r="B168" s="33"/>
      <c r="C168" s="33"/>
      <c r="D168" s="33"/>
      <c r="E168" s="33"/>
      <c r="F168" s="39"/>
      <c r="G168" s="39"/>
      <c r="H168" s="39"/>
      <c r="I168" s="33"/>
      <c r="J168" s="33"/>
      <c r="K168" s="912"/>
      <c r="L168" s="913"/>
      <c r="M168" s="913"/>
      <c r="N168" s="913"/>
      <c r="O168" s="913"/>
      <c r="P168" s="914"/>
      <c r="Q168" s="33"/>
      <c r="R168" s="912"/>
      <c r="S168" s="913"/>
      <c r="T168" s="913"/>
      <c r="U168" s="913"/>
      <c r="V168" s="913"/>
      <c r="W168" s="914"/>
      <c r="X168" s="39"/>
      <c r="Y168" s="39"/>
      <c r="Z168" s="39"/>
      <c r="AA168" s="39"/>
      <c r="AB168" s="39"/>
      <c r="AC168" s="39"/>
      <c r="AD168" s="39"/>
      <c r="AE168" s="33"/>
    </row>
    <row r="169" spans="1:31" s="1" customFormat="1" ht="12" customHeight="1" thickBot="1" x14ac:dyDescent="0.25">
      <c r="A169" s="33"/>
      <c r="B169" s="33"/>
      <c r="C169" s="33"/>
      <c r="D169" s="33"/>
      <c r="E169" s="33"/>
      <c r="F169" s="39"/>
      <c r="G169" s="39"/>
      <c r="H169" s="39"/>
      <c r="I169" s="33"/>
      <c r="J169" s="33"/>
      <c r="K169" s="33"/>
      <c r="L169" s="33"/>
      <c r="M169" s="33"/>
      <c r="N169" s="33"/>
      <c r="O169" s="33"/>
      <c r="P169" s="33"/>
      <c r="Q169" s="33"/>
      <c r="R169" s="33"/>
      <c r="S169" s="33"/>
      <c r="T169" s="33"/>
      <c r="U169" s="33"/>
      <c r="V169" s="33"/>
      <c r="W169" s="33"/>
      <c r="X169" s="39"/>
      <c r="Y169" s="39"/>
      <c r="Z169" s="39"/>
      <c r="AA169" s="39"/>
      <c r="AB169" s="39"/>
      <c r="AC169" s="39"/>
      <c r="AD169" s="39"/>
      <c r="AE169" s="33"/>
    </row>
    <row r="170" spans="1:31" s="1" customFormat="1" ht="12" customHeight="1" x14ac:dyDescent="0.2">
      <c r="A170" s="33"/>
      <c r="B170" s="39"/>
      <c r="C170" s="39"/>
      <c r="D170" s="39"/>
      <c r="E170" s="39"/>
      <c r="F170" s="40"/>
      <c r="G170" s="906" t="s">
        <v>758</v>
      </c>
      <c r="H170" s="907"/>
      <c r="I170" s="908"/>
      <c r="J170" s="40"/>
      <c r="K170" s="906" t="str">
        <f>IF($L$150="X","Selon combien d'indicateurs l'intensité de la sous-fonction est-elle réduite avec l'impact envisagé ?",IF($L$155="X","Selon combien d'indicateurs l'intensité de la sous-fonction est-elle réduite après l'impact ?",""))</f>
        <v/>
      </c>
      <c r="L170" s="907"/>
      <c r="M170" s="907"/>
      <c r="N170" s="907"/>
      <c r="O170" s="907"/>
      <c r="P170" s="908"/>
      <c r="Q170" s="33"/>
      <c r="R170" s="906" t="str">
        <f>IF($L$150="X","Selon combien d'indicateurs l'intensité de la sous-fonction est-elle accrue avec l'action écologique envisagée ?",IF($L$155="X","Selon combien d'indicateurs l'intensité de la sous-fonction est-elle accrue après l'action écologique ?",""))</f>
        <v/>
      </c>
      <c r="S170" s="907"/>
      <c r="T170" s="907"/>
      <c r="U170" s="907"/>
      <c r="V170" s="907"/>
      <c r="W170" s="908"/>
      <c r="X170" s="40"/>
      <c r="Y170" s="906" t="s">
        <v>759</v>
      </c>
      <c r="Z170" s="907"/>
      <c r="AA170" s="907"/>
      <c r="AB170" s="907"/>
      <c r="AC170" s="907"/>
      <c r="AD170" s="908"/>
      <c r="AE170" s="33"/>
    </row>
    <row r="171" spans="1:31" s="1" customFormat="1" ht="12" customHeight="1" x14ac:dyDescent="0.2">
      <c r="A171" s="33"/>
      <c r="B171" s="33"/>
      <c r="C171" s="33"/>
      <c r="D171" s="33"/>
      <c r="E171" s="33"/>
      <c r="F171" s="33"/>
      <c r="G171" s="909"/>
      <c r="H171" s="910"/>
      <c r="I171" s="911"/>
      <c r="J171" s="39"/>
      <c r="K171" s="909"/>
      <c r="L171" s="910"/>
      <c r="M171" s="910"/>
      <c r="N171" s="910"/>
      <c r="O171" s="910"/>
      <c r="P171" s="911"/>
      <c r="Q171" s="33"/>
      <c r="R171" s="909"/>
      <c r="S171" s="910"/>
      <c r="T171" s="910"/>
      <c r="U171" s="910"/>
      <c r="V171" s="910"/>
      <c r="W171" s="911"/>
      <c r="X171" s="33"/>
      <c r="Y171" s="909"/>
      <c r="Z171" s="910"/>
      <c r="AA171" s="910"/>
      <c r="AB171" s="910"/>
      <c r="AC171" s="910"/>
      <c r="AD171" s="911"/>
      <c r="AE171" s="33"/>
    </row>
    <row r="172" spans="1:31" s="1" customFormat="1" ht="12" customHeight="1" x14ac:dyDescent="0.2">
      <c r="A172" s="33"/>
      <c r="B172" s="33"/>
      <c r="C172" s="33"/>
      <c r="D172" s="33"/>
      <c r="E172" s="33"/>
      <c r="F172" s="33"/>
      <c r="G172" s="909"/>
      <c r="H172" s="910"/>
      <c r="I172" s="911"/>
      <c r="J172" s="39"/>
      <c r="K172" s="909"/>
      <c r="L172" s="910"/>
      <c r="M172" s="910"/>
      <c r="N172" s="910"/>
      <c r="O172" s="910"/>
      <c r="P172" s="911"/>
      <c r="Q172" s="33"/>
      <c r="R172" s="909"/>
      <c r="S172" s="910"/>
      <c r="T172" s="910"/>
      <c r="U172" s="910"/>
      <c r="V172" s="910"/>
      <c r="W172" s="911"/>
      <c r="X172" s="33"/>
      <c r="Y172" s="909"/>
      <c r="Z172" s="910"/>
      <c r="AA172" s="910"/>
      <c r="AB172" s="910"/>
      <c r="AC172" s="910"/>
      <c r="AD172" s="911"/>
      <c r="AE172" s="33"/>
    </row>
    <row r="173" spans="1:31" s="1" customFormat="1" ht="12" customHeight="1" x14ac:dyDescent="0.2">
      <c r="A173" s="33"/>
      <c r="B173" s="33"/>
      <c r="C173" s="33"/>
      <c r="D173" s="33"/>
      <c r="E173" s="33"/>
      <c r="F173" s="33"/>
      <c r="G173" s="909"/>
      <c r="H173" s="910"/>
      <c r="I173" s="911"/>
      <c r="J173" s="39"/>
      <c r="K173" s="909"/>
      <c r="L173" s="910"/>
      <c r="M173" s="910"/>
      <c r="N173" s="910"/>
      <c r="O173" s="910"/>
      <c r="P173" s="911"/>
      <c r="Q173" s="33"/>
      <c r="R173" s="909"/>
      <c r="S173" s="910"/>
      <c r="T173" s="910"/>
      <c r="U173" s="910"/>
      <c r="V173" s="910"/>
      <c r="W173" s="911"/>
      <c r="X173" s="33"/>
      <c r="Y173" s="909"/>
      <c r="Z173" s="910"/>
      <c r="AA173" s="910"/>
      <c r="AB173" s="910"/>
      <c r="AC173" s="910"/>
      <c r="AD173" s="911"/>
      <c r="AE173" s="33"/>
    </row>
    <row r="174" spans="1:31" s="1" customFormat="1" ht="12" customHeight="1" x14ac:dyDescent="0.2">
      <c r="A174" s="33"/>
      <c r="B174" s="33"/>
      <c r="C174" s="33"/>
      <c r="D174" s="33"/>
      <c r="E174" s="33"/>
      <c r="F174" s="33"/>
      <c r="G174" s="909"/>
      <c r="H174" s="910"/>
      <c r="I174" s="911"/>
      <c r="J174" s="39"/>
      <c r="K174" s="909"/>
      <c r="L174" s="910"/>
      <c r="M174" s="910"/>
      <c r="N174" s="910"/>
      <c r="O174" s="910"/>
      <c r="P174" s="911"/>
      <c r="Q174" s="33"/>
      <c r="R174" s="909"/>
      <c r="S174" s="910"/>
      <c r="T174" s="910"/>
      <c r="U174" s="910"/>
      <c r="V174" s="910"/>
      <c r="W174" s="911"/>
      <c r="X174" s="33"/>
      <c r="Y174" s="909"/>
      <c r="Z174" s="910"/>
      <c r="AA174" s="910"/>
      <c r="AB174" s="910"/>
      <c r="AC174" s="910"/>
      <c r="AD174" s="911"/>
      <c r="AE174" s="33"/>
    </row>
    <row r="175" spans="1:31" s="1" customFormat="1" ht="12" customHeight="1" x14ac:dyDescent="0.2">
      <c r="A175" s="33"/>
      <c r="B175" s="33"/>
      <c r="C175" s="33"/>
      <c r="D175" s="33"/>
      <c r="E175" s="33"/>
      <c r="F175" s="33"/>
      <c r="G175" s="909"/>
      <c r="H175" s="910"/>
      <c r="I175" s="911"/>
      <c r="J175" s="39"/>
      <c r="K175" s="909"/>
      <c r="L175" s="910"/>
      <c r="M175" s="910"/>
      <c r="N175" s="910"/>
      <c r="O175" s="910"/>
      <c r="P175" s="911"/>
      <c r="Q175" s="33"/>
      <c r="R175" s="909"/>
      <c r="S175" s="910"/>
      <c r="T175" s="910"/>
      <c r="U175" s="910"/>
      <c r="V175" s="910"/>
      <c r="W175" s="911"/>
      <c r="X175" s="33"/>
      <c r="Y175" s="909"/>
      <c r="Z175" s="910"/>
      <c r="AA175" s="910"/>
      <c r="AB175" s="910"/>
      <c r="AC175" s="910"/>
      <c r="AD175" s="911"/>
      <c r="AE175" s="33"/>
    </row>
    <row r="176" spans="1:31" s="1" customFormat="1" ht="12" customHeight="1" x14ac:dyDescent="0.2">
      <c r="A176" s="33"/>
      <c r="B176" s="33"/>
      <c r="C176" s="33"/>
      <c r="D176" s="33"/>
      <c r="E176" s="33"/>
      <c r="F176" s="33"/>
      <c r="G176" s="909"/>
      <c r="H176" s="910"/>
      <c r="I176" s="911"/>
      <c r="J176" s="39"/>
      <c r="K176" s="909"/>
      <c r="L176" s="910"/>
      <c r="M176" s="910"/>
      <c r="N176" s="910"/>
      <c r="O176" s="910"/>
      <c r="P176" s="911"/>
      <c r="Q176" s="33"/>
      <c r="R176" s="909"/>
      <c r="S176" s="910"/>
      <c r="T176" s="910"/>
      <c r="U176" s="910"/>
      <c r="V176" s="910"/>
      <c r="W176" s="911"/>
      <c r="X176" s="33"/>
      <c r="Y176" s="909"/>
      <c r="Z176" s="910"/>
      <c r="AA176" s="910"/>
      <c r="AB176" s="910"/>
      <c r="AC176" s="910"/>
      <c r="AD176" s="911"/>
      <c r="AE176" s="33"/>
    </row>
    <row r="177" spans="1:31" s="1" customFormat="1" ht="12" customHeight="1" x14ac:dyDescent="0.2">
      <c r="A177" s="33"/>
      <c r="B177" s="33"/>
      <c r="C177" s="33"/>
      <c r="D177" s="33"/>
      <c r="E177" s="33"/>
      <c r="F177" s="33"/>
      <c r="G177" s="909"/>
      <c r="H177" s="910"/>
      <c r="I177" s="911"/>
      <c r="J177" s="39"/>
      <c r="K177" s="899" t="s">
        <v>577</v>
      </c>
      <c r="L177" s="900"/>
      <c r="M177" s="900"/>
      <c r="N177" s="900"/>
      <c r="O177" s="900"/>
      <c r="P177" s="901"/>
      <c r="Q177" s="33"/>
      <c r="R177" s="899" t="s">
        <v>578</v>
      </c>
      <c r="S177" s="900"/>
      <c r="T177" s="900"/>
      <c r="U177" s="900"/>
      <c r="V177" s="900"/>
      <c r="W177" s="901"/>
      <c r="X177" s="33"/>
      <c r="Y177" s="909"/>
      <c r="Z177" s="910"/>
      <c r="AA177" s="910"/>
      <c r="AB177" s="910"/>
      <c r="AC177" s="910"/>
      <c r="AD177" s="911"/>
      <c r="AE177" s="33"/>
    </row>
    <row r="178" spans="1:31" s="1" customFormat="1" ht="12" customHeight="1" x14ac:dyDescent="0.2">
      <c r="A178" s="33"/>
      <c r="B178" s="33"/>
      <c r="C178" s="33"/>
      <c r="D178" s="33"/>
      <c r="E178" s="33"/>
      <c r="F178" s="33"/>
      <c r="G178" s="909"/>
      <c r="H178" s="910"/>
      <c r="I178" s="911"/>
      <c r="J178" s="39"/>
      <c r="K178" s="899"/>
      <c r="L178" s="900"/>
      <c r="M178" s="900"/>
      <c r="N178" s="900"/>
      <c r="O178" s="900"/>
      <c r="P178" s="901"/>
      <c r="Q178" s="33"/>
      <c r="R178" s="899"/>
      <c r="S178" s="900"/>
      <c r="T178" s="900"/>
      <c r="U178" s="900"/>
      <c r="V178" s="900"/>
      <c r="W178" s="901"/>
      <c r="X178" s="33"/>
      <c r="Y178" s="909"/>
      <c r="Z178" s="910"/>
      <c r="AA178" s="910"/>
      <c r="AB178" s="910"/>
      <c r="AC178" s="910"/>
      <c r="AD178" s="911"/>
      <c r="AE178" s="33"/>
    </row>
    <row r="179" spans="1:31" s="1" customFormat="1" ht="12" customHeight="1" x14ac:dyDescent="0.2">
      <c r="A179" s="33"/>
      <c r="B179" s="33"/>
      <c r="C179" s="33"/>
      <c r="D179" s="33"/>
      <c r="E179" s="33"/>
      <c r="F179" s="33"/>
      <c r="G179" s="909"/>
      <c r="H179" s="910"/>
      <c r="I179" s="911"/>
      <c r="J179" s="39"/>
      <c r="K179" s="899"/>
      <c r="L179" s="900"/>
      <c r="M179" s="900"/>
      <c r="N179" s="900"/>
      <c r="O179" s="900"/>
      <c r="P179" s="901"/>
      <c r="Q179" s="33"/>
      <c r="R179" s="899"/>
      <c r="S179" s="900"/>
      <c r="T179" s="900"/>
      <c r="U179" s="900"/>
      <c r="V179" s="900"/>
      <c r="W179" s="901"/>
      <c r="X179" s="33"/>
      <c r="Y179" s="909"/>
      <c r="Z179" s="910"/>
      <c r="AA179" s="910"/>
      <c r="AB179" s="910"/>
      <c r="AC179" s="910"/>
      <c r="AD179" s="911"/>
      <c r="AE179" s="33"/>
    </row>
    <row r="180" spans="1:31" s="1" customFormat="1" ht="12" customHeight="1" x14ac:dyDescent="0.2">
      <c r="A180" s="33"/>
      <c r="B180" s="33"/>
      <c r="C180" s="33"/>
      <c r="D180" s="33"/>
      <c r="E180" s="33"/>
      <c r="F180" s="33"/>
      <c r="G180" s="909"/>
      <c r="H180" s="910"/>
      <c r="I180" s="911"/>
      <c r="J180" s="39"/>
      <c r="K180" s="899"/>
      <c r="L180" s="900"/>
      <c r="M180" s="900"/>
      <c r="N180" s="900"/>
      <c r="O180" s="900"/>
      <c r="P180" s="901"/>
      <c r="Q180" s="33"/>
      <c r="R180" s="899"/>
      <c r="S180" s="900"/>
      <c r="T180" s="900"/>
      <c r="U180" s="900"/>
      <c r="V180" s="900"/>
      <c r="W180" s="901"/>
      <c r="X180" s="33"/>
      <c r="Y180" s="909"/>
      <c r="Z180" s="910"/>
      <c r="AA180" s="910"/>
      <c r="AB180" s="910"/>
      <c r="AC180" s="910"/>
      <c r="AD180" s="911"/>
      <c r="AE180" s="33"/>
    </row>
    <row r="181" spans="1:31" s="1" customFormat="1" ht="12" customHeight="1" x14ac:dyDescent="0.2">
      <c r="A181" s="33"/>
      <c r="B181" s="33"/>
      <c r="C181" s="33"/>
      <c r="D181" s="33"/>
      <c r="E181" s="33"/>
      <c r="F181" s="33"/>
      <c r="G181" s="909"/>
      <c r="H181" s="910"/>
      <c r="I181" s="911"/>
      <c r="J181" s="39"/>
      <c r="K181" s="899"/>
      <c r="L181" s="900"/>
      <c r="M181" s="900"/>
      <c r="N181" s="900"/>
      <c r="O181" s="900"/>
      <c r="P181" s="901"/>
      <c r="Q181" s="33"/>
      <c r="R181" s="899"/>
      <c r="S181" s="900"/>
      <c r="T181" s="900"/>
      <c r="U181" s="900"/>
      <c r="V181" s="900"/>
      <c r="W181" s="901"/>
      <c r="X181" s="33"/>
      <c r="Y181" s="909"/>
      <c r="Z181" s="910"/>
      <c r="AA181" s="910"/>
      <c r="AB181" s="910"/>
      <c r="AC181" s="910"/>
      <c r="AD181" s="911"/>
      <c r="AE181" s="33"/>
    </row>
    <row r="182" spans="1:31" s="1" customFormat="1" ht="12" customHeight="1" thickBot="1" x14ac:dyDescent="0.25">
      <c r="A182" s="33"/>
      <c r="B182" s="39"/>
      <c r="C182" s="39"/>
      <c r="D182" s="39"/>
      <c r="E182" s="39"/>
      <c r="F182" s="33"/>
      <c r="G182" s="912"/>
      <c r="H182" s="913"/>
      <c r="I182" s="914"/>
      <c r="J182" s="39"/>
      <c r="K182" s="902"/>
      <c r="L182" s="903"/>
      <c r="M182" s="903"/>
      <c r="N182" s="903"/>
      <c r="O182" s="903"/>
      <c r="P182" s="904"/>
      <c r="Q182" s="33"/>
      <c r="R182" s="902"/>
      <c r="S182" s="903"/>
      <c r="T182" s="903"/>
      <c r="U182" s="903"/>
      <c r="V182" s="903"/>
      <c r="W182" s="904"/>
      <c r="X182" s="33"/>
      <c r="Y182" s="912"/>
      <c r="Z182" s="913"/>
      <c r="AA182" s="913"/>
      <c r="AB182" s="913"/>
      <c r="AC182" s="913"/>
      <c r="AD182" s="914"/>
      <c r="AE182" s="33"/>
    </row>
    <row r="183" spans="1:31" s="1" customFormat="1" ht="12" customHeight="1" x14ac:dyDescent="0.2">
      <c r="A183" s="33"/>
      <c r="B183" s="39"/>
      <c r="C183" s="39"/>
      <c r="D183" s="39"/>
      <c r="E183" s="39"/>
      <c r="F183" s="33"/>
      <c r="G183" s="40"/>
      <c r="H183" s="40"/>
      <c r="I183" s="40"/>
      <c r="J183" s="39"/>
      <c r="K183" s="40"/>
      <c r="L183" s="40"/>
      <c r="M183" s="40"/>
      <c r="N183" s="40"/>
      <c r="O183" s="40"/>
      <c r="P183" s="40"/>
      <c r="Q183" s="33"/>
      <c r="R183" s="40"/>
      <c r="S183" s="40"/>
      <c r="T183" s="40"/>
      <c r="U183" s="40"/>
      <c r="V183" s="40"/>
      <c r="W183" s="40"/>
      <c r="X183" s="33"/>
      <c r="Y183" s="40"/>
      <c r="Z183" s="40"/>
      <c r="AA183" s="40"/>
      <c r="AB183" s="40"/>
      <c r="AC183" s="40"/>
      <c r="AD183" s="40"/>
      <c r="AE183" s="33"/>
    </row>
    <row r="184" spans="1:31" ht="12" customHeight="1" thickBo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7"/>
      <c r="AD184" s="37"/>
      <c r="AE184" s="34"/>
    </row>
    <row r="185" spans="1:31" ht="12" customHeight="1" x14ac:dyDescent="0.2">
      <c r="A185" s="34"/>
      <c r="B185" s="886" t="s">
        <v>358</v>
      </c>
      <c r="C185" s="887"/>
      <c r="D185" s="887"/>
      <c r="E185" s="887"/>
      <c r="F185" s="887"/>
      <c r="G185" s="887"/>
      <c r="H185" s="887"/>
      <c r="I185" s="887"/>
      <c r="J185" s="887"/>
      <c r="K185" s="887"/>
      <c r="L185" s="887"/>
      <c r="M185" s="887"/>
      <c r="N185" s="887"/>
      <c r="O185" s="887"/>
      <c r="P185" s="887"/>
      <c r="Q185" s="887"/>
      <c r="R185" s="887"/>
      <c r="S185" s="887"/>
      <c r="T185" s="887"/>
      <c r="U185" s="887"/>
      <c r="V185" s="887"/>
      <c r="W185" s="887"/>
      <c r="X185" s="887"/>
      <c r="Y185" s="887"/>
      <c r="Z185" s="887"/>
      <c r="AA185" s="887"/>
      <c r="AB185" s="887"/>
      <c r="AC185" s="887"/>
      <c r="AD185" s="888"/>
      <c r="AE185" s="34"/>
    </row>
    <row r="186" spans="1:31" ht="12" customHeight="1" thickBot="1" x14ac:dyDescent="0.25">
      <c r="A186" s="34"/>
      <c r="B186" s="889"/>
      <c r="C186" s="890"/>
      <c r="D186" s="890"/>
      <c r="E186" s="890"/>
      <c r="F186" s="890"/>
      <c r="G186" s="890"/>
      <c r="H186" s="890"/>
      <c r="I186" s="890"/>
      <c r="J186" s="890"/>
      <c r="K186" s="890"/>
      <c r="L186" s="890"/>
      <c r="M186" s="890"/>
      <c r="N186" s="890"/>
      <c r="O186" s="890"/>
      <c r="P186" s="890"/>
      <c r="Q186" s="890"/>
      <c r="R186" s="890"/>
      <c r="S186" s="890"/>
      <c r="T186" s="890"/>
      <c r="U186" s="890"/>
      <c r="V186" s="890"/>
      <c r="W186" s="890"/>
      <c r="X186" s="890"/>
      <c r="Y186" s="890"/>
      <c r="Z186" s="890"/>
      <c r="AA186" s="890"/>
      <c r="AB186" s="890"/>
      <c r="AC186" s="890"/>
      <c r="AD186" s="891"/>
      <c r="AE186" s="34"/>
    </row>
    <row r="187" spans="1:31" ht="12" customHeight="1" x14ac:dyDescent="0.2">
      <c r="A187" s="34"/>
      <c r="B187" s="927" t="s">
        <v>522</v>
      </c>
      <c r="C187" s="928"/>
      <c r="D187" s="928"/>
      <c r="E187" s="929"/>
      <c r="F187" s="898"/>
      <c r="G187" s="815" t="str">
        <f>IF($L$150="X",CONCATENATE(SUM('Calcul auto.'!$AB$285,'Calcul auto.'!$AB$291,'Calcul auto.'!$AB$309,'Calcul auto.'!$AB$333)," indicateur(s) renseigné(s)"),IF($L$155="X",CONCATENATE(SUM('Calcul auto.'!$AC$286,'Calcul auto.'!$AC$292,'Calcul auto.'!$AC$310,'Calcul auto.'!$AC$334)," indicateur(s) renseigné(s)"),""))</f>
        <v/>
      </c>
      <c r="H187" s="813"/>
      <c r="I187" s="816"/>
      <c r="J187" s="925"/>
      <c r="K187" s="815" t="str">
        <f>IF($L$150="X",CONCATENATE(SUM('Calcul auto.'!$AD$282,'Calcul auto.'!$AD$288,'Calcul auto.'!$AD$306,'Calcul auto.'!$AD$330)," indicateur(s) associé(s) à une perte fonctionnelle"),IF($L$155="X",CONCATENATE(SUM('Calcul auto.'!$AE$283,'Calcul auto.'!$AE$289,'Calcul auto.'!$AE$307,'Calcul auto.'!$AE$331)," indicateur(s) associé(s) à une perte fonctionnelle"),""))</f>
        <v/>
      </c>
      <c r="L187" s="813"/>
      <c r="M187" s="813"/>
      <c r="N187" s="813"/>
      <c r="O187" s="813"/>
      <c r="P187" s="816"/>
      <c r="Q187" s="922"/>
      <c r="R187" s="815" t="str">
        <f>IF($L$150="X",CONCATENATE(SUM('Calcul auto.'!$AF$285,'Calcul auto.'!$AF$291,'Calcul auto.'!$AF$309,'Calcul auto.'!$AF$333)," indicateur(s) associé(s) à un gain fonctionnel"),IF($L$155="X",CONCATENATE(SUM('Calcul auto.'!$AG$286,'Calcul auto.'!$AG$292,'Calcul auto.'!$AG$310,'Calcul auto.'!$AG$334)," indicateur(s) associé(s) à un gain fonctionnel"),""))</f>
        <v/>
      </c>
      <c r="S187" s="813"/>
      <c r="T187" s="813"/>
      <c r="U187" s="813"/>
      <c r="V187" s="813"/>
      <c r="W187" s="816"/>
      <c r="X187" s="905"/>
      <c r="Y187" s="815" t="str">
        <f>IF($L$150="X",CONCATENATE(SUM('Calcul auto.'!$AH$285,'Calcul auto.'!$AH$291,'Calcul auto.'!$AH$309,'Calcul auto.'!$AH$333)," indicateur(s) associé(s) à une équivalence fonctionnelle"),IF($L$155="X",CONCATENATE(SUM('Calcul auto.'!$AI$286,'Calcul auto.'!$AI$292,'Calcul auto.'!$AI$310,'Calcul auto.'!$AI$334)," indicateur(s) associé(s) à une équivalence fonctionnelle"),""))</f>
        <v/>
      </c>
      <c r="Z187" s="813"/>
      <c r="AA187" s="813"/>
      <c r="AB187" s="813"/>
      <c r="AC187" s="813"/>
      <c r="AD187" s="816"/>
      <c r="AE187" s="34"/>
    </row>
    <row r="188" spans="1:31" ht="12" customHeight="1" x14ac:dyDescent="0.2">
      <c r="A188" s="34"/>
      <c r="B188" s="927"/>
      <c r="C188" s="928"/>
      <c r="D188" s="928"/>
      <c r="E188" s="929"/>
      <c r="F188" s="898"/>
      <c r="G188" s="815"/>
      <c r="H188" s="813"/>
      <c r="I188" s="816"/>
      <c r="J188" s="925"/>
      <c r="K188" s="815"/>
      <c r="L188" s="813"/>
      <c r="M188" s="813"/>
      <c r="N188" s="813"/>
      <c r="O188" s="813"/>
      <c r="P188" s="816"/>
      <c r="Q188" s="922"/>
      <c r="R188" s="815"/>
      <c r="S188" s="813"/>
      <c r="T188" s="813"/>
      <c r="U188" s="813"/>
      <c r="V188" s="813"/>
      <c r="W188" s="816"/>
      <c r="X188" s="905"/>
      <c r="Y188" s="815"/>
      <c r="Z188" s="813"/>
      <c r="AA188" s="813"/>
      <c r="AB188" s="813"/>
      <c r="AC188" s="813"/>
      <c r="AD188" s="816"/>
      <c r="AE188" s="34"/>
    </row>
    <row r="189" spans="1:31" ht="12" customHeight="1" x14ac:dyDescent="0.2">
      <c r="A189" s="34"/>
      <c r="B189" s="927"/>
      <c r="C189" s="928"/>
      <c r="D189" s="928"/>
      <c r="E189" s="929"/>
      <c r="F189" s="898"/>
      <c r="G189" s="815"/>
      <c r="H189" s="813"/>
      <c r="I189" s="816"/>
      <c r="J189" s="925"/>
      <c r="K189" s="815"/>
      <c r="L189" s="813"/>
      <c r="M189" s="813"/>
      <c r="N189" s="813"/>
      <c r="O189" s="813"/>
      <c r="P189" s="816"/>
      <c r="Q189" s="922"/>
      <c r="R189" s="815"/>
      <c r="S189" s="813"/>
      <c r="T189" s="813"/>
      <c r="U189" s="813"/>
      <c r="V189" s="813"/>
      <c r="W189" s="816"/>
      <c r="X189" s="905"/>
      <c r="Y189" s="815"/>
      <c r="Z189" s="813"/>
      <c r="AA189" s="813"/>
      <c r="AB189" s="813"/>
      <c r="AC189" s="813"/>
      <c r="AD189" s="816"/>
      <c r="AE189" s="34"/>
    </row>
    <row r="190" spans="1:31" ht="12" customHeight="1" x14ac:dyDescent="0.2">
      <c r="A190" s="34"/>
      <c r="B190" s="927"/>
      <c r="C190" s="928"/>
      <c r="D190" s="928"/>
      <c r="E190" s="929"/>
      <c r="F190" s="898"/>
      <c r="G190" s="815"/>
      <c r="H190" s="813"/>
      <c r="I190" s="816"/>
      <c r="J190" s="925"/>
      <c r="K190" s="815"/>
      <c r="L190" s="813"/>
      <c r="M190" s="813"/>
      <c r="N190" s="813"/>
      <c r="O190" s="813"/>
      <c r="P190" s="816"/>
      <c r="Q190" s="922"/>
      <c r="R190" s="815"/>
      <c r="S190" s="813"/>
      <c r="T190" s="813"/>
      <c r="U190" s="813"/>
      <c r="V190" s="813"/>
      <c r="W190" s="816"/>
      <c r="X190" s="905"/>
      <c r="Y190" s="815"/>
      <c r="Z190" s="813"/>
      <c r="AA190" s="813"/>
      <c r="AB190" s="813"/>
      <c r="AC190" s="813"/>
      <c r="AD190" s="816"/>
      <c r="AE190" s="34"/>
    </row>
    <row r="191" spans="1:31" ht="12" customHeight="1" thickBot="1" x14ac:dyDescent="0.25">
      <c r="A191" s="34"/>
      <c r="B191" s="927"/>
      <c r="C191" s="928"/>
      <c r="D191" s="928"/>
      <c r="E191" s="929"/>
      <c r="F191" s="898"/>
      <c r="G191" s="817"/>
      <c r="H191" s="818"/>
      <c r="I191" s="819"/>
      <c r="J191" s="925"/>
      <c r="K191" s="817"/>
      <c r="L191" s="818"/>
      <c r="M191" s="818"/>
      <c r="N191" s="818"/>
      <c r="O191" s="818"/>
      <c r="P191" s="819"/>
      <c r="Q191" s="922"/>
      <c r="R191" s="817"/>
      <c r="S191" s="818"/>
      <c r="T191" s="818"/>
      <c r="U191" s="818"/>
      <c r="V191" s="818"/>
      <c r="W191" s="819"/>
      <c r="X191" s="905"/>
      <c r="Y191" s="815"/>
      <c r="Z191" s="813"/>
      <c r="AA191" s="813"/>
      <c r="AB191" s="813"/>
      <c r="AC191" s="813"/>
      <c r="AD191" s="816"/>
      <c r="AE191" s="34"/>
    </row>
    <row r="192" spans="1:31" ht="12" customHeight="1" x14ac:dyDescent="0.2">
      <c r="A192" s="34"/>
      <c r="B192" s="930" t="s">
        <v>532</v>
      </c>
      <c r="C192" s="931"/>
      <c r="D192" s="931"/>
      <c r="E192" s="932"/>
      <c r="F192" s="898"/>
      <c r="G192" s="820" t="str">
        <f>IF($L$150="X",CONCATENATE(SUM('Calcul auto.'!$AB$213,'Calcul auto.'!$AB$219,'Calcul auto.'!$AB$279,'Calcul auto.'!$AB$285,'Calcul auto.'!$AB$291,'Calcul auto.'!$AB$309)," indicateur(s) renseigné(s)"),IF($L$155="X",CONCATENATE(SUM(SUM('Calcul auto.'!$AC$214,'Calcul auto.'!$AC$220,'Calcul auto.'!$AC$280,'Calcul auto.'!$AC$286,'Calcul auto.'!$AC$292,'Calcul auto.'!$AC$310))," indicateur(s) renseigné(s)"),""))</f>
        <v/>
      </c>
      <c r="H192" s="821"/>
      <c r="I192" s="822"/>
      <c r="J192" s="925"/>
      <c r="K192" s="815" t="str">
        <f>IF($L$150="X",CONCATENATE(SUM('Calcul auto.'!$AD$210,'Calcul auto.'!$AD$216,'Calcul auto.'!$AD$276,'Calcul auto.'!$AD$282,'Calcul auto.'!$AD$288,'Calcul auto.'!$AD$306)," indicateur(s) associé(s) à une perte fonctionnelle"),IF($L$155="X",CONCATENATE(SUM('Calcul auto.'!$AE$211,'Calcul auto.'!$AE$217,'Calcul auto.'!$AE$277,'Calcul auto.'!$AE$283,'Calcul auto.'!$AE$289,'Calcul auto.'!$AE$307)," indicateur(s) associé(s) à une perte fonctionnelle"),""))</f>
        <v/>
      </c>
      <c r="L192" s="813"/>
      <c r="M192" s="813"/>
      <c r="N192" s="813"/>
      <c r="O192" s="813"/>
      <c r="P192" s="816"/>
      <c r="Q192" s="922"/>
      <c r="R192" s="815" t="str">
        <f>IF($L$150="X",CONCATENATE(SUM('Calcul auto.'!$AF$213,'Calcul auto.'!$AF$219,'Calcul auto.'!$AF$279,'Calcul auto.'!$AF$285,'Calcul auto.'!$AF$291,'Calcul auto.'!$AF$309)," indicateur(s) associé(s) à un gain fonctionnel"),IF($L$155="X",CONCATENATE(SUM('Calcul auto.'!$AG$214,'Calcul auto.'!$AG$220,'Calcul auto.'!$AG$280,'Calcul auto.'!$AG$286,'Calcul auto.'!$AG$292,'Calcul auto.'!$AG$310)," indicateur(s) associé(s) à un gain fonctionnel"),""))</f>
        <v/>
      </c>
      <c r="S192" s="813"/>
      <c r="T192" s="813"/>
      <c r="U192" s="813"/>
      <c r="V192" s="813"/>
      <c r="W192" s="816"/>
      <c r="X192" s="905"/>
      <c r="Y192" s="820" t="str">
        <f>IF($L$150="X",CONCATENATE(SUM('Calcul auto.'!$AH$213,'Calcul auto.'!$AH$219,'Calcul auto.'!$AH$279,'Calcul auto.'!$AH$285,'Calcul auto.'!$AH$291,'Calcul auto.'!$AH$309)," indicateur(s) associé(s) à une équivalence fonctionnelle"),IF($L$155="X",CONCATENATE(SUM('Calcul auto.'!$AI$214,'Calcul auto.'!$AI$220,'Calcul auto.'!$AI$280,'Calcul auto.'!$AI$286,'Calcul auto.'!$AI$292,'Calcul auto.'!$AI$310)," indicateur(s) associé(s) à une équivalence fonctionnelle"),""))</f>
        <v/>
      </c>
      <c r="Z192" s="821"/>
      <c r="AA192" s="821"/>
      <c r="AB192" s="821"/>
      <c r="AC192" s="821"/>
      <c r="AD192" s="822"/>
      <c r="AE192" s="34"/>
    </row>
    <row r="193" spans="1:31" ht="12" customHeight="1" x14ac:dyDescent="0.2">
      <c r="A193" s="34"/>
      <c r="B193" s="927"/>
      <c r="C193" s="928"/>
      <c r="D193" s="928"/>
      <c r="E193" s="929"/>
      <c r="F193" s="898"/>
      <c r="G193" s="815"/>
      <c r="H193" s="813"/>
      <c r="I193" s="816"/>
      <c r="J193" s="925"/>
      <c r="K193" s="815"/>
      <c r="L193" s="813"/>
      <c r="M193" s="813"/>
      <c r="N193" s="813"/>
      <c r="O193" s="813"/>
      <c r="P193" s="816"/>
      <c r="Q193" s="922"/>
      <c r="R193" s="815"/>
      <c r="S193" s="813"/>
      <c r="T193" s="813"/>
      <c r="U193" s="813"/>
      <c r="V193" s="813"/>
      <c r="W193" s="816"/>
      <c r="X193" s="905"/>
      <c r="Y193" s="815"/>
      <c r="Z193" s="813"/>
      <c r="AA193" s="813"/>
      <c r="AB193" s="813"/>
      <c r="AC193" s="813"/>
      <c r="AD193" s="816"/>
      <c r="AE193" s="34"/>
    </row>
    <row r="194" spans="1:31" ht="12" customHeight="1" x14ac:dyDescent="0.2">
      <c r="A194" s="34"/>
      <c r="B194" s="927"/>
      <c r="C194" s="928"/>
      <c r="D194" s="928"/>
      <c r="E194" s="929"/>
      <c r="F194" s="898"/>
      <c r="G194" s="815"/>
      <c r="H194" s="813"/>
      <c r="I194" s="816"/>
      <c r="J194" s="925"/>
      <c r="K194" s="815"/>
      <c r="L194" s="813"/>
      <c r="M194" s="813"/>
      <c r="N194" s="813"/>
      <c r="O194" s="813"/>
      <c r="P194" s="816"/>
      <c r="Q194" s="922"/>
      <c r="R194" s="815"/>
      <c r="S194" s="813"/>
      <c r="T194" s="813"/>
      <c r="U194" s="813"/>
      <c r="V194" s="813"/>
      <c r="W194" s="816"/>
      <c r="X194" s="905"/>
      <c r="Y194" s="815"/>
      <c r="Z194" s="813"/>
      <c r="AA194" s="813"/>
      <c r="AB194" s="813"/>
      <c r="AC194" s="813"/>
      <c r="AD194" s="816"/>
      <c r="AE194" s="34"/>
    </row>
    <row r="195" spans="1:31" ht="12" customHeight="1" x14ac:dyDescent="0.2">
      <c r="A195" s="34"/>
      <c r="B195" s="927"/>
      <c r="C195" s="928"/>
      <c r="D195" s="928"/>
      <c r="E195" s="929"/>
      <c r="F195" s="898"/>
      <c r="G195" s="815"/>
      <c r="H195" s="813"/>
      <c r="I195" s="816"/>
      <c r="J195" s="925"/>
      <c r="K195" s="815"/>
      <c r="L195" s="813"/>
      <c r="M195" s="813"/>
      <c r="N195" s="813"/>
      <c r="O195" s="813"/>
      <c r="P195" s="816"/>
      <c r="Q195" s="922"/>
      <c r="R195" s="815"/>
      <c r="S195" s="813"/>
      <c r="T195" s="813"/>
      <c r="U195" s="813"/>
      <c r="V195" s="813"/>
      <c r="W195" s="816"/>
      <c r="X195" s="905"/>
      <c r="Y195" s="815"/>
      <c r="Z195" s="813"/>
      <c r="AA195" s="813"/>
      <c r="AB195" s="813"/>
      <c r="AC195" s="813"/>
      <c r="AD195" s="816"/>
      <c r="AE195" s="34"/>
    </row>
    <row r="196" spans="1:31" ht="12" customHeight="1" thickBot="1" x14ac:dyDescent="0.25">
      <c r="A196" s="34"/>
      <c r="B196" s="933"/>
      <c r="C196" s="934"/>
      <c r="D196" s="934"/>
      <c r="E196" s="935"/>
      <c r="F196" s="898"/>
      <c r="G196" s="817"/>
      <c r="H196" s="818"/>
      <c r="I196" s="819"/>
      <c r="J196" s="925"/>
      <c r="K196" s="817"/>
      <c r="L196" s="818"/>
      <c r="M196" s="818"/>
      <c r="N196" s="818"/>
      <c r="O196" s="818"/>
      <c r="P196" s="819"/>
      <c r="Q196" s="922"/>
      <c r="R196" s="817"/>
      <c r="S196" s="818"/>
      <c r="T196" s="818"/>
      <c r="U196" s="818"/>
      <c r="V196" s="818"/>
      <c r="W196" s="819"/>
      <c r="X196" s="905"/>
      <c r="Y196" s="817"/>
      <c r="Z196" s="818"/>
      <c r="AA196" s="818"/>
      <c r="AB196" s="818"/>
      <c r="AC196" s="818"/>
      <c r="AD196" s="819"/>
      <c r="AE196" s="34"/>
    </row>
    <row r="197" spans="1:31" ht="12" customHeight="1" x14ac:dyDescent="0.2">
      <c r="A197" s="34"/>
      <c r="B197" s="927" t="s">
        <v>533</v>
      </c>
      <c r="C197" s="928"/>
      <c r="D197" s="928"/>
      <c r="E197" s="929"/>
      <c r="F197" s="898"/>
      <c r="G197" s="815" t="str">
        <f>IF($L$150="X",CONCATENATE(SUM('Calcul auto.'!$AB$261,'Calcul auto.'!$AB$285,'Calcul auto.'!$AB$291,'Calcul auto.'!$AB$309,'Calcul auto.'!$AB$315,'Calcul auto.'!$AB$333,'Calcul auto.'!$AB$351,'Calcul auto.'!$AB$375,'Calcul auto.'!$AB$381,'Calcul auto.'!$AB$387)," indicateur(s) renseigné(s)"),IF($L$155="X",CONCATENATE(SUM('Calcul auto.'!$AC$262,'Calcul auto.'!$AC$286,'Calcul auto.'!$AC$292,'Calcul auto.'!$AC$310,'Calcul auto.'!$AC$316,'Calcul auto.'!$AC$334,'Calcul auto.'!$AC$352,'Calcul auto.'!$AC$376,'Calcul auto.'!$AC$382,'Calcul auto.'!$AC$388)," indicateur(s) renseigné(s)"),""))</f>
        <v/>
      </c>
      <c r="H197" s="813"/>
      <c r="I197" s="816"/>
      <c r="J197" s="925"/>
      <c r="K197" s="815" t="str">
        <f>IF($L$150="X",CONCATENATE(SUM('Calcul auto.'!$AD$258,'Calcul auto.'!$AD$282,'Calcul auto.'!$AD$288,'Calcul auto.'!$AD$306,'Calcul auto.'!$AD$312,'Calcul auto.'!$AD$330,'Calcul auto.'!$AD$348,'Calcul auto.'!$AD$372,'Calcul auto.'!$AD$378,'Calcul auto.'!$AD$384)," indicateur(s) associé(s) à une perte fonctionnelle"),IF($L$155="X",CONCATENATE(SUM('Calcul auto.'!$AE$259,'Calcul auto.'!$AE$283,'Calcul auto.'!$AE$289,'Calcul auto.'!$AE$307,'Calcul auto.'!$AE$313,'Calcul auto.'!$AE$331,'Calcul auto.'!$AE$349,'Calcul auto.'!$AE$373,'Calcul auto.'!$AE$379,'Calcul auto.'!$AE$385)," indicateur(s) associé(s) à une perte fonctionnelle"),""))</f>
        <v/>
      </c>
      <c r="L197" s="813"/>
      <c r="M197" s="813"/>
      <c r="N197" s="813"/>
      <c r="O197" s="813"/>
      <c r="P197" s="816"/>
      <c r="Q197" s="922"/>
      <c r="R197" s="815" t="str">
        <f>IF($L$150="X",CONCATENATE(SUM('Calcul auto.'!$AF$261,'Calcul auto.'!$AF$285,'Calcul auto.'!$AF$291,'Calcul auto.'!$AF$309,'Calcul auto.'!$AF$315,'Calcul auto.'!$AF$333,'Calcul auto.'!$AF$351,'Calcul auto.'!$AF$375,'Calcul auto.'!$AF$381,'Calcul auto.'!$AF$387)," indicateur(s) associé(s) à un gain fonctionnel"),IF($L$155="X",CONCATENATE(SUM('Calcul auto.'!$AG$262,'Calcul auto.'!$AG$286,'Calcul auto.'!$AG$292,'Calcul auto.'!$AG$310,'Calcul auto.'!$AG$316,'Calcul auto.'!$AG$334,'Calcul auto.'!$AG$352,'Calcul auto.'!$AG$376,'Calcul auto.'!$AG$382,'Calcul auto.'!$AG$388)," indicateur(s) associé(s) à un gain fonctionnel"),""))</f>
        <v/>
      </c>
      <c r="S197" s="813"/>
      <c r="T197" s="813"/>
      <c r="U197" s="813"/>
      <c r="V197" s="813"/>
      <c r="W197" s="816"/>
      <c r="X197" s="905"/>
      <c r="Y197" s="820" t="str">
        <f>IF($L$150="X",CONCATENATE(SUM('Calcul auto.'!$AH$261,'Calcul auto.'!$AH$285,'Calcul auto.'!$AH$291,'Calcul auto.'!$AH$309,'Calcul auto.'!$AH$315,'Calcul auto.'!$AH$333,'Calcul auto.'!$AH$351,'Calcul auto.'!$AH$375,'Calcul auto.'!$AH$381,'Calcul auto.'!$AH$387)," indicateur(s) associé(s) à une équivalence fonctionnelle"),IF($L$155="X",CONCATENATE(SUM('Calcul auto.'!$AI$262,'Calcul auto.'!$AI$286,'Calcul auto.'!$AI$292,'Calcul auto.'!$AI$310,'Calcul auto.'!$AI$316,'Calcul auto.'!$AI$334,'Calcul auto.'!$AI$352,'Calcul auto.'!$AI$376,'Calcul auto.'!$AI$382,'Calcul auto.'!$AI$388)," indicateur(s) associé(s) à une équivalence fonctionnelle"),""))</f>
        <v/>
      </c>
      <c r="Z197" s="821"/>
      <c r="AA197" s="821"/>
      <c r="AB197" s="821"/>
      <c r="AC197" s="821"/>
      <c r="AD197" s="822"/>
      <c r="AE197" s="34"/>
    </row>
    <row r="198" spans="1:31" ht="12" customHeight="1" x14ac:dyDescent="0.2">
      <c r="A198" s="34"/>
      <c r="B198" s="927"/>
      <c r="C198" s="928"/>
      <c r="D198" s="928"/>
      <c r="E198" s="929"/>
      <c r="F198" s="898"/>
      <c r="G198" s="815"/>
      <c r="H198" s="813"/>
      <c r="I198" s="816"/>
      <c r="J198" s="925"/>
      <c r="K198" s="815"/>
      <c r="L198" s="813"/>
      <c r="M198" s="813"/>
      <c r="N198" s="813"/>
      <c r="O198" s="813"/>
      <c r="P198" s="816"/>
      <c r="Q198" s="922"/>
      <c r="R198" s="815"/>
      <c r="S198" s="813"/>
      <c r="T198" s="813"/>
      <c r="U198" s="813"/>
      <c r="V198" s="813"/>
      <c r="W198" s="816"/>
      <c r="X198" s="905"/>
      <c r="Y198" s="815"/>
      <c r="Z198" s="813"/>
      <c r="AA198" s="813"/>
      <c r="AB198" s="813"/>
      <c r="AC198" s="813"/>
      <c r="AD198" s="816"/>
      <c r="AE198" s="34"/>
    </row>
    <row r="199" spans="1:31" ht="12" customHeight="1" x14ac:dyDescent="0.2">
      <c r="A199" s="34"/>
      <c r="B199" s="927"/>
      <c r="C199" s="928"/>
      <c r="D199" s="928"/>
      <c r="E199" s="929"/>
      <c r="F199" s="898"/>
      <c r="G199" s="815"/>
      <c r="H199" s="813"/>
      <c r="I199" s="816"/>
      <c r="J199" s="925"/>
      <c r="K199" s="815"/>
      <c r="L199" s="813"/>
      <c r="M199" s="813"/>
      <c r="N199" s="813"/>
      <c r="O199" s="813"/>
      <c r="P199" s="816"/>
      <c r="Q199" s="922"/>
      <c r="R199" s="815"/>
      <c r="S199" s="813"/>
      <c r="T199" s="813"/>
      <c r="U199" s="813"/>
      <c r="V199" s="813"/>
      <c r="W199" s="816"/>
      <c r="X199" s="905"/>
      <c r="Y199" s="815"/>
      <c r="Z199" s="813"/>
      <c r="AA199" s="813"/>
      <c r="AB199" s="813"/>
      <c r="AC199" s="813"/>
      <c r="AD199" s="816"/>
      <c r="AE199" s="34"/>
    </row>
    <row r="200" spans="1:31" ht="12" customHeight="1" x14ac:dyDescent="0.2">
      <c r="A200" s="34"/>
      <c r="B200" s="927"/>
      <c r="C200" s="928"/>
      <c r="D200" s="928"/>
      <c r="E200" s="929"/>
      <c r="F200" s="898"/>
      <c r="G200" s="815"/>
      <c r="H200" s="813"/>
      <c r="I200" s="816"/>
      <c r="J200" s="925"/>
      <c r="K200" s="815"/>
      <c r="L200" s="813"/>
      <c r="M200" s="813"/>
      <c r="N200" s="813"/>
      <c r="O200" s="813"/>
      <c r="P200" s="816"/>
      <c r="Q200" s="922"/>
      <c r="R200" s="815"/>
      <c r="S200" s="813"/>
      <c r="T200" s="813"/>
      <c r="U200" s="813"/>
      <c r="V200" s="813"/>
      <c r="W200" s="816"/>
      <c r="X200" s="905"/>
      <c r="Y200" s="815"/>
      <c r="Z200" s="813"/>
      <c r="AA200" s="813"/>
      <c r="AB200" s="813"/>
      <c r="AC200" s="813"/>
      <c r="AD200" s="816"/>
      <c r="AE200" s="34"/>
    </row>
    <row r="201" spans="1:31" ht="12" customHeight="1" thickBot="1" x14ac:dyDescent="0.25">
      <c r="A201" s="34"/>
      <c r="B201" s="933"/>
      <c r="C201" s="934"/>
      <c r="D201" s="934"/>
      <c r="E201" s="935"/>
      <c r="F201" s="898"/>
      <c r="G201" s="817"/>
      <c r="H201" s="818"/>
      <c r="I201" s="819"/>
      <c r="J201" s="925"/>
      <c r="K201" s="817"/>
      <c r="L201" s="818"/>
      <c r="M201" s="818"/>
      <c r="N201" s="818"/>
      <c r="O201" s="818"/>
      <c r="P201" s="819"/>
      <c r="Q201" s="922"/>
      <c r="R201" s="817"/>
      <c r="S201" s="818"/>
      <c r="T201" s="818"/>
      <c r="U201" s="818"/>
      <c r="V201" s="818"/>
      <c r="W201" s="819"/>
      <c r="X201" s="905"/>
      <c r="Y201" s="817"/>
      <c r="Z201" s="818"/>
      <c r="AA201" s="818"/>
      <c r="AB201" s="818"/>
      <c r="AC201" s="818"/>
      <c r="AD201" s="819"/>
      <c r="AE201" s="34"/>
    </row>
    <row r="202" spans="1:31" ht="12" customHeight="1"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7"/>
      <c r="AD202" s="37"/>
      <c r="AE202" s="34"/>
    </row>
    <row r="203" spans="1:31" ht="12" customHeight="1" thickBot="1"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7"/>
      <c r="AD203" s="37"/>
      <c r="AE203" s="34"/>
    </row>
    <row r="204" spans="1:31" ht="12" customHeight="1" x14ac:dyDescent="0.2">
      <c r="A204" s="34"/>
      <c r="B204" s="823" t="s">
        <v>359</v>
      </c>
      <c r="C204" s="824"/>
      <c r="D204" s="824"/>
      <c r="E204" s="824"/>
      <c r="F204" s="824"/>
      <c r="G204" s="824"/>
      <c r="H204" s="824"/>
      <c r="I204" s="824"/>
      <c r="J204" s="824"/>
      <c r="K204" s="824"/>
      <c r="L204" s="824"/>
      <c r="M204" s="824"/>
      <c r="N204" s="824"/>
      <c r="O204" s="824"/>
      <c r="P204" s="824"/>
      <c r="Q204" s="824"/>
      <c r="R204" s="824"/>
      <c r="S204" s="824"/>
      <c r="T204" s="824"/>
      <c r="U204" s="824"/>
      <c r="V204" s="824"/>
      <c r="W204" s="824"/>
      <c r="X204" s="824"/>
      <c r="Y204" s="824"/>
      <c r="Z204" s="824"/>
      <c r="AA204" s="824"/>
      <c r="AB204" s="824"/>
      <c r="AC204" s="824"/>
      <c r="AD204" s="825"/>
      <c r="AE204" s="34"/>
    </row>
    <row r="205" spans="1:31" ht="12" customHeight="1" thickBot="1" x14ac:dyDescent="0.25">
      <c r="A205" s="34"/>
      <c r="B205" s="826"/>
      <c r="C205" s="827"/>
      <c r="D205" s="827"/>
      <c r="E205" s="827"/>
      <c r="F205" s="827"/>
      <c r="G205" s="827"/>
      <c r="H205" s="827"/>
      <c r="I205" s="827"/>
      <c r="J205" s="827"/>
      <c r="K205" s="827"/>
      <c r="L205" s="827"/>
      <c r="M205" s="827"/>
      <c r="N205" s="827"/>
      <c r="O205" s="827"/>
      <c r="P205" s="827"/>
      <c r="Q205" s="827"/>
      <c r="R205" s="827"/>
      <c r="S205" s="827"/>
      <c r="T205" s="827"/>
      <c r="U205" s="827"/>
      <c r="V205" s="827"/>
      <c r="W205" s="827"/>
      <c r="X205" s="827"/>
      <c r="Y205" s="827"/>
      <c r="Z205" s="827"/>
      <c r="AA205" s="827"/>
      <c r="AB205" s="827"/>
      <c r="AC205" s="827"/>
      <c r="AD205" s="828"/>
      <c r="AE205" s="34"/>
    </row>
    <row r="206" spans="1:31" ht="12" customHeight="1" x14ac:dyDescent="0.2">
      <c r="A206" s="34"/>
      <c r="B206" s="849" t="s">
        <v>523</v>
      </c>
      <c r="C206" s="850"/>
      <c r="D206" s="850"/>
      <c r="E206" s="851"/>
      <c r="F206" s="918"/>
      <c r="G206" s="812" t="str">
        <f>IF($L$150="X",CONCATENATE(SUM('Calcul auto.'!$AB$249,'Calcul auto.'!$AB$255,'Calcul auto.'!$AB$261,'Calcul auto.'!$AB$279,'Calcul auto.'!$AB$285,'Calcul auto.'!$AB$291,'Calcul auto.'!$AB$309,'Calcul auto.'!$AB$315,'Calcul auto.'!$AB$333,'Calcul auto.'!$AB$345,'Calcul auto.'!$AB$357,'Calcul auto.'!$AB$375,'Calcul auto.'!$AB$381,'Calcul auto.'!$AB$387)," indicateur(s) renseigné(s)"),IF($L$155="X",CONCATENATE(SUM('Calcul auto.'!$AC$250,'Calcul auto.'!$AC$256,'Calcul auto.'!$AC$262,'Calcul auto.'!$AC$280,'Calcul auto.'!$AC$286,'Calcul auto.'!$AC$292,'Calcul auto.'!$AC$310,'Calcul auto.'!$AC$316,'Calcul auto.'!$AC$334,'Calcul auto.'!$AC$346,'Calcul auto.'!$AC$358,'Calcul auto.'!$AC$376,'Calcul auto.'!$AC$382,'Calcul auto.'!$AC$388)," indicateur(s) renseigné(s)"),""))</f>
        <v/>
      </c>
      <c r="H206" s="813"/>
      <c r="I206" s="814"/>
      <c r="J206" s="919"/>
      <c r="K206" s="812" t="str">
        <f>IF($L$150="X",CONCATENATE(SUM('Calcul auto.'!$AD$246,'Calcul auto.'!$AD$252,'Calcul auto.'!$AD$258,'Calcul auto.'!$AD$276,'Calcul auto.'!$AD$282,'Calcul auto.'!$AD$288,'Calcul auto.'!$AD$306,'Calcul auto.'!$AD$312,'Calcul auto.'!$AD$330,'Calcul auto.'!$AD$342,'Calcul auto.'!$AD$354,'Calcul auto.'!$AD$372,'Calcul auto.'!$AD$378,'Calcul auto.'!$AD$384)," indicateur(s) associé(s) à une perte fonctionnelle"),IF($L$155="X",CONCATENATE(SUM('Calcul auto.'!$AE$247,'Calcul auto.'!$AE$253,'Calcul auto.'!$AE$259,'Calcul auto.'!$AE$277,'Calcul auto.'!$AE$283,'Calcul auto.'!$AE$289,'Calcul auto.'!$AE$307,'Calcul auto.'!$AE$313,'Calcul auto.'!$AE$331,'Calcul auto.'!$AE$343,'Calcul auto.'!$AE$355,'Calcul auto.'!$AE$373,'Calcul auto.'!$AE$379,'Calcul auto.'!$AE$385)," indicateur(s) associé(s) à une perte fonctionnelle"),""))</f>
        <v/>
      </c>
      <c r="L206" s="813"/>
      <c r="M206" s="813"/>
      <c r="N206" s="813"/>
      <c r="O206" s="813"/>
      <c r="P206" s="814"/>
      <c r="Q206" s="919"/>
      <c r="R206" s="812" t="str">
        <f>IF($L$150="X",CONCATENATE(SUM('Calcul auto.'!$AF$249,'Calcul auto.'!$AF$255,'Calcul auto.'!$AF$261,'Calcul auto.'!$AF$279,'Calcul auto.'!$AF$285,'Calcul auto.'!$AF$291,'Calcul auto.'!$AF$309,'Calcul auto.'!$AF$315,'Calcul auto.'!$AF$333,'Calcul auto.'!$AF$345,'Calcul auto.'!$AF$357,'Calcul auto.'!$AF$375,'Calcul auto.'!$AF$381,'Calcul auto.'!$AF$387)," indicateur(s) associé(s) à un gain fonctionnel"),IF($L$155="X",CONCATENATE(SUM('Calcul auto.'!$AG$250,'Calcul auto.'!$AG$256,'Calcul auto.'!$AG$262,'Calcul auto.'!$AG$280,'Calcul auto.'!$AG$286,'Calcul auto.'!$AG$292,'Calcul auto.'!$AG$310,'Calcul auto.'!$AG$316,'Calcul auto.'!$AG$334,'Calcul auto.'!$AG$346,'Calcul auto.'!$AG$358,'Calcul auto.'!$AG$376,'Calcul auto.'!$AG$382,'Calcul auto.'!$AG$388)," indicateur(s) associé(s) à un gain fonctionnel"),""))</f>
        <v/>
      </c>
      <c r="S206" s="813"/>
      <c r="T206" s="813"/>
      <c r="U206" s="813"/>
      <c r="V206" s="813"/>
      <c r="W206" s="814"/>
      <c r="X206" s="919"/>
      <c r="Y206" s="812" t="str">
        <f>IF($L$150="X",CONCATENATE(SUM('Calcul auto.'!$AH$249,'Calcul auto.'!$AH$255,'Calcul auto.'!$AH$261,'Calcul auto.'!$AH$279,'Calcul auto.'!$AH$285,'Calcul auto.'!$AH$291,'Calcul auto.'!$AH$309,'Calcul auto.'!$AH$315,'Calcul auto.'!$AH$333,'Calcul auto.'!$AH$345,'Calcul auto.'!$AH$357,'Calcul auto.'!$AH$375,'Calcul auto.'!$AH$381,'Calcul auto.'!$AH$387)," indicateur(s) associé(s) à une équivalence fonctionnelle"),IF($L$155="X",CONCATENATE(SUM('Calcul auto.'!$AI$250,'Calcul auto.'!$AI$256,'Calcul auto.'!$AI$262,'Calcul auto.'!$AI$280,'Calcul auto.'!$AI$286,'Calcul auto.'!$AI$292,'Calcul auto.'!$AI$310,'Calcul auto.'!$AI$316,'Calcul auto.'!$AI$334,'Calcul auto.'!$AI$346,'Calcul auto.'!$AI$358,'Calcul auto.'!$AI$376,'Calcul auto.'!$AI$382,'Calcul auto.'!$AI$388)," indicateur(s) associé(s) à une équivalence fonctionnelle"),""))</f>
        <v/>
      </c>
      <c r="Z206" s="813"/>
      <c r="AA206" s="813"/>
      <c r="AB206" s="813"/>
      <c r="AC206" s="813"/>
      <c r="AD206" s="814"/>
      <c r="AE206" s="34"/>
    </row>
    <row r="207" spans="1:31" ht="12" customHeight="1" x14ac:dyDescent="0.2">
      <c r="A207" s="34"/>
      <c r="B207" s="849"/>
      <c r="C207" s="850"/>
      <c r="D207" s="850"/>
      <c r="E207" s="851"/>
      <c r="F207" s="918"/>
      <c r="G207" s="812"/>
      <c r="H207" s="813"/>
      <c r="I207" s="814"/>
      <c r="J207" s="919"/>
      <c r="K207" s="812"/>
      <c r="L207" s="813"/>
      <c r="M207" s="813"/>
      <c r="N207" s="813"/>
      <c r="O207" s="813"/>
      <c r="P207" s="814"/>
      <c r="Q207" s="919"/>
      <c r="R207" s="812"/>
      <c r="S207" s="813"/>
      <c r="T207" s="813"/>
      <c r="U207" s="813"/>
      <c r="V207" s="813"/>
      <c r="W207" s="814"/>
      <c r="X207" s="919"/>
      <c r="Y207" s="812"/>
      <c r="Z207" s="813"/>
      <c r="AA207" s="813"/>
      <c r="AB207" s="813"/>
      <c r="AC207" s="813"/>
      <c r="AD207" s="814"/>
      <c r="AE207" s="34"/>
    </row>
    <row r="208" spans="1:31" ht="12" customHeight="1" x14ac:dyDescent="0.2">
      <c r="A208" s="34"/>
      <c r="B208" s="849"/>
      <c r="C208" s="850"/>
      <c r="D208" s="850"/>
      <c r="E208" s="851"/>
      <c r="F208" s="918"/>
      <c r="G208" s="812"/>
      <c r="H208" s="813"/>
      <c r="I208" s="814"/>
      <c r="J208" s="919"/>
      <c r="K208" s="812"/>
      <c r="L208" s="813"/>
      <c r="M208" s="813"/>
      <c r="N208" s="813"/>
      <c r="O208" s="813"/>
      <c r="P208" s="814"/>
      <c r="Q208" s="919"/>
      <c r="R208" s="812"/>
      <c r="S208" s="813"/>
      <c r="T208" s="813"/>
      <c r="U208" s="813"/>
      <c r="V208" s="813"/>
      <c r="W208" s="814"/>
      <c r="X208" s="919"/>
      <c r="Y208" s="812"/>
      <c r="Z208" s="813"/>
      <c r="AA208" s="813"/>
      <c r="AB208" s="813"/>
      <c r="AC208" s="813"/>
      <c r="AD208" s="814"/>
      <c r="AE208" s="34"/>
    </row>
    <row r="209" spans="1:31" ht="12" customHeight="1" x14ac:dyDescent="0.2">
      <c r="A209" s="34"/>
      <c r="B209" s="849"/>
      <c r="C209" s="850"/>
      <c r="D209" s="850"/>
      <c r="E209" s="851"/>
      <c r="F209" s="918"/>
      <c r="G209" s="812"/>
      <c r="H209" s="813"/>
      <c r="I209" s="814"/>
      <c r="J209" s="919"/>
      <c r="K209" s="812"/>
      <c r="L209" s="813"/>
      <c r="M209" s="813"/>
      <c r="N209" s="813"/>
      <c r="O209" s="813"/>
      <c r="P209" s="814"/>
      <c r="Q209" s="919"/>
      <c r="R209" s="812"/>
      <c r="S209" s="813"/>
      <c r="T209" s="813"/>
      <c r="U209" s="813"/>
      <c r="V209" s="813"/>
      <c r="W209" s="814"/>
      <c r="X209" s="919"/>
      <c r="Y209" s="812"/>
      <c r="Z209" s="813"/>
      <c r="AA209" s="813"/>
      <c r="AB209" s="813"/>
      <c r="AC209" s="813"/>
      <c r="AD209" s="814"/>
      <c r="AE209" s="34"/>
    </row>
    <row r="210" spans="1:31" ht="12" customHeight="1" thickBot="1" x14ac:dyDescent="0.25">
      <c r="A210" s="34"/>
      <c r="B210" s="852"/>
      <c r="C210" s="853"/>
      <c r="D210" s="853"/>
      <c r="E210" s="854"/>
      <c r="F210" s="918"/>
      <c r="G210" s="812"/>
      <c r="H210" s="813"/>
      <c r="I210" s="814"/>
      <c r="J210" s="919"/>
      <c r="K210" s="840"/>
      <c r="L210" s="841"/>
      <c r="M210" s="841"/>
      <c r="N210" s="841"/>
      <c r="O210" s="841"/>
      <c r="P210" s="842"/>
      <c r="Q210" s="919"/>
      <c r="R210" s="840"/>
      <c r="S210" s="841"/>
      <c r="T210" s="841"/>
      <c r="U210" s="841"/>
      <c r="V210" s="841"/>
      <c r="W210" s="842"/>
      <c r="X210" s="919"/>
      <c r="Y210" s="840"/>
      <c r="Z210" s="841"/>
      <c r="AA210" s="841"/>
      <c r="AB210" s="841"/>
      <c r="AC210" s="841"/>
      <c r="AD210" s="842"/>
      <c r="AE210" s="34"/>
    </row>
    <row r="211" spans="1:31" ht="12" customHeight="1" x14ac:dyDescent="0.2">
      <c r="A211" s="34"/>
      <c r="B211" s="846" t="s">
        <v>535</v>
      </c>
      <c r="C211" s="847"/>
      <c r="D211" s="847"/>
      <c r="E211" s="848"/>
      <c r="F211" s="918"/>
      <c r="G211" s="843" t="str">
        <f>IF($L$150="X",CONCATENATE(SUM('Calcul auto.'!$AB$225,'Calcul auto.'!$AB$255,'Calcul auto.'!$AB$261,'Calcul auto.'!$AB$279,'Calcul auto.'!$AB$285,'Calcul auto.'!$AB$291,'Calcul auto.'!$AB$309,'Calcul auto.'!$AB$315,'Calcul auto.'!$AB$333,'Calcul auto.'!$AB$375,'Calcul auto.'!$AB$381,'Calcul auto.'!$AB$387)," indicateur(s) renseigné(s)"),IF($L$155="X",CONCATENATE(SUM('Calcul auto.'!$AC$226,'Calcul auto.'!$AC$256,'Calcul auto.'!$AC$262,'Calcul auto.'!$AC$280,'Calcul auto.'!$AC$286,'Calcul auto.'!$AC$292,'Calcul auto.'!$AC$310,'Calcul auto.'!$AC$316,'Calcul auto.'!$AC$334,'Calcul auto.'!$AC$376,'Calcul auto.'!$AC$382,'Calcul auto.'!$AC$388)," indicateur(s) renseigné(s)"),""))</f>
        <v/>
      </c>
      <c r="H211" s="844"/>
      <c r="I211" s="845"/>
      <c r="J211" s="919"/>
      <c r="K211" s="843" t="str">
        <f>IF($L$150="X",CONCATENATE(SUM('Calcul auto.'!$AD$222,'Calcul auto.'!$AD$252,'Calcul auto.'!$AD$258,'Calcul auto.'!$AD$276,'Calcul auto.'!$AD$282,'Calcul auto.'!$AD$288,'Calcul auto.'!$AD$306,'Calcul auto.'!$AD$312,'Calcul auto.'!$AD$330,'Calcul auto.'!$AD$372,'Calcul auto.'!$AD$378,'Calcul auto.'!$AD$384)," indicateur(s) associé(s) à une perte fonctionnelle"),IF($L$155="X",CONCATENATE(SUM('Calcul auto.'!$AE$223,'Calcul auto.'!$AE$253,'Calcul auto.'!$AE$259,'Calcul auto.'!$AE$277,'Calcul auto.'!$AE$283,'Calcul auto.'!$AE$289,'Calcul auto.'!$AE$307,'Calcul auto.'!$AE$313,'Calcul auto.'!$AE$331,'Calcul auto.'!$AE$373,'Calcul auto.'!$AE$379,'Calcul auto.'!$AE$385)," indicateur(s) associé(s) à une perte fonctionnelle"),""))</f>
        <v/>
      </c>
      <c r="L211" s="844"/>
      <c r="M211" s="844"/>
      <c r="N211" s="844"/>
      <c r="O211" s="844"/>
      <c r="P211" s="845"/>
      <c r="Q211" s="919"/>
      <c r="R211" s="843" t="str">
        <f>IF($L$150="X",CONCATENATE(SUM('Calcul auto.'!$AF$225,'Calcul auto.'!$AF$255,'Calcul auto.'!$AF$261,'Calcul auto.'!$AF$279,'Calcul auto.'!$AF$285,'Calcul auto.'!$AF$291,'Calcul auto.'!$AF$309,'Calcul auto.'!$AF$315,'Calcul auto.'!$AF$333,'Calcul auto.'!$AF$375,'Calcul auto.'!$AF$381,'Calcul auto.'!$AF$387)," indicateur(s) associé(s) à un gain fonctionnel"),IF($L$155="X",CONCATENATE(SUM('Calcul auto.'!$AG$226,'Calcul auto.'!$AG$256,'Calcul auto.'!$AG$262,'Calcul auto.'!$AG$280,'Calcul auto.'!$AG$286,'Calcul auto.'!$AG$292,'Calcul auto.'!$AG$310,'Calcul auto.'!$AG$316,'Calcul auto.'!$AG$334,'Calcul auto.'!$AG$376,'Calcul auto.'!$AG$382,'Calcul auto.'!$AG$388)," indicateur(s) associé(s) à un gain fonctionnel"),""))</f>
        <v/>
      </c>
      <c r="S211" s="844"/>
      <c r="T211" s="844"/>
      <c r="U211" s="844"/>
      <c r="V211" s="844"/>
      <c r="W211" s="845"/>
      <c r="X211" s="919"/>
      <c r="Y211" s="812" t="str">
        <f>IF($L$150="X",CONCATENATE(SUM('Calcul auto.'!$AH$225,'Calcul auto.'!$AH$255,'Calcul auto.'!$AH$261,'Calcul auto.'!$AH$279,'Calcul auto.'!$AH$285,'Calcul auto.'!$AH$291,'Calcul auto.'!$AH$309,'Calcul auto.'!$AH$315,'Calcul auto.'!$AH$333,'Calcul auto.'!$AH$375,'Calcul auto.'!$AH$381,'Calcul auto.'!$AH$387)," indicateur(s) associé(s) à une équivalence fonctionnelle"),IF($L$155="X",CONCATENATE(SUM('Calcul auto.'!$AI$226,'Calcul auto.'!$AI$256,'Calcul auto.'!$AI$262,'Calcul auto.'!$AI$280,'Calcul auto.'!$AI$286,'Calcul auto.'!$AI$292,'Calcul auto.'!$AI$310,'Calcul auto.'!$AI$316,'Calcul auto.'!$AI$334,'Calcul auto.'!$AI$376,'Calcul auto.'!$AI$382,'Calcul auto.'!$AI$388)," indicateur(s) associé(s) à une équivalence fonctionnelle"),""))</f>
        <v/>
      </c>
      <c r="Z211" s="813"/>
      <c r="AA211" s="813"/>
      <c r="AB211" s="813"/>
      <c r="AC211" s="813"/>
      <c r="AD211" s="814"/>
      <c r="AE211" s="34"/>
    </row>
    <row r="212" spans="1:31" ht="12" customHeight="1" x14ac:dyDescent="0.2">
      <c r="A212" s="34"/>
      <c r="B212" s="849"/>
      <c r="C212" s="850"/>
      <c r="D212" s="850"/>
      <c r="E212" s="851"/>
      <c r="F212" s="918"/>
      <c r="G212" s="812"/>
      <c r="H212" s="813"/>
      <c r="I212" s="814"/>
      <c r="J212" s="919"/>
      <c r="K212" s="812"/>
      <c r="L212" s="813"/>
      <c r="M212" s="813"/>
      <c r="N212" s="813"/>
      <c r="O212" s="813"/>
      <c r="P212" s="814"/>
      <c r="Q212" s="919"/>
      <c r="R212" s="812"/>
      <c r="S212" s="813"/>
      <c r="T212" s="813"/>
      <c r="U212" s="813"/>
      <c r="V212" s="813"/>
      <c r="W212" s="814"/>
      <c r="X212" s="919"/>
      <c r="Y212" s="812"/>
      <c r="Z212" s="813"/>
      <c r="AA212" s="813"/>
      <c r="AB212" s="813"/>
      <c r="AC212" s="813"/>
      <c r="AD212" s="814"/>
      <c r="AE212" s="34"/>
    </row>
    <row r="213" spans="1:31" ht="12" customHeight="1" x14ac:dyDescent="0.2">
      <c r="A213" s="34"/>
      <c r="B213" s="849"/>
      <c r="C213" s="850"/>
      <c r="D213" s="850"/>
      <c r="E213" s="851"/>
      <c r="F213" s="918"/>
      <c r="G213" s="812"/>
      <c r="H213" s="813"/>
      <c r="I213" s="814"/>
      <c r="J213" s="919"/>
      <c r="K213" s="812"/>
      <c r="L213" s="813"/>
      <c r="M213" s="813"/>
      <c r="N213" s="813"/>
      <c r="O213" s="813"/>
      <c r="P213" s="814"/>
      <c r="Q213" s="919"/>
      <c r="R213" s="812"/>
      <c r="S213" s="813"/>
      <c r="T213" s="813"/>
      <c r="U213" s="813"/>
      <c r="V213" s="813"/>
      <c r="W213" s="814"/>
      <c r="X213" s="919"/>
      <c r="Y213" s="812"/>
      <c r="Z213" s="813"/>
      <c r="AA213" s="813"/>
      <c r="AB213" s="813"/>
      <c r="AC213" s="813"/>
      <c r="AD213" s="814"/>
      <c r="AE213" s="34"/>
    </row>
    <row r="214" spans="1:31" ht="12" customHeight="1" x14ac:dyDescent="0.2">
      <c r="A214" s="34"/>
      <c r="B214" s="849"/>
      <c r="C214" s="850"/>
      <c r="D214" s="850"/>
      <c r="E214" s="851"/>
      <c r="F214" s="918"/>
      <c r="G214" s="812"/>
      <c r="H214" s="813"/>
      <c r="I214" s="814"/>
      <c r="J214" s="919"/>
      <c r="K214" s="812"/>
      <c r="L214" s="813"/>
      <c r="M214" s="813"/>
      <c r="N214" s="813"/>
      <c r="O214" s="813"/>
      <c r="P214" s="814"/>
      <c r="Q214" s="919"/>
      <c r="R214" s="812"/>
      <c r="S214" s="813"/>
      <c r="T214" s="813"/>
      <c r="U214" s="813"/>
      <c r="V214" s="813"/>
      <c r="W214" s="814"/>
      <c r="X214" s="919"/>
      <c r="Y214" s="812"/>
      <c r="Z214" s="813"/>
      <c r="AA214" s="813"/>
      <c r="AB214" s="813"/>
      <c r="AC214" s="813"/>
      <c r="AD214" s="814"/>
      <c r="AE214" s="34"/>
    </row>
    <row r="215" spans="1:31" ht="12" customHeight="1" thickBot="1" x14ac:dyDescent="0.25">
      <c r="A215" s="34"/>
      <c r="B215" s="852"/>
      <c r="C215" s="853"/>
      <c r="D215" s="853"/>
      <c r="E215" s="854"/>
      <c r="F215" s="918"/>
      <c r="G215" s="812"/>
      <c r="H215" s="813"/>
      <c r="I215" s="814"/>
      <c r="J215" s="919"/>
      <c r="K215" s="840"/>
      <c r="L215" s="841"/>
      <c r="M215" s="841"/>
      <c r="N215" s="841"/>
      <c r="O215" s="841"/>
      <c r="P215" s="842"/>
      <c r="Q215" s="919"/>
      <c r="R215" s="840"/>
      <c r="S215" s="841"/>
      <c r="T215" s="841"/>
      <c r="U215" s="841"/>
      <c r="V215" s="841"/>
      <c r="W215" s="842"/>
      <c r="X215" s="919"/>
      <c r="Y215" s="840"/>
      <c r="Z215" s="841"/>
      <c r="AA215" s="841"/>
      <c r="AB215" s="841"/>
      <c r="AC215" s="841"/>
      <c r="AD215" s="842"/>
      <c r="AE215" s="34"/>
    </row>
    <row r="216" spans="1:31" ht="12" customHeight="1" x14ac:dyDescent="0.2">
      <c r="A216" s="34"/>
      <c r="B216" s="846" t="s">
        <v>534</v>
      </c>
      <c r="C216" s="847"/>
      <c r="D216" s="847"/>
      <c r="E216" s="848"/>
      <c r="F216" s="918"/>
      <c r="G216" s="843" t="str">
        <f>IF($L$150="X",CONCATENATE(SUM('Calcul auto.'!$AB$207,'Calcul auto.'!$AB$279,'Calcul auto.'!$AB$285,'Calcul auto.'!$AB$291,'Calcul auto.'!$AB$309,'Calcul auto.'!$AB$315,'Calcul auto.'!$AB$333,'Calcul auto.'!$AB$375,'Calcul auto.'!$AB$381,'Calcul auto.'!$AB$387)," indicateur(s) renseigné(s)"),IF($L$155="X",CONCATENATE(SUM('Calcul auto.'!$AC$208,'Calcul auto.'!$AC$280,'Calcul auto.'!$AC$286,'Calcul auto.'!$AC$292,'Calcul auto.'!$AC$310,'Calcul auto.'!$AC$316,'Calcul auto.'!$AC$334,'Calcul auto.'!$AC$376,'Calcul auto.'!$AC$382,'Calcul auto.'!$AC$388)," indicateur(s) renseigné(s)"),""))</f>
        <v/>
      </c>
      <c r="H216" s="844"/>
      <c r="I216" s="845"/>
      <c r="J216" s="919"/>
      <c r="K216" s="843" t="str">
        <f>IF($L$150="X",CONCATENATE(SUM('Calcul auto.'!$AD$204,'Calcul auto.'!$AD$276,'Calcul auto.'!$AD$282,'Calcul auto.'!$AD$288,'Calcul auto.'!$AD$306,'Calcul auto.'!$AD$312,'Calcul auto.'!$AD$330,'Calcul auto.'!$AD$372,'Calcul auto.'!$AD$378,'Calcul auto.'!$AD$384)," indicateur(s) associé(s) à une perte fonctionnelle"),IF($L$155="X",CONCATENATE(SUM('Calcul auto.'!$AE$205,'Calcul auto.'!$AE$277,'Calcul auto.'!$AE$283,'Calcul auto.'!$AE$289,'Calcul auto.'!$AE$307,'Calcul auto.'!$AE$313,'Calcul auto.'!$AE$331,'Calcul auto.'!$AE$373,'Calcul auto.'!$AE$379,'Calcul auto.'!$AE$385)," indicateur(s) associé(s) à une perte fonctionnelle"),""))</f>
        <v/>
      </c>
      <c r="L216" s="844"/>
      <c r="M216" s="844"/>
      <c r="N216" s="844"/>
      <c r="O216" s="844"/>
      <c r="P216" s="845"/>
      <c r="Q216" s="919"/>
      <c r="R216" s="843" t="str">
        <f>IF($L$150="X",CONCATENATE(SUM('Calcul auto.'!$AF$207,'Calcul auto.'!$AF$279,'Calcul auto.'!$AF$285,'Calcul auto.'!$AF$291,'Calcul auto.'!$AF$309,'Calcul auto.'!$AF$315,'Calcul auto.'!$AF$333,'Calcul auto.'!$AF$375,'Calcul auto.'!$AF$381,'Calcul auto.'!$AF$387)," indicateur(s) associé(s) à un gain fonctionnel"),IF($L$155="X",CONCATENATE(SUM('Calcul auto.'!$AG$208,'Calcul auto.'!$AG$280,'Calcul auto.'!$AG$286,'Calcul auto.'!$AG$292,'Calcul auto.'!$AG$310,'Calcul auto.'!$AG$316,'Calcul auto.'!$AG$334,'Calcul auto.'!$AG$376,'Calcul auto.'!$AG$382,'Calcul auto.'!$AG$388)," indicateur(s) associé(s) à un gain fonctionnel"),""))</f>
        <v/>
      </c>
      <c r="S216" s="844"/>
      <c r="T216" s="844"/>
      <c r="U216" s="844"/>
      <c r="V216" s="844"/>
      <c r="W216" s="845"/>
      <c r="X216" s="919"/>
      <c r="Y216" s="812" t="str">
        <f>IF($L$150="X",CONCATENATE(SUM('Calcul auto.'!$AH$207,'Calcul auto.'!$AH$279,'Calcul auto.'!$AH$285,'Calcul auto.'!$AH$291,'Calcul auto.'!$AH$309,'Calcul auto.'!$AH$315,'Calcul auto.'!$AH$333,'Calcul auto.'!$AH$375,'Calcul auto.'!$AH$381,'Calcul auto.'!$AH$387)," indicateur(s) associé(s) à une équivalence fonctionnelle"),IF($L$155="X",CONCATENATE(SUM('Calcul auto.'!$AI$208,'Calcul auto.'!$AI$280,'Calcul auto.'!$AI$286,'Calcul auto.'!$AI$292,'Calcul auto.'!$AI$310,'Calcul auto.'!$AI$316,'Calcul auto.'!$AI$334,'Calcul auto.'!$AI$376,'Calcul auto.'!$AI$382,'Calcul auto.'!$AI$388)," indicateur(s) associé(s) à une équivalence fonctionnelle"),""))</f>
        <v/>
      </c>
      <c r="Z216" s="813"/>
      <c r="AA216" s="813"/>
      <c r="AB216" s="813"/>
      <c r="AC216" s="813"/>
      <c r="AD216" s="814"/>
      <c r="AE216" s="34"/>
    </row>
    <row r="217" spans="1:31" ht="12" customHeight="1" x14ac:dyDescent="0.2">
      <c r="A217" s="34"/>
      <c r="B217" s="849"/>
      <c r="C217" s="850"/>
      <c r="D217" s="850"/>
      <c r="E217" s="851"/>
      <c r="F217" s="918"/>
      <c r="G217" s="812"/>
      <c r="H217" s="813"/>
      <c r="I217" s="814"/>
      <c r="J217" s="919"/>
      <c r="K217" s="812"/>
      <c r="L217" s="813"/>
      <c r="M217" s="813"/>
      <c r="N217" s="813"/>
      <c r="O217" s="813"/>
      <c r="P217" s="814"/>
      <c r="Q217" s="919"/>
      <c r="R217" s="812"/>
      <c r="S217" s="813"/>
      <c r="T217" s="813"/>
      <c r="U217" s="813"/>
      <c r="V217" s="813"/>
      <c r="W217" s="814"/>
      <c r="X217" s="919"/>
      <c r="Y217" s="812"/>
      <c r="Z217" s="813"/>
      <c r="AA217" s="813"/>
      <c r="AB217" s="813"/>
      <c r="AC217" s="813"/>
      <c r="AD217" s="814"/>
      <c r="AE217" s="34"/>
    </row>
    <row r="218" spans="1:31" ht="12" customHeight="1" x14ac:dyDescent="0.2">
      <c r="A218" s="34"/>
      <c r="B218" s="849"/>
      <c r="C218" s="850"/>
      <c r="D218" s="850"/>
      <c r="E218" s="851"/>
      <c r="F218" s="918"/>
      <c r="G218" s="812"/>
      <c r="H218" s="813"/>
      <c r="I218" s="814"/>
      <c r="J218" s="919"/>
      <c r="K218" s="812"/>
      <c r="L218" s="813"/>
      <c r="M218" s="813"/>
      <c r="N218" s="813"/>
      <c r="O218" s="813"/>
      <c r="P218" s="814"/>
      <c r="Q218" s="919"/>
      <c r="R218" s="812"/>
      <c r="S218" s="813"/>
      <c r="T218" s="813"/>
      <c r="U218" s="813"/>
      <c r="V218" s="813"/>
      <c r="W218" s="814"/>
      <c r="X218" s="919"/>
      <c r="Y218" s="812"/>
      <c r="Z218" s="813"/>
      <c r="AA218" s="813"/>
      <c r="AB218" s="813"/>
      <c r="AC218" s="813"/>
      <c r="AD218" s="814"/>
      <c r="AE218" s="34"/>
    </row>
    <row r="219" spans="1:31" ht="12" customHeight="1" x14ac:dyDescent="0.2">
      <c r="A219" s="34"/>
      <c r="B219" s="849"/>
      <c r="C219" s="850"/>
      <c r="D219" s="850"/>
      <c r="E219" s="851"/>
      <c r="F219" s="918"/>
      <c r="G219" s="812"/>
      <c r="H219" s="813"/>
      <c r="I219" s="814"/>
      <c r="J219" s="919"/>
      <c r="K219" s="812"/>
      <c r="L219" s="813"/>
      <c r="M219" s="813"/>
      <c r="N219" s="813"/>
      <c r="O219" s="813"/>
      <c r="P219" s="814"/>
      <c r="Q219" s="919"/>
      <c r="R219" s="812"/>
      <c r="S219" s="813"/>
      <c r="T219" s="813"/>
      <c r="U219" s="813"/>
      <c r="V219" s="813"/>
      <c r="W219" s="814"/>
      <c r="X219" s="919"/>
      <c r="Y219" s="812"/>
      <c r="Z219" s="813"/>
      <c r="AA219" s="813"/>
      <c r="AB219" s="813"/>
      <c r="AC219" s="813"/>
      <c r="AD219" s="814"/>
      <c r="AE219" s="34"/>
    </row>
    <row r="220" spans="1:31" ht="12" customHeight="1" thickBot="1" x14ac:dyDescent="0.25">
      <c r="A220" s="34"/>
      <c r="B220" s="852"/>
      <c r="C220" s="853"/>
      <c r="D220" s="853"/>
      <c r="E220" s="854"/>
      <c r="F220" s="918"/>
      <c r="G220" s="840"/>
      <c r="H220" s="841"/>
      <c r="I220" s="842"/>
      <c r="J220" s="919"/>
      <c r="K220" s="840"/>
      <c r="L220" s="841"/>
      <c r="M220" s="841"/>
      <c r="N220" s="841"/>
      <c r="O220" s="841"/>
      <c r="P220" s="842"/>
      <c r="Q220" s="919"/>
      <c r="R220" s="840"/>
      <c r="S220" s="841"/>
      <c r="T220" s="841"/>
      <c r="U220" s="841"/>
      <c r="V220" s="841"/>
      <c r="W220" s="842"/>
      <c r="X220" s="919"/>
      <c r="Y220" s="840"/>
      <c r="Z220" s="841"/>
      <c r="AA220" s="841"/>
      <c r="AB220" s="841"/>
      <c r="AC220" s="841"/>
      <c r="AD220" s="842"/>
      <c r="AE220" s="34"/>
    </row>
    <row r="221" spans="1:31" ht="12" customHeight="1" x14ac:dyDescent="0.2">
      <c r="A221" s="34"/>
      <c r="B221" s="846" t="s">
        <v>542</v>
      </c>
      <c r="C221" s="847"/>
      <c r="D221" s="847"/>
      <c r="E221" s="848"/>
      <c r="F221" s="918"/>
      <c r="G221" s="812" t="str">
        <f>IF($L$150="X",CONCATENATE(SUM('Calcul auto.'!$AB$201,'Calcul auto.'!$AB$225,'Calcul auto.'!$AB$279,'Calcul auto.'!$AB$285,'Calcul auto.'!$AB$291,'Calcul auto.'!$AB$309,'Calcul auto.'!$AB$315,'Calcul auto.'!$AB$333,'Calcul auto.'!$AB$375,'Calcul auto.'!$AB$381,'Calcul auto.'!$AB$387)," indicateur(s) renseigné(s)"),IF($L$155="X",CONCATENATE(SUM('Calcul auto.'!$AC$202,'Calcul auto.'!$AC$226,'Calcul auto.'!$AC$280,'Calcul auto.'!$AC$286,'Calcul auto.'!$AC$292,'Calcul auto.'!$AC$310,'Calcul auto.'!$AC$316,'Calcul auto.'!$AC$334,'Calcul auto.'!$AC$376,'Calcul auto.'!$AC$382,'Calcul auto.'!$AC$388)," indicateur(s) renseigné(s)"),""))</f>
        <v/>
      </c>
      <c r="H221" s="813"/>
      <c r="I221" s="814"/>
      <c r="J221" s="919"/>
      <c r="K221" s="843" t="str">
        <f>IF($L$150="X",CONCATENATE(SUM('Calcul auto.'!$AD$198,'Calcul auto.'!$AD$222,'Calcul auto.'!$AD$276,'Calcul auto.'!$AD$282,'Calcul auto.'!$AD$288,'Calcul auto.'!$AD$306,'Calcul auto.'!$AD$312,'Calcul auto.'!$AD$330,'Calcul auto.'!$AD$372,'Calcul auto.'!$AD$378,'Calcul auto.'!$AD$384)," indicateur(s) associé(s) à une perte fonctionnelle"),IF($L$155="X",CONCATENATE(SUM('Calcul auto.'!$AE$199,'Calcul auto.'!$AE$223,'Calcul auto.'!$AE$277,'Calcul auto.'!$AE$283,'Calcul auto.'!$AE$289,'Calcul auto.'!$AE$307,'Calcul auto.'!$AE$313,'Calcul auto.'!$AE$331,'Calcul auto.'!$AE$373,'Calcul auto.'!$AE$379,'Calcul auto.'!$AE$385)," indicateur(s) associé(s) à une perte fonctionnelle"),""))</f>
        <v/>
      </c>
      <c r="L221" s="844"/>
      <c r="M221" s="844"/>
      <c r="N221" s="844"/>
      <c r="O221" s="844"/>
      <c r="P221" s="845"/>
      <c r="Q221" s="919"/>
      <c r="R221" s="843" t="str">
        <f>IF($L$150="X",CONCATENATE(SUM('Calcul auto.'!$AF$201,'Calcul auto.'!$AF$225,'Calcul auto.'!$AF$279,'Calcul auto.'!$AF$285,'Calcul auto.'!$AF$291,'Calcul auto.'!$AF$309,'Calcul auto.'!$AF$315,'Calcul auto.'!$AF$333,'Calcul auto.'!$AF$375,'Calcul auto.'!$AF$381,'Calcul auto.'!$AF$387)," indicateur(s) associé(s) à un gain fonctionnel"),IF($L$155="X",CONCATENATE(SUM('Calcul auto.'!$AG$202,'Calcul auto.'!$AG$226,'Calcul auto.'!$AG$280,'Calcul auto.'!$AG$286,'Calcul auto.'!$AG$292,'Calcul auto.'!$AG$310,'Calcul auto.'!$AG$316,'Calcul auto.'!$AG$334,'Calcul auto.'!$AG$376,'Calcul auto.'!$AG$382,'Calcul auto.'!$AG$388)," indicateur(s) associé(s) à un gain fonctionnel"),""))</f>
        <v/>
      </c>
      <c r="S221" s="844"/>
      <c r="T221" s="844"/>
      <c r="U221" s="844"/>
      <c r="V221" s="844"/>
      <c r="W221" s="845"/>
      <c r="X221" s="919"/>
      <c r="Y221" s="812" t="str">
        <f>IF($L$150="X",CONCATENATE(SUM('Calcul auto.'!$AH$201,'Calcul auto.'!$AH$225,'Calcul auto.'!$AH$279,'Calcul auto.'!$AH$285,'Calcul auto.'!$AH$291,'Calcul auto.'!$AH$309,'Calcul auto.'!$AH$315,'Calcul auto.'!$AH$333,'Calcul auto.'!$AH$375,'Calcul auto.'!$AH$381,'Calcul auto.'!$AH$387)," indicateur(s) associé(s) à une équivalence fonctionnelle"),IF($L$155="X",CONCATENATE(SUM('Calcul auto.'!$AI$202,'Calcul auto.'!$AI$226,'Calcul auto.'!$AI$280,'Calcul auto.'!$AI$286,'Calcul auto.'!$AI$292,'Calcul auto.'!$AI$310,'Calcul auto.'!$AI$316,'Calcul auto.'!$AI$334,'Calcul auto.'!$AI$376,'Calcul auto.'!$AI$382,'Calcul auto.'!$AI$388)," indicateur(s) associé(s) à une équivalence fonctionnelle"),""))</f>
        <v/>
      </c>
      <c r="Z221" s="813"/>
      <c r="AA221" s="813"/>
      <c r="AB221" s="813"/>
      <c r="AC221" s="813"/>
      <c r="AD221" s="814"/>
      <c r="AE221" s="34"/>
    </row>
    <row r="222" spans="1:31" ht="12" customHeight="1" x14ac:dyDescent="0.2">
      <c r="A222" s="34"/>
      <c r="B222" s="849"/>
      <c r="C222" s="850"/>
      <c r="D222" s="850"/>
      <c r="E222" s="851"/>
      <c r="F222" s="918"/>
      <c r="G222" s="812"/>
      <c r="H222" s="813"/>
      <c r="I222" s="814"/>
      <c r="J222" s="919"/>
      <c r="K222" s="812"/>
      <c r="L222" s="813"/>
      <c r="M222" s="813"/>
      <c r="N222" s="813"/>
      <c r="O222" s="813"/>
      <c r="P222" s="814"/>
      <c r="Q222" s="919"/>
      <c r="R222" s="812"/>
      <c r="S222" s="813"/>
      <c r="T222" s="813"/>
      <c r="U222" s="813"/>
      <c r="V222" s="813"/>
      <c r="W222" s="814"/>
      <c r="X222" s="919"/>
      <c r="Y222" s="812"/>
      <c r="Z222" s="813"/>
      <c r="AA222" s="813"/>
      <c r="AB222" s="813"/>
      <c r="AC222" s="813"/>
      <c r="AD222" s="814"/>
      <c r="AE222" s="34"/>
    </row>
    <row r="223" spans="1:31" ht="12" customHeight="1" x14ac:dyDescent="0.2">
      <c r="A223" s="34"/>
      <c r="B223" s="849"/>
      <c r="C223" s="850"/>
      <c r="D223" s="850"/>
      <c r="E223" s="851"/>
      <c r="F223" s="918"/>
      <c r="G223" s="812"/>
      <c r="H223" s="813"/>
      <c r="I223" s="814"/>
      <c r="J223" s="919"/>
      <c r="K223" s="812"/>
      <c r="L223" s="813"/>
      <c r="M223" s="813"/>
      <c r="N223" s="813"/>
      <c r="O223" s="813"/>
      <c r="P223" s="814"/>
      <c r="Q223" s="919"/>
      <c r="R223" s="812"/>
      <c r="S223" s="813"/>
      <c r="T223" s="813"/>
      <c r="U223" s="813"/>
      <c r="V223" s="813"/>
      <c r="W223" s="814"/>
      <c r="X223" s="919"/>
      <c r="Y223" s="812"/>
      <c r="Z223" s="813"/>
      <c r="AA223" s="813"/>
      <c r="AB223" s="813"/>
      <c r="AC223" s="813"/>
      <c r="AD223" s="814"/>
      <c r="AE223" s="34"/>
    </row>
    <row r="224" spans="1:31" ht="12" customHeight="1" x14ac:dyDescent="0.2">
      <c r="A224" s="34"/>
      <c r="B224" s="849"/>
      <c r="C224" s="850"/>
      <c r="D224" s="850"/>
      <c r="E224" s="851"/>
      <c r="F224" s="918"/>
      <c r="G224" s="812"/>
      <c r="H224" s="813"/>
      <c r="I224" s="814"/>
      <c r="J224" s="919"/>
      <c r="K224" s="812"/>
      <c r="L224" s="813"/>
      <c r="M224" s="813"/>
      <c r="N224" s="813"/>
      <c r="O224" s="813"/>
      <c r="P224" s="814"/>
      <c r="Q224" s="919"/>
      <c r="R224" s="812"/>
      <c r="S224" s="813"/>
      <c r="T224" s="813"/>
      <c r="U224" s="813"/>
      <c r="V224" s="813"/>
      <c r="W224" s="814"/>
      <c r="X224" s="919"/>
      <c r="Y224" s="812"/>
      <c r="Z224" s="813"/>
      <c r="AA224" s="813"/>
      <c r="AB224" s="813"/>
      <c r="AC224" s="813"/>
      <c r="AD224" s="814"/>
      <c r="AE224" s="34"/>
    </row>
    <row r="225" spans="1:31" ht="12" customHeight="1" thickBot="1" x14ac:dyDescent="0.25">
      <c r="A225" s="34"/>
      <c r="B225" s="852"/>
      <c r="C225" s="853"/>
      <c r="D225" s="853"/>
      <c r="E225" s="854"/>
      <c r="F225" s="918"/>
      <c r="G225" s="840"/>
      <c r="H225" s="841"/>
      <c r="I225" s="842"/>
      <c r="J225" s="919"/>
      <c r="K225" s="840"/>
      <c r="L225" s="841"/>
      <c r="M225" s="841"/>
      <c r="N225" s="841"/>
      <c r="O225" s="841"/>
      <c r="P225" s="842"/>
      <c r="Q225" s="919"/>
      <c r="R225" s="840"/>
      <c r="S225" s="841"/>
      <c r="T225" s="841"/>
      <c r="U225" s="841"/>
      <c r="V225" s="841"/>
      <c r="W225" s="842"/>
      <c r="X225" s="919"/>
      <c r="Y225" s="840"/>
      <c r="Z225" s="841"/>
      <c r="AA225" s="841"/>
      <c r="AB225" s="841"/>
      <c r="AC225" s="841"/>
      <c r="AD225" s="842"/>
      <c r="AE225" s="34"/>
    </row>
    <row r="226" spans="1:31" ht="12" customHeight="1" x14ac:dyDescent="0.2">
      <c r="A226" s="34"/>
      <c r="B226" s="846" t="s">
        <v>524</v>
      </c>
      <c r="C226" s="847"/>
      <c r="D226" s="847"/>
      <c r="E226" s="848"/>
      <c r="F226" s="918"/>
      <c r="G226" s="812" t="str">
        <f>IF($L$150="X",CONCATENATE(SUM('Calcul auto.'!$AB$249,'Calcul auto.'!$AB$255,'Calcul auto.'!$AB$261,'Calcul auto.'!$AB$363,'Calcul auto.'!$AB$369,'Calcul auto.'!$AB$231)," indicateur(s) renseigné(s)"),IF($L$155="X",CONCATENATE(SUM('Calcul auto.'!$AC$250,'Calcul auto.'!$AC$256,'Calcul auto.'!$AC$262,'Calcul auto.'!$AC$364,'Calcul auto.'!$AC$370,'Calcul auto.'!$AC$232)," indicateur(s) renseigné(s)"),""))</f>
        <v/>
      </c>
      <c r="H226" s="813"/>
      <c r="I226" s="814"/>
      <c r="J226" s="919"/>
      <c r="K226" s="812" t="str">
        <f>IF($L$150="X",CONCATENATE(SUM('Calcul auto.'!$AD$228,'Calcul auto.'!$AD$246,'Calcul auto.'!$AD$252,'Calcul auto.'!$AD$258,'Calcul auto.'!$AD$360,'Calcul auto.'!$AD$366)," indicateur(s) associé(s) à une perte fonctionnelle"),IF($L$155="X",CONCATENATE(SUM('Calcul auto.'!$AE$229,'Calcul auto.'!$AE$247,'Calcul auto.'!$AE$253,'Calcul auto.'!$AE$259,'Calcul auto.'!$AE$361,'Calcul auto.'!$AE$367)," indicateur(s) associé(s) à une perte fonctionnelle"),""))</f>
        <v/>
      </c>
      <c r="L226" s="813"/>
      <c r="M226" s="813"/>
      <c r="N226" s="813"/>
      <c r="O226" s="813"/>
      <c r="P226" s="814"/>
      <c r="Q226" s="919"/>
      <c r="R226" s="843" t="str">
        <f>IF($L$150="X",CONCATENATE(SUM('Calcul auto.'!$AF$231,'Calcul auto.'!$AF$249,'Calcul auto.'!$AF$255,'Calcul auto.'!$AF$261,'Calcul auto.'!$AF$363,'Calcul auto.'!$AF$369)," indicateur(s) associé(s) à un gain fonctionnel"),IF($L$155="X",CONCATENATE(SUM('Calcul auto.'!$AG$232,'Calcul auto.'!$AG$250,'Calcul auto.'!$AG$256,'Calcul auto.'!$AG$262,'Calcul auto.'!$AG$364,'Calcul auto.'!$AG$370)," indicateur(s) associé(s) à un gain fonctionnel"),""))</f>
        <v/>
      </c>
      <c r="S226" s="844"/>
      <c r="T226" s="844"/>
      <c r="U226" s="844"/>
      <c r="V226" s="844"/>
      <c r="W226" s="845"/>
      <c r="X226" s="919"/>
      <c r="Y226" s="812" t="str">
        <f>IF($L$150="X",CONCATENATE(SUM('Calcul auto.'!$AH$231,'Calcul auto.'!$AH$249,'Calcul auto.'!$AH$255,'Calcul auto.'!$AH$261,'Calcul auto.'!$AH$363,'Calcul auto.'!$AH$369)," indicateur(s) associé(s) à une équivalence fonctionnelle"),IF($L$155="X",CONCATENATE(SUM('Calcul auto.'!$AI$232,'Calcul auto.'!$AI$250,'Calcul auto.'!$AI$256,'Calcul auto.'!$AI$262,'Calcul auto.'!$AI$364,'Calcul auto.'!$AI$370)," indicateur(s) associé(s) à une équivalence fonctionnelle"),""))</f>
        <v/>
      </c>
      <c r="Z226" s="813"/>
      <c r="AA226" s="813"/>
      <c r="AB226" s="813"/>
      <c r="AC226" s="813"/>
      <c r="AD226" s="814"/>
      <c r="AE226" s="34"/>
    </row>
    <row r="227" spans="1:31" ht="12" customHeight="1" x14ac:dyDescent="0.2">
      <c r="A227" s="34"/>
      <c r="B227" s="849"/>
      <c r="C227" s="850"/>
      <c r="D227" s="850"/>
      <c r="E227" s="851"/>
      <c r="F227" s="918"/>
      <c r="G227" s="812"/>
      <c r="H227" s="813"/>
      <c r="I227" s="814"/>
      <c r="J227" s="919"/>
      <c r="K227" s="812"/>
      <c r="L227" s="813"/>
      <c r="M227" s="813"/>
      <c r="N227" s="813"/>
      <c r="O227" s="813"/>
      <c r="P227" s="814"/>
      <c r="Q227" s="919"/>
      <c r="R227" s="812"/>
      <c r="S227" s="813"/>
      <c r="T227" s="813"/>
      <c r="U227" s="813"/>
      <c r="V227" s="813"/>
      <c r="W227" s="814"/>
      <c r="X227" s="919"/>
      <c r="Y227" s="812"/>
      <c r="Z227" s="813"/>
      <c r="AA227" s="813"/>
      <c r="AB227" s="813"/>
      <c r="AC227" s="813"/>
      <c r="AD227" s="814"/>
      <c r="AE227" s="34"/>
    </row>
    <row r="228" spans="1:31" ht="12" customHeight="1" x14ac:dyDescent="0.2">
      <c r="A228" s="34"/>
      <c r="B228" s="849"/>
      <c r="C228" s="850"/>
      <c r="D228" s="850"/>
      <c r="E228" s="851"/>
      <c r="F228" s="918"/>
      <c r="G228" s="812"/>
      <c r="H228" s="813"/>
      <c r="I228" s="814"/>
      <c r="J228" s="919"/>
      <c r="K228" s="812"/>
      <c r="L228" s="813"/>
      <c r="M228" s="813"/>
      <c r="N228" s="813"/>
      <c r="O228" s="813"/>
      <c r="P228" s="814"/>
      <c r="Q228" s="919"/>
      <c r="R228" s="812"/>
      <c r="S228" s="813"/>
      <c r="T228" s="813"/>
      <c r="U228" s="813"/>
      <c r="V228" s="813"/>
      <c r="W228" s="814"/>
      <c r="X228" s="919"/>
      <c r="Y228" s="812"/>
      <c r="Z228" s="813"/>
      <c r="AA228" s="813"/>
      <c r="AB228" s="813"/>
      <c r="AC228" s="813"/>
      <c r="AD228" s="814"/>
      <c r="AE228" s="34"/>
    </row>
    <row r="229" spans="1:31" ht="12" customHeight="1" x14ac:dyDescent="0.2">
      <c r="A229" s="34"/>
      <c r="B229" s="849"/>
      <c r="C229" s="850"/>
      <c r="D229" s="850"/>
      <c r="E229" s="851"/>
      <c r="F229" s="918"/>
      <c r="G229" s="812"/>
      <c r="H229" s="813"/>
      <c r="I229" s="814"/>
      <c r="J229" s="919"/>
      <c r="K229" s="812"/>
      <c r="L229" s="813"/>
      <c r="M229" s="813"/>
      <c r="N229" s="813"/>
      <c r="O229" s="813"/>
      <c r="P229" s="814"/>
      <c r="Q229" s="919"/>
      <c r="R229" s="812"/>
      <c r="S229" s="813"/>
      <c r="T229" s="813"/>
      <c r="U229" s="813"/>
      <c r="V229" s="813"/>
      <c r="W229" s="814"/>
      <c r="X229" s="919"/>
      <c r="Y229" s="812"/>
      <c r="Z229" s="813"/>
      <c r="AA229" s="813"/>
      <c r="AB229" s="813"/>
      <c r="AC229" s="813"/>
      <c r="AD229" s="814"/>
      <c r="AE229" s="34"/>
    </row>
    <row r="230" spans="1:31" ht="12" customHeight="1" thickBot="1" x14ac:dyDescent="0.25">
      <c r="A230" s="34"/>
      <c r="B230" s="852"/>
      <c r="C230" s="853"/>
      <c r="D230" s="853"/>
      <c r="E230" s="854"/>
      <c r="F230" s="918"/>
      <c r="G230" s="840"/>
      <c r="H230" s="841"/>
      <c r="I230" s="842"/>
      <c r="J230" s="919"/>
      <c r="K230" s="840"/>
      <c r="L230" s="841"/>
      <c r="M230" s="841"/>
      <c r="N230" s="841"/>
      <c r="O230" s="841"/>
      <c r="P230" s="842"/>
      <c r="Q230" s="919"/>
      <c r="R230" s="840"/>
      <c r="S230" s="841"/>
      <c r="T230" s="841"/>
      <c r="U230" s="841"/>
      <c r="V230" s="841"/>
      <c r="W230" s="842"/>
      <c r="X230" s="919"/>
      <c r="Y230" s="840"/>
      <c r="Z230" s="841"/>
      <c r="AA230" s="841"/>
      <c r="AB230" s="841"/>
      <c r="AC230" s="841"/>
      <c r="AD230" s="842"/>
      <c r="AE230" s="34"/>
    </row>
    <row r="231" spans="1:31" ht="12" customHeight="1"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7"/>
      <c r="AD231" s="37"/>
      <c r="AE231" s="34"/>
    </row>
    <row r="232" spans="1:31" ht="12" customHeight="1" thickBot="1"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7"/>
      <c r="AD232" s="37"/>
      <c r="AE232" s="34"/>
    </row>
    <row r="233" spans="1:31" ht="12" customHeight="1" x14ac:dyDescent="0.2">
      <c r="A233" s="34"/>
      <c r="B233" s="829" t="s">
        <v>360</v>
      </c>
      <c r="C233" s="830"/>
      <c r="D233" s="830"/>
      <c r="E233" s="830"/>
      <c r="F233" s="830"/>
      <c r="G233" s="830"/>
      <c r="H233" s="830"/>
      <c r="I233" s="830"/>
      <c r="J233" s="830"/>
      <c r="K233" s="830"/>
      <c r="L233" s="830"/>
      <c r="M233" s="830"/>
      <c r="N233" s="830"/>
      <c r="O233" s="830"/>
      <c r="P233" s="830"/>
      <c r="Q233" s="830"/>
      <c r="R233" s="830"/>
      <c r="S233" s="830"/>
      <c r="T233" s="830"/>
      <c r="U233" s="830"/>
      <c r="V233" s="830"/>
      <c r="W233" s="830"/>
      <c r="X233" s="830"/>
      <c r="Y233" s="830"/>
      <c r="Z233" s="830"/>
      <c r="AA233" s="830"/>
      <c r="AB233" s="830"/>
      <c r="AC233" s="830"/>
      <c r="AD233" s="831"/>
      <c r="AE233" s="34"/>
    </row>
    <row r="234" spans="1:31" ht="12" customHeight="1" thickBot="1" x14ac:dyDescent="0.25">
      <c r="A234" s="34"/>
      <c r="B234" s="832"/>
      <c r="C234" s="833"/>
      <c r="D234" s="833"/>
      <c r="E234" s="833"/>
      <c r="F234" s="833"/>
      <c r="G234" s="833"/>
      <c r="H234" s="833"/>
      <c r="I234" s="833"/>
      <c r="J234" s="833"/>
      <c r="K234" s="833"/>
      <c r="L234" s="833"/>
      <c r="M234" s="833"/>
      <c r="N234" s="833"/>
      <c r="O234" s="833"/>
      <c r="P234" s="833"/>
      <c r="Q234" s="833"/>
      <c r="R234" s="833"/>
      <c r="S234" s="833"/>
      <c r="T234" s="833"/>
      <c r="U234" s="833"/>
      <c r="V234" s="833"/>
      <c r="W234" s="833"/>
      <c r="X234" s="833"/>
      <c r="Y234" s="833"/>
      <c r="Z234" s="833"/>
      <c r="AA234" s="833"/>
      <c r="AB234" s="833"/>
      <c r="AC234" s="833"/>
      <c r="AD234" s="834"/>
      <c r="AE234" s="34"/>
    </row>
    <row r="235" spans="1:31" ht="12" customHeight="1" x14ac:dyDescent="0.2">
      <c r="A235" s="34"/>
      <c r="B235" s="862" t="s">
        <v>525</v>
      </c>
      <c r="C235" s="863"/>
      <c r="D235" s="863"/>
      <c r="E235" s="864"/>
      <c r="F235" s="855"/>
      <c r="G235" s="835" t="str">
        <f>IF($L$150="X",CONCATENATE(SUM('Calcul auto.'!$AB$237,'Calcul auto.'!$AB$243,'Calcul auto.'!$AB$273,'Calcul auto.'!$AB$297,'Calcul auto.'!$AB$303,'Calcul auto.'!$AB$321,'Calcul auto.'!$AB$327)," indicateur(s) renseigné(s)"),IF($L$155="X",CONCATENATE(SUM('Calcul auto.'!$AC$238,'Calcul auto.'!$AC$244,'Calcul auto.'!$AC$274,'Calcul auto.'!$AC$298,'Calcul auto.'!$AC$304,'Calcul auto.'!$AC$322,'Calcul auto.'!$AC$328)," indicateur(s) renseigné(s)"),""))</f>
        <v/>
      </c>
      <c r="H235" s="813"/>
      <c r="I235" s="836"/>
      <c r="J235" s="860"/>
      <c r="K235" s="835" t="str">
        <f>IF($L$150="X",CONCATENATE(SUM('Calcul auto.'!$AD$234,'Calcul auto.'!$AD$240,'Calcul auto.'!$AD$270,'Calcul auto.'!$AD$294,'Calcul auto.'!$AD$300,'Calcul auto.'!$AD$318,'Calcul auto.'!$AD$324)," indicateur(s) associé(s) à une perte fonctionnelle"),IF($L$155="X",CONCATENATE(SUM('Calcul auto.'!$AE$235,'Calcul auto.'!$AE$241,'Calcul auto.'!$AE$271,'Calcul auto.'!$AE$295,'Calcul auto.'!$AE$301,'Calcul auto.'!$AE$319,'Calcul auto.'!$AE$325)," indicateur(s) associé(s) à une perte fonctionnelle"),""))</f>
        <v/>
      </c>
      <c r="L235" s="813"/>
      <c r="M235" s="813"/>
      <c r="N235" s="813"/>
      <c r="O235" s="813"/>
      <c r="P235" s="836"/>
      <c r="Q235" s="860"/>
      <c r="R235" s="835" t="str">
        <f>IF($L$150="X",CONCATENATE(SUM('Calcul auto.'!$AF$237,'Calcul auto.'!$AF$243,'Calcul auto.'!$AF$273,'Calcul auto.'!$AF$297,'Calcul auto.'!$AF$303,'Calcul auto.'!$AF$321,'Calcul auto.'!$AF$327)," indicateur(s) associé(s) à un gain fonctionnel"),IF($L$155="X",CONCATENATE(SUM('Calcul auto.'!$AG$238,'Calcul auto.'!$AG$244,'Calcul auto.'!$AG$274,'Calcul auto.'!$AG$298,'Calcul auto.'!$AG$304,'Calcul auto.'!$AG$322,'Calcul auto.'!$AG$328)," indicateur(s) associé(s) à un gain fonctionnel"),""))</f>
        <v/>
      </c>
      <c r="S235" s="813"/>
      <c r="T235" s="813"/>
      <c r="U235" s="813"/>
      <c r="V235" s="813"/>
      <c r="W235" s="836"/>
      <c r="X235" s="860"/>
      <c r="Y235" s="835" t="str">
        <f>IF($L$150="X",CONCATENATE(SUM('Calcul auto.'!$AH$237,'Calcul auto.'!$AH$243,'Calcul auto.'!$AH$273,'Calcul auto.'!$AH$297,'Calcul auto.'!$AH$303,'Calcul auto.'!$AH$321,'Calcul auto.'!$AH$327)," indicateur(s) associé(s) à une équivalence fonctionnelle"),IF($L$155="X",CONCATENATE(SUM('Calcul auto.'!$AI$238,'Calcul auto.'!$AI$244,'Calcul auto.'!$AI$274,'Calcul auto.'!$AI$298,'Calcul auto.'!$AI$304,'Calcul auto.'!$AI$322,'Calcul auto.'!$AI$328)," indicateur(s) associé(s) à une équivalence fonctionnelle"),""))</f>
        <v/>
      </c>
      <c r="Z235" s="813"/>
      <c r="AA235" s="813"/>
      <c r="AB235" s="813"/>
      <c r="AC235" s="813"/>
      <c r="AD235" s="836"/>
      <c r="AE235" s="34"/>
    </row>
    <row r="236" spans="1:31" ht="12" customHeight="1" x14ac:dyDescent="0.2">
      <c r="A236" s="34"/>
      <c r="B236" s="862"/>
      <c r="C236" s="863"/>
      <c r="D236" s="863"/>
      <c r="E236" s="864"/>
      <c r="F236" s="856"/>
      <c r="G236" s="835"/>
      <c r="H236" s="813"/>
      <c r="I236" s="836"/>
      <c r="J236" s="861"/>
      <c r="K236" s="835"/>
      <c r="L236" s="813"/>
      <c r="M236" s="813"/>
      <c r="N236" s="813"/>
      <c r="O236" s="813"/>
      <c r="P236" s="836"/>
      <c r="Q236" s="861"/>
      <c r="R236" s="835"/>
      <c r="S236" s="813"/>
      <c r="T236" s="813"/>
      <c r="U236" s="813"/>
      <c r="V236" s="813"/>
      <c r="W236" s="836"/>
      <c r="X236" s="861"/>
      <c r="Y236" s="835"/>
      <c r="Z236" s="813"/>
      <c r="AA236" s="813"/>
      <c r="AB236" s="813"/>
      <c r="AC236" s="813"/>
      <c r="AD236" s="836"/>
      <c r="AE236" s="34"/>
    </row>
    <row r="237" spans="1:31" ht="12" customHeight="1" x14ac:dyDescent="0.2">
      <c r="A237" s="34"/>
      <c r="B237" s="862"/>
      <c r="C237" s="863"/>
      <c r="D237" s="863"/>
      <c r="E237" s="864"/>
      <c r="F237" s="856"/>
      <c r="G237" s="835"/>
      <c r="H237" s="813"/>
      <c r="I237" s="836"/>
      <c r="J237" s="861"/>
      <c r="K237" s="835"/>
      <c r="L237" s="813"/>
      <c r="M237" s="813"/>
      <c r="N237" s="813"/>
      <c r="O237" s="813"/>
      <c r="P237" s="836"/>
      <c r="Q237" s="861"/>
      <c r="R237" s="835"/>
      <c r="S237" s="813"/>
      <c r="T237" s="813"/>
      <c r="U237" s="813"/>
      <c r="V237" s="813"/>
      <c r="W237" s="836"/>
      <c r="X237" s="861"/>
      <c r="Y237" s="835"/>
      <c r="Z237" s="813"/>
      <c r="AA237" s="813"/>
      <c r="AB237" s="813"/>
      <c r="AC237" s="813"/>
      <c r="AD237" s="836"/>
      <c r="AE237" s="34"/>
    </row>
    <row r="238" spans="1:31" ht="12" customHeight="1" x14ac:dyDescent="0.2">
      <c r="A238" s="34"/>
      <c r="B238" s="862"/>
      <c r="C238" s="863"/>
      <c r="D238" s="863"/>
      <c r="E238" s="864"/>
      <c r="F238" s="856"/>
      <c r="G238" s="835"/>
      <c r="H238" s="813"/>
      <c r="I238" s="836"/>
      <c r="J238" s="861"/>
      <c r="K238" s="835"/>
      <c r="L238" s="813"/>
      <c r="M238" s="813"/>
      <c r="N238" s="813"/>
      <c r="O238" s="813"/>
      <c r="P238" s="836"/>
      <c r="Q238" s="861"/>
      <c r="R238" s="835"/>
      <c r="S238" s="813"/>
      <c r="T238" s="813"/>
      <c r="U238" s="813"/>
      <c r="V238" s="813"/>
      <c r="W238" s="836"/>
      <c r="X238" s="861"/>
      <c r="Y238" s="835"/>
      <c r="Z238" s="813"/>
      <c r="AA238" s="813"/>
      <c r="AB238" s="813"/>
      <c r="AC238" s="813"/>
      <c r="AD238" s="836"/>
      <c r="AE238" s="34"/>
    </row>
    <row r="239" spans="1:31" ht="12" customHeight="1" thickBot="1" x14ac:dyDescent="0.25">
      <c r="A239" s="34"/>
      <c r="B239" s="865"/>
      <c r="C239" s="866"/>
      <c r="D239" s="866"/>
      <c r="E239" s="867"/>
      <c r="F239" s="856"/>
      <c r="G239" s="837"/>
      <c r="H239" s="838"/>
      <c r="I239" s="839"/>
      <c r="J239" s="861"/>
      <c r="K239" s="837"/>
      <c r="L239" s="838"/>
      <c r="M239" s="838"/>
      <c r="N239" s="838"/>
      <c r="O239" s="838"/>
      <c r="P239" s="839"/>
      <c r="Q239" s="861"/>
      <c r="R239" s="837"/>
      <c r="S239" s="838"/>
      <c r="T239" s="838"/>
      <c r="U239" s="838"/>
      <c r="V239" s="838"/>
      <c r="W239" s="839"/>
      <c r="X239" s="861"/>
      <c r="Y239" s="837"/>
      <c r="Z239" s="838"/>
      <c r="AA239" s="838"/>
      <c r="AB239" s="838"/>
      <c r="AC239" s="838"/>
      <c r="AD239" s="839"/>
      <c r="AE239" s="34"/>
    </row>
    <row r="240" spans="1:31" ht="12" customHeight="1" x14ac:dyDescent="0.2">
      <c r="A240" s="34"/>
      <c r="B240" s="862" t="s">
        <v>526</v>
      </c>
      <c r="C240" s="863"/>
      <c r="D240" s="863"/>
      <c r="E240" s="864"/>
      <c r="F240" s="856"/>
      <c r="G240" s="835" t="str">
        <f>IF($L$150="X",CONCATENATE(SUM('Calcul auto.'!$AB$267,'Calcul auto.'!$AB$339)," indicateur(s) renseigné(s)"),IF($L$155="X",CONCATENATE(SUM('Calcul auto.'!$AC$268,'Calcul auto.'!$AC$340)," indicateur(s) renseigné(s)"),""))</f>
        <v/>
      </c>
      <c r="H240" s="813"/>
      <c r="I240" s="836"/>
      <c r="J240" s="861"/>
      <c r="K240" s="835" t="str">
        <f>IF($L$150="X",CONCATENATE(SUM('Calcul auto.'!$AD$336,'Calcul auto.'!$AD$264)," indicateur(s) associé(s) à une perte fonctionnelle"),IF($L$155="X",CONCATENATE(SUM('Calcul auto.'!$AE$337,'Calcul auto.'!$AE$265)," indicateur(s) associé(s) à une perte fonctionnelle"),""))</f>
        <v/>
      </c>
      <c r="L240" s="813"/>
      <c r="M240" s="813"/>
      <c r="N240" s="813"/>
      <c r="O240" s="813"/>
      <c r="P240" s="836"/>
      <c r="Q240" s="861"/>
      <c r="R240" s="857" t="str">
        <f>IF($L$150="X",CONCATENATE(SUM('Calcul auto.'!$AF$339,'Calcul auto.'!$AF$267)," indicateur(s) associé(s) à un gain fonctionnel"),IF($L$155="X",CONCATENATE(SUM('Calcul auto.'!$AG$340,'Calcul auto.'!$AG$268)," indicateur(s) associé(s) à un gain fonctionnel"),""))</f>
        <v/>
      </c>
      <c r="S240" s="858"/>
      <c r="T240" s="858"/>
      <c r="U240" s="858"/>
      <c r="V240" s="858"/>
      <c r="W240" s="859"/>
      <c r="X240" s="861"/>
      <c r="Y240" s="857" t="str">
        <f>IF($L$150="X",CONCATENATE(SUM('Calcul auto.'!$AH$339,'Calcul auto.'!$AH$267)," indicateur(s) associé(s) à une équivalence fonctionnelle"),IF($L$155="X",CONCATENATE(SUM('Calcul auto.'!$AI$340,'Calcul auto.'!$AI$268)," indicateur(s) associé(s) à une équivalence fonctionnelle"),""))</f>
        <v/>
      </c>
      <c r="Z240" s="858"/>
      <c r="AA240" s="858"/>
      <c r="AB240" s="858"/>
      <c r="AC240" s="858"/>
      <c r="AD240" s="859"/>
      <c r="AE240" s="34"/>
    </row>
    <row r="241" spans="1:31" ht="12" customHeight="1" x14ac:dyDescent="0.2">
      <c r="A241" s="34"/>
      <c r="B241" s="862"/>
      <c r="C241" s="863"/>
      <c r="D241" s="863"/>
      <c r="E241" s="864"/>
      <c r="F241" s="856"/>
      <c r="G241" s="835"/>
      <c r="H241" s="813"/>
      <c r="I241" s="836"/>
      <c r="J241" s="861"/>
      <c r="K241" s="835"/>
      <c r="L241" s="813"/>
      <c r="M241" s="813"/>
      <c r="N241" s="813"/>
      <c r="O241" s="813"/>
      <c r="P241" s="836"/>
      <c r="Q241" s="861"/>
      <c r="R241" s="835"/>
      <c r="S241" s="813"/>
      <c r="T241" s="813"/>
      <c r="U241" s="813"/>
      <c r="V241" s="813"/>
      <c r="W241" s="836"/>
      <c r="X241" s="861"/>
      <c r="Y241" s="835"/>
      <c r="Z241" s="813"/>
      <c r="AA241" s="813"/>
      <c r="AB241" s="813"/>
      <c r="AC241" s="813"/>
      <c r="AD241" s="836"/>
      <c r="AE241" s="34"/>
    </row>
    <row r="242" spans="1:31" ht="12" customHeight="1" x14ac:dyDescent="0.2">
      <c r="A242" s="34"/>
      <c r="B242" s="862"/>
      <c r="C242" s="863"/>
      <c r="D242" s="863"/>
      <c r="E242" s="864"/>
      <c r="F242" s="856"/>
      <c r="G242" s="835"/>
      <c r="H242" s="813"/>
      <c r="I242" s="836"/>
      <c r="J242" s="861"/>
      <c r="K242" s="835"/>
      <c r="L242" s="813"/>
      <c r="M242" s="813"/>
      <c r="N242" s="813"/>
      <c r="O242" s="813"/>
      <c r="P242" s="836"/>
      <c r="Q242" s="861"/>
      <c r="R242" s="835"/>
      <c r="S242" s="813"/>
      <c r="T242" s="813"/>
      <c r="U242" s="813"/>
      <c r="V242" s="813"/>
      <c r="W242" s="836"/>
      <c r="X242" s="861"/>
      <c r="Y242" s="835"/>
      <c r="Z242" s="813"/>
      <c r="AA242" s="813"/>
      <c r="AB242" s="813"/>
      <c r="AC242" s="813"/>
      <c r="AD242" s="836"/>
      <c r="AE242" s="34"/>
    </row>
    <row r="243" spans="1:31" ht="12" customHeight="1" x14ac:dyDescent="0.2">
      <c r="A243" s="34"/>
      <c r="B243" s="862"/>
      <c r="C243" s="863"/>
      <c r="D243" s="863"/>
      <c r="E243" s="864"/>
      <c r="F243" s="856"/>
      <c r="G243" s="835"/>
      <c r="H243" s="813"/>
      <c r="I243" s="836"/>
      <c r="J243" s="861"/>
      <c r="K243" s="835"/>
      <c r="L243" s="813"/>
      <c r="M243" s="813"/>
      <c r="N243" s="813"/>
      <c r="O243" s="813"/>
      <c r="P243" s="836"/>
      <c r="Q243" s="861"/>
      <c r="R243" s="835"/>
      <c r="S243" s="813"/>
      <c r="T243" s="813"/>
      <c r="U243" s="813"/>
      <c r="V243" s="813"/>
      <c r="W243" s="836"/>
      <c r="X243" s="861"/>
      <c r="Y243" s="835"/>
      <c r="Z243" s="813"/>
      <c r="AA243" s="813"/>
      <c r="AB243" s="813"/>
      <c r="AC243" s="813"/>
      <c r="AD243" s="836"/>
      <c r="AE243" s="34"/>
    </row>
    <row r="244" spans="1:31" ht="12" customHeight="1" thickBot="1" x14ac:dyDescent="0.25">
      <c r="A244" s="34"/>
      <c r="B244" s="865"/>
      <c r="C244" s="866"/>
      <c r="D244" s="866"/>
      <c r="E244" s="867"/>
      <c r="F244" s="856"/>
      <c r="G244" s="837"/>
      <c r="H244" s="838"/>
      <c r="I244" s="839"/>
      <c r="J244" s="861"/>
      <c r="K244" s="837"/>
      <c r="L244" s="838"/>
      <c r="M244" s="838"/>
      <c r="N244" s="838"/>
      <c r="O244" s="838"/>
      <c r="P244" s="839"/>
      <c r="Q244" s="861"/>
      <c r="R244" s="837"/>
      <c r="S244" s="838"/>
      <c r="T244" s="838"/>
      <c r="U244" s="838"/>
      <c r="V244" s="838"/>
      <c r="W244" s="839"/>
      <c r="X244" s="861"/>
      <c r="Y244" s="837"/>
      <c r="Z244" s="838"/>
      <c r="AA244" s="838"/>
      <c r="AB244" s="838"/>
      <c r="AC244" s="838"/>
      <c r="AD244" s="839"/>
      <c r="AE244" s="34"/>
    </row>
    <row r="245" spans="1:31" ht="12" customHeight="1" x14ac:dyDescent="0.2">
      <c r="A245" s="34"/>
      <c r="B245" s="41"/>
      <c r="C245" s="42"/>
      <c r="D245" s="42"/>
      <c r="E245" s="42"/>
      <c r="F245" s="43"/>
      <c r="G245" s="43"/>
      <c r="H245" s="43"/>
      <c r="I245" s="43"/>
      <c r="J245" s="43"/>
      <c r="K245" s="43"/>
      <c r="L245" s="43"/>
      <c r="M245" s="43"/>
      <c r="N245" s="43"/>
      <c r="O245" s="43"/>
      <c r="P245" s="43"/>
      <c r="Q245" s="43"/>
      <c r="R245" s="44"/>
      <c r="S245" s="43"/>
      <c r="T245" s="43"/>
      <c r="U245" s="43"/>
      <c r="V245" s="43"/>
      <c r="W245" s="43"/>
      <c r="X245" s="43"/>
      <c r="Y245" s="43"/>
      <c r="Z245" s="43"/>
      <c r="AA245" s="43"/>
      <c r="AB245" s="43"/>
      <c r="AC245" s="43"/>
      <c r="AD245" s="43"/>
      <c r="AE245" s="34"/>
    </row>
    <row r="246" spans="1:31" ht="12" customHeight="1" thickBot="1" x14ac:dyDescent="0.25">
      <c r="A246" s="34"/>
      <c r="B246" s="41"/>
      <c r="C246" s="42"/>
      <c r="D246" s="42"/>
      <c r="E246" s="42"/>
      <c r="F246" s="43"/>
      <c r="G246" s="43"/>
      <c r="H246" s="43"/>
      <c r="I246" s="43"/>
      <c r="J246" s="43"/>
      <c r="K246" s="43"/>
      <c r="L246" s="43"/>
      <c r="M246" s="43"/>
      <c r="N246" s="43"/>
      <c r="O246" s="43"/>
      <c r="P246" s="43"/>
      <c r="Q246" s="43"/>
      <c r="R246" s="44"/>
      <c r="S246" s="43"/>
      <c r="T246" s="43"/>
      <c r="U246" s="43"/>
      <c r="V246" s="43"/>
      <c r="W246" s="43"/>
      <c r="X246" s="43"/>
      <c r="Y246" s="43"/>
      <c r="Z246" s="43"/>
      <c r="AA246" s="43"/>
      <c r="AB246" s="43"/>
      <c r="AC246" s="43"/>
      <c r="AD246" s="43"/>
      <c r="AE246" s="34"/>
    </row>
    <row r="247" spans="1:31" ht="12" customHeight="1" x14ac:dyDescent="0.2">
      <c r="A247" s="34"/>
      <c r="B247" s="885" t="s">
        <v>1526</v>
      </c>
      <c r="C247" s="885"/>
      <c r="D247" s="885"/>
      <c r="E247" s="885"/>
      <c r="F247" s="43"/>
      <c r="G247" s="877" t="str">
        <f>IF($L$150="X",CONCATENATE(SUM('Calcul auto.'!$AB$197:$AB$388)," indicateur(s) renseigné(s)"),IF($L$155="X",CONCATENATE(SUM('Calcul auto.'!$AC$197:$AC$388)," indicateur(s) renseigné(s)"),""))</f>
        <v/>
      </c>
      <c r="H247" s="878"/>
      <c r="I247" s="879"/>
      <c r="J247" s="43"/>
      <c r="K247" s="877" t="str">
        <f>IF($L$150="X",CONCATENATE(SUM('Calcul auto.'!$AD$197:$AD$388)," indicateur(s) associé(s) à une perte fonctionnelle"),IF($L$155="X",CONCATENATE(SUM('Calcul auto.'!$AE$197:$AE$388)," indicateur(s) associé(s) à une perte fonctionnelle"),""))</f>
        <v/>
      </c>
      <c r="L247" s="878"/>
      <c r="M247" s="878"/>
      <c r="N247" s="878"/>
      <c r="O247" s="878"/>
      <c r="P247" s="879"/>
      <c r="Q247" s="43"/>
      <c r="R247" s="877" t="str">
        <f>IF($L$150="X",CONCATENATE(SUM('Calcul auto.'!$AF$197:$AF$388)," indicateur(s) associé(s) à un gain fonctionnel"),IF($L$155="X",CONCATENATE(SUM('Calcul auto.'!$AG$197:$AG$388)," indicateur(s) associé(s) à un gain fonctionnel"),""))</f>
        <v/>
      </c>
      <c r="S247" s="878"/>
      <c r="T247" s="878"/>
      <c r="U247" s="878"/>
      <c r="V247" s="878"/>
      <c r="W247" s="879"/>
      <c r="X247" s="43"/>
      <c r="Y247" s="877" t="str">
        <f>IF($L$150="X",CONCATENATE(SUM('Calcul auto.'!$AH$197:$AH$388)," indicateur(s) associé(s) à une équivalence fonctionnelle"),IF($L$155="X",CONCATENATE(SUM('Calcul auto.'!$AI$197:$AI$388)," indicateur(s) associé(s) à une équivalence fonctionnelle"),""))</f>
        <v/>
      </c>
      <c r="Z247" s="878"/>
      <c r="AA247" s="878"/>
      <c r="AB247" s="878"/>
      <c r="AC247" s="878"/>
      <c r="AD247" s="879"/>
      <c r="AE247" s="34"/>
    </row>
    <row r="248" spans="1:31" ht="12" customHeight="1" x14ac:dyDescent="0.2">
      <c r="A248" s="34"/>
      <c r="B248" s="885"/>
      <c r="C248" s="885"/>
      <c r="D248" s="885"/>
      <c r="E248" s="885"/>
      <c r="F248" s="43"/>
      <c r="G248" s="880"/>
      <c r="H248" s="813"/>
      <c r="I248" s="881"/>
      <c r="J248" s="43"/>
      <c r="K248" s="880"/>
      <c r="L248" s="813"/>
      <c r="M248" s="813"/>
      <c r="N248" s="813"/>
      <c r="O248" s="813"/>
      <c r="P248" s="881"/>
      <c r="Q248" s="43"/>
      <c r="R248" s="880"/>
      <c r="S248" s="813"/>
      <c r="T248" s="813"/>
      <c r="U248" s="813"/>
      <c r="V248" s="813"/>
      <c r="W248" s="881"/>
      <c r="X248" s="43"/>
      <c r="Y248" s="880"/>
      <c r="Z248" s="813"/>
      <c r="AA248" s="813"/>
      <c r="AB248" s="813"/>
      <c r="AC248" s="813"/>
      <c r="AD248" s="881"/>
      <c r="AE248" s="34"/>
    </row>
    <row r="249" spans="1:31" ht="12" customHeight="1" x14ac:dyDescent="0.2">
      <c r="A249" s="34"/>
      <c r="B249" s="885"/>
      <c r="C249" s="885"/>
      <c r="D249" s="885"/>
      <c r="E249" s="885"/>
      <c r="F249" s="43"/>
      <c r="G249" s="880"/>
      <c r="H249" s="813"/>
      <c r="I249" s="881"/>
      <c r="J249" s="43"/>
      <c r="K249" s="880"/>
      <c r="L249" s="813"/>
      <c r="M249" s="813"/>
      <c r="N249" s="813"/>
      <c r="O249" s="813"/>
      <c r="P249" s="881"/>
      <c r="Q249" s="43"/>
      <c r="R249" s="880"/>
      <c r="S249" s="813"/>
      <c r="T249" s="813"/>
      <c r="U249" s="813"/>
      <c r="V249" s="813"/>
      <c r="W249" s="881"/>
      <c r="X249" s="43"/>
      <c r="Y249" s="880"/>
      <c r="Z249" s="813"/>
      <c r="AA249" s="813"/>
      <c r="AB249" s="813"/>
      <c r="AC249" s="813"/>
      <c r="AD249" s="881"/>
      <c r="AE249" s="34"/>
    </row>
    <row r="250" spans="1:31" ht="12" customHeight="1" x14ac:dyDescent="0.2">
      <c r="A250" s="34"/>
      <c r="B250" s="885"/>
      <c r="C250" s="885"/>
      <c r="D250" s="885"/>
      <c r="E250" s="885"/>
      <c r="F250" s="43"/>
      <c r="G250" s="880"/>
      <c r="H250" s="813"/>
      <c r="I250" s="881"/>
      <c r="J250" s="43"/>
      <c r="K250" s="880"/>
      <c r="L250" s="813"/>
      <c r="M250" s="813"/>
      <c r="N250" s="813"/>
      <c r="O250" s="813"/>
      <c r="P250" s="881"/>
      <c r="Q250" s="43"/>
      <c r="R250" s="880"/>
      <c r="S250" s="813"/>
      <c r="T250" s="813"/>
      <c r="U250" s="813"/>
      <c r="V250" s="813"/>
      <c r="W250" s="881"/>
      <c r="X250" s="43"/>
      <c r="Y250" s="880"/>
      <c r="Z250" s="813"/>
      <c r="AA250" s="813"/>
      <c r="AB250" s="813"/>
      <c r="AC250" s="813"/>
      <c r="AD250" s="881"/>
      <c r="AE250" s="34"/>
    </row>
    <row r="251" spans="1:31" ht="12" customHeight="1" thickBot="1" x14ac:dyDescent="0.25">
      <c r="A251" s="34"/>
      <c r="B251" s="885"/>
      <c r="C251" s="885"/>
      <c r="D251" s="885"/>
      <c r="E251" s="885"/>
      <c r="F251" s="43"/>
      <c r="G251" s="882"/>
      <c r="H251" s="883"/>
      <c r="I251" s="884"/>
      <c r="J251" s="43"/>
      <c r="K251" s="882"/>
      <c r="L251" s="883"/>
      <c r="M251" s="883"/>
      <c r="N251" s="883"/>
      <c r="O251" s="883"/>
      <c r="P251" s="884"/>
      <c r="Q251" s="43"/>
      <c r="R251" s="882"/>
      <c r="S251" s="883"/>
      <c r="T251" s="883"/>
      <c r="U251" s="883"/>
      <c r="V251" s="883"/>
      <c r="W251" s="884"/>
      <c r="X251" s="43"/>
      <c r="Y251" s="882"/>
      <c r="Z251" s="883"/>
      <c r="AA251" s="883"/>
      <c r="AB251" s="883"/>
      <c r="AC251" s="883"/>
      <c r="AD251" s="884"/>
      <c r="AE251" s="34"/>
    </row>
    <row r="252" spans="1:31" ht="12" customHeight="1" x14ac:dyDescent="0.2">
      <c r="A252" s="34"/>
      <c r="B252" s="41"/>
      <c r="C252" s="42"/>
      <c r="D252" s="42"/>
      <c r="E252" s="42"/>
      <c r="F252" s="43"/>
      <c r="G252" s="43"/>
      <c r="H252" s="43"/>
      <c r="I252" s="43"/>
      <c r="J252" s="43"/>
      <c r="K252" s="43"/>
      <c r="L252" s="43"/>
      <c r="M252" s="43"/>
      <c r="N252" s="43"/>
      <c r="O252" s="43"/>
      <c r="P252" s="43"/>
      <c r="Q252" s="43"/>
      <c r="R252" s="44"/>
      <c r="S252" s="43"/>
      <c r="T252" s="43"/>
      <c r="U252" s="43"/>
      <c r="V252" s="43"/>
      <c r="W252" s="43"/>
      <c r="X252" s="43"/>
      <c r="Y252" s="43"/>
      <c r="Z252" s="43"/>
      <c r="AA252" s="43"/>
      <c r="AB252" s="43"/>
      <c r="AC252" s="43"/>
      <c r="AD252" s="43"/>
      <c r="AE252" s="34"/>
    </row>
    <row r="253" spans="1:31" ht="12" customHeight="1" x14ac:dyDescent="0.2">
      <c r="A253" s="34"/>
      <c r="B253" s="41"/>
      <c r="C253" s="42"/>
      <c r="D253" s="42"/>
      <c r="E253" s="42"/>
      <c r="F253" s="43"/>
      <c r="G253" s="43"/>
      <c r="H253" s="43"/>
      <c r="I253" s="43"/>
      <c r="J253" s="43"/>
      <c r="K253" s="43"/>
      <c r="L253" s="43"/>
      <c r="M253" s="43"/>
      <c r="N253" s="43"/>
      <c r="O253" s="43"/>
      <c r="P253" s="43"/>
      <c r="Q253" s="43"/>
      <c r="R253" s="44"/>
      <c r="S253" s="43"/>
      <c r="T253" s="43"/>
      <c r="U253" s="43"/>
      <c r="V253" s="43"/>
      <c r="W253" s="43"/>
      <c r="X253" s="43"/>
      <c r="Y253" s="43"/>
      <c r="Z253" s="43"/>
      <c r="AA253" s="43"/>
      <c r="AB253" s="43"/>
      <c r="AC253" s="43"/>
      <c r="AD253" s="43"/>
      <c r="AE253" s="34"/>
    </row>
    <row r="254" spans="1:31" ht="12" customHeight="1" x14ac:dyDescent="0.2">
      <c r="A254" s="34"/>
      <c r="B254" s="41"/>
      <c r="C254" s="42"/>
      <c r="D254" s="42"/>
      <c r="E254" s="42"/>
      <c r="F254" s="43"/>
      <c r="G254" s="43"/>
      <c r="H254" s="43"/>
      <c r="I254" s="43"/>
      <c r="J254" s="43"/>
      <c r="K254" s="43"/>
      <c r="L254" s="43"/>
      <c r="M254" s="43"/>
      <c r="N254" s="43"/>
      <c r="O254" s="43"/>
      <c r="P254" s="43"/>
      <c r="Q254" s="43"/>
      <c r="R254" s="44"/>
      <c r="S254" s="43"/>
      <c r="T254" s="43"/>
      <c r="U254" s="43"/>
      <c r="V254" s="43"/>
      <c r="W254" s="43"/>
      <c r="X254" s="43"/>
      <c r="Y254" s="43"/>
      <c r="Z254" s="43"/>
      <c r="AA254" s="43"/>
      <c r="AB254" s="43"/>
      <c r="AC254" s="43"/>
      <c r="AD254" s="43"/>
      <c r="AE254" s="34"/>
    </row>
    <row r="255" spans="1:31" ht="12" customHeight="1" thickBot="1" x14ac:dyDescent="0.25">
      <c r="A255" s="34"/>
      <c r="B255" s="45"/>
      <c r="C255" s="45"/>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34"/>
      <c r="AC255" s="34"/>
      <c r="AD255" s="34"/>
      <c r="AE255" s="34"/>
    </row>
    <row r="256" spans="1:31" ht="12" customHeight="1" x14ac:dyDescent="0.2">
      <c r="A256" s="34"/>
      <c r="B256" s="868" t="s">
        <v>765</v>
      </c>
      <c r="C256" s="869"/>
      <c r="D256" s="869"/>
      <c r="E256" s="869"/>
      <c r="F256" s="869"/>
      <c r="G256" s="869"/>
      <c r="H256" s="869"/>
      <c r="I256" s="869"/>
      <c r="J256" s="869"/>
      <c r="K256" s="869"/>
      <c r="L256" s="869"/>
      <c r="M256" s="869"/>
      <c r="N256" s="869"/>
      <c r="O256" s="869"/>
      <c r="P256" s="869"/>
      <c r="Q256" s="869"/>
      <c r="R256" s="869"/>
      <c r="S256" s="869"/>
      <c r="T256" s="869"/>
      <c r="U256" s="869"/>
      <c r="V256" s="869"/>
      <c r="W256" s="869"/>
      <c r="X256" s="869"/>
      <c r="Y256" s="869"/>
      <c r="Z256" s="869"/>
      <c r="AA256" s="869"/>
      <c r="AB256" s="869"/>
      <c r="AC256" s="869"/>
      <c r="AD256" s="870"/>
      <c r="AE256" s="34"/>
    </row>
    <row r="257" spans="1:31" ht="12" customHeight="1" x14ac:dyDescent="0.2">
      <c r="A257" s="34"/>
      <c r="B257" s="871"/>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c r="AA257" s="872"/>
      <c r="AB257" s="872"/>
      <c r="AC257" s="872"/>
      <c r="AD257" s="873"/>
      <c r="AE257" s="34"/>
    </row>
    <row r="258" spans="1:31" ht="12" customHeight="1" x14ac:dyDescent="0.2">
      <c r="A258" s="34"/>
      <c r="B258" s="871"/>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c r="AA258" s="872"/>
      <c r="AB258" s="872"/>
      <c r="AC258" s="872"/>
      <c r="AD258" s="873"/>
      <c r="AE258" s="34"/>
    </row>
    <row r="259" spans="1:31" ht="12" customHeight="1" thickBot="1" x14ac:dyDescent="0.25">
      <c r="A259" s="34"/>
      <c r="B259" s="874"/>
      <c r="C259" s="875"/>
      <c r="D259" s="875"/>
      <c r="E259" s="875"/>
      <c r="F259" s="875"/>
      <c r="G259" s="875"/>
      <c r="H259" s="875"/>
      <c r="I259" s="875"/>
      <c r="J259" s="875"/>
      <c r="K259" s="875"/>
      <c r="L259" s="875"/>
      <c r="M259" s="875"/>
      <c r="N259" s="875"/>
      <c r="O259" s="875"/>
      <c r="P259" s="875"/>
      <c r="Q259" s="875"/>
      <c r="R259" s="875"/>
      <c r="S259" s="875"/>
      <c r="T259" s="875"/>
      <c r="U259" s="875"/>
      <c r="V259" s="875"/>
      <c r="W259" s="875"/>
      <c r="X259" s="875"/>
      <c r="Y259" s="875"/>
      <c r="Z259" s="875"/>
      <c r="AA259" s="875"/>
      <c r="AB259" s="875"/>
      <c r="AC259" s="875"/>
      <c r="AD259" s="876"/>
      <c r="AE259" s="34"/>
    </row>
    <row r="260" spans="1:31" ht="12" customHeight="1" x14ac:dyDescent="0.2">
      <c r="A260" s="34"/>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34"/>
    </row>
    <row r="261" spans="1:31" ht="12" customHeight="1" x14ac:dyDescent="0.2">
      <c r="A261" s="34"/>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34"/>
      <c r="AA261" s="34"/>
      <c r="AB261" s="34"/>
      <c r="AC261" s="34"/>
      <c r="AD261" s="34"/>
      <c r="AE261" s="34"/>
    </row>
    <row r="262" spans="1:31" ht="12" customHeight="1" x14ac:dyDescent="0.2">
      <c r="A262" s="34"/>
      <c r="B262" s="964" t="s">
        <v>598</v>
      </c>
      <c r="C262" s="964"/>
      <c r="D262" s="964"/>
      <c r="E262" s="964"/>
      <c r="F262" s="964"/>
      <c r="G262" s="964"/>
      <c r="H262" s="964"/>
      <c r="I262" s="964"/>
      <c r="J262" s="964"/>
      <c r="K262" s="964"/>
      <c r="L262" s="964"/>
      <c r="M262" s="964"/>
      <c r="N262" s="964"/>
      <c r="O262" s="964"/>
      <c r="P262" s="964"/>
      <c r="Q262" s="964"/>
      <c r="R262" s="964"/>
      <c r="S262" s="964"/>
      <c r="T262" s="964"/>
      <c r="U262" s="964"/>
      <c r="V262" s="964"/>
      <c r="W262" s="964"/>
      <c r="X262" s="964"/>
      <c r="Y262" s="964"/>
      <c r="Z262" s="964"/>
      <c r="AA262" s="964"/>
      <c r="AB262" s="964"/>
      <c r="AC262" s="964"/>
      <c r="AD262" s="964"/>
      <c r="AE262" s="34"/>
    </row>
    <row r="263" spans="1:31" ht="12" customHeight="1" x14ac:dyDescent="0.2">
      <c r="A263" s="34"/>
      <c r="B263" s="964"/>
      <c r="C263" s="964"/>
      <c r="D263" s="964"/>
      <c r="E263" s="964"/>
      <c r="F263" s="964"/>
      <c r="G263" s="964"/>
      <c r="H263" s="964"/>
      <c r="I263" s="964"/>
      <c r="J263" s="964"/>
      <c r="K263" s="964"/>
      <c r="L263" s="964"/>
      <c r="M263" s="964"/>
      <c r="N263" s="964"/>
      <c r="O263" s="964"/>
      <c r="P263" s="964"/>
      <c r="Q263" s="964"/>
      <c r="R263" s="964"/>
      <c r="S263" s="964"/>
      <c r="T263" s="964"/>
      <c r="U263" s="964"/>
      <c r="V263" s="964"/>
      <c r="W263" s="964"/>
      <c r="X263" s="964"/>
      <c r="Y263" s="964"/>
      <c r="Z263" s="964"/>
      <c r="AA263" s="964"/>
      <c r="AB263" s="964"/>
      <c r="AC263" s="964"/>
      <c r="AD263" s="964"/>
      <c r="AE263" s="34"/>
    </row>
    <row r="264" spans="1:31" ht="12" customHeight="1" x14ac:dyDescent="0.2">
      <c r="A264" s="34"/>
      <c r="B264" s="964"/>
      <c r="C264" s="964"/>
      <c r="D264" s="964"/>
      <c r="E264" s="964"/>
      <c r="F264" s="964"/>
      <c r="G264" s="964"/>
      <c r="H264" s="964"/>
      <c r="I264" s="964"/>
      <c r="J264" s="964"/>
      <c r="K264" s="964"/>
      <c r="L264" s="964"/>
      <c r="M264" s="964"/>
      <c r="N264" s="964"/>
      <c r="O264" s="964"/>
      <c r="P264" s="964"/>
      <c r="Q264" s="964"/>
      <c r="R264" s="964"/>
      <c r="S264" s="964"/>
      <c r="T264" s="964"/>
      <c r="U264" s="964"/>
      <c r="V264" s="964"/>
      <c r="W264" s="964"/>
      <c r="X264" s="964"/>
      <c r="Y264" s="964"/>
      <c r="Z264" s="964"/>
      <c r="AA264" s="964"/>
      <c r="AB264" s="964"/>
      <c r="AC264" s="964"/>
      <c r="AD264" s="964"/>
      <c r="AE264" s="34"/>
    </row>
    <row r="265" spans="1:31" ht="12" customHeight="1" x14ac:dyDescent="0.2">
      <c r="A265" s="34"/>
      <c r="B265" s="31"/>
      <c r="C265" s="31"/>
      <c r="D265" s="31"/>
      <c r="E265" s="31"/>
      <c r="F265" s="31"/>
      <c r="G265" s="31"/>
      <c r="H265" s="31"/>
      <c r="I265" s="31"/>
      <c r="J265" s="31"/>
      <c r="K265" s="31"/>
      <c r="L265" s="31"/>
      <c r="M265" s="31"/>
      <c r="N265" s="31"/>
      <c r="O265" s="34"/>
      <c r="P265" s="34"/>
      <c r="Q265" s="34"/>
      <c r="R265" s="34"/>
      <c r="S265" s="34"/>
      <c r="T265" s="34"/>
      <c r="U265" s="34"/>
      <c r="V265" s="34"/>
      <c r="W265" s="34"/>
      <c r="X265" s="31"/>
      <c r="Y265" s="31"/>
      <c r="Z265" s="34"/>
      <c r="AA265" s="34"/>
      <c r="AB265" s="34"/>
      <c r="AC265" s="34"/>
      <c r="AD265" s="34"/>
      <c r="AE265" s="34"/>
    </row>
    <row r="266" spans="1:31" ht="12" customHeight="1" x14ac:dyDescent="0.2">
      <c r="A266" s="34"/>
      <c r="B266" s="31"/>
      <c r="C266" s="31"/>
      <c r="D266" s="31"/>
      <c r="E266" s="31"/>
      <c r="F266" s="31"/>
      <c r="G266" s="31"/>
      <c r="H266" s="31"/>
      <c r="I266" s="31"/>
      <c r="J266" s="31"/>
      <c r="K266" s="31"/>
      <c r="L266" s="31"/>
      <c r="M266" s="31"/>
      <c r="N266" s="962" t="str">
        <f>IF($L$150="X","CONCLUSION SUR UNE EQUIVALENCE FONCTIONNELLE VRAISEMBLABLE AVEC LA STRATEGIE DE COMPENSATION ENVISAGEE",IF($L$155="X","CONCLUSION SUR  EQUIVALENCE FONCTIONNELLE VRAISEMBLABLE APRES LA STRATEGIE DE COMPENSATION",""))</f>
        <v/>
      </c>
      <c r="O266" s="962"/>
      <c r="P266" s="962"/>
      <c r="Q266" s="962"/>
      <c r="R266" s="962"/>
      <c r="S266" s="962"/>
      <c r="T266" s="962"/>
      <c r="U266" s="962"/>
      <c r="V266" s="962"/>
      <c r="W266" s="962"/>
      <c r="X266" s="962"/>
      <c r="Y266" s="31"/>
      <c r="Z266" s="34"/>
      <c r="AA266" s="34"/>
      <c r="AB266" s="34"/>
      <c r="AC266" s="34"/>
      <c r="AD266" s="34"/>
      <c r="AE266" s="34"/>
    </row>
    <row r="267" spans="1:31" ht="12" customHeight="1" x14ac:dyDescent="0.2">
      <c r="A267" s="34"/>
      <c r="B267" s="47"/>
      <c r="C267" s="47"/>
      <c r="D267" s="47"/>
      <c r="E267" s="47"/>
      <c r="F267" s="47"/>
      <c r="G267" s="47"/>
      <c r="H267" s="47"/>
      <c r="I267" s="47"/>
      <c r="J267" s="47"/>
      <c r="K267" s="47"/>
      <c r="L267" s="47"/>
      <c r="M267" s="47"/>
      <c r="N267" s="962"/>
      <c r="O267" s="962"/>
      <c r="P267" s="962"/>
      <c r="Q267" s="962"/>
      <c r="R267" s="962"/>
      <c r="S267" s="962"/>
      <c r="T267" s="962"/>
      <c r="U267" s="962"/>
      <c r="V267" s="962"/>
      <c r="W267" s="962"/>
      <c r="X267" s="962"/>
      <c r="Y267" s="47"/>
      <c r="Z267" s="34"/>
      <c r="AA267" s="34"/>
      <c r="AB267" s="34"/>
      <c r="AC267" s="34"/>
      <c r="AD267" s="34"/>
      <c r="AE267" s="34"/>
    </row>
    <row r="268" spans="1:31" ht="12" customHeight="1" x14ac:dyDescent="0.2">
      <c r="A268" s="34"/>
      <c r="B268" s="47"/>
      <c r="C268" s="47"/>
      <c r="D268" s="47"/>
      <c r="E268" s="47"/>
      <c r="F268" s="47"/>
      <c r="G268" s="47"/>
      <c r="H268" s="47"/>
      <c r="I268" s="47"/>
      <c r="J268" s="47"/>
      <c r="K268" s="47"/>
      <c r="L268" s="47"/>
      <c r="M268" s="47"/>
      <c r="N268" s="962"/>
      <c r="O268" s="962"/>
      <c r="P268" s="962"/>
      <c r="Q268" s="962"/>
      <c r="R268" s="962"/>
      <c r="S268" s="962"/>
      <c r="T268" s="962"/>
      <c r="U268" s="962"/>
      <c r="V268" s="962"/>
      <c r="W268" s="962"/>
      <c r="X268" s="962"/>
      <c r="Y268" s="47"/>
      <c r="Z268" s="47"/>
      <c r="AA268" s="47"/>
      <c r="AB268" s="48"/>
      <c r="AC268" s="48"/>
      <c r="AD268" s="48"/>
      <c r="AE268" s="34"/>
    </row>
    <row r="269" spans="1:31" ht="12" customHeight="1" thickBot="1" x14ac:dyDescent="0.25">
      <c r="A269" s="34"/>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50"/>
      <c r="AC269" s="50"/>
      <c r="AD269" s="50"/>
      <c r="AE269" s="34"/>
    </row>
    <row r="270" spans="1:31" ht="30" customHeight="1" thickBot="1" x14ac:dyDescent="0.25">
      <c r="A270" s="33"/>
      <c r="B270" s="966" t="s">
        <v>122</v>
      </c>
      <c r="C270" s="966"/>
      <c r="D270" s="966"/>
      <c r="E270" s="966"/>
      <c r="F270" s="966" t="s">
        <v>588</v>
      </c>
      <c r="G270" s="966"/>
      <c r="H270" s="966"/>
      <c r="I270" s="966"/>
      <c r="J270" s="966" t="str">
        <f>IF($L$150="X","SITE IMPACTE AVEC IMPACT ENVISAGE",IF($L$155="X","SITE IMPACTE APRES IMPACT",""))</f>
        <v/>
      </c>
      <c r="K270" s="966"/>
      <c r="L270" s="966"/>
      <c r="M270" s="966"/>
      <c r="N270" s="966" t="str">
        <f>IF($L$150="X","SITE DE COMPENSATION AVEC ACTION ECOLOGIQUE ENVISAGEE",IF($L$155="X","SITE DE COMPENSATION APRES ACTION ECOLOGIQUE",""))</f>
        <v/>
      </c>
      <c r="O270" s="966"/>
      <c r="P270" s="966"/>
      <c r="Q270" s="966"/>
      <c r="R270" s="966" t="s">
        <v>587</v>
      </c>
      <c r="S270" s="966"/>
      <c r="T270" s="966"/>
      <c r="U270" s="981" t="s">
        <v>589</v>
      </c>
      <c r="V270" s="981"/>
      <c r="W270" s="981"/>
      <c r="X270" s="981"/>
      <c r="Y270" s="981"/>
      <c r="Z270" s="981"/>
      <c r="AA270" s="981"/>
      <c r="AB270" s="981"/>
      <c r="AC270" s="981"/>
      <c r="AD270" s="981"/>
      <c r="AE270" s="34"/>
    </row>
    <row r="271" spans="1:31" ht="12" customHeight="1" x14ac:dyDescent="0.2">
      <c r="A271" s="33"/>
      <c r="B271" s="967"/>
      <c r="C271" s="967"/>
      <c r="D271" s="967"/>
      <c r="E271" s="967"/>
      <c r="F271" s="967"/>
      <c r="G271" s="967"/>
      <c r="H271" s="967"/>
      <c r="I271" s="967"/>
      <c r="J271" s="967"/>
      <c r="K271" s="967"/>
      <c r="L271" s="967"/>
      <c r="M271" s="967"/>
      <c r="N271" s="967"/>
      <c r="O271" s="967"/>
      <c r="P271" s="967"/>
      <c r="Q271" s="967"/>
      <c r="R271" s="967"/>
      <c r="S271" s="967"/>
      <c r="T271" s="967"/>
      <c r="U271" s="978" t="s">
        <v>156</v>
      </c>
      <c r="V271" s="972" t="s">
        <v>157</v>
      </c>
      <c r="W271" s="975" t="s">
        <v>158</v>
      </c>
      <c r="X271" s="959" t="s">
        <v>159</v>
      </c>
      <c r="Y271" s="959" t="s">
        <v>160</v>
      </c>
      <c r="Z271" s="959" t="s">
        <v>163</v>
      </c>
      <c r="AA271" s="959" t="s">
        <v>164</v>
      </c>
      <c r="AB271" s="959" t="s">
        <v>165</v>
      </c>
      <c r="AC271" s="969" t="s">
        <v>167</v>
      </c>
      <c r="AD271" s="969" t="s">
        <v>168</v>
      </c>
      <c r="AE271" s="34"/>
    </row>
    <row r="272" spans="1:31" ht="12" customHeight="1" x14ac:dyDescent="0.2">
      <c r="A272" s="33"/>
      <c r="B272" s="967"/>
      <c r="C272" s="967"/>
      <c r="D272" s="967"/>
      <c r="E272" s="967"/>
      <c r="F272" s="967"/>
      <c r="G272" s="967"/>
      <c r="H272" s="967"/>
      <c r="I272" s="967"/>
      <c r="J272" s="967"/>
      <c r="K272" s="967"/>
      <c r="L272" s="967"/>
      <c r="M272" s="967"/>
      <c r="N272" s="967"/>
      <c r="O272" s="967"/>
      <c r="P272" s="967"/>
      <c r="Q272" s="967"/>
      <c r="R272" s="967"/>
      <c r="S272" s="967"/>
      <c r="T272" s="967"/>
      <c r="U272" s="979"/>
      <c r="V272" s="973"/>
      <c r="W272" s="976"/>
      <c r="X272" s="960"/>
      <c r="Y272" s="960"/>
      <c r="Z272" s="960"/>
      <c r="AA272" s="960"/>
      <c r="AB272" s="960"/>
      <c r="AC272" s="970"/>
      <c r="AD272" s="970"/>
      <c r="AE272" s="34"/>
    </row>
    <row r="273" spans="1:31" ht="12" customHeight="1" x14ac:dyDescent="0.2">
      <c r="A273" s="33"/>
      <c r="B273" s="967"/>
      <c r="C273" s="967"/>
      <c r="D273" s="967"/>
      <c r="E273" s="967"/>
      <c r="F273" s="967"/>
      <c r="G273" s="967"/>
      <c r="H273" s="967"/>
      <c r="I273" s="967"/>
      <c r="J273" s="967"/>
      <c r="K273" s="967"/>
      <c r="L273" s="967"/>
      <c r="M273" s="967"/>
      <c r="N273" s="967"/>
      <c r="O273" s="967"/>
      <c r="P273" s="967"/>
      <c r="Q273" s="967"/>
      <c r="R273" s="967"/>
      <c r="S273" s="967"/>
      <c r="T273" s="967"/>
      <c r="U273" s="979"/>
      <c r="V273" s="973"/>
      <c r="W273" s="976"/>
      <c r="X273" s="960"/>
      <c r="Y273" s="960"/>
      <c r="Z273" s="960"/>
      <c r="AA273" s="960"/>
      <c r="AB273" s="960"/>
      <c r="AC273" s="970"/>
      <c r="AD273" s="970"/>
      <c r="AE273" s="34"/>
    </row>
    <row r="274" spans="1:31" ht="12" customHeight="1" x14ac:dyDescent="0.2">
      <c r="A274" s="33"/>
      <c r="B274" s="967"/>
      <c r="C274" s="967"/>
      <c r="D274" s="967"/>
      <c r="E274" s="967"/>
      <c r="F274" s="967"/>
      <c r="G274" s="967"/>
      <c r="H274" s="967"/>
      <c r="I274" s="967"/>
      <c r="J274" s="967"/>
      <c r="K274" s="967"/>
      <c r="L274" s="967"/>
      <c r="M274" s="967"/>
      <c r="N274" s="967"/>
      <c r="O274" s="967"/>
      <c r="P274" s="967"/>
      <c r="Q274" s="967"/>
      <c r="R274" s="967"/>
      <c r="S274" s="967"/>
      <c r="T274" s="967"/>
      <c r="U274" s="979"/>
      <c r="V274" s="973"/>
      <c r="W274" s="976"/>
      <c r="X274" s="960"/>
      <c r="Y274" s="960"/>
      <c r="Z274" s="960"/>
      <c r="AA274" s="960"/>
      <c r="AB274" s="960"/>
      <c r="AC274" s="970"/>
      <c r="AD274" s="970"/>
      <c r="AE274" s="34"/>
    </row>
    <row r="275" spans="1:31" ht="12" customHeight="1" x14ac:dyDescent="0.2">
      <c r="A275" s="33"/>
      <c r="B275" s="967"/>
      <c r="C275" s="967"/>
      <c r="D275" s="967"/>
      <c r="E275" s="967"/>
      <c r="F275" s="967"/>
      <c r="G275" s="967"/>
      <c r="H275" s="967"/>
      <c r="I275" s="967"/>
      <c r="J275" s="967"/>
      <c r="K275" s="967"/>
      <c r="L275" s="967"/>
      <c r="M275" s="967"/>
      <c r="N275" s="967"/>
      <c r="O275" s="967"/>
      <c r="P275" s="967"/>
      <c r="Q275" s="967"/>
      <c r="R275" s="967"/>
      <c r="S275" s="967"/>
      <c r="T275" s="967"/>
      <c r="U275" s="979"/>
      <c r="V275" s="973"/>
      <c r="W275" s="976"/>
      <c r="X275" s="960"/>
      <c r="Y275" s="960"/>
      <c r="Z275" s="960"/>
      <c r="AA275" s="960"/>
      <c r="AB275" s="960"/>
      <c r="AC275" s="970"/>
      <c r="AD275" s="970"/>
      <c r="AE275" s="34"/>
    </row>
    <row r="276" spans="1:31" ht="12" customHeight="1" x14ac:dyDescent="0.2">
      <c r="A276" s="33"/>
      <c r="B276" s="967"/>
      <c r="C276" s="967"/>
      <c r="D276" s="967"/>
      <c r="E276" s="967"/>
      <c r="F276" s="967"/>
      <c r="G276" s="967"/>
      <c r="H276" s="967"/>
      <c r="I276" s="967"/>
      <c r="J276" s="967"/>
      <c r="K276" s="967"/>
      <c r="L276" s="967"/>
      <c r="M276" s="967"/>
      <c r="N276" s="967"/>
      <c r="O276" s="967"/>
      <c r="P276" s="967"/>
      <c r="Q276" s="967"/>
      <c r="R276" s="967"/>
      <c r="S276" s="967"/>
      <c r="T276" s="967"/>
      <c r="U276" s="979"/>
      <c r="V276" s="973"/>
      <c r="W276" s="976"/>
      <c r="X276" s="960"/>
      <c r="Y276" s="960"/>
      <c r="Z276" s="960"/>
      <c r="AA276" s="960"/>
      <c r="AB276" s="960"/>
      <c r="AC276" s="970"/>
      <c r="AD276" s="970"/>
      <c r="AE276" s="34"/>
    </row>
    <row r="277" spans="1:31" ht="12" customHeight="1" x14ac:dyDescent="0.2">
      <c r="A277" s="33"/>
      <c r="B277" s="967"/>
      <c r="C277" s="967"/>
      <c r="D277" s="967"/>
      <c r="E277" s="967"/>
      <c r="F277" s="967"/>
      <c r="G277" s="967"/>
      <c r="H277" s="967"/>
      <c r="I277" s="967"/>
      <c r="J277" s="910" t="str">
        <f>IF($L$150="X","Présence de perte fonctionnelle ?",IF($L$155="X","Présence de perte fonctionnelle ?",""))</f>
        <v/>
      </c>
      <c r="K277" s="910"/>
      <c r="L277" s="910"/>
      <c r="M277" s="910"/>
      <c r="N277" s="910" t="str">
        <f>IF($L$150="X","Présence de gain fonctionnel ?",IF($L$155="X","Présence de gain fonctionnel ?",""))</f>
        <v/>
      </c>
      <c r="O277" s="910"/>
      <c r="P277" s="910"/>
      <c r="Q277" s="910"/>
      <c r="R277" s="967"/>
      <c r="S277" s="967"/>
      <c r="T277" s="967"/>
      <c r="U277" s="979"/>
      <c r="V277" s="973"/>
      <c r="W277" s="976"/>
      <c r="X277" s="960"/>
      <c r="Y277" s="960"/>
      <c r="Z277" s="960"/>
      <c r="AA277" s="960"/>
      <c r="AB277" s="960"/>
      <c r="AC277" s="970"/>
      <c r="AD277" s="970"/>
      <c r="AE277" s="34"/>
    </row>
    <row r="278" spans="1:31" ht="12" customHeight="1" x14ac:dyDescent="0.2">
      <c r="A278" s="33"/>
      <c r="B278" s="967"/>
      <c r="C278" s="967"/>
      <c r="D278" s="967"/>
      <c r="E278" s="967"/>
      <c r="F278" s="967"/>
      <c r="G278" s="967"/>
      <c r="H278" s="967"/>
      <c r="I278" s="967"/>
      <c r="J278" s="910"/>
      <c r="K278" s="910"/>
      <c r="L278" s="910"/>
      <c r="M278" s="910"/>
      <c r="N278" s="910"/>
      <c r="O278" s="910"/>
      <c r="P278" s="910"/>
      <c r="Q278" s="910"/>
      <c r="R278" s="967"/>
      <c r="S278" s="967"/>
      <c r="T278" s="967"/>
      <c r="U278" s="979"/>
      <c r="V278" s="973"/>
      <c r="W278" s="976"/>
      <c r="X278" s="960"/>
      <c r="Y278" s="960"/>
      <c r="Z278" s="960"/>
      <c r="AA278" s="960"/>
      <c r="AB278" s="960"/>
      <c r="AC278" s="970"/>
      <c r="AD278" s="970"/>
      <c r="AE278" s="34"/>
    </row>
    <row r="279" spans="1:31" ht="12" customHeight="1" x14ac:dyDescent="0.2">
      <c r="A279" s="33"/>
      <c r="B279" s="967"/>
      <c r="C279" s="967"/>
      <c r="D279" s="967"/>
      <c r="E279" s="967"/>
      <c r="F279" s="967"/>
      <c r="G279" s="967"/>
      <c r="H279" s="967"/>
      <c r="I279" s="967"/>
      <c r="J279" s="910"/>
      <c r="K279" s="910"/>
      <c r="L279" s="910"/>
      <c r="M279" s="910"/>
      <c r="N279" s="910"/>
      <c r="O279" s="910"/>
      <c r="P279" s="910"/>
      <c r="Q279" s="910"/>
      <c r="R279" s="967"/>
      <c r="S279" s="967"/>
      <c r="T279" s="967"/>
      <c r="U279" s="979"/>
      <c r="V279" s="973"/>
      <c r="W279" s="976"/>
      <c r="X279" s="960"/>
      <c r="Y279" s="960"/>
      <c r="Z279" s="960"/>
      <c r="AA279" s="960"/>
      <c r="AB279" s="960"/>
      <c r="AC279" s="970"/>
      <c r="AD279" s="970"/>
      <c r="AE279" s="34"/>
    </row>
    <row r="280" spans="1:31" ht="12" customHeight="1" x14ac:dyDescent="0.2">
      <c r="A280" s="33"/>
      <c r="B280" s="967"/>
      <c r="C280" s="967"/>
      <c r="D280" s="967"/>
      <c r="E280" s="967"/>
      <c r="F280" s="967"/>
      <c r="G280" s="967"/>
      <c r="H280" s="967"/>
      <c r="I280" s="967"/>
      <c r="J280" s="910"/>
      <c r="K280" s="910"/>
      <c r="L280" s="910"/>
      <c r="M280" s="910"/>
      <c r="N280" s="910"/>
      <c r="O280" s="910"/>
      <c r="P280" s="910"/>
      <c r="Q280" s="910"/>
      <c r="R280" s="967"/>
      <c r="S280" s="967"/>
      <c r="T280" s="967"/>
      <c r="U280" s="979"/>
      <c r="V280" s="973"/>
      <c r="W280" s="976"/>
      <c r="X280" s="960"/>
      <c r="Y280" s="960"/>
      <c r="Z280" s="960"/>
      <c r="AA280" s="960"/>
      <c r="AB280" s="960"/>
      <c r="AC280" s="970"/>
      <c r="AD280" s="970"/>
      <c r="AE280" s="34"/>
    </row>
    <row r="281" spans="1:31" ht="12" customHeight="1" x14ac:dyDescent="0.2">
      <c r="A281" s="33"/>
      <c r="B281" s="967"/>
      <c r="C281" s="967"/>
      <c r="D281" s="967"/>
      <c r="E281" s="967"/>
      <c r="F281" s="967"/>
      <c r="G281" s="967"/>
      <c r="H281" s="967"/>
      <c r="I281" s="967"/>
      <c r="J281" s="910"/>
      <c r="K281" s="910"/>
      <c r="L281" s="910"/>
      <c r="M281" s="910"/>
      <c r="N281" s="910"/>
      <c r="O281" s="910"/>
      <c r="P281" s="910"/>
      <c r="Q281" s="910"/>
      <c r="R281" s="967"/>
      <c r="S281" s="967"/>
      <c r="T281" s="967"/>
      <c r="U281" s="979"/>
      <c r="V281" s="973"/>
      <c r="W281" s="976"/>
      <c r="X281" s="960"/>
      <c r="Y281" s="960"/>
      <c r="Z281" s="960"/>
      <c r="AA281" s="960"/>
      <c r="AB281" s="960"/>
      <c r="AC281" s="970"/>
      <c r="AD281" s="970"/>
      <c r="AE281" s="34"/>
    </row>
    <row r="282" spans="1:31" ht="12" customHeight="1" x14ac:dyDescent="0.2">
      <c r="A282" s="33"/>
      <c r="B282" s="967"/>
      <c r="C282" s="967"/>
      <c r="D282" s="967"/>
      <c r="E282" s="967"/>
      <c r="F282" s="967"/>
      <c r="G282" s="967"/>
      <c r="H282" s="967"/>
      <c r="I282" s="967"/>
      <c r="J282" s="910"/>
      <c r="K282" s="910"/>
      <c r="L282" s="910"/>
      <c r="M282" s="910"/>
      <c r="N282" s="910"/>
      <c r="O282" s="910"/>
      <c r="P282" s="910"/>
      <c r="Q282" s="910"/>
      <c r="R282" s="967"/>
      <c r="S282" s="967"/>
      <c r="T282" s="967"/>
      <c r="U282" s="979"/>
      <c r="V282" s="973"/>
      <c r="W282" s="976"/>
      <c r="X282" s="960"/>
      <c r="Y282" s="960"/>
      <c r="Z282" s="960"/>
      <c r="AA282" s="960"/>
      <c r="AB282" s="960"/>
      <c r="AC282" s="970"/>
      <c r="AD282" s="970"/>
      <c r="AE282" s="34"/>
    </row>
    <row r="283" spans="1:31" ht="12" customHeight="1" thickBot="1" x14ac:dyDescent="0.25">
      <c r="A283" s="33"/>
      <c r="B283" s="968"/>
      <c r="C283" s="968"/>
      <c r="D283" s="968"/>
      <c r="E283" s="968"/>
      <c r="F283" s="968"/>
      <c r="G283" s="968"/>
      <c r="H283" s="968"/>
      <c r="I283" s="968"/>
      <c r="J283" s="913"/>
      <c r="K283" s="913"/>
      <c r="L283" s="913"/>
      <c r="M283" s="913"/>
      <c r="N283" s="913"/>
      <c r="O283" s="913"/>
      <c r="P283" s="913"/>
      <c r="Q283" s="913"/>
      <c r="R283" s="968"/>
      <c r="S283" s="968"/>
      <c r="T283" s="968"/>
      <c r="U283" s="980"/>
      <c r="V283" s="974"/>
      <c r="W283" s="977"/>
      <c r="X283" s="961"/>
      <c r="Y283" s="961"/>
      <c r="Z283" s="961"/>
      <c r="AA283" s="961"/>
      <c r="AB283" s="961"/>
      <c r="AC283" s="971"/>
      <c r="AD283" s="971"/>
      <c r="AE283" s="34"/>
    </row>
    <row r="284" spans="1:31" ht="30" customHeight="1" thickBot="1" x14ac:dyDescent="0.25">
      <c r="A284" s="51"/>
      <c r="B284" s="52"/>
      <c r="C284" s="52"/>
      <c r="D284" s="52"/>
      <c r="E284" s="52"/>
      <c r="F284" s="52"/>
      <c r="G284" s="52"/>
      <c r="H284" s="52"/>
      <c r="I284" s="34"/>
      <c r="J284" s="53"/>
      <c r="K284" s="54"/>
      <c r="L284" s="52"/>
      <c r="M284" s="52"/>
      <c r="N284" s="52"/>
      <c r="O284" s="52"/>
      <c r="P284" s="52"/>
      <c r="Q284" s="52"/>
      <c r="R284" s="52"/>
      <c r="S284" s="52"/>
      <c r="T284" s="52"/>
      <c r="U284" s="965" t="s">
        <v>595</v>
      </c>
      <c r="V284" s="965"/>
      <c r="W284" s="965"/>
      <c r="X284" s="965"/>
      <c r="Y284" s="965"/>
      <c r="Z284" s="965"/>
      <c r="AA284" s="965"/>
      <c r="AB284" s="965"/>
      <c r="AC284" s="965"/>
      <c r="AD284" s="965"/>
      <c r="AE284" s="34"/>
    </row>
    <row r="285" spans="1:31" ht="30" customHeight="1" thickBot="1" x14ac:dyDescent="0.25">
      <c r="A285" s="34"/>
      <c r="B285" s="55" t="s">
        <v>537</v>
      </c>
      <c r="C285" s="55"/>
      <c r="D285" s="55"/>
      <c r="E285" s="55"/>
      <c r="F285" s="55"/>
      <c r="G285" s="55"/>
      <c r="H285" s="55"/>
      <c r="I285" s="55"/>
      <c r="J285" s="34"/>
      <c r="K285" s="56"/>
      <c r="L285" s="56"/>
      <c r="M285" s="56"/>
      <c r="N285" s="55"/>
      <c r="O285" s="55"/>
      <c r="P285" s="55"/>
      <c r="Q285" s="55"/>
      <c r="R285" s="55"/>
      <c r="S285" s="55"/>
      <c r="T285" s="55"/>
      <c r="U285" s="55"/>
      <c r="V285" s="55"/>
      <c r="W285" s="55"/>
      <c r="X285" s="55"/>
      <c r="Y285" s="55"/>
      <c r="Z285" s="55"/>
      <c r="AA285" s="55"/>
      <c r="AB285" s="55"/>
      <c r="AC285" s="55"/>
      <c r="AD285" s="55"/>
      <c r="AE285" s="34"/>
    </row>
    <row r="286" spans="1:31" ht="30" customHeight="1" thickBot="1" x14ac:dyDescent="0.3">
      <c r="A286" s="34"/>
      <c r="B286" s="806" t="s">
        <v>137</v>
      </c>
      <c r="C286" s="807"/>
      <c r="D286" s="807"/>
      <c r="E286" s="807"/>
      <c r="F286" s="984" t="s">
        <v>186</v>
      </c>
      <c r="G286" s="985"/>
      <c r="H286" s="985"/>
      <c r="I286" s="986"/>
      <c r="J286" s="806" t="str">
        <f>IF(AND($L$150="",$L$155=""),"",IF(AND($L$150="X",'Calcul auto.'!$AD$384=1),"OUI",IF(AND($L$155="X",'Calcul auto.'!$AE$385=1),"OUI",IF(AND($L$150="X",OR('Calcul auto.'!$E$383="",'Calcul auto.'!$E$384="")),"non renseigné",IF(AND($L$155="X",OR('Calcul auto.'!$E$383="",'Calcul auto.'!$E$385="")),"non renseigné","non")))))</f>
        <v/>
      </c>
      <c r="K286" s="807"/>
      <c r="L286" s="807"/>
      <c r="M286" s="808"/>
      <c r="N286" s="806" t="str">
        <f>IF(AND($L$150="",$L$155=""),"",IF(AND($L$150="X",'Calcul auto.'!$AF$387=1),CONCATENATE("OUI",'Calcul auto.'!$U$387),IF(AND($L$155="X",'Calcul auto.'!$AG$388=1),CONCATENATE("OUI",'Calcul auto.'!$U$388),IF(AND($L$150="X",OR('Calcul auto.'!$E$386="",'Calcul auto.'!$E$387="")),"non renseigné",IF(AND($L$155="X",OR('Calcul auto.'!$E$386="",'Calcul auto.'!$E$388="")),"non renseigné","non")))))</f>
        <v/>
      </c>
      <c r="O286" s="807"/>
      <c r="P286" s="807"/>
      <c r="Q286" s="808"/>
      <c r="R286" s="806" t="str">
        <f>IF(AND($L$150="",$L$155=""),"",IF(OR($J$286="non renseigné",$N$286="non renseigné"),"non renseigné",IF(AND($L$150="X",'Calcul auto.'!$AH$387=1),"OUI",IF(AND($L$155="X",'Calcul auto.'!$AI$388=1),"OUI","non"))))</f>
        <v/>
      </c>
      <c r="S286" s="807"/>
      <c r="T286" s="808"/>
      <c r="U286" s="57"/>
      <c r="V286" s="57"/>
      <c r="W286" s="58"/>
      <c r="X286" s="59"/>
      <c r="Y286" s="59"/>
      <c r="Z286" s="59"/>
      <c r="AA286" s="59"/>
      <c r="AB286" s="57"/>
      <c r="AC286" s="57"/>
      <c r="AD286" s="57"/>
      <c r="AE286" s="34"/>
    </row>
    <row r="287" spans="1:31" ht="30" customHeight="1" thickBot="1" x14ac:dyDescent="0.3">
      <c r="A287" s="34"/>
      <c r="B287" s="806" t="s">
        <v>415</v>
      </c>
      <c r="C287" s="807"/>
      <c r="D287" s="807"/>
      <c r="E287" s="807"/>
      <c r="F287" s="806" t="s">
        <v>74</v>
      </c>
      <c r="G287" s="807"/>
      <c r="H287" s="807"/>
      <c r="I287" s="808"/>
      <c r="J287" s="806" t="str">
        <f>IF(AND($L$150="",$L$155=""),"",IF(AND($L$150="X",'Calcul auto.'!AD222=1),"OUI",IF(AND($L$155="X",'Calcul auto.'!AE223=1),"OUI",IF(AND($L$150="X",OR('Calcul auto.'!E221="",'Calcul auto.'!E222="")),"non renseigné",IF(AND($L$155="X",OR('Calcul auto.'!E221="",'Calcul auto.'!E223="")),"non renseigné","non")))))</f>
        <v/>
      </c>
      <c r="K287" s="807"/>
      <c r="L287" s="807"/>
      <c r="M287" s="808"/>
      <c r="N287" s="806" t="str">
        <f>IF(AND($L$150="",$L$155=""),"",IF(AND($L$150="X",'Calcul auto.'!AF225=1),CONCATENATE("OUI",'Calcul auto.'!U225),IF(AND($L$155="X",'Calcul auto.'!AG226=1),CONCATENATE("OUI",'Calcul auto.'!U226),IF(AND($L$150="X",OR('Calcul auto.'!E224="",'Calcul auto.'!E225="")),"non renseigné",IF(AND($L$155="X",OR('Calcul auto.'!E224="",'Calcul auto.'!E226="")),"non renseigné","non")))))</f>
        <v/>
      </c>
      <c r="O287" s="807"/>
      <c r="P287" s="807"/>
      <c r="Q287" s="807"/>
      <c r="R287" s="806" t="str">
        <f>IF(AND($L$150="",$L$155=""),"",IF(OR($J$287="non renseigné",$N$287="non renseigné"),"non renseigné",IF(AND($L$150="X",'Calcul auto.'!$AH$225=1),"OUI",IF(AND($L$155="X",'Calcul auto.'!$AI$226=1),"OUI","non"))))</f>
        <v/>
      </c>
      <c r="S287" s="807"/>
      <c r="T287" s="808"/>
      <c r="U287" s="60"/>
      <c r="V287" s="60"/>
      <c r="W287" s="60"/>
      <c r="X287" s="60"/>
      <c r="Y287" s="61"/>
      <c r="Z287" s="60"/>
      <c r="AA287" s="61"/>
      <c r="AB287" s="57"/>
      <c r="AC287" s="60"/>
      <c r="AD287" s="60"/>
      <c r="AE287" s="34"/>
    </row>
    <row r="288" spans="1:31" ht="30" customHeight="1" thickBot="1" x14ac:dyDescent="0.3">
      <c r="A288" s="34"/>
      <c r="B288" s="806" t="s">
        <v>416</v>
      </c>
      <c r="C288" s="807"/>
      <c r="D288" s="807"/>
      <c r="E288" s="807"/>
      <c r="F288" s="806" t="s">
        <v>74</v>
      </c>
      <c r="G288" s="807"/>
      <c r="H288" s="807"/>
      <c r="I288" s="808"/>
      <c r="J288" s="806" t="str">
        <f>IF(AND($L$150="",$L$155=""),"",IF(AND($L$150="X",'Calcul auto.'!AD228=1),"OUI",IF(AND($L$155="X",'Calcul auto.'!AE229=1),"OUI",IF(AND($L$150="X",OR('Calcul auto.'!E227="",'Calcul auto.'!E228="")),"non renseigné",IF(AND($L$155="X",OR('Calcul auto.'!E227="",'Calcul auto.'!E229="")),"non renseigné","non")))))</f>
        <v/>
      </c>
      <c r="K288" s="807"/>
      <c r="L288" s="807"/>
      <c r="M288" s="808"/>
      <c r="N288" s="806" t="str">
        <f>IF(AND($L$150="",$L$155=""),"",IF(AND($L$150="X",'Calcul auto.'!AF231=1),CONCATENATE("OUI",'Calcul auto.'!U231),IF(AND($L$155="X",'Calcul auto.'!AG232=1),CONCATENATE("OUI",'Calcul auto.'!U232),IF(AND($L$150="X",OR('Calcul auto.'!E230="",'Calcul auto.'!E231="")),"non renseigné",IF(AND($L$155="X",OR('Calcul auto.'!E230="",'Calcul auto.'!E232="")),"non renseigné","non")))))</f>
        <v/>
      </c>
      <c r="O288" s="807"/>
      <c r="P288" s="807"/>
      <c r="Q288" s="808"/>
      <c r="R288" s="806" t="str">
        <f>IF(AND($L$150="",$L$155=""),"",IF(OR($J$288="non renseigné",$N$288="non renseigné"),"non renseigné",IF(AND($L$150="X",'Calcul auto.'!$AH$231=1),"OUI",IF(AND($L$155="X",'Calcul auto.'!$AI$232=1),"OUI","non"))))</f>
        <v/>
      </c>
      <c r="S288" s="807"/>
      <c r="T288" s="808"/>
      <c r="U288" s="60"/>
      <c r="V288" s="60"/>
      <c r="W288" s="60"/>
      <c r="X288" s="60"/>
      <c r="Y288" s="60"/>
      <c r="Z288" s="60"/>
      <c r="AA288" s="62"/>
      <c r="AB288" s="61"/>
      <c r="AC288" s="63"/>
      <c r="AD288" s="60"/>
      <c r="AE288" s="34"/>
    </row>
    <row r="289" spans="1:31" ht="30" customHeight="1" thickBot="1" x14ac:dyDescent="0.3">
      <c r="A289" s="34"/>
      <c r="B289" s="988" t="s">
        <v>138</v>
      </c>
      <c r="C289" s="988"/>
      <c r="D289" s="988"/>
      <c r="E289" s="989"/>
      <c r="F289" s="987" t="s">
        <v>74</v>
      </c>
      <c r="G289" s="988"/>
      <c r="H289" s="988"/>
      <c r="I289" s="989"/>
      <c r="J289" s="987" t="str">
        <f>IF(AND($L$150="",$L$155=""),"",IF(AND($L$150="X",'Calcul auto.'!AD330=1),"OUI",IF(AND($L$155="X",'Calcul auto.'!AE331=1),"OUI",IF(AND($L$150="X",OR('Calcul auto.'!E329="",'Calcul auto.'!E330="")),"non renseigné",IF(AND($L$155="X",OR('Calcul auto.'!E329="",'Calcul auto.'!E331="")),"non renseigné","non")))))</f>
        <v/>
      </c>
      <c r="K289" s="988"/>
      <c r="L289" s="988"/>
      <c r="M289" s="989"/>
      <c r="N289" s="987" t="str">
        <f>IF(AND($L$150="",$L$155=""),"",IF(AND($L$150="X",'Calcul auto.'!AF333=1),CONCATENATE("OUI",'Calcul auto.'!U333),IF(AND($L$155="X",'Calcul auto.'!AG334=1),CONCATENATE("OUI",'Calcul auto.'!U334),IF(AND($L$150="X",OR('Calcul auto.'!E332="",'Calcul auto.'!E333="")),"non renseigné",IF(AND($L$155="X",OR('Calcul auto.'!E332="",'Calcul auto.'!E334="")),"non renseigné","non")))))</f>
        <v/>
      </c>
      <c r="O289" s="988"/>
      <c r="P289" s="988"/>
      <c r="Q289" s="988"/>
      <c r="R289" s="987" t="str">
        <f>IF(AND($L$150="",$L$155=""),"",IF(OR($J$289="non renseigné",$N$289="non renseigné"),"non renseigné",IF(AND($L$150="X",'Calcul auto.'!$AH$333=1),"OUI",IF(AND($L$155="X",'Calcul auto.'!$AI$334=1),"OUI","non"))))</f>
        <v/>
      </c>
      <c r="S289" s="988"/>
      <c r="T289" s="988"/>
      <c r="U289" s="64"/>
      <c r="V289" s="65"/>
      <c r="W289" s="64"/>
      <c r="X289" s="66"/>
      <c r="Y289" s="66"/>
      <c r="Z289" s="66"/>
      <c r="AA289" s="66"/>
      <c r="AB289" s="65"/>
      <c r="AC289" s="65"/>
      <c r="AD289" s="65"/>
      <c r="AE289" s="34"/>
    </row>
    <row r="290" spans="1:31" ht="30" customHeight="1" thickBot="1" x14ac:dyDescent="0.25">
      <c r="A290" s="51"/>
      <c r="B290" s="67"/>
      <c r="C290" s="67"/>
      <c r="D290" s="67"/>
      <c r="E290" s="67"/>
      <c r="F290" s="67"/>
      <c r="G290" s="67"/>
      <c r="H290" s="67"/>
      <c r="I290" s="67"/>
      <c r="J290" s="68"/>
      <c r="K290" s="67"/>
      <c r="L290" s="67"/>
      <c r="M290" s="67"/>
      <c r="N290" s="67"/>
      <c r="O290" s="67"/>
      <c r="P290" s="67"/>
      <c r="Q290" s="67"/>
      <c r="R290" s="67"/>
      <c r="S290" s="67"/>
      <c r="T290" s="67"/>
      <c r="U290" s="67"/>
      <c r="V290" s="67"/>
      <c r="W290" s="67"/>
      <c r="X290" s="67"/>
      <c r="Y290" s="67"/>
      <c r="Z290" s="67"/>
      <c r="AA290" s="67"/>
      <c r="AB290" s="67"/>
      <c r="AC290" s="67"/>
      <c r="AD290" s="67"/>
      <c r="AE290" s="34"/>
    </row>
    <row r="291" spans="1:31" ht="30" customHeight="1" thickBot="1" x14ac:dyDescent="0.25">
      <c r="A291" s="34"/>
      <c r="B291" s="51" t="s">
        <v>538</v>
      </c>
      <c r="C291" s="69"/>
      <c r="D291" s="69"/>
      <c r="E291" s="69"/>
      <c r="F291" s="69"/>
      <c r="G291" s="69"/>
      <c r="H291" s="69"/>
      <c r="I291" s="69"/>
      <c r="J291" s="34"/>
      <c r="K291" s="69"/>
      <c r="L291" s="69"/>
      <c r="M291" s="69"/>
      <c r="N291" s="69"/>
      <c r="O291" s="69"/>
      <c r="P291" s="69"/>
      <c r="Q291" s="69"/>
      <c r="R291" s="69"/>
      <c r="S291" s="69"/>
      <c r="T291" s="69"/>
      <c r="U291" s="69"/>
      <c r="V291" s="69"/>
      <c r="W291" s="69"/>
      <c r="X291" s="69"/>
      <c r="Y291" s="69"/>
      <c r="Z291" s="69"/>
      <c r="AA291" s="69"/>
      <c r="AB291" s="69"/>
      <c r="AC291" s="69"/>
      <c r="AD291" s="69"/>
      <c r="AE291" s="34"/>
    </row>
    <row r="292" spans="1:31" ht="30" customHeight="1" thickBot="1" x14ac:dyDescent="0.3">
      <c r="A292" s="34"/>
      <c r="B292" s="806" t="s">
        <v>139</v>
      </c>
      <c r="C292" s="807"/>
      <c r="D292" s="807"/>
      <c r="E292" s="807"/>
      <c r="F292" s="806" t="s">
        <v>78</v>
      </c>
      <c r="G292" s="807"/>
      <c r="H292" s="807"/>
      <c r="I292" s="808"/>
      <c r="J292" s="806" t="str">
        <f>IF(AND($L$150="",$L$155=""),"",IF(AND($L$150="X",'Calcul auto.'!AD306=1),"OUI",IF(AND($L$155="X",'Calcul auto.'!AE307=1),"OUI",IF(AND($L$150="X",OR('Calcul auto.'!E305="",'Calcul auto.'!E306="")),"non renseigné",IF(AND($L$155="X",OR('Calcul auto.'!E305="",'Calcul auto.'!E307="")),"non renseigné","non")))))</f>
        <v/>
      </c>
      <c r="K292" s="807"/>
      <c r="L292" s="807"/>
      <c r="M292" s="808"/>
      <c r="N292" s="806" t="str">
        <f>IF(AND($L$150="",$L$155=""),"",IF(AND($L$150="X",'Calcul auto.'!AF309=1),CONCATENATE("OUI",'Calcul auto.'!U309),IF(AND($L$155="X",'Calcul auto.'!AG310=1),CONCATENATE("OUI",'Calcul auto.'!U310),IF(AND($L$150="X",OR('Calcul auto.'!E308="",'Calcul auto.'!E309="")),"non renseigné",IF(AND($L$155="X",OR('Calcul auto.'!E308="",'Calcul auto.'!E310="")),"non renseigné","non")))))</f>
        <v/>
      </c>
      <c r="O292" s="807"/>
      <c r="P292" s="807"/>
      <c r="Q292" s="808"/>
      <c r="R292" s="806" t="str">
        <f>IF(AND($L$150="",$L$155=""),"",IF(OR($J$292="non renseigné",$N$292="non renseigné"),"non renseigné",IF(AND($L$150="X",'Calcul auto.'!$AH$309=1),"OUI",IF(AND($L$155="X",'Calcul auto.'!$AI$310=1),"OUI","non"))))</f>
        <v/>
      </c>
      <c r="S292" s="807"/>
      <c r="T292" s="808"/>
      <c r="U292" s="70"/>
      <c r="V292" s="70"/>
      <c r="W292" s="70"/>
      <c r="X292" s="61"/>
      <c r="Y292" s="61"/>
      <c r="Z292" s="61"/>
      <c r="AA292" s="61"/>
      <c r="AB292" s="71"/>
      <c r="AC292" s="71"/>
      <c r="AD292" s="71"/>
      <c r="AE292" s="34"/>
    </row>
    <row r="293" spans="1:31" ht="30" customHeight="1" thickBot="1" x14ac:dyDescent="0.3">
      <c r="A293" s="34"/>
      <c r="B293" s="806" t="s">
        <v>140</v>
      </c>
      <c r="C293" s="807"/>
      <c r="D293" s="807"/>
      <c r="E293" s="807"/>
      <c r="F293" s="806" t="s">
        <v>79</v>
      </c>
      <c r="G293" s="807"/>
      <c r="H293" s="807"/>
      <c r="I293" s="808"/>
      <c r="J293" s="806" t="str">
        <f>IF(AND($L$150="",$L$155=""),"",IF(AND($L$150="X",'Calcul auto.'!AD282=1),"OUI",IF(AND($L$155="X",'Calcul auto.'!AE283=1),"OUI",IF(AND($L$150="X",OR('Calcul auto.'!E281="",'Calcul auto.'!E282="")),"non renseigné",IF(AND($L$155="X",OR('Calcul auto.'!E281="",'Calcul auto.'!E283="")),"non renseigné","non")))))</f>
        <v/>
      </c>
      <c r="K293" s="807"/>
      <c r="L293" s="807"/>
      <c r="M293" s="808"/>
      <c r="N293" s="806" t="str">
        <f>IF(AND($L$150="",$L$155=""),"",IF(AND($L$150="X",'Calcul auto.'!AF285=1),CONCATENATE("OUI",'Calcul auto.'!U285),IF(AND($L$155="X",'Calcul auto.'!AG286=1),CONCATENATE("OUI",'Calcul auto.'!U286),IF(AND($L$150="X",OR('Calcul auto.'!E284="",'Calcul auto.'!E285="")),"non renseigné",IF(AND($L$155="X",OR('Calcul auto.'!E284="",'Calcul auto.'!E286="")),"non renseigné","non")))))</f>
        <v/>
      </c>
      <c r="O293" s="807"/>
      <c r="P293" s="807"/>
      <c r="Q293" s="807"/>
      <c r="R293" s="806" t="str">
        <f>IF(AND($L$150="",$L$155=""),"",IF(OR($J$294="non renseigné",$N$294="non renseigné"),"non renseigné",IF(AND($L$150="X",'Calcul auto.'!$AH$285=1),"OUI",IF(AND($L$155="X",'Calcul auto.'!$AI$286=1),"OUI","non"))))</f>
        <v/>
      </c>
      <c r="S293" s="807"/>
      <c r="T293" s="808"/>
      <c r="U293" s="70"/>
      <c r="V293" s="70"/>
      <c r="W293" s="70"/>
      <c r="X293" s="61"/>
      <c r="Y293" s="61"/>
      <c r="Z293" s="61"/>
      <c r="AA293" s="61"/>
      <c r="AB293" s="60"/>
      <c r="AC293" s="60"/>
      <c r="AD293" s="60"/>
      <c r="AE293" s="34"/>
    </row>
    <row r="294" spans="1:31" ht="30" customHeight="1" thickBot="1" x14ac:dyDescent="0.3">
      <c r="A294" s="34"/>
      <c r="B294" s="806" t="s">
        <v>141</v>
      </c>
      <c r="C294" s="807"/>
      <c r="D294" s="807"/>
      <c r="E294" s="807"/>
      <c r="F294" s="806" t="s">
        <v>80</v>
      </c>
      <c r="G294" s="807"/>
      <c r="H294" s="807"/>
      <c r="I294" s="808"/>
      <c r="J294" s="806" t="str">
        <f>IF(AND($L$150="",$L$155=""),"",IF(AND($L$150="X",'Calcul auto.'!AD288=1),"OUI",IF(AND($L$155="X",'Calcul auto.'!AE289=1),"OUI",IF(AND($L$150="X",OR('Calcul auto.'!E287="",'Calcul auto.'!E288="")),"non renseigné",IF(AND($L$155="X",OR('Calcul auto.'!E287="",'Calcul auto.'!E289="")),"non renseigné","non")))))</f>
        <v/>
      </c>
      <c r="K294" s="807"/>
      <c r="L294" s="807"/>
      <c r="M294" s="808"/>
      <c r="N294" s="806" t="str">
        <f>IF(AND($L$150="",$L$155=""),"",IF(AND($L$150="X",'Calcul auto.'!AF291=1),CONCATENATE("OUI",'Calcul auto.'!U291),IF(AND($L$155="X",'Calcul auto.'!AG292=1),CONCATENATE("OUI",'Calcul auto.'!U292),IF(AND($L$150="X",OR('Calcul auto.'!E290="",'Calcul auto.'!E291="")),"non renseigné",IF(AND($L$155="X",OR('Calcul auto.'!E290="",'Calcul auto.'!E292="")),"non renseigné","non")))))</f>
        <v/>
      </c>
      <c r="O294" s="807"/>
      <c r="P294" s="807"/>
      <c r="Q294" s="808"/>
      <c r="R294" s="806" t="str">
        <f>IF(AND($L$150="",$L$155=""),"",IF(OR($J$294="non renseigné",$N$294="non renseigné"),"non renseigné",IF(AND($L$150="X",'Calcul auto.'!$AH$291=1),"OUI",IF(AND($L$155="X",'Calcul auto.'!$AI$292=1),"OUI","non"))))</f>
        <v/>
      </c>
      <c r="S294" s="807"/>
      <c r="T294" s="808"/>
      <c r="U294" s="70"/>
      <c r="V294" s="70"/>
      <c r="W294" s="70"/>
      <c r="X294" s="61"/>
      <c r="Y294" s="61"/>
      <c r="Z294" s="61"/>
      <c r="AA294" s="61"/>
      <c r="AB294" s="71"/>
      <c r="AC294" s="71"/>
      <c r="AD294" s="71"/>
      <c r="AE294" s="34"/>
    </row>
    <row r="295" spans="1:31" ht="30" customHeight="1" thickBot="1" x14ac:dyDescent="0.3">
      <c r="A295" s="34"/>
      <c r="B295" s="806" t="s">
        <v>229</v>
      </c>
      <c r="C295" s="807"/>
      <c r="D295" s="807"/>
      <c r="E295" s="807"/>
      <c r="F295" s="806" t="s">
        <v>418</v>
      </c>
      <c r="G295" s="807"/>
      <c r="H295" s="807"/>
      <c r="I295" s="808"/>
      <c r="J295" s="806" t="str">
        <f>IF(AND($L$150="",$L$155=""),"",IF(AND($L$150="X",'Calcul auto.'!AD378=1),"OUI",IF(AND($L$155="X",'Calcul auto.'!AE379=1),"OUI",IF(AND($L$150="X",OR('Calcul auto.'!E377="",'Calcul auto.'!E378="")),"non renseigné",IF(AND($L$155="X",OR('Calcul auto.'!E377="",'Calcul auto.'!E379="")),"non renseigné","non")))))</f>
        <v/>
      </c>
      <c r="K295" s="807"/>
      <c r="L295" s="807"/>
      <c r="M295" s="808"/>
      <c r="N295" s="806" t="str">
        <f>IF(AND($L$150="",$L$155=""),"",IF(AND($L$150="X",'Calcul auto.'!AF381=1),CONCATENATE("OUI",'Calcul auto.'!U381),IF(AND($L$155="X",'Calcul auto.'!AG382=1),CONCATENATE("OUI",'Calcul auto.'!U382),IF(AND($L$150="X",OR('Calcul auto.'!E380="",'Calcul auto.'!E381="")),"non renseigné",IF(AND($L$155="X",OR('Calcul auto.'!E380="",'Calcul auto.'!E382="")),"non renseigné","non")))))</f>
        <v/>
      </c>
      <c r="O295" s="807"/>
      <c r="P295" s="807"/>
      <c r="Q295" s="807"/>
      <c r="R295" s="806" t="str">
        <f>IF(AND($L$150="",$L$155=""),"",IF(OR($J$295="non renseigné",$N$295="non renseigné"),"non renseigné",IF(AND($L$150="X",'Calcul auto.'!$AH$381=1),"OUI",IF(AND($L$155="X",'Calcul auto.'!$AI$382=1),"OUI","non"))))</f>
        <v/>
      </c>
      <c r="S295" s="807"/>
      <c r="T295" s="808"/>
      <c r="U295" s="60"/>
      <c r="V295" s="60"/>
      <c r="W295" s="70"/>
      <c r="X295" s="61"/>
      <c r="Y295" s="61"/>
      <c r="Z295" s="61"/>
      <c r="AA295" s="61"/>
      <c r="AB295" s="60"/>
      <c r="AC295" s="60"/>
      <c r="AD295" s="60"/>
      <c r="AE295" s="34"/>
    </row>
    <row r="296" spans="1:31" ht="30" customHeight="1" thickBot="1" x14ac:dyDescent="0.3">
      <c r="A296" s="34"/>
      <c r="B296" s="809" t="s">
        <v>142</v>
      </c>
      <c r="C296" s="810"/>
      <c r="D296" s="810"/>
      <c r="E296" s="811"/>
      <c r="F296" s="809" t="s">
        <v>193</v>
      </c>
      <c r="G296" s="810"/>
      <c r="H296" s="810"/>
      <c r="I296" s="811"/>
      <c r="J296" s="809" t="str">
        <f>IF(AND($L$150="",$L$155=""),"",IF(AND($L$150="X",'Calcul auto.'!AD276=1),"OUI",IF(AND($L$155="X",'Calcul auto.'!AE277=1),"OUI",IF(AND($L$150="X",OR('Calcul auto.'!E275="",'Calcul auto.'!E276="")),"non renseigné",IF(AND($L$155="X",OR('Calcul auto.'!E275="",'Calcul auto.'!E277="")),"non renseigné","non")))))</f>
        <v/>
      </c>
      <c r="K296" s="810"/>
      <c r="L296" s="810"/>
      <c r="M296" s="811"/>
      <c r="N296" s="809" t="str">
        <f>IF(AND($L$150="",$L$155=""),"",IF(AND($L$150="X",'Calcul auto.'!AF279=1),CONCATENATE("OUI",'Calcul auto.'!U279),IF(AND($L$155="X",'Calcul auto.'!AG280=1),CONCATENATE("OUI",'Calcul auto.'!U280),IF(AND($L$150="X",OR('Calcul auto.'!E278="",'Calcul auto.'!E279="")),"non renseigné",IF(AND($L$155="X",OR('Calcul auto.'!E278="",'Calcul auto.'!E280="")),"non renseigné","non")))))</f>
        <v/>
      </c>
      <c r="O296" s="810"/>
      <c r="P296" s="810"/>
      <c r="Q296" s="811"/>
      <c r="R296" s="809" t="str">
        <f>IF(AND($L$150="",$L$155=""),"",IF(OR($J$296="non renseigné",$N$296="non renseigné"),"non renseigné",IF(AND($L$150="X",'Calcul auto.'!$AH$279=1),"OUI",IF(AND($L$155="X",'Calcul auto.'!$AI$280=1),"OUI","non"))))</f>
        <v/>
      </c>
      <c r="S296" s="810"/>
      <c r="T296" s="811"/>
      <c r="U296" s="72"/>
      <c r="V296" s="73"/>
      <c r="W296" s="72"/>
      <c r="X296" s="74"/>
      <c r="Y296" s="74"/>
      <c r="Z296" s="74"/>
      <c r="AA296" s="74"/>
      <c r="AB296" s="72"/>
      <c r="AC296" s="72"/>
      <c r="AD296" s="72"/>
      <c r="AE296" s="34"/>
    </row>
    <row r="297" spans="1:31" ht="30" customHeight="1" thickBot="1" x14ac:dyDescent="0.25">
      <c r="A297" s="51"/>
      <c r="B297" s="75"/>
      <c r="C297" s="52"/>
      <c r="D297" s="52"/>
      <c r="E297" s="52"/>
      <c r="F297" s="52"/>
      <c r="G297" s="52"/>
      <c r="H297" s="52"/>
      <c r="I297" s="52"/>
      <c r="J297" s="53"/>
      <c r="K297" s="52"/>
      <c r="L297" s="52"/>
      <c r="M297" s="52"/>
      <c r="N297" s="52"/>
      <c r="O297" s="52"/>
      <c r="P297" s="52"/>
      <c r="Q297" s="52"/>
      <c r="R297" s="52"/>
      <c r="S297" s="52"/>
      <c r="T297" s="76"/>
      <c r="U297" s="52"/>
      <c r="V297" s="52"/>
      <c r="W297" s="52"/>
      <c r="X297" s="52"/>
      <c r="Y297" s="52"/>
      <c r="Z297" s="52"/>
      <c r="AA297" s="52"/>
      <c r="AB297" s="52"/>
      <c r="AC297" s="52"/>
      <c r="AD297" s="52"/>
      <c r="AE297" s="34"/>
    </row>
    <row r="298" spans="1:31" ht="30" customHeight="1" thickBot="1" x14ac:dyDescent="0.25">
      <c r="A298" s="34"/>
      <c r="B298" s="77" t="s">
        <v>539</v>
      </c>
      <c r="C298" s="78"/>
      <c r="D298" s="78"/>
      <c r="E298" s="78"/>
      <c r="F298" s="78"/>
      <c r="G298" s="78"/>
      <c r="H298" s="78"/>
      <c r="I298" s="78"/>
      <c r="J298" s="34"/>
      <c r="K298" s="69"/>
      <c r="L298" s="69"/>
      <c r="M298" s="69"/>
      <c r="N298" s="78"/>
      <c r="O298" s="78"/>
      <c r="P298" s="78"/>
      <c r="Q298" s="78"/>
      <c r="R298" s="78"/>
      <c r="S298" s="78"/>
      <c r="T298" s="78"/>
      <c r="U298" s="78"/>
      <c r="V298" s="78"/>
      <c r="W298" s="78"/>
      <c r="X298" s="78"/>
      <c r="Y298" s="78"/>
      <c r="Z298" s="78"/>
      <c r="AA298" s="78"/>
      <c r="AB298" s="78"/>
      <c r="AC298" s="78"/>
      <c r="AD298" s="78"/>
      <c r="AE298" s="34"/>
    </row>
    <row r="299" spans="1:31" ht="30" customHeight="1" thickBot="1" x14ac:dyDescent="0.3">
      <c r="A299" s="34"/>
      <c r="B299" s="806" t="s">
        <v>143</v>
      </c>
      <c r="C299" s="807"/>
      <c r="D299" s="807"/>
      <c r="E299" s="807"/>
      <c r="F299" s="806" t="s">
        <v>194</v>
      </c>
      <c r="G299" s="807"/>
      <c r="H299" s="807"/>
      <c r="I299" s="808"/>
      <c r="J299" s="806" t="str">
        <f>IF(AND($L$150="",$L$155=""),"",IF(AND($L$150="X",'Calcul auto.'!AD312=1),"OUI",IF(AND($L$155="X",'Calcul auto.'!AE313=1),"OUI",IF(AND($L$150="X",OR('Calcul auto.'!E311="",'Calcul auto.'!E312="")),"non renseigné",IF(AND($L$155="X",OR('Calcul auto.'!E311="",'Calcul auto.'!E313="")),"non renseigné","non")))))</f>
        <v/>
      </c>
      <c r="K299" s="807"/>
      <c r="L299" s="807"/>
      <c r="M299" s="808"/>
      <c r="N299" s="806" t="str">
        <f>IF(AND($L$150="",$L$155=""),"",IF(AND($L$150="X",'Calcul auto.'!AF315=1),CONCATENATE("OUI",'Calcul auto.'!U315),IF(AND($L$155="X",'Calcul auto.'!AG316=1),CONCATENATE("OUI",'Calcul auto.'!U316),IF(AND($L$150="X",OR('Calcul auto.'!E314="",'Calcul auto.'!E315="")),"non renseigné",IF(AND($L$155="X",OR('Calcul auto.'!E314="",'Calcul auto.'!E316="")),"non renseigné","non")))))</f>
        <v/>
      </c>
      <c r="O299" s="807"/>
      <c r="P299" s="807"/>
      <c r="Q299" s="807"/>
      <c r="R299" s="806" t="str">
        <f>IF(AND($L$150="",$L$155=""),"",IF(OR($J$299="non renseigné",$N$299="non renseigné"),"non renseigné",IF(AND($L$150="X",'Calcul auto.'!$AH$315=1),"OUI",IF(AND($L$155="X",'Calcul auto.'!$AI$316=1),"OUI","non"))))</f>
        <v/>
      </c>
      <c r="S299" s="807"/>
      <c r="T299" s="808"/>
      <c r="U299" s="60"/>
      <c r="V299" s="60"/>
      <c r="W299" s="70"/>
      <c r="X299" s="61"/>
      <c r="Y299" s="61"/>
      <c r="Z299" s="61"/>
      <c r="AA299" s="61"/>
      <c r="AB299" s="60"/>
      <c r="AC299" s="60"/>
      <c r="AD299" s="60"/>
      <c r="AE299" s="34"/>
    </row>
    <row r="300" spans="1:31" ht="30" customHeight="1" thickBot="1" x14ac:dyDescent="0.3">
      <c r="A300" s="34"/>
      <c r="B300" s="809" t="s">
        <v>417</v>
      </c>
      <c r="C300" s="810"/>
      <c r="D300" s="810"/>
      <c r="E300" s="811"/>
      <c r="F300" s="809" t="s">
        <v>195</v>
      </c>
      <c r="G300" s="810"/>
      <c r="H300" s="810"/>
      <c r="I300" s="811"/>
      <c r="J300" s="809" t="str">
        <f>IF(AND($L$150="",$L$155=""),"",IF(AND($L$150="X",'Calcul auto.'!AD372=1),"OUI",IF(AND($L$155="X",'Calcul auto.'!AE373=1),"OUI",IF(AND($L$150="X",OR('Calcul auto.'!E371="",'Calcul auto.'!E372="")),"non renseigné",IF(AND($L$155="X",OR('Calcul auto.'!E371="",'Calcul auto.'!E373="")),"non renseigné","non")))))</f>
        <v/>
      </c>
      <c r="K300" s="810"/>
      <c r="L300" s="810"/>
      <c r="M300" s="811"/>
      <c r="N300" s="809" t="str">
        <f>IF(AND($L$150="",$L$155=""),"",IF(AND($L$150="X",'Calcul auto.'!AF375=1),CONCATENATE("OUI",'Calcul auto.'!U375),IF(AND($L$155="X",'Calcul auto.'!AG376=1),CONCATENATE("OUI",'Calcul auto.'!U376),IF(AND($L$150="X",OR('Calcul auto.'!E374="",'Calcul auto.'!E375="")),"non renseigné",IF(AND($L$155="X",OR('Calcul auto.'!E374="",'Calcul auto.'!E376="")),"non renseigné","non")))))</f>
        <v/>
      </c>
      <c r="O300" s="810"/>
      <c r="P300" s="810"/>
      <c r="Q300" s="811"/>
      <c r="R300" s="809" t="str">
        <f>IF(AND($L$150="",$L$155=""),"",IF(OR($J$300="non renseigné",$N$300="non renseigné"),"non renseigné",IF(AND($L$150="X",'Calcul auto.'!$AH$375=1),"OUI",IF(AND($L$155="X",'Calcul auto.'!$AI$376=1),"OUI","non"))))</f>
        <v/>
      </c>
      <c r="S300" s="810"/>
      <c r="T300" s="811"/>
      <c r="U300" s="79"/>
      <c r="V300" s="79"/>
      <c r="W300" s="73"/>
      <c r="X300" s="74"/>
      <c r="Y300" s="74"/>
      <c r="Z300" s="74"/>
      <c r="AA300" s="74"/>
      <c r="AB300" s="79"/>
      <c r="AC300" s="79"/>
      <c r="AD300" s="79"/>
      <c r="AE300" s="34"/>
    </row>
    <row r="301" spans="1:31" ht="30" customHeight="1" thickBot="1" x14ac:dyDescent="0.25">
      <c r="A301" s="51"/>
      <c r="B301" s="75"/>
      <c r="C301" s="52"/>
      <c r="D301" s="52"/>
      <c r="E301" s="52"/>
      <c r="F301" s="52"/>
      <c r="G301" s="52"/>
      <c r="H301" s="52"/>
      <c r="I301" s="52"/>
      <c r="J301" s="53"/>
      <c r="K301" s="52"/>
      <c r="L301" s="52"/>
      <c r="M301" s="52"/>
      <c r="N301" s="52"/>
      <c r="O301" s="52"/>
      <c r="P301" s="52"/>
      <c r="Q301" s="52"/>
      <c r="R301" s="52"/>
      <c r="S301" s="52"/>
      <c r="T301" s="76"/>
      <c r="U301" s="52"/>
      <c r="V301" s="52"/>
      <c r="W301" s="52"/>
      <c r="X301" s="52"/>
      <c r="Y301" s="52"/>
      <c r="Z301" s="52"/>
      <c r="AA301" s="52"/>
      <c r="AB301" s="52"/>
      <c r="AC301" s="52"/>
      <c r="AD301" s="52"/>
      <c r="AE301" s="34"/>
    </row>
    <row r="302" spans="1:31" ht="30" customHeight="1" thickBot="1" x14ac:dyDescent="0.25">
      <c r="A302" s="34"/>
      <c r="B302" s="77" t="s">
        <v>540</v>
      </c>
      <c r="C302" s="78"/>
      <c r="D302" s="78"/>
      <c r="E302" s="78"/>
      <c r="F302" s="78"/>
      <c r="G302" s="78"/>
      <c r="H302" s="78"/>
      <c r="I302" s="78"/>
      <c r="J302" s="34"/>
      <c r="K302" s="69"/>
      <c r="L302" s="69"/>
      <c r="M302" s="69"/>
      <c r="N302" s="78"/>
      <c r="O302" s="78"/>
      <c r="P302" s="78"/>
      <c r="Q302" s="78"/>
      <c r="R302" s="78"/>
      <c r="S302" s="78"/>
      <c r="T302" s="78"/>
      <c r="U302" s="78"/>
      <c r="V302" s="78"/>
      <c r="W302" s="78"/>
      <c r="X302" s="78"/>
      <c r="Y302" s="78"/>
      <c r="Z302" s="78"/>
      <c r="AA302" s="78"/>
      <c r="AB302" s="78"/>
      <c r="AC302" s="78"/>
      <c r="AD302" s="78"/>
      <c r="AE302" s="34"/>
    </row>
    <row r="303" spans="1:31" ht="30" customHeight="1" thickBot="1" x14ac:dyDescent="0.3">
      <c r="A303" s="80"/>
      <c r="B303" s="806" t="s">
        <v>419</v>
      </c>
      <c r="C303" s="807"/>
      <c r="D303" s="807"/>
      <c r="E303" s="807"/>
      <c r="F303" s="806" t="s">
        <v>196</v>
      </c>
      <c r="G303" s="807"/>
      <c r="H303" s="807"/>
      <c r="I303" s="808"/>
      <c r="J303" s="806" t="str">
        <f>IF(AND($L$150="",$L$155=""),"",IF(AND($L$150="X",'Calcul auto.'!AD198=1),"OUI",IF(AND($L$155="X",'Calcul auto.'!AE199=1),"OUI",IF(AND($L$150="X",OR('Calcul auto.'!E197="",'Calcul auto.'!E198="")),"non renseigné",IF(AND($L$155="X",OR('Calcul auto.'!E197="",'Calcul auto.'!E199="")),"non renseigné","non")))))</f>
        <v/>
      </c>
      <c r="K303" s="807"/>
      <c r="L303" s="807"/>
      <c r="M303" s="808"/>
      <c r="N303" s="806" t="str">
        <f>IF(AND($L$150="",$L$155=""),"",IF(AND($L$150="X",'Calcul auto.'!AF201=1),CONCATENATE("OUI",'Calcul auto.'!U201),IF(AND($L$155="X",'Calcul auto.'!AG202=1),CONCATENATE("OUI",'Calcul auto.'!U202),IF(AND($L$150="X",OR('Calcul auto.'!E200="",'Calcul auto.'!E201="")),"non renseigné",IF(AND($L$155="X",OR('Calcul auto.'!E200="",'Calcul auto.'!E202="")),"non renseigné","non")))))</f>
        <v/>
      </c>
      <c r="O303" s="807"/>
      <c r="P303" s="807"/>
      <c r="Q303" s="807"/>
      <c r="R303" s="806" t="str">
        <f>IF(AND($L$150="",$L$155=""),"",IF(OR($J$303="non renseigné",$N$303="non renseigné"),"non renseigné",IF(AND($L$150="X",'Calcul auto.'!$AH$201=1),"OUI",IF(AND($L$155="X",'Calcul auto.'!$AI$202=1),"OUI","non"))))</f>
        <v/>
      </c>
      <c r="S303" s="807"/>
      <c r="T303" s="808"/>
      <c r="U303" s="60"/>
      <c r="V303" s="60"/>
      <c r="W303" s="60"/>
      <c r="X303" s="60"/>
      <c r="Y303" s="60"/>
      <c r="Z303" s="60"/>
      <c r="AA303" s="61"/>
      <c r="AB303" s="60"/>
      <c r="AC303" s="60"/>
      <c r="AD303" s="60"/>
      <c r="AE303" s="34"/>
    </row>
    <row r="304" spans="1:31" ht="30" customHeight="1" thickBot="1" x14ac:dyDescent="0.3">
      <c r="A304" s="33"/>
      <c r="B304" s="807" t="s">
        <v>420</v>
      </c>
      <c r="C304" s="807"/>
      <c r="D304" s="807"/>
      <c r="E304" s="807"/>
      <c r="F304" s="806" t="s">
        <v>196</v>
      </c>
      <c r="G304" s="807"/>
      <c r="H304" s="807"/>
      <c r="I304" s="808"/>
      <c r="J304" s="806" t="str">
        <f>IF(AND($L$150="",$L$155=""),"",IF(AND($L$150="X",'Calcul auto.'!AD204=1),"OUI",IF(AND($L$155="X",'Calcul auto.'!AE205=1),"OUI",IF(AND($L$150="X",OR('Calcul auto.'!E203="",'Calcul auto.'!E204="")),"non renseigné",IF(AND($L$155="X",OR('Calcul auto.'!E203="",'Calcul auto.'!E205="")),"non renseigné","non")))))</f>
        <v/>
      </c>
      <c r="K304" s="807"/>
      <c r="L304" s="807"/>
      <c r="M304" s="808"/>
      <c r="N304" s="806" t="str">
        <f>IF(AND($L$150="",$L$155=""),"",IF(AND($L$150="X",'Calcul auto.'!AF207=1),CONCATENATE("OUI",'Calcul auto.'!U207),IF(AND($L$155="X",'Calcul auto.'!AG208=1),CONCATENATE("OUI",'Calcul auto.'!U208),IF(AND($L$150="X",OR('Calcul auto.'!E206="",'Calcul auto.'!E207="")),"non renseigné",IF(AND($L$155="X",OR('Calcul auto.'!E206="",'Calcul auto.'!E208="")),"non renseigné","non")))))</f>
        <v/>
      </c>
      <c r="O304" s="807"/>
      <c r="P304" s="807"/>
      <c r="Q304" s="808"/>
      <c r="R304" s="806" t="str">
        <f>IF(AND($L$150="",$L$155=""),"",IF(OR($J$304="non renseigné",$N$304="non renseigné"),"non renseigné",IF(AND($L$150="X",'Calcul auto.'!$AH$207=1),"OUI",IF(AND($L$155="X",'Calcul auto.'!$AI$208=1),"OUI","non"))))</f>
        <v/>
      </c>
      <c r="S304" s="807"/>
      <c r="T304" s="808"/>
      <c r="U304" s="60"/>
      <c r="V304" s="60"/>
      <c r="W304" s="71"/>
      <c r="X304" s="71"/>
      <c r="Y304" s="71"/>
      <c r="Z304" s="61"/>
      <c r="AA304" s="71"/>
      <c r="AB304" s="71"/>
      <c r="AC304" s="71"/>
      <c r="AD304" s="71"/>
      <c r="AE304" s="34"/>
    </row>
    <row r="305" spans="1:31" ht="30" customHeight="1" thickBot="1" x14ac:dyDescent="0.3">
      <c r="A305" s="34"/>
      <c r="B305" s="806" t="s">
        <v>144</v>
      </c>
      <c r="C305" s="807"/>
      <c r="D305" s="807"/>
      <c r="E305" s="807"/>
      <c r="F305" s="806" t="s">
        <v>197</v>
      </c>
      <c r="G305" s="807"/>
      <c r="H305" s="807"/>
      <c r="I305" s="808"/>
      <c r="J305" s="806" t="str">
        <f>IF(AND($L$150="",$L$155=""),"",IF(AND($L$150="X",'Calcul auto.'!AD258=1),"OUI",IF(AND($L$155="X",'Calcul auto.'!AE259=1),"OUI",IF(AND($L$150="X",OR('Calcul auto.'!E257="",'Calcul auto.'!E258="")),"non renseigné",IF(AND($L$155="X",OR('Calcul auto.'!E257="",'Calcul auto.'!E259="")),"non renseigné","non")))))</f>
        <v/>
      </c>
      <c r="K305" s="807"/>
      <c r="L305" s="807"/>
      <c r="M305" s="808"/>
      <c r="N305" s="806" t="str">
        <f>IF(AND($L$150="",$L$155=""),"",IF(AND($L$150="X",'Calcul auto.'!AF261=1),CONCATENATE("OUI",'Calcul auto.'!U261),IF(AND($L$155="X",'Calcul auto.'!AG262=1),CONCATENATE("OUI",'Calcul auto.'!U262),IF(AND($L$150="X",OR('Calcul auto.'!E260="",'Calcul auto.'!E261="")),"non renseigné",IF(AND($L$155="X",OR('Calcul auto.'!E260="",'Calcul auto.'!E262="")),"non renseigné","non")))))</f>
        <v/>
      </c>
      <c r="O305" s="807"/>
      <c r="P305" s="807"/>
      <c r="Q305" s="807"/>
      <c r="R305" s="806" t="str">
        <f>IF(AND($L$150="",$L$155=""),"",IF(OR($J$305="non renseigné",$N$305="non renseigné"),"non renseigné",IF(AND($L$150="X",'Calcul auto.'!$AH$261=1),"OUI",IF(AND($L$155="X",'Calcul auto.'!$AI$262=1),"OUI","non"))))</f>
        <v/>
      </c>
      <c r="S305" s="807"/>
      <c r="T305" s="808"/>
      <c r="U305" s="60"/>
      <c r="V305" s="60"/>
      <c r="W305" s="70"/>
      <c r="X305" s="61"/>
      <c r="Y305" s="61"/>
      <c r="Z305" s="60"/>
      <c r="AA305" s="60"/>
      <c r="AB305" s="61"/>
      <c r="AC305" s="60"/>
      <c r="AD305" s="60"/>
      <c r="AE305" s="34"/>
    </row>
    <row r="306" spans="1:31" ht="30" customHeight="1" thickBot="1" x14ac:dyDescent="0.3">
      <c r="A306" s="34"/>
      <c r="B306" s="806" t="s">
        <v>145</v>
      </c>
      <c r="C306" s="807"/>
      <c r="D306" s="807"/>
      <c r="E306" s="807"/>
      <c r="F306" s="806" t="s">
        <v>503</v>
      </c>
      <c r="G306" s="807"/>
      <c r="H306" s="807"/>
      <c r="I306" s="808"/>
      <c r="J306" s="806" t="str">
        <f>IF(AND($L$150="",$L$155=""),"",IF(AND($L$150="X",'Calcul auto.'!AD252=1),"OUI",IF(AND($L$155="X",'Calcul auto.'!AE253=1),"OUI",IF(AND($L$150="X",OR('Calcul auto.'!E251="",'Calcul auto.'!E252="")),"non renseigné",IF(AND($L$155="X",OR('Calcul auto.'!E251="",'Calcul auto.'!E253="")),"non renseigné","non")))))</f>
        <v/>
      </c>
      <c r="K306" s="807"/>
      <c r="L306" s="807"/>
      <c r="M306" s="808"/>
      <c r="N306" s="806" t="str">
        <f>IF(AND($L$150="",$L$155=""),"",IF(AND($L$150="X",'Calcul auto.'!AF255=1),CONCATENATE("OUI",'Calcul auto.'!U255),IF(AND($L$155="X",'Calcul auto.'!AG256=1),CONCATENATE("OUI",'Calcul auto.'!U256),IF(AND($L$150="X",OR('Calcul auto.'!E254="",'Calcul auto.'!E255="")),"non renseigné",IF(AND($L$155="X",OR('Calcul auto.'!E254="",'Calcul auto.'!E256="")),"non renseigné","non")))))</f>
        <v/>
      </c>
      <c r="O306" s="807"/>
      <c r="P306" s="807"/>
      <c r="Q306" s="808"/>
      <c r="R306" s="806" t="str">
        <f>IF(AND($L$150="",$L$155=""),"",IF(OR($J$306="non renseigné",$N$306="non renseigné"),"non renseigné",IF(AND($L$150="X",'Calcul auto.'!$AH$255=1),"OUI",IF(AND($L$155="X",'Calcul auto.'!$AI$256=1),"OUI","non"))))</f>
        <v/>
      </c>
      <c r="S306" s="807"/>
      <c r="T306" s="808"/>
      <c r="U306" s="60"/>
      <c r="V306" s="60"/>
      <c r="W306" s="71"/>
      <c r="X306" s="61"/>
      <c r="Y306" s="61"/>
      <c r="Z306" s="71"/>
      <c r="AA306" s="71"/>
      <c r="AB306" s="61"/>
      <c r="AC306" s="71"/>
      <c r="AD306" s="71"/>
      <c r="AE306" s="34"/>
    </row>
    <row r="307" spans="1:31" ht="30" customHeight="1" thickBot="1" x14ac:dyDescent="0.3">
      <c r="A307" s="34"/>
      <c r="B307" s="806" t="s">
        <v>146</v>
      </c>
      <c r="C307" s="807"/>
      <c r="D307" s="807"/>
      <c r="E307" s="807"/>
      <c r="F307" s="806" t="s">
        <v>421</v>
      </c>
      <c r="G307" s="807"/>
      <c r="H307" s="807"/>
      <c r="I307" s="808"/>
      <c r="J307" s="806" t="str">
        <f>IF(AND($L$150="",$L$155=""),"",IF(AND($L$150="X",'Calcul auto.'!AD360=1),"OUI",IF(AND($L$155="X",'Calcul auto.'!AE361=1),"OUI",IF(AND($L$150="X",OR('Calcul auto.'!E359="",'Calcul auto.'!E360="")),"non renseigné",IF(AND($L$155="X",OR('Calcul auto.'!E359="",'Calcul auto.'!E361="")),"non renseigné","non")))))</f>
        <v/>
      </c>
      <c r="K307" s="807"/>
      <c r="L307" s="807"/>
      <c r="M307" s="808"/>
      <c r="N307" s="806" t="str">
        <f>IF(AND($L$150="",$L$155=""),"",IF(AND($L$150="X",'Calcul auto.'!AF363=1),CONCATENATE("OUI",'Calcul auto.'!U363),IF(AND($L$155="X",'Calcul auto.'!AG364=1),CONCATENATE("OUI",'Calcul auto.'!U364),IF(AND($L$150="X",OR('Calcul auto.'!E362="",'Calcul auto.'!E363="")),"non renseigné",IF(AND($L$155="X",OR('Calcul auto.'!E362="",'Calcul auto.'!E364="")),"non renseigné","non")))))</f>
        <v/>
      </c>
      <c r="O307" s="807"/>
      <c r="P307" s="807"/>
      <c r="Q307" s="807"/>
      <c r="R307" s="806" t="str">
        <f>IF(AND($L$150="",$L$155=""),"",IF(OR($J$307="non renseigné",$N$307="non renseigné"),"non renseigné",IF(AND($L$150="X",'Calcul auto.'!$AH$363=1),"OUI",IF(AND($L$155="X",'Calcul auto.'!$AI$364=1),"OUI","non"))))</f>
        <v/>
      </c>
      <c r="S307" s="807"/>
      <c r="T307" s="808"/>
      <c r="U307" s="60"/>
      <c r="V307" s="60"/>
      <c r="W307" s="60"/>
      <c r="X307" s="60"/>
      <c r="Y307" s="60"/>
      <c r="Z307" s="60"/>
      <c r="AA307" s="60"/>
      <c r="AB307" s="61"/>
      <c r="AC307" s="60"/>
      <c r="AD307" s="60"/>
      <c r="AE307" s="34"/>
    </row>
    <row r="308" spans="1:31" ht="30" customHeight="1" thickBot="1" x14ac:dyDescent="0.3">
      <c r="A308" s="34"/>
      <c r="B308" s="806" t="s">
        <v>147</v>
      </c>
      <c r="C308" s="807"/>
      <c r="D308" s="807"/>
      <c r="E308" s="807"/>
      <c r="F308" s="806" t="s">
        <v>422</v>
      </c>
      <c r="G308" s="807"/>
      <c r="H308" s="807"/>
      <c r="I308" s="808"/>
      <c r="J308" s="806" t="str">
        <f>IF(AND($L$150="",$L$155=""),"",IF(AND($L$150="X",'Calcul auto.'!AD366=1),"OUI",IF(AND($L$155="X",'Calcul auto.'!AE367=1),"OUI",IF(AND($L$150="X",OR('Calcul auto.'!E365="",'Calcul auto.'!E366="")),"non renseigné",IF(AND($L$155="X",OR('Calcul auto.'!E365="",'Calcul auto.'!E367="")),"non renseigné","non")))))</f>
        <v/>
      </c>
      <c r="K308" s="807"/>
      <c r="L308" s="807"/>
      <c r="M308" s="808"/>
      <c r="N308" s="806" t="str">
        <f>IF(AND($L$150="",$L$155=""),"",IF(AND($L$150="X",'Calcul auto.'!AF369=1),CONCATENATE("OUI",'Calcul auto.'!U369),IF(AND($L$155="X",'Calcul auto.'!AG370=1),CONCATENATE("OUI",'Calcul auto.'!U370),IF(AND($L$150="X",OR('Calcul auto.'!E368="",'Calcul auto.'!E369="")),"non renseigné",IF(AND($L$155="X",OR('Calcul auto.'!E368="",'Calcul auto.'!E370="")),"non renseigné","non")))))</f>
        <v/>
      </c>
      <c r="O308" s="807"/>
      <c r="P308" s="807"/>
      <c r="Q308" s="808"/>
      <c r="R308" s="806" t="str">
        <f>IF(AND($L$150="",$L$155=""),"",IF(OR($J$308="non renseigné",$N$308="non renseigné"),"non renseigné",IF(AND($L$150="X",'Calcul auto.'!$AH$369=1),"OUI",IF(AND($L$155="X",'Calcul auto.'!$AI$370=1),"OUI","non"))))</f>
        <v/>
      </c>
      <c r="S308" s="807"/>
      <c r="T308" s="808"/>
      <c r="U308" s="60"/>
      <c r="V308" s="60"/>
      <c r="W308" s="71"/>
      <c r="X308" s="71"/>
      <c r="Y308" s="71"/>
      <c r="Z308" s="71"/>
      <c r="AA308" s="71"/>
      <c r="AB308" s="61"/>
      <c r="AC308" s="71"/>
      <c r="AD308" s="71"/>
      <c r="AE308" s="34"/>
    </row>
    <row r="309" spans="1:31" ht="30" customHeight="1" thickBot="1" x14ac:dyDescent="0.3">
      <c r="A309" s="34"/>
      <c r="B309" s="806" t="s">
        <v>425</v>
      </c>
      <c r="C309" s="807"/>
      <c r="D309" s="807"/>
      <c r="E309" s="807"/>
      <c r="F309" s="806" t="s">
        <v>198</v>
      </c>
      <c r="G309" s="807"/>
      <c r="H309" s="807"/>
      <c r="I309" s="808"/>
      <c r="J309" s="806" t="str">
        <f>IF(AND($L$150="",$L$155=""),"",IF(AND($L$150="X",'Calcul auto.'!AD348=1),"OUI",IF(AND($L$155="X",'Calcul auto.'!AE349=1),"OUI",IF(AND($L$150="X",OR('Calcul auto.'!E347="",'Calcul auto.'!E348="")),"non renseigné",IF(AND($L$155="X",OR('Calcul auto.'!E347="",'Calcul auto.'!E349="")),"non renseigné","non")))))</f>
        <v/>
      </c>
      <c r="K309" s="807"/>
      <c r="L309" s="807"/>
      <c r="M309" s="808"/>
      <c r="N309" s="806" t="str">
        <f>IF(AND($L$150="",$L$155=""),"",IF(AND($L$150="X",'Calcul auto.'!AF351=1),CONCATENATE("OUI",'Calcul auto.'!U351),IF(AND($L$155="X",'Calcul auto.'!AG352=1),CONCATENATE("OUI",'Calcul auto.'!U352),IF(AND($L$150="X",OR('Calcul auto.'!E350="",'Calcul auto.'!E351="")),"non renseigné",IF(AND($L$155="X",OR('Calcul auto.'!E350="",'Calcul auto.'!E352="")),"non renseigné","non")))))</f>
        <v/>
      </c>
      <c r="O309" s="807"/>
      <c r="P309" s="807"/>
      <c r="Q309" s="807"/>
      <c r="R309" s="806" t="str">
        <f>IF(AND($L$150="",$L$155=""),"",IF(OR($J$309="non renseigné",$N$309="non renseigné"),"non renseigné",IF(AND($L$150="X",'Calcul auto.'!$AH$351=1),"OUI",IF(AND($L$155="X",'Calcul auto.'!$AI$352=1),"OUI","non"))))</f>
        <v/>
      </c>
      <c r="S309" s="807"/>
      <c r="T309" s="808"/>
      <c r="U309" s="60"/>
      <c r="V309" s="60"/>
      <c r="W309" s="70"/>
      <c r="X309" s="60"/>
      <c r="Y309" s="60"/>
      <c r="Z309" s="60"/>
      <c r="AA309" s="60"/>
      <c r="AB309" s="60"/>
      <c r="AC309" s="60"/>
      <c r="AD309" s="60"/>
      <c r="AE309" s="34"/>
    </row>
    <row r="310" spans="1:31" ht="30" customHeight="1" thickBot="1" x14ac:dyDescent="0.3">
      <c r="A310" s="34"/>
      <c r="B310" s="806" t="s">
        <v>424</v>
      </c>
      <c r="C310" s="807"/>
      <c r="D310" s="807"/>
      <c r="E310" s="807"/>
      <c r="F310" s="806" t="s">
        <v>198</v>
      </c>
      <c r="G310" s="807"/>
      <c r="H310" s="807"/>
      <c r="I310" s="808"/>
      <c r="J310" s="806" t="str">
        <f>IF(AND($L$150="",$L$155=""),"",IF(AND($L$150="X",'Calcul auto.'!AD354=1),"OUI",IF(AND($L$155="X",'Calcul auto.'!AE355=1),"OUI",IF(AND($L$150="X",OR('Calcul auto.'!E353="",'Calcul auto.'!E354="")),"non renseigné",IF(AND($L$155="X",OR('Calcul auto.'!E353="",'Calcul auto.'!E355="")),"non renseigné","non")))))</f>
        <v/>
      </c>
      <c r="K310" s="807"/>
      <c r="L310" s="807"/>
      <c r="M310" s="808"/>
      <c r="N310" s="806" t="str">
        <f>IF(AND($L$150="",$L$155=""),"",IF(AND($L$150="X",'Calcul auto.'!AF357=1),CONCATENATE("OUI",'Calcul auto.'!U357),IF(AND($L$155="X",'Calcul auto.'!AG358=1),CONCATENATE("OUI",'Calcul auto.'!U358),IF(AND($L$150="X",OR('Calcul auto.'!E356="",'Calcul auto.'!E357="")),"non renseigné",IF(AND($L$155="X",OR('Calcul auto.'!E356="",'Calcul auto.'!E358="")),"non renseigné","non")))))</f>
        <v/>
      </c>
      <c r="O310" s="807"/>
      <c r="P310" s="807"/>
      <c r="Q310" s="808"/>
      <c r="R310" s="806" t="str">
        <f>IF(AND($L$150="",$L$155=""),"",IF(OR($J$310="non renseigné",$N$310="non renseigné"),"non renseigné",IF(AND($L$150="X",'Calcul auto.'!$AH$357=1),"OUI",IF(AND($L$155="X",'Calcul auto.'!$AI$358=1),"OUI","non"))))</f>
        <v/>
      </c>
      <c r="S310" s="807"/>
      <c r="T310" s="808"/>
      <c r="U310" s="60"/>
      <c r="V310" s="60"/>
      <c r="W310" s="60"/>
      <c r="X310" s="61"/>
      <c r="Y310" s="71"/>
      <c r="Z310" s="71"/>
      <c r="AA310" s="71"/>
      <c r="AB310" s="71"/>
      <c r="AC310" s="71"/>
      <c r="AD310" s="71"/>
      <c r="AE310" s="34"/>
    </row>
    <row r="311" spans="1:31" ht="30" customHeight="1" thickBot="1" x14ac:dyDescent="0.3">
      <c r="A311" s="34"/>
      <c r="B311" s="806" t="s">
        <v>423</v>
      </c>
      <c r="C311" s="807"/>
      <c r="D311" s="807"/>
      <c r="E311" s="807"/>
      <c r="F311" s="806" t="s">
        <v>199</v>
      </c>
      <c r="G311" s="807"/>
      <c r="H311" s="807"/>
      <c r="I311" s="808"/>
      <c r="J311" s="806" t="str">
        <f>IF(AND($L$150="",$L$155=""),"",IF(AND($L$150="X",'Calcul auto.'!AD342=1),"OUI",IF(AND($L$155="X",'Calcul auto.'!AE343=1),"OUI",IF(AND($L$150="X",OR('Calcul auto.'!E341="",'Calcul auto.'!E342="")),"non renseigné",IF(AND($L$155="X",OR('Calcul auto.'!E341="",'Calcul auto.'!E343="")),"non renseigné","non")))))</f>
        <v/>
      </c>
      <c r="K311" s="807"/>
      <c r="L311" s="807"/>
      <c r="M311" s="808"/>
      <c r="N311" s="806" t="str">
        <f>IF(AND($L$150="",$L$155=""),"",IF(AND($L$150="X",'Calcul auto.'!AF345=1),CONCATENATE("OUI",'Calcul auto.'!U345),IF(AND($L$155="X",'Calcul auto.'!AG346=1),CONCATENATE("OUI",'Calcul auto.'!U346),IF(AND($L$150="X",OR('Calcul auto.'!E344="",'Calcul auto.'!E345="")),"non renseigné",IF(AND($L$155="X",OR('Calcul auto.'!E344="",'Calcul auto.'!E346="")),"non renseigné","non")))))</f>
        <v/>
      </c>
      <c r="O311" s="807"/>
      <c r="P311" s="807"/>
      <c r="Q311" s="807"/>
      <c r="R311" s="806" t="str">
        <f>IF(AND($L$150="",$L$155=""),"",IF(OR($J$311="non renseigné",$N$311="non renseigné"),"non renseigné",IF(AND($L$150="X",'Calcul auto.'!$AH$345=1),"OUI",IF(AND($L$155="X",'Calcul auto.'!$AI$346=1),"OUI","non"))))</f>
        <v/>
      </c>
      <c r="S311" s="807"/>
      <c r="T311" s="808"/>
      <c r="U311" s="60"/>
      <c r="V311" s="60"/>
      <c r="W311" s="60"/>
      <c r="X311" s="61"/>
      <c r="Y311" s="60"/>
      <c r="Z311" s="60"/>
      <c r="AA311" s="60"/>
      <c r="AB311" s="60"/>
      <c r="AC311" s="60"/>
      <c r="AD311" s="60"/>
      <c r="AE311" s="34"/>
    </row>
    <row r="312" spans="1:31" ht="30" customHeight="1" thickBot="1" x14ac:dyDescent="0.3">
      <c r="A312" s="34"/>
      <c r="B312" s="806" t="s">
        <v>148</v>
      </c>
      <c r="C312" s="807"/>
      <c r="D312" s="807"/>
      <c r="E312" s="807"/>
      <c r="F312" s="806" t="s">
        <v>200</v>
      </c>
      <c r="G312" s="807"/>
      <c r="H312" s="807"/>
      <c r="I312" s="808"/>
      <c r="J312" s="806" t="str">
        <f>IF(AND($L$150="",$L$155=""),"",IF(AND($L$150="X",'Calcul auto.'!AD216=1),"OUI",IF(AND($L$155="X",'Calcul auto.'!AE217=1),"OUI",IF(AND($L$150="X",OR('Calcul auto.'!E215="",'Calcul auto.'!E216="")),"non renseigné",IF(AND($L$155="X",OR('Calcul auto.'!E215="",'Calcul auto.'!E217="")),"non renseigné","non")))))</f>
        <v/>
      </c>
      <c r="K312" s="807"/>
      <c r="L312" s="807"/>
      <c r="M312" s="808"/>
      <c r="N312" s="806" t="str">
        <f>IF(AND($L$150="",$L$155=""),"",IF(AND($L$150="X",'Calcul auto.'!AF219=1),CONCATENATE("OUI",'Calcul auto.'!U219),IF(AND($L$155="X",'Calcul auto.'!AG220=1),CONCATENATE("OUI",'Calcul auto.'!U220),IF(AND($L$150="X",OR('Calcul auto.'!E218="",'Calcul auto.'!E219="")),"non renseigné",IF(AND($L$155="X",OR('Calcul auto.'!E218="",'Calcul auto.'!E220="")),"non renseigné","non")))))</f>
        <v/>
      </c>
      <c r="O312" s="807"/>
      <c r="P312" s="807"/>
      <c r="Q312" s="808"/>
      <c r="R312" s="806" t="str">
        <f>IF(AND($L$150="",$L$155=""),"",IF(OR($J$312="non renseigné",$N$312="non renseigné"),"non renseigné",IF(AND($L$150="X",'Calcul auto.'!$AH$219=1),"OUI",IF(AND($L$155="X",'Calcul auto.'!$AI$220=1),"OUI","non"))))</f>
        <v/>
      </c>
      <c r="S312" s="807"/>
      <c r="T312" s="808"/>
      <c r="U312" s="60"/>
      <c r="V312" s="70"/>
      <c r="W312" s="60"/>
      <c r="X312" s="71"/>
      <c r="Y312" s="71"/>
      <c r="Z312" s="71"/>
      <c r="AA312" s="71"/>
      <c r="AB312" s="71"/>
      <c r="AC312" s="71"/>
      <c r="AD312" s="71"/>
      <c r="AE312" s="34"/>
    </row>
    <row r="313" spans="1:31" ht="30" customHeight="1" thickBot="1" x14ac:dyDescent="0.3">
      <c r="A313" s="34"/>
      <c r="B313" s="806" t="s">
        <v>149</v>
      </c>
      <c r="C313" s="807"/>
      <c r="D313" s="807"/>
      <c r="E313" s="807"/>
      <c r="F313" s="990" t="s">
        <v>201</v>
      </c>
      <c r="G313" s="991"/>
      <c r="H313" s="991"/>
      <c r="I313" s="992"/>
      <c r="J313" s="806" t="str">
        <f>IF(AND($L$150="",$L$155=""),"",IF(AND($L$150="X",'Calcul auto.'!AD210=1),"OUI",IF(AND($L$155="X",'Calcul auto.'!AE211=1),"OUI",IF(AND($L$150="X",OR('Calcul auto.'!E209="",'Calcul auto.'!E210="")),"non renseigné",IF(AND($L$155="X",OR('Calcul auto.'!E209="",'Calcul auto.'!E211="")),"non renseigné","non")))))</f>
        <v/>
      </c>
      <c r="K313" s="807"/>
      <c r="L313" s="807"/>
      <c r="M313" s="808"/>
      <c r="N313" s="806" t="str">
        <f>IF(AND($L$150="",$L$155=""),"",IF(AND($L$150="X",'Calcul auto.'!AF213=1),CONCATENATE("OUI",'Calcul auto.'!U213),IF(AND($L$155="X",'Calcul auto.'!AG214=1),CONCATENATE("OUI",'Calcul auto.'!U214),IF(AND($L$150="X",OR('Calcul auto.'!E212="",'Calcul auto.'!E213="")),"non renseigné",IF(AND($L$155="X",OR('Calcul auto.'!E212="",'Calcul auto.'!E214="")),"non renseigné","non")))))</f>
        <v/>
      </c>
      <c r="O313" s="807"/>
      <c r="P313" s="807"/>
      <c r="Q313" s="807"/>
      <c r="R313" s="806" t="str">
        <f>IF(AND($L$150="",$L$155=""),"",IF(OR($J$313="non renseigné",$N$313="non renseigné"),"non renseigné",IF(AND($L$150="X",'Calcul auto.'!$AH$213=1),"OUI",IF(AND($L$155="X",'Calcul auto.'!$AI$214=1),"OUI","non"))))</f>
        <v/>
      </c>
      <c r="S313" s="807"/>
      <c r="T313" s="808"/>
      <c r="U313" s="60"/>
      <c r="V313" s="70"/>
      <c r="W313" s="60"/>
      <c r="X313" s="60"/>
      <c r="Y313" s="60"/>
      <c r="Z313" s="60"/>
      <c r="AA313" s="60"/>
      <c r="AB313" s="60"/>
      <c r="AC313" s="60"/>
      <c r="AD313" s="60"/>
      <c r="AE313" s="34"/>
    </row>
    <row r="314" spans="1:31" ht="30" customHeight="1" thickBot="1" x14ac:dyDescent="0.3">
      <c r="A314" s="34"/>
      <c r="B314" s="809" t="s">
        <v>150</v>
      </c>
      <c r="C314" s="810"/>
      <c r="D314" s="810"/>
      <c r="E314" s="811"/>
      <c r="F314" s="809" t="s">
        <v>202</v>
      </c>
      <c r="G314" s="810"/>
      <c r="H314" s="810"/>
      <c r="I314" s="811"/>
      <c r="J314" s="809" t="str">
        <f>IF(AND($L$150="",$L$155=""),"",IF(AND($L$150="X",'Calcul auto.'!AD246=1),"OUI",IF(AND($L$155="X",'Calcul auto.'!AE247=1),"OUI",IF(AND($L$150="X",OR('Calcul auto.'!E245="",'Calcul auto.'!E246="")),"non renseigné",IF(AND($L$155="X",OR('Calcul auto.'!E245="",'Calcul auto.'!E247="")),"non renseigné","non")))))</f>
        <v/>
      </c>
      <c r="K314" s="810"/>
      <c r="L314" s="810"/>
      <c r="M314" s="811"/>
      <c r="N314" s="809" t="str">
        <f>IF(AND($L$150="",$L$155=""),"",IF(AND($L$150="X",'Calcul auto.'!AF249=1),CONCATENATE("OUI",'Calcul auto.'!U249),IF(AND($L$155="X",'Calcul auto.'!AG250=1),CONCATENATE("OUI",'Calcul auto.'!U250),IF(AND($L$150="X",OR('Calcul auto.'!E248="",'Calcul auto.'!E249="")),"non renseigné",IF(AND($L$155="X",OR('Calcul auto.'!E248="",'Calcul auto.'!E250="")),"non renseigné","non")))))</f>
        <v/>
      </c>
      <c r="O314" s="810"/>
      <c r="P314" s="810"/>
      <c r="Q314" s="811"/>
      <c r="R314" s="809" t="str">
        <f>IF(AND($L$150="",$L$155=""),"",IF(OR($J$314="non renseigné",$N$314="non renseigné"),"non renseigné",IF(AND($L$150="X",'Calcul auto.'!$AH$249=1),"OUI",IF(AND($L$155="X",'Calcul auto.'!$AI$250=1),"OUI","non"))))</f>
        <v/>
      </c>
      <c r="S314" s="810"/>
      <c r="T314" s="811"/>
      <c r="U314" s="79"/>
      <c r="V314" s="72"/>
      <c r="W314" s="72"/>
      <c r="X314" s="74"/>
      <c r="Y314" s="72"/>
      <c r="Z314" s="72"/>
      <c r="AA314" s="72"/>
      <c r="AB314" s="74"/>
      <c r="AC314" s="72"/>
      <c r="AD314" s="72"/>
      <c r="AE314" s="34"/>
    </row>
    <row r="315" spans="1:31" ht="30" customHeight="1" thickBot="1" x14ac:dyDescent="0.25">
      <c r="A315" s="51"/>
      <c r="B315" s="75"/>
      <c r="C315" s="52"/>
      <c r="D315" s="52"/>
      <c r="E315" s="52"/>
      <c r="F315" s="52"/>
      <c r="G315" s="52"/>
      <c r="H315" s="52"/>
      <c r="I315" s="52"/>
      <c r="J315" s="53"/>
      <c r="K315" s="52"/>
      <c r="L315" s="52"/>
      <c r="M315" s="52"/>
      <c r="N315" s="52"/>
      <c r="O315" s="52"/>
      <c r="P315" s="52"/>
      <c r="Q315" s="52"/>
      <c r="R315" s="52"/>
      <c r="S315" s="52"/>
      <c r="T315" s="76"/>
      <c r="U315" s="52"/>
      <c r="V315" s="52"/>
      <c r="W315" s="52"/>
      <c r="X315" s="52"/>
      <c r="Y315" s="52"/>
      <c r="Z315" s="52"/>
      <c r="AA315" s="52"/>
      <c r="AB315" s="52"/>
      <c r="AC315" s="52"/>
      <c r="AD315" s="52"/>
      <c r="AE315" s="34"/>
    </row>
    <row r="316" spans="1:31" ht="30" customHeight="1" thickBot="1" x14ac:dyDescent="0.25">
      <c r="A316" s="34"/>
      <c r="B316" s="77" t="s">
        <v>541</v>
      </c>
      <c r="C316" s="78"/>
      <c r="D316" s="78"/>
      <c r="E316" s="78"/>
      <c r="F316" s="78"/>
      <c r="G316" s="78"/>
      <c r="H316" s="78"/>
      <c r="I316" s="78"/>
      <c r="J316" s="34"/>
      <c r="K316" s="69"/>
      <c r="L316" s="69"/>
      <c r="M316" s="69"/>
      <c r="N316" s="78"/>
      <c r="O316" s="78"/>
      <c r="P316" s="78"/>
      <c r="Q316" s="78"/>
      <c r="R316" s="78"/>
      <c r="S316" s="78"/>
      <c r="T316" s="78"/>
      <c r="U316" s="78"/>
      <c r="V316" s="78"/>
      <c r="W316" s="78"/>
      <c r="X316" s="78"/>
      <c r="Y316" s="78"/>
      <c r="Z316" s="78"/>
      <c r="AA316" s="78"/>
      <c r="AB316" s="78"/>
      <c r="AC316" s="78"/>
      <c r="AD316" s="78"/>
      <c r="AE316" s="34"/>
    </row>
    <row r="317" spans="1:31" ht="30" customHeight="1" thickBot="1" x14ac:dyDescent="0.3">
      <c r="A317" s="34"/>
      <c r="B317" s="984" t="s">
        <v>151</v>
      </c>
      <c r="C317" s="985"/>
      <c r="D317" s="985"/>
      <c r="E317" s="985"/>
      <c r="F317" s="984" t="s">
        <v>187</v>
      </c>
      <c r="G317" s="985"/>
      <c r="H317" s="985"/>
      <c r="I317" s="986"/>
      <c r="J317" s="806" t="str">
        <f>IF(AND($L$150="",$L$155=""),"",IF(AND($L$150="X",'Calcul auto.'!AD318=1),"OUI",IF(AND($L$155="X",'Calcul auto.'!AE319=1),"OUI",IF(AND($L$150="X",OR('Calcul auto.'!E317="",'Calcul auto.'!E318="")),"non renseigné",IF(AND($L$155="X",OR('Calcul auto.'!E317="",'Calcul auto.'!E319="")),"non renseigné","non")))))</f>
        <v/>
      </c>
      <c r="K317" s="807"/>
      <c r="L317" s="807"/>
      <c r="M317" s="808"/>
      <c r="N317" s="806" t="str">
        <f>IF(AND($L$150="",$L$155=""),"",IF(AND($L$150="X",'Calcul auto.'!AF321=1),CONCATENATE("OUI",'Calcul auto.'!U321),IF(AND($L$155="X",'Calcul auto.'!AG322=1),CONCATENATE("OUI",'Calcul auto.'!U322),IF(AND($L$150="X",OR('Calcul auto.'!E320="",'Calcul auto.'!E321="")),"non renseigné",IF(AND($L$155="X",OR('Calcul auto.'!E320="",'Calcul auto.'!E322="")),"non renseigné","non")))))</f>
        <v/>
      </c>
      <c r="O317" s="807"/>
      <c r="P317" s="807"/>
      <c r="Q317" s="807"/>
      <c r="R317" s="806" t="str">
        <f>IF(AND($L$150="",$L$155=""),"",IF(OR($J$317="non renseigné",$N$317="non renseigné"),"non renseigné",IF(AND($L$150="X",'Calcul auto.'!$AH$321=1),"OUI",IF(AND($L$155="X",'Calcul auto.'!$AI$322=1),"OUI","non"))))</f>
        <v/>
      </c>
      <c r="S317" s="807"/>
      <c r="T317" s="808"/>
      <c r="U317" s="57"/>
      <c r="V317" s="57"/>
      <c r="W317" s="57"/>
      <c r="X317" s="57"/>
      <c r="Y317" s="57"/>
      <c r="Z317" s="57"/>
      <c r="AA317" s="57"/>
      <c r="AB317" s="57"/>
      <c r="AC317" s="81"/>
      <c r="AD317" s="57"/>
      <c r="AE317" s="34"/>
    </row>
    <row r="318" spans="1:31" ht="30" customHeight="1" thickBot="1" x14ac:dyDescent="0.3">
      <c r="A318" s="34"/>
      <c r="B318" s="982" t="s">
        <v>218</v>
      </c>
      <c r="C318" s="924"/>
      <c r="D318" s="924"/>
      <c r="E318" s="924"/>
      <c r="F318" s="982" t="s">
        <v>187</v>
      </c>
      <c r="G318" s="924"/>
      <c r="H318" s="924"/>
      <c r="I318" s="983"/>
      <c r="J318" s="806" t="str">
        <f>IF(AND($L$150="",$L$155=""),"",IF(AND($L$150="X",'Calcul auto.'!AD234=1),"OUI",IF(AND($L$155="X",'Calcul auto.'!AE235=1),"OUI",IF(AND($L$150="X",OR('Calcul auto.'!E233="",'Calcul auto.'!E234="")),"non renseigné",IF(AND($L$155="X",OR('Calcul auto.'!E233="",'Calcul auto.'!E235="")),"non renseigné","non")))))</f>
        <v/>
      </c>
      <c r="K318" s="807"/>
      <c r="L318" s="807"/>
      <c r="M318" s="808"/>
      <c r="N318" s="806" t="str">
        <f>IF(AND($L$150="",$L$155=""),"",IF(AND($L$150="X",'Calcul auto.'!AF237=1),CONCATENATE("OUI",'Calcul auto.'!U237),IF(AND($L$155="X",'Calcul auto.'!AG238=1),CONCATENATE("OUI",'Calcul auto.'!U238),IF(AND($L$150="X",OR('Calcul auto.'!E236="",'Calcul auto.'!E237="")),"non renseigné",IF(AND($L$155="X",OR('Calcul auto.'!E236="",'Calcul auto.'!E238="")),"non renseigné","non")))))</f>
        <v/>
      </c>
      <c r="O318" s="807"/>
      <c r="P318" s="807"/>
      <c r="Q318" s="808"/>
      <c r="R318" s="806" t="str">
        <f>IF(AND($L$150="",$L$155=""),"",IF(OR($J$318="non renseigné",$N$318="non renseigné"),"non renseigné",IF(AND($L$150="X",'Calcul auto.'!$AH$237=1),"OUI",IF(AND($L$155="X",'Calcul auto.'!$AI$238=1),"OUI","non"))))</f>
        <v/>
      </c>
      <c r="S318" s="807"/>
      <c r="T318" s="808"/>
      <c r="U318" s="60"/>
      <c r="V318" s="60"/>
      <c r="W318" s="60"/>
      <c r="X318" s="60"/>
      <c r="Y318" s="60"/>
      <c r="Z318" s="60"/>
      <c r="AA318" s="60"/>
      <c r="AB318" s="60"/>
      <c r="AC318" s="82"/>
      <c r="AD318" s="83"/>
      <c r="AE318" s="34"/>
    </row>
    <row r="319" spans="1:31" ht="30" customHeight="1" thickBot="1" x14ac:dyDescent="0.3">
      <c r="A319" s="34"/>
      <c r="B319" s="982" t="s">
        <v>152</v>
      </c>
      <c r="C319" s="924"/>
      <c r="D319" s="924"/>
      <c r="E319" s="924"/>
      <c r="F319" s="982" t="s">
        <v>187</v>
      </c>
      <c r="G319" s="924"/>
      <c r="H319" s="924"/>
      <c r="I319" s="983"/>
      <c r="J319" s="806" t="str">
        <f>IF(AND($L$150="",$L$155=""),"",IF(AND($L$150="X",'Calcul auto.'!AD264=1),"OUI",IF(AND($L$155="X",'Calcul auto.'!AE265=1),"OUI",IF(AND($L$150="X",OR('Calcul auto.'!E263="",'Calcul auto.'!E264="")),"non renseigné",IF(AND($L$155="X",OR('Calcul auto.'!E263="",'Calcul auto.'!E265="")),"non renseigné","non")))))</f>
        <v/>
      </c>
      <c r="K319" s="807"/>
      <c r="L319" s="807"/>
      <c r="M319" s="808"/>
      <c r="N319" s="806" t="str">
        <f>IF(AND($L$150="",$L$155=""),"",IF(AND($L$150="X",'Calcul auto.'!AF267=1),CONCATENATE("OUI",'Calcul auto.'!U267),IF(AND($L$155="X",'Calcul auto.'!AG268=1),CONCATENATE("OUI",'Calcul auto.'!U268),IF(AND($L$150="X",OR('Calcul auto.'!E266="",'Calcul auto.'!E267="")),"non renseigné",IF(AND($L$155="X",OR('Calcul auto.'!E266="",'Calcul auto.'!E268="")),"non renseigné","non")))))</f>
        <v/>
      </c>
      <c r="O319" s="807"/>
      <c r="P319" s="807"/>
      <c r="Q319" s="807"/>
      <c r="R319" s="806" t="str">
        <f>IF(AND($L$150="",$L$155=""),"",IF(OR($J$319="non renseigné",$N$319="non renseigné"),"non renseigné",IF(AND($L$150="X",'Calcul auto.'!$AH$267=1),"OUI",IF(AND($L$155="X",'Calcul auto.'!$AI$268=1),"OUI","non"))))</f>
        <v/>
      </c>
      <c r="S319" s="807"/>
      <c r="T319" s="808"/>
      <c r="U319" s="60"/>
      <c r="V319" s="60"/>
      <c r="W319" s="60"/>
      <c r="X319" s="60"/>
      <c r="Y319" s="60"/>
      <c r="Z319" s="60"/>
      <c r="AA319" s="60"/>
      <c r="AB319" s="60"/>
      <c r="AC319" s="60"/>
      <c r="AD319" s="81"/>
      <c r="AE319" s="34"/>
    </row>
    <row r="320" spans="1:31" ht="30" customHeight="1" thickBot="1" x14ac:dyDescent="0.3">
      <c r="A320" s="34"/>
      <c r="B320" s="982" t="s">
        <v>153</v>
      </c>
      <c r="C320" s="924"/>
      <c r="D320" s="924"/>
      <c r="E320" s="924"/>
      <c r="F320" s="982" t="s">
        <v>187</v>
      </c>
      <c r="G320" s="924"/>
      <c r="H320" s="924"/>
      <c r="I320" s="983"/>
      <c r="J320" s="806" t="str">
        <f>IF(AND($L$150="",$L$155=""),"",IF(AND($L$150="X",'Calcul auto.'!AD336=1),"OUI",IF(AND($L$155="X",'Calcul auto.'!AE337=1),"OUI",IF(AND($L$150="X",OR('Calcul auto.'!E335="",'Calcul auto.'!E336="")),"non renseigné",IF(AND($L$155="X",OR('Calcul auto.'!E335="",'Calcul auto.'!E337="")),"non renseigné","non")))))</f>
        <v/>
      </c>
      <c r="K320" s="807"/>
      <c r="L320" s="807"/>
      <c r="M320" s="808"/>
      <c r="N320" s="806" t="str">
        <f>IF(AND($L$150="",$L$155=""),"",IF(AND($L$150="X",'Calcul auto.'!AF339=1),CONCATENATE("OUI",'Calcul auto.'!U339),IF(AND($L$155="X",'Calcul auto.'!AG340=1),CONCATENATE("OUI",'Calcul auto.'!U340),IF(AND($L$150="X",OR('Calcul auto.'!E338="",'Calcul auto.'!E339="")),"non renseigné",IF(AND($L$155="X",OR('Calcul auto.'!E338="",'Calcul auto.'!E340="")),"non renseigné","non")))))</f>
        <v/>
      </c>
      <c r="O320" s="807"/>
      <c r="P320" s="807"/>
      <c r="Q320" s="808"/>
      <c r="R320" s="806" t="str">
        <f>IF(AND($L$150="",$L$155=""),"",IF(OR($J$320="non renseigné",$N$320="non renseigné"),"non renseigné",IF(AND($L$150="X",'Calcul auto.'!$AH$339=1),"OUI",IF(AND($L$155="X",'Calcul auto.'!$AI$340=1),"OUI","non"))))</f>
        <v/>
      </c>
      <c r="S320" s="807"/>
      <c r="T320" s="808"/>
      <c r="U320" s="84"/>
      <c r="V320" s="84"/>
      <c r="W320" s="84"/>
      <c r="X320" s="84"/>
      <c r="Y320" s="84"/>
      <c r="Z320" s="84"/>
      <c r="AA320" s="84"/>
      <c r="AB320" s="84"/>
      <c r="AC320" s="83"/>
      <c r="AD320" s="85"/>
      <c r="AE320" s="34"/>
    </row>
    <row r="321" spans="1:31" ht="30" customHeight="1" thickBot="1" x14ac:dyDescent="0.3">
      <c r="A321" s="34"/>
      <c r="B321" s="982" t="s">
        <v>154</v>
      </c>
      <c r="C321" s="924"/>
      <c r="D321" s="924"/>
      <c r="E321" s="924"/>
      <c r="F321" s="982" t="s">
        <v>203</v>
      </c>
      <c r="G321" s="924"/>
      <c r="H321" s="924"/>
      <c r="I321" s="983"/>
      <c r="J321" s="806" t="str">
        <f>IF(AND($L$150="",$L$155=""),"",IF(AND($L$150="X",'Calcul auto.'!AD324=1),"OUI",IF(AND($L$155="X",'Calcul auto.'!AE325=1),"OUI",IF(AND($L$150="X",OR('Calcul auto.'!E323="",'Calcul auto.'!E324="")),"non renseigné",IF(AND($L$155="X",OR('Calcul auto.'!E323="",'Calcul auto.'!E325="")),"non renseigné","non")))))</f>
        <v/>
      </c>
      <c r="K321" s="807"/>
      <c r="L321" s="807"/>
      <c r="M321" s="808"/>
      <c r="N321" s="806" t="str">
        <f>IF(AND($L$150="",$L$155=""),"",IF(AND($L$150="X",'Calcul auto.'!AF327=1),CONCATENATE("OUI",'Calcul auto.'!U327),IF(AND($L$155="X",'Calcul auto.'!AG328=1),CONCATENATE("OUI",'Calcul auto.'!U328),IF(AND($L$150="X",OR('Calcul auto.'!E326="",'Calcul auto.'!E327="")),"non renseigné",IF(AND($L$155="X",OR('Calcul auto.'!E326="",'Calcul auto.'!E328="")),"non renseigné","non")))))</f>
        <v/>
      </c>
      <c r="O321" s="807"/>
      <c r="P321" s="807"/>
      <c r="Q321" s="807"/>
      <c r="R321" s="806" t="str">
        <f>IF(AND($L$150="",$L$155=""),"",IF(OR($J$321="non renseigné",$N$321="non renseigné"),"non renseigné",IF(AND($L$150="X",'Calcul auto.'!$AH$327=1),"OUI",IF(AND($L$155="X",'Calcul auto.'!$AI$328=1),"OUI","non"))))</f>
        <v/>
      </c>
      <c r="S321" s="807"/>
      <c r="T321" s="808"/>
      <c r="U321" s="60"/>
      <c r="V321" s="60"/>
      <c r="W321" s="60"/>
      <c r="X321" s="60"/>
      <c r="Y321" s="60"/>
      <c r="Z321" s="60"/>
      <c r="AA321" s="60"/>
      <c r="AB321" s="60"/>
      <c r="AC321" s="81"/>
      <c r="AD321" s="60"/>
      <c r="AE321" s="34"/>
    </row>
    <row r="322" spans="1:31" ht="30" customHeight="1" thickBot="1" x14ac:dyDescent="0.3">
      <c r="A322" s="34"/>
      <c r="B322" s="982" t="s">
        <v>219</v>
      </c>
      <c r="C322" s="924"/>
      <c r="D322" s="924"/>
      <c r="E322" s="924"/>
      <c r="F322" s="982" t="s">
        <v>203</v>
      </c>
      <c r="G322" s="924"/>
      <c r="H322" s="924"/>
      <c r="I322" s="983"/>
      <c r="J322" s="806" t="str">
        <f>IF(AND($L$150="",$L$155=""),"",IF(AND($L$150="X",'Calcul auto.'!AD240=1),"OUI",IF(AND($L$155="X",'Calcul auto.'!AE241=1),"OUI",IF(AND($L$150="X",OR('Calcul auto.'!E239="",'Calcul auto.'!E240="")),"non renseigné",IF(AND($L$155="X",OR('Calcul auto.'!E239="",'Calcul auto.'!E241="")),"non renseigné","non")))))</f>
        <v/>
      </c>
      <c r="K322" s="807"/>
      <c r="L322" s="807"/>
      <c r="M322" s="808"/>
      <c r="N322" s="806" t="str">
        <f>IF(AND($L$150="",$L$155=""),"",IF(AND($L$150="X",'Calcul auto.'!AF243=1),CONCATENATE("OUI",'Calcul auto.'!U243),IF(AND($L$155="X",'Calcul auto.'!AG244=1),CONCATENATE("OUI",'Calcul auto.'!U244),IF(AND($L$150="X",OR('Calcul auto.'!E242="",'Calcul auto.'!E243="")),"non renseigné",IF(AND($L$155="X",OR('Calcul auto.'!E242="",'Calcul auto.'!E244="")),"non renseigné","non")))))</f>
        <v/>
      </c>
      <c r="O322" s="807"/>
      <c r="P322" s="807"/>
      <c r="Q322" s="808"/>
      <c r="R322" s="806" t="str">
        <f>IF(AND($L$150="",$L$155=""),"",IF(OR($J$322="non renseigné",$N$322="non renseigné"),"non renseigné",IF(AND($L$150="X",'Calcul auto.'!$AH$243=1),"OUI",IF(AND($L$155="X",'Calcul auto.'!$AI$244=1),"OUI","non"))))</f>
        <v/>
      </c>
      <c r="S322" s="807"/>
      <c r="T322" s="808"/>
      <c r="U322" s="84"/>
      <c r="V322" s="84"/>
      <c r="W322" s="84"/>
      <c r="X322" s="84"/>
      <c r="Y322" s="84"/>
      <c r="Z322" s="84"/>
      <c r="AA322" s="84"/>
      <c r="AB322" s="84"/>
      <c r="AC322" s="86"/>
      <c r="AD322" s="84"/>
      <c r="AE322" s="34"/>
    </row>
    <row r="323" spans="1:31" ht="30" customHeight="1" thickBot="1" x14ac:dyDescent="0.3">
      <c r="A323" s="34"/>
      <c r="B323" s="982" t="s">
        <v>155</v>
      </c>
      <c r="C323" s="924"/>
      <c r="D323" s="924"/>
      <c r="E323" s="924"/>
      <c r="F323" s="982" t="s">
        <v>203</v>
      </c>
      <c r="G323" s="924"/>
      <c r="H323" s="924"/>
      <c r="I323" s="983"/>
      <c r="J323" s="806" t="str">
        <f>IF(AND($L$150="",$L$155=""),"",IF(AND($L$150="X",'Calcul auto.'!AD300=1),"OUI",IF(AND($L$155="X",'Calcul auto.'!AE301=1),"OUI",IF(AND($L$150="X",OR('Calcul auto.'!E299="",'Calcul auto.'!E300="")),"non renseigné",IF(AND($L$155="X",OR('Calcul auto.'!E299="",'Calcul auto.'!E301="")),"non renseigné","non")))))</f>
        <v/>
      </c>
      <c r="K323" s="807"/>
      <c r="L323" s="807"/>
      <c r="M323" s="808"/>
      <c r="N323" s="806" t="str">
        <f>IF(AND($L$150="",$L$155=""),"",IF(AND($L$150="X",'Calcul auto.'!AF303=1),CONCATENATE("OUI",'Calcul auto.'!U303),IF(AND($L$155="X",'Calcul auto.'!AG304=1),CONCATENATE("OUI",'Calcul auto.'!U304),IF(AND($L$150="X",OR('Calcul auto.'!E302="",'Calcul auto.'!E303="")),"non renseigné",IF(AND($L$155="X",OR('Calcul auto.'!E302="",'Calcul auto.'!E304="")),"non renseigné","non")))))</f>
        <v/>
      </c>
      <c r="O323" s="807"/>
      <c r="P323" s="807"/>
      <c r="Q323" s="807"/>
      <c r="R323" s="806" t="str">
        <f>IF(AND($L$150="",$L$155=""),"",IF(OR($J$323="non renseigné",$N$323="non renseigné"),"non renseigné",IF(AND($L$150="X",'Calcul auto.'!$AH$303=1),"OUI",IF(AND($L$155="X",'Calcul auto.'!$AI$304=1),"OUI","non"))))</f>
        <v/>
      </c>
      <c r="S323" s="807"/>
      <c r="T323" s="807"/>
      <c r="U323" s="62"/>
      <c r="V323" s="60"/>
      <c r="W323" s="87"/>
      <c r="X323" s="60"/>
      <c r="Y323" s="60"/>
      <c r="Z323" s="60"/>
      <c r="AA323" s="60"/>
      <c r="AB323" s="60"/>
      <c r="AC323" s="88"/>
      <c r="AD323" s="84"/>
      <c r="AE323" s="34"/>
    </row>
    <row r="324" spans="1:31" ht="30" customHeight="1" thickBot="1" x14ac:dyDescent="0.3">
      <c r="A324" s="34"/>
      <c r="B324" s="982" t="s">
        <v>427</v>
      </c>
      <c r="C324" s="924"/>
      <c r="D324" s="924"/>
      <c r="E324" s="924"/>
      <c r="F324" s="982" t="s">
        <v>203</v>
      </c>
      <c r="G324" s="924"/>
      <c r="H324" s="924"/>
      <c r="I324" s="983"/>
      <c r="J324" s="982" t="str">
        <f>IF(AND($L$150="",$L$155=""),"",IF(AND($L$150="X",'Calcul auto.'!AD270=1),"OUI",IF(AND($L$155="X",'Calcul auto.'!AE271=1),"OUI",IF(AND($L$150="X",OR('Calcul auto.'!E269="",'Calcul auto.'!E270="")),"non renseigné",IF(AND($L$155="X",OR('Calcul auto.'!E269="",'Calcul auto.'!E271="")),"non renseigné","non")))))</f>
        <v/>
      </c>
      <c r="K324" s="924"/>
      <c r="L324" s="924"/>
      <c r="M324" s="983"/>
      <c r="N324" s="984" t="str">
        <f>IF(AND($L$150="",$L$155=""),"",IF(AND($L$150="X",'Calcul auto.'!AF273=1),CONCATENATE("OUI",'Calcul auto.'!U273),IF(AND($L$155="X",'Calcul auto.'!AG274=1),CONCATENATE("OUI",'Calcul auto.'!U274),IF(AND($L$150="X",OR('Calcul auto.'!E272="",'Calcul auto.'!E273="")),"non renseigné",IF(AND($L$155="X",OR('Calcul auto.'!E272="",'Calcul auto.'!E274="")),"non renseigné","non")))))</f>
        <v/>
      </c>
      <c r="O324" s="985"/>
      <c r="P324" s="985"/>
      <c r="Q324" s="986"/>
      <c r="R324" s="984" t="str">
        <f>IF(AND($L$150="",$L$155=""),"",IF(OR($J$324="non renseigné",$N$324="non renseigné"),"non renseigné",IF(AND($L$150="X",'Calcul auto.'!$AH$273=1),"OUI",IF(AND($L$155="X",'Calcul auto.'!$AI$274=1),"OUI","non"))))</f>
        <v/>
      </c>
      <c r="S324" s="985"/>
      <c r="T324" s="986"/>
      <c r="U324" s="84"/>
      <c r="V324" s="84"/>
      <c r="W324" s="84"/>
      <c r="X324" s="84"/>
      <c r="Y324" s="84"/>
      <c r="Z324" s="84"/>
      <c r="AA324" s="84"/>
      <c r="AB324" s="84"/>
      <c r="AC324" s="82"/>
      <c r="AD324" s="84"/>
      <c r="AE324" s="34"/>
    </row>
    <row r="325" spans="1:31" ht="30" customHeight="1" thickBot="1" x14ac:dyDescent="0.3">
      <c r="A325" s="34"/>
      <c r="B325" s="809" t="s">
        <v>426</v>
      </c>
      <c r="C325" s="810"/>
      <c r="D325" s="810"/>
      <c r="E325" s="810"/>
      <c r="F325" s="809" t="s">
        <v>204</v>
      </c>
      <c r="G325" s="810"/>
      <c r="H325" s="810"/>
      <c r="I325" s="811"/>
      <c r="J325" s="809" t="str">
        <f>IF(AND($L$150="",$L$155=""),"",IF(AND($L$150="X",'Calcul auto.'!AD294=1),"OUI",IF(AND($L$155="X",'Calcul auto.'!AE295=1),"OUI",IF(AND($L$150="X",OR('Calcul auto.'!E293="",'Calcul auto.'!E294="")),"non renseigné",IF(AND($L$155="X",OR('Calcul auto.'!E293="",'Calcul auto.'!E295="")),"non renseigné","non")))))</f>
        <v/>
      </c>
      <c r="K325" s="810"/>
      <c r="L325" s="810"/>
      <c r="M325" s="811"/>
      <c r="N325" s="809" t="str">
        <f>IF(AND($L$150="",$L$155=""),"",IF(AND($L$150="X",'Calcul auto.'!AF297=1),CONCATENATE("OUI",'Calcul auto.'!U297),IF(AND($L$155="X",'Calcul auto.'!AG298=1),CONCATENATE("OUI",'Calcul auto.'!U298),IF(AND($L$150="X",OR('Calcul auto.'!E296="",'Calcul auto.'!E297="")),"non renseigné",IF(AND($L$155="X",OR('Calcul auto.'!E296="",'Calcul auto.'!E298="")),"non renseigné","non")))))</f>
        <v/>
      </c>
      <c r="O325" s="810"/>
      <c r="P325" s="810"/>
      <c r="Q325" s="810"/>
      <c r="R325" s="809" t="str">
        <f>IF(AND($L$150="",$L$155=""),"",IF(OR($J$325="non renseigné",$N$325="non renseigné"),"non renseigné",IF(AND($L$150="X",'Calcul auto.'!$AH$297=1),"OUI",IF(AND($L$155="X",'Calcul auto.'!$AI$298=1),"OUI","non"))))</f>
        <v/>
      </c>
      <c r="S325" s="810"/>
      <c r="T325" s="811"/>
      <c r="U325" s="79"/>
      <c r="V325" s="79"/>
      <c r="W325" s="79"/>
      <c r="X325" s="79"/>
      <c r="Y325" s="79"/>
      <c r="Z325" s="79"/>
      <c r="AA325" s="79"/>
      <c r="AB325" s="79"/>
      <c r="AC325" s="89"/>
      <c r="AD325" s="79"/>
      <c r="AE325" s="34"/>
    </row>
    <row r="326" spans="1:31" ht="30" customHeight="1" x14ac:dyDescent="0.2">
      <c r="A326" s="34"/>
      <c r="B326" s="34"/>
      <c r="C326" s="34"/>
      <c r="D326" s="34"/>
      <c r="E326" s="34"/>
      <c r="F326" s="34"/>
      <c r="G326" s="34"/>
      <c r="H326" s="34"/>
      <c r="I326" s="34"/>
      <c r="J326" s="34"/>
      <c r="K326" s="44"/>
      <c r="L326" s="44"/>
      <c r="M326" s="44"/>
      <c r="N326" s="44"/>
      <c r="O326" s="44"/>
      <c r="P326" s="44"/>
      <c r="Q326" s="44"/>
      <c r="R326" s="44"/>
      <c r="S326" s="44"/>
      <c r="T326" s="44"/>
      <c r="U326" s="34"/>
      <c r="V326" s="34"/>
      <c r="W326" s="34"/>
      <c r="X326" s="34"/>
      <c r="Y326" s="34"/>
      <c r="Z326" s="34"/>
      <c r="AA326" s="34"/>
      <c r="AB326" s="34"/>
      <c r="AC326" s="34"/>
      <c r="AD326" s="34"/>
      <c r="AE326" s="34"/>
    </row>
  </sheetData>
  <sheetProtection sheet="1" objects="1" scenarios="1"/>
  <mergeCells count="434">
    <mergeCell ref="Q45:T46"/>
    <mergeCell ref="Q38:T44"/>
    <mergeCell ref="Q52:T53"/>
    <mergeCell ref="Q82:T83"/>
    <mergeCell ref="Q54:T81"/>
    <mergeCell ref="Q85:T87"/>
    <mergeCell ref="J300:M300"/>
    <mergeCell ref="J303:M303"/>
    <mergeCell ref="F303:I303"/>
    <mergeCell ref="F293:I293"/>
    <mergeCell ref="F294:I294"/>
    <mergeCell ref="N54:N56"/>
    <mergeCell ref="C60:J62"/>
    <mergeCell ref="N60:N62"/>
    <mergeCell ref="C63:J65"/>
    <mergeCell ref="L63:M65"/>
    <mergeCell ref="N63:N65"/>
    <mergeCell ref="C38:H39"/>
    <mergeCell ref="M42:P44"/>
    <mergeCell ref="L45:L46"/>
    <mergeCell ref="M45:O46"/>
    <mergeCell ref="L42:L44"/>
    <mergeCell ref="C89:H93"/>
    <mergeCell ref="R100:S102"/>
    <mergeCell ref="B300:E300"/>
    <mergeCell ref="R292:T292"/>
    <mergeCell ref="R299:T299"/>
    <mergeCell ref="B270:E283"/>
    <mergeCell ref="B286:E286"/>
    <mergeCell ref="B287:E287"/>
    <mergeCell ref="B293:E293"/>
    <mergeCell ref="B292:E292"/>
    <mergeCell ref="B296:E296"/>
    <mergeCell ref="B288:E288"/>
    <mergeCell ref="N277:Q283"/>
    <mergeCell ref="J294:M294"/>
    <mergeCell ref="J299:M299"/>
    <mergeCell ref="B289:E289"/>
    <mergeCell ref="J270:M276"/>
    <mergeCell ref="J277:M283"/>
    <mergeCell ref="R293:T293"/>
    <mergeCell ref="R294:T294"/>
    <mergeCell ref="R295:T295"/>
    <mergeCell ref="R289:T289"/>
    <mergeCell ref="R296:T296"/>
    <mergeCell ref="B295:E295"/>
    <mergeCell ref="B294:E294"/>
    <mergeCell ref="F292:I292"/>
    <mergeCell ref="J306:M306"/>
    <mergeCell ref="J307:M307"/>
    <mergeCell ref="J308:M308"/>
    <mergeCell ref="J309:M309"/>
    <mergeCell ref="B306:E306"/>
    <mergeCell ref="F305:I305"/>
    <mergeCell ref="F306:I306"/>
    <mergeCell ref="F304:I304"/>
    <mergeCell ref="B309:E309"/>
    <mergeCell ref="R308:T308"/>
    <mergeCell ref="F300:I300"/>
    <mergeCell ref="F286:I286"/>
    <mergeCell ref="R300:T300"/>
    <mergeCell ref="B305:E305"/>
    <mergeCell ref="B304:E304"/>
    <mergeCell ref="B303:E303"/>
    <mergeCell ref="R303:T303"/>
    <mergeCell ref="N304:Q304"/>
    <mergeCell ref="R304:T304"/>
    <mergeCell ref="N305:Q305"/>
    <mergeCell ref="R305:T305"/>
    <mergeCell ref="N306:Q306"/>
    <mergeCell ref="R306:T306"/>
    <mergeCell ref="N307:Q307"/>
    <mergeCell ref="R307:T307"/>
    <mergeCell ref="B308:E308"/>
    <mergeCell ref="B307:E307"/>
    <mergeCell ref="J286:M286"/>
    <mergeCell ref="J287:M287"/>
    <mergeCell ref="J288:M288"/>
    <mergeCell ref="J289:M289"/>
    <mergeCell ref="J292:M292"/>
    <mergeCell ref="J293:M293"/>
    <mergeCell ref="B314:E314"/>
    <mergeCell ref="B313:E313"/>
    <mergeCell ref="B312:E312"/>
    <mergeCell ref="B311:E311"/>
    <mergeCell ref="B310:E310"/>
    <mergeCell ref="B317:E317"/>
    <mergeCell ref="B318:E318"/>
    <mergeCell ref="J313:M313"/>
    <mergeCell ref="J314:M314"/>
    <mergeCell ref="J317:M317"/>
    <mergeCell ref="J318:M318"/>
    <mergeCell ref="F317:I317"/>
    <mergeCell ref="F318:I318"/>
    <mergeCell ref="N308:Q308"/>
    <mergeCell ref="F287:I287"/>
    <mergeCell ref="F288:I288"/>
    <mergeCell ref="F289:I289"/>
    <mergeCell ref="F314:I314"/>
    <mergeCell ref="F309:I309"/>
    <mergeCell ref="F310:I310"/>
    <mergeCell ref="F311:I311"/>
    <mergeCell ref="F312:I312"/>
    <mergeCell ref="F313:I313"/>
    <mergeCell ref="N287:Q287"/>
    <mergeCell ref="N289:Q289"/>
    <mergeCell ref="F307:I307"/>
    <mergeCell ref="F308:I308"/>
    <mergeCell ref="F295:I295"/>
    <mergeCell ref="F296:I296"/>
    <mergeCell ref="F299:I299"/>
    <mergeCell ref="N299:Q299"/>
    <mergeCell ref="N300:Q300"/>
    <mergeCell ref="J310:M310"/>
    <mergeCell ref="J311:M311"/>
    <mergeCell ref="J312:M312"/>
    <mergeCell ref="J304:M304"/>
    <mergeCell ref="J305:M305"/>
    <mergeCell ref="B322:E322"/>
    <mergeCell ref="N324:Q324"/>
    <mergeCell ref="R324:T324"/>
    <mergeCell ref="N325:Q325"/>
    <mergeCell ref="R325:T325"/>
    <mergeCell ref="N321:Q321"/>
    <mergeCell ref="R321:T321"/>
    <mergeCell ref="N322:Q322"/>
    <mergeCell ref="R320:T320"/>
    <mergeCell ref="J323:M323"/>
    <mergeCell ref="R322:T322"/>
    <mergeCell ref="N323:Q323"/>
    <mergeCell ref="R323:T323"/>
    <mergeCell ref="J324:M324"/>
    <mergeCell ref="J325:M325"/>
    <mergeCell ref="J320:M320"/>
    <mergeCell ref="J321:M321"/>
    <mergeCell ref="J322:M322"/>
    <mergeCell ref="J319:M319"/>
    <mergeCell ref="F323:I323"/>
    <mergeCell ref="F324:I324"/>
    <mergeCell ref="F325:I325"/>
    <mergeCell ref="B319:E319"/>
    <mergeCell ref="N303:Q303"/>
    <mergeCell ref="N292:Q292"/>
    <mergeCell ref="N293:Q293"/>
    <mergeCell ref="N294:Q294"/>
    <mergeCell ref="N295:Q295"/>
    <mergeCell ref="N296:Q296"/>
    <mergeCell ref="J295:M295"/>
    <mergeCell ref="J296:M296"/>
    <mergeCell ref="B299:E299"/>
    <mergeCell ref="N319:Q319"/>
    <mergeCell ref="B323:E323"/>
    <mergeCell ref="B324:E324"/>
    <mergeCell ref="B325:E325"/>
    <mergeCell ref="F320:I320"/>
    <mergeCell ref="F321:I321"/>
    <mergeCell ref="F322:I322"/>
    <mergeCell ref="F319:I319"/>
    <mergeCell ref="B320:E320"/>
    <mergeCell ref="B321:E321"/>
    <mergeCell ref="Q89:T90"/>
    <mergeCell ref="Q97:T98"/>
    <mergeCell ref="Q91:T96"/>
    <mergeCell ref="C66:J68"/>
    <mergeCell ref="C85:G85"/>
    <mergeCell ref="Z66:Z68"/>
    <mergeCell ref="Z81:Z83"/>
    <mergeCell ref="N66:N68"/>
    <mergeCell ref="X66:Y68"/>
    <mergeCell ref="U89:AB93"/>
    <mergeCell ref="I89:P93"/>
    <mergeCell ref="C69:J71"/>
    <mergeCell ref="L69:M71"/>
    <mergeCell ref="N69:N71"/>
    <mergeCell ref="X69:Y71"/>
    <mergeCell ref="Z69:Z71"/>
    <mergeCell ref="C72:J74"/>
    <mergeCell ref="L72:M74"/>
    <mergeCell ref="N72:N74"/>
    <mergeCell ref="X72:Y74"/>
    <mergeCell ref="Z72:Z74"/>
    <mergeCell ref="L66:M68"/>
    <mergeCell ref="R287:T287"/>
    <mergeCell ref="R288:T288"/>
    <mergeCell ref="N288:Q288"/>
    <mergeCell ref="N286:Q286"/>
    <mergeCell ref="Y271:Y283"/>
    <mergeCell ref="R286:T286"/>
    <mergeCell ref="N266:X268"/>
    <mergeCell ref="Y159:AD165"/>
    <mergeCell ref="B262:AD264"/>
    <mergeCell ref="Z271:Z283"/>
    <mergeCell ref="AA271:AA283"/>
    <mergeCell ref="AB271:AB283"/>
    <mergeCell ref="U284:AD284"/>
    <mergeCell ref="F270:I283"/>
    <mergeCell ref="X271:X283"/>
    <mergeCell ref="AC271:AC283"/>
    <mergeCell ref="AD271:AD283"/>
    <mergeCell ref="R270:T283"/>
    <mergeCell ref="N270:Q276"/>
    <mergeCell ref="V271:V283"/>
    <mergeCell ref="W271:W283"/>
    <mergeCell ref="U271:U283"/>
    <mergeCell ref="U270:AD270"/>
    <mergeCell ref="B197:E201"/>
    <mergeCell ref="Y42:AB44"/>
    <mergeCell ref="Y40:AA41"/>
    <mergeCell ref="AB40:AB41"/>
    <mergeCell ref="B140:Z141"/>
    <mergeCell ref="B142:Z143"/>
    <mergeCell ref="K197:P201"/>
    <mergeCell ref="K192:P196"/>
    <mergeCell ref="K187:P191"/>
    <mergeCell ref="R187:W191"/>
    <mergeCell ref="R192:W196"/>
    <mergeCell ref="X42:X44"/>
    <mergeCell ref="U42:W44"/>
    <mergeCell ref="C40:H41"/>
    <mergeCell ref="U45:W46"/>
    <mergeCell ref="X45:X46"/>
    <mergeCell ref="Y45:AA46"/>
    <mergeCell ref="AB45:AB46"/>
    <mergeCell ref="Z60:Z62"/>
    <mergeCell ref="Z63:Z65"/>
    <mergeCell ref="C45:H46"/>
    <mergeCell ref="I45:K46"/>
    <mergeCell ref="C52:J53"/>
    <mergeCell ref="C42:H44"/>
    <mergeCell ref="I42:K44"/>
    <mergeCell ref="L40:L41"/>
    <mergeCell ref="M40:O41"/>
    <mergeCell ref="P40:P41"/>
    <mergeCell ref="U40:W41"/>
    <mergeCell ref="X40:X41"/>
    <mergeCell ref="R11:AD12"/>
    <mergeCell ref="R22:S24"/>
    <mergeCell ref="G24:J24"/>
    <mergeCell ref="K24:L24"/>
    <mergeCell ref="Y24:Z24"/>
    <mergeCell ref="C20:G20"/>
    <mergeCell ref="C21:G21"/>
    <mergeCell ref="K20:N20"/>
    <mergeCell ref="K21:N21"/>
    <mergeCell ref="W20:Z20"/>
    <mergeCell ref="W21:Z21"/>
    <mergeCell ref="Y38:AA39"/>
    <mergeCell ref="I38:K39"/>
    <mergeCell ref="AB38:AB39"/>
    <mergeCell ref="X38:X39"/>
    <mergeCell ref="L38:L39"/>
    <mergeCell ref="M38:O39"/>
    <mergeCell ref="P38:P39"/>
    <mergeCell ref="U38:W39"/>
    <mergeCell ref="B2:AD5"/>
    <mergeCell ref="H16:Q18"/>
    <mergeCell ref="T16:AC18"/>
    <mergeCell ref="C26:H30"/>
    <mergeCell ref="I26:P30"/>
    <mergeCell ref="U26:AB30"/>
    <mergeCell ref="R32:S34"/>
    <mergeCell ref="C36:H37"/>
    <mergeCell ref="I36:O37"/>
    <mergeCell ref="P36:P37"/>
    <mergeCell ref="U36:AA37"/>
    <mergeCell ref="AB36:AB37"/>
    <mergeCell ref="Q27:T29"/>
    <mergeCell ref="Q25:T26"/>
    <mergeCell ref="Q30:T31"/>
    <mergeCell ref="Q36:T37"/>
    <mergeCell ref="B9:P10"/>
    <mergeCell ref="Q9:Q10"/>
    <mergeCell ref="R9:AD10"/>
    <mergeCell ref="Q11:Q12"/>
    <mergeCell ref="P45:P46"/>
    <mergeCell ref="K48:N48"/>
    <mergeCell ref="W48:AA48"/>
    <mergeCell ref="W49:AA49"/>
    <mergeCell ref="C75:J77"/>
    <mergeCell ref="L75:M77"/>
    <mergeCell ref="N75:N77"/>
    <mergeCell ref="X75:Y77"/>
    <mergeCell ref="I40:K41"/>
    <mergeCell ref="Z75:Z77"/>
    <mergeCell ref="C54:J56"/>
    <mergeCell ref="L54:M56"/>
    <mergeCell ref="C57:J59"/>
    <mergeCell ref="L57:M59"/>
    <mergeCell ref="N57:N59"/>
    <mergeCell ref="K49:N49"/>
    <mergeCell ref="C48:F48"/>
    <mergeCell ref="C49:F49"/>
    <mergeCell ref="L52:M53"/>
    <mergeCell ref="Z54:Z56"/>
    <mergeCell ref="R48:S50"/>
    <mergeCell ref="Z52:Z53"/>
    <mergeCell ref="Z57:Z59"/>
    <mergeCell ref="X52:Y53"/>
    <mergeCell ref="X57:Y59"/>
    <mergeCell ref="X60:Y62"/>
    <mergeCell ref="L60:M62"/>
    <mergeCell ref="X63:Y65"/>
    <mergeCell ref="X54:Y56"/>
    <mergeCell ref="N52:N53"/>
    <mergeCell ref="Y87:Z87"/>
    <mergeCell ref="C78:J80"/>
    <mergeCell ref="L78:M80"/>
    <mergeCell ref="N78:N80"/>
    <mergeCell ref="X78:Y80"/>
    <mergeCell ref="Z78:Z80"/>
    <mergeCell ref="C81:J83"/>
    <mergeCell ref="L81:M83"/>
    <mergeCell ref="N81:N83"/>
    <mergeCell ref="K85:N85"/>
    <mergeCell ref="W85:Z85"/>
    <mergeCell ref="X81:Y83"/>
    <mergeCell ref="C104:H110"/>
    <mergeCell ref="I104:P116"/>
    <mergeCell ref="U104:AB116"/>
    <mergeCell ref="C111:H116"/>
    <mergeCell ref="C94:H98"/>
    <mergeCell ref="I94:P98"/>
    <mergeCell ref="U94:AB98"/>
    <mergeCell ref="Q104:T105"/>
    <mergeCell ref="Q115:T116"/>
    <mergeCell ref="Q106:T114"/>
    <mergeCell ref="B125:AD128"/>
    <mergeCell ref="B133:AD136"/>
    <mergeCell ref="F206:F230"/>
    <mergeCell ref="J206:J230"/>
    <mergeCell ref="C118:G118"/>
    <mergeCell ref="C119:G119"/>
    <mergeCell ref="B206:E210"/>
    <mergeCell ref="B216:E220"/>
    <mergeCell ref="B221:E225"/>
    <mergeCell ref="Q206:Q230"/>
    <mergeCell ref="X206:X230"/>
    <mergeCell ref="R216:W220"/>
    <mergeCell ref="K216:P220"/>
    <mergeCell ref="Q187:Q201"/>
    <mergeCell ref="K118:N118"/>
    <mergeCell ref="K119:N119"/>
    <mergeCell ref="W118:Z118"/>
    <mergeCell ref="J187:J201"/>
    <mergeCell ref="B226:E230"/>
    <mergeCell ref="W119:Z119"/>
    <mergeCell ref="B121:AD122"/>
    <mergeCell ref="K226:P230"/>
    <mergeCell ref="B187:E191"/>
    <mergeCell ref="B192:E196"/>
    <mergeCell ref="B185:AD186"/>
    <mergeCell ref="B144:Z146"/>
    <mergeCell ref="AC140:AC146"/>
    <mergeCell ref="AD140:AD146"/>
    <mergeCell ref="Y192:AD196"/>
    <mergeCell ref="Y197:AD201"/>
    <mergeCell ref="L150:L151"/>
    <mergeCell ref="F187:F201"/>
    <mergeCell ref="R177:W182"/>
    <mergeCell ref="X187:X201"/>
    <mergeCell ref="R197:W201"/>
    <mergeCell ref="G170:I182"/>
    <mergeCell ref="Y170:AD182"/>
    <mergeCell ref="M155:AD156"/>
    <mergeCell ref="K177:P182"/>
    <mergeCell ref="K170:P176"/>
    <mergeCell ref="R170:W176"/>
    <mergeCell ref="L155:L156"/>
    <mergeCell ref="B150:K151"/>
    <mergeCell ref="M150:AD151"/>
    <mergeCell ref="R164:W168"/>
    <mergeCell ref="K164:P168"/>
    <mergeCell ref="Q235:Q244"/>
    <mergeCell ref="J235:J244"/>
    <mergeCell ref="X235:X244"/>
    <mergeCell ref="G216:I220"/>
    <mergeCell ref="G226:I230"/>
    <mergeCell ref="Y216:AD220"/>
    <mergeCell ref="B235:E239"/>
    <mergeCell ref="B256:AD259"/>
    <mergeCell ref="Y226:AD230"/>
    <mergeCell ref="K235:P239"/>
    <mergeCell ref="R235:W239"/>
    <mergeCell ref="G247:I251"/>
    <mergeCell ref="G221:I225"/>
    <mergeCell ref="B240:E244"/>
    <mergeCell ref="G240:I244"/>
    <mergeCell ref="K240:P244"/>
    <mergeCell ref="K247:P251"/>
    <mergeCell ref="R247:W251"/>
    <mergeCell ref="Y247:AD251"/>
    <mergeCell ref="B247:E251"/>
    <mergeCell ref="G206:I210"/>
    <mergeCell ref="G187:I191"/>
    <mergeCell ref="G192:I196"/>
    <mergeCell ref="G197:I201"/>
    <mergeCell ref="B204:AD205"/>
    <mergeCell ref="B233:AD234"/>
    <mergeCell ref="Y235:AD239"/>
    <mergeCell ref="K206:P210"/>
    <mergeCell ref="R206:W210"/>
    <mergeCell ref="Y206:AD210"/>
    <mergeCell ref="K221:P225"/>
    <mergeCell ref="R221:W225"/>
    <mergeCell ref="B211:E215"/>
    <mergeCell ref="G211:I215"/>
    <mergeCell ref="F235:F244"/>
    <mergeCell ref="R240:W244"/>
    <mergeCell ref="G235:I239"/>
    <mergeCell ref="K211:P215"/>
    <mergeCell ref="R211:W215"/>
    <mergeCell ref="Y211:AD215"/>
    <mergeCell ref="R226:W230"/>
    <mergeCell ref="Y221:AD225"/>
    <mergeCell ref="Y187:AD191"/>
    <mergeCell ref="Y240:AD244"/>
    <mergeCell ref="R319:T319"/>
    <mergeCell ref="N320:Q320"/>
    <mergeCell ref="R309:T309"/>
    <mergeCell ref="N310:Q310"/>
    <mergeCell ref="R310:T310"/>
    <mergeCell ref="N314:Q314"/>
    <mergeCell ref="R314:T314"/>
    <mergeCell ref="N317:Q317"/>
    <mergeCell ref="R317:T317"/>
    <mergeCell ref="N311:Q311"/>
    <mergeCell ref="R311:T311"/>
    <mergeCell ref="N312:Q312"/>
    <mergeCell ref="R312:T312"/>
    <mergeCell ref="N313:Q313"/>
    <mergeCell ref="R313:T313"/>
    <mergeCell ref="N318:Q318"/>
    <mergeCell ref="R318:T318"/>
    <mergeCell ref="N309:Q309"/>
  </mergeCells>
  <pageMargins left="0" right="0" top="0.39370078740157483" bottom="0.39370078740157483" header="0" footer="0"/>
  <pageSetup paperSize="9" scale="49" fitToWidth="0" fitToHeight="4" pageOrder="overThenDown" orientation="portrait" r:id="rId1"/>
  <headerFooter>
    <oddHeader>&amp;C&amp;A</oddHeader>
    <oddFooter>&amp;CPage &amp;P</oddFooter>
  </headerFooter>
  <rowBreaks count="2" manualBreakCount="2">
    <brk id="131" max="30" man="1"/>
    <brk id="254" max="30" man="1"/>
  </rowBreaks>
  <ignoredErrors>
    <ignoredError sqref="G192"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499984740745262"/>
  </sheetPr>
  <dimension ref="A1:AI320"/>
  <sheetViews>
    <sheetView showGridLines="0" showRowColHeaders="0" view="pageBreakPreview" zoomScale="40" zoomScaleNormal="100" zoomScaleSheetLayoutView="40" workbookViewId="0"/>
  </sheetViews>
  <sheetFormatPr baseColWidth="10" defaultColWidth="5.875" defaultRowHeight="12" customHeight="1" x14ac:dyDescent="0.2"/>
  <cols>
    <col min="1" max="16384" width="5.875" style="2"/>
  </cols>
  <sheetData>
    <row r="1" spans="1:35" ht="12" customHeight="1" thickBot="1"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2"/>
      <c r="AI1" s="134"/>
    </row>
    <row r="2" spans="1:35" ht="12" customHeight="1" x14ac:dyDescent="0.2">
      <c r="A2" s="34"/>
      <c r="B2" s="868" t="s">
        <v>768</v>
      </c>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9"/>
      <c r="AI2" s="134"/>
    </row>
    <row r="3" spans="1:35" ht="12" customHeight="1" x14ac:dyDescent="0.2">
      <c r="A3" s="34"/>
      <c r="B3" s="1090"/>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2"/>
      <c r="AI3" s="134"/>
    </row>
    <row r="4" spans="1:35" ht="12" customHeight="1" x14ac:dyDescent="0.2">
      <c r="A4" s="34"/>
      <c r="B4" s="1090"/>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2"/>
      <c r="AI4" s="134"/>
    </row>
    <row r="5" spans="1:35" ht="12" customHeight="1" thickBot="1" x14ac:dyDescent="0.25">
      <c r="A5" s="34"/>
      <c r="B5" s="1093"/>
      <c r="C5" s="1094"/>
      <c r="D5" s="1094"/>
      <c r="E5" s="1094"/>
      <c r="F5" s="1094"/>
      <c r="G5" s="1094"/>
      <c r="H5" s="1094"/>
      <c r="I5" s="1094"/>
      <c r="J5" s="1094"/>
      <c r="K5" s="1094"/>
      <c r="L5" s="1094"/>
      <c r="M5" s="1094"/>
      <c r="N5" s="1094"/>
      <c r="O5" s="1094"/>
      <c r="P5" s="1094"/>
      <c r="Q5" s="1094"/>
      <c r="R5" s="1094"/>
      <c r="S5" s="1094"/>
      <c r="T5" s="1094"/>
      <c r="U5" s="1094"/>
      <c r="V5" s="1094"/>
      <c r="W5" s="1094"/>
      <c r="X5" s="1094"/>
      <c r="Y5" s="1094"/>
      <c r="Z5" s="1094"/>
      <c r="AA5" s="1094"/>
      <c r="AB5" s="1094"/>
      <c r="AC5" s="1094"/>
      <c r="AD5" s="1094"/>
      <c r="AE5" s="1094"/>
      <c r="AF5" s="1094"/>
      <c r="AG5" s="1094"/>
      <c r="AH5" s="1095"/>
      <c r="AI5" s="134"/>
    </row>
    <row r="6" spans="1:35" ht="12" customHeight="1" x14ac:dyDescent="0.2">
      <c r="A6" s="34"/>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34"/>
      <c r="AG6" s="34"/>
      <c r="AH6" s="32"/>
      <c r="AI6" s="134"/>
    </row>
    <row r="7" spans="1:35" ht="12" customHeight="1" x14ac:dyDescent="0.2">
      <c r="A7" s="34"/>
      <c r="B7" s="47"/>
      <c r="C7" s="47"/>
      <c r="D7" s="47"/>
      <c r="E7" s="47"/>
      <c r="F7" s="47"/>
      <c r="G7" s="47"/>
      <c r="H7" s="47"/>
      <c r="I7" s="47"/>
      <c r="J7" s="47"/>
      <c r="K7" s="47"/>
      <c r="L7" s="47"/>
      <c r="M7" s="47"/>
      <c r="N7" s="47"/>
      <c r="O7" s="47"/>
      <c r="P7" s="47"/>
      <c r="Q7" s="47"/>
      <c r="R7" s="47"/>
      <c r="S7" s="47"/>
      <c r="T7" s="47"/>
      <c r="U7" s="47"/>
      <c r="V7" s="47"/>
      <c r="W7" s="47"/>
      <c r="X7" s="47"/>
      <c r="Y7" s="47"/>
      <c r="Z7" s="47"/>
      <c r="AA7" s="48"/>
      <c r="AB7" s="48"/>
      <c r="AC7" s="48"/>
      <c r="AD7" s="48"/>
      <c r="AE7" s="48"/>
      <c r="AF7" s="34"/>
      <c r="AG7" s="34"/>
      <c r="AH7" s="32"/>
      <c r="AI7" s="134"/>
    </row>
    <row r="8" spans="1:35" ht="12" customHeight="1" x14ac:dyDescent="0.2">
      <c r="A8" s="34"/>
      <c r="B8" s="47"/>
      <c r="C8" s="47"/>
      <c r="D8" s="47"/>
      <c r="E8" s="47"/>
      <c r="F8" s="47"/>
      <c r="G8" s="47"/>
      <c r="H8" s="47"/>
      <c r="I8" s="47"/>
      <c r="J8" s="47"/>
      <c r="K8" s="47"/>
      <c r="L8" s="47"/>
      <c r="M8" s="47"/>
      <c r="N8" s="47"/>
      <c r="O8" s="47"/>
      <c r="P8" s="47"/>
      <c r="Q8" s="47"/>
      <c r="R8" s="47"/>
      <c r="S8" s="47"/>
      <c r="T8" s="47"/>
      <c r="U8" s="47"/>
      <c r="V8" s="47"/>
      <c r="W8" s="47"/>
      <c r="X8" s="47"/>
      <c r="Y8" s="47"/>
      <c r="Z8" s="47"/>
      <c r="AA8" s="48"/>
      <c r="AB8" s="48"/>
      <c r="AC8" s="48"/>
      <c r="AD8" s="48"/>
      <c r="AE8" s="48"/>
      <c r="AF8" s="34"/>
      <c r="AG8" s="34"/>
      <c r="AH8" s="32"/>
      <c r="AI8" s="134"/>
    </row>
    <row r="9" spans="1:35" ht="12" customHeight="1" x14ac:dyDescent="0.2">
      <c r="A9" s="34"/>
      <c r="B9" s="917" t="s">
        <v>599</v>
      </c>
      <c r="C9" s="917"/>
      <c r="D9" s="917"/>
      <c r="E9" s="917"/>
      <c r="F9" s="917"/>
      <c r="G9" s="917"/>
      <c r="H9" s="917"/>
      <c r="I9" s="917"/>
      <c r="J9" s="917"/>
      <c r="K9" s="917"/>
      <c r="L9" s="917"/>
      <c r="M9" s="917"/>
      <c r="N9" s="1059"/>
      <c r="O9" s="152"/>
      <c r="P9" s="1060"/>
      <c r="Q9" s="916" t="s">
        <v>600</v>
      </c>
      <c r="R9" s="916"/>
      <c r="S9" s="916"/>
      <c r="T9" s="916"/>
      <c r="U9" s="916"/>
      <c r="V9" s="916"/>
      <c r="W9" s="916"/>
      <c r="X9" s="916"/>
      <c r="Y9" s="916"/>
      <c r="Z9" s="916"/>
      <c r="AA9" s="916"/>
      <c r="AB9" s="916"/>
      <c r="AC9" s="916"/>
      <c r="AD9" s="916"/>
      <c r="AE9" s="916"/>
      <c r="AF9" s="916"/>
      <c r="AG9" s="916"/>
      <c r="AH9" s="916"/>
      <c r="AI9" s="134"/>
    </row>
    <row r="10" spans="1:35" ht="12" customHeight="1" x14ac:dyDescent="0.2">
      <c r="A10" s="34"/>
      <c r="B10" s="917"/>
      <c r="C10" s="917"/>
      <c r="D10" s="917"/>
      <c r="E10" s="917"/>
      <c r="F10" s="917"/>
      <c r="G10" s="917"/>
      <c r="H10" s="917"/>
      <c r="I10" s="917"/>
      <c r="J10" s="917"/>
      <c r="K10" s="917"/>
      <c r="L10" s="917"/>
      <c r="M10" s="917"/>
      <c r="N10" s="1059"/>
      <c r="O10" s="152"/>
      <c r="P10" s="1060"/>
      <c r="Q10" s="916"/>
      <c r="R10" s="916"/>
      <c r="S10" s="916"/>
      <c r="T10" s="916"/>
      <c r="U10" s="916"/>
      <c r="V10" s="916"/>
      <c r="W10" s="916"/>
      <c r="X10" s="916"/>
      <c r="Y10" s="916"/>
      <c r="Z10" s="916"/>
      <c r="AA10" s="916"/>
      <c r="AB10" s="916"/>
      <c r="AC10" s="916"/>
      <c r="AD10" s="916"/>
      <c r="AE10" s="916"/>
      <c r="AF10" s="916"/>
      <c r="AG10" s="916"/>
      <c r="AH10" s="916"/>
      <c r="AI10" s="134"/>
    </row>
    <row r="11" spans="1:35" ht="12" customHeight="1" x14ac:dyDescent="0.2">
      <c r="A11" s="34"/>
      <c r="B11" s="917"/>
      <c r="C11" s="917"/>
      <c r="D11" s="917"/>
      <c r="E11" s="917"/>
      <c r="F11" s="917"/>
      <c r="G11" s="917"/>
      <c r="H11" s="917"/>
      <c r="I11" s="917"/>
      <c r="J11" s="917"/>
      <c r="K11" s="917"/>
      <c r="L11" s="917"/>
      <c r="M11" s="917"/>
      <c r="N11" s="1059"/>
      <c r="O11" s="152"/>
      <c r="P11" s="1060"/>
      <c r="Q11" s="916"/>
      <c r="R11" s="916"/>
      <c r="S11" s="916"/>
      <c r="T11" s="916"/>
      <c r="U11" s="916"/>
      <c r="V11" s="916"/>
      <c r="W11" s="916"/>
      <c r="X11" s="916"/>
      <c r="Y11" s="916"/>
      <c r="Z11" s="916"/>
      <c r="AA11" s="916"/>
      <c r="AB11" s="916"/>
      <c r="AC11" s="916"/>
      <c r="AD11" s="916"/>
      <c r="AE11" s="916"/>
      <c r="AF11" s="916"/>
      <c r="AG11" s="916"/>
      <c r="AH11" s="916"/>
      <c r="AI11" s="134"/>
    </row>
    <row r="12" spans="1:35" ht="12" customHeight="1" x14ac:dyDescent="0.2">
      <c r="A12" s="34"/>
      <c r="B12" s="131"/>
      <c r="C12" s="131"/>
      <c r="D12" s="131"/>
      <c r="E12" s="131"/>
      <c r="F12" s="131"/>
      <c r="G12" s="131"/>
      <c r="H12" s="131"/>
      <c r="I12" s="131"/>
      <c r="J12" s="131"/>
      <c r="K12" s="131"/>
      <c r="L12" s="131"/>
      <c r="M12" s="131"/>
      <c r="N12" s="152"/>
      <c r="O12" s="152"/>
      <c r="P12" s="152"/>
      <c r="Q12" s="130"/>
      <c r="R12" s="130"/>
      <c r="S12" s="130"/>
      <c r="T12" s="130"/>
      <c r="U12" s="130"/>
      <c r="V12" s="130"/>
      <c r="W12" s="130"/>
      <c r="X12" s="130"/>
      <c r="Y12" s="130"/>
      <c r="Z12" s="130"/>
      <c r="AA12" s="130"/>
      <c r="AB12" s="130"/>
      <c r="AC12" s="130"/>
      <c r="AD12" s="130"/>
      <c r="AE12" s="130"/>
      <c r="AF12" s="130"/>
      <c r="AG12" s="130"/>
      <c r="AH12" s="130"/>
      <c r="AI12" s="134"/>
    </row>
    <row r="13" spans="1:35" ht="12" customHeight="1" x14ac:dyDescent="0.2">
      <c r="A13" s="34"/>
      <c r="B13" s="131"/>
      <c r="C13" s="131"/>
      <c r="D13" s="131"/>
      <c r="E13" s="131"/>
      <c r="F13" s="131"/>
      <c r="G13" s="131"/>
      <c r="H13" s="131"/>
      <c r="I13" s="131"/>
      <c r="J13" s="131"/>
      <c r="K13" s="131"/>
      <c r="L13" s="131"/>
      <c r="M13" s="131"/>
      <c r="N13" s="152"/>
      <c r="O13" s="152"/>
      <c r="P13" s="152"/>
      <c r="Q13" s="130" t="s">
        <v>658</v>
      </c>
      <c r="R13" s="130"/>
      <c r="S13" s="130"/>
      <c r="T13" s="130"/>
      <c r="U13" s="130"/>
      <c r="V13" s="130"/>
      <c r="W13" s="130"/>
      <c r="X13" s="130"/>
      <c r="Y13" s="130"/>
      <c r="Z13" s="130"/>
      <c r="AA13" s="130"/>
      <c r="AB13" s="130"/>
      <c r="AC13" s="130"/>
      <c r="AD13" s="130"/>
      <c r="AE13" s="130"/>
      <c r="AF13" s="130"/>
      <c r="AG13" s="130"/>
      <c r="AH13" s="130"/>
      <c r="AI13" s="134"/>
    </row>
    <row r="14" spans="1:35" ht="12" customHeight="1" x14ac:dyDescent="0.2">
      <c r="A14" s="34"/>
      <c r="B14" s="131"/>
      <c r="C14" s="131"/>
      <c r="D14" s="131"/>
      <c r="E14" s="131"/>
      <c r="F14" s="131"/>
      <c r="G14" s="131"/>
      <c r="H14" s="131"/>
      <c r="I14" s="131"/>
      <c r="J14" s="131"/>
      <c r="K14" s="131"/>
      <c r="L14" s="131"/>
      <c r="M14" s="131"/>
      <c r="N14" s="152"/>
      <c r="O14" s="152"/>
      <c r="P14" s="152"/>
      <c r="Q14" s="130"/>
      <c r="R14" s="130"/>
      <c r="S14" s="130"/>
      <c r="T14" s="130"/>
      <c r="U14" s="130"/>
      <c r="V14" s="130"/>
      <c r="W14" s="130"/>
      <c r="X14" s="130"/>
      <c r="Y14" s="130"/>
      <c r="Z14" s="130"/>
      <c r="AA14" s="130"/>
      <c r="AB14" s="130"/>
      <c r="AC14" s="130"/>
      <c r="AD14" s="130"/>
      <c r="AE14" s="130"/>
      <c r="AF14" s="130"/>
      <c r="AG14" s="130"/>
      <c r="AH14" s="130"/>
      <c r="AI14" s="134"/>
    </row>
    <row r="15" spans="1:35" ht="12" customHeight="1" x14ac:dyDescent="0.2">
      <c r="A15" s="34"/>
      <c r="B15" s="36"/>
      <c r="C15" s="36"/>
      <c r="D15" s="36"/>
      <c r="E15" s="36"/>
      <c r="F15" s="36"/>
      <c r="G15" s="36"/>
      <c r="H15" s="36"/>
      <c r="I15" s="36"/>
      <c r="J15" s="36"/>
      <c r="K15" s="34"/>
      <c r="L15" s="34"/>
      <c r="M15" s="34"/>
      <c r="N15" s="34"/>
      <c r="O15" s="34"/>
      <c r="P15" s="1060"/>
      <c r="Q15" s="916" t="s">
        <v>659</v>
      </c>
      <c r="R15" s="916"/>
      <c r="S15" s="916"/>
      <c r="T15" s="916"/>
      <c r="U15" s="916"/>
      <c r="V15" s="916"/>
      <c r="W15" s="916"/>
      <c r="X15" s="916"/>
      <c r="Y15" s="916"/>
      <c r="Z15" s="916"/>
      <c r="AA15" s="916"/>
      <c r="AB15" s="916"/>
      <c r="AC15" s="916"/>
      <c r="AD15" s="916"/>
      <c r="AE15" s="916"/>
      <c r="AF15" s="916"/>
      <c r="AG15" s="916"/>
      <c r="AH15" s="916"/>
      <c r="AI15" s="134"/>
    </row>
    <row r="16" spans="1:35" ht="12" customHeight="1" x14ac:dyDescent="0.2">
      <c r="A16" s="34"/>
      <c r="B16" s="36"/>
      <c r="C16" s="36"/>
      <c r="D16" s="36"/>
      <c r="E16" s="36"/>
      <c r="F16" s="36"/>
      <c r="G16" s="36"/>
      <c r="H16" s="36"/>
      <c r="I16" s="36"/>
      <c r="J16" s="36"/>
      <c r="K16" s="34"/>
      <c r="L16" s="34"/>
      <c r="M16" s="34"/>
      <c r="N16" s="34"/>
      <c r="O16" s="34"/>
      <c r="P16" s="1060"/>
      <c r="Q16" s="916"/>
      <c r="R16" s="916"/>
      <c r="S16" s="916"/>
      <c r="T16" s="916"/>
      <c r="U16" s="916"/>
      <c r="V16" s="916"/>
      <c r="W16" s="916"/>
      <c r="X16" s="916"/>
      <c r="Y16" s="916"/>
      <c r="Z16" s="916"/>
      <c r="AA16" s="916"/>
      <c r="AB16" s="916"/>
      <c r="AC16" s="916"/>
      <c r="AD16" s="916"/>
      <c r="AE16" s="916"/>
      <c r="AF16" s="916"/>
      <c r="AG16" s="916"/>
      <c r="AH16" s="916"/>
      <c r="AI16" s="134"/>
    </row>
    <row r="17" spans="1:35" ht="12" customHeight="1" x14ac:dyDescent="0.2">
      <c r="A17" s="34"/>
      <c r="B17" s="36"/>
      <c r="C17" s="36"/>
      <c r="D17" s="36"/>
      <c r="E17" s="36"/>
      <c r="F17" s="36"/>
      <c r="G17" s="36"/>
      <c r="H17" s="36"/>
      <c r="I17" s="36"/>
      <c r="J17" s="36"/>
      <c r="K17" s="34"/>
      <c r="L17" s="34"/>
      <c r="M17" s="140"/>
      <c r="N17" s="34"/>
      <c r="O17" s="34"/>
      <c r="P17" s="1060"/>
      <c r="Q17" s="916"/>
      <c r="R17" s="916"/>
      <c r="S17" s="916"/>
      <c r="T17" s="916"/>
      <c r="U17" s="916"/>
      <c r="V17" s="916"/>
      <c r="W17" s="916"/>
      <c r="X17" s="916"/>
      <c r="Y17" s="916"/>
      <c r="Z17" s="916"/>
      <c r="AA17" s="916"/>
      <c r="AB17" s="916"/>
      <c r="AC17" s="916"/>
      <c r="AD17" s="916"/>
      <c r="AE17" s="916"/>
      <c r="AF17" s="916"/>
      <c r="AG17" s="916"/>
      <c r="AH17" s="916"/>
      <c r="AI17" s="134"/>
    </row>
    <row r="18" spans="1:35" ht="12" customHeight="1" x14ac:dyDescent="0.2">
      <c r="A18" s="34"/>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8"/>
      <c r="AD18" s="48"/>
      <c r="AE18" s="48"/>
      <c r="AF18" s="34"/>
      <c r="AG18" s="34"/>
      <c r="AH18" s="32"/>
      <c r="AI18" s="134"/>
    </row>
    <row r="19" spans="1:35" ht="12" customHeight="1" x14ac:dyDescent="0.2">
      <c r="A19" s="34"/>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8"/>
      <c r="AD19" s="48"/>
      <c r="AE19" s="48"/>
      <c r="AF19" s="34"/>
      <c r="AG19" s="34"/>
      <c r="AH19" s="32"/>
      <c r="AI19" s="134"/>
    </row>
    <row r="20" spans="1:35" ht="12" customHeight="1" x14ac:dyDescent="0.2">
      <c r="A20" s="34"/>
      <c r="B20" s="47"/>
      <c r="C20" s="47"/>
      <c r="D20" s="47"/>
      <c r="E20" s="47"/>
      <c r="F20" s="47"/>
      <c r="G20" s="47"/>
      <c r="H20" s="47"/>
      <c r="I20" s="47"/>
      <c r="J20" s="47"/>
      <c r="K20" s="47"/>
      <c r="L20" s="34"/>
      <c r="M20" s="34"/>
      <c r="N20" s="34"/>
      <c r="O20" s="34"/>
      <c r="P20" s="34"/>
      <c r="Q20" s="34"/>
      <c r="R20" s="34"/>
      <c r="S20" s="34"/>
      <c r="T20" s="34"/>
      <c r="U20" s="34"/>
      <c r="V20" s="34"/>
      <c r="W20" s="34"/>
      <c r="X20" s="34"/>
      <c r="Y20" s="34"/>
      <c r="Z20" s="34"/>
      <c r="AA20" s="47"/>
      <c r="AB20" s="47"/>
      <c r="AC20" s="48"/>
      <c r="AD20" s="48"/>
      <c r="AE20" s="48"/>
      <c r="AF20" s="34"/>
      <c r="AG20" s="34"/>
      <c r="AH20" s="32"/>
      <c r="AI20" s="134"/>
    </row>
    <row r="21" spans="1:35" ht="12" customHeight="1" x14ac:dyDescent="0.2">
      <c r="A21" s="34"/>
      <c r="B21" s="1061" t="s">
        <v>662</v>
      </c>
      <c r="C21" s="1061"/>
      <c r="D21" s="1061"/>
      <c r="E21" s="1061"/>
      <c r="F21" s="1061"/>
      <c r="G21" s="1061"/>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1061"/>
      <c r="AD21" s="1061"/>
      <c r="AE21" s="34"/>
      <c r="AF21" s="34"/>
      <c r="AG21" s="34"/>
      <c r="AH21" s="34"/>
      <c r="AI21" s="34"/>
    </row>
    <row r="22" spans="1:35" ht="12" customHeight="1" x14ac:dyDescent="0.2">
      <c r="A22" s="34"/>
      <c r="B22" s="1061"/>
      <c r="C22" s="1061"/>
      <c r="D22" s="1061"/>
      <c r="E22" s="1061"/>
      <c r="F22" s="1061"/>
      <c r="G22" s="1061"/>
      <c r="H22" s="1061"/>
      <c r="I22" s="1061"/>
      <c r="J22" s="1061"/>
      <c r="K22" s="1061"/>
      <c r="L22" s="1061"/>
      <c r="M22" s="1061"/>
      <c r="N22" s="1061"/>
      <c r="O22" s="1061"/>
      <c r="P22" s="1061"/>
      <c r="Q22" s="1061"/>
      <c r="R22" s="1061"/>
      <c r="S22" s="1061"/>
      <c r="T22" s="1061"/>
      <c r="U22" s="1061"/>
      <c r="V22" s="1061"/>
      <c r="W22" s="1061"/>
      <c r="X22" s="1061"/>
      <c r="Y22" s="1061"/>
      <c r="Z22" s="1061"/>
      <c r="AA22" s="1061"/>
      <c r="AB22" s="1061"/>
      <c r="AC22" s="1061"/>
      <c r="AD22" s="1061"/>
      <c r="AE22" s="34"/>
      <c r="AF22" s="34"/>
      <c r="AG22" s="34"/>
      <c r="AH22" s="34"/>
      <c r="AI22" s="34"/>
    </row>
    <row r="23" spans="1:35" ht="12" customHeight="1" x14ac:dyDescent="0.2">
      <c r="A23" s="34"/>
      <c r="B23" s="1061"/>
      <c r="C23" s="1061"/>
      <c r="D23" s="1061"/>
      <c r="E23" s="1061"/>
      <c r="F23" s="1061"/>
      <c r="G23" s="1061"/>
      <c r="H23" s="1061"/>
      <c r="I23" s="1061"/>
      <c r="J23" s="1061"/>
      <c r="K23" s="1061"/>
      <c r="L23" s="1061"/>
      <c r="M23" s="1061"/>
      <c r="N23" s="1061"/>
      <c r="O23" s="1061"/>
      <c r="P23" s="1061"/>
      <c r="Q23" s="1061"/>
      <c r="R23" s="1061"/>
      <c r="S23" s="1061"/>
      <c r="T23" s="1061"/>
      <c r="U23" s="1061"/>
      <c r="V23" s="1061"/>
      <c r="W23" s="1061"/>
      <c r="X23" s="1061"/>
      <c r="Y23" s="1061"/>
      <c r="Z23" s="1061"/>
      <c r="AA23" s="1061"/>
      <c r="AB23" s="1061"/>
      <c r="AC23" s="1061"/>
      <c r="AD23" s="1061"/>
      <c r="AE23" s="34"/>
      <c r="AF23" s="34"/>
      <c r="AG23" s="34"/>
      <c r="AH23" s="34"/>
      <c r="AI23" s="34"/>
    </row>
    <row r="24" spans="1:35" ht="12" customHeight="1" x14ac:dyDescent="0.2">
      <c r="A24" s="34"/>
      <c r="B24" s="1061"/>
      <c r="C24" s="1061"/>
      <c r="D24" s="1061"/>
      <c r="E24" s="1061"/>
      <c r="F24" s="1061"/>
      <c r="G24" s="1061"/>
      <c r="H24" s="1061"/>
      <c r="I24" s="1061"/>
      <c r="J24" s="1061"/>
      <c r="K24" s="1061"/>
      <c r="L24" s="1061"/>
      <c r="M24" s="1061"/>
      <c r="N24" s="1061"/>
      <c r="O24" s="1061"/>
      <c r="P24" s="1061"/>
      <c r="Q24" s="1061"/>
      <c r="R24" s="1061"/>
      <c r="S24" s="1061"/>
      <c r="T24" s="1061"/>
      <c r="U24" s="1061"/>
      <c r="V24" s="1061"/>
      <c r="W24" s="1061"/>
      <c r="X24" s="1061"/>
      <c r="Y24" s="1061"/>
      <c r="Z24" s="1061"/>
      <c r="AA24" s="1061"/>
      <c r="AB24" s="1061"/>
      <c r="AC24" s="1061"/>
      <c r="AD24" s="1061"/>
      <c r="AE24" s="34"/>
      <c r="AF24" s="34"/>
      <c r="AG24" s="34"/>
      <c r="AH24" s="34"/>
      <c r="AI24" s="34"/>
    </row>
    <row r="25" spans="1:35" ht="12" customHeight="1" x14ac:dyDescent="0.2">
      <c r="A25" s="34"/>
      <c r="B25" s="1061"/>
      <c r="C25" s="1061"/>
      <c r="D25" s="1061"/>
      <c r="E25" s="1061"/>
      <c r="F25" s="1061"/>
      <c r="G25" s="1061"/>
      <c r="H25" s="1061"/>
      <c r="I25" s="1061"/>
      <c r="J25" s="1061"/>
      <c r="K25" s="1061"/>
      <c r="L25" s="1061"/>
      <c r="M25" s="1061"/>
      <c r="N25" s="1061"/>
      <c r="O25" s="1061"/>
      <c r="P25" s="1061"/>
      <c r="Q25" s="1061"/>
      <c r="R25" s="1061"/>
      <c r="S25" s="1061"/>
      <c r="T25" s="1061"/>
      <c r="U25" s="1061"/>
      <c r="V25" s="1061"/>
      <c r="W25" s="1061"/>
      <c r="X25" s="1061"/>
      <c r="Y25" s="1061"/>
      <c r="Z25" s="1061"/>
      <c r="AA25" s="1061"/>
      <c r="AB25" s="1061"/>
      <c r="AC25" s="1061"/>
      <c r="AD25" s="1061"/>
      <c r="AE25" s="34"/>
      <c r="AF25" s="34"/>
      <c r="AG25" s="34"/>
      <c r="AH25" s="34"/>
      <c r="AI25" s="34"/>
    </row>
    <row r="26" spans="1:35" ht="12" customHeight="1" x14ac:dyDescent="0.2">
      <c r="A26" s="34"/>
      <c r="B26" s="1061"/>
      <c r="C26" s="1061"/>
      <c r="D26" s="1061"/>
      <c r="E26" s="1061"/>
      <c r="F26" s="1061"/>
      <c r="G26" s="1061"/>
      <c r="H26" s="1061"/>
      <c r="I26" s="1061"/>
      <c r="J26" s="1061"/>
      <c r="K26" s="1061"/>
      <c r="L26" s="1061"/>
      <c r="M26" s="1061"/>
      <c r="N26" s="1061"/>
      <c r="O26" s="1061"/>
      <c r="P26" s="1061"/>
      <c r="Q26" s="1061"/>
      <c r="R26" s="1061"/>
      <c r="S26" s="1061"/>
      <c r="T26" s="1061"/>
      <c r="U26" s="1061"/>
      <c r="V26" s="1061"/>
      <c r="W26" s="1061"/>
      <c r="X26" s="1061"/>
      <c r="Y26" s="1061"/>
      <c r="Z26" s="1061"/>
      <c r="AA26" s="1061"/>
      <c r="AB26" s="1061"/>
      <c r="AC26" s="1061"/>
      <c r="AD26" s="1061"/>
      <c r="AE26" s="34"/>
      <c r="AF26" s="34"/>
      <c r="AG26" s="34"/>
      <c r="AH26" s="34"/>
      <c r="AI26" s="34"/>
    </row>
    <row r="27" spans="1:35" ht="12" customHeight="1" x14ac:dyDescent="0.2">
      <c r="A27" s="34"/>
      <c r="B27" s="1061"/>
      <c r="C27" s="1061"/>
      <c r="D27" s="1061"/>
      <c r="E27" s="1061"/>
      <c r="F27" s="1061"/>
      <c r="G27" s="1061"/>
      <c r="H27" s="1061"/>
      <c r="I27" s="1061"/>
      <c r="J27" s="1061"/>
      <c r="K27" s="1061"/>
      <c r="L27" s="1061"/>
      <c r="M27" s="1061"/>
      <c r="N27" s="1061"/>
      <c r="O27" s="1061"/>
      <c r="P27" s="1061"/>
      <c r="Q27" s="1061"/>
      <c r="R27" s="1061"/>
      <c r="S27" s="1061"/>
      <c r="T27" s="1061"/>
      <c r="U27" s="1061"/>
      <c r="V27" s="1061"/>
      <c r="W27" s="1061"/>
      <c r="X27" s="1061"/>
      <c r="Y27" s="1061"/>
      <c r="Z27" s="1061"/>
      <c r="AA27" s="1061"/>
      <c r="AB27" s="1061"/>
      <c r="AC27" s="1061"/>
      <c r="AD27" s="1061"/>
      <c r="AE27" s="34"/>
      <c r="AF27" s="34"/>
      <c r="AG27" s="34"/>
      <c r="AH27" s="34"/>
      <c r="AI27" s="34"/>
    </row>
    <row r="28" spans="1:35" ht="12" customHeight="1" x14ac:dyDescent="0.2">
      <c r="A28" s="34"/>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8"/>
      <c r="AD28" s="48"/>
      <c r="AE28" s="48"/>
      <c r="AF28" s="34"/>
      <c r="AG28" s="34"/>
      <c r="AH28" s="32"/>
      <c r="AI28" s="134"/>
    </row>
    <row r="29" spans="1:35" ht="12" customHeight="1" x14ac:dyDescent="0.2">
      <c r="A29" s="34"/>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8"/>
      <c r="AD29" s="48"/>
      <c r="AE29" s="48"/>
      <c r="AF29" s="34"/>
      <c r="AG29" s="34"/>
      <c r="AH29" s="32"/>
      <c r="AI29" s="134"/>
    </row>
    <row r="30" spans="1:35" ht="12" customHeight="1" thickBot="1" x14ac:dyDescent="0.25">
      <c r="A30" s="34"/>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50"/>
      <c r="AD30" s="50"/>
      <c r="AE30" s="50"/>
      <c r="AF30" s="53"/>
      <c r="AG30" s="34"/>
      <c r="AH30" s="32"/>
      <c r="AI30" s="134"/>
    </row>
    <row r="31" spans="1:35" ht="30" customHeight="1" thickBot="1" x14ac:dyDescent="0.25">
      <c r="A31" s="34"/>
      <c r="B31" s="1062" t="s">
        <v>593</v>
      </c>
      <c r="C31" s="1062"/>
      <c r="D31" s="1062"/>
      <c r="E31" s="1062"/>
      <c r="F31" s="1062"/>
      <c r="G31" s="1062"/>
      <c r="H31" s="1062"/>
      <c r="I31" s="1062"/>
      <c r="J31" s="1062"/>
      <c r="K31" s="1062"/>
      <c r="L31" s="1062"/>
      <c r="M31" s="1062"/>
      <c r="N31" s="1115"/>
      <c r="O31" s="1064" t="str">
        <f>IF($P$9="X","Mesures de l'indicateur dans le site impacté",IF($P$15="X","Mesures de l'indicateur dans le site de compensation",""))</f>
        <v/>
      </c>
      <c r="P31" s="1064"/>
      <c r="Q31" s="1064"/>
      <c r="R31" s="1064"/>
      <c r="S31" s="1064"/>
      <c r="T31" s="1064"/>
      <c r="U31" s="1064"/>
      <c r="V31" s="1064"/>
      <c r="W31" s="1064"/>
      <c r="X31" s="1115"/>
      <c r="Y31" s="981" t="s">
        <v>589</v>
      </c>
      <c r="Z31" s="981"/>
      <c r="AA31" s="981"/>
      <c r="AB31" s="981"/>
      <c r="AC31" s="981"/>
      <c r="AD31" s="981"/>
      <c r="AE31" s="981"/>
      <c r="AF31" s="981"/>
      <c r="AG31" s="981"/>
      <c r="AH31" s="981"/>
      <c r="AI31" s="34"/>
    </row>
    <row r="32" spans="1:35" ht="12" customHeight="1" x14ac:dyDescent="0.2">
      <c r="A32" s="34"/>
      <c r="B32" s="1063"/>
      <c r="C32" s="1063"/>
      <c r="D32" s="1063"/>
      <c r="E32" s="1063"/>
      <c r="F32" s="1063"/>
      <c r="G32" s="1063"/>
      <c r="H32" s="1063"/>
      <c r="I32" s="1063"/>
      <c r="J32" s="1063"/>
      <c r="K32" s="1063"/>
      <c r="L32" s="1063"/>
      <c r="M32" s="1063"/>
      <c r="N32" s="944"/>
      <c r="O32" s="1065"/>
      <c r="P32" s="1065"/>
      <c r="Q32" s="1065"/>
      <c r="R32" s="1065"/>
      <c r="S32" s="1065"/>
      <c r="T32" s="1065"/>
      <c r="U32" s="1065"/>
      <c r="V32" s="1065"/>
      <c r="W32" s="1065"/>
      <c r="X32" s="944"/>
      <c r="Y32" s="972" t="s">
        <v>156</v>
      </c>
      <c r="Z32" s="972" t="s">
        <v>157</v>
      </c>
      <c r="AA32" s="975" t="s">
        <v>158</v>
      </c>
      <c r="AB32" s="959" t="s">
        <v>159</v>
      </c>
      <c r="AC32" s="959" t="s">
        <v>160</v>
      </c>
      <c r="AD32" s="959" t="s">
        <v>163</v>
      </c>
      <c r="AE32" s="959" t="s">
        <v>164</v>
      </c>
      <c r="AF32" s="959" t="s">
        <v>165</v>
      </c>
      <c r="AG32" s="969" t="s">
        <v>167</v>
      </c>
      <c r="AH32" s="969" t="s">
        <v>168</v>
      </c>
      <c r="AI32" s="34"/>
    </row>
    <row r="33" spans="1:35" ht="12" customHeight="1" x14ac:dyDescent="0.2">
      <c r="A33" s="34"/>
      <c r="B33" s="1063"/>
      <c r="C33" s="1063"/>
      <c r="D33" s="1063"/>
      <c r="E33" s="1063"/>
      <c r="F33" s="1063"/>
      <c r="G33" s="1063"/>
      <c r="H33" s="1063"/>
      <c r="I33" s="1063"/>
      <c r="J33" s="1063"/>
      <c r="K33" s="1063"/>
      <c r="L33" s="1063"/>
      <c r="M33" s="1063"/>
      <c r="N33" s="944"/>
      <c r="O33" s="1065"/>
      <c r="P33" s="1065"/>
      <c r="Q33" s="1065"/>
      <c r="R33" s="1065"/>
      <c r="S33" s="1065"/>
      <c r="T33" s="1065"/>
      <c r="U33" s="1065"/>
      <c r="V33" s="1065"/>
      <c r="W33" s="1065"/>
      <c r="X33" s="944"/>
      <c r="Y33" s="973"/>
      <c r="Z33" s="973"/>
      <c r="AA33" s="976"/>
      <c r="AB33" s="960"/>
      <c r="AC33" s="960"/>
      <c r="AD33" s="960"/>
      <c r="AE33" s="960"/>
      <c r="AF33" s="960"/>
      <c r="AG33" s="970"/>
      <c r="AH33" s="970"/>
      <c r="AI33" s="34"/>
    </row>
    <row r="34" spans="1:35" ht="12" customHeight="1" x14ac:dyDescent="0.2">
      <c r="A34" s="34"/>
      <c r="B34" s="910" t="s">
        <v>0</v>
      </c>
      <c r="C34" s="910"/>
      <c r="D34" s="910"/>
      <c r="E34" s="1066" t="s">
        <v>591</v>
      </c>
      <c r="F34" s="910" t="s">
        <v>596</v>
      </c>
      <c r="G34" s="910"/>
      <c r="H34" s="910"/>
      <c r="I34" s="910"/>
      <c r="J34" s="910" t="s">
        <v>597</v>
      </c>
      <c r="K34" s="910"/>
      <c r="L34" s="910"/>
      <c r="M34" s="910"/>
      <c r="N34" s="944"/>
      <c r="O34" s="1068" t="s">
        <v>660</v>
      </c>
      <c r="P34" s="1068"/>
      <c r="Q34" s="1068"/>
      <c r="R34" s="1068"/>
      <c r="S34" s="1070" t="s">
        <v>590</v>
      </c>
      <c r="T34" s="1070"/>
      <c r="U34" s="1070"/>
      <c r="V34" s="1070"/>
      <c r="W34" s="1071"/>
      <c r="X34" s="944"/>
      <c r="Y34" s="973"/>
      <c r="Z34" s="973"/>
      <c r="AA34" s="976"/>
      <c r="AB34" s="960"/>
      <c r="AC34" s="960"/>
      <c r="AD34" s="960"/>
      <c r="AE34" s="960"/>
      <c r="AF34" s="960"/>
      <c r="AG34" s="970"/>
      <c r="AH34" s="970"/>
      <c r="AI34" s="34"/>
    </row>
    <row r="35" spans="1:35" ht="12" customHeight="1" x14ac:dyDescent="0.2">
      <c r="A35" s="34"/>
      <c r="B35" s="910"/>
      <c r="C35" s="910"/>
      <c r="D35" s="910"/>
      <c r="E35" s="1066"/>
      <c r="F35" s="910"/>
      <c r="G35" s="910"/>
      <c r="H35" s="910"/>
      <c r="I35" s="910"/>
      <c r="J35" s="910"/>
      <c r="K35" s="910"/>
      <c r="L35" s="910"/>
      <c r="M35" s="910"/>
      <c r="N35" s="944"/>
      <c r="O35" s="1068"/>
      <c r="P35" s="1068"/>
      <c r="Q35" s="1068"/>
      <c r="R35" s="1068"/>
      <c r="S35" s="1070"/>
      <c r="T35" s="1070"/>
      <c r="U35" s="1070"/>
      <c r="V35" s="1070"/>
      <c r="W35" s="1071"/>
      <c r="X35" s="944"/>
      <c r="Y35" s="973"/>
      <c r="Z35" s="973"/>
      <c r="AA35" s="976"/>
      <c r="AB35" s="960"/>
      <c r="AC35" s="960"/>
      <c r="AD35" s="960"/>
      <c r="AE35" s="960"/>
      <c r="AF35" s="960"/>
      <c r="AG35" s="970"/>
      <c r="AH35" s="970"/>
      <c r="AI35" s="34"/>
    </row>
    <row r="36" spans="1:35" ht="12" customHeight="1" x14ac:dyDescent="0.2">
      <c r="A36" s="34"/>
      <c r="B36" s="910"/>
      <c r="C36" s="910"/>
      <c r="D36" s="910"/>
      <c r="E36" s="1066"/>
      <c r="F36" s="910"/>
      <c r="G36" s="910"/>
      <c r="H36" s="910"/>
      <c r="I36" s="910"/>
      <c r="J36" s="910"/>
      <c r="K36" s="910"/>
      <c r="L36" s="910"/>
      <c r="M36" s="910"/>
      <c r="N36" s="944"/>
      <c r="O36" s="1068"/>
      <c r="P36" s="1068"/>
      <c r="Q36" s="1068"/>
      <c r="R36" s="1068"/>
      <c r="S36" s="1070"/>
      <c r="T36" s="1070"/>
      <c r="U36" s="1070"/>
      <c r="V36" s="1070"/>
      <c r="W36" s="1071"/>
      <c r="X36" s="944"/>
      <c r="Y36" s="973"/>
      <c r="Z36" s="973"/>
      <c r="AA36" s="976"/>
      <c r="AB36" s="960"/>
      <c r="AC36" s="960"/>
      <c r="AD36" s="960"/>
      <c r="AE36" s="960"/>
      <c r="AF36" s="960"/>
      <c r="AG36" s="970"/>
      <c r="AH36" s="970"/>
      <c r="AI36" s="34"/>
    </row>
    <row r="37" spans="1:35" ht="12" customHeight="1" x14ac:dyDescent="0.2">
      <c r="A37" s="34"/>
      <c r="B37" s="910"/>
      <c r="C37" s="910"/>
      <c r="D37" s="910"/>
      <c r="E37" s="1066"/>
      <c r="F37" s="910"/>
      <c r="G37" s="910"/>
      <c r="H37" s="910"/>
      <c r="I37" s="910"/>
      <c r="J37" s="910"/>
      <c r="K37" s="910"/>
      <c r="L37" s="910"/>
      <c r="M37" s="910"/>
      <c r="N37" s="944"/>
      <c r="O37" s="1068"/>
      <c r="P37" s="1068"/>
      <c r="Q37" s="1068"/>
      <c r="R37" s="1068"/>
      <c r="S37" s="1070"/>
      <c r="T37" s="1070"/>
      <c r="U37" s="1070"/>
      <c r="V37" s="1070"/>
      <c r="W37" s="1071"/>
      <c r="X37" s="944"/>
      <c r="Y37" s="973"/>
      <c r="Z37" s="973"/>
      <c r="AA37" s="976"/>
      <c r="AB37" s="960"/>
      <c r="AC37" s="960"/>
      <c r="AD37" s="960"/>
      <c r="AE37" s="960"/>
      <c r="AF37" s="960"/>
      <c r="AG37" s="970"/>
      <c r="AH37" s="970"/>
      <c r="AI37" s="34"/>
    </row>
    <row r="38" spans="1:35" ht="12" customHeight="1" x14ac:dyDescent="0.2">
      <c r="A38" s="34"/>
      <c r="B38" s="910"/>
      <c r="C38" s="910"/>
      <c r="D38" s="910"/>
      <c r="E38" s="1066"/>
      <c r="F38" s="910"/>
      <c r="G38" s="910"/>
      <c r="H38" s="910"/>
      <c r="I38" s="910"/>
      <c r="J38" s="910"/>
      <c r="K38" s="910"/>
      <c r="L38" s="910"/>
      <c r="M38" s="910"/>
      <c r="N38" s="944"/>
      <c r="O38" s="1068"/>
      <c r="P38" s="1068"/>
      <c r="Q38" s="1068"/>
      <c r="R38" s="1068"/>
      <c r="S38" s="1070"/>
      <c r="T38" s="1070"/>
      <c r="U38" s="1070"/>
      <c r="V38" s="1070"/>
      <c r="W38" s="1071"/>
      <c r="X38" s="944"/>
      <c r="Y38" s="973"/>
      <c r="Z38" s="973"/>
      <c r="AA38" s="976"/>
      <c r="AB38" s="960"/>
      <c r="AC38" s="960"/>
      <c r="AD38" s="960"/>
      <c r="AE38" s="960"/>
      <c r="AF38" s="960"/>
      <c r="AG38" s="970"/>
      <c r="AH38" s="970"/>
      <c r="AI38" s="34"/>
    </row>
    <row r="39" spans="1:35" ht="12" customHeight="1" x14ac:dyDescent="0.2">
      <c r="A39" s="34"/>
      <c r="B39" s="910"/>
      <c r="C39" s="910"/>
      <c r="D39" s="910"/>
      <c r="E39" s="1066"/>
      <c r="F39" s="910"/>
      <c r="G39" s="910"/>
      <c r="H39" s="910"/>
      <c r="I39" s="910"/>
      <c r="J39" s="910"/>
      <c r="K39" s="910"/>
      <c r="L39" s="910"/>
      <c r="M39" s="910"/>
      <c r="N39" s="944"/>
      <c r="O39" s="1068"/>
      <c r="P39" s="1068"/>
      <c r="Q39" s="1068"/>
      <c r="R39" s="1068"/>
      <c r="S39" s="1070"/>
      <c r="T39" s="1070"/>
      <c r="U39" s="1070"/>
      <c r="V39" s="1070"/>
      <c r="W39" s="1071"/>
      <c r="X39" s="944"/>
      <c r="Y39" s="973"/>
      <c r="Z39" s="973"/>
      <c r="AA39" s="976"/>
      <c r="AB39" s="960"/>
      <c r="AC39" s="960"/>
      <c r="AD39" s="960"/>
      <c r="AE39" s="960"/>
      <c r="AF39" s="960"/>
      <c r="AG39" s="970"/>
      <c r="AH39" s="970"/>
      <c r="AI39" s="34"/>
    </row>
    <row r="40" spans="1:35" ht="12" customHeight="1" x14ac:dyDescent="0.2">
      <c r="A40" s="34"/>
      <c r="B40" s="910"/>
      <c r="C40" s="910"/>
      <c r="D40" s="910"/>
      <c r="E40" s="1066"/>
      <c r="F40" s="910"/>
      <c r="G40" s="910"/>
      <c r="H40" s="910"/>
      <c r="I40" s="910"/>
      <c r="J40" s="910"/>
      <c r="K40" s="910"/>
      <c r="L40" s="910"/>
      <c r="M40" s="910"/>
      <c r="N40" s="944"/>
      <c r="O40" s="1068"/>
      <c r="P40" s="1068"/>
      <c r="Q40" s="1068"/>
      <c r="R40" s="1068"/>
      <c r="S40" s="1070"/>
      <c r="T40" s="1070"/>
      <c r="U40" s="1070"/>
      <c r="V40" s="1070"/>
      <c r="W40" s="1071"/>
      <c r="X40" s="944"/>
      <c r="Y40" s="973"/>
      <c r="Z40" s="973"/>
      <c r="AA40" s="976"/>
      <c r="AB40" s="960"/>
      <c r="AC40" s="960"/>
      <c r="AD40" s="960"/>
      <c r="AE40" s="960"/>
      <c r="AF40" s="960"/>
      <c r="AG40" s="970"/>
      <c r="AH40" s="970"/>
      <c r="AI40" s="34"/>
    </row>
    <row r="41" spans="1:35" ht="12" customHeight="1" x14ac:dyDescent="0.2">
      <c r="A41" s="34"/>
      <c r="B41" s="910"/>
      <c r="C41" s="910"/>
      <c r="D41" s="910"/>
      <c r="E41" s="1066"/>
      <c r="F41" s="910"/>
      <c r="G41" s="910"/>
      <c r="H41" s="910"/>
      <c r="I41" s="910"/>
      <c r="J41" s="910"/>
      <c r="K41" s="910"/>
      <c r="L41" s="910"/>
      <c r="M41" s="910"/>
      <c r="N41" s="944"/>
      <c r="O41" s="1068"/>
      <c r="P41" s="1068"/>
      <c r="Q41" s="1068"/>
      <c r="R41" s="1068"/>
      <c r="S41" s="1070"/>
      <c r="T41" s="1070"/>
      <c r="U41" s="1070"/>
      <c r="V41" s="1070"/>
      <c r="W41" s="1071"/>
      <c r="X41" s="944"/>
      <c r="Y41" s="973"/>
      <c r="Z41" s="973"/>
      <c r="AA41" s="976"/>
      <c r="AB41" s="960"/>
      <c r="AC41" s="960"/>
      <c r="AD41" s="960"/>
      <c r="AE41" s="960"/>
      <c r="AF41" s="960"/>
      <c r="AG41" s="970"/>
      <c r="AH41" s="970"/>
      <c r="AI41" s="34"/>
    </row>
    <row r="42" spans="1:35" ht="12" customHeight="1" x14ac:dyDescent="0.2">
      <c r="A42" s="34"/>
      <c r="B42" s="910"/>
      <c r="C42" s="910"/>
      <c r="D42" s="910"/>
      <c r="E42" s="1066"/>
      <c r="F42" s="910"/>
      <c r="G42" s="910"/>
      <c r="H42" s="910"/>
      <c r="I42" s="910"/>
      <c r="J42" s="910"/>
      <c r="K42" s="910"/>
      <c r="L42" s="910"/>
      <c r="M42" s="910"/>
      <c r="N42" s="944"/>
      <c r="O42" s="1068"/>
      <c r="P42" s="1068"/>
      <c r="Q42" s="1068"/>
      <c r="R42" s="1068"/>
      <c r="S42" s="1070"/>
      <c r="T42" s="1070"/>
      <c r="U42" s="1070"/>
      <c r="V42" s="1070"/>
      <c r="W42" s="1071"/>
      <c r="X42" s="944"/>
      <c r="Y42" s="973"/>
      <c r="Z42" s="973"/>
      <c r="AA42" s="976"/>
      <c r="AB42" s="960"/>
      <c r="AC42" s="960"/>
      <c r="AD42" s="960"/>
      <c r="AE42" s="960"/>
      <c r="AF42" s="960"/>
      <c r="AG42" s="970"/>
      <c r="AH42" s="970"/>
      <c r="AI42" s="34"/>
    </row>
    <row r="43" spans="1:35" ht="12" customHeight="1" x14ac:dyDescent="0.2">
      <c r="A43" s="34"/>
      <c r="B43" s="910"/>
      <c r="C43" s="910"/>
      <c r="D43" s="910"/>
      <c r="E43" s="1066"/>
      <c r="F43" s="910"/>
      <c r="G43" s="910"/>
      <c r="H43" s="910"/>
      <c r="I43" s="910"/>
      <c r="J43" s="910"/>
      <c r="K43" s="910"/>
      <c r="L43" s="910"/>
      <c r="M43" s="910"/>
      <c r="N43" s="944"/>
      <c r="O43" s="1068"/>
      <c r="P43" s="1068"/>
      <c r="Q43" s="1068"/>
      <c r="R43" s="1068"/>
      <c r="S43" s="1070"/>
      <c r="T43" s="1070"/>
      <c r="U43" s="1070"/>
      <c r="V43" s="1070"/>
      <c r="W43" s="1071"/>
      <c r="X43" s="944"/>
      <c r="Y43" s="973"/>
      <c r="Z43" s="973"/>
      <c r="AA43" s="976"/>
      <c r="AB43" s="960"/>
      <c r="AC43" s="960"/>
      <c r="AD43" s="960"/>
      <c r="AE43" s="960"/>
      <c r="AF43" s="960"/>
      <c r="AG43" s="970"/>
      <c r="AH43" s="970"/>
      <c r="AI43" s="34"/>
    </row>
    <row r="44" spans="1:35" ht="12" customHeight="1" thickBot="1" x14ac:dyDescent="0.25">
      <c r="A44" s="34"/>
      <c r="B44" s="910"/>
      <c r="C44" s="910"/>
      <c r="D44" s="910"/>
      <c r="E44" s="1067"/>
      <c r="F44" s="910"/>
      <c r="G44" s="910"/>
      <c r="H44" s="910"/>
      <c r="I44" s="910"/>
      <c r="J44" s="910"/>
      <c r="K44" s="910"/>
      <c r="L44" s="910"/>
      <c r="M44" s="910"/>
      <c r="N44" s="1116"/>
      <c r="O44" s="1069"/>
      <c r="P44" s="1069"/>
      <c r="Q44" s="1069"/>
      <c r="R44" s="1069"/>
      <c r="S44" s="1070"/>
      <c r="T44" s="1070"/>
      <c r="U44" s="1070"/>
      <c r="V44" s="1070"/>
      <c r="W44" s="1071"/>
      <c r="X44" s="1116"/>
      <c r="Y44" s="973"/>
      <c r="Z44" s="973"/>
      <c r="AA44" s="976"/>
      <c r="AB44" s="960"/>
      <c r="AC44" s="960"/>
      <c r="AD44" s="960"/>
      <c r="AE44" s="960"/>
      <c r="AF44" s="960"/>
      <c r="AG44" s="970"/>
      <c r="AH44" s="970"/>
      <c r="AI44" s="34"/>
    </row>
    <row r="45" spans="1:35" ht="30" customHeight="1" thickBot="1" x14ac:dyDescent="0.25">
      <c r="A45" s="34"/>
      <c r="B45" s="67"/>
      <c r="C45" s="67"/>
      <c r="D45" s="67"/>
      <c r="E45" s="67"/>
      <c r="F45" s="153"/>
      <c r="G45" s="67"/>
      <c r="H45" s="67"/>
      <c r="I45" s="67"/>
      <c r="J45" s="68"/>
      <c r="K45" s="68"/>
      <c r="L45" s="68"/>
      <c r="M45" s="68"/>
      <c r="N45" s="68"/>
      <c r="O45" s="68"/>
      <c r="P45" s="68"/>
      <c r="Q45" s="68"/>
      <c r="R45" s="68"/>
      <c r="S45" s="68"/>
      <c r="T45" s="68"/>
      <c r="U45" s="68"/>
      <c r="V45" s="153"/>
      <c r="W45" s="68"/>
      <c r="X45" s="68"/>
      <c r="Y45" s="965" t="s">
        <v>594</v>
      </c>
      <c r="Z45" s="965"/>
      <c r="AA45" s="965"/>
      <c r="AB45" s="965"/>
      <c r="AC45" s="965"/>
      <c r="AD45" s="965"/>
      <c r="AE45" s="965"/>
      <c r="AF45" s="965"/>
      <c r="AG45" s="965"/>
      <c r="AH45" s="965"/>
      <c r="AI45" s="34"/>
    </row>
    <row r="46" spans="1:35" ht="30" customHeight="1" x14ac:dyDescent="0.2">
      <c r="A46" s="34"/>
      <c r="B46" s="154" t="s">
        <v>537</v>
      </c>
      <c r="C46" s="154"/>
      <c r="D46" s="154"/>
      <c r="E46" s="154"/>
      <c r="F46" s="155"/>
      <c r="G46" s="154"/>
      <c r="H46" s="154"/>
      <c r="I46" s="154"/>
      <c r="J46" s="154"/>
      <c r="K46" s="156"/>
      <c r="L46" s="156"/>
      <c r="M46" s="156"/>
      <c r="N46" s="156"/>
      <c r="O46" s="156"/>
      <c r="P46" s="156"/>
      <c r="Q46" s="156"/>
      <c r="R46" s="156"/>
      <c r="S46" s="156"/>
      <c r="T46" s="156"/>
      <c r="U46" s="156"/>
      <c r="V46" s="156"/>
      <c r="W46" s="154"/>
      <c r="X46" s="156"/>
      <c r="Y46" s="154"/>
      <c r="Z46" s="154"/>
      <c r="AA46" s="154"/>
      <c r="AB46" s="154"/>
      <c r="AC46" s="154"/>
      <c r="AD46" s="154"/>
      <c r="AE46" s="154"/>
      <c r="AF46" s="154"/>
      <c r="AG46" s="154"/>
      <c r="AH46" s="156"/>
      <c r="AI46" s="34"/>
    </row>
    <row r="47" spans="1:35" ht="30" customHeight="1" thickBot="1" x14ac:dyDescent="0.25">
      <c r="A47" s="34"/>
      <c r="B47" s="982" t="s">
        <v>592</v>
      </c>
      <c r="C47" s="924"/>
      <c r="D47" s="983"/>
      <c r="E47" s="1009">
        <v>41</v>
      </c>
      <c r="F47" s="982" t="s">
        <v>602</v>
      </c>
      <c r="G47" s="924"/>
      <c r="H47" s="924"/>
      <c r="I47" s="983"/>
      <c r="J47" s="982" t="s">
        <v>601</v>
      </c>
      <c r="K47" s="924"/>
      <c r="L47" s="924"/>
      <c r="M47" s="983"/>
      <c r="N47" s="134"/>
      <c r="O47" s="922" t="str">
        <f>IF($P$9="X","Avant impact",IF($P$15="X","Avant action écologique",""))</f>
        <v/>
      </c>
      <c r="P47" s="1072"/>
      <c r="Q47" s="1085" t="str">
        <f>IF($P$9="X",'Calcul auto.'!F56,IF($P$15="X",'Calcul auto.'!CX56,""))</f>
        <v/>
      </c>
      <c r="R47" s="1086"/>
      <c r="S47" s="1042" t="str">
        <f>IF($P$9="X",CONCATENATE('Calcul auto.'!X56,'Calcul auto.'!Y56,'Calcul auto.'!Z56,'Calcul auto.'!AA56,'Calcul auto.'!AB56,'Calcul auto.'!AC56),IF($P$15="X",CONCATENATE('Calcul auto.'!DP56,'Calcul auto.'!DQ56,'Calcul auto.'!DR56,'Calcul auto.'!DS56,'Calcul auto.'!DT56,'Calcul auto.'!DU56),""))</f>
        <v/>
      </c>
      <c r="T47" s="1087"/>
      <c r="U47" s="1087"/>
      <c r="V47" s="1087"/>
      <c r="W47" s="1043"/>
      <c r="X47" s="134"/>
      <c r="Y47" s="1076"/>
      <c r="Z47" s="1076"/>
      <c r="AA47" s="1003"/>
      <c r="AB47" s="997"/>
      <c r="AC47" s="997"/>
      <c r="AD47" s="997"/>
      <c r="AE47" s="997"/>
      <c r="AF47" s="1076"/>
      <c r="AG47" s="1076"/>
      <c r="AH47" s="1076"/>
      <c r="AI47" s="34"/>
    </row>
    <row r="48" spans="1:35" ht="30" customHeight="1" thickBot="1" x14ac:dyDescent="0.25">
      <c r="A48" s="34"/>
      <c r="B48" s="982"/>
      <c r="C48" s="924"/>
      <c r="D48" s="983"/>
      <c r="E48" s="1009"/>
      <c r="F48" s="982"/>
      <c r="G48" s="924"/>
      <c r="H48" s="924"/>
      <c r="I48" s="983"/>
      <c r="J48" s="982"/>
      <c r="K48" s="924"/>
      <c r="L48" s="924"/>
      <c r="M48" s="983"/>
      <c r="N48" s="134"/>
      <c r="O48" s="922" t="str">
        <f>IF($P$9="X","Avec impact envisagé",IF($P$15="X","Avec act. écol. envisagée",""))</f>
        <v/>
      </c>
      <c r="P48" s="1072"/>
      <c r="Q48" s="1078" t="str">
        <f>IF($P$9="X",'Calcul auto.'!AL56,IF($P$15="X",'Calcul auto.'!ED56,""))</f>
        <v/>
      </c>
      <c r="R48" s="1079"/>
      <c r="S48" s="990" t="str">
        <f>IF($P$9="X",CONCATENATE('Calcul auto.'!BD56,'Calcul auto.'!BE56,'Calcul auto.'!BF56,'Calcul auto.'!BG56,'Calcul auto.'!BH56,'Calcul auto.'!BI56),IF($P$15="X",CONCATENATE('Calcul auto.'!EV56,'Calcul auto.'!EW56,'Calcul auto.'!EX56,'Calcul auto.'!EY56,'Calcul auto.'!EZ56,'Calcul auto.'!FA56),""))</f>
        <v/>
      </c>
      <c r="T48" s="991"/>
      <c r="U48" s="991"/>
      <c r="V48" s="991"/>
      <c r="W48" s="992"/>
      <c r="X48" s="134"/>
      <c r="Y48" s="1076"/>
      <c r="Z48" s="1076"/>
      <c r="AA48" s="1003"/>
      <c r="AB48" s="997"/>
      <c r="AC48" s="997"/>
      <c r="AD48" s="997"/>
      <c r="AE48" s="997"/>
      <c r="AF48" s="1076"/>
      <c r="AG48" s="1076"/>
      <c r="AH48" s="1076"/>
      <c r="AI48" s="34"/>
    </row>
    <row r="49" spans="1:35" ht="30" customHeight="1" x14ac:dyDescent="0.2">
      <c r="A49" s="34"/>
      <c r="B49" s="1014"/>
      <c r="C49" s="1015"/>
      <c r="D49" s="1016"/>
      <c r="E49" s="1010"/>
      <c r="F49" s="1014"/>
      <c r="G49" s="1015"/>
      <c r="H49" s="1015"/>
      <c r="I49" s="1016"/>
      <c r="J49" s="1014"/>
      <c r="K49" s="1015"/>
      <c r="L49" s="1015"/>
      <c r="M49" s="1016"/>
      <c r="N49" s="178"/>
      <c r="O49" s="1073" t="str">
        <f>IF($P$9="X","Après impact",IF($P$15="X","Après action écologique",""))</f>
        <v/>
      </c>
      <c r="P49" s="1074"/>
      <c r="Q49" s="1096" t="str">
        <f>IF($P$9="X",'Calcul auto.'!BR56,IF($P$15="X",'Calcul auto.'!FJ56,""))</f>
        <v/>
      </c>
      <c r="R49" s="1097"/>
      <c r="S49" s="1023" t="str">
        <f>IF($P$9="X",CONCATENATE('Calcul auto.'!CJ56,'Calcul auto.'!CK56,'Calcul auto.'!CL56,'Calcul auto.'!CM56,'Calcul auto.'!CN56,'Calcul auto.'!CO56),IF($P$15="X",CONCATENATE('Calcul auto.'!GB56,'Calcul auto.'!GC56,'Calcul auto.'!GD56,'Calcul auto.'!GE56,'Calcul auto.'!GF56,'Calcul auto.'!GG56),""))</f>
        <v/>
      </c>
      <c r="T49" s="1082"/>
      <c r="U49" s="1082"/>
      <c r="V49" s="1082"/>
      <c r="W49" s="1024"/>
      <c r="X49" s="178"/>
      <c r="Y49" s="1077"/>
      <c r="Z49" s="1077"/>
      <c r="AA49" s="1004"/>
      <c r="AB49" s="1006"/>
      <c r="AC49" s="1006"/>
      <c r="AD49" s="1006"/>
      <c r="AE49" s="1006"/>
      <c r="AF49" s="1077"/>
      <c r="AG49" s="1077"/>
      <c r="AH49" s="1077"/>
      <c r="AI49" s="34"/>
    </row>
    <row r="50" spans="1:35" ht="30" customHeight="1" thickBot="1" x14ac:dyDescent="0.25">
      <c r="A50" s="34"/>
      <c r="B50" s="1011" t="s">
        <v>415</v>
      </c>
      <c r="C50" s="1012"/>
      <c r="D50" s="1012"/>
      <c r="E50" s="1008">
        <v>56</v>
      </c>
      <c r="F50" s="1011" t="s">
        <v>603</v>
      </c>
      <c r="G50" s="1012"/>
      <c r="H50" s="1012"/>
      <c r="I50" s="1013"/>
      <c r="J50" s="1011" t="s">
        <v>606</v>
      </c>
      <c r="K50" s="1012"/>
      <c r="L50" s="1012"/>
      <c r="M50" s="1013"/>
      <c r="N50" s="162"/>
      <c r="O50" s="922" t="str">
        <f>IF($P$9="X","Avant impact",IF($P$15="X","Avant action écologique",""))</f>
        <v/>
      </c>
      <c r="P50" s="1072"/>
      <c r="Q50" s="1083" t="str">
        <f>IF($P$9="X",'Calcul auto.'!H57,IF($P$15="X",'Calcul auto.'!CZ57,""))</f>
        <v/>
      </c>
      <c r="R50" s="1084"/>
      <c r="S50" s="1019" t="str">
        <f>IF($P$9="X",CONCATENATE('Calcul auto.'!X57,'Calcul auto.'!Y57,'Calcul auto.'!Z57,'Calcul auto.'!AA57,'Calcul auto.'!AB57,'Calcul auto.'!AC57),IF($P$15="X",CONCATENATE('Calcul auto.'!DP57,'Calcul auto.'!DQ57,'Calcul auto.'!DR57,'Calcul auto.'!DS57,'Calcul auto.'!DT57,'Calcul auto.'!DU57),""))</f>
        <v/>
      </c>
      <c r="T50" s="1098"/>
      <c r="U50" s="1098"/>
      <c r="V50" s="1098"/>
      <c r="W50" s="1020"/>
      <c r="X50" s="162"/>
      <c r="Y50" s="1075"/>
      <c r="Z50" s="1075"/>
      <c r="AA50" s="1075"/>
      <c r="AB50" s="1075"/>
      <c r="AC50" s="996"/>
      <c r="AD50" s="1075"/>
      <c r="AE50" s="996"/>
      <c r="AF50" s="1075"/>
      <c r="AG50" s="1075"/>
      <c r="AH50" s="1075"/>
      <c r="AI50" s="34"/>
    </row>
    <row r="51" spans="1:35" ht="30" customHeight="1" thickBot="1" x14ac:dyDescent="0.25">
      <c r="A51" s="34"/>
      <c r="B51" s="982"/>
      <c r="C51" s="924"/>
      <c r="D51" s="924"/>
      <c r="E51" s="1009"/>
      <c r="F51" s="982"/>
      <c r="G51" s="924"/>
      <c r="H51" s="924"/>
      <c r="I51" s="983"/>
      <c r="J51" s="982"/>
      <c r="K51" s="924"/>
      <c r="L51" s="924"/>
      <c r="M51" s="983"/>
      <c r="N51" s="134"/>
      <c r="O51" s="922" t="str">
        <f>IF($P$9="X","Avec impact envisagé",IF($P$15="X","Avec act. écol. envisagée",""))</f>
        <v/>
      </c>
      <c r="P51" s="1072"/>
      <c r="Q51" s="1078" t="str">
        <f>IF($P$9="X",'Calcul auto.'!AN57,IF($P$15="X",'Calcul auto.'!EF57,""))</f>
        <v/>
      </c>
      <c r="R51" s="1079"/>
      <c r="S51" s="990" t="str">
        <f>IF($P$9="X",CONCATENATE('Calcul auto.'!BD57,'Calcul auto.'!BE57,'Calcul auto.'!BF57,'Calcul auto.'!BG57,'Calcul auto.'!BH57,'Calcul auto.'!BI57),IF($P$15="X",CONCATENATE('Calcul auto.'!EV57,'Calcul auto.'!EW57,'Calcul auto.'!EX57,'Calcul auto.'!EY57,'Calcul auto.'!EZ57,'Calcul auto.'!FA57),""))</f>
        <v/>
      </c>
      <c r="T51" s="991"/>
      <c r="U51" s="991"/>
      <c r="V51" s="991"/>
      <c r="W51" s="992"/>
      <c r="X51" s="134"/>
      <c r="Y51" s="1076"/>
      <c r="Z51" s="1076"/>
      <c r="AA51" s="1076"/>
      <c r="AB51" s="1076"/>
      <c r="AC51" s="997"/>
      <c r="AD51" s="1076"/>
      <c r="AE51" s="997"/>
      <c r="AF51" s="1076"/>
      <c r="AG51" s="1076"/>
      <c r="AH51" s="1076"/>
      <c r="AI51" s="34"/>
    </row>
    <row r="52" spans="1:35" ht="30" customHeight="1" x14ac:dyDescent="0.2">
      <c r="A52" s="34"/>
      <c r="B52" s="1014"/>
      <c r="C52" s="1015"/>
      <c r="D52" s="1015"/>
      <c r="E52" s="1010"/>
      <c r="F52" s="1014"/>
      <c r="G52" s="1015"/>
      <c r="H52" s="1015"/>
      <c r="I52" s="1016"/>
      <c r="J52" s="1014"/>
      <c r="K52" s="1015"/>
      <c r="L52" s="1015"/>
      <c r="M52" s="1016"/>
      <c r="N52" s="178"/>
      <c r="O52" s="1073" t="str">
        <f>IF($P$9="X","Après impact",IF($P$15="X","Après action écologique",""))</f>
        <v/>
      </c>
      <c r="P52" s="1074"/>
      <c r="Q52" s="1096" t="str">
        <f>IF($P$9="X",'Calcul auto.'!BT57,IF($P$15="X",'Calcul auto.'!FL57,""))</f>
        <v/>
      </c>
      <c r="R52" s="1097"/>
      <c r="S52" s="1023" t="str">
        <f>IF($P$9="X",CONCATENATE('Calcul auto.'!CJ57,'Calcul auto.'!CK57,'Calcul auto.'!CL57,'Calcul auto.'!CM57,'Calcul auto.'!CN57,'Calcul auto.'!CO57),IF($P$15="X",CONCATENATE('Calcul auto.'!GB57,'Calcul auto.'!GC57,'Calcul auto.'!GD57,'Calcul auto.'!GE57,'Calcul auto.'!GF57,'Calcul auto.'!GG57),""))</f>
        <v/>
      </c>
      <c r="T52" s="1082"/>
      <c r="U52" s="1082"/>
      <c r="V52" s="1082"/>
      <c r="W52" s="1024"/>
      <c r="X52" s="178"/>
      <c r="Y52" s="1077"/>
      <c r="Z52" s="1077"/>
      <c r="AA52" s="1077"/>
      <c r="AB52" s="1077"/>
      <c r="AC52" s="1006"/>
      <c r="AD52" s="1077"/>
      <c r="AE52" s="1006"/>
      <c r="AF52" s="1077"/>
      <c r="AG52" s="1077"/>
      <c r="AH52" s="1077"/>
      <c r="AI52" s="34"/>
    </row>
    <row r="53" spans="1:35" ht="30" customHeight="1" thickBot="1" x14ac:dyDescent="0.25">
      <c r="A53" s="34"/>
      <c r="B53" s="1011" t="s">
        <v>416</v>
      </c>
      <c r="C53" s="1012"/>
      <c r="D53" s="1013"/>
      <c r="E53" s="1008">
        <v>56</v>
      </c>
      <c r="F53" s="1011" t="s">
        <v>603</v>
      </c>
      <c r="G53" s="1012"/>
      <c r="H53" s="1012"/>
      <c r="I53" s="1013"/>
      <c r="J53" s="1011" t="s">
        <v>605</v>
      </c>
      <c r="K53" s="1012"/>
      <c r="L53" s="1012"/>
      <c r="M53" s="1013"/>
      <c r="N53" s="162"/>
      <c r="O53" s="922" t="str">
        <f>IF($P$9="X","Avant impact",IF($P$15="X","Avant action écologique",""))</f>
        <v/>
      </c>
      <c r="P53" s="1072"/>
      <c r="Q53" s="1083" t="str">
        <f>IF($P$9="X",'Calcul auto.'!K58,IF($P$15="X",'Calcul auto.'!DC58,""))</f>
        <v/>
      </c>
      <c r="R53" s="1084"/>
      <c r="S53" s="1019" t="str">
        <f>IF($P$9="X",CONCATENATE('Calcul auto.'!X58,'Calcul auto.'!Y58,'Calcul auto.'!Z58,'Calcul auto.'!AA58,'Calcul auto.'!AB58,'Calcul auto.'!AC58),IF($P$15="X",CONCATENATE('Calcul auto.'!DP58,'Calcul auto.'!DQ58,'Calcul auto.'!DR58,'Calcul auto.'!DS58,'Calcul auto.'!DT58,'Calcul auto.'!DU58),""))</f>
        <v/>
      </c>
      <c r="T53" s="1098"/>
      <c r="U53" s="1098"/>
      <c r="V53" s="1098"/>
      <c r="W53" s="1020"/>
      <c r="X53" s="162"/>
      <c r="Y53" s="1075"/>
      <c r="Z53" s="1075"/>
      <c r="AA53" s="1075"/>
      <c r="AB53" s="1075"/>
      <c r="AC53" s="1075"/>
      <c r="AD53" s="1075"/>
      <c r="AE53" s="1075"/>
      <c r="AF53" s="996"/>
      <c r="AG53" s="1075"/>
      <c r="AH53" s="1075"/>
      <c r="AI53" s="34"/>
    </row>
    <row r="54" spans="1:35" ht="30" customHeight="1" thickBot="1" x14ac:dyDescent="0.25">
      <c r="A54" s="34"/>
      <c r="B54" s="982"/>
      <c r="C54" s="924"/>
      <c r="D54" s="983"/>
      <c r="E54" s="1009"/>
      <c r="F54" s="982"/>
      <c r="G54" s="924"/>
      <c r="H54" s="924"/>
      <c r="I54" s="983"/>
      <c r="J54" s="982"/>
      <c r="K54" s="924"/>
      <c r="L54" s="924"/>
      <c r="M54" s="983"/>
      <c r="N54" s="134"/>
      <c r="O54" s="922" t="str">
        <f>IF($P$9="X","Avec impact envisagé",IF($P$15="X","Avec act. écol. envisagée",""))</f>
        <v/>
      </c>
      <c r="P54" s="1072"/>
      <c r="Q54" s="1078" t="str">
        <f>IF($P$9="X",'Calcul auto.'!AQ58,IF($P$15="X",'Calcul auto.'!EI58,""))</f>
        <v/>
      </c>
      <c r="R54" s="1079"/>
      <c r="S54" s="990" t="str">
        <f>IF($P$9="X",CONCATENATE('Calcul auto.'!BD58,'Calcul auto.'!BE58,'Calcul auto.'!BF58,'Calcul auto.'!BG58,'Calcul auto.'!BH58,'Calcul auto.'!BI58),IF($P$15="X",CONCATENATE('Calcul auto.'!EV58,'Calcul auto.'!EW58,'Calcul auto.'!EX58,'Calcul auto.'!EY58,'Calcul auto.'!EZ58,'Calcul auto.'!FA58),""))</f>
        <v/>
      </c>
      <c r="T54" s="991"/>
      <c r="U54" s="991"/>
      <c r="V54" s="991"/>
      <c r="W54" s="992"/>
      <c r="X54" s="134"/>
      <c r="Y54" s="1076"/>
      <c r="Z54" s="1076"/>
      <c r="AA54" s="1076"/>
      <c r="AB54" s="1076"/>
      <c r="AC54" s="1076"/>
      <c r="AD54" s="1076"/>
      <c r="AE54" s="1076"/>
      <c r="AF54" s="997"/>
      <c r="AG54" s="1076"/>
      <c r="AH54" s="1076"/>
      <c r="AI54" s="34"/>
    </row>
    <row r="55" spans="1:35" ht="30" customHeight="1" x14ac:dyDescent="0.2">
      <c r="A55" s="34"/>
      <c r="B55" s="1014"/>
      <c r="C55" s="1015"/>
      <c r="D55" s="1016"/>
      <c r="E55" s="1010"/>
      <c r="F55" s="1014"/>
      <c r="G55" s="1015"/>
      <c r="H55" s="1015"/>
      <c r="I55" s="1016"/>
      <c r="J55" s="1014"/>
      <c r="K55" s="1015"/>
      <c r="L55" s="1015"/>
      <c r="M55" s="1016"/>
      <c r="N55" s="178"/>
      <c r="O55" s="1073" t="str">
        <f>IF($P$9="X","Après impact",IF($P$15="X","Après action écologique",""))</f>
        <v/>
      </c>
      <c r="P55" s="1074"/>
      <c r="Q55" s="1080" t="str">
        <f>IF($P$9="X",'Calcul auto.'!BW58,IF($P$15="X",'Calcul auto.'!FO58,""))</f>
        <v/>
      </c>
      <c r="R55" s="1081"/>
      <c r="S55" s="1023" t="str">
        <f>IF($P$9="X",CONCATENATE('Calcul auto.'!CJ58,'Calcul auto.'!CK58,'Calcul auto.'!CL58,'Calcul auto.'!CM58,'Calcul auto.'!CN58,'Calcul auto.'!CO58),IF($P$15="X",CONCATENATE('Calcul auto.'!GB58,'Calcul auto.'!GC58,'Calcul auto.'!GD58,'Calcul auto.'!GE58,'Calcul auto.'!GF58,'Calcul auto.'!GG58),""))</f>
        <v/>
      </c>
      <c r="T55" s="1082"/>
      <c r="U55" s="1082"/>
      <c r="V55" s="1082"/>
      <c r="W55" s="1024"/>
      <c r="X55" s="178"/>
      <c r="Y55" s="1077"/>
      <c r="Z55" s="1077"/>
      <c r="AA55" s="1077"/>
      <c r="AB55" s="1077"/>
      <c r="AC55" s="1077"/>
      <c r="AD55" s="1077"/>
      <c r="AE55" s="1077"/>
      <c r="AF55" s="1006"/>
      <c r="AG55" s="1077"/>
      <c r="AH55" s="1077"/>
      <c r="AI55" s="34"/>
    </row>
    <row r="56" spans="1:35" ht="30" customHeight="1" thickBot="1" x14ac:dyDescent="0.25">
      <c r="A56" s="34"/>
      <c r="B56" s="982" t="s">
        <v>138</v>
      </c>
      <c r="C56" s="924"/>
      <c r="D56" s="983"/>
      <c r="E56" s="1009">
        <v>56</v>
      </c>
      <c r="F56" s="982" t="s">
        <v>604</v>
      </c>
      <c r="G56" s="924"/>
      <c r="H56" s="924"/>
      <c r="I56" s="983"/>
      <c r="J56" s="982" t="s">
        <v>607</v>
      </c>
      <c r="K56" s="924"/>
      <c r="L56" s="924"/>
      <c r="M56" s="983"/>
      <c r="N56" s="134"/>
      <c r="O56" s="922" t="str">
        <f>IF($P$9="X","Avant impact",IF($P$15="X","Avant action écologique",""))</f>
        <v/>
      </c>
      <c r="P56" s="1072"/>
      <c r="Q56" s="1085" t="str">
        <f>IF($P$9="X",'Calcul auto.'!D59,IF($P$15="X",'Calcul auto.'!CV59,""))</f>
        <v/>
      </c>
      <c r="R56" s="1086"/>
      <c r="S56" s="1042" t="str">
        <f>IF($P$9="X",CONCATENATE('Calcul auto.'!X59,'Calcul auto.'!Y59,'Calcul auto.'!Z59,'Calcul auto.'!AA59,'Calcul auto.'!AB59,'Calcul auto.'!AC59),IF($P$15="X",CONCATENATE('Calcul auto.'!DP59,'Calcul auto.'!DQ59,'Calcul auto.'!DR59,'Calcul auto.'!DS59,'Calcul auto.'!DT59,'Calcul auto.'!DU59),""))</f>
        <v/>
      </c>
      <c r="T56" s="1087"/>
      <c r="U56" s="1087"/>
      <c r="V56" s="1087"/>
      <c r="W56" s="1043"/>
      <c r="X56" s="134"/>
      <c r="Y56" s="1003"/>
      <c r="Z56" s="1076"/>
      <c r="AA56" s="1003"/>
      <c r="AB56" s="997"/>
      <c r="AC56" s="997"/>
      <c r="AD56" s="997"/>
      <c r="AE56" s="997"/>
      <c r="AF56" s="1076"/>
      <c r="AG56" s="1076"/>
      <c r="AH56" s="1076"/>
      <c r="AI56" s="34"/>
    </row>
    <row r="57" spans="1:35" ht="30" customHeight="1" thickBot="1" x14ac:dyDescent="0.25">
      <c r="A57" s="34"/>
      <c r="B57" s="982"/>
      <c r="C57" s="924"/>
      <c r="D57" s="983"/>
      <c r="E57" s="1009"/>
      <c r="F57" s="982"/>
      <c r="G57" s="924"/>
      <c r="H57" s="924"/>
      <c r="I57" s="983"/>
      <c r="J57" s="982"/>
      <c r="K57" s="924"/>
      <c r="L57" s="924"/>
      <c r="M57" s="983"/>
      <c r="N57" s="134"/>
      <c r="O57" s="922" t="str">
        <f>IF($P$9="X","Avec impact envisagé",IF($P$15="X","Avec act. écol. envisagée",""))</f>
        <v/>
      </c>
      <c r="P57" s="1072"/>
      <c r="Q57" s="1078" t="str">
        <f>IF($P$9="X",'Calcul auto.'!AJ59,IF($P$15="X",'Calcul auto.'!EB59,""))</f>
        <v/>
      </c>
      <c r="R57" s="1079"/>
      <c r="S57" s="990" t="str">
        <f>IF($P$9="X",CONCATENATE('Calcul auto.'!BD59,'Calcul auto.'!BE59,'Calcul auto.'!BF59,'Calcul auto.'!BG59,'Calcul auto.'!BH59,'Calcul auto.'!BI59),IF($P$15="X",CONCATENATE('Calcul auto.'!EV59,'Calcul auto.'!EW59,'Calcul auto.'!EX59,'Calcul auto.'!EY59,'Calcul auto.'!EZ59,'Calcul auto.'!FA59),""))</f>
        <v/>
      </c>
      <c r="T57" s="991"/>
      <c r="U57" s="991"/>
      <c r="V57" s="991"/>
      <c r="W57" s="992"/>
      <c r="X57" s="134"/>
      <c r="Y57" s="1003"/>
      <c r="Z57" s="1076"/>
      <c r="AA57" s="1003"/>
      <c r="AB57" s="997"/>
      <c r="AC57" s="997"/>
      <c r="AD57" s="997"/>
      <c r="AE57" s="997"/>
      <c r="AF57" s="1076"/>
      <c r="AG57" s="1076"/>
      <c r="AH57" s="1076"/>
      <c r="AI57" s="34"/>
    </row>
    <row r="58" spans="1:35" ht="30" customHeight="1" thickBot="1" x14ac:dyDescent="0.25">
      <c r="A58" s="34"/>
      <c r="B58" s="987"/>
      <c r="C58" s="988"/>
      <c r="D58" s="989"/>
      <c r="E58" s="1017"/>
      <c r="F58" s="987"/>
      <c r="G58" s="988"/>
      <c r="H58" s="988"/>
      <c r="I58" s="989"/>
      <c r="J58" s="987"/>
      <c r="K58" s="988"/>
      <c r="L58" s="988"/>
      <c r="M58" s="989"/>
      <c r="N58" s="53"/>
      <c r="O58" s="1073" t="str">
        <f>IF($P$9="X","Après impact",IF($P$15="X","Après action écologique",""))</f>
        <v/>
      </c>
      <c r="P58" s="1074"/>
      <c r="Q58" s="1100" t="str">
        <f>IF($P$9="X",'Calcul auto.'!BP59,IF($P$15="X",'Calcul auto.'!FH59,""))</f>
        <v/>
      </c>
      <c r="R58" s="1101"/>
      <c r="S58" s="1021" t="str">
        <f>IF($P$9="X",CONCATENATE('Calcul auto.'!CJ59,'Calcul auto.'!CK59,'Calcul auto.'!CL59,'Calcul auto.'!CM59,'Calcul auto.'!CN59,'Calcul auto.'!CO59),IF($P$15="X",CONCATENATE('Calcul auto.'!GB59,'Calcul auto.'!GC59,'Calcul auto.'!GD59,'Calcul auto.'!GE59,'Calcul auto.'!GF59,'Calcul auto.'!GG59),""))</f>
        <v/>
      </c>
      <c r="T58" s="1102"/>
      <c r="U58" s="1102"/>
      <c r="V58" s="1102"/>
      <c r="W58" s="1022"/>
      <c r="X58" s="53"/>
      <c r="Y58" s="1005"/>
      <c r="Z58" s="1099"/>
      <c r="AA58" s="1005"/>
      <c r="AB58" s="998"/>
      <c r="AC58" s="998"/>
      <c r="AD58" s="998"/>
      <c r="AE58" s="998"/>
      <c r="AF58" s="1099"/>
      <c r="AG58" s="1099"/>
      <c r="AH58" s="1099"/>
      <c r="AI58" s="34"/>
    </row>
    <row r="59" spans="1:35" ht="30" customHeight="1" thickBot="1" x14ac:dyDescent="0.25">
      <c r="A59" s="34"/>
      <c r="B59" s="179"/>
      <c r="C59" s="67"/>
      <c r="D59" s="67"/>
      <c r="E59" s="180"/>
      <c r="F59" s="67"/>
      <c r="G59" s="68"/>
      <c r="H59" s="67"/>
      <c r="I59" s="67"/>
      <c r="J59" s="67"/>
      <c r="K59" s="68"/>
      <c r="L59" s="68"/>
      <c r="M59" s="68"/>
      <c r="N59" s="68"/>
      <c r="O59" s="68"/>
      <c r="P59" s="68"/>
      <c r="Q59" s="181"/>
      <c r="R59" s="181"/>
      <c r="S59" s="68"/>
      <c r="T59" s="68"/>
      <c r="U59" s="68"/>
      <c r="V59" s="68"/>
      <c r="W59" s="68"/>
      <c r="X59" s="68"/>
      <c r="Y59" s="67"/>
      <c r="Z59" s="67"/>
      <c r="AA59" s="67"/>
      <c r="AB59" s="67"/>
      <c r="AC59" s="67"/>
      <c r="AD59" s="67"/>
      <c r="AE59" s="67"/>
      <c r="AF59" s="67"/>
      <c r="AG59" s="67"/>
      <c r="AH59" s="182"/>
      <c r="AI59" s="34"/>
    </row>
    <row r="60" spans="1:35" ht="30" customHeight="1" x14ac:dyDescent="0.2">
      <c r="A60" s="34"/>
      <c r="B60" s="154" t="s">
        <v>538</v>
      </c>
      <c r="C60" s="183"/>
      <c r="D60" s="183"/>
      <c r="E60" s="184"/>
      <c r="F60" s="183"/>
      <c r="G60" s="156"/>
      <c r="H60" s="183"/>
      <c r="I60" s="183"/>
      <c r="J60" s="183"/>
      <c r="K60" s="156"/>
      <c r="L60" s="156"/>
      <c r="M60" s="156"/>
      <c r="N60" s="156"/>
      <c r="O60" s="156"/>
      <c r="P60" s="156"/>
      <c r="Q60" s="185"/>
      <c r="R60" s="185"/>
      <c r="S60" s="156"/>
      <c r="T60" s="156"/>
      <c r="U60" s="156"/>
      <c r="V60" s="156"/>
      <c r="W60" s="156"/>
      <c r="X60" s="156"/>
      <c r="Y60" s="183"/>
      <c r="Z60" s="183"/>
      <c r="AA60" s="183"/>
      <c r="AB60" s="183"/>
      <c r="AC60" s="183"/>
      <c r="AD60" s="183"/>
      <c r="AE60" s="183"/>
      <c r="AF60" s="183"/>
      <c r="AG60" s="183"/>
      <c r="AH60" s="183"/>
      <c r="AI60" s="34"/>
    </row>
    <row r="61" spans="1:35" ht="30" customHeight="1" thickBot="1" x14ac:dyDescent="0.25">
      <c r="A61" s="34"/>
      <c r="B61" s="982" t="s">
        <v>139</v>
      </c>
      <c r="C61" s="924"/>
      <c r="D61" s="983"/>
      <c r="E61" s="1009">
        <v>60</v>
      </c>
      <c r="F61" s="982" t="s">
        <v>609</v>
      </c>
      <c r="G61" s="924"/>
      <c r="H61" s="924"/>
      <c r="I61" s="983"/>
      <c r="J61" s="982" t="s">
        <v>608</v>
      </c>
      <c r="K61" s="924"/>
      <c r="L61" s="924"/>
      <c r="M61" s="983"/>
      <c r="N61" s="134"/>
      <c r="O61" s="922" t="str">
        <f>IF($P$9="X","Avant impact",IF($P$15="X","Avant action écologique",""))</f>
        <v/>
      </c>
      <c r="P61" s="1072"/>
      <c r="Q61" s="1085" t="str">
        <f>IF($P$9="X",'Calcul auto.'!D60,IF($P$15="X",'Calcul auto.'!CV60,""))</f>
        <v/>
      </c>
      <c r="R61" s="1086"/>
      <c r="S61" s="1042" t="str">
        <f>IF($P$9="X",CONCATENATE('Calcul auto.'!X60,'Calcul auto.'!Y60,'Calcul auto.'!Z60,'Calcul auto.'!AA60,'Calcul auto.'!AB60,'Calcul auto.'!AC60),IF($P$15="X",CONCATENATE('Calcul auto.'!DP60,'Calcul auto.'!DQ60,'Calcul auto.'!DR60,'Calcul auto.'!DS60,'Calcul auto.'!DT60,'Calcul auto.'!DU60),""))</f>
        <v/>
      </c>
      <c r="T61" s="1087"/>
      <c r="U61" s="1087"/>
      <c r="V61" s="1087"/>
      <c r="W61" s="1043"/>
      <c r="X61" s="134"/>
      <c r="Y61" s="1003"/>
      <c r="Z61" s="1003"/>
      <c r="AA61" s="1003"/>
      <c r="AB61" s="997"/>
      <c r="AC61" s="997"/>
      <c r="AD61" s="997"/>
      <c r="AE61" s="997"/>
      <c r="AF61" s="1076"/>
      <c r="AG61" s="1076"/>
      <c r="AH61" s="1076"/>
      <c r="AI61" s="34"/>
    </row>
    <row r="62" spans="1:35" ht="30" customHeight="1" thickBot="1" x14ac:dyDescent="0.25">
      <c r="A62" s="34"/>
      <c r="B62" s="982"/>
      <c r="C62" s="924"/>
      <c r="D62" s="983"/>
      <c r="E62" s="1009"/>
      <c r="F62" s="982"/>
      <c r="G62" s="924"/>
      <c r="H62" s="924"/>
      <c r="I62" s="983"/>
      <c r="J62" s="982"/>
      <c r="K62" s="924"/>
      <c r="L62" s="924"/>
      <c r="M62" s="983"/>
      <c r="N62" s="134"/>
      <c r="O62" s="922" t="str">
        <f>IF($P$9="X","Avec impact envisagé",IF($P$15="X","Avec act. écol. envisagée",""))</f>
        <v/>
      </c>
      <c r="P62" s="1072"/>
      <c r="Q62" s="1078" t="str">
        <f>IF($P$9="X",'Calcul auto.'!AJ60,IF($P$15="X",'Calcul auto.'!EB60,""))</f>
        <v/>
      </c>
      <c r="R62" s="1079"/>
      <c r="S62" s="990" t="str">
        <f>IF($P$9="X",CONCATENATE('Calcul auto.'!BD60,'Calcul auto.'!BE60,'Calcul auto.'!BF60,'Calcul auto.'!BG60,'Calcul auto.'!BH60,'Calcul auto.'!BI60),IF($P$15="X",CONCATENATE('Calcul auto.'!EV60,'Calcul auto.'!EW60,'Calcul auto.'!EX60,'Calcul auto.'!EY60,'Calcul auto.'!EZ60,'Calcul auto.'!FA60),""))</f>
        <v/>
      </c>
      <c r="T62" s="991"/>
      <c r="U62" s="991"/>
      <c r="V62" s="991"/>
      <c r="W62" s="992"/>
      <c r="X62" s="134"/>
      <c r="Y62" s="1003"/>
      <c r="Z62" s="1003"/>
      <c r="AA62" s="1003"/>
      <c r="AB62" s="997"/>
      <c r="AC62" s="997"/>
      <c r="AD62" s="997"/>
      <c r="AE62" s="997"/>
      <c r="AF62" s="1076"/>
      <c r="AG62" s="1076"/>
      <c r="AH62" s="1076"/>
      <c r="AI62" s="34"/>
    </row>
    <row r="63" spans="1:35" ht="30" customHeight="1" x14ac:dyDescent="0.2">
      <c r="A63" s="34"/>
      <c r="B63" s="1014"/>
      <c r="C63" s="1015"/>
      <c r="D63" s="1016"/>
      <c r="E63" s="1010"/>
      <c r="F63" s="1014"/>
      <c r="G63" s="1015"/>
      <c r="H63" s="1015"/>
      <c r="I63" s="1016"/>
      <c r="J63" s="1014"/>
      <c r="K63" s="1015"/>
      <c r="L63" s="1015"/>
      <c r="M63" s="1016"/>
      <c r="N63" s="178"/>
      <c r="O63" s="1073" t="str">
        <f>IF($P$9="X","Après impact",IF($P$15="X","Après action écologique",""))</f>
        <v/>
      </c>
      <c r="P63" s="1074"/>
      <c r="Q63" s="1096" t="str">
        <f>IF($P$9="X",'Calcul auto.'!BP60,IF($P$15="X",'Calcul auto.'!FH60,""))</f>
        <v/>
      </c>
      <c r="R63" s="1097"/>
      <c r="S63" s="1023" t="str">
        <f>IF($P$9="X",CONCATENATE('Calcul auto.'!CJ60,'Calcul auto.'!CK60,'Calcul auto.'!CL60,'Calcul auto.'!CM60,'Calcul auto.'!CN60,'Calcul auto.'!CO60),IF($P$15="X",CONCATENATE('Calcul auto.'!GB60,'Calcul auto.'!GC60,'Calcul auto.'!GD60,'Calcul auto.'!GE60,'Calcul auto.'!GF60,'Calcul auto.'!GG60),""))</f>
        <v/>
      </c>
      <c r="T63" s="1082"/>
      <c r="U63" s="1082"/>
      <c r="V63" s="1082"/>
      <c r="W63" s="1024"/>
      <c r="X63" s="178"/>
      <c r="Y63" s="1004"/>
      <c r="Z63" s="1004"/>
      <c r="AA63" s="1004"/>
      <c r="AB63" s="1006"/>
      <c r="AC63" s="1006"/>
      <c r="AD63" s="1006"/>
      <c r="AE63" s="1006"/>
      <c r="AF63" s="1077"/>
      <c r="AG63" s="1077"/>
      <c r="AH63" s="1077"/>
      <c r="AI63" s="34"/>
    </row>
    <row r="64" spans="1:35" ht="30" customHeight="1" thickBot="1" x14ac:dyDescent="0.25">
      <c r="A64" s="34"/>
      <c r="B64" s="1011" t="s">
        <v>140</v>
      </c>
      <c r="C64" s="1012"/>
      <c r="D64" s="1013"/>
      <c r="E64" s="1008">
        <v>60</v>
      </c>
      <c r="F64" s="1011" t="s">
        <v>611</v>
      </c>
      <c r="G64" s="1012"/>
      <c r="H64" s="1012"/>
      <c r="I64" s="1013"/>
      <c r="J64" s="1011" t="s">
        <v>612</v>
      </c>
      <c r="K64" s="1012"/>
      <c r="L64" s="1012"/>
      <c r="M64" s="1013"/>
      <c r="N64" s="162"/>
      <c r="O64" s="1103" t="str">
        <f t="shared" ref="O64" si="0">IF($P$9="X","Avant impact",IF($P$15="X","Avant action écologique",""))</f>
        <v/>
      </c>
      <c r="P64" s="1104"/>
      <c r="Q64" s="1083" t="str">
        <f>IF($P$9="X",'Calcul auto.'!D61,IF($P$15="X",'Calcul auto.'!CV61,""))</f>
        <v/>
      </c>
      <c r="R64" s="1084"/>
      <c r="S64" s="1019" t="str">
        <f>IF($P$9="X",CONCATENATE('Calcul auto.'!X61,'Calcul auto.'!Y61,'Calcul auto.'!Z61,'Calcul auto.'!AA61,'Calcul auto.'!AB61,'Calcul auto.'!AC61),IF($P$15="X",CONCATENATE('Calcul auto.'!DP61,'Calcul auto.'!DQ61,'Calcul auto.'!DR61,'Calcul auto.'!DS61,'Calcul auto.'!DT61,'Calcul auto.'!DU61),""))</f>
        <v/>
      </c>
      <c r="T64" s="1098"/>
      <c r="U64" s="1098"/>
      <c r="V64" s="1098"/>
      <c r="W64" s="1020"/>
      <c r="X64" s="162"/>
      <c r="Y64" s="1002"/>
      <c r="Z64" s="1002"/>
      <c r="AA64" s="1002"/>
      <c r="AB64" s="996"/>
      <c r="AC64" s="996"/>
      <c r="AD64" s="996"/>
      <c r="AE64" s="996"/>
      <c r="AF64" s="1075"/>
      <c r="AG64" s="1075"/>
      <c r="AH64" s="1075"/>
      <c r="AI64" s="34"/>
    </row>
    <row r="65" spans="1:35" ht="30" customHeight="1" thickBot="1" x14ac:dyDescent="0.25">
      <c r="A65" s="34"/>
      <c r="B65" s="982"/>
      <c r="C65" s="924"/>
      <c r="D65" s="983"/>
      <c r="E65" s="1009"/>
      <c r="F65" s="982"/>
      <c r="G65" s="924"/>
      <c r="H65" s="924"/>
      <c r="I65" s="983"/>
      <c r="J65" s="982"/>
      <c r="K65" s="924"/>
      <c r="L65" s="924"/>
      <c r="M65" s="983"/>
      <c r="N65" s="134"/>
      <c r="O65" s="922" t="str">
        <f t="shared" ref="O65" si="1">IF($P$9="X","Avec impact envisagé",IF($P$15="X","Avec act. écol. envisagée",""))</f>
        <v/>
      </c>
      <c r="P65" s="1072"/>
      <c r="Q65" s="1078" t="str">
        <f>IF($P$9="X",'Calcul auto.'!AJ61,IF($P$15="X",'Calcul auto.'!EB61,""))</f>
        <v/>
      </c>
      <c r="R65" s="1079"/>
      <c r="S65" s="990" t="str">
        <f>IF($P$9="X",CONCATENATE('Calcul auto.'!BD61,'Calcul auto.'!BE61,'Calcul auto.'!BF61,'Calcul auto.'!BG61,'Calcul auto.'!BH61,'Calcul auto.'!BI61),IF($P$15="X",CONCATENATE('Calcul auto.'!EV61,'Calcul auto.'!EW61,'Calcul auto.'!EX61,'Calcul auto.'!EY61,'Calcul auto.'!EZ61,'Calcul auto.'!FA61),""))</f>
        <v/>
      </c>
      <c r="T65" s="991"/>
      <c r="U65" s="991"/>
      <c r="V65" s="991"/>
      <c r="W65" s="992"/>
      <c r="X65" s="134"/>
      <c r="Y65" s="1003"/>
      <c r="Z65" s="1003"/>
      <c r="AA65" s="1003"/>
      <c r="AB65" s="997"/>
      <c r="AC65" s="997"/>
      <c r="AD65" s="997"/>
      <c r="AE65" s="997"/>
      <c r="AF65" s="1076"/>
      <c r="AG65" s="1076"/>
      <c r="AH65" s="1076"/>
      <c r="AI65" s="34"/>
    </row>
    <row r="66" spans="1:35" ht="30" customHeight="1" x14ac:dyDescent="0.2">
      <c r="A66" s="34"/>
      <c r="B66" s="1014"/>
      <c r="C66" s="1015"/>
      <c r="D66" s="1016"/>
      <c r="E66" s="1010"/>
      <c r="F66" s="1014"/>
      <c r="G66" s="1015"/>
      <c r="H66" s="1015"/>
      <c r="I66" s="1016"/>
      <c r="J66" s="1014"/>
      <c r="K66" s="1015"/>
      <c r="L66" s="1015"/>
      <c r="M66" s="1016"/>
      <c r="N66" s="178"/>
      <c r="O66" s="1073" t="str">
        <f t="shared" ref="O66" si="2">IF($P$9="X","Après impact",IF($P$15="X","Après action écologique",""))</f>
        <v/>
      </c>
      <c r="P66" s="1074"/>
      <c r="Q66" s="1096" t="str">
        <f>IF($P$9="X",'Calcul auto.'!BP61,IF($P$15="X",'Calcul auto.'!FH61,""))</f>
        <v/>
      </c>
      <c r="R66" s="1097"/>
      <c r="S66" s="1023" t="str">
        <f>IF($P$9="X",CONCATENATE('Calcul auto.'!CJ61,'Calcul auto.'!CK61,'Calcul auto.'!CL61,'Calcul auto.'!CM61,'Calcul auto.'!CN61,'Calcul auto.'!CO61),IF($P$15="X",CONCATENATE('Calcul auto.'!GB61,'Calcul auto.'!GC61,'Calcul auto.'!GD61,'Calcul auto.'!GE61,'Calcul auto.'!GF61,'Calcul auto.'!GG61),""))</f>
        <v/>
      </c>
      <c r="T66" s="1082"/>
      <c r="U66" s="1082"/>
      <c r="V66" s="1082"/>
      <c r="W66" s="1024"/>
      <c r="X66" s="178"/>
      <c r="Y66" s="1004"/>
      <c r="Z66" s="1004"/>
      <c r="AA66" s="1004"/>
      <c r="AB66" s="1006"/>
      <c r="AC66" s="1006"/>
      <c r="AD66" s="1006"/>
      <c r="AE66" s="1006"/>
      <c r="AF66" s="1077"/>
      <c r="AG66" s="1077"/>
      <c r="AH66" s="1077"/>
      <c r="AI66" s="34"/>
    </row>
    <row r="67" spans="1:35" ht="30" customHeight="1" thickBot="1" x14ac:dyDescent="0.25">
      <c r="A67" s="34"/>
      <c r="B67" s="1011" t="s">
        <v>141</v>
      </c>
      <c r="C67" s="1012"/>
      <c r="D67" s="1013"/>
      <c r="E67" s="1008">
        <v>60</v>
      </c>
      <c r="F67" s="1011" t="s">
        <v>610</v>
      </c>
      <c r="G67" s="1012"/>
      <c r="H67" s="1012"/>
      <c r="I67" s="1013"/>
      <c r="J67" s="1011" t="s">
        <v>613</v>
      </c>
      <c r="K67" s="1012"/>
      <c r="L67" s="1012"/>
      <c r="M67" s="1013"/>
      <c r="N67" s="162"/>
      <c r="O67" s="1103" t="str">
        <f t="shared" ref="O67" si="3">IF($P$9="X","Avant impact",IF($P$15="X","Avant action écologique",""))</f>
        <v/>
      </c>
      <c r="P67" s="1104"/>
      <c r="Q67" s="1083" t="str">
        <f>IF($P$9="X",'Calcul auto.'!D62,IF($P$15="X",'Calcul auto.'!CV62,""))</f>
        <v/>
      </c>
      <c r="R67" s="1084"/>
      <c r="S67" s="1019" t="str">
        <f>IF($P$9="X",CONCATENATE('Calcul auto.'!X62,'Calcul auto.'!Y62,'Calcul auto.'!Z62,'Calcul auto.'!AA62,'Calcul auto.'!AB62,'Calcul auto.'!AC62),IF($P$15="X",CONCATENATE('Calcul auto.'!DP62,'Calcul auto.'!DQ62,'Calcul auto.'!DR62,'Calcul auto.'!DS62,'Calcul auto.'!DT62,'Calcul auto.'!DU62),""))</f>
        <v/>
      </c>
      <c r="T67" s="1098"/>
      <c r="U67" s="1098"/>
      <c r="V67" s="1098"/>
      <c r="W67" s="1020"/>
      <c r="X67" s="162"/>
      <c r="Y67" s="1002"/>
      <c r="Z67" s="1002"/>
      <c r="AA67" s="1002"/>
      <c r="AB67" s="996"/>
      <c r="AC67" s="996"/>
      <c r="AD67" s="996"/>
      <c r="AE67" s="996"/>
      <c r="AF67" s="1075"/>
      <c r="AG67" s="1075"/>
      <c r="AH67" s="1075"/>
      <c r="AI67" s="34"/>
    </row>
    <row r="68" spans="1:35" ht="30" customHeight="1" thickBot="1" x14ac:dyDescent="0.25">
      <c r="A68" s="34"/>
      <c r="B68" s="982"/>
      <c r="C68" s="924"/>
      <c r="D68" s="983"/>
      <c r="E68" s="1009"/>
      <c r="F68" s="982"/>
      <c r="G68" s="924"/>
      <c r="H68" s="924"/>
      <c r="I68" s="983"/>
      <c r="J68" s="982"/>
      <c r="K68" s="924"/>
      <c r="L68" s="924"/>
      <c r="M68" s="983"/>
      <c r="N68" s="134"/>
      <c r="O68" s="922" t="str">
        <f t="shared" ref="O68" si="4">IF($P$9="X","Avec impact envisagé",IF($P$15="X","Avec act. écol. envisagée",""))</f>
        <v/>
      </c>
      <c r="P68" s="1072"/>
      <c r="Q68" s="1078" t="str">
        <f>IF($P$9="X",'Calcul auto.'!AJ62,IF($P$15="X",'Calcul auto.'!EB62,""))</f>
        <v/>
      </c>
      <c r="R68" s="1079"/>
      <c r="S68" s="990" t="str">
        <f>IF($P$9="X",CONCATENATE('Calcul auto.'!BD62,'Calcul auto.'!BE62,'Calcul auto.'!BF62,'Calcul auto.'!BG62,'Calcul auto.'!BH62,'Calcul auto.'!BI62),IF($P$15="X",CONCATENATE('Calcul auto.'!EV62,'Calcul auto.'!EW62,'Calcul auto.'!EX62,'Calcul auto.'!EY62,'Calcul auto.'!EZ62,'Calcul auto.'!FA62),""))</f>
        <v/>
      </c>
      <c r="T68" s="991"/>
      <c r="U68" s="991"/>
      <c r="V68" s="991"/>
      <c r="W68" s="992"/>
      <c r="X68" s="134"/>
      <c r="Y68" s="1003"/>
      <c r="Z68" s="1003"/>
      <c r="AA68" s="1003"/>
      <c r="AB68" s="997"/>
      <c r="AC68" s="997"/>
      <c r="AD68" s="997"/>
      <c r="AE68" s="997"/>
      <c r="AF68" s="1076"/>
      <c r="AG68" s="1076"/>
      <c r="AH68" s="1076"/>
      <c r="AI68" s="34"/>
    </row>
    <row r="69" spans="1:35" ht="30" customHeight="1" x14ac:dyDescent="0.2">
      <c r="A69" s="34"/>
      <c r="B69" s="1014"/>
      <c r="C69" s="1015"/>
      <c r="D69" s="1016"/>
      <c r="E69" s="1010"/>
      <c r="F69" s="1014"/>
      <c r="G69" s="1015"/>
      <c r="H69" s="1015"/>
      <c r="I69" s="1016"/>
      <c r="J69" s="1014"/>
      <c r="K69" s="1015"/>
      <c r="L69" s="1015"/>
      <c r="M69" s="1016"/>
      <c r="N69" s="178"/>
      <c r="O69" s="1073" t="str">
        <f t="shared" ref="O69" si="5">IF($P$9="X","Après impact",IF($P$15="X","Après action écologique",""))</f>
        <v/>
      </c>
      <c r="P69" s="1074"/>
      <c r="Q69" s="1096" t="str">
        <f>IF($P$9="X",'Calcul auto.'!BP62,IF($P$15="X",'Calcul auto.'!FH62,""))</f>
        <v/>
      </c>
      <c r="R69" s="1097"/>
      <c r="S69" s="1023" t="str">
        <f>IF($P$9="X",CONCATENATE('Calcul auto.'!CJ62,'Calcul auto.'!CK62,'Calcul auto.'!CL62,'Calcul auto.'!CM62,'Calcul auto.'!CN62,'Calcul auto.'!CO62),IF($P$15="X",CONCATENATE('Calcul auto.'!GB62,'Calcul auto.'!GC62,'Calcul auto.'!GD62,'Calcul auto.'!GE62,'Calcul auto.'!GF62,'Calcul auto.'!GG62),""))</f>
        <v/>
      </c>
      <c r="T69" s="1082"/>
      <c r="U69" s="1082"/>
      <c r="V69" s="1082"/>
      <c r="W69" s="1024"/>
      <c r="X69" s="178"/>
      <c r="Y69" s="1004"/>
      <c r="Z69" s="1004"/>
      <c r="AA69" s="1004"/>
      <c r="AB69" s="1006"/>
      <c r="AC69" s="1006"/>
      <c r="AD69" s="1006"/>
      <c r="AE69" s="1006"/>
      <c r="AF69" s="1077"/>
      <c r="AG69" s="1077"/>
      <c r="AH69" s="1077"/>
      <c r="AI69" s="34"/>
    </row>
    <row r="70" spans="1:35" ht="30" customHeight="1" thickBot="1" x14ac:dyDescent="0.25">
      <c r="A70" s="34"/>
      <c r="B70" s="1011" t="s">
        <v>229</v>
      </c>
      <c r="C70" s="1012"/>
      <c r="D70" s="1013"/>
      <c r="E70" s="1008">
        <v>60</v>
      </c>
      <c r="F70" s="1011" t="s">
        <v>614</v>
      </c>
      <c r="G70" s="1012"/>
      <c r="H70" s="1012"/>
      <c r="I70" s="1013"/>
      <c r="J70" s="1011" t="s">
        <v>615</v>
      </c>
      <c r="K70" s="1012"/>
      <c r="L70" s="1012"/>
      <c r="M70" s="1013"/>
      <c r="N70" s="162"/>
      <c r="O70" s="1103" t="str">
        <f t="shared" ref="O70" si="6">IF($P$9="X","Avant impact",IF($P$15="X","Avant action écologique",""))</f>
        <v/>
      </c>
      <c r="P70" s="1104"/>
      <c r="Q70" s="1083" t="str">
        <f>IF($P$9="X",'Calcul auto.'!F63,IF($P$15="X",'Calcul auto.'!CX63,""))</f>
        <v/>
      </c>
      <c r="R70" s="1084"/>
      <c r="S70" s="1019" t="str">
        <f>IF($P$9="X",CONCATENATE('Calcul auto.'!X63,'Calcul auto.'!Y63,'Calcul auto.'!Z63,'Calcul auto.'!AA63,'Calcul auto.'!AB63,'Calcul auto.'!AC63),IF($P$15="X",CONCATENATE('Calcul auto.'!DP63,'Calcul auto.'!DQ63,'Calcul auto.'!DR63,'Calcul auto.'!DS63,'Calcul auto.'!DT63,'Calcul auto.'!DU63),""))</f>
        <v/>
      </c>
      <c r="T70" s="1098"/>
      <c r="U70" s="1098"/>
      <c r="V70" s="1098"/>
      <c r="W70" s="1020"/>
      <c r="X70" s="162"/>
      <c r="Y70" s="1075"/>
      <c r="Z70" s="1075"/>
      <c r="AA70" s="1002"/>
      <c r="AB70" s="996"/>
      <c r="AC70" s="996"/>
      <c r="AD70" s="996"/>
      <c r="AE70" s="996"/>
      <c r="AF70" s="1075"/>
      <c r="AG70" s="1075"/>
      <c r="AH70" s="1075"/>
      <c r="AI70" s="34"/>
    </row>
    <row r="71" spans="1:35" ht="30" customHeight="1" thickBot="1" x14ac:dyDescent="0.25">
      <c r="A71" s="34"/>
      <c r="B71" s="982"/>
      <c r="C71" s="924"/>
      <c r="D71" s="983"/>
      <c r="E71" s="1009"/>
      <c r="F71" s="982"/>
      <c r="G71" s="924"/>
      <c r="H71" s="924"/>
      <c r="I71" s="983"/>
      <c r="J71" s="982"/>
      <c r="K71" s="924"/>
      <c r="L71" s="924"/>
      <c r="M71" s="983"/>
      <c r="N71" s="134"/>
      <c r="O71" s="922" t="str">
        <f t="shared" ref="O71" si="7">IF($P$9="X","Avec impact envisagé",IF($P$15="X","Avec act. écol. envisagée",""))</f>
        <v/>
      </c>
      <c r="P71" s="1072"/>
      <c r="Q71" s="1078" t="str">
        <f>IF($P$9="X",'Calcul auto.'!AL63,IF($P$15="X",'Calcul auto.'!ED63,""))</f>
        <v/>
      </c>
      <c r="R71" s="1079"/>
      <c r="S71" s="990" t="str">
        <f>IF($P$9="X",CONCATENATE('Calcul auto.'!BD63,'Calcul auto.'!BE63,'Calcul auto.'!BF63,'Calcul auto.'!BG63,'Calcul auto.'!BH63,'Calcul auto.'!BI63),IF($P$15="X",CONCATENATE('Calcul auto.'!EV63,'Calcul auto.'!EW63,'Calcul auto.'!EX63,'Calcul auto.'!EY63,'Calcul auto.'!EZ63,'Calcul auto.'!FA63),""))</f>
        <v/>
      </c>
      <c r="T71" s="991"/>
      <c r="U71" s="991"/>
      <c r="V71" s="991"/>
      <c r="W71" s="992"/>
      <c r="X71" s="134"/>
      <c r="Y71" s="1076"/>
      <c r="Z71" s="1076"/>
      <c r="AA71" s="1003"/>
      <c r="AB71" s="997"/>
      <c r="AC71" s="997"/>
      <c r="AD71" s="997"/>
      <c r="AE71" s="997"/>
      <c r="AF71" s="1076"/>
      <c r="AG71" s="1076"/>
      <c r="AH71" s="1076"/>
      <c r="AI71" s="34"/>
    </row>
    <row r="72" spans="1:35" ht="30" customHeight="1" x14ac:dyDescent="0.2">
      <c r="A72" s="34"/>
      <c r="B72" s="1014"/>
      <c r="C72" s="1015"/>
      <c r="D72" s="1016"/>
      <c r="E72" s="1010"/>
      <c r="F72" s="1014"/>
      <c r="G72" s="1015"/>
      <c r="H72" s="1015"/>
      <c r="I72" s="1016"/>
      <c r="J72" s="1014"/>
      <c r="K72" s="1015"/>
      <c r="L72" s="1015"/>
      <c r="M72" s="1016"/>
      <c r="N72" s="178"/>
      <c r="O72" s="1073" t="str">
        <f t="shared" ref="O72" si="8">IF($P$9="X","Après impact",IF($P$15="X","Après action écologique",""))</f>
        <v/>
      </c>
      <c r="P72" s="1074"/>
      <c r="Q72" s="1096" t="str">
        <f>IF($P$9="X",'Calcul auto.'!BR63,IF($P$15="X",'Calcul auto.'!FJ63,""))</f>
        <v/>
      </c>
      <c r="R72" s="1097"/>
      <c r="S72" s="1023" t="str">
        <f>IF($P$9="X",CONCATENATE('Calcul auto.'!CJ63,'Calcul auto.'!CK63,'Calcul auto.'!CL63,'Calcul auto.'!CM63,'Calcul auto.'!CN63,'Calcul auto.'!CO63),IF($P$15="X",CONCATENATE('Calcul auto.'!GB63,'Calcul auto.'!GC63,'Calcul auto.'!GD63,'Calcul auto.'!GE63,'Calcul auto.'!GF63,'Calcul auto.'!GG63),""))</f>
        <v/>
      </c>
      <c r="T72" s="1082"/>
      <c r="U72" s="1082"/>
      <c r="V72" s="1082"/>
      <c r="W72" s="1024"/>
      <c r="X72" s="178"/>
      <c r="Y72" s="1077"/>
      <c r="Z72" s="1077"/>
      <c r="AA72" s="1004"/>
      <c r="AB72" s="1006"/>
      <c r="AC72" s="1006"/>
      <c r="AD72" s="1006"/>
      <c r="AE72" s="1006"/>
      <c r="AF72" s="1077"/>
      <c r="AG72" s="1077"/>
      <c r="AH72" s="1077"/>
      <c r="AI72" s="34"/>
    </row>
    <row r="73" spans="1:35" ht="30" customHeight="1" thickBot="1" x14ac:dyDescent="0.25">
      <c r="A73" s="34"/>
      <c r="B73" s="982" t="s">
        <v>142</v>
      </c>
      <c r="C73" s="924"/>
      <c r="D73" s="983"/>
      <c r="E73" s="1009">
        <v>64</v>
      </c>
      <c r="F73" s="982" t="s">
        <v>616</v>
      </c>
      <c r="G73" s="924"/>
      <c r="H73" s="924"/>
      <c r="I73" s="983"/>
      <c r="J73" s="982" t="s">
        <v>670</v>
      </c>
      <c r="K73" s="924"/>
      <c r="L73" s="924"/>
      <c r="M73" s="983"/>
      <c r="N73" s="134"/>
      <c r="O73" s="922" t="str">
        <f t="shared" ref="O73" si="9">IF($P$9="X","Avant impact",IF($P$15="X","Avant action écologique",""))</f>
        <v/>
      </c>
      <c r="P73" s="1072"/>
      <c r="Q73" s="1085" t="str">
        <f>IF($P$9="X",'Calcul auto.'!E64,IF($P$15="X",'Calcul auto.'!CW64,""))</f>
        <v/>
      </c>
      <c r="R73" s="1086"/>
      <c r="S73" s="1042" t="str">
        <f>IF($P$9="X",CONCATENATE('Calcul auto.'!X64,'Calcul auto.'!Y64,'Calcul auto.'!Z64,'Calcul auto.'!AA64,'Calcul auto.'!AB64,'Calcul auto.'!AC64),IF($P$15="X",CONCATENATE('Calcul auto.'!DP64,'Calcul auto.'!DQ64,'Calcul auto.'!DR64,'Calcul auto.'!DS64,'Calcul auto.'!DT64,'Calcul auto.'!DU64),""))</f>
        <v/>
      </c>
      <c r="T73" s="1087"/>
      <c r="U73" s="1087"/>
      <c r="V73" s="1087"/>
      <c r="W73" s="1043"/>
      <c r="X73" s="134"/>
      <c r="Y73" s="1076"/>
      <c r="Z73" s="1003"/>
      <c r="AA73" s="1076"/>
      <c r="AB73" s="997"/>
      <c r="AC73" s="997"/>
      <c r="AD73" s="997"/>
      <c r="AE73" s="997"/>
      <c r="AF73" s="1076"/>
      <c r="AG73" s="1076"/>
      <c r="AH73" s="1076"/>
      <c r="AI73" s="34"/>
    </row>
    <row r="74" spans="1:35" ht="30" customHeight="1" thickBot="1" x14ac:dyDescent="0.25">
      <c r="A74" s="34"/>
      <c r="B74" s="982"/>
      <c r="C74" s="924"/>
      <c r="D74" s="983"/>
      <c r="E74" s="1009"/>
      <c r="F74" s="982"/>
      <c r="G74" s="924"/>
      <c r="H74" s="924"/>
      <c r="I74" s="983"/>
      <c r="J74" s="982"/>
      <c r="K74" s="924"/>
      <c r="L74" s="924"/>
      <c r="M74" s="983"/>
      <c r="N74" s="134"/>
      <c r="O74" s="922" t="str">
        <f t="shared" ref="O74" si="10">IF($P$9="X","Avec impact envisagé",IF($P$15="X","Avec act. écol. envisagée",""))</f>
        <v/>
      </c>
      <c r="P74" s="1072"/>
      <c r="Q74" s="1078" t="str">
        <f>IF($P$9="X",'Calcul auto.'!AK64,IF($P$15="X",'Calcul auto.'!EC64,""))</f>
        <v/>
      </c>
      <c r="R74" s="1079"/>
      <c r="S74" s="990" t="str">
        <f>IF($P$9="X",CONCATENATE('Calcul auto.'!BD64,'Calcul auto.'!BE64,'Calcul auto.'!BF64,'Calcul auto.'!BG64,'Calcul auto.'!BH64,'Calcul auto.'!BI64),IF($P$15="X",CONCATENATE('Calcul auto.'!EV64,'Calcul auto.'!EW64,'Calcul auto.'!EX64,'Calcul auto.'!EY64,'Calcul auto.'!EZ64,'Calcul auto.'!FA64),""))</f>
        <v/>
      </c>
      <c r="T74" s="991"/>
      <c r="U74" s="991"/>
      <c r="V74" s="991"/>
      <c r="W74" s="992"/>
      <c r="X74" s="134"/>
      <c r="Y74" s="1076"/>
      <c r="Z74" s="1003"/>
      <c r="AA74" s="1076"/>
      <c r="AB74" s="997"/>
      <c r="AC74" s="997"/>
      <c r="AD74" s="997"/>
      <c r="AE74" s="997"/>
      <c r="AF74" s="1076"/>
      <c r="AG74" s="1076"/>
      <c r="AH74" s="1076"/>
      <c r="AI74" s="34"/>
    </row>
    <row r="75" spans="1:35" ht="30" customHeight="1" thickBot="1" x14ac:dyDescent="0.25">
      <c r="A75" s="34"/>
      <c r="B75" s="987"/>
      <c r="C75" s="988"/>
      <c r="D75" s="989"/>
      <c r="E75" s="1017"/>
      <c r="F75" s="987"/>
      <c r="G75" s="988"/>
      <c r="H75" s="988"/>
      <c r="I75" s="989"/>
      <c r="J75" s="987"/>
      <c r="K75" s="988"/>
      <c r="L75" s="988"/>
      <c r="M75" s="989"/>
      <c r="N75" s="53"/>
      <c r="O75" s="1073" t="str">
        <f t="shared" ref="O75" si="11">IF($P$9="X","Après impact",IF($P$15="X","Après action écologique",""))</f>
        <v/>
      </c>
      <c r="P75" s="1074"/>
      <c r="Q75" s="1100" t="str">
        <f>IF($P$9="X",'Calcul auto.'!BQ64,IF($P$15="X",'Calcul auto.'!FI64,""))</f>
        <v/>
      </c>
      <c r="R75" s="1101"/>
      <c r="S75" s="1021" t="str">
        <f>IF($P$9="X",CONCATENATE('Calcul auto.'!CJ64,'Calcul auto.'!CK64,'Calcul auto.'!CL64,'Calcul auto.'!CM64,'Calcul auto.'!CN64,'Calcul auto.'!CO64),IF($P$15="X",CONCATENATE('Calcul auto.'!GB64,'Calcul auto.'!GC64,'Calcul auto.'!GD64,'Calcul auto.'!GE64,'Calcul auto.'!GF64,'Calcul auto.'!GG64),""))</f>
        <v/>
      </c>
      <c r="T75" s="1102"/>
      <c r="U75" s="1102"/>
      <c r="V75" s="1102"/>
      <c r="W75" s="1022"/>
      <c r="X75" s="53"/>
      <c r="Y75" s="1099"/>
      <c r="Z75" s="1005"/>
      <c r="AA75" s="1099"/>
      <c r="AB75" s="998"/>
      <c r="AC75" s="998"/>
      <c r="AD75" s="998"/>
      <c r="AE75" s="998"/>
      <c r="AF75" s="1099"/>
      <c r="AG75" s="1099"/>
      <c r="AH75" s="1099"/>
      <c r="AI75" s="34"/>
    </row>
    <row r="76" spans="1:35" ht="30" customHeight="1" thickBot="1" x14ac:dyDescent="0.25">
      <c r="A76" s="34"/>
      <c r="B76" s="179"/>
      <c r="C76" s="67"/>
      <c r="D76" s="67"/>
      <c r="E76" s="180"/>
      <c r="F76" s="67"/>
      <c r="G76" s="68"/>
      <c r="H76" s="67"/>
      <c r="I76" s="67"/>
      <c r="J76" s="67"/>
      <c r="K76" s="68"/>
      <c r="L76" s="68"/>
      <c r="M76" s="68"/>
      <c r="N76" s="68"/>
      <c r="O76" s="68"/>
      <c r="P76" s="68"/>
      <c r="Q76" s="181"/>
      <c r="R76" s="181"/>
      <c r="S76" s="68"/>
      <c r="T76" s="68"/>
      <c r="U76" s="68"/>
      <c r="V76" s="68"/>
      <c r="W76" s="68"/>
      <c r="X76" s="68"/>
      <c r="Y76" s="67"/>
      <c r="Z76" s="67"/>
      <c r="AA76" s="67"/>
      <c r="AB76" s="67"/>
      <c r="AC76" s="67"/>
      <c r="AD76" s="67"/>
      <c r="AE76" s="67"/>
      <c r="AF76" s="67"/>
      <c r="AG76" s="67"/>
      <c r="AH76" s="182"/>
      <c r="AI76" s="34"/>
    </row>
    <row r="77" spans="1:35" ht="30" customHeight="1" x14ac:dyDescent="0.2">
      <c r="A77" s="34"/>
      <c r="B77" s="51" t="s">
        <v>539</v>
      </c>
      <c r="C77" s="69"/>
      <c r="D77" s="69"/>
      <c r="E77" s="186"/>
      <c r="F77" s="69"/>
      <c r="G77" s="34"/>
      <c r="H77" s="69"/>
      <c r="I77" s="69"/>
      <c r="J77" s="69"/>
      <c r="K77" s="34"/>
      <c r="L77" s="34"/>
      <c r="M77" s="34"/>
      <c r="N77" s="34"/>
      <c r="O77" s="34"/>
      <c r="P77" s="34"/>
      <c r="Q77" s="187"/>
      <c r="R77" s="187"/>
      <c r="S77" s="34"/>
      <c r="T77" s="34"/>
      <c r="U77" s="34"/>
      <c r="V77" s="34"/>
      <c r="W77" s="34"/>
      <c r="X77" s="34"/>
      <c r="Y77" s="69"/>
      <c r="Z77" s="69"/>
      <c r="AA77" s="69"/>
      <c r="AB77" s="69"/>
      <c r="AC77" s="69"/>
      <c r="AD77" s="69"/>
      <c r="AE77" s="69"/>
      <c r="AF77" s="69"/>
      <c r="AG77" s="69"/>
      <c r="AH77" s="69"/>
      <c r="AI77" s="34"/>
    </row>
    <row r="78" spans="1:35" ht="30" customHeight="1" thickBot="1" x14ac:dyDescent="0.25">
      <c r="A78" s="34"/>
      <c r="B78" s="1011" t="s">
        <v>143</v>
      </c>
      <c r="C78" s="1012"/>
      <c r="D78" s="1013"/>
      <c r="E78" s="1008">
        <v>66</v>
      </c>
      <c r="F78" s="1011" t="s">
        <v>617</v>
      </c>
      <c r="G78" s="1012"/>
      <c r="H78" s="1012"/>
      <c r="I78" s="1013"/>
      <c r="J78" s="1011" t="s">
        <v>671</v>
      </c>
      <c r="K78" s="1012"/>
      <c r="L78" s="1012"/>
      <c r="M78" s="1013"/>
      <c r="N78" s="162"/>
      <c r="O78" s="1103" t="str">
        <f>IF($P$9="X","Avant impact",IF($P$15="X","Avant action écologique",""))</f>
        <v/>
      </c>
      <c r="P78" s="1104"/>
      <c r="Q78" s="1083" t="str">
        <f>IF($P$9="X",'Calcul auto.'!F65,IF($P$15="X",'Calcul auto.'!CX65,""))</f>
        <v/>
      </c>
      <c r="R78" s="1084"/>
      <c r="S78" s="1019" t="str">
        <f>IF($P$9="X",CONCATENATE('Calcul auto.'!X65,'Calcul auto.'!Y65,'Calcul auto.'!Z65,'Calcul auto.'!AA65,'Calcul auto.'!AB65,'Calcul auto.'!AC65),IF($P$15="X",CONCATENATE('Calcul auto.'!DP65,'Calcul auto.'!DQ65,'Calcul auto.'!DR65,'Calcul auto.'!DS65,'Calcul auto.'!DT65,'Calcul auto.'!DU65),""))</f>
        <v/>
      </c>
      <c r="T78" s="1098"/>
      <c r="U78" s="1098"/>
      <c r="V78" s="1098"/>
      <c r="W78" s="1020"/>
      <c r="X78" s="162"/>
      <c r="Y78" s="1075"/>
      <c r="Z78" s="1075"/>
      <c r="AA78" s="1002"/>
      <c r="AB78" s="996"/>
      <c r="AC78" s="996"/>
      <c r="AD78" s="996"/>
      <c r="AE78" s="996"/>
      <c r="AF78" s="1075"/>
      <c r="AG78" s="1075"/>
      <c r="AH78" s="1075"/>
      <c r="AI78" s="34"/>
    </row>
    <row r="79" spans="1:35" ht="30" customHeight="1" thickBot="1" x14ac:dyDescent="0.25">
      <c r="A79" s="34"/>
      <c r="B79" s="982"/>
      <c r="C79" s="924"/>
      <c r="D79" s="983"/>
      <c r="E79" s="1009"/>
      <c r="F79" s="982"/>
      <c r="G79" s="924"/>
      <c r="H79" s="924"/>
      <c r="I79" s="983"/>
      <c r="J79" s="982"/>
      <c r="K79" s="924"/>
      <c r="L79" s="924"/>
      <c r="M79" s="983"/>
      <c r="N79" s="134"/>
      <c r="O79" s="922" t="str">
        <f>IF($P$9="X","Avec impact envisagé",IF($P$15="X","Avec act. écol. envisagée",""))</f>
        <v/>
      </c>
      <c r="P79" s="1072"/>
      <c r="Q79" s="1078" t="str">
        <f>IF($P$9="X",'Calcul auto.'!AL65,IF($P$15="X",'Calcul auto.'!ED65,""))</f>
        <v/>
      </c>
      <c r="R79" s="1079"/>
      <c r="S79" s="990" t="str">
        <f>IF($P$9="X",CONCATENATE('Calcul auto.'!BD65,'Calcul auto.'!BE65,'Calcul auto.'!BF65,'Calcul auto.'!BG65,'Calcul auto.'!BH65,'Calcul auto.'!BI65),IF($P$15="X",CONCATENATE('Calcul auto.'!EV65,'Calcul auto.'!EW65,'Calcul auto.'!EX65,'Calcul auto.'!EY65,'Calcul auto.'!EZ65,'Calcul auto.'!FA65),""))</f>
        <v/>
      </c>
      <c r="T79" s="991"/>
      <c r="U79" s="991"/>
      <c r="V79" s="991"/>
      <c r="W79" s="992"/>
      <c r="X79" s="134"/>
      <c r="Y79" s="1076"/>
      <c r="Z79" s="1076"/>
      <c r="AA79" s="1003"/>
      <c r="AB79" s="997"/>
      <c r="AC79" s="997"/>
      <c r="AD79" s="997"/>
      <c r="AE79" s="997"/>
      <c r="AF79" s="1076"/>
      <c r="AG79" s="1076"/>
      <c r="AH79" s="1076"/>
      <c r="AI79" s="34"/>
    </row>
    <row r="80" spans="1:35" ht="30" customHeight="1" thickBot="1" x14ac:dyDescent="0.25">
      <c r="A80" s="34"/>
      <c r="B80" s="1014"/>
      <c r="C80" s="1015"/>
      <c r="D80" s="1016"/>
      <c r="E80" s="1010"/>
      <c r="F80" s="1014"/>
      <c r="G80" s="1015"/>
      <c r="H80" s="1015"/>
      <c r="I80" s="1016"/>
      <c r="J80" s="1014"/>
      <c r="K80" s="1015"/>
      <c r="L80" s="1015"/>
      <c r="M80" s="1016"/>
      <c r="N80" s="178"/>
      <c r="O80" s="1073" t="str">
        <f>IF($P$9="X","Après impact",IF($P$15="X","Après action écologique",""))</f>
        <v/>
      </c>
      <c r="P80" s="1074"/>
      <c r="Q80" s="1096" t="str">
        <f>IF($P$9="X",'Calcul auto.'!BR65,IF($P$15="X",'Calcul auto.'!FJ65,""))</f>
        <v/>
      </c>
      <c r="R80" s="1097"/>
      <c r="S80" s="1023" t="str">
        <f>IF($P$9="X",CONCATENATE('Calcul auto.'!CJ65,'Calcul auto.'!CK65,'Calcul auto.'!CL65,'Calcul auto.'!CM65,'Calcul auto.'!CN65,'Calcul auto.'!CO65),IF($P$15="X",CONCATENATE('Calcul auto.'!GB65,'Calcul auto.'!GC65,'Calcul auto.'!GD65,'Calcul auto.'!GE65,'Calcul auto.'!GF65,'Calcul auto.'!GG65),""))</f>
        <v/>
      </c>
      <c r="T80" s="1082"/>
      <c r="U80" s="1082"/>
      <c r="V80" s="1082"/>
      <c r="W80" s="1024"/>
      <c r="X80" s="178"/>
      <c r="Y80" s="1077"/>
      <c r="Z80" s="1077"/>
      <c r="AA80" s="1004"/>
      <c r="AB80" s="1006"/>
      <c r="AC80" s="1006"/>
      <c r="AD80" s="1006"/>
      <c r="AE80" s="1006"/>
      <c r="AF80" s="1077"/>
      <c r="AG80" s="1077"/>
      <c r="AH80" s="1077"/>
      <c r="AI80" s="34"/>
    </row>
    <row r="81" spans="1:35" ht="30" customHeight="1" thickBot="1" x14ac:dyDescent="0.25">
      <c r="A81" s="158"/>
      <c r="B81" s="1011" t="s">
        <v>417</v>
      </c>
      <c r="C81" s="1012"/>
      <c r="D81" s="1013"/>
      <c r="E81" s="1008" t="s">
        <v>1488</v>
      </c>
      <c r="F81" s="1011" t="s">
        <v>618</v>
      </c>
      <c r="G81" s="1012"/>
      <c r="H81" s="1012"/>
      <c r="I81" s="1013"/>
      <c r="J81" s="1011" t="s">
        <v>619</v>
      </c>
      <c r="K81" s="1012"/>
      <c r="L81" s="1012"/>
      <c r="M81" s="1013"/>
      <c r="N81" s="162"/>
      <c r="O81" s="1103" t="str">
        <f>IF($P$9="X","Avant impact",IF($P$15="X","Avant action écologique",""))</f>
        <v/>
      </c>
      <c r="P81" s="1104"/>
      <c r="Q81" s="1083" t="str">
        <f>IF($P$9="X",'Calcul auto.'!F66,IF($P$15="X",'Calcul auto.'!CX66,""))</f>
        <v/>
      </c>
      <c r="R81" s="1084"/>
      <c r="S81" s="1019" t="str">
        <f>IF($P$9="X",CONCATENATE('Calcul auto.'!X66,'Calcul auto.'!Y66,'Calcul auto.'!Z66,'Calcul auto.'!AA66,'Calcul auto.'!AB66,'Calcul auto.'!AC66),IF($P$15="X",CONCATENATE('Calcul auto.'!DP66,'Calcul auto.'!DQ66,'Calcul auto.'!DR66,'Calcul auto.'!DS66,'Calcul auto.'!DT66,'Calcul auto.'!DU66),""))</f>
        <v/>
      </c>
      <c r="T81" s="1098"/>
      <c r="U81" s="1098"/>
      <c r="V81" s="1098"/>
      <c r="W81" s="1020"/>
      <c r="X81" s="162"/>
      <c r="Y81" s="1075"/>
      <c r="Z81" s="1075"/>
      <c r="AA81" s="1002"/>
      <c r="AB81" s="996"/>
      <c r="AC81" s="996"/>
      <c r="AD81" s="996"/>
      <c r="AE81" s="996"/>
      <c r="AF81" s="1075"/>
      <c r="AG81" s="1075"/>
      <c r="AH81" s="1075"/>
      <c r="AI81" s="34"/>
    </row>
    <row r="82" spans="1:35" ht="30" customHeight="1" thickBot="1" x14ac:dyDescent="0.25">
      <c r="A82" s="34"/>
      <c r="B82" s="982"/>
      <c r="C82" s="924"/>
      <c r="D82" s="983"/>
      <c r="E82" s="1009"/>
      <c r="F82" s="982"/>
      <c r="G82" s="924"/>
      <c r="H82" s="924"/>
      <c r="I82" s="983"/>
      <c r="J82" s="982"/>
      <c r="K82" s="924"/>
      <c r="L82" s="924"/>
      <c r="M82" s="983"/>
      <c r="N82" s="134"/>
      <c r="O82" s="922" t="str">
        <f>IF($P$9="X","Avec impact envisagé",IF($P$15="X","Avec act. écol. envisagée",""))</f>
        <v/>
      </c>
      <c r="P82" s="1072"/>
      <c r="Q82" s="1078" t="str">
        <f>IF($P$9="X",'Calcul auto.'!AL66,IF($P$15="X",'Calcul auto.'!ED66,""))</f>
        <v/>
      </c>
      <c r="R82" s="1079"/>
      <c r="S82" s="990" t="str">
        <f>IF($P$9="X",CONCATENATE('Calcul auto.'!BD66,'Calcul auto.'!BE66,'Calcul auto.'!BF66,'Calcul auto.'!BG66,'Calcul auto.'!BH66,'Calcul auto.'!BI66),IF($P$15="X",CONCATENATE('Calcul auto.'!EV66,'Calcul auto.'!EW66,'Calcul auto.'!EX66,'Calcul auto.'!EY66,'Calcul auto.'!EZ66,'Calcul auto.'!FA66),""))</f>
        <v/>
      </c>
      <c r="T82" s="991"/>
      <c r="U82" s="991"/>
      <c r="V82" s="991"/>
      <c r="W82" s="992"/>
      <c r="X82" s="134"/>
      <c r="Y82" s="1076"/>
      <c r="Z82" s="1076"/>
      <c r="AA82" s="1003"/>
      <c r="AB82" s="997"/>
      <c r="AC82" s="997"/>
      <c r="AD82" s="997"/>
      <c r="AE82" s="997"/>
      <c r="AF82" s="1076"/>
      <c r="AG82" s="1076"/>
      <c r="AH82" s="1076"/>
      <c r="AI82" s="34"/>
    </row>
    <row r="83" spans="1:35" ht="30" customHeight="1" thickBot="1" x14ac:dyDescent="0.25">
      <c r="A83" s="34"/>
      <c r="B83" s="987"/>
      <c r="C83" s="988"/>
      <c r="D83" s="989"/>
      <c r="E83" s="1017"/>
      <c r="F83" s="987"/>
      <c r="G83" s="988"/>
      <c r="H83" s="988"/>
      <c r="I83" s="989"/>
      <c r="J83" s="987"/>
      <c r="K83" s="988"/>
      <c r="L83" s="988"/>
      <c r="M83" s="989"/>
      <c r="N83" s="53"/>
      <c r="O83" s="1105" t="str">
        <f>IF($P$9="X","Après impact",IF($P$15="X","Après action écologique",""))</f>
        <v/>
      </c>
      <c r="P83" s="1106"/>
      <c r="Q83" s="1100" t="str">
        <f>IF($P$9="X",'Calcul auto.'!BR66,IF($P$15="X",'Calcul auto.'!FJ66,""))</f>
        <v/>
      </c>
      <c r="R83" s="1101"/>
      <c r="S83" s="1021" t="str">
        <f>IF($P$9="X",CONCATENATE('Calcul auto.'!CJ66,'Calcul auto.'!CK66,'Calcul auto.'!CL66,'Calcul auto.'!CM66,'Calcul auto.'!CN66,'Calcul auto.'!CO66),IF($P$15="X",CONCATENATE('Calcul auto.'!GB66,'Calcul auto.'!GC66,'Calcul auto.'!GD66,'Calcul auto.'!GE66,'Calcul auto.'!GF66,'Calcul auto.'!GG66),""))</f>
        <v/>
      </c>
      <c r="T83" s="1102"/>
      <c r="U83" s="1102"/>
      <c r="V83" s="1102"/>
      <c r="W83" s="1022"/>
      <c r="X83" s="53"/>
      <c r="Y83" s="1099"/>
      <c r="Z83" s="1099"/>
      <c r="AA83" s="1005"/>
      <c r="AB83" s="998"/>
      <c r="AC83" s="998"/>
      <c r="AD83" s="998"/>
      <c r="AE83" s="998"/>
      <c r="AF83" s="1099"/>
      <c r="AG83" s="1099"/>
      <c r="AH83" s="1099"/>
      <c r="AI83" s="34"/>
    </row>
    <row r="84" spans="1:35" ht="30" customHeight="1" thickBot="1" x14ac:dyDescent="0.25">
      <c r="A84" s="34"/>
      <c r="B84" s="188"/>
      <c r="C84" s="51"/>
      <c r="D84" s="51"/>
      <c r="E84" s="189"/>
      <c r="F84" s="51"/>
      <c r="G84" s="134"/>
      <c r="H84" s="51"/>
      <c r="I84" s="51"/>
      <c r="J84" s="51"/>
      <c r="K84" s="134"/>
      <c r="L84" s="134"/>
      <c r="M84" s="134"/>
      <c r="N84" s="34"/>
      <c r="O84" s="34"/>
      <c r="P84" s="134"/>
      <c r="Q84" s="190"/>
      <c r="R84" s="190"/>
      <c r="S84" s="134"/>
      <c r="T84" s="134"/>
      <c r="U84" s="134"/>
      <c r="V84" s="134"/>
      <c r="W84" s="134"/>
      <c r="X84" s="34"/>
      <c r="Y84" s="51"/>
      <c r="Z84" s="51"/>
      <c r="AA84" s="51"/>
      <c r="AB84" s="51"/>
      <c r="AC84" s="51"/>
      <c r="AD84" s="51"/>
      <c r="AE84" s="51"/>
      <c r="AF84" s="51"/>
      <c r="AG84" s="51"/>
      <c r="AH84" s="191"/>
      <c r="AI84" s="34"/>
    </row>
    <row r="85" spans="1:35" ht="30" customHeight="1" x14ac:dyDescent="0.2">
      <c r="A85" s="34"/>
      <c r="B85" s="154" t="s">
        <v>540</v>
      </c>
      <c r="C85" s="183"/>
      <c r="D85" s="183"/>
      <c r="E85" s="184"/>
      <c r="F85" s="183"/>
      <c r="G85" s="156"/>
      <c r="H85" s="183"/>
      <c r="I85" s="183"/>
      <c r="J85" s="183"/>
      <c r="K85" s="156"/>
      <c r="L85" s="156"/>
      <c r="M85" s="156"/>
      <c r="N85" s="156"/>
      <c r="O85" s="156"/>
      <c r="P85" s="156"/>
      <c r="Q85" s="185"/>
      <c r="R85" s="185"/>
      <c r="S85" s="156"/>
      <c r="T85" s="156"/>
      <c r="U85" s="156"/>
      <c r="V85" s="156"/>
      <c r="W85" s="156"/>
      <c r="X85" s="156"/>
      <c r="Y85" s="183"/>
      <c r="Z85" s="183"/>
      <c r="AA85" s="183"/>
      <c r="AB85" s="183"/>
      <c r="AC85" s="183"/>
      <c r="AD85" s="183"/>
      <c r="AE85" s="183"/>
      <c r="AF85" s="183"/>
      <c r="AG85" s="183"/>
      <c r="AH85" s="183"/>
      <c r="AI85" s="34"/>
    </row>
    <row r="86" spans="1:35" ht="30" customHeight="1" thickBot="1" x14ac:dyDescent="0.25">
      <c r="A86" s="34"/>
      <c r="B86" s="982" t="s">
        <v>419</v>
      </c>
      <c r="C86" s="924"/>
      <c r="D86" s="983"/>
      <c r="E86" s="1009">
        <v>73</v>
      </c>
      <c r="F86" s="982" t="s">
        <v>620</v>
      </c>
      <c r="G86" s="924"/>
      <c r="H86" s="924"/>
      <c r="I86" s="983"/>
      <c r="J86" s="982" t="s">
        <v>621</v>
      </c>
      <c r="K86" s="924"/>
      <c r="L86" s="924"/>
      <c r="M86" s="983"/>
      <c r="N86" s="34"/>
      <c r="O86" s="922" t="str">
        <f>IF($P$9="X","Avant impact",IF($P$15="X","Avant action écologique",""))</f>
        <v/>
      </c>
      <c r="P86" s="1072"/>
      <c r="Q86" s="1085" t="str">
        <f>IF($P$9="X",'Calcul auto.'!J67,IF($P$15="X",'Calcul auto.'!DB67,""))</f>
        <v/>
      </c>
      <c r="R86" s="1086"/>
      <c r="S86" s="1042" t="str">
        <f>IF($P$9="X",CONCATENATE('Calcul auto.'!X67,'Calcul auto.'!Y67,'Calcul auto.'!Z67,'Calcul auto.'!AA67,'Calcul auto.'!AB67,'Calcul auto.'!AC67),IF($P$15="X",CONCATENATE('Calcul auto.'!DP67,'Calcul auto.'!DQ67,'Calcul auto.'!DR67,'Calcul auto.'!DS67,'Calcul auto.'!DT67,'Calcul auto.'!DU67),""))</f>
        <v/>
      </c>
      <c r="T86" s="1087"/>
      <c r="U86" s="1087"/>
      <c r="V86" s="1087"/>
      <c r="W86" s="1043"/>
      <c r="X86" s="34"/>
      <c r="Y86" s="1076"/>
      <c r="Z86" s="1076"/>
      <c r="AA86" s="1076"/>
      <c r="AB86" s="1076"/>
      <c r="AC86" s="1076"/>
      <c r="AD86" s="1076"/>
      <c r="AE86" s="997"/>
      <c r="AF86" s="1076"/>
      <c r="AG86" s="1076"/>
      <c r="AH86" s="1076"/>
      <c r="AI86" s="34"/>
    </row>
    <row r="87" spans="1:35" ht="30" customHeight="1" thickBot="1" x14ac:dyDescent="0.25">
      <c r="A87" s="34"/>
      <c r="B87" s="982"/>
      <c r="C87" s="924"/>
      <c r="D87" s="983"/>
      <c r="E87" s="1009"/>
      <c r="F87" s="982"/>
      <c r="G87" s="924"/>
      <c r="H87" s="924"/>
      <c r="I87" s="983"/>
      <c r="J87" s="982"/>
      <c r="K87" s="924"/>
      <c r="L87" s="924"/>
      <c r="M87" s="983"/>
      <c r="N87" s="34"/>
      <c r="O87" s="922" t="str">
        <f>IF($P$9="X","Avec impact envisagé",IF($P$15="X","Avec act. écol. envisagée",""))</f>
        <v/>
      </c>
      <c r="P87" s="1072"/>
      <c r="Q87" s="1078" t="str">
        <f>IF($P$9="X",'Calcul auto.'!AP67,IF($P$15="X",'Calcul auto.'!EH67,""))</f>
        <v/>
      </c>
      <c r="R87" s="1079"/>
      <c r="S87" s="990" t="str">
        <f>IF($P$9="X",CONCATENATE('Calcul auto.'!BD67,'Calcul auto.'!BE67,'Calcul auto.'!BF67,'Calcul auto.'!BG67,'Calcul auto.'!BH67,'Calcul auto.'!BI67),IF($P$15="X",CONCATENATE('Calcul auto.'!EV67,'Calcul auto.'!EW67,'Calcul auto.'!EX67,'Calcul auto.'!EY67,'Calcul auto.'!EZ67,'Calcul auto.'!FA67),""))</f>
        <v/>
      </c>
      <c r="T87" s="991"/>
      <c r="U87" s="991"/>
      <c r="V87" s="991"/>
      <c r="W87" s="992"/>
      <c r="X87" s="34"/>
      <c r="Y87" s="1076"/>
      <c r="Z87" s="1076"/>
      <c r="AA87" s="1076"/>
      <c r="AB87" s="1076"/>
      <c r="AC87" s="1076"/>
      <c r="AD87" s="1076"/>
      <c r="AE87" s="997"/>
      <c r="AF87" s="1076"/>
      <c r="AG87" s="1076"/>
      <c r="AH87" s="1076"/>
      <c r="AI87" s="34"/>
    </row>
    <row r="88" spans="1:35" ht="30" customHeight="1" x14ac:dyDescent="0.2">
      <c r="A88" s="34"/>
      <c r="B88" s="982"/>
      <c r="C88" s="924"/>
      <c r="D88" s="983"/>
      <c r="E88" s="1009"/>
      <c r="F88" s="982"/>
      <c r="G88" s="924"/>
      <c r="H88" s="924"/>
      <c r="I88" s="983"/>
      <c r="J88" s="982"/>
      <c r="K88" s="924"/>
      <c r="L88" s="924"/>
      <c r="M88" s="983"/>
      <c r="N88" s="34"/>
      <c r="O88" s="922" t="str">
        <f>IF($P$9="X","Après impact",IF($P$15="X","Après action écologique",""))</f>
        <v/>
      </c>
      <c r="P88" s="1072"/>
      <c r="Q88" s="1107" t="str">
        <f>IF($P$9="X",'Calcul auto.'!BV67,IF($P$15="X",'Calcul auto.'!FN67,""))</f>
        <v/>
      </c>
      <c r="R88" s="1108"/>
      <c r="S88" s="1044" t="str">
        <f>IF($P$9="X",CONCATENATE('Calcul auto.'!CJ67,'Calcul auto.'!CK67,'Calcul auto.'!CL67,'Calcul auto.'!CM67,'Calcul auto.'!CN67,'Calcul auto.'!CO67),IF($P$15="X",CONCATENATE('Calcul auto.'!GB67,'Calcul auto.'!GC67,'Calcul auto.'!GD67,'Calcul auto.'!GE67,'Calcul auto.'!GF67,'Calcul auto.'!GG67),""))</f>
        <v/>
      </c>
      <c r="T88" s="1109"/>
      <c r="U88" s="1109"/>
      <c r="V88" s="1109"/>
      <c r="W88" s="1045"/>
      <c r="X88" s="34"/>
      <c r="Y88" s="1076"/>
      <c r="Z88" s="1076"/>
      <c r="AA88" s="1076"/>
      <c r="AB88" s="1076"/>
      <c r="AC88" s="1076"/>
      <c r="AD88" s="1076"/>
      <c r="AE88" s="997"/>
      <c r="AF88" s="1076"/>
      <c r="AG88" s="1076"/>
      <c r="AH88" s="1076"/>
      <c r="AI88" s="34"/>
    </row>
    <row r="89" spans="1:35" ht="30" customHeight="1" thickBot="1" x14ac:dyDescent="0.25">
      <c r="A89" s="34"/>
      <c r="B89" s="1011" t="s">
        <v>420</v>
      </c>
      <c r="C89" s="1012"/>
      <c r="D89" s="1013"/>
      <c r="E89" s="1008">
        <v>73</v>
      </c>
      <c r="F89" s="1011" t="s">
        <v>621</v>
      </c>
      <c r="G89" s="1012"/>
      <c r="H89" s="1012"/>
      <c r="I89" s="1013"/>
      <c r="J89" s="1011" t="s">
        <v>620</v>
      </c>
      <c r="K89" s="1012"/>
      <c r="L89" s="1012"/>
      <c r="M89" s="1013"/>
      <c r="N89" s="162"/>
      <c r="O89" s="1103" t="str">
        <f t="shared" ref="O89" si="12">IF($P$9="X","Avant impact",IF($P$15="X","Avant action écologique",""))</f>
        <v/>
      </c>
      <c r="P89" s="1104"/>
      <c r="Q89" s="1083" t="str">
        <f>IF($P$9="X",'Calcul auto.'!I68,IF($P$15="X",'Calcul auto.'!DA68,""))</f>
        <v/>
      </c>
      <c r="R89" s="1084"/>
      <c r="S89" s="1019" t="str">
        <f>IF($P$9="X",CONCATENATE('Calcul auto.'!X68,'Calcul auto.'!Y68,'Calcul auto.'!Z68,'Calcul auto.'!AA68,'Calcul auto.'!AB68,'Calcul auto.'!AC68),IF($P$15="X",CONCATENATE('Calcul auto.'!DP68,'Calcul auto.'!DQ68,'Calcul auto.'!DR68,'Calcul auto.'!DS68,'Calcul auto.'!DT68,'Calcul auto.'!DU68),""))</f>
        <v/>
      </c>
      <c r="T89" s="1098"/>
      <c r="U89" s="1098"/>
      <c r="V89" s="1098"/>
      <c r="W89" s="1020"/>
      <c r="X89" s="162"/>
      <c r="Y89" s="1075"/>
      <c r="Z89" s="1075"/>
      <c r="AA89" s="1075"/>
      <c r="AB89" s="1075"/>
      <c r="AC89" s="1075"/>
      <c r="AD89" s="996"/>
      <c r="AE89" s="1075"/>
      <c r="AF89" s="1075"/>
      <c r="AG89" s="1075"/>
      <c r="AH89" s="1075"/>
      <c r="AI89" s="34"/>
    </row>
    <row r="90" spans="1:35" ht="30" customHeight="1" thickBot="1" x14ac:dyDescent="0.25">
      <c r="A90" s="34"/>
      <c r="B90" s="982"/>
      <c r="C90" s="924"/>
      <c r="D90" s="983"/>
      <c r="E90" s="1009"/>
      <c r="F90" s="982"/>
      <c r="G90" s="924"/>
      <c r="H90" s="924"/>
      <c r="I90" s="983"/>
      <c r="J90" s="982"/>
      <c r="K90" s="924"/>
      <c r="L90" s="924"/>
      <c r="M90" s="983"/>
      <c r="N90" s="134"/>
      <c r="O90" s="922" t="str">
        <f t="shared" ref="O90" si="13">IF($P$9="X","Avec impact envisagé",IF($P$15="X","Avec act. écol. envisagée",""))</f>
        <v/>
      </c>
      <c r="P90" s="1072"/>
      <c r="Q90" s="1078" t="str">
        <f>IF($P$9="X",'Calcul auto.'!AO68,IF($P$15="X",'Calcul auto.'!EG68,""))</f>
        <v/>
      </c>
      <c r="R90" s="1079"/>
      <c r="S90" s="990" t="str">
        <f>IF($P$9="X",CONCATENATE('Calcul auto.'!BD68,'Calcul auto.'!BE68,'Calcul auto.'!BF68,'Calcul auto.'!BG68,'Calcul auto.'!BH68,'Calcul auto.'!BI68),IF($P$15="X",CONCATENATE('Calcul auto.'!EV68,'Calcul auto.'!EW68,'Calcul auto.'!EX68,'Calcul auto.'!EY68,'Calcul auto.'!EZ68,'Calcul auto.'!FA68),""))</f>
        <v/>
      </c>
      <c r="T90" s="991"/>
      <c r="U90" s="991"/>
      <c r="V90" s="991"/>
      <c r="W90" s="992"/>
      <c r="X90" s="134"/>
      <c r="Y90" s="1076"/>
      <c r="Z90" s="1076"/>
      <c r="AA90" s="1076"/>
      <c r="AB90" s="1076"/>
      <c r="AC90" s="1076"/>
      <c r="AD90" s="997"/>
      <c r="AE90" s="1076"/>
      <c r="AF90" s="1076"/>
      <c r="AG90" s="1076"/>
      <c r="AH90" s="1076"/>
      <c r="AI90" s="34"/>
    </row>
    <row r="91" spans="1:35" ht="30" customHeight="1" x14ac:dyDescent="0.2">
      <c r="A91" s="34"/>
      <c r="B91" s="1014"/>
      <c r="C91" s="1015"/>
      <c r="D91" s="1016"/>
      <c r="E91" s="1010"/>
      <c r="F91" s="1014"/>
      <c r="G91" s="1015"/>
      <c r="H91" s="1015"/>
      <c r="I91" s="1016"/>
      <c r="J91" s="1014"/>
      <c r="K91" s="1015"/>
      <c r="L91" s="1015"/>
      <c r="M91" s="1016"/>
      <c r="N91" s="178"/>
      <c r="O91" s="1073" t="str">
        <f t="shared" ref="O91" si="14">IF($P$9="X","Après impact",IF($P$15="X","Après action écologique",""))</f>
        <v/>
      </c>
      <c r="P91" s="1074"/>
      <c r="Q91" s="1096" t="str">
        <f>IF($P$9="X",'Calcul auto.'!BU68,IF($P$15="X",'Calcul auto.'!FM68,""))</f>
        <v/>
      </c>
      <c r="R91" s="1097"/>
      <c r="S91" s="1023" t="str">
        <f>IF($P$9="X",CONCATENATE('Calcul auto.'!CJ68,'Calcul auto.'!CK68,'Calcul auto.'!CL68,'Calcul auto.'!CM68,'Calcul auto.'!CN68,'Calcul auto.'!CO68),IF($P$15="X",CONCATENATE('Calcul auto.'!GB68,'Calcul auto.'!GC68,'Calcul auto.'!GD68,'Calcul auto.'!GE68,'Calcul auto.'!GF68,'Calcul auto.'!GG68),""))</f>
        <v/>
      </c>
      <c r="T91" s="1082"/>
      <c r="U91" s="1082"/>
      <c r="V91" s="1082"/>
      <c r="W91" s="1024"/>
      <c r="X91" s="178"/>
      <c r="Y91" s="1077"/>
      <c r="Z91" s="1077"/>
      <c r="AA91" s="1077"/>
      <c r="AB91" s="1077"/>
      <c r="AC91" s="1077"/>
      <c r="AD91" s="1006"/>
      <c r="AE91" s="1077"/>
      <c r="AF91" s="1077"/>
      <c r="AG91" s="1077"/>
      <c r="AH91" s="1077"/>
      <c r="AI91" s="34"/>
    </row>
    <row r="92" spans="1:35" ht="30" customHeight="1" thickBot="1" x14ac:dyDescent="0.25">
      <c r="A92" s="34"/>
      <c r="B92" s="982" t="s">
        <v>144</v>
      </c>
      <c r="C92" s="924"/>
      <c r="D92" s="983"/>
      <c r="E92" s="1009">
        <v>73</v>
      </c>
      <c r="F92" s="982" t="s">
        <v>622</v>
      </c>
      <c r="G92" s="924"/>
      <c r="H92" s="924"/>
      <c r="I92" s="983"/>
      <c r="J92" s="982" t="s">
        <v>623</v>
      </c>
      <c r="K92" s="924"/>
      <c r="L92" s="924"/>
      <c r="M92" s="983"/>
      <c r="N92" s="34"/>
      <c r="O92" s="922" t="str">
        <f t="shared" ref="O92" si="15">IF($P$9="X","Avant impact",IF($P$15="X","Avant action écologique",""))</f>
        <v/>
      </c>
      <c r="P92" s="1072"/>
      <c r="Q92" s="1085" t="str">
        <f>IF($P$9="X",'Calcul auto.'!F69,IF($P$15="X",'Calcul auto.'!CX69,""))</f>
        <v/>
      </c>
      <c r="R92" s="1086"/>
      <c r="S92" s="1042" t="str">
        <f>IF($P$9="X",CONCATENATE('Calcul auto.'!X69,'Calcul auto.'!Y69,'Calcul auto.'!Z69,'Calcul auto.'!AA69,'Calcul auto.'!AB69,'Calcul auto.'!AC69),IF($P$15="X",CONCATENATE('Calcul auto.'!DP69,'Calcul auto.'!DQ69,'Calcul auto.'!DR69,'Calcul auto.'!DS69,'Calcul auto.'!DT69,'Calcul auto.'!DU69),""))</f>
        <v/>
      </c>
      <c r="T92" s="1087"/>
      <c r="U92" s="1087"/>
      <c r="V92" s="1087"/>
      <c r="W92" s="1043"/>
      <c r="X92" s="34"/>
      <c r="Y92" s="1076"/>
      <c r="Z92" s="1076"/>
      <c r="AA92" s="1003"/>
      <c r="AB92" s="997"/>
      <c r="AC92" s="997"/>
      <c r="AD92" s="1076"/>
      <c r="AE92" s="1076"/>
      <c r="AF92" s="997"/>
      <c r="AG92" s="1076"/>
      <c r="AH92" s="1076"/>
      <c r="AI92" s="34"/>
    </row>
    <row r="93" spans="1:35" ht="30" customHeight="1" thickBot="1" x14ac:dyDescent="0.25">
      <c r="A93" s="34"/>
      <c r="B93" s="982"/>
      <c r="C93" s="924"/>
      <c r="D93" s="983"/>
      <c r="E93" s="1009"/>
      <c r="F93" s="982"/>
      <c r="G93" s="924"/>
      <c r="H93" s="924"/>
      <c r="I93" s="983"/>
      <c r="J93" s="982"/>
      <c r="K93" s="924"/>
      <c r="L93" s="924"/>
      <c r="M93" s="983"/>
      <c r="N93" s="34"/>
      <c r="O93" s="922" t="str">
        <f t="shared" ref="O93" si="16">IF($P$9="X","Avec impact envisagé",IF($P$15="X","Avec act. écol. envisagée",""))</f>
        <v/>
      </c>
      <c r="P93" s="1072"/>
      <c r="Q93" s="1078" t="str">
        <f>IF($P$9="X",'Calcul auto.'!AL69,IF($P$15="X",'Calcul auto.'!ED69,""))</f>
        <v/>
      </c>
      <c r="R93" s="1079"/>
      <c r="S93" s="990" t="str">
        <f>IF($P$9="X",CONCATENATE('Calcul auto.'!BD69,'Calcul auto.'!BE69,'Calcul auto.'!BF69,'Calcul auto.'!BG69,'Calcul auto.'!BH69,'Calcul auto.'!BI69),IF($P$15="X",CONCATENATE('Calcul auto.'!EV69,'Calcul auto.'!EW69,'Calcul auto.'!EX69,'Calcul auto.'!EY69,'Calcul auto.'!EZ69,'Calcul auto.'!FA69),""))</f>
        <v/>
      </c>
      <c r="T93" s="991"/>
      <c r="U93" s="991"/>
      <c r="V93" s="991"/>
      <c r="W93" s="992"/>
      <c r="X93" s="34"/>
      <c r="Y93" s="1076"/>
      <c r="Z93" s="1076"/>
      <c r="AA93" s="1003"/>
      <c r="AB93" s="997"/>
      <c r="AC93" s="997"/>
      <c r="AD93" s="1076"/>
      <c r="AE93" s="1076"/>
      <c r="AF93" s="997"/>
      <c r="AG93" s="1076"/>
      <c r="AH93" s="1076"/>
      <c r="AI93" s="34"/>
    </row>
    <row r="94" spans="1:35" ht="30" customHeight="1" x14ac:dyDescent="0.2">
      <c r="A94" s="34"/>
      <c r="B94" s="982"/>
      <c r="C94" s="924"/>
      <c r="D94" s="983"/>
      <c r="E94" s="1009"/>
      <c r="F94" s="982"/>
      <c r="G94" s="924"/>
      <c r="H94" s="924"/>
      <c r="I94" s="983"/>
      <c r="J94" s="982"/>
      <c r="K94" s="924"/>
      <c r="L94" s="924"/>
      <c r="M94" s="983"/>
      <c r="N94" s="34"/>
      <c r="O94" s="922" t="str">
        <f t="shared" ref="O94" si="17">IF($P$9="X","Après impact",IF($P$15="X","Après action écologique",""))</f>
        <v/>
      </c>
      <c r="P94" s="1072"/>
      <c r="Q94" s="1107" t="str">
        <f>IF($P$9="X",'Calcul auto.'!BR69,IF($P$15="X",'Calcul auto.'!FJ69,""))</f>
        <v/>
      </c>
      <c r="R94" s="1108"/>
      <c r="S94" s="1044" t="str">
        <f>IF($P$9="X",CONCATENATE('Calcul auto.'!CJ69,'Calcul auto.'!CK69,'Calcul auto.'!CL69,'Calcul auto.'!CM69,'Calcul auto.'!CN69,'Calcul auto.'!CO69),IF($P$15="X",CONCATENATE('Calcul auto.'!GB69,'Calcul auto.'!GC69,'Calcul auto.'!GD69,'Calcul auto.'!GE69,'Calcul auto.'!GF69,'Calcul auto.'!GG69),""))</f>
        <v/>
      </c>
      <c r="T94" s="1109"/>
      <c r="U94" s="1109"/>
      <c r="V94" s="1109"/>
      <c r="W94" s="1045"/>
      <c r="X94" s="34"/>
      <c r="Y94" s="1076"/>
      <c r="Z94" s="1076"/>
      <c r="AA94" s="1003"/>
      <c r="AB94" s="997"/>
      <c r="AC94" s="997"/>
      <c r="AD94" s="1076"/>
      <c r="AE94" s="1076"/>
      <c r="AF94" s="997"/>
      <c r="AG94" s="1076"/>
      <c r="AH94" s="1076"/>
      <c r="AI94" s="34"/>
    </row>
    <row r="95" spans="1:35" ht="30" customHeight="1" thickBot="1" x14ac:dyDescent="0.25">
      <c r="A95" s="34"/>
      <c r="B95" s="1011" t="s">
        <v>145</v>
      </c>
      <c r="C95" s="1012"/>
      <c r="D95" s="1013"/>
      <c r="E95" s="1008">
        <v>73</v>
      </c>
      <c r="F95" s="1011" t="s">
        <v>624</v>
      </c>
      <c r="G95" s="1012"/>
      <c r="H95" s="1012"/>
      <c r="I95" s="1013"/>
      <c r="J95" s="1011" t="s">
        <v>625</v>
      </c>
      <c r="K95" s="1012"/>
      <c r="L95" s="1012"/>
      <c r="M95" s="1013"/>
      <c r="N95" s="162"/>
      <c r="O95" s="1103" t="str">
        <f t="shared" ref="O95" si="18">IF($P$9="X","Avant impact",IF($P$15="X","Avant action écologique",""))</f>
        <v/>
      </c>
      <c r="P95" s="1104"/>
      <c r="Q95" s="1083" t="str">
        <f>IF($P$9="X",'Calcul auto.'!G70,IF($P$15="X",'Calcul auto.'!CY70,""))</f>
        <v/>
      </c>
      <c r="R95" s="1084"/>
      <c r="S95" s="1019" t="str">
        <f>IF($P$9="X",CONCATENATE('Calcul auto.'!X70,'Calcul auto.'!Y70,'Calcul auto.'!Z70,'Calcul auto.'!AA70,'Calcul auto.'!AB70,'Calcul auto.'!AC70),IF($P$15="X",CONCATENATE('Calcul auto.'!DP70,'Calcul auto.'!DQ70,'Calcul auto.'!DR70,'Calcul auto.'!DS70,'Calcul auto.'!DT70,'Calcul auto.'!DU70),""))</f>
        <v/>
      </c>
      <c r="T95" s="1098"/>
      <c r="U95" s="1098"/>
      <c r="V95" s="1098"/>
      <c r="W95" s="1020"/>
      <c r="X95" s="162"/>
      <c r="Y95" s="1075"/>
      <c r="Z95" s="1075"/>
      <c r="AA95" s="1075"/>
      <c r="AB95" s="996"/>
      <c r="AC95" s="996"/>
      <c r="AD95" s="1075"/>
      <c r="AE95" s="1075"/>
      <c r="AF95" s="996"/>
      <c r="AG95" s="1075"/>
      <c r="AH95" s="1075"/>
      <c r="AI95" s="34"/>
    </row>
    <row r="96" spans="1:35" ht="30" customHeight="1" thickBot="1" x14ac:dyDescent="0.25">
      <c r="A96" s="34"/>
      <c r="B96" s="982"/>
      <c r="C96" s="924"/>
      <c r="D96" s="983"/>
      <c r="E96" s="1009"/>
      <c r="F96" s="982"/>
      <c r="G96" s="924"/>
      <c r="H96" s="924"/>
      <c r="I96" s="983"/>
      <c r="J96" s="982"/>
      <c r="K96" s="924"/>
      <c r="L96" s="924"/>
      <c r="M96" s="983"/>
      <c r="N96" s="134"/>
      <c r="O96" s="922" t="str">
        <f t="shared" ref="O96" si="19">IF($P$9="X","Avec impact envisagé",IF($P$15="X","Avec act. écol. envisagée",""))</f>
        <v/>
      </c>
      <c r="P96" s="1072"/>
      <c r="Q96" s="1078" t="str">
        <f>IF($P$9="X",'Calcul auto.'!AM70,IF($P$15="X",'Calcul auto.'!EE70,""))</f>
        <v/>
      </c>
      <c r="R96" s="1079"/>
      <c r="S96" s="990" t="str">
        <f>IF($P$9="X",CONCATENATE('Calcul auto.'!BD70,'Calcul auto.'!BE70,'Calcul auto.'!BF70,'Calcul auto.'!BG70,'Calcul auto.'!BH70,'Calcul auto.'!BI70),IF($P$15="X",CONCATENATE('Calcul auto.'!EV70,'Calcul auto.'!EW70,'Calcul auto.'!EX70,'Calcul auto.'!EY70,'Calcul auto.'!EZ70,'Calcul auto.'!FA70),""))</f>
        <v/>
      </c>
      <c r="T96" s="991"/>
      <c r="U96" s="991"/>
      <c r="V96" s="991"/>
      <c r="W96" s="992"/>
      <c r="X96" s="134"/>
      <c r="Y96" s="1076"/>
      <c r="Z96" s="1076"/>
      <c r="AA96" s="1076"/>
      <c r="AB96" s="997"/>
      <c r="AC96" s="997"/>
      <c r="AD96" s="1076"/>
      <c r="AE96" s="1076"/>
      <c r="AF96" s="997"/>
      <c r="AG96" s="1076"/>
      <c r="AH96" s="1076"/>
      <c r="AI96" s="34"/>
    </row>
    <row r="97" spans="1:35" ht="30" customHeight="1" x14ac:dyDescent="0.2">
      <c r="A97" s="34"/>
      <c r="B97" s="1014"/>
      <c r="C97" s="1015"/>
      <c r="D97" s="1016"/>
      <c r="E97" s="1010"/>
      <c r="F97" s="1014"/>
      <c r="G97" s="1015"/>
      <c r="H97" s="1015"/>
      <c r="I97" s="1016"/>
      <c r="J97" s="1014"/>
      <c r="K97" s="1015"/>
      <c r="L97" s="1015"/>
      <c r="M97" s="1016"/>
      <c r="N97" s="178"/>
      <c r="O97" s="1073" t="str">
        <f t="shared" ref="O97" si="20">IF($P$9="X","Après impact",IF($P$15="X","Après action écologique",""))</f>
        <v/>
      </c>
      <c r="P97" s="1074"/>
      <c r="Q97" s="1096" t="str">
        <f>IF($P$9="X",'Calcul auto.'!BS70,IF($P$15="X",'Calcul auto.'!FK70,""))</f>
        <v/>
      </c>
      <c r="R97" s="1097"/>
      <c r="S97" s="1023" t="str">
        <f>IF($P$9="X",CONCATENATE('Calcul auto.'!CJ70,'Calcul auto.'!CK70,'Calcul auto.'!CL70,'Calcul auto.'!CM70,'Calcul auto.'!CN70,'Calcul auto.'!CO70),IF($P$15="X",CONCATENATE('Calcul auto.'!GB70,'Calcul auto.'!GC70,'Calcul auto.'!GD70,'Calcul auto.'!GE70,'Calcul auto.'!GF70,'Calcul auto.'!GG70),""))</f>
        <v/>
      </c>
      <c r="T97" s="1082"/>
      <c r="U97" s="1082"/>
      <c r="V97" s="1082"/>
      <c r="W97" s="1024"/>
      <c r="X97" s="178"/>
      <c r="Y97" s="1077"/>
      <c r="Z97" s="1077"/>
      <c r="AA97" s="1077"/>
      <c r="AB97" s="1006"/>
      <c r="AC97" s="1006"/>
      <c r="AD97" s="1077"/>
      <c r="AE97" s="1077"/>
      <c r="AF97" s="1006"/>
      <c r="AG97" s="1077"/>
      <c r="AH97" s="1077"/>
      <c r="AI97" s="34"/>
    </row>
    <row r="98" spans="1:35" ht="30" customHeight="1" thickBot="1" x14ac:dyDescent="0.25">
      <c r="A98" s="34"/>
      <c r="B98" s="982" t="s">
        <v>146</v>
      </c>
      <c r="C98" s="924"/>
      <c r="D98" s="924"/>
      <c r="E98" s="1009">
        <v>73</v>
      </c>
      <c r="F98" s="982" t="s">
        <v>626</v>
      </c>
      <c r="G98" s="924"/>
      <c r="H98" s="924"/>
      <c r="I98" s="983"/>
      <c r="J98" s="982" t="s">
        <v>627</v>
      </c>
      <c r="K98" s="924"/>
      <c r="L98" s="924"/>
      <c r="M98" s="983"/>
      <c r="N98" s="34"/>
      <c r="O98" s="922" t="str">
        <f t="shared" ref="O98" si="21">IF($P$9="X","Avant impact",IF($P$15="X","Avant action écologique",""))</f>
        <v/>
      </c>
      <c r="P98" s="1072"/>
      <c r="Q98" s="1085" t="str">
        <f>IF($P$9="X",'Calcul auto.'!K71,IF($P$15="X",'Calcul auto.'!DC71,""))</f>
        <v/>
      </c>
      <c r="R98" s="1086"/>
      <c r="S98" s="1042" t="str">
        <f>IF($P$9="X",CONCATENATE('Calcul auto.'!X71,'Calcul auto.'!Y71,'Calcul auto.'!Z71,'Calcul auto.'!AA71,'Calcul auto.'!AB71,'Calcul auto.'!AC71),IF($P$15="X",CONCATENATE('Calcul auto.'!DP71,'Calcul auto.'!DQ71,'Calcul auto.'!DR71,'Calcul auto.'!DS71,'Calcul auto.'!DT71,'Calcul auto.'!DU71),""))</f>
        <v/>
      </c>
      <c r="T98" s="1087"/>
      <c r="U98" s="1087"/>
      <c r="V98" s="1087"/>
      <c r="W98" s="1043"/>
      <c r="X98" s="34"/>
      <c r="Y98" s="1076"/>
      <c r="Z98" s="1076"/>
      <c r="AA98" s="1076"/>
      <c r="AB98" s="1076"/>
      <c r="AC98" s="1076"/>
      <c r="AD98" s="1076"/>
      <c r="AE98" s="1076"/>
      <c r="AF98" s="997"/>
      <c r="AG98" s="1076"/>
      <c r="AH98" s="1076"/>
      <c r="AI98" s="34"/>
    </row>
    <row r="99" spans="1:35" ht="30" customHeight="1" thickBot="1" x14ac:dyDescent="0.25">
      <c r="A99" s="34"/>
      <c r="B99" s="982"/>
      <c r="C99" s="924"/>
      <c r="D99" s="924"/>
      <c r="E99" s="1009"/>
      <c r="F99" s="982"/>
      <c r="G99" s="924"/>
      <c r="H99" s="924"/>
      <c r="I99" s="983"/>
      <c r="J99" s="982"/>
      <c r="K99" s="924"/>
      <c r="L99" s="924"/>
      <c r="M99" s="983"/>
      <c r="N99" s="34"/>
      <c r="O99" s="922" t="str">
        <f t="shared" ref="O99" si="22">IF($P$9="X","Avec impact envisagé",IF($P$15="X","Avec act. écol. envisagée",""))</f>
        <v/>
      </c>
      <c r="P99" s="1072"/>
      <c r="Q99" s="1078" t="str">
        <f>IF($P$9="X",'Calcul auto.'!AQ71,IF($P$15="X",'Calcul auto.'!EI71,""))</f>
        <v/>
      </c>
      <c r="R99" s="1079"/>
      <c r="S99" s="990" t="str">
        <f>IF($P$9="X",CONCATENATE('Calcul auto.'!BD71,'Calcul auto.'!BE71,'Calcul auto.'!BF71,'Calcul auto.'!BG71,'Calcul auto.'!BH71,'Calcul auto.'!BI71),IF($P$15="X",CONCATENATE('Calcul auto.'!EV71,'Calcul auto.'!EW71,'Calcul auto.'!EX71,'Calcul auto.'!EY71,'Calcul auto.'!EZ71,'Calcul auto.'!FA71),""))</f>
        <v/>
      </c>
      <c r="T99" s="991"/>
      <c r="U99" s="991"/>
      <c r="V99" s="991"/>
      <c r="W99" s="992"/>
      <c r="X99" s="34"/>
      <c r="Y99" s="1076"/>
      <c r="Z99" s="1076"/>
      <c r="AA99" s="1076"/>
      <c r="AB99" s="1076"/>
      <c r="AC99" s="1076"/>
      <c r="AD99" s="1076"/>
      <c r="AE99" s="1076"/>
      <c r="AF99" s="997"/>
      <c r="AG99" s="1076"/>
      <c r="AH99" s="1076"/>
      <c r="AI99" s="34"/>
    </row>
    <row r="100" spans="1:35" ht="30" customHeight="1" x14ac:dyDescent="0.2">
      <c r="A100" s="34"/>
      <c r="B100" s="982"/>
      <c r="C100" s="924"/>
      <c r="D100" s="924"/>
      <c r="E100" s="1009"/>
      <c r="F100" s="982"/>
      <c r="G100" s="924"/>
      <c r="H100" s="924"/>
      <c r="I100" s="983"/>
      <c r="J100" s="982"/>
      <c r="K100" s="924"/>
      <c r="L100" s="924"/>
      <c r="M100" s="983"/>
      <c r="N100" s="34"/>
      <c r="O100" s="922" t="str">
        <f t="shared" ref="O100" si="23">IF($P$9="X","Après impact",IF($P$15="X","Après action écologique",""))</f>
        <v/>
      </c>
      <c r="P100" s="1072"/>
      <c r="Q100" s="1107" t="str">
        <f>IF($P$9="X",'Calcul auto.'!BW71,IF($P$15="X",'Calcul auto.'!FO71,""))</f>
        <v/>
      </c>
      <c r="R100" s="1108"/>
      <c r="S100" s="1044" t="str">
        <f>IF($P$9="X",CONCATENATE('Calcul auto.'!CJ71,'Calcul auto.'!CK71,'Calcul auto.'!CL71,'Calcul auto.'!CM71,'Calcul auto.'!CN71,'Calcul auto.'!CO71),IF($P$15="X",CONCATENATE('Calcul auto.'!GB71,'Calcul auto.'!GC71,'Calcul auto.'!GD71,'Calcul auto.'!GE71,'Calcul auto.'!GF71,'Calcul auto.'!GG71),""))</f>
        <v/>
      </c>
      <c r="T100" s="1109"/>
      <c r="U100" s="1109"/>
      <c r="V100" s="1109"/>
      <c r="W100" s="1045"/>
      <c r="X100" s="34"/>
      <c r="Y100" s="1076"/>
      <c r="Z100" s="1076"/>
      <c r="AA100" s="1076"/>
      <c r="AB100" s="1076"/>
      <c r="AC100" s="1076"/>
      <c r="AD100" s="1076"/>
      <c r="AE100" s="1076"/>
      <c r="AF100" s="997"/>
      <c r="AG100" s="1076"/>
      <c r="AH100" s="1076"/>
      <c r="AI100" s="34"/>
    </row>
    <row r="101" spans="1:35" ht="30" customHeight="1" thickBot="1" x14ac:dyDescent="0.25">
      <c r="A101" s="34"/>
      <c r="B101" s="1011" t="s">
        <v>147</v>
      </c>
      <c r="C101" s="1012"/>
      <c r="D101" s="1013"/>
      <c r="E101" s="1008">
        <v>73</v>
      </c>
      <c r="F101" s="1011" t="s">
        <v>628</v>
      </c>
      <c r="G101" s="1012"/>
      <c r="H101" s="1012"/>
      <c r="I101" s="1013"/>
      <c r="J101" s="1011" t="s">
        <v>629</v>
      </c>
      <c r="K101" s="1012"/>
      <c r="L101" s="1012"/>
      <c r="M101" s="1013"/>
      <c r="N101" s="162"/>
      <c r="O101" s="1103" t="str">
        <f t="shared" ref="O101" si="24">IF($P$9="X","Avant impact",IF($P$15="X","Avant action écologique",""))</f>
        <v/>
      </c>
      <c r="P101" s="1104"/>
      <c r="Q101" s="1083" t="str">
        <f>IF($P$9="X",'Calcul auto.'!K72,IF($P$15="X",'Calcul auto.'!DC72,""))</f>
        <v/>
      </c>
      <c r="R101" s="1084"/>
      <c r="S101" s="1019" t="str">
        <f>IF($P$9="X",CONCATENATE('Calcul auto.'!X72,'Calcul auto.'!Y72,'Calcul auto.'!Z72,'Calcul auto.'!AA72,'Calcul auto.'!AB72,'Calcul auto.'!AC72),IF($P$15="X",CONCATENATE('Calcul auto.'!DP72,'Calcul auto.'!DQ72,'Calcul auto.'!DR72,'Calcul auto.'!DS72,'Calcul auto.'!DT72,'Calcul auto.'!DU72),""))</f>
        <v/>
      </c>
      <c r="T101" s="1098"/>
      <c r="U101" s="1098"/>
      <c r="V101" s="1098"/>
      <c r="W101" s="1020"/>
      <c r="X101" s="162"/>
      <c r="Y101" s="1075"/>
      <c r="Z101" s="1075"/>
      <c r="AA101" s="1075"/>
      <c r="AB101" s="1075"/>
      <c r="AC101" s="1075"/>
      <c r="AD101" s="1075"/>
      <c r="AE101" s="1075"/>
      <c r="AF101" s="996"/>
      <c r="AG101" s="1075"/>
      <c r="AH101" s="1075"/>
      <c r="AI101" s="34"/>
    </row>
    <row r="102" spans="1:35" ht="30" customHeight="1" thickBot="1" x14ac:dyDescent="0.25">
      <c r="A102" s="34"/>
      <c r="B102" s="982"/>
      <c r="C102" s="924"/>
      <c r="D102" s="983"/>
      <c r="E102" s="1009"/>
      <c r="F102" s="982"/>
      <c r="G102" s="924"/>
      <c r="H102" s="924"/>
      <c r="I102" s="983"/>
      <c r="J102" s="982"/>
      <c r="K102" s="924"/>
      <c r="L102" s="924"/>
      <c r="M102" s="983"/>
      <c r="N102" s="134"/>
      <c r="O102" s="922" t="str">
        <f t="shared" ref="O102" si="25">IF($P$9="X","Avec impact envisagé",IF($P$15="X","Avec act. écol. envisagée",""))</f>
        <v/>
      </c>
      <c r="P102" s="1072"/>
      <c r="Q102" s="1078" t="str">
        <f>IF($P$9="X",'Calcul auto.'!AQ72,IF($P$15="X",'Calcul auto.'!EI72,""))</f>
        <v/>
      </c>
      <c r="R102" s="1079"/>
      <c r="S102" s="990" t="str">
        <f>IF($P$9="X",CONCATENATE('Calcul auto.'!BD72,'Calcul auto.'!BE72,'Calcul auto.'!BF72,'Calcul auto.'!BG72,'Calcul auto.'!BH72,'Calcul auto.'!BI72),IF($P$15="X",CONCATENATE('Calcul auto.'!EV72,'Calcul auto.'!EW72,'Calcul auto.'!EX72,'Calcul auto.'!EY72,'Calcul auto.'!EZ72,'Calcul auto.'!FA72),""))</f>
        <v/>
      </c>
      <c r="T102" s="991"/>
      <c r="U102" s="991"/>
      <c r="V102" s="991"/>
      <c r="W102" s="992"/>
      <c r="X102" s="134"/>
      <c r="Y102" s="1076"/>
      <c r="Z102" s="1076"/>
      <c r="AA102" s="1076"/>
      <c r="AB102" s="1076"/>
      <c r="AC102" s="1076"/>
      <c r="AD102" s="1076"/>
      <c r="AE102" s="1076"/>
      <c r="AF102" s="997"/>
      <c r="AG102" s="1076"/>
      <c r="AH102" s="1076"/>
      <c r="AI102" s="34"/>
    </row>
    <row r="103" spans="1:35" ht="30" customHeight="1" x14ac:dyDescent="0.2">
      <c r="A103" s="34"/>
      <c r="B103" s="1014"/>
      <c r="C103" s="1015"/>
      <c r="D103" s="1016"/>
      <c r="E103" s="1010"/>
      <c r="F103" s="1014"/>
      <c r="G103" s="1015"/>
      <c r="H103" s="1015"/>
      <c r="I103" s="1016"/>
      <c r="J103" s="1014"/>
      <c r="K103" s="1015"/>
      <c r="L103" s="1015"/>
      <c r="M103" s="1016"/>
      <c r="N103" s="178"/>
      <c r="O103" s="1073" t="str">
        <f t="shared" ref="O103" si="26">IF($P$9="X","Après impact",IF($P$15="X","Après action écologique",""))</f>
        <v/>
      </c>
      <c r="P103" s="1074"/>
      <c r="Q103" s="1096" t="str">
        <f>IF($P$9="X",'Calcul auto.'!BW72,IF($P$15="X",'Calcul auto.'!FO72,""))</f>
        <v/>
      </c>
      <c r="R103" s="1097"/>
      <c r="S103" s="1023" t="str">
        <f>IF($P$9="X",CONCATENATE('Calcul auto.'!CJ72,'Calcul auto.'!CK72,'Calcul auto.'!CL72,'Calcul auto.'!CM72,'Calcul auto.'!CN72,'Calcul auto.'!CO72),IF($P$15="X",CONCATENATE('Calcul auto.'!GB72,'Calcul auto.'!GC72,'Calcul auto.'!GD72,'Calcul auto.'!GE72,'Calcul auto.'!GF72,'Calcul auto.'!GG72),""))</f>
        <v/>
      </c>
      <c r="T103" s="1082"/>
      <c r="U103" s="1082"/>
      <c r="V103" s="1082"/>
      <c r="W103" s="1024"/>
      <c r="X103" s="178"/>
      <c r="Y103" s="1077"/>
      <c r="Z103" s="1077"/>
      <c r="AA103" s="1077"/>
      <c r="AB103" s="1077"/>
      <c r="AC103" s="1077"/>
      <c r="AD103" s="1077"/>
      <c r="AE103" s="1077"/>
      <c r="AF103" s="1006"/>
      <c r="AG103" s="1077"/>
      <c r="AH103" s="1077"/>
      <c r="AI103" s="34"/>
    </row>
    <row r="104" spans="1:35" ht="30" customHeight="1" thickBot="1" x14ac:dyDescent="0.25">
      <c r="A104" s="34"/>
      <c r="B104" s="982" t="s">
        <v>425</v>
      </c>
      <c r="C104" s="924"/>
      <c r="D104" s="983"/>
      <c r="E104" s="1009">
        <v>73</v>
      </c>
      <c r="F104" s="982" t="s">
        <v>631</v>
      </c>
      <c r="G104" s="924"/>
      <c r="H104" s="924"/>
      <c r="I104" s="983"/>
      <c r="J104" s="982" t="s">
        <v>632</v>
      </c>
      <c r="K104" s="924"/>
      <c r="L104" s="924"/>
      <c r="M104" s="983"/>
      <c r="N104" s="34"/>
      <c r="O104" s="922" t="str">
        <f t="shared" ref="O104" si="27">IF($P$9="X","Avant impact",IF($P$15="X","Avant action écologique",""))</f>
        <v/>
      </c>
      <c r="P104" s="1072"/>
      <c r="Q104" s="1085" t="str">
        <f>IF($P$9="X",'Calcul auto.'!F73,IF($P$15="X",'Calcul auto.'!CX73,""))</f>
        <v/>
      </c>
      <c r="R104" s="1086"/>
      <c r="S104" s="1042" t="str">
        <f>IF($P$9="X",CONCATENATE('Calcul auto.'!X73,'Calcul auto.'!Y73,'Calcul auto.'!Z73,'Calcul auto.'!AA73,'Calcul auto.'!AB73,'Calcul auto.'!AC73),IF($P$15="X",CONCATENATE('Calcul auto.'!DP73,'Calcul auto.'!DQ73,'Calcul auto.'!DR73,'Calcul auto.'!DS73,'Calcul auto.'!DT73,'Calcul auto.'!DU73),""))</f>
        <v/>
      </c>
      <c r="T104" s="1087"/>
      <c r="U104" s="1087"/>
      <c r="V104" s="1087"/>
      <c r="W104" s="1043"/>
      <c r="X104" s="34"/>
      <c r="Y104" s="1076"/>
      <c r="Z104" s="1076"/>
      <c r="AA104" s="1003"/>
      <c r="AB104" s="1076"/>
      <c r="AC104" s="1076"/>
      <c r="AD104" s="1076"/>
      <c r="AE104" s="1076"/>
      <c r="AF104" s="1076"/>
      <c r="AG104" s="1076"/>
      <c r="AH104" s="1076"/>
      <c r="AI104" s="34"/>
    </row>
    <row r="105" spans="1:35" ht="30" customHeight="1" thickBot="1" x14ac:dyDescent="0.25">
      <c r="A105" s="34"/>
      <c r="B105" s="982"/>
      <c r="C105" s="924"/>
      <c r="D105" s="983"/>
      <c r="E105" s="1009"/>
      <c r="F105" s="982"/>
      <c r="G105" s="924"/>
      <c r="H105" s="924"/>
      <c r="I105" s="983"/>
      <c r="J105" s="982"/>
      <c r="K105" s="924"/>
      <c r="L105" s="924"/>
      <c r="M105" s="983"/>
      <c r="N105" s="34"/>
      <c r="O105" s="922" t="str">
        <f t="shared" ref="O105" si="28">IF($P$9="X","Avec impact envisagé",IF($P$15="X","Avec act. écol. envisagée",""))</f>
        <v/>
      </c>
      <c r="P105" s="1072"/>
      <c r="Q105" s="1078" t="str">
        <f>IF($P$9="X",'Calcul auto.'!AL73,IF($P$15="X",'Calcul auto.'!ED73,""))</f>
        <v/>
      </c>
      <c r="R105" s="1079"/>
      <c r="S105" s="990" t="str">
        <f>IF($P$9="X",CONCATENATE('Calcul auto.'!BD73,'Calcul auto.'!BE73,'Calcul auto.'!BF73,'Calcul auto.'!BG73,'Calcul auto.'!BH73,'Calcul auto.'!BI73),IF($P$15="X",CONCATENATE('Calcul auto.'!EV73,'Calcul auto.'!EW73,'Calcul auto.'!EX73,'Calcul auto.'!EY73,'Calcul auto.'!EZ73,'Calcul auto.'!FA73),""))</f>
        <v/>
      </c>
      <c r="T105" s="991"/>
      <c r="U105" s="991"/>
      <c r="V105" s="991"/>
      <c r="W105" s="992"/>
      <c r="X105" s="34"/>
      <c r="Y105" s="1076"/>
      <c r="Z105" s="1076"/>
      <c r="AA105" s="1003"/>
      <c r="AB105" s="1076"/>
      <c r="AC105" s="1076"/>
      <c r="AD105" s="1076"/>
      <c r="AE105" s="1076"/>
      <c r="AF105" s="1076"/>
      <c r="AG105" s="1076"/>
      <c r="AH105" s="1076"/>
      <c r="AI105" s="34"/>
    </row>
    <row r="106" spans="1:35" ht="30" customHeight="1" x14ac:dyDescent="0.2">
      <c r="A106" s="34"/>
      <c r="B106" s="982"/>
      <c r="C106" s="924"/>
      <c r="D106" s="983"/>
      <c r="E106" s="1009"/>
      <c r="F106" s="982"/>
      <c r="G106" s="924"/>
      <c r="H106" s="924"/>
      <c r="I106" s="983"/>
      <c r="J106" s="982"/>
      <c r="K106" s="924"/>
      <c r="L106" s="924"/>
      <c r="M106" s="983"/>
      <c r="N106" s="34"/>
      <c r="O106" s="922" t="str">
        <f t="shared" ref="O106" si="29">IF($P$9="X","Après impact",IF($P$15="X","Après action écologique",""))</f>
        <v/>
      </c>
      <c r="P106" s="1072"/>
      <c r="Q106" s="1107" t="str">
        <f>IF($P$9="X",'Calcul auto.'!BR73,IF($P$15="X",'Calcul auto.'!FJ73,""))</f>
        <v/>
      </c>
      <c r="R106" s="1108"/>
      <c r="S106" s="1044" t="str">
        <f>IF($P$9="X",CONCATENATE('Calcul auto.'!CJ73,'Calcul auto.'!CK73,'Calcul auto.'!CL73,'Calcul auto.'!CM73,'Calcul auto.'!CN73,'Calcul auto.'!CO73),IF($P$15="X",CONCATENATE('Calcul auto.'!GB73,'Calcul auto.'!GC73,'Calcul auto.'!GD73,'Calcul auto.'!GE73,'Calcul auto.'!GF73,'Calcul auto.'!GG73),""))</f>
        <v/>
      </c>
      <c r="T106" s="1109"/>
      <c r="U106" s="1109"/>
      <c r="V106" s="1109"/>
      <c r="W106" s="1045"/>
      <c r="X106" s="34"/>
      <c r="Y106" s="1076"/>
      <c r="Z106" s="1076"/>
      <c r="AA106" s="1003"/>
      <c r="AB106" s="1076"/>
      <c r="AC106" s="1076"/>
      <c r="AD106" s="1076"/>
      <c r="AE106" s="1076"/>
      <c r="AF106" s="1076"/>
      <c r="AG106" s="1076"/>
      <c r="AH106" s="1076"/>
      <c r="AI106" s="34"/>
    </row>
    <row r="107" spans="1:35" ht="30" customHeight="1" thickBot="1" x14ac:dyDescent="0.25">
      <c r="A107" s="34"/>
      <c r="B107" s="1011" t="s">
        <v>424</v>
      </c>
      <c r="C107" s="1012"/>
      <c r="D107" s="1013"/>
      <c r="E107" s="1008">
        <v>73</v>
      </c>
      <c r="F107" s="1011" t="s">
        <v>630</v>
      </c>
      <c r="G107" s="1012"/>
      <c r="H107" s="1012"/>
      <c r="I107" s="1013"/>
      <c r="J107" s="1011" t="s">
        <v>633</v>
      </c>
      <c r="K107" s="1012"/>
      <c r="L107" s="1012"/>
      <c r="M107" s="1013"/>
      <c r="N107" s="162"/>
      <c r="O107" s="1103" t="str">
        <f t="shared" ref="O107" si="30">IF($P$9="X","Avant impact",IF($P$15="X","Avant action écologique",""))</f>
        <v/>
      </c>
      <c r="P107" s="1104"/>
      <c r="Q107" s="1083" t="str">
        <f>IF($P$9="X",'Calcul auto.'!G74,IF($P$15="X",'Calcul auto.'!CY74,""))</f>
        <v/>
      </c>
      <c r="R107" s="1084"/>
      <c r="S107" s="1019" t="str">
        <f>IF($P$9="X",CONCATENATE('Calcul auto.'!X74,'Calcul auto.'!Y74,'Calcul auto.'!Z74,'Calcul auto.'!AA74,'Calcul auto.'!AB74,'Calcul auto.'!AC74),IF($P$15="X",CONCATENATE('Calcul auto.'!DP74,'Calcul auto.'!DQ74,'Calcul auto.'!DR74,'Calcul auto.'!DS74,'Calcul auto.'!DT74,'Calcul auto.'!DU74),""))</f>
        <v/>
      </c>
      <c r="T107" s="1098"/>
      <c r="U107" s="1098"/>
      <c r="V107" s="1098"/>
      <c r="W107" s="1020"/>
      <c r="X107" s="162"/>
      <c r="Y107" s="1075"/>
      <c r="Z107" s="1075"/>
      <c r="AA107" s="1075"/>
      <c r="AB107" s="1110"/>
      <c r="AC107" s="1075"/>
      <c r="AD107" s="1075"/>
      <c r="AE107" s="1075"/>
      <c r="AF107" s="1075"/>
      <c r="AG107" s="1075"/>
      <c r="AH107" s="1075"/>
      <c r="AI107" s="34"/>
    </row>
    <row r="108" spans="1:35" ht="30" customHeight="1" thickBot="1" x14ac:dyDescent="0.25">
      <c r="A108" s="34"/>
      <c r="B108" s="982"/>
      <c r="C108" s="924"/>
      <c r="D108" s="983"/>
      <c r="E108" s="1009"/>
      <c r="F108" s="982"/>
      <c r="G108" s="924"/>
      <c r="H108" s="924"/>
      <c r="I108" s="983"/>
      <c r="J108" s="982"/>
      <c r="K108" s="924"/>
      <c r="L108" s="924"/>
      <c r="M108" s="983"/>
      <c r="N108" s="134"/>
      <c r="O108" s="922" t="str">
        <f t="shared" ref="O108" si="31">IF($P$9="X","Avec impact envisagé",IF($P$15="X","Avec act. écol. envisagée",""))</f>
        <v/>
      </c>
      <c r="P108" s="1072"/>
      <c r="Q108" s="1078" t="str">
        <f>IF($P$9="X",'Calcul auto.'!AM74,IF($P$15="X",'Calcul auto.'!EE74,""))</f>
        <v/>
      </c>
      <c r="R108" s="1079"/>
      <c r="S108" s="990" t="str">
        <f>IF($P$9="X",CONCATENATE('Calcul auto.'!BD74,'Calcul auto.'!BE74,'Calcul auto.'!BF74,'Calcul auto.'!BG74,'Calcul auto.'!BH74,'Calcul auto.'!BI74),IF($P$15="X",CONCATENATE('Calcul auto.'!EV74,'Calcul auto.'!EW74,'Calcul auto.'!EX74,'Calcul auto.'!EY74,'Calcul auto.'!EZ74,'Calcul auto.'!FA74),""))</f>
        <v/>
      </c>
      <c r="T108" s="991"/>
      <c r="U108" s="991"/>
      <c r="V108" s="991"/>
      <c r="W108" s="992"/>
      <c r="X108" s="134"/>
      <c r="Y108" s="1076"/>
      <c r="Z108" s="1076"/>
      <c r="AA108" s="1076"/>
      <c r="AB108" s="1111"/>
      <c r="AC108" s="1076"/>
      <c r="AD108" s="1076"/>
      <c r="AE108" s="1076"/>
      <c r="AF108" s="1076"/>
      <c r="AG108" s="1076"/>
      <c r="AH108" s="1076"/>
      <c r="AI108" s="34"/>
    </row>
    <row r="109" spans="1:35" ht="30" customHeight="1" x14ac:dyDescent="0.2">
      <c r="A109" s="34"/>
      <c r="B109" s="1014"/>
      <c r="C109" s="1015"/>
      <c r="D109" s="1016"/>
      <c r="E109" s="1010"/>
      <c r="F109" s="1014"/>
      <c r="G109" s="1015"/>
      <c r="H109" s="1015"/>
      <c r="I109" s="1016"/>
      <c r="J109" s="1014"/>
      <c r="K109" s="1015"/>
      <c r="L109" s="1015"/>
      <c r="M109" s="1016"/>
      <c r="N109" s="178"/>
      <c r="O109" s="1073" t="str">
        <f t="shared" ref="O109" si="32">IF($P$9="X","Après impact",IF($P$15="X","Après action écologique",""))</f>
        <v/>
      </c>
      <c r="P109" s="1074"/>
      <c r="Q109" s="1096" t="str">
        <f>IF($P$9="X",'Calcul auto.'!BS74,IF($P$15="X",'Calcul auto.'!FK74,""))</f>
        <v/>
      </c>
      <c r="R109" s="1097"/>
      <c r="S109" s="1023" t="str">
        <f>IF($P$9="X",CONCATENATE('Calcul auto.'!CJ74,'Calcul auto.'!CK74,'Calcul auto.'!CL74,'Calcul auto.'!CM74,'Calcul auto.'!CN74,'Calcul auto.'!CO74),IF($P$15="X",CONCATENATE('Calcul auto.'!GB74,'Calcul auto.'!GC74,'Calcul auto.'!GD74,'Calcul auto.'!GE74,'Calcul auto.'!GF74,'Calcul auto.'!GG74),""))</f>
        <v/>
      </c>
      <c r="T109" s="1082"/>
      <c r="U109" s="1082"/>
      <c r="V109" s="1082"/>
      <c r="W109" s="1024"/>
      <c r="X109" s="178"/>
      <c r="Y109" s="1077"/>
      <c r="Z109" s="1077"/>
      <c r="AA109" s="1077"/>
      <c r="AB109" s="1112"/>
      <c r="AC109" s="1077"/>
      <c r="AD109" s="1077"/>
      <c r="AE109" s="1077"/>
      <c r="AF109" s="1077"/>
      <c r="AG109" s="1077"/>
      <c r="AH109" s="1077"/>
      <c r="AI109" s="34"/>
    </row>
    <row r="110" spans="1:35" ht="30" customHeight="1" thickBot="1" x14ac:dyDescent="0.25">
      <c r="A110" s="34"/>
      <c r="B110" s="982" t="s">
        <v>423</v>
      </c>
      <c r="C110" s="924"/>
      <c r="D110" s="924"/>
      <c r="E110" s="1009">
        <v>73</v>
      </c>
      <c r="F110" s="982" t="s">
        <v>634</v>
      </c>
      <c r="G110" s="924"/>
      <c r="H110" s="924"/>
      <c r="I110" s="983"/>
      <c r="J110" s="982" t="s">
        <v>635</v>
      </c>
      <c r="K110" s="924"/>
      <c r="L110" s="924"/>
      <c r="M110" s="983"/>
      <c r="N110" s="34"/>
      <c r="O110" s="922" t="str">
        <f t="shared" ref="O110" si="33">IF($P$9="X","Avant impact",IF($P$15="X","Avant action écologique",""))</f>
        <v/>
      </c>
      <c r="P110" s="1072"/>
      <c r="Q110" s="1085" t="str">
        <f>IF($P$9="X",'Calcul auto.'!G75,IF($P$15="X",'Calcul auto.'!CY75,""))</f>
        <v/>
      </c>
      <c r="R110" s="1086"/>
      <c r="S110" s="1042" t="str">
        <f>IF($P$9="X",CONCATENATE('Calcul auto.'!X75,'Calcul auto.'!Y75,'Calcul auto.'!Z75,'Calcul auto.'!AA75,'Calcul auto.'!AB75,'Calcul auto.'!AC75),IF($P$15="X",CONCATENATE('Calcul auto.'!DP75,'Calcul auto.'!DQ75,'Calcul auto.'!DR75,'Calcul auto.'!DS75,'Calcul auto.'!DT75,'Calcul auto.'!DU75),""))</f>
        <v/>
      </c>
      <c r="T110" s="1087"/>
      <c r="U110" s="1087"/>
      <c r="V110" s="1087"/>
      <c r="W110" s="1043"/>
      <c r="X110" s="34"/>
      <c r="Y110" s="1076"/>
      <c r="Z110" s="1076"/>
      <c r="AA110" s="1076"/>
      <c r="AB110" s="997"/>
      <c r="AC110" s="1076"/>
      <c r="AD110" s="1076"/>
      <c r="AE110" s="1076"/>
      <c r="AF110" s="1076"/>
      <c r="AG110" s="1076"/>
      <c r="AH110" s="1076"/>
      <c r="AI110" s="34"/>
    </row>
    <row r="111" spans="1:35" ht="30" customHeight="1" thickBot="1" x14ac:dyDescent="0.25">
      <c r="A111" s="34"/>
      <c r="B111" s="982"/>
      <c r="C111" s="924"/>
      <c r="D111" s="924"/>
      <c r="E111" s="1009"/>
      <c r="F111" s="982"/>
      <c r="G111" s="924"/>
      <c r="H111" s="924"/>
      <c r="I111" s="983"/>
      <c r="J111" s="982"/>
      <c r="K111" s="924"/>
      <c r="L111" s="924"/>
      <c r="M111" s="983"/>
      <c r="N111" s="34"/>
      <c r="O111" s="922" t="str">
        <f t="shared" ref="O111" si="34">IF($P$9="X","Avec impact envisagé",IF($P$15="X","Avec act. écol. envisagée",""))</f>
        <v/>
      </c>
      <c r="P111" s="1072"/>
      <c r="Q111" s="1078" t="str">
        <f>IF($P$9="X",'Calcul auto.'!AM75,IF($P$15="X",'Calcul auto.'!EE75,""))</f>
        <v/>
      </c>
      <c r="R111" s="1079"/>
      <c r="S111" s="990" t="str">
        <f>IF($P$9="X",CONCATENATE('Calcul auto.'!BD75,'Calcul auto.'!BE75,'Calcul auto.'!BF75,'Calcul auto.'!BG75,'Calcul auto.'!BH75,'Calcul auto.'!BI75),IF($P$15="X",CONCATENATE('Calcul auto.'!EV75,'Calcul auto.'!EW75,'Calcul auto.'!EX75,'Calcul auto.'!EY75,'Calcul auto.'!EZ75,'Calcul auto.'!FA75),""))</f>
        <v/>
      </c>
      <c r="T111" s="991"/>
      <c r="U111" s="991"/>
      <c r="V111" s="991"/>
      <c r="W111" s="992"/>
      <c r="X111" s="34"/>
      <c r="Y111" s="1076"/>
      <c r="Z111" s="1076"/>
      <c r="AA111" s="1076"/>
      <c r="AB111" s="997"/>
      <c r="AC111" s="1076"/>
      <c r="AD111" s="1076"/>
      <c r="AE111" s="1076"/>
      <c r="AF111" s="1076"/>
      <c r="AG111" s="1076"/>
      <c r="AH111" s="1076"/>
      <c r="AI111" s="34"/>
    </row>
    <row r="112" spans="1:35" ht="30" customHeight="1" x14ac:dyDescent="0.2">
      <c r="A112" s="34"/>
      <c r="B112" s="982"/>
      <c r="C112" s="924"/>
      <c r="D112" s="924"/>
      <c r="E112" s="1009"/>
      <c r="F112" s="982"/>
      <c r="G112" s="924"/>
      <c r="H112" s="924"/>
      <c r="I112" s="983"/>
      <c r="J112" s="982"/>
      <c r="K112" s="924"/>
      <c r="L112" s="924"/>
      <c r="M112" s="983"/>
      <c r="N112" s="34"/>
      <c r="O112" s="922" t="str">
        <f t="shared" ref="O112" si="35">IF($P$9="X","Après impact",IF($P$15="X","Après action écologique",""))</f>
        <v/>
      </c>
      <c r="P112" s="1072"/>
      <c r="Q112" s="1107" t="str">
        <f>IF($P$9="X",'Calcul auto.'!BS75,IF($P$15="X",'Calcul auto.'!FK75,""))</f>
        <v/>
      </c>
      <c r="R112" s="1108"/>
      <c r="S112" s="1044" t="str">
        <f>IF($P$9="X",CONCATENATE('Calcul auto.'!CJ75,'Calcul auto.'!CK75,'Calcul auto.'!CL75,'Calcul auto.'!CM75,'Calcul auto.'!CN75,'Calcul auto.'!CO75),IF($P$15="X",CONCATENATE('Calcul auto.'!GB75,'Calcul auto.'!GC75,'Calcul auto.'!GD75,'Calcul auto.'!GE75,'Calcul auto.'!GF75,'Calcul auto.'!GG75),""))</f>
        <v/>
      </c>
      <c r="T112" s="1109"/>
      <c r="U112" s="1109"/>
      <c r="V112" s="1109"/>
      <c r="W112" s="1045"/>
      <c r="X112" s="34"/>
      <c r="Y112" s="1076"/>
      <c r="Z112" s="1076"/>
      <c r="AA112" s="1076"/>
      <c r="AB112" s="997"/>
      <c r="AC112" s="1076"/>
      <c r="AD112" s="1076"/>
      <c r="AE112" s="1076"/>
      <c r="AF112" s="1076"/>
      <c r="AG112" s="1076"/>
      <c r="AH112" s="1076"/>
      <c r="AI112" s="34"/>
    </row>
    <row r="113" spans="1:35" ht="30" customHeight="1" thickBot="1" x14ac:dyDescent="0.25">
      <c r="A113" s="34"/>
      <c r="B113" s="1011" t="s">
        <v>148</v>
      </c>
      <c r="C113" s="1012"/>
      <c r="D113" s="1013"/>
      <c r="E113" s="1008">
        <v>73</v>
      </c>
      <c r="F113" s="1011" t="s">
        <v>636</v>
      </c>
      <c r="G113" s="1012"/>
      <c r="H113" s="1012"/>
      <c r="I113" s="1013"/>
      <c r="J113" s="1011" t="s">
        <v>637</v>
      </c>
      <c r="K113" s="1012"/>
      <c r="L113" s="1012"/>
      <c r="M113" s="1013"/>
      <c r="N113" s="162"/>
      <c r="O113" s="1103" t="str">
        <f t="shared" ref="O113" si="36">IF($P$9="X","Avant impact",IF($P$15="X","Avant action écologique",""))</f>
        <v/>
      </c>
      <c r="P113" s="1104"/>
      <c r="Q113" s="1083" t="str">
        <f>IF($P$9="X",'Calcul auto.'!E76,IF($P$15="X",'Calcul auto.'!CW76,""))</f>
        <v/>
      </c>
      <c r="R113" s="1084"/>
      <c r="S113" s="1019" t="str">
        <f>IF($P$9="X",CONCATENATE('Calcul auto.'!X76,'Calcul auto.'!Y76,'Calcul auto.'!Z76,'Calcul auto.'!AA76,'Calcul auto.'!AB76,'Calcul auto.'!AC76),IF($P$15="X",CONCATENATE('Calcul auto.'!DP76,'Calcul auto.'!DQ76,'Calcul auto.'!DR76,'Calcul auto.'!DS76,'Calcul auto.'!DT76,'Calcul auto.'!DU76),""))</f>
        <v/>
      </c>
      <c r="T113" s="1098"/>
      <c r="U113" s="1098"/>
      <c r="V113" s="1098"/>
      <c r="W113" s="1020"/>
      <c r="X113" s="162"/>
      <c r="Y113" s="1075"/>
      <c r="Z113" s="1002"/>
      <c r="AA113" s="1075"/>
      <c r="AB113" s="1075"/>
      <c r="AC113" s="1075"/>
      <c r="AD113" s="1075"/>
      <c r="AE113" s="1075"/>
      <c r="AF113" s="1075"/>
      <c r="AG113" s="1075"/>
      <c r="AH113" s="1075"/>
      <c r="AI113" s="34"/>
    </row>
    <row r="114" spans="1:35" ht="30" customHeight="1" thickBot="1" x14ac:dyDescent="0.25">
      <c r="A114" s="34"/>
      <c r="B114" s="982"/>
      <c r="C114" s="924"/>
      <c r="D114" s="983"/>
      <c r="E114" s="1009"/>
      <c r="F114" s="982"/>
      <c r="G114" s="924"/>
      <c r="H114" s="924"/>
      <c r="I114" s="983"/>
      <c r="J114" s="982"/>
      <c r="K114" s="924"/>
      <c r="L114" s="924"/>
      <c r="M114" s="983"/>
      <c r="N114" s="134"/>
      <c r="O114" s="922" t="str">
        <f t="shared" ref="O114" si="37">IF($P$9="X","Avec impact envisagé",IF($P$15="X","Avec act. écol. envisagée",""))</f>
        <v/>
      </c>
      <c r="P114" s="1072"/>
      <c r="Q114" s="1078" t="str">
        <f>IF($P$9="X",'Calcul auto.'!AK76,IF($P$15="X",'Calcul auto.'!EC76,""))</f>
        <v/>
      </c>
      <c r="R114" s="1079"/>
      <c r="S114" s="990" t="str">
        <f>IF($P$9="X",CONCATENATE('Calcul auto.'!BD76,'Calcul auto.'!BE76,'Calcul auto.'!BF76,'Calcul auto.'!BG76,'Calcul auto.'!BH76,'Calcul auto.'!BI76),IF($P$15="X",CONCATENATE('Calcul auto.'!EV76,'Calcul auto.'!EW76,'Calcul auto.'!EX76,'Calcul auto.'!EY76,'Calcul auto.'!EZ76,'Calcul auto.'!FA76),""))</f>
        <v/>
      </c>
      <c r="T114" s="991"/>
      <c r="U114" s="991"/>
      <c r="V114" s="991"/>
      <c r="W114" s="992"/>
      <c r="X114" s="134"/>
      <c r="Y114" s="1076"/>
      <c r="Z114" s="1003"/>
      <c r="AA114" s="1076"/>
      <c r="AB114" s="1076"/>
      <c r="AC114" s="1076"/>
      <c r="AD114" s="1076"/>
      <c r="AE114" s="1076"/>
      <c r="AF114" s="1076"/>
      <c r="AG114" s="1076"/>
      <c r="AH114" s="1076"/>
      <c r="AI114" s="34"/>
    </row>
    <row r="115" spans="1:35" ht="30" customHeight="1" x14ac:dyDescent="0.2">
      <c r="A115" s="34"/>
      <c r="B115" s="1014"/>
      <c r="C115" s="1015"/>
      <c r="D115" s="1016"/>
      <c r="E115" s="1010"/>
      <c r="F115" s="1014"/>
      <c r="G115" s="1015"/>
      <c r="H115" s="1015"/>
      <c r="I115" s="1016"/>
      <c r="J115" s="1014"/>
      <c r="K115" s="1015"/>
      <c r="L115" s="1015"/>
      <c r="M115" s="1016"/>
      <c r="N115" s="178"/>
      <c r="O115" s="1073" t="str">
        <f t="shared" ref="O115" si="38">IF($P$9="X","Après impact",IF($P$15="X","Après action écologique",""))</f>
        <v/>
      </c>
      <c r="P115" s="1074"/>
      <c r="Q115" s="1096" t="str">
        <f>IF($P$9="X",'Calcul auto.'!BQ76,IF($P$15="X",'Calcul auto.'!FI76,""))</f>
        <v/>
      </c>
      <c r="R115" s="1097"/>
      <c r="S115" s="1023" t="str">
        <f>IF($P$9="X",CONCATENATE('Calcul auto.'!CJ76,'Calcul auto.'!CK76,'Calcul auto.'!CL76,'Calcul auto.'!CM76,'Calcul auto.'!CN76,'Calcul auto.'!CO76),IF($P$15="X",CONCATENATE('Calcul auto.'!GB76,'Calcul auto.'!GC76,'Calcul auto.'!GD76,'Calcul auto.'!GE76,'Calcul auto.'!GF76,'Calcul auto.'!GG76),""))</f>
        <v/>
      </c>
      <c r="T115" s="1082"/>
      <c r="U115" s="1082"/>
      <c r="V115" s="1082"/>
      <c r="W115" s="1024"/>
      <c r="X115" s="178"/>
      <c r="Y115" s="1077"/>
      <c r="Z115" s="1004"/>
      <c r="AA115" s="1077"/>
      <c r="AB115" s="1077"/>
      <c r="AC115" s="1077"/>
      <c r="AD115" s="1077"/>
      <c r="AE115" s="1077"/>
      <c r="AF115" s="1077"/>
      <c r="AG115" s="1077"/>
      <c r="AH115" s="1077"/>
      <c r="AI115" s="34"/>
    </row>
    <row r="116" spans="1:35" ht="30" customHeight="1" thickBot="1" x14ac:dyDescent="0.25">
      <c r="A116" s="34"/>
      <c r="B116" s="1011" t="s">
        <v>149</v>
      </c>
      <c r="C116" s="1012"/>
      <c r="D116" s="1013"/>
      <c r="E116" s="1008">
        <v>73</v>
      </c>
      <c r="F116" s="1011" t="s">
        <v>638</v>
      </c>
      <c r="G116" s="1012"/>
      <c r="H116" s="1012"/>
      <c r="I116" s="1013"/>
      <c r="J116" s="1011" t="s">
        <v>639</v>
      </c>
      <c r="K116" s="1012"/>
      <c r="L116" s="1012"/>
      <c r="M116" s="1013"/>
      <c r="N116" s="162"/>
      <c r="O116" s="1103" t="str">
        <f t="shared" ref="O116" si="39">IF($P$9="X","Avant impact",IF($P$15="X","Avant action écologique",""))</f>
        <v/>
      </c>
      <c r="P116" s="1104"/>
      <c r="Q116" s="1083" t="str">
        <f>IF($P$9="X",'Calcul auto.'!E77,IF($P$15="X",'Calcul auto.'!CW77,""))</f>
        <v/>
      </c>
      <c r="R116" s="1084"/>
      <c r="S116" s="1019" t="str">
        <f>IF($P$9="X",CONCATENATE('Calcul auto.'!X77,'Calcul auto.'!Y77,'Calcul auto.'!Z77,'Calcul auto.'!AA77,'Calcul auto.'!AB77,'Calcul auto.'!AC77),IF($P$15="X",CONCATENATE('Calcul auto.'!DP77,'Calcul auto.'!DQ77,'Calcul auto.'!DR77,'Calcul auto.'!DS77,'Calcul auto.'!DT77,'Calcul auto.'!DU77),""))</f>
        <v/>
      </c>
      <c r="T116" s="1098"/>
      <c r="U116" s="1098"/>
      <c r="V116" s="1098"/>
      <c r="W116" s="1020"/>
      <c r="X116" s="162"/>
      <c r="Y116" s="1075"/>
      <c r="Z116" s="1002"/>
      <c r="AA116" s="1075"/>
      <c r="AB116" s="1075"/>
      <c r="AC116" s="1075"/>
      <c r="AD116" s="1075"/>
      <c r="AE116" s="1075"/>
      <c r="AF116" s="1075"/>
      <c r="AG116" s="1075"/>
      <c r="AH116" s="1075"/>
      <c r="AI116" s="34"/>
    </row>
    <row r="117" spans="1:35" ht="30" customHeight="1" thickBot="1" x14ac:dyDescent="0.25">
      <c r="A117" s="34"/>
      <c r="B117" s="982"/>
      <c r="C117" s="924"/>
      <c r="D117" s="983"/>
      <c r="E117" s="1009"/>
      <c r="F117" s="982"/>
      <c r="G117" s="924"/>
      <c r="H117" s="924"/>
      <c r="I117" s="983"/>
      <c r="J117" s="982"/>
      <c r="K117" s="924"/>
      <c r="L117" s="924"/>
      <c r="M117" s="983"/>
      <c r="N117" s="134"/>
      <c r="O117" s="922" t="str">
        <f t="shared" ref="O117" si="40">IF($P$9="X","Avec impact envisagé",IF($P$15="X","Avec act. écol. envisagée",""))</f>
        <v/>
      </c>
      <c r="P117" s="1072"/>
      <c r="Q117" s="1078" t="str">
        <f>IF($P$9="X",'Calcul auto.'!AK77,IF($P$15="X",'Calcul auto.'!EC77,""))</f>
        <v/>
      </c>
      <c r="R117" s="1079"/>
      <c r="S117" s="990" t="str">
        <f>IF($P$9="X",CONCATENATE('Calcul auto.'!BD77,'Calcul auto.'!BE77,'Calcul auto.'!BF77,'Calcul auto.'!BG77,'Calcul auto.'!BH77,'Calcul auto.'!BI77),IF($P$15="X",CONCATENATE('Calcul auto.'!EV77,'Calcul auto.'!EW77,'Calcul auto.'!EX77,'Calcul auto.'!EY77,'Calcul auto.'!EZ77,'Calcul auto.'!FA77),""))</f>
        <v/>
      </c>
      <c r="T117" s="991"/>
      <c r="U117" s="991"/>
      <c r="V117" s="991"/>
      <c r="W117" s="992"/>
      <c r="X117" s="134"/>
      <c r="Y117" s="1076"/>
      <c r="Z117" s="1003"/>
      <c r="AA117" s="1076"/>
      <c r="AB117" s="1076"/>
      <c r="AC117" s="1076"/>
      <c r="AD117" s="1076"/>
      <c r="AE117" s="1076"/>
      <c r="AF117" s="1076"/>
      <c r="AG117" s="1076"/>
      <c r="AH117" s="1076"/>
      <c r="AI117" s="34"/>
    </row>
    <row r="118" spans="1:35" ht="30" customHeight="1" x14ac:dyDescent="0.2">
      <c r="A118" s="34"/>
      <c r="B118" s="1014"/>
      <c r="C118" s="1015"/>
      <c r="D118" s="1016"/>
      <c r="E118" s="1010"/>
      <c r="F118" s="1014"/>
      <c r="G118" s="1015"/>
      <c r="H118" s="1015"/>
      <c r="I118" s="1016"/>
      <c r="J118" s="1014"/>
      <c r="K118" s="1015"/>
      <c r="L118" s="1015"/>
      <c r="M118" s="1016"/>
      <c r="N118" s="178"/>
      <c r="O118" s="1073" t="str">
        <f t="shared" ref="O118" si="41">IF($P$9="X","Après impact",IF($P$15="X","Après action écologique",""))</f>
        <v/>
      </c>
      <c r="P118" s="1074"/>
      <c r="Q118" s="1096" t="str">
        <f>IF($P$9="X",'Calcul auto.'!BQ77,IF($P$15="X",'Calcul auto.'!FI77,""))</f>
        <v/>
      </c>
      <c r="R118" s="1097"/>
      <c r="S118" s="1023" t="str">
        <f>IF($P$9="X",CONCATENATE('Calcul auto.'!CJ77,'Calcul auto.'!CK77,'Calcul auto.'!CL77,'Calcul auto.'!CM77,'Calcul auto.'!CN77,'Calcul auto.'!CO77),IF($P$15="X",CONCATENATE('Calcul auto.'!GB77,'Calcul auto.'!GC77,'Calcul auto.'!GD77,'Calcul auto.'!GE77,'Calcul auto.'!GF77,'Calcul auto.'!GG77),""))</f>
        <v/>
      </c>
      <c r="T118" s="1082"/>
      <c r="U118" s="1082"/>
      <c r="V118" s="1082"/>
      <c r="W118" s="1024"/>
      <c r="X118" s="178"/>
      <c r="Y118" s="1077"/>
      <c r="Z118" s="1004"/>
      <c r="AA118" s="1077"/>
      <c r="AB118" s="1077"/>
      <c r="AC118" s="1077"/>
      <c r="AD118" s="1077"/>
      <c r="AE118" s="1077"/>
      <c r="AF118" s="1077"/>
      <c r="AG118" s="1077"/>
      <c r="AH118" s="1077"/>
      <c r="AI118" s="34"/>
    </row>
    <row r="119" spans="1:35" ht="30" customHeight="1" thickBot="1" x14ac:dyDescent="0.25">
      <c r="A119" s="34"/>
      <c r="B119" s="982" t="s">
        <v>150</v>
      </c>
      <c r="C119" s="924"/>
      <c r="D119" s="983"/>
      <c r="E119" s="1009">
        <v>73</v>
      </c>
      <c r="F119" s="982" t="s">
        <v>640</v>
      </c>
      <c r="G119" s="924"/>
      <c r="H119" s="924"/>
      <c r="I119" s="983"/>
      <c r="J119" s="982" t="s">
        <v>641</v>
      </c>
      <c r="K119" s="924"/>
      <c r="L119" s="924"/>
      <c r="M119" s="983"/>
      <c r="N119" s="134"/>
      <c r="O119" s="922" t="str">
        <f t="shared" ref="O119" si="42">IF($P$9="X","Avant impact",IF($P$15="X","Avant action écologique",""))</f>
        <v/>
      </c>
      <c r="P119" s="1072"/>
      <c r="Q119" s="1085" t="str">
        <f>IF($P$9="X",'Calcul auto.'!G78,IF($P$15="X",'Calcul auto.'!CY78,""))</f>
        <v/>
      </c>
      <c r="R119" s="1086"/>
      <c r="S119" s="1042" t="str">
        <f>IF($P$9="X",CONCATENATE('Calcul auto.'!X78,'Calcul auto.'!Y78,'Calcul auto.'!Z78,'Calcul auto.'!AA78,'Calcul auto.'!AB78,'Calcul auto.'!AC78),IF($P$15="X",CONCATENATE('Calcul auto.'!DP78,'Calcul auto.'!DQ78,'Calcul auto.'!DR78,'Calcul auto.'!DS78,'Calcul auto.'!DT78,'Calcul auto.'!DU78),""))</f>
        <v/>
      </c>
      <c r="T119" s="1087"/>
      <c r="U119" s="1087"/>
      <c r="V119" s="1087"/>
      <c r="W119" s="1043"/>
      <c r="X119" s="134"/>
      <c r="Y119" s="1076"/>
      <c r="Z119" s="1076"/>
      <c r="AA119" s="1076"/>
      <c r="AB119" s="997"/>
      <c r="AC119" s="1076"/>
      <c r="AD119" s="1076"/>
      <c r="AE119" s="1076"/>
      <c r="AF119" s="997"/>
      <c r="AG119" s="1076"/>
      <c r="AH119" s="1076"/>
      <c r="AI119" s="34"/>
    </row>
    <row r="120" spans="1:35" ht="30" customHeight="1" thickBot="1" x14ac:dyDescent="0.25">
      <c r="A120" s="34"/>
      <c r="B120" s="982"/>
      <c r="C120" s="924"/>
      <c r="D120" s="983"/>
      <c r="E120" s="1009"/>
      <c r="F120" s="982"/>
      <c r="G120" s="924"/>
      <c r="H120" s="924"/>
      <c r="I120" s="983"/>
      <c r="J120" s="982"/>
      <c r="K120" s="924"/>
      <c r="L120" s="924"/>
      <c r="M120" s="983"/>
      <c r="N120" s="134"/>
      <c r="O120" s="922" t="str">
        <f t="shared" ref="O120" si="43">IF($P$9="X","Avec impact envisagé",IF($P$15="X","Avec act. écol. envisagée",""))</f>
        <v/>
      </c>
      <c r="P120" s="1072"/>
      <c r="Q120" s="1078" t="str">
        <f>IF($P$9="X",'Calcul auto.'!AM78,IF($P$15="X",'Calcul auto.'!EE78,""))</f>
        <v/>
      </c>
      <c r="R120" s="1079"/>
      <c r="S120" s="1113" t="str">
        <f>IF($P$9="X",CONCATENATE('Calcul auto.'!BD78,'Calcul auto.'!BE78,'Calcul auto.'!BF78,'Calcul auto.'!BG78,'Calcul auto.'!BH78,'Calcul auto.'!BI78),IF($P$15="X",CONCATENATE('Calcul auto.'!EV78,'Calcul auto.'!EW78,'Calcul auto.'!EX78,'Calcul auto.'!EY78,'Calcul auto.'!EZ78,'Calcul auto.'!FA78),""))</f>
        <v/>
      </c>
      <c r="T120" s="922"/>
      <c r="U120" s="922"/>
      <c r="V120" s="922"/>
      <c r="W120" s="1072"/>
      <c r="X120" s="134"/>
      <c r="Y120" s="1076"/>
      <c r="Z120" s="1076"/>
      <c r="AA120" s="1076"/>
      <c r="AB120" s="997"/>
      <c r="AC120" s="1076"/>
      <c r="AD120" s="1076"/>
      <c r="AE120" s="1076"/>
      <c r="AF120" s="997"/>
      <c r="AG120" s="1076"/>
      <c r="AH120" s="1076"/>
      <c r="AI120" s="34"/>
    </row>
    <row r="121" spans="1:35" ht="30" customHeight="1" thickBot="1" x14ac:dyDescent="0.25">
      <c r="A121" s="34"/>
      <c r="B121" s="987"/>
      <c r="C121" s="988"/>
      <c r="D121" s="989"/>
      <c r="E121" s="1017"/>
      <c r="F121" s="987"/>
      <c r="G121" s="988"/>
      <c r="H121" s="988"/>
      <c r="I121" s="989"/>
      <c r="J121" s="987"/>
      <c r="K121" s="988"/>
      <c r="L121" s="988"/>
      <c r="M121" s="989"/>
      <c r="N121" s="53"/>
      <c r="O121" s="1073" t="str">
        <f t="shared" ref="O121" si="44">IF($P$9="X","Après impact",IF($P$15="X","Après action écologique",""))</f>
        <v/>
      </c>
      <c r="P121" s="1074"/>
      <c r="Q121" s="1100" t="str">
        <f>IF($P$9="X",'Calcul auto.'!BS78,IF($P$15="X",'Calcul auto.'!FK78,""))</f>
        <v/>
      </c>
      <c r="R121" s="1101"/>
      <c r="S121" s="1021" t="str">
        <f>IF($P$9="X",CONCATENATE('Calcul auto.'!CJ78,'Calcul auto.'!CK78,'Calcul auto.'!CL78,'Calcul auto.'!CM78,'Calcul auto.'!CN78,'Calcul auto.'!CO78),IF($P$15="X",CONCATENATE('Calcul auto.'!GB78,'Calcul auto.'!GC78,'Calcul auto.'!GD78,'Calcul auto.'!GE78,'Calcul auto.'!GF78,'Calcul auto.'!GG78),""))</f>
        <v/>
      </c>
      <c r="T121" s="1102"/>
      <c r="U121" s="1102"/>
      <c r="V121" s="1102"/>
      <c r="W121" s="1022"/>
      <c r="X121" s="53"/>
      <c r="Y121" s="1099"/>
      <c r="Z121" s="1099"/>
      <c r="AA121" s="1099"/>
      <c r="AB121" s="998"/>
      <c r="AC121" s="1099"/>
      <c r="AD121" s="1099"/>
      <c r="AE121" s="1099"/>
      <c r="AF121" s="998"/>
      <c r="AG121" s="1099"/>
      <c r="AH121" s="1099"/>
      <c r="AI121" s="34"/>
    </row>
    <row r="122" spans="1:35" ht="30" customHeight="1" thickBot="1" x14ac:dyDescent="0.25">
      <c r="A122" s="34"/>
      <c r="B122" s="179"/>
      <c r="C122" s="67"/>
      <c r="D122" s="67"/>
      <c r="E122" s="180"/>
      <c r="F122" s="67"/>
      <c r="G122" s="68"/>
      <c r="H122" s="67"/>
      <c r="I122" s="67"/>
      <c r="J122" s="67"/>
      <c r="K122" s="68"/>
      <c r="L122" s="68"/>
      <c r="M122" s="68"/>
      <c r="N122" s="68"/>
      <c r="O122" s="68"/>
      <c r="P122" s="68"/>
      <c r="Q122" s="181"/>
      <c r="R122" s="181"/>
      <c r="S122" s="68"/>
      <c r="T122" s="68"/>
      <c r="U122" s="68"/>
      <c r="V122" s="68"/>
      <c r="W122" s="68"/>
      <c r="X122" s="68"/>
      <c r="Y122" s="67"/>
      <c r="Z122" s="67"/>
      <c r="AA122" s="67"/>
      <c r="AB122" s="67"/>
      <c r="AC122" s="67"/>
      <c r="AD122" s="67"/>
      <c r="AE122" s="67"/>
      <c r="AF122" s="67"/>
      <c r="AG122" s="67"/>
      <c r="AH122" s="182"/>
      <c r="AI122" s="34"/>
    </row>
    <row r="123" spans="1:35" ht="30" customHeight="1" x14ac:dyDescent="0.2">
      <c r="A123" s="34"/>
      <c r="B123" s="51" t="s">
        <v>541</v>
      </c>
      <c r="C123" s="69"/>
      <c r="D123" s="69"/>
      <c r="E123" s="186"/>
      <c r="F123" s="69"/>
      <c r="G123" s="34"/>
      <c r="H123" s="69"/>
      <c r="I123" s="69"/>
      <c r="J123" s="69"/>
      <c r="K123" s="34"/>
      <c r="L123" s="34"/>
      <c r="M123" s="34"/>
      <c r="N123" s="34"/>
      <c r="O123" s="34"/>
      <c r="P123" s="34"/>
      <c r="Q123" s="187"/>
      <c r="R123" s="187"/>
      <c r="S123" s="34"/>
      <c r="T123" s="34"/>
      <c r="U123" s="34"/>
      <c r="V123" s="34"/>
      <c r="W123" s="34"/>
      <c r="X123" s="34"/>
      <c r="Y123" s="69"/>
      <c r="Z123" s="69"/>
      <c r="AA123" s="69"/>
      <c r="AB123" s="69"/>
      <c r="AC123" s="69"/>
      <c r="AD123" s="69"/>
      <c r="AE123" s="69"/>
      <c r="AF123" s="69"/>
      <c r="AG123" s="69"/>
      <c r="AH123" s="69"/>
      <c r="AI123" s="34"/>
    </row>
    <row r="124" spans="1:35" ht="30" customHeight="1" thickBot="1" x14ac:dyDescent="0.25">
      <c r="A124" s="34"/>
      <c r="B124" s="1011" t="s">
        <v>151</v>
      </c>
      <c r="C124" s="1012"/>
      <c r="D124" s="1013"/>
      <c r="E124" s="1008">
        <v>39</v>
      </c>
      <c r="F124" s="1011" t="s">
        <v>642</v>
      </c>
      <c r="G124" s="1012"/>
      <c r="H124" s="1012"/>
      <c r="I124" s="1013"/>
      <c r="J124" s="1011" t="s">
        <v>643</v>
      </c>
      <c r="K124" s="1012"/>
      <c r="L124" s="1012"/>
      <c r="M124" s="1013"/>
      <c r="N124" s="162"/>
      <c r="O124" s="1103" t="str">
        <f>IF($P$9="X","Avant impact",IF($P$15="X","Avant action écologique",""))</f>
        <v/>
      </c>
      <c r="P124" s="1104"/>
      <c r="Q124" s="1083" t="str">
        <f>IF($P$9="X",'Calcul auto.'!L79,IF($P$15="X",'Calcul auto.'!DD79,""))</f>
        <v/>
      </c>
      <c r="R124" s="1084"/>
      <c r="S124" s="1019" t="str">
        <f>IF($P$9="X",CONCATENATE('Calcul auto.'!X79,'Calcul auto.'!Y79,'Calcul auto.'!Z79,'Calcul auto.'!AA79,'Calcul auto.'!AB79,'Calcul auto.'!AC79),IF($P$15="X",CONCATENATE('Calcul auto.'!DP79,'Calcul auto.'!DQ79,'Calcul auto.'!DR79,'Calcul auto.'!DS79,'Calcul auto.'!DT79,'Calcul auto.'!DU79),""))</f>
        <v/>
      </c>
      <c r="T124" s="1098"/>
      <c r="U124" s="1098"/>
      <c r="V124" s="1098"/>
      <c r="W124" s="1020"/>
      <c r="X124" s="162"/>
      <c r="Y124" s="1075"/>
      <c r="Z124" s="1075"/>
      <c r="AA124" s="1075"/>
      <c r="AB124" s="1075"/>
      <c r="AC124" s="1075"/>
      <c r="AD124" s="1075"/>
      <c r="AE124" s="1075"/>
      <c r="AF124" s="1075"/>
      <c r="AG124" s="993"/>
      <c r="AH124" s="1075"/>
      <c r="AI124" s="34"/>
    </row>
    <row r="125" spans="1:35" ht="30" customHeight="1" thickBot="1" x14ac:dyDescent="0.25">
      <c r="A125" s="34"/>
      <c r="B125" s="982"/>
      <c r="C125" s="924"/>
      <c r="D125" s="983"/>
      <c r="E125" s="1009"/>
      <c r="F125" s="982"/>
      <c r="G125" s="924"/>
      <c r="H125" s="924"/>
      <c r="I125" s="983"/>
      <c r="J125" s="982"/>
      <c r="K125" s="924"/>
      <c r="L125" s="924"/>
      <c r="M125" s="983"/>
      <c r="N125" s="134"/>
      <c r="O125" s="922" t="str">
        <f>IF($P$9="X","Avec impact envisagé",IF($P$15="X","Avec act. écol. envisagée",""))</f>
        <v/>
      </c>
      <c r="P125" s="1072"/>
      <c r="Q125" s="1078" t="str">
        <f>IF($P$9="X",'Calcul auto.'!AR79,IF($P$15="X",'Calcul auto.'!EJ79,""))</f>
        <v/>
      </c>
      <c r="R125" s="1079"/>
      <c r="S125" s="990" t="str">
        <f>IF($P$9="X",CONCATENATE('Calcul auto.'!BD79,'Calcul auto.'!BE79,'Calcul auto.'!BF79,'Calcul auto.'!BG79,'Calcul auto.'!BH79,'Calcul auto.'!BI79),IF($P$15="X",CONCATENATE('Calcul auto.'!EV79,'Calcul auto.'!EW79,'Calcul auto.'!EX79,'Calcul auto.'!EY79,'Calcul auto.'!EZ79,'Calcul auto.'!FA79),""))</f>
        <v/>
      </c>
      <c r="T125" s="991"/>
      <c r="U125" s="991"/>
      <c r="V125" s="991"/>
      <c r="W125" s="992"/>
      <c r="X125" s="134"/>
      <c r="Y125" s="1076"/>
      <c r="Z125" s="1076"/>
      <c r="AA125" s="1076"/>
      <c r="AB125" s="1076"/>
      <c r="AC125" s="1076"/>
      <c r="AD125" s="1076"/>
      <c r="AE125" s="1076"/>
      <c r="AF125" s="1076"/>
      <c r="AG125" s="994"/>
      <c r="AH125" s="1076"/>
      <c r="AI125" s="34"/>
    </row>
    <row r="126" spans="1:35" ht="30" customHeight="1" x14ac:dyDescent="0.2">
      <c r="A126" s="34"/>
      <c r="B126" s="1014"/>
      <c r="C126" s="1015"/>
      <c r="D126" s="1016"/>
      <c r="E126" s="1010"/>
      <c r="F126" s="1014"/>
      <c r="G126" s="1015"/>
      <c r="H126" s="1015"/>
      <c r="I126" s="1016"/>
      <c r="J126" s="1014"/>
      <c r="K126" s="1015"/>
      <c r="L126" s="1015"/>
      <c r="M126" s="1016"/>
      <c r="N126" s="178"/>
      <c r="O126" s="1073" t="str">
        <f>IF($P$9="X","Après impact",IF($P$15="X","Après action écologique",""))</f>
        <v/>
      </c>
      <c r="P126" s="1074"/>
      <c r="Q126" s="1096" t="str">
        <f>IF($P$9="X",'Calcul auto.'!BX79,IF($P$15="X",'Calcul auto.'!FP79,""))</f>
        <v/>
      </c>
      <c r="R126" s="1097"/>
      <c r="S126" s="1114" t="str">
        <f>IF($P$9="X",CONCATENATE('Calcul auto.'!CJ79,'Calcul auto.'!CK79,'Calcul auto.'!CL79,'Calcul auto.'!CM79,'Calcul auto.'!CN79,'Calcul auto.'!CO79),IF($P$15="X",CONCATENATE('Calcul auto.'!GB79,'Calcul auto.'!GC79,'Calcul auto.'!GD79,'Calcul auto.'!GE79,'Calcul auto.'!GF79,'Calcul auto.'!GG79),""))</f>
        <v/>
      </c>
      <c r="T126" s="1073"/>
      <c r="U126" s="1073"/>
      <c r="V126" s="1073"/>
      <c r="W126" s="1074"/>
      <c r="X126" s="178"/>
      <c r="Y126" s="1077"/>
      <c r="Z126" s="1077"/>
      <c r="AA126" s="1077"/>
      <c r="AB126" s="1077"/>
      <c r="AC126" s="1077"/>
      <c r="AD126" s="1077"/>
      <c r="AE126" s="1077"/>
      <c r="AF126" s="1077"/>
      <c r="AG126" s="1018"/>
      <c r="AH126" s="1077"/>
      <c r="AI126" s="34"/>
    </row>
    <row r="127" spans="1:35" ht="30" customHeight="1" thickBot="1" x14ac:dyDescent="0.25">
      <c r="A127" s="34"/>
      <c r="B127" s="1011" t="s">
        <v>218</v>
      </c>
      <c r="C127" s="1012"/>
      <c r="D127" s="1013"/>
      <c r="E127" s="1008">
        <v>39</v>
      </c>
      <c r="F127" s="1011" t="s">
        <v>646</v>
      </c>
      <c r="G127" s="1012"/>
      <c r="H127" s="1012"/>
      <c r="I127" s="1013"/>
      <c r="J127" s="1011" t="s">
        <v>647</v>
      </c>
      <c r="K127" s="1012"/>
      <c r="L127" s="1012"/>
      <c r="M127" s="1013"/>
      <c r="N127" s="162"/>
      <c r="O127" s="1103" t="str">
        <f t="shared" ref="O127" si="45">IF($P$9="X","Avant impact",IF($P$15="X","Avant action écologique",""))</f>
        <v/>
      </c>
      <c r="P127" s="1104"/>
      <c r="Q127" s="1083" t="str">
        <f>IF($P$9="X",'Calcul auto.'!L80,IF($P$15="X",'Calcul auto.'!DD80,""))</f>
        <v/>
      </c>
      <c r="R127" s="1084"/>
      <c r="S127" s="1019" t="str">
        <f>IF($P$9="X",CONCATENATE('Calcul auto.'!X80,'Calcul auto.'!Y80,'Calcul auto.'!Z80,'Calcul auto.'!AA80,'Calcul auto.'!AB80,'Calcul auto.'!AC80),IF($P$15="X",CONCATENATE('Calcul auto.'!DP80,'Calcul auto.'!DQ80,'Calcul auto.'!DR80,'Calcul auto.'!DS80,'Calcul auto.'!DT80,'Calcul auto.'!DU80),""))</f>
        <v/>
      </c>
      <c r="T127" s="1098"/>
      <c r="U127" s="1098"/>
      <c r="V127" s="1098"/>
      <c r="W127" s="1020"/>
      <c r="X127" s="162"/>
      <c r="Y127" s="1075"/>
      <c r="Z127" s="1075"/>
      <c r="AA127" s="1075"/>
      <c r="AB127" s="1075"/>
      <c r="AC127" s="1075"/>
      <c r="AD127" s="1075"/>
      <c r="AE127" s="1075"/>
      <c r="AF127" s="1075"/>
      <c r="AG127" s="993"/>
      <c r="AH127" s="1075"/>
      <c r="AI127" s="34"/>
    </row>
    <row r="128" spans="1:35" ht="30" customHeight="1" thickBot="1" x14ac:dyDescent="0.25">
      <c r="A128" s="34"/>
      <c r="B128" s="982"/>
      <c r="C128" s="924"/>
      <c r="D128" s="983"/>
      <c r="E128" s="1009"/>
      <c r="F128" s="982"/>
      <c r="G128" s="924"/>
      <c r="H128" s="924"/>
      <c r="I128" s="983"/>
      <c r="J128" s="982"/>
      <c r="K128" s="924"/>
      <c r="L128" s="924"/>
      <c r="M128" s="983"/>
      <c r="N128" s="134"/>
      <c r="O128" s="922" t="str">
        <f t="shared" ref="O128" si="46">IF($P$9="X","Avec impact envisagé",IF($P$15="X","Avec act. écol. envisagée",""))</f>
        <v/>
      </c>
      <c r="P128" s="1072"/>
      <c r="Q128" s="1078" t="str">
        <f>IF($P$9="X",'Calcul auto.'!AR80,IF($P$15="X",'Calcul auto.'!EJ80,""))</f>
        <v/>
      </c>
      <c r="R128" s="1079"/>
      <c r="S128" s="990" t="str">
        <f>IF($P$9="X",CONCATENATE('Calcul auto.'!BD80,'Calcul auto.'!BE80,'Calcul auto.'!BF80,'Calcul auto.'!BG80,'Calcul auto.'!BH80,'Calcul auto.'!BI80),IF($P$15="X",CONCATENATE('Calcul auto.'!EV80,'Calcul auto.'!EW80,'Calcul auto.'!EX80,'Calcul auto.'!EY80,'Calcul auto.'!EZ80,'Calcul auto.'!FA80),""))</f>
        <v/>
      </c>
      <c r="T128" s="991"/>
      <c r="U128" s="991"/>
      <c r="V128" s="991"/>
      <c r="W128" s="992"/>
      <c r="X128" s="134"/>
      <c r="Y128" s="1076"/>
      <c r="Z128" s="1076"/>
      <c r="AA128" s="1076"/>
      <c r="AB128" s="1076"/>
      <c r="AC128" s="1076"/>
      <c r="AD128" s="1076"/>
      <c r="AE128" s="1076"/>
      <c r="AF128" s="1076"/>
      <c r="AG128" s="994"/>
      <c r="AH128" s="1076"/>
      <c r="AI128" s="34"/>
    </row>
    <row r="129" spans="1:35" ht="30" customHeight="1" x14ac:dyDescent="0.2">
      <c r="A129" s="34"/>
      <c r="B129" s="1014"/>
      <c r="C129" s="1015"/>
      <c r="D129" s="1016"/>
      <c r="E129" s="1010"/>
      <c r="F129" s="1014"/>
      <c r="G129" s="1015"/>
      <c r="H129" s="1015"/>
      <c r="I129" s="1016"/>
      <c r="J129" s="1014"/>
      <c r="K129" s="1015"/>
      <c r="L129" s="1015"/>
      <c r="M129" s="1016"/>
      <c r="N129" s="178"/>
      <c r="O129" s="1073" t="str">
        <f t="shared" ref="O129" si="47">IF($P$9="X","Après impact",IF($P$15="X","Après action écologique",""))</f>
        <v/>
      </c>
      <c r="P129" s="1074"/>
      <c r="Q129" s="1096" t="str">
        <f>IF($P$9="X",'Calcul auto.'!BX80,IF($P$15="X",'Calcul auto.'!FP80,""))</f>
        <v/>
      </c>
      <c r="R129" s="1097"/>
      <c r="S129" s="1023" t="str">
        <f>IF($P$9="X",CONCATENATE('Calcul auto.'!CJ80,'Calcul auto.'!CK80,'Calcul auto.'!CL80,'Calcul auto.'!CM80,'Calcul auto.'!CN80,'Calcul auto.'!CO80),IF($P$15="X",CONCATENATE('Calcul auto.'!GB80,'Calcul auto.'!GC80,'Calcul auto.'!GD80,'Calcul auto.'!GE80,'Calcul auto.'!GF80,'Calcul auto.'!GG80),""))</f>
        <v/>
      </c>
      <c r="T129" s="1082"/>
      <c r="U129" s="1082"/>
      <c r="V129" s="1082"/>
      <c r="W129" s="1024"/>
      <c r="X129" s="178"/>
      <c r="Y129" s="1077"/>
      <c r="Z129" s="1077"/>
      <c r="AA129" s="1077"/>
      <c r="AB129" s="1077"/>
      <c r="AC129" s="1077"/>
      <c r="AD129" s="1077"/>
      <c r="AE129" s="1077"/>
      <c r="AF129" s="1077"/>
      <c r="AG129" s="1018"/>
      <c r="AH129" s="1077"/>
      <c r="AI129" s="34"/>
    </row>
    <row r="130" spans="1:35" ht="30" customHeight="1" thickBot="1" x14ac:dyDescent="0.25">
      <c r="A130" s="34"/>
      <c r="B130" s="982" t="s">
        <v>152</v>
      </c>
      <c r="C130" s="924"/>
      <c r="D130" s="983"/>
      <c r="E130" s="1009" t="s">
        <v>762</v>
      </c>
      <c r="F130" s="982" t="s">
        <v>672</v>
      </c>
      <c r="G130" s="924"/>
      <c r="H130" s="924"/>
      <c r="I130" s="983"/>
      <c r="J130" s="982" t="s">
        <v>673</v>
      </c>
      <c r="K130" s="924"/>
      <c r="L130" s="924"/>
      <c r="M130" s="983"/>
      <c r="N130" s="34"/>
      <c r="O130" s="922" t="str">
        <f t="shared" ref="O130" si="48">IF($P$9="X","Avant impact",IF($P$15="X","Avant action écologique",""))</f>
        <v/>
      </c>
      <c r="P130" s="1072"/>
      <c r="Q130" s="1085" t="str">
        <f>IF($P$9="X",'Calcul auto.'!M81,IF($P$15="X",'Calcul auto.'!DE81,""))</f>
        <v/>
      </c>
      <c r="R130" s="1086"/>
      <c r="S130" s="1042" t="str">
        <f>IF($P$9="X",CONCATENATE('Calcul auto.'!X81,'Calcul auto.'!Y81,'Calcul auto.'!Z81,'Calcul auto.'!AA81,'Calcul auto.'!AB81,'Calcul auto.'!AC81),IF($P$15="X",CONCATENATE('Calcul auto.'!DP81,'Calcul auto.'!DQ81,'Calcul auto.'!DR81,'Calcul auto.'!DS81,'Calcul auto.'!DT81,'Calcul auto.'!DU81),""))</f>
        <v/>
      </c>
      <c r="T130" s="1087"/>
      <c r="U130" s="1087"/>
      <c r="V130" s="1087"/>
      <c r="W130" s="1043"/>
      <c r="X130" s="34"/>
      <c r="Y130" s="1076"/>
      <c r="Z130" s="1076"/>
      <c r="AA130" s="1076"/>
      <c r="AB130" s="1076"/>
      <c r="AC130" s="1076"/>
      <c r="AD130" s="1076"/>
      <c r="AE130" s="1076"/>
      <c r="AF130" s="1076"/>
      <c r="AG130" s="1076"/>
      <c r="AH130" s="994"/>
      <c r="AI130" s="34"/>
    </row>
    <row r="131" spans="1:35" ht="30" customHeight="1" thickBot="1" x14ac:dyDescent="0.25">
      <c r="A131" s="34"/>
      <c r="B131" s="982"/>
      <c r="C131" s="924"/>
      <c r="D131" s="983"/>
      <c r="E131" s="1009"/>
      <c r="F131" s="982"/>
      <c r="G131" s="924"/>
      <c r="H131" s="924"/>
      <c r="I131" s="983"/>
      <c r="J131" s="982"/>
      <c r="K131" s="924"/>
      <c r="L131" s="924"/>
      <c r="M131" s="983"/>
      <c r="N131" s="34"/>
      <c r="O131" s="922" t="str">
        <f t="shared" ref="O131" si="49">IF($P$9="X","Avec impact envisagé",IF($P$15="X","Avec act. écol. envisagée",""))</f>
        <v/>
      </c>
      <c r="P131" s="1072"/>
      <c r="Q131" s="1078" t="str">
        <f>IF($P$9="X",'Calcul auto.'!AS81,IF($P$15="X",'Calcul auto.'!EK81,""))</f>
        <v/>
      </c>
      <c r="R131" s="1079"/>
      <c r="S131" s="990" t="str">
        <f>IF($P$9="X",CONCATENATE('Calcul auto.'!BD81,'Calcul auto.'!BE81,'Calcul auto.'!BF81,'Calcul auto.'!BG81,'Calcul auto.'!BH81,'Calcul auto.'!BI81),IF($P$15="X",CONCATENATE('Calcul auto.'!EV81,'Calcul auto.'!EW81,'Calcul auto.'!EX81,'Calcul auto.'!EY81,'Calcul auto.'!EZ81,'Calcul auto.'!FA81),""))</f>
        <v/>
      </c>
      <c r="T131" s="991"/>
      <c r="U131" s="991"/>
      <c r="V131" s="991"/>
      <c r="W131" s="992"/>
      <c r="X131" s="34"/>
      <c r="Y131" s="1076"/>
      <c r="Z131" s="1076"/>
      <c r="AA131" s="1076"/>
      <c r="AB131" s="1076"/>
      <c r="AC131" s="1076"/>
      <c r="AD131" s="1076"/>
      <c r="AE131" s="1076"/>
      <c r="AF131" s="1076"/>
      <c r="AG131" s="1076"/>
      <c r="AH131" s="994"/>
      <c r="AI131" s="34"/>
    </row>
    <row r="132" spans="1:35" ht="30" customHeight="1" x14ac:dyDescent="0.2">
      <c r="A132" s="34"/>
      <c r="B132" s="982"/>
      <c r="C132" s="924"/>
      <c r="D132" s="983"/>
      <c r="E132" s="1009"/>
      <c r="F132" s="982"/>
      <c r="G132" s="924"/>
      <c r="H132" s="924"/>
      <c r="I132" s="983"/>
      <c r="J132" s="982"/>
      <c r="K132" s="924"/>
      <c r="L132" s="924"/>
      <c r="M132" s="983"/>
      <c r="N132" s="34"/>
      <c r="O132" s="922" t="str">
        <f t="shared" ref="O132" si="50">IF($P$9="X","Après impact",IF($P$15="X","Après action écologique",""))</f>
        <v/>
      </c>
      <c r="P132" s="1072"/>
      <c r="Q132" s="1107" t="str">
        <f>IF($P$9="X",'Calcul auto.'!BY81,IF($P$15="X",'Calcul auto.'!FQ81,""))</f>
        <v/>
      </c>
      <c r="R132" s="1108"/>
      <c r="S132" s="1044" t="str">
        <f>IF($P$9="X",CONCATENATE('Calcul auto.'!CJ81,'Calcul auto.'!CK81,'Calcul auto.'!CL81,'Calcul auto.'!CM81,'Calcul auto.'!CN81,'Calcul auto.'!CO81),IF($P$15="X",CONCATENATE('Calcul auto.'!GB81,'Calcul auto.'!GC81,'Calcul auto.'!GD81,'Calcul auto.'!GE81,'Calcul auto.'!GF81,'Calcul auto.'!GG81),""))</f>
        <v/>
      </c>
      <c r="T132" s="1109"/>
      <c r="U132" s="1109"/>
      <c r="V132" s="1109"/>
      <c r="W132" s="1045"/>
      <c r="X132" s="34"/>
      <c r="Y132" s="1076"/>
      <c r="Z132" s="1076"/>
      <c r="AA132" s="1076"/>
      <c r="AB132" s="1076"/>
      <c r="AC132" s="1076"/>
      <c r="AD132" s="1076"/>
      <c r="AE132" s="1076"/>
      <c r="AF132" s="1076"/>
      <c r="AG132" s="1076"/>
      <c r="AH132" s="994"/>
      <c r="AI132" s="34"/>
    </row>
    <row r="133" spans="1:35" ht="30" customHeight="1" thickBot="1" x14ac:dyDescent="0.25">
      <c r="A133" s="34"/>
      <c r="B133" s="1011" t="s">
        <v>153</v>
      </c>
      <c r="C133" s="1012"/>
      <c r="D133" s="1013"/>
      <c r="E133" s="1008" t="s">
        <v>763</v>
      </c>
      <c r="F133" s="1011" t="s">
        <v>650</v>
      </c>
      <c r="G133" s="1012"/>
      <c r="H133" s="1012"/>
      <c r="I133" s="1013"/>
      <c r="J133" s="1011" t="s">
        <v>651</v>
      </c>
      <c r="K133" s="1012"/>
      <c r="L133" s="1012"/>
      <c r="M133" s="1013"/>
      <c r="N133" s="162"/>
      <c r="O133" s="1103" t="str">
        <f t="shared" ref="O133" si="51">IF($P$9="X","Avant impact",IF($P$15="X","Avant action écologique",""))</f>
        <v/>
      </c>
      <c r="P133" s="1104"/>
      <c r="Q133" s="1083" t="str">
        <f>IF($P$9="X",'Calcul auto.'!M82,IF($P$15="X",'Calcul auto.'!DE82,""))</f>
        <v/>
      </c>
      <c r="R133" s="1084"/>
      <c r="S133" s="1019" t="str">
        <f>IF($P$9="X",CONCATENATE('Calcul auto.'!X82,'Calcul auto.'!Y82,'Calcul auto.'!Z82,'Calcul auto.'!AA82,'Calcul auto.'!AB82,'Calcul auto.'!AC82),IF($P$15="X",CONCATENATE('Calcul auto.'!DP82,'Calcul auto.'!DQ82,'Calcul auto.'!DR82,'Calcul auto.'!DS82,'Calcul auto.'!DT82,'Calcul auto.'!DU82),""))</f>
        <v/>
      </c>
      <c r="T133" s="1098"/>
      <c r="U133" s="1098"/>
      <c r="V133" s="1098"/>
      <c r="W133" s="1020"/>
      <c r="X133" s="162"/>
      <c r="Y133" s="1075"/>
      <c r="Z133" s="1075"/>
      <c r="AA133" s="1075"/>
      <c r="AB133" s="1075"/>
      <c r="AC133" s="1075"/>
      <c r="AD133" s="1075"/>
      <c r="AE133" s="1075"/>
      <c r="AF133" s="1075"/>
      <c r="AG133" s="1075"/>
      <c r="AH133" s="993"/>
      <c r="AI133" s="34"/>
    </row>
    <row r="134" spans="1:35" ht="30" customHeight="1" thickBot="1" x14ac:dyDescent="0.25">
      <c r="A134" s="34"/>
      <c r="B134" s="982"/>
      <c r="C134" s="924"/>
      <c r="D134" s="983"/>
      <c r="E134" s="1009"/>
      <c r="F134" s="982"/>
      <c r="G134" s="924"/>
      <c r="H134" s="924"/>
      <c r="I134" s="983"/>
      <c r="J134" s="982"/>
      <c r="K134" s="924"/>
      <c r="L134" s="924"/>
      <c r="M134" s="983"/>
      <c r="N134" s="134"/>
      <c r="O134" s="922" t="str">
        <f t="shared" ref="O134" si="52">IF($P$9="X","Avec impact envisagé",IF($P$15="X","Avec act. écol. envisagée",""))</f>
        <v/>
      </c>
      <c r="P134" s="1072"/>
      <c r="Q134" s="1078" t="str">
        <f>IF($P$9="X",'Calcul auto.'!AS82,IF($P$15="X",'Calcul auto.'!EK82,""))</f>
        <v/>
      </c>
      <c r="R134" s="1079"/>
      <c r="S134" s="990" t="str">
        <f>IF($P$9="X",CONCATENATE('Calcul auto.'!BD82,'Calcul auto.'!BE82,'Calcul auto.'!BF82,'Calcul auto.'!BG82,'Calcul auto.'!BH82,'Calcul auto.'!BI82),IF($P$15="X",CONCATENATE('Calcul auto.'!EV82,'Calcul auto.'!EW82,'Calcul auto.'!EX82,'Calcul auto.'!EY82,'Calcul auto.'!EZ82,'Calcul auto.'!FA82),""))</f>
        <v/>
      </c>
      <c r="T134" s="991"/>
      <c r="U134" s="991"/>
      <c r="V134" s="991"/>
      <c r="W134" s="992"/>
      <c r="X134" s="134"/>
      <c r="Y134" s="1076"/>
      <c r="Z134" s="1076"/>
      <c r="AA134" s="1076"/>
      <c r="AB134" s="1076"/>
      <c r="AC134" s="1076"/>
      <c r="AD134" s="1076"/>
      <c r="AE134" s="1076"/>
      <c r="AF134" s="1076"/>
      <c r="AG134" s="1076"/>
      <c r="AH134" s="994"/>
      <c r="AI134" s="34"/>
    </row>
    <row r="135" spans="1:35" ht="30" customHeight="1" x14ac:dyDescent="0.2">
      <c r="A135" s="34"/>
      <c r="B135" s="1014"/>
      <c r="C135" s="1015"/>
      <c r="D135" s="1016"/>
      <c r="E135" s="1010"/>
      <c r="F135" s="1014"/>
      <c r="G135" s="1015"/>
      <c r="H135" s="1015"/>
      <c r="I135" s="1016"/>
      <c r="J135" s="1014"/>
      <c r="K135" s="1015"/>
      <c r="L135" s="1015"/>
      <c r="M135" s="1016"/>
      <c r="N135" s="178"/>
      <c r="O135" s="1073" t="str">
        <f t="shared" ref="O135" si="53">IF($P$9="X","Après impact",IF($P$15="X","Après action écologique",""))</f>
        <v/>
      </c>
      <c r="P135" s="1074"/>
      <c r="Q135" s="1080" t="str">
        <f>IF($P$9="X",'Calcul auto.'!BY82,IF($P$15="X",'Calcul auto.'!FQ82,""))</f>
        <v/>
      </c>
      <c r="R135" s="1081"/>
      <c r="S135" s="1023" t="str">
        <f>IF($P$9="X",CONCATENATE('Calcul auto.'!CJ82,'Calcul auto.'!CK82,'Calcul auto.'!CL82,'Calcul auto.'!CM82,'Calcul auto.'!CN82,'Calcul auto.'!CO82),IF($P$15="X",CONCATENATE('Calcul auto.'!GB82,'Calcul auto.'!GC82,'Calcul auto.'!GD82,'Calcul auto.'!GE82,'Calcul auto.'!GF82,'Calcul auto.'!GG82),""))</f>
        <v/>
      </c>
      <c r="T135" s="1082"/>
      <c r="U135" s="1082"/>
      <c r="V135" s="1082"/>
      <c r="W135" s="1024"/>
      <c r="X135" s="178"/>
      <c r="Y135" s="1077"/>
      <c r="Z135" s="1077"/>
      <c r="AA135" s="1077"/>
      <c r="AB135" s="1077"/>
      <c r="AC135" s="1077"/>
      <c r="AD135" s="1077"/>
      <c r="AE135" s="1077"/>
      <c r="AF135" s="1077"/>
      <c r="AG135" s="1077"/>
      <c r="AH135" s="1018"/>
      <c r="AI135" s="34"/>
    </row>
    <row r="136" spans="1:35" ht="30" customHeight="1" thickBot="1" x14ac:dyDescent="0.25">
      <c r="A136" s="34"/>
      <c r="B136" s="982" t="s">
        <v>154</v>
      </c>
      <c r="C136" s="924"/>
      <c r="D136" s="924"/>
      <c r="E136" s="1009">
        <v>39</v>
      </c>
      <c r="F136" s="982" t="s">
        <v>644</v>
      </c>
      <c r="G136" s="924"/>
      <c r="H136" s="924"/>
      <c r="I136" s="983"/>
      <c r="J136" s="982" t="s">
        <v>645</v>
      </c>
      <c r="K136" s="924"/>
      <c r="L136" s="924"/>
      <c r="M136" s="983"/>
      <c r="N136" s="34"/>
      <c r="O136" s="922" t="str">
        <f t="shared" ref="O136" si="54">IF($P$9="X","Avant impact",IF($P$15="X","Avant action écologique",""))</f>
        <v/>
      </c>
      <c r="P136" s="1072"/>
      <c r="Q136" s="1085" t="str">
        <f>IF($P$9="X",'Calcul auto.'!L83,IF($P$15="X",'Calcul auto.'!DD83,""))</f>
        <v/>
      </c>
      <c r="R136" s="1086"/>
      <c r="S136" s="1042" t="str">
        <f>IF($P$9="X",CONCATENATE('Calcul auto.'!X83,'Calcul auto.'!Y83,'Calcul auto.'!Z83,'Calcul auto.'!AA83,'Calcul auto.'!AB83,'Calcul auto.'!AC83),IF($P$15="X",CONCATENATE('Calcul auto.'!DP83,'Calcul auto.'!DQ83,'Calcul auto.'!DR83,'Calcul auto.'!DS83,'Calcul auto.'!DT83,'Calcul auto.'!DU83),""))</f>
        <v/>
      </c>
      <c r="T136" s="1087"/>
      <c r="U136" s="1087"/>
      <c r="V136" s="1087"/>
      <c r="W136" s="1043"/>
      <c r="X136" s="34"/>
      <c r="Y136" s="1076"/>
      <c r="Z136" s="1076"/>
      <c r="AA136" s="1076"/>
      <c r="AB136" s="1076"/>
      <c r="AC136" s="1076"/>
      <c r="AD136" s="1076"/>
      <c r="AE136" s="1076"/>
      <c r="AF136" s="1076"/>
      <c r="AG136" s="994"/>
      <c r="AH136" s="1076"/>
      <c r="AI136" s="34"/>
    </row>
    <row r="137" spans="1:35" ht="30" customHeight="1" thickBot="1" x14ac:dyDescent="0.25">
      <c r="A137" s="34"/>
      <c r="B137" s="982"/>
      <c r="C137" s="924"/>
      <c r="D137" s="924"/>
      <c r="E137" s="1009"/>
      <c r="F137" s="982"/>
      <c r="G137" s="924"/>
      <c r="H137" s="924"/>
      <c r="I137" s="983"/>
      <c r="J137" s="982"/>
      <c r="K137" s="924"/>
      <c r="L137" s="924"/>
      <c r="M137" s="983"/>
      <c r="N137" s="34"/>
      <c r="O137" s="922" t="str">
        <f t="shared" ref="O137" si="55">IF($P$9="X","Avec impact envisagé",IF($P$15="X","Avec act. écol. envisagée",""))</f>
        <v/>
      </c>
      <c r="P137" s="1072"/>
      <c r="Q137" s="1078" t="str">
        <f>IF($P$9="X",'Calcul auto.'!AR83,IF($P$15="X",'Calcul auto.'!EJ83,""))</f>
        <v/>
      </c>
      <c r="R137" s="1079"/>
      <c r="S137" s="990" t="str">
        <f>IF($P$9="X",CONCATENATE('Calcul auto.'!BD83,'Calcul auto.'!BE83,'Calcul auto.'!BF83,'Calcul auto.'!BG83,'Calcul auto.'!BH83,'Calcul auto.'!BI83),IF($P$15="X",CONCATENATE('Calcul auto.'!EV83,'Calcul auto.'!EW83,'Calcul auto.'!EX83,'Calcul auto.'!EY83,'Calcul auto.'!EZ83,'Calcul auto.'!FA83),""))</f>
        <v/>
      </c>
      <c r="T137" s="991"/>
      <c r="U137" s="991"/>
      <c r="V137" s="991"/>
      <c r="W137" s="992"/>
      <c r="X137" s="34"/>
      <c r="Y137" s="1076"/>
      <c r="Z137" s="1076"/>
      <c r="AA137" s="1076"/>
      <c r="AB137" s="1076"/>
      <c r="AC137" s="1076"/>
      <c r="AD137" s="1076"/>
      <c r="AE137" s="1076"/>
      <c r="AF137" s="1076"/>
      <c r="AG137" s="994"/>
      <c r="AH137" s="1076"/>
      <c r="AI137" s="34"/>
    </row>
    <row r="138" spans="1:35" ht="30" customHeight="1" x14ac:dyDescent="0.2">
      <c r="A138" s="34"/>
      <c r="B138" s="982"/>
      <c r="C138" s="924"/>
      <c r="D138" s="924"/>
      <c r="E138" s="1009"/>
      <c r="F138" s="982"/>
      <c r="G138" s="924"/>
      <c r="H138" s="924"/>
      <c r="I138" s="983"/>
      <c r="J138" s="982"/>
      <c r="K138" s="924"/>
      <c r="L138" s="924"/>
      <c r="M138" s="983"/>
      <c r="N138" s="34"/>
      <c r="O138" s="922" t="str">
        <f t="shared" ref="O138" si="56">IF($P$9="X","Après impact",IF($P$15="X","Après action écologique",""))</f>
        <v/>
      </c>
      <c r="P138" s="1072"/>
      <c r="Q138" s="1107" t="str">
        <f>IF($P$9="X",'Calcul auto.'!BX83,IF($P$15="X",'Calcul auto.'!FP83,""))</f>
        <v/>
      </c>
      <c r="R138" s="1108"/>
      <c r="S138" s="1044" t="str">
        <f>IF($P$9="X",CONCATENATE('Calcul auto.'!CJ83,'Calcul auto.'!CK83,'Calcul auto.'!CL83,'Calcul auto.'!CM83,'Calcul auto.'!CN83,'Calcul auto.'!CO83),IF($P$15="X",CONCATENATE('Calcul auto.'!GB83,'Calcul auto.'!GC83,'Calcul auto.'!GD83,'Calcul auto.'!GE83,'Calcul auto.'!GF83,'Calcul auto.'!GG83),""))</f>
        <v/>
      </c>
      <c r="T138" s="1109"/>
      <c r="U138" s="1109"/>
      <c r="V138" s="1109"/>
      <c r="W138" s="1045"/>
      <c r="X138" s="34"/>
      <c r="Y138" s="1076"/>
      <c r="Z138" s="1076"/>
      <c r="AA138" s="1076"/>
      <c r="AB138" s="1076"/>
      <c r="AC138" s="1076"/>
      <c r="AD138" s="1076"/>
      <c r="AE138" s="1076"/>
      <c r="AF138" s="1076"/>
      <c r="AG138" s="994"/>
      <c r="AH138" s="1076"/>
      <c r="AI138" s="34"/>
    </row>
    <row r="139" spans="1:35" ht="30" customHeight="1" thickBot="1" x14ac:dyDescent="0.25">
      <c r="A139" s="34"/>
      <c r="B139" s="1011" t="s">
        <v>219</v>
      </c>
      <c r="C139" s="1012"/>
      <c r="D139" s="1013"/>
      <c r="E139" s="1008">
        <v>39</v>
      </c>
      <c r="F139" s="1011" t="s">
        <v>648</v>
      </c>
      <c r="G139" s="1012"/>
      <c r="H139" s="1012"/>
      <c r="I139" s="1013"/>
      <c r="J139" s="1011" t="s">
        <v>649</v>
      </c>
      <c r="K139" s="1012"/>
      <c r="L139" s="1012"/>
      <c r="M139" s="1013"/>
      <c r="N139" s="162"/>
      <c r="O139" s="1103" t="str">
        <f t="shared" ref="O139" si="57">IF($P$9="X","Avant impact",IF($P$15="X","Avant action écologique",""))</f>
        <v/>
      </c>
      <c r="P139" s="1104"/>
      <c r="Q139" s="1083" t="str">
        <f>IF($P$9="X",'Calcul auto.'!L84,IF($P$15="X",'Calcul auto.'!DD84,""))</f>
        <v/>
      </c>
      <c r="R139" s="1084"/>
      <c r="S139" s="1019" t="str">
        <f>IF($P$9="X",CONCATENATE('Calcul auto.'!X84,'Calcul auto.'!Y84,'Calcul auto.'!Z84,'Calcul auto.'!AA84,'Calcul auto.'!AB84,'Calcul auto.'!AC84),IF($P$15="X",CONCATENATE('Calcul auto.'!DP84,'Calcul auto.'!DQ84,'Calcul auto.'!DR84,'Calcul auto.'!DS84,'Calcul auto.'!DT84,'Calcul auto.'!DU84),""))</f>
        <v/>
      </c>
      <c r="T139" s="1098"/>
      <c r="U139" s="1098"/>
      <c r="V139" s="1098"/>
      <c r="W139" s="1020"/>
      <c r="X139" s="162"/>
      <c r="Y139" s="1075"/>
      <c r="Z139" s="1075"/>
      <c r="AA139" s="1075"/>
      <c r="AB139" s="1075"/>
      <c r="AC139" s="1075"/>
      <c r="AD139" s="1075"/>
      <c r="AE139" s="1075"/>
      <c r="AF139" s="1075"/>
      <c r="AG139" s="993"/>
      <c r="AH139" s="1075"/>
      <c r="AI139" s="34"/>
    </row>
    <row r="140" spans="1:35" ht="30" customHeight="1" thickBot="1" x14ac:dyDescent="0.25">
      <c r="A140" s="34"/>
      <c r="B140" s="982"/>
      <c r="C140" s="924"/>
      <c r="D140" s="983"/>
      <c r="E140" s="1009"/>
      <c r="F140" s="982"/>
      <c r="G140" s="924"/>
      <c r="H140" s="924"/>
      <c r="I140" s="983"/>
      <c r="J140" s="982"/>
      <c r="K140" s="924"/>
      <c r="L140" s="924"/>
      <c r="M140" s="983"/>
      <c r="N140" s="134"/>
      <c r="O140" s="922" t="str">
        <f t="shared" ref="O140" si="58">IF($P$9="X","Avec impact envisagé",IF($P$15="X","Avec act. écol. envisagée",""))</f>
        <v/>
      </c>
      <c r="P140" s="1072"/>
      <c r="Q140" s="1078" t="str">
        <f>IF($P$9="X",'Calcul auto.'!AR84,IF($P$15="X",'Calcul auto.'!EJ84,""))</f>
        <v/>
      </c>
      <c r="R140" s="1079"/>
      <c r="S140" s="990" t="str">
        <f>IF($P$9="X",CONCATENATE('Calcul auto.'!BD84,'Calcul auto.'!BE84,'Calcul auto.'!BF84,'Calcul auto.'!BG84,'Calcul auto.'!BH84,'Calcul auto.'!BI84),IF($P$15="X",CONCATENATE('Calcul auto.'!EV84,'Calcul auto.'!EW84,'Calcul auto.'!EX84,'Calcul auto.'!EY84,'Calcul auto.'!EZ84,'Calcul auto.'!FA84),""))</f>
        <v/>
      </c>
      <c r="T140" s="991"/>
      <c r="U140" s="991"/>
      <c r="V140" s="991"/>
      <c r="W140" s="992"/>
      <c r="X140" s="134"/>
      <c r="Y140" s="1076"/>
      <c r="Z140" s="1076"/>
      <c r="AA140" s="1076"/>
      <c r="AB140" s="1076"/>
      <c r="AC140" s="1076"/>
      <c r="AD140" s="1076"/>
      <c r="AE140" s="1076"/>
      <c r="AF140" s="1076"/>
      <c r="AG140" s="994"/>
      <c r="AH140" s="1076"/>
      <c r="AI140" s="34"/>
    </row>
    <row r="141" spans="1:35" ht="30" customHeight="1" x14ac:dyDescent="0.2">
      <c r="A141" s="34"/>
      <c r="B141" s="1014"/>
      <c r="C141" s="1015"/>
      <c r="D141" s="1016"/>
      <c r="E141" s="1010"/>
      <c r="F141" s="1014"/>
      <c r="G141" s="1015"/>
      <c r="H141" s="1015"/>
      <c r="I141" s="1016"/>
      <c r="J141" s="1014"/>
      <c r="K141" s="1015"/>
      <c r="L141" s="1015"/>
      <c r="M141" s="1016"/>
      <c r="N141" s="178"/>
      <c r="O141" s="1073" t="str">
        <f t="shared" ref="O141" si="59">IF($P$9="X","Après impact",IF($P$15="X","Après action écologique",""))</f>
        <v/>
      </c>
      <c r="P141" s="1074"/>
      <c r="Q141" s="1096" t="str">
        <f>IF($P$9="X",'Calcul auto.'!BX84,IF($P$15="X",'Calcul auto.'!FP84,""))</f>
        <v/>
      </c>
      <c r="R141" s="1097"/>
      <c r="S141" s="1023" t="str">
        <f>IF($P$9="X",CONCATENATE('Calcul auto.'!CJ84,'Calcul auto.'!CK84,'Calcul auto.'!CL84,'Calcul auto.'!CM84,'Calcul auto.'!CN84,'Calcul auto.'!CO84),IF($P$15="X",CONCATENATE('Calcul auto.'!GB84,'Calcul auto.'!GC84,'Calcul auto.'!GD84,'Calcul auto.'!GE84,'Calcul auto.'!GF84,'Calcul auto.'!GG84),""))</f>
        <v/>
      </c>
      <c r="T141" s="1082"/>
      <c r="U141" s="1082"/>
      <c r="V141" s="1082"/>
      <c r="W141" s="1024"/>
      <c r="X141" s="178"/>
      <c r="Y141" s="1077"/>
      <c r="Z141" s="1077"/>
      <c r="AA141" s="1077"/>
      <c r="AB141" s="1077"/>
      <c r="AC141" s="1077"/>
      <c r="AD141" s="1077"/>
      <c r="AE141" s="1077"/>
      <c r="AF141" s="1077"/>
      <c r="AG141" s="1018"/>
      <c r="AH141" s="1077"/>
      <c r="AI141" s="34"/>
    </row>
    <row r="142" spans="1:35" ht="30" customHeight="1" thickBot="1" x14ac:dyDescent="0.25">
      <c r="A142" s="34"/>
      <c r="B142" s="982" t="s">
        <v>155</v>
      </c>
      <c r="C142" s="924"/>
      <c r="D142" s="983"/>
      <c r="E142" s="1009">
        <v>76</v>
      </c>
      <c r="F142" s="982" t="s">
        <v>652</v>
      </c>
      <c r="G142" s="924"/>
      <c r="H142" s="924"/>
      <c r="I142" s="983"/>
      <c r="J142" s="982" t="s">
        <v>653</v>
      </c>
      <c r="K142" s="924"/>
      <c r="L142" s="924"/>
      <c r="M142" s="983"/>
      <c r="N142" s="34"/>
      <c r="O142" s="922" t="str">
        <f t="shared" ref="O142" si="60">IF($P$9="X","Avant impact",IF($P$15="X","Avant action écologique",""))</f>
        <v/>
      </c>
      <c r="P142" s="1072"/>
      <c r="Q142" s="1085" t="str">
        <f>IF($P$9="X",'Calcul auto.'!L85,IF($P$15="X",'Calcul auto.'!DD85,""))</f>
        <v/>
      </c>
      <c r="R142" s="1086"/>
      <c r="S142" s="1042" t="str">
        <f>IF($P$9="X",CONCATENATE('Calcul auto.'!X85,'Calcul auto.'!Y85,'Calcul auto.'!Z85,'Calcul auto.'!AA85,'Calcul auto.'!AB85,'Calcul auto.'!AC85),IF($P$15="X",CONCATENATE('Calcul auto.'!DP85,'Calcul auto.'!DQ85,'Calcul auto.'!DR85,'Calcul auto.'!DS85,'Calcul auto.'!DT85,'Calcul auto.'!DU85),""))</f>
        <v/>
      </c>
      <c r="T142" s="1087"/>
      <c r="U142" s="1087"/>
      <c r="V142" s="1087"/>
      <c r="W142" s="1043"/>
      <c r="X142" s="34"/>
      <c r="Y142" s="1076"/>
      <c r="Z142" s="1076"/>
      <c r="AA142" s="1076"/>
      <c r="AB142" s="1076"/>
      <c r="AC142" s="1076"/>
      <c r="AD142" s="1076"/>
      <c r="AE142" s="1076"/>
      <c r="AF142" s="1076"/>
      <c r="AG142" s="994"/>
      <c r="AH142" s="1076"/>
      <c r="AI142" s="34"/>
    </row>
    <row r="143" spans="1:35" ht="30" customHeight="1" thickBot="1" x14ac:dyDescent="0.25">
      <c r="A143" s="34"/>
      <c r="B143" s="982"/>
      <c r="C143" s="924"/>
      <c r="D143" s="983"/>
      <c r="E143" s="1009"/>
      <c r="F143" s="982"/>
      <c r="G143" s="924"/>
      <c r="H143" s="924"/>
      <c r="I143" s="983"/>
      <c r="J143" s="982"/>
      <c r="K143" s="924"/>
      <c r="L143" s="924"/>
      <c r="M143" s="983"/>
      <c r="N143" s="34"/>
      <c r="O143" s="922" t="str">
        <f t="shared" ref="O143" si="61">IF($P$9="X","Avec impact envisagé",IF($P$15="X","Avec act. écol. envisagée",""))</f>
        <v/>
      </c>
      <c r="P143" s="1072"/>
      <c r="Q143" s="1078" t="str">
        <f>IF($P$9="X",'Calcul auto.'!AR85,IF($P$15="X",'Calcul auto.'!EJ85,""))</f>
        <v/>
      </c>
      <c r="R143" s="1079"/>
      <c r="S143" s="990" t="str">
        <f>IF($P$9="X",CONCATENATE('Calcul auto.'!BD85,'Calcul auto.'!BE85,'Calcul auto.'!BF85,'Calcul auto.'!BG85,'Calcul auto.'!BH85,'Calcul auto.'!BI85),IF($P$15="X",CONCATENATE('Calcul auto.'!EV85,'Calcul auto.'!EW85,'Calcul auto.'!EX85,'Calcul auto.'!EY85,'Calcul auto.'!EZ85,'Calcul auto.'!FA85),""))</f>
        <v/>
      </c>
      <c r="T143" s="991"/>
      <c r="U143" s="991"/>
      <c r="V143" s="991"/>
      <c r="W143" s="992"/>
      <c r="X143" s="34"/>
      <c r="Y143" s="1076"/>
      <c r="Z143" s="1076"/>
      <c r="AA143" s="1076"/>
      <c r="AB143" s="1076"/>
      <c r="AC143" s="1076"/>
      <c r="AD143" s="1076"/>
      <c r="AE143" s="1076"/>
      <c r="AF143" s="1076"/>
      <c r="AG143" s="994"/>
      <c r="AH143" s="1076"/>
      <c r="AI143" s="34"/>
    </row>
    <row r="144" spans="1:35" ht="30" customHeight="1" x14ac:dyDescent="0.2">
      <c r="A144" s="34"/>
      <c r="B144" s="982"/>
      <c r="C144" s="924"/>
      <c r="D144" s="983"/>
      <c r="E144" s="1009"/>
      <c r="F144" s="982"/>
      <c r="G144" s="924"/>
      <c r="H144" s="924"/>
      <c r="I144" s="983"/>
      <c r="J144" s="982"/>
      <c r="K144" s="924"/>
      <c r="L144" s="924"/>
      <c r="M144" s="983"/>
      <c r="N144" s="34"/>
      <c r="O144" s="922" t="str">
        <f t="shared" ref="O144" si="62">IF($P$9="X","Après impact",IF($P$15="X","Après action écologique",""))</f>
        <v/>
      </c>
      <c r="P144" s="1072"/>
      <c r="Q144" s="1107" t="str">
        <f>IF($P$9="X",'Calcul auto.'!BX85,IF($P$15="X",'Calcul auto.'!FP85,""))</f>
        <v/>
      </c>
      <c r="R144" s="1108"/>
      <c r="S144" s="1044" t="str">
        <f>IF($P$9="X",CONCATENATE('Calcul auto.'!CJ85,'Calcul auto.'!CK85,'Calcul auto.'!CL85,'Calcul auto.'!CM85,'Calcul auto.'!CN85,'Calcul auto.'!CO85),IF($P$15="X",CONCATENATE('Calcul auto.'!GB85,'Calcul auto.'!GC85,'Calcul auto.'!GD85,'Calcul auto.'!GE85,'Calcul auto.'!GF85,'Calcul auto.'!GG85),""))</f>
        <v/>
      </c>
      <c r="T144" s="1109"/>
      <c r="U144" s="1109"/>
      <c r="V144" s="1109"/>
      <c r="W144" s="1045"/>
      <c r="X144" s="34"/>
      <c r="Y144" s="1076"/>
      <c r="Z144" s="1076"/>
      <c r="AA144" s="1076"/>
      <c r="AB144" s="1076"/>
      <c r="AC144" s="1076"/>
      <c r="AD144" s="1076"/>
      <c r="AE144" s="1076"/>
      <c r="AF144" s="1076"/>
      <c r="AG144" s="994"/>
      <c r="AH144" s="1076"/>
      <c r="AI144" s="34"/>
    </row>
    <row r="145" spans="1:35" ht="30" customHeight="1" thickBot="1" x14ac:dyDescent="0.25">
      <c r="A145" s="34"/>
      <c r="B145" s="1011" t="s">
        <v>427</v>
      </c>
      <c r="C145" s="1012"/>
      <c r="D145" s="1013"/>
      <c r="E145" s="1008" t="s">
        <v>543</v>
      </c>
      <c r="F145" s="1011" t="s">
        <v>654</v>
      </c>
      <c r="G145" s="1012"/>
      <c r="H145" s="1012"/>
      <c r="I145" s="1013"/>
      <c r="J145" s="1011" t="s">
        <v>655</v>
      </c>
      <c r="K145" s="1012"/>
      <c r="L145" s="1012"/>
      <c r="M145" s="1013"/>
      <c r="N145" s="162"/>
      <c r="O145" s="1103" t="str">
        <f t="shared" ref="O145" si="63">IF($P$9="X","Avant impact",IF($P$15="X","Avant action écologique",""))</f>
        <v/>
      </c>
      <c r="P145" s="1104"/>
      <c r="Q145" s="1083" t="str">
        <f>IF($P$9="X",'Calcul auto.'!L86,IF($P$15="X",'Calcul auto.'!DD86,""))</f>
        <v/>
      </c>
      <c r="R145" s="1084"/>
      <c r="S145" s="1019" t="str">
        <f>IF($P$9="X",CONCATENATE('Calcul auto.'!X86,'Calcul auto.'!Y86,'Calcul auto.'!Z86,'Calcul auto.'!AA86,'Calcul auto.'!AB86,'Calcul auto.'!AC86),IF($P$15="X",CONCATENATE('Calcul auto.'!DP86,'Calcul auto.'!DQ86,'Calcul auto.'!DR86,'Calcul auto.'!DS86,'Calcul auto.'!DT86,'Calcul auto.'!DU86),""))</f>
        <v/>
      </c>
      <c r="T145" s="1098"/>
      <c r="U145" s="1098"/>
      <c r="V145" s="1098"/>
      <c r="W145" s="1020"/>
      <c r="X145" s="162"/>
      <c r="Y145" s="1075"/>
      <c r="Z145" s="1075"/>
      <c r="AA145" s="1075"/>
      <c r="AB145" s="1075"/>
      <c r="AC145" s="1075"/>
      <c r="AD145" s="1075"/>
      <c r="AE145" s="1075"/>
      <c r="AF145" s="1075"/>
      <c r="AG145" s="993"/>
      <c r="AH145" s="1075"/>
      <c r="AI145" s="34"/>
    </row>
    <row r="146" spans="1:35" ht="30" customHeight="1" thickBot="1" x14ac:dyDescent="0.25">
      <c r="A146" s="34"/>
      <c r="B146" s="982"/>
      <c r="C146" s="924"/>
      <c r="D146" s="983"/>
      <c r="E146" s="1009"/>
      <c r="F146" s="982"/>
      <c r="G146" s="924"/>
      <c r="H146" s="924"/>
      <c r="I146" s="983"/>
      <c r="J146" s="982"/>
      <c r="K146" s="924"/>
      <c r="L146" s="924"/>
      <c r="M146" s="983"/>
      <c r="N146" s="134"/>
      <c r="O146" s="922" t="str">
        <f t="shared" ref="O146" si="64">IF($P$9="X","Avec impact envisagé",IF($P$15="X","Avec act. écol. envisagée",""))</f>
        <v/>
      </c>
      <c r="P146" s="1072"/>
      <c r="Q146" s="1078" t="str">
        <f>IF($P$9="X",'Calcul auto.'!AR86,IF($P$15="X",'Calcul auto.'!EJ86,""))</f>
        <v/>
      </c>
      <c r="R146" s="1079"/>
      <c r="S146" s="990" t="str">
        <f>IF($P$9="X",CONCATENATE('Calcul auto.'!BD86,'Calcul auto.'!BE86,'Calcul auto.'!BF86,'Calcul auto.'!BG86,'Calcul auto.'!BH86,'Calcul auto.'!BI86),IF($P$15="X",CONCATENATE('Calcul auto.'!EV86,'Calcul auto.'!EW86,'Calcul auto.'!EX86,'Calcul auto.'!EY86,'Calcul auto.'!EZ86,'Calcul auto.'!FA86),""))</f>
        <v/>
      </c>
      <c r="T146" s="991"/>
      <c r="U146" s="991"/>
      <c r="V146" s="991"/>
      <c r="W146" s="992"/>
      <c r="X146" s="134"/>
      <c r="Y146" s="1076"/>
      <c r="Z146" s="1076"/>
      <c r="AA146" s="1076"/>
      <c r="AB146" s="1076"/>
      <c r="AC146" s="1076"/>
      <c r="AD146" s="1076"/>
      <c r="AE146" s="1076"/>
      <c r="AF146" s="1076"/>
      <c r="AG146" s="994"/>
      <c r="AH146" s="1076"/>
      <c r="AI146" s="34"/>
    </row>
    <row r="147" spans="1:35" ht="30" customHeight="1" x14ac:dyDescent="0.2">
      <c r="A147" s="34"/>
      <c r="B147" s="1014"/>
      <c r="C147" s="1015"/>
      <c r="D147" s="1016"/>
      <c r="E147" s="1010"/>
      <c r="F147" s="1014"/>
      <c r="G147" s="1015"/>
      <c r="H147" s="1015"/>
      <c r="I147" s="1016"/>
      <c r="J147" s="1014"/>
      <c r="K147" s="1015"/>
      <c r="L147" s="1015"/>
      <c r="M147" s="1016"/>
      <c r="N147" s="178"/>
      <c r="O147" s="1073" t="str">
        <f t="shared" ref="O147" si="65">IF($P$9="X","Après impact",IF($P$15="X","Après action écologique",""))</f>
        <v/>
      </c>
      <c r="P147" s="1074"/>
      <c r="Q147" s="1096" t="str">
        <f>IF($P$9="X",'Calcul auto.'!BX86,IF($P$15="X",'Calcul auto.'!FP86,""))</f>
        <v/>
      </c>
      <c r="R147" s="1097"/>
      <c r="S147" s="1023" t="str">
        <f>IF($P$9="X",CONCATENATE('Calcul auto.'!CJ86,'Calcul auto.'!CK86,'Calcul auto.'!CL86,'Calcul auto.'!CM86,'Calcul auto.'!CN86,'Calcul auto.'!CO86),IF($P$15="X",CONCATENATE('Calcul auto.'!GB86,'Calcul auto.'!GC86,'Calcul auto.'!GD86,'Calcul auto.'!GE86,'Calcul auto.'!GF86,'Calcul auto.'!GG86),""))</f>
        <v/>
      </c>
      <c r="T147" s="1082"/>
      <c r="U147" s="1082"/>
      <c r="V147" s="1082"/>
      <c r="W147" s="1024"/>
      <c r="X147" s="178"/>
      <c r="Y147" s="1077"/>
      <c r="Z147" s="1077"/>
      <c r="AA147" s="1077"/>
      <c r="AB147" s="1077"/>
      <c r="AC147" s="1077"/>
      <c r="AD147" s="1077"/>
      <c r="AE147" s="1077"/>
      <c r="AF147" s="1077"/>
      <c r="AG147" s="1018"/>
      <c r="AH147" s="1077"/>
      <c r="AI147" s="34"/>
    </row>
    <row r="148" spans="1:35" ht="30" customHeight="1" thickBot="1" x14ac:dyDescent="0.25">
      <c r="A148" s="34"/>
      <c r="B148" s="1011" t="s">
        <v>426</v>
      </c>
      <c r="C148" s="1012"/>
      <c r="D148" s="1013"/>
      <c r="E148" s="1008">
        <v>55</v>
      </c>
      <c r="F148" s="1011" t="s">
        <v>656</v>
      </c>
      <c r="G148" s="1012"/>
      <c r="H148" s="1012"/>
      <c r="I148" s="1013"/>
      <c r="J148" s="1011" t="s">
        <v>657</v>
      </c>
      <c r="K148" s="1012"/>
      <c r="L148" s="1012"/>
      <c r="M148" s="1013"/>
      <c r="N148" s="162"/>
      <c r="O148" s="1103" t="str">
        <f t="shared" ref="O148" si="66">IF($P$9="X","Avant impact",IF($P$15="X","Avant action écologique",""))</f>
        <v/>
      </c>
      <c r="P148" s="1104"/>
      <c r="Q148" s="1083" t="str">
        <f>IF($P$9="X",'Calcul auto.'!L87,IF($P$15="X",'Calcul auto.'!DD87,""))</f>
        <v/>
      </c>
      <c r="R148" s="1084"/>
      <c r="S148" s="1019" t="str">
        <f>IF($P$9="X",CONCATENATE('Calcul auto.'!X87,'Calcul auto.'!Y87,'Calcul auto.'!Z87,'Calcul auto.'!AA87,'Calcul auto.'!AB87,'Calcul auto.'!AC87),IF($P$15="X",CONCATENATE('Calcul auto.'!DP87,'Calcul auto.'!DQ87,'Calcul auto.'!DR87,'Calcul auto.'!DS87,'Calcul auto.'!DT87,'Calcul auto.'!DU87),""))</f>
        <v/>
      </c>
      <c r="T148" s="1098"/>
      <c r="U148" s="1098"/>
      <c r="V148" s="1098"/>
      <c r="W148" s="1020"/>
      <c r="X148" s="162"/>
      <c r="Y148" s="1075"/>
      <c r="Z148" s="1075"/>
      <c r="AA148" s="1075"/>
      <c r="AB148" s="1075"/>
      <c r="AC148" s="1075"/>
      <c r="AD148" s="1075"/>
      <c r="AE148" s="1075"/>
      <c r="AF148" s="1075"/>
      <c r="AG148" s="993"/>
      <c r="AH148" s="1075"/>
      <c r="AI148" s="34"/>
    </row>
    <row r="149" spans="1:35" ht="30" customHeight="1" thickBot="1" x14ac:dyDescent="0.25">
      <c r="A149" s="34"/>
      <c r="B149" s="982"/>
      <c r="C149" s="924"/>
      <c r="D149" s="983"/>
      <c r="E149" s="1009"/>
      <c r="F149" s="982"/>
      <c r="G149" s="924"/>
      <c r="H149" s="924"/>
      <c r="I149" s="983"/>
      <c r="J149" s="982"/>
      <c r="K149" s="924"/>
      <c r="L149" s="924"/>
      <c r="M149" s="983"/>
      <c r="N149" s="134"/>
      <c r="O149" s="922" t="str">
        <f t="shared" ref="O149" si="67">IF($P$9="X","Avec impact envisagé",IF($P$15="X","Avec act. écol. envisagée",""))</f>
        <v/>
      </c>
      <c r="P149" s="1072"/>
      <c r="Q149" s="1078" t="str">
        <f>IF($P$9="X",'Calcul auto.'!AR87,IF($P$15="X",'Calcul auto.'!EJ87,""))</f>
        <v/>
      </c>
      <c r="R149" s="1079"/>
      <c r="S149" s="990" t="str">
        <f>IF($P$9="X",CONCATENATE('Calcul auto.'!BD87,'Calcul auto.'!BE87,'Calcul auto.'!BF87,'Calcul auto.'!BG87,'Calcul auto.'!BH87,'Calcul auto.'!BI87),IF($P$15="X",CONCATENATE('Calcul auto.'!EV87,'Calcul auto.'!EW87,'Calcul auto.'!EX87,'Calcul auto.'!EY87,'Calcul auto.'!EZ87,'Calcul auto.'!FA87),""))</f>
        <v/>
      </c>
      <c r="T149" s="991"/>
      <c r="U149" s="991"/>
      <c r="V149" s="991"/>
      <c r="W149" s="992"/>
      <c r="X149" s="134"/>
      <c r="Y149" s="1076"/>
      <c r="Z149" s="1076"/>
      <c r="AA149" s="1076"/>
      <c r="AB149" s="1076"/>
      <c r="AC149" s="1076"/>
      <c r="AD149" s="1076"/>
      <c r="AE149" s="1076"/>
      <c r="AF149" s="1076"/>
      <c r="AG149" s="994"/>
      <c r="AH149" s="1076"/>
      <c r="AI149" s="34"/>
    </row>
    <row r="150" spans="1:35" ht="30" customHeight="1" thickBot="1" x14ac:dyDescent="0.25">
      <c r="A150" s="34"/>
      <c r="B150" s="987"/>
      <c r="C150" s="988"/>
      <c r="D150" s="989"/>
      <c r="E150" s="1017"/>
      <c r="F150" s="987"/>
      <c r="G150" s="988"/>
      <c r="H150" s="988"/>
      <c r="I150" s="989"/>
      <c r="J150" s="987"/>
      <c r="K150" s="988"/>
      <c r="L150" s="988"/>
      <c r="M150" s="989"/>
      <c r="N150" s="53"/>
      <c r="O150" s="1105" t="str">
        <f t="shared" ref="O150" si="68">IF($P$9="X","Après impact",IF($P$15="X","Après action écologique",""))</f>
        <v/>
      </c>
      <c r="P150" s="1106"/>
      <c r="Q150" s="1100" t="str">
        <f>IF($P$9="X",'Calcul auto.'!BX87,IF($P$15="X",'Calcul auto.'!FP87,""))</f>
        <v/>
      </c>
      <c r="R150" s="1101"/>
      <c r="S150" s="1021" t="str">
        <f>IF($P$9="X",CONCATENATE('Calcul auto.'!CJ87,'Calcul auto.'!CK87,'Calcul auto.'!CL87,'Calcul auto.'!CM87,'Calcul auto.'!CN87,'Calcul auto.'!CO87),IF($P$15="X",CONCATENATE('Calcul auto.'!GB87,'Calcul auto.'!GC87,'Calcul auto.'!GD87,'Calcul auto.'!GE87,'Calcul auto.'!GF87,'Calcul auto.'!GG87),""))</f>
        <v/>
      </c>
      <c r="T150" s="1102"/>
      <c r="U150" s="1102"/>
      <c r="V150" s="1102"/>
      <c r="W150" s="1022"/>
      <c r="X150" s="53"/>
      <c r="Y150" s="1099"/>
      <c r="Z150" s="1099"/>
      <c r="AA150" s="1099"/>
      <c r="AB150" s="1099"/>
      <c r="AC150" s="1099"/>
      <c r="AD150" s="1099"/>
      <c r="AE150" s="1099"/>
      <c r="AF150" s="1099"/>
      <c r="AG150" s="995"/>
      <c r="AH150" s="1099"/>
      <c r="AI150" s="34"/>
    </row>
    <row r="151" spans="1:35" ht="12" customHeight="1"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12" customHeight="1"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12" customHeight="1"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12" customHeight="1"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12" customHeight="1" thickBot="1"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2"/>
      <c r="AI155" s="134"/>
    </row>
    <row r="156" spans="1:35" ht="12" customHeight="1" x14ac:dyDescent="0.2">
      <c r="A156" s="34"/>
      <c r="B156" s="868" t="s">
        <v>766</v>
      </c>
      <c r="C156" s="1088"/>
      <c r="D156" s="1088"/>
      <c r="E156" s="1088"/>
      <c r="F156" s="1088"/>
      <c r="G156" s="1088"/>
      <c r="H156" s="1088"/>
      <c r="I156" s="1088"/>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9"/>
      <c r="AI156" s="134"/>
    </row>
    <row r="157" spans="1:35" ht="12" customHeight="1" x14ac:dyDescent="0.2">
      <c r="A157" s="34"/>
      <c r="B157" s="1090"/>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c r="Z157" s="1091"/>
      <c r="AA157" s="1091"/>
      <c r="AB157" s="1091"/>
      <c r="AC157" s="1091"/>
      <c r="AD157" s="1091"/>
      <c r="AE157" s="1091"/>
      <c r="AF157" s="1091"/>
      <c r="AG157" s="1091"/>
      <c r="AH157" s="1092"/>
      <c r="AI157" s="134"/>
    </row>
    <row r="158" spans="1:35" ht="12" customHeight="1" x14ac:dyDescent="0.2">
      <c r="A158" s="34"/>
      <c r="B158" s="1090"/>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c r="Z158" s="1091"/>
      <c r="AA158" s="1091"/>
      <c r="AB158" s="1091"/>
      <c r="AC158" s="1091"/>
      <c r="AD158" s="1091"/>
      <c r="AE158" s="1091"/>
      <c r="AF158" s="1091"/>
      <c r="AG158" s="1091"/>
      <c r="AH158" s="1092"/>
      <c r="AI158" s="134"/>
    </row>
    <row r="159" spans="1:35" ht="12" customHeight="1" thickBot="1" x14ac:dyDescent="0.25">
      <c r="A159" s="34"/>
      <c r="B159" s="1093"/>
      <c r="C159" s="1094"/>
      <c r="D159" s="1094"/>
      <c r="E159" s="1094"/>
      <c r="F159" s="1094"/>
      <c r="G159" s="1094"/>
      <c r="H159" s="1094"/>
      <c r="I159" s="1094"/>
      <c r="J159" s="1094"/>
      <c r="K159" s="1094"/>
      <c r="L159" s="1094"/>
      <c r="M159" s="1094"/>
      <c r="N159" s="1094"/>
      <c r="O159" s="1094"/>
      <c r="P159" s="1094"/>
      <c r="Q159" s="1094"/>
      <c r="R159" s="1094"/>
      <c r="S159" s="1094"/>
      <c r="T159" s="1094"/>
      <c r="U159" s="1094"/>
      <c r="V159" s="1094"/>
      <c r="W159" s="1094"/>
      <c r="X159" s="1094"/>
      <c r="Y159" s="1094"/>
      <c r="Z159" s="1094"/>
      <c r="AA159" s="1094"/>
      <c r="AB159" s="1094"/>
      <c r="AC159" s="1094"/>
      <c r="AD159" s="1094"/>
      <c r="AE159" s="1094"/>
      <c r="AF159" s="1094"/>
      <c r="AG159" s="1094"/>
      <c r="AH159" s="1095"/>
      <c r="AI159" s="134"/>
    </row>
    <row r="160" spans="1:35" ht="12" customHeight="1" x14ac:dyDescent="0.2">
      <c r="A160" s="34"/>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34"/>
      <c r="AG160" s="34"/>
      <c r="AH160" s="32"/>
      <c r="AI160" s="134"/>
    </row>
    <row r="161" spans="1:35" ht="12" customHeight="1" x14ac:dyDescent="0.2">
      <c r="A161" s="34"/>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8"/>
      <c r="AB161" s="48"/>
      <c r="AC161" s="48"/>
      <c r="AD161" s="48"/>
      <c r="AE161" s="48"/>
      <c r="AF161" s="34"/>
      <c r="AG161" s="34"/>
      <c r="AH161" s="32"/>
      <c r="AI161" s="134"/>
    </row>
    <row r="162" spans="1:35" ht="12" customHeight="1" x14ac:dyDescent="0.2">
      <c r="A162" s="34"/>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8"/>
      <c r="AB162" s="48"/>
      <c r="AC162" s="48"/>
      <c r="AD162" s="48"/>
      <c r="AE162" s="48"/>
      <c r="AF162" s="34"/>
      <c r="AG162" s="34"/>
      <c r="AH162" s="32"/>
      <c r="AI162" s="134"/>
    </row>
    <row r="163" spans="1:35" ht="12" customHeight="1" x14ac:dyDescent="0.2">
      <c r="A163" s="34"/>
      <c r="B163" s="917" t="s">
        <v>599</v>
      </c>
      <c r="C163" s="917"/>
      <c r="D163" s="917"/>
      <c r="E163" s="917"/>
      <c r="F163" s="917"/>
      <c r="G163" s="917"/>
      <c r="H163" s="917"/>
      <c r="I163" s="917"/>
      <c r="J163" s="917"/>
      <c r="K163" s="917"/>
      <c r="L163" s="917"/>
      <c r="M163" s="917"/>
      <c r="N163" s="1059"/>
      <c r="O163" s="152"/>
      <c r="P163" s="1060"/>
      <c r="Q163" s="916" t="s">
        <v>663</v>
      </c>
      <c r="R163" s="916"/>
      <c r="S163" s="916"/>
      <c r="T163" s="916"/>
      <c r="U163" s="916"/>
      <c r="V163" s="916"/>
      <c r="W163" s="916"/>
      <c r="X163" s="916"/>
      <c r="Y163" s="916"/>
      <c r="Z163" s="916"/>
      <c r="AA163" s="916"/>
      <c r="AB163" s="916"/>
      <c r="AC163" s="916"/>
      <c r="AD163" s="916"/>
      <c r="AE163" s="916"/>
      <c r="AF163" s="916"/>
      <c r="AG163" s="916"/>
      <c r="AH163" s="916"/>
      <c r="AI163" s="134"/>
    </row>
    <row r="164" spans="1:35" ht="12" customHeight="1" x14ac:dyDescent="0.2">
      <c r="A164" s="34"/>
      <c r="B164" s="917"/>
      <c r="C164" s="917"/>
      <c r="D164" s="917"/>
      <c r="E164" s="917"/>
      <c r="F164" s="917"/>
      <c r="G164" s="917"/>
      <c r="H164" s="917"/>
      <c r="I164" s="917"/>
      <c r="J164" s="917"/>
      <c r="K164" s="917"/>
      <c r="L164" s="917"/>
      <c r="M164" s="917"/>
      <c r="N164" s="1059"/>
      <c r="O164" s="152"/>
      <c r="P164" s="1060"/>
      <c r="Q164" s="916"/>
      <c r="R164" s="916"/>
      <c r="S164" s="916"/>
      <c r="T164" s="916"/>
      <c r="U164" s="916"/>
      <c r="V164" s="916"/>
      <c r="W164" s="916"/>
      <c r="X164" s="916"/>
      <c r="Y164" s="916"/>
      <c r="Z164" s="916"/>
      <c r="AA164" s="916"/>
      <c r="AB164" s="916"/>
      <c r="AC164" s="916"/>
      <c r="AD164" s="916"/>
      <c r="AE164" s="916"/>
      <c r="AF164" s="916"/>
      <c r="AG164" s="916"/>
      <c r="AH164" s="916"/>
      <c r="AI164" s="134"/>
    </row>
    <row r="165" spans="1:35" ht="12" customHeight="1" x14ac:dyDescent="0.2">
      <c r="A165" s="34"/>
      <c r="B165" s="917"/>
      <c r="C165" s="917"/>
      <c r="D165" s="917"/>
      <c r="E165" s="917"/>
      <c r="F165" s="917"/>
      <c r="G165" s="917"/>
      <c r="H165" s="917"/>
      <c r="I165" s="917"/>
      <c r="J165" s="917"/>
      <c r="K165" s="917"/>
      <c r="L165" s="917"/>
      <c r="M165" s="917"/>
      <c r="N165" s="1059"/>
      <c r="O165" s="152"/>
      <c r="P165" s="1060"/>
      <c r="Q165" s="916"/>
      <c r="R165" s="916"/>
      <c r="S165" s="916"/>
      <c r="T165" s="916"/>
      <c r="U165" s="916"/>
      <c r="V165" s="916"/>
      <c r="W165" s="916"/>
      <c r="X165" s="916"/>
      <c r="Y165" s="916"/>
      <c r="Z165" s="916"/>
      <c r="AA165" s="916"/>
      <c r="AB165" s="916"/>
      <c r="AC165" s="916"/>
      <c r="AD165" s="916"/>
      <c r="AE165" s="916"/>
      <c r="AF165" s="916"/>
      <c r="AG165" s="916"/>
      <c r="AH165" s="916"/>
      <c r="AI165" s="134"/>
    </row>
    <row r="166" spans="1:35" ht="12" customHeight="1" x14ac:dyDescent="0.2">
      <c r="A166" s="34"/>
      <c r="B166" s="131"/>
      <c r="C166" s="131"/>
      <c r="D166" s="131"/>
      <c r="E166" s="131"/>
      <c r="F166" s="131"/>
      <c r="G166" s="131"/>
      <c r="H166" s="131"/>
      <c r="I166" s="131"/>
      <c r="J166" s="131"/>
      <c r="K166" s="131"/>
      <c r="L166" s="131"/>
      <c r="M166" s="131"/>
      <c r="N166" s="152"/>
      <c r="O166" s="152"/>
      <c r="P166" s="152"/>
      <c r="Q166" s="130"/>
      <c r="R166" s="130"/>
      <c r="S166" s="130"/>
      <c r="T166" s="130"/>
      <c r="U166" s="130"/>
      <c r="V166" s="130"/>
      <c r="W166" s="130"/>
      <c r="X166" s="130"/>
      <c r="Y166" s="130"/>
      <c r="Z166" s="130"/>
      <c r="AA166" s="130"/>
      <c r="AB166" s="130"/>
      <c r="AC166" s="130"/>
      <c r="AD166" s="130"/>
      <c r="AE166" s="130"/>
      <c r="AF166" s="130"/>
      <c r="AG166" s="130"/>
      <c r="AH166" s="130"/>
      <c r="AI166" s="134"/>
    </row>
    <row r="167" spans="1:35" ht="12" customHeight="1" x14ac:dyDescent="0.2">
      <c r="A167" s="34"/>
      <c r="B167" s="131"/>
      <c r="C167" s="131"/>
      <c r="D167" s="131"/>
      <c r="E167" s="131"/>
      <c r="F167" s="131"/>
      <c r="G167" s="131"/>
      <c r="H167" s="131"/>
      <c r="I167" s="131"/>
      <c r="J167" s="131"/>
      <c r="K167" s="131"/>
      <c r="L167" s="131"/>
      <c r="M167" s="131"/>
      <c r="N167" s="152"/>
      <c r="O167" s="152"/>
      <c r="P167" s="152"/>
      <c r="Q167" s="130" t="s">
        <v>658</v>
      </c>
      <c r="R167" s="130"/>
      <c r="S167" s="130"/>
      <c r="T167" s="130"/>
      <c r="U167" s="130"/>
      <c r="V167" s="130"/>
      <c r="W167" s="130"/>
      <c r="X167" s="130"/>
      <c r="Y167" s="130"/>
      <c r="Z167" s="130"/>
      <c r="AA167" s="130"/>
      <c r="AB167" s="130"/>
      <c r="AC167" s="130"/>
      <c r="AD167" s="130"/>
      <c r="AE167" s="130"/>
      <c r="AF167" s="130"/>
      <c r="AG167" s="130"/>
      <c r="AH167" s="130"/>
      <c r="AI167" s="134"/>
    </row>
    <row r="168" spans="1:35" ht="12" customHeight="1" x14ac:dyDescent="0.2">
      <c r="A168" s="34"/>
      <c r="B168" s="131"/>
      <c r="C168" s="131"/>
      <c r="D168" s="131"/>
      <c r="E168" s="131"/>
      <c r="F168" s="131"/>
      <c r="G168" s="131"/>
      <c r="H168" s="131"/>
      <c r="I168" s="131"/>
      <c r="J168" s="131"/>
      <c r="K168" s="131"/>
      <c r="L168" s="131"/>
      <c r="M168" s="131"/>
      <c r="N168" s="152"/>
      <c r="O168" s="152"/>
      <c r="P168" s="152"/>
      <c r="Q168" s="130"/>
      <c r="R168" s="130"/>
      <c r="S168" s="130"/>
      <c r="T168" s="130"/>
      <c r="U168" s="130"/>
      <c r="V168" s="130"/>
      <c r="W168" s="130"/>
      <c r="X168" s="130"/>
      <c r="Y168" s="130"/>
      <c r="Z168" s="130"/>
      <c r="AA168" s="130"/>
      <c r="AB168" s="130"/>
      <c r="AC168" s="130"/>
      <c r="AD168" s="130"/>
      <c r="AE168" s="130"/>
      <c r="AF168" s="130"/>
      <c r="AG168" s="130"/>
      <c r="AH168" s="130"/>
      <c r="AI168" s="134"/>
    </row>
    <row r="169" spans="1:35" ht="12" customHeight="1" x14ac:dyDescent="0.2">
      <c r="A169" s="34"/>
      <c r="B169" s="36"/>
      <c r="C169" s="36"/>
      <c r="D169" s="36"/>
      <c r="E169" s="36"/>
      <c r="F169" s="36"/>
      <c r="G169" s="36"/>
      <c r="H169" s="36"/>
      <c r="I169" s="36"/>
      <c r="J169" s="36"/>
      <c r="K169" s="34"/>
      <c r="L169" s="34"/>
      <c r="M169" s="34"/>
      <c r="N169" s="34"/>
      <c r="O169" s="34"/>
      <c r="P169" s="1060"/>
      <c r="Q169" s="916" t="s">
        <v>664</v>
      </c>
      <c r="R169" s="916"/>
      <c r="S169" s="916"/>
      <c r="T169" s="916"/>
      <c r="U169" s="916"/>
      <c r="V169" s="916"/>
      <c r="W169" s="916"/>
      <c r="X169" s="916"/>
      <c r="Y169" s="916"/>
      <c r="Z169" s="916"/>
      <c r="AA169" s="916"/>
      <c r="AB169" s="916"/>
      <c r="AC169" s="916"/>
      <c r="AD169" s="916"/>
      <c r="AE169" s="916"/>
      <c r="AF169" s="916"/>
      <c r="AG169" s="916"/>
      <c r="AH169" s="916"/>
      <c r="AI169" s="134"/>
    </row>
    <row r="170" spans="1:35" ht="12" customHeight="1" x14ac:dyDescent="0.2">
      <c r="A170" s="34"/>
      <c r="B170" s="36"/>
      <c r="C170" s="36"/>
      <c r="D170" s="36"/>
      <c r="E170" s="36"/>
      <c r="F170" s="36"/>
      <c r="G170" s="36"/>
      <c r="H170" s="36"/>
      <c r="I170" s="36"/>
      <c r="J170" s="36"/>
      <c r="K170" s="34"/>
      <c r="L170" s="34"/>
      <c r="M170" s="34"/>
      <c r="N170" s="34"/>
      <c r="O170" s="34"/>
      <c r="P170" s="1060"/>
      <c r="Q170" s="916"/>
      <c r="R170" s="916"/>
      <c r="S170" s="916"/>
      <c r="T170" s="916"/>
      <c r="U170" s="916"/>
      <c r="V170" s="916"/>
      <c r="W170" s="916"/>
      <c r="X170" s="916"/>
      <c r="Y170" s="916"/>
      <c r="Z170" s="916"/>
      <c r="AA170" s="916"/>
      <c r="AB170" s="916"/>
      <c r="AC170" s="916"/>
      <c r="AD170" s="916"/>
      <c r="AE170" s="916"/>
      <c r="AF170" s="916"/>
      <c r="AG170" s="916"/>
      <c r="AH170" s="916"/>
      <c r="AI170" s="134"/>
    </row>
    <row r="171" spans="1:35" ht="12" customHeight="1" x14ac:dyDescent="0.2">
      <c r="A171" s="34"/>
      <c r="B171" s="36"/>
      <c r="C171" s="36"/>
      <c r="D171" s="36"/>
      <c r="E171" s="36"/>
      <c r="F171" s="36"/>
      <c r="G171" s="36"/>
      <c r="H171" s="36"/>
      <c r="I171" s="36"/>
      <c r="J171" s="36"/>
      <c r="K171" s="34"/>
      <c r="L171" s="34"/>
      <c r="M171" s="140"/>
      <c r="N171" s="34"/>
      <c r="O171" s="34"/>
      <c r="P171" s="1060"/>
      <c r="Q171" s="916"/>
      <c r="R171" s="916"/>
      <c r="S171" s="916"/>
      <c r="T171" s="916"/>
      <c r="U171" s="916"/>
      <c r="V171" s="916"/>
      <c r="W171" s="916"/>
      <c r="X171" s="916"/>
      <c r="Y171" s="916"/>
      <c r="Z171" s="916"/>
      <c r="AA171" s="916"/>
      <c r="AB171" s="916"/>
      <c r="AC171" s="916"/>
      <c r="AD171" s="916"/>
      <c r="AE171" s="916"/>
      <c r="AF171" s="916"/>
      <c r="AG171" s="916"/>
      <c r="AH171" s="916"/>
      <c r="AI171" s="134"/>
    </row>
    <row r="172" spans="1:35" ht="12" customHeight="1" x14ac:dyDescent="0.2">
      <c r="A172" s="34"/>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8"/>
      <c r="AD172" s="48"/>
      <c r="AE172" s="48"/>
      <c r="AF172" s="34"/>
      <c r="AG172" s="34"/>
      <c r="AH172" s="32"/>
      <c r="AI172" s="134"/>
    </row>
    <row r="173" spans="1:35" ht="12" customHeight="1" x14ac:dyDescent="0.2">
      <c r="A173" s="34"/>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8"/>
      <c r="AD173" s="48"/>
      <c r="AE173" s="48"/>
      <c r="AF173" s="34"/>
      <c r="AG173" s="34"/>
      <c r="AH173" s="32"/>
      <c r="AI173" s="134"/>
    </row>
    <row r="174" spans="1:35" ht="12" customHeight="1" x14ac:dyDescent="0.2">
      <c r="A174" s="34"/>
      <c r="B174" s="47"/>
      <c r="C174" s="47"/>
      <c r="D174" s="47"/>
      <c r="E174" s="47"/>
      <c r="F174" s="47"/>
      <c r="G174" s="47"/>
      <c r="H174" s="47"/>
      <c r="I174" s="47"/>
      <c r="J174" s="47"/>
      <c r="K174" s="47"/>
      <c r="L174" s="34"/>
      <c r="M174" s="34"/>
      <c r="N174" s="34"/>
      <c r="O174" s="34"/>
      <c r="P174" s="34"/>
      <c r="Q174" s="34"/>
      <c r="R174" s="34"/>
      <c r="S174" s="34"/>
      <c r="T174" s="34"/>
      <c r="U174" s="34"/>
      <c r="V174" s="34"/>
      <c r="W174" s="34"/>
      <c r="X174" s="34"/>
      <c r="Y174" s="34"/>
      <c r="Z174" s="34"/>
      <c r="AA174" s="47"/>
      <c r="AB174" s="47"/>
      <c r="AC174" s="48"/>
      <c r="AD174" s="48"/>
      <c r="AE174" s="48"/>
      <c r="AF174" s="34"/>
      <c r="AG174" s="34"/>
      <c r="AH174" s="32"/>
      <c r="AI174" s="134"/>
    </row>
    <row r="175" spans="1:35" ht="12" customHeight="1" x14ac:dyDescent="0.2">
      <c r="A175" s="34"/>
      <c r="B175" s="1061" t="s">
        <v>665</v>
      </c>
      <c r="C175" s="1061"/>
      <c r="D175" s="1061"/>
      <c r="E175" s="1061"/>
      <c r="F175" s="1061"/>
      <c r="G175" s="1061"/>
      <c r="H175" s="1061"/>
      <c r="I175" s="1061"/>
      <c r="J175" s="1061"/>
      <c r="K175" s="1061"/>
      <c r="L175" s="1061"/>
      <c r="M175" s="1061"/>
      <c r="N175" s="1061"/>
      <c r="O175" s="1061"/>
      <c r="P175" s="1061"/>
      <c r="Q175" s="1061"/>
      <c r="R175" s="1061"/>
      <c r="S175" s="1061"/>
      <c r="T175" s="1061"/>
      <c r="U175" s="1061"/>
      <c r="V175" s="1061"/>
      <c r="W175" s="1061"/>
      <c r="X175" s="1061"/>
      <c r="Y175" s="1061"/>
      <c r="Z175" s="1061"/>
      <c r="AA175" s="1061"/>
      <c r="AB175" s="1061"/>
      <c r="AC175" s="1061"/>
      <c r="AD175" s="1061"/>
      <c r="AE175" s="34"/>
      <c r="AF175" s="34"/>
      <c r="AG175" s="34"/>
      <c r="AH175" s="34"/>
      <c r="AI175" s="34"/>
    </row>
    <row r="176" spans="1:35" ht="12" customHeight="1" x14ac:dyDescent="0.2">
      <c r="A176" s="34"/>
      <c r="B176" s="1061"/>
      <c r="C176" s="1061"/>
      <c r="D176" s="1061"/>
      <c r="E176" s="1061"/>
      <c r="F176" s="1061"/>
      <c r="G176" s="1061"/>
      <c r="H176" s="1061"/>
      <c r="I176" s="1061"/>
      <c r="J176" s="1061"/>
      <c r="K176" s="1061"/>
      <c r="L176" s="1061"/>
      <c r="M176" s="1061"/>
      <c r="N176" s="1061"/>
      <c r="O176" s="1061"/>
      <c r="P176" s="1061"/>
      <c r="Q176" s="1061"/>
      <c r="R176" s="1061"/>
      <c r="S176" s="1061"/>
      <c r="T176" s="1061"/>
      <c r="U176" s="1061"/>
      <c r="V176" s="1061"/>
      <c r="W176" s="1061"/>
      <c r="X176" s="1061"/>
      <c r="Y176" s="1061"/>
      <c r="Z176" s="1061"/>
      <c r="AA176" s="1061"/>
      <c r="AB176" s="1061"/>
      <c r="AC176" s="1061"/>
      <c r="AD176" s="1061"/>
      <c r="AE176" s="34"/>
      <c r="AF176" s="34"/>
      <c r="AG176" s="34"/>
      <c r="AH176" s="34"/>
      <c r="AI176" s="34"/>
    </row>
    <row r="177" spans="1:35" ht="12" customHeight="1" x14ac:dyDescent="0.2">
      <c r="A177" s="34"/>
      <c r="B177" s="1061"/>
      <c r="C177" s="1061"/>
      <c r="D177" s="1061"/>
      <c r="E177" s="1061"/>
      <c r="F177" s="1061"/>
      <c r="G177" s="1061"/>
      <c r="H177" s="1061"/>
      <c r="I177" s="1061"/>
      <c r="J177" s="1061"/>
      <c r="K177" s="1061"/>
      <c r="L177" s="1061"/>
      <c r="M177" s="1061"/>
      <c r="N177" s="1061"/>
      <c r="O177" s="1061"/>
      <c r="P177" s="1061"/>
      <c r="Q177" s="1061"/>
      <c r="R177" s="1061"/>
      <c r="S177" s="1061"/>
      <c r="T177" s="1061"/>
      <c r="U177" s="1061"/>
      <c r="V177" s="1061"/>
      <c r="W177" s="1061"/>
      <c r="X177" s="1061"/>
      <c r="Y177" s="1061"/>
      <c r="Z177" s="1061"/>
      <c r="AA177" s="1061"/>
      <c r="AB177" s="1061"/>
      <c r="AC177" s="1061"/>
      <c r="AD177" s="1061"/>
      <c r="AE177" s="34"/>
      <c r="AF177" s="34"/>
      <c r="AG177" s="34"/>
      <c r="AH177" s="34"/>
      <c r="AI177" s="34"/>
    </row>
    <row r="178" spans="1:35" ht="12" customHeight="1" x14ac:dyDescent="0.2">
      <c r="A178" s="34"/>
      <c r="B178" s="1061"/>
      <c r="C178" s="1061"/>
      <c r="D178" s="1061"/>
      <c r="E178" s="1061"/>
      <c r="F178" s="1061"/>
      <c r="G178" s="1061"/>
      <c r="H178" s="1061"/>
      <c r="I178" s="1061"/>
      <c r="J178" s="1061"/>
      <c r="K178" s="1061"/>
      <c r="L178" s="1061"/>
      <c r="M178" s="1061"/>
      <c r="N178" s="1061"/>
      <c r="O178" s="1061"/>
      <c r="P178" s="1061"/>
      <c r="Q178" s="1061"/>
      <c r="R178" s="1061"/>
      <c r="S178" s="1061"/>
      <c r="T178" s="1061"/>
      <c r="U178" s="1061"/>
      <c r="V178" s="1061"/>
      <c r="W178" s="1061"/>
      <c r="X178" s="1061"/>
      <c r="Y178" s="1061"/>
      <c r="Z178" s="1061"/>
      <c r="AA178" s="1061"/>
      <c r="AB178" s="1061"/>
      <c r="AC178" s="1061"/>
      <c r="AD178" s="1061"/>
      <c r="AE178" s="34"/>
      <c r="AF178" s="34"/>
      <c r="AG178" s="34"/>
      <c r="AH178" s="34"/>
      <c r="AI178" s="34"/>
    </row>
    <row r="179" spans="1:35" ht="12" customHeight="1" x14ac:dyDescent="0.2">
      <c r="A179" s="34"/>
      <c r="B179" s="1061"/>
      <c r="C179" s="1061"/>
      <c r="D179" s="1061"/>
      <c r="E179" s="1061"/>
      <c r="F179" s="1061"/>
      <c r="G179" s="1061"/>
      <c r="H179" s="1061"/>
      <c r="I179" s="1061"/>
      <c r="J179" s="1061"/>
      <c r="K179" s="1061"/>
      <c r="L179" s="1061"/>
      <c r="M179" s="1061"/>
      <c r="N179" s="1061"/>
      <c r="O179" s="1061"/>
      <c r="P179" s="1061"/>
      <c r="Q179" s="1061"/>
      <c r="R179" s="1061"/>
      <c r="S179" s="1061"/>
      <c r="T179" s="1061"/>
      <c r="U179" s="1061"/>
      <c r="V179" s="1061"/>
      <c r="W179" s="1061"/>
      <c r="X179" s="1061"/>
      <c r="Y179" s="1061"/>
      <c r="Z179" s="1061"/>
      <c r="AA179" s="1061"/>
      <c r="AB179" s="1061"/>
      <c r="AC179" s="1061"/>
      <c r="AD179" s="1061"/>
      <c r="AE179" s="34"/>
      <c r="AF179" s="34"/>
      <c r="AG179" s="34"/>
      <c r="AH179" s="34"/>
      <c r="AI179" s="34"/>
    </row>
    <row r="180" spans="1:35" ht="12" customHeight="1" x14ac:dyDescent="0.2">
      <c r="A180" s="34"/>
      <c r="B180" s="1061"/>
      <c r="C180" s="1061"/>
      <c r="D180" s="1061"/>
      <c r="E180" s="1061"/>
      <c r="F180" s="1061"/>
      <c r="G180" s="1061"/>
      <c r="H180" s="1061"/>
      <c r="I180" s="1061"/>
      <c r="J180" s="1061"/>
      <c r="K180" s="1061"/>
      <c r="L180" s="1061"/>
      <c r="M180" s="1061"/>
      <c r="N180" s="1061"/>
      <c r="O180" s="1061"/>
      <c r="P180" s="1061"/>
      <c r="Q180" s="1061"/>
      <c r="R180" s="1061"/>
      <c r="S180" s="1061"/>
      <c r="T180" s="1061"/>
      <c r="U180" s="1061"/>
      <c r="V180" s="1061"/>
      <c r="W180" s="1061"/>
      <c r="X180" s="1061"/>
      <c r="Y180" s="1061"/>
      <c r="Z180" s="1061"/>
      <c r="AA180" s="1061"/>
      <c r="AB180" s="1061"/>
      <c r="AC180" s="1061"/>
      <c r="AD180" s="1061"/>
      <c r="AE180" s="34"/>
      <c r="AF180" s="34"/>
      <c r="AG180" s="34"/>
      <c r="AH180" s="34"/>
      <c r="AI180" s="34"/>
    </row>
    <row r="181" spans="1:35" ht="12" customHeight="1" x14ac:dyDescent="0.2">
      <c r="A181" s="34"/>
      <c r="B181" s="1061"/>
      <c r="C181" s="1061"/>
      <c r="D181" s="1061"/>
      <c r="E181" s="1061"/>
      <c r="F181" s="1061"/>
      <c r="G181" s="1061"/>
      <c r="H181" s="1061"/>
      <c r="I181" s="1061"/>
      <c r="J181" s="1061"/>
      <c r="K181" s="1061"/>
      <c r="L181" s="1061"/>
      <c r="M181" s="1061"/>
      <c r="N181" s="1061"/>
      <c r="O181" s="1061"/>
      <c r="P181" s="1061"/>
      <c r="Q181" s="1061"/>
      <c r="R181" s="1061"/>
      <c r="S181" s="1061"/>
      <c r="T181" s="1061"/>
      <c r="U181" s="1061"/>
      <c r="V181" s="1061"/>
      <c r="W181" s="1061"/>
      <c r="X181" s="1061"/>
      <c r="Y181" s="1061"/>
      <c r="Z181" s="1061"/>
      <c r="AA181" s="1061"/>
      <c r="AB181" s="1061"/>
      <c r="AC181" s="1061"/>
      <c r="AD181" s="1061"/>
      <c r="AE181" s="34"/>
      <c r="AF181" s="34"/>
      <c r="AG181" s="34"/>
      <c r="AH181" s="34"/>
      <c r="AI181" s="34"/>
    </row>
    <row r="182" spans="1:35" ht="12" customHeight="1" x14ac:dyDescent="0.2">
      <c r="A182" s="34"/>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8"/>
      <c r="AD182" s="48"/>
      <c r="AE182" s="48"/>
      <c r="AF182" s="34"/>
      <c r="AG182" s="34"/>
      <c r="AH182" s="32"/>
      <c r="AI182" s="134"/>
    </row>
    <row r="183" spans="1:35" ht="12" customHeight="1" x14ac:dyDescent="0.2">
      <c r="A183" s="34"/>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8"/>
      <c r="AD183" s="48"/>
      <c r="AE183" s="48"/>
      <c r="AF183" s="34"/>
      <c r="AG183" s="34"/>
      <c r="AH183" s="32"/>
      <c r="AI183" s="134"/>
    </row>
    <row r="184" spans="1:35" ht="12" customHeight="1" thickBot="1" x14ac:dyDescent="0.25">
      <c r="A184" s="34"/>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50"/>
      <c r="AD184" s="50"/>
      <c r="AE184" s="50"/>
      <c r="AF184" s="53"/>
      <c r="AG184" s="34"/>
      <c r="AH184" s="32"/>
      <c r="AI184" s="134"/>
    </row>
    <row r="185" spans="1:35" ht="30" customHeight="1" thickBot="1" x14ac:dyDescent="0.25">
      <c r="A185" s="34"/>
      <c r="B185" s="1062" t="s">
        <v>593</v>
      </c>
      <c r="C185" s="1062"/>
      <c r="D185" s="1062"/>
      <c r="E185" s="1062"/>
      <c r="F185" s="1062"/>
      <c r="G185" s="1062"/>
      <c r="H185" s="1062"/>
      <c r="I185" s="1062"/>
      <c r="J185" s="1062"/>
      <c r="K185" s="1062"/>
      <c r="L185" s="1062"/>
      <c r="M185" s="1062"/>
      <c r="N185" s="1115"/>
      <c r="O185" s="1064" t="str">
        <f>IF($P$163="X","Mesures de l'indicateur dans l'environnement du site impacté",IF($P$169="X","Mesures de l'indicateur dans l'environnement du site de compensation",""))</f>
        <v/>
      </c>
      <c r="P185" s="1064"/>
      <c r="Q185" s="1064"/>
      <c r="R185" s="1064"/>
      <c r="S185" s="1064"/>
      <c r="T185" s="1064"/>
      <c r="U185" s="1064"/>
      <c r="V185" s="1064"/>
      <c r="W185" s="1064"/>
      <c r="X185" s="1115"/>
      <c r="Y185" s="981" t="s">
        <v>589</v>
      </c>
      <c r="Z185" s="981"/>
      <c r="AA185" s="981"/>
      <c r="AB185" s="981"/>
      <c r="AC185" s="981"/>
      <c r="AD185" s="981"/>
      <c r="AE185" s="981"/>
      <c r="AF185" s="981"/>
      <c r="AG185" s="981"/>
      <c r="AH185" s="981"/>
      <c r="AI185" s="34"/>
    </row>
    <row r="186" spans="1:35" ht="12" customHeight="1" x14ac:dyDescent="0.2">
      <c r="A186" s="34"/>
      <c r="B186" s="1063"/>
      <c r="C186" s="1063"/>
      <c r="D186" s="1063"/>
      <c r="E186" s="1063"/>
      <c r="F186" s="1063"/>
      <c r="G186" s="1063"/>
      <c r="H186" s="1063"/>
      <c r="I186" s="1063"/>
      <c r="J186" s="1063"/>
      <c r="K186" s="1063"/>
      <c r="L186" s="1063"/>
      <c r="M186" s="1063"/>
      <c r="N186" s="944"/>
      <c r="O186" s="1065"/>
      <c r="P186" s="1065"/>
      <c r="Q186" s="1065"/>
      <c r="R186" s="1065"/>
      <c r="S186" s="1065"/>
      <c r="T186" s="1065"/>
      <c r="U186" s="1065"/>
      <c r="V186" s="1065"/>
      <c r="W186" s="1065"/>
      <c r="X186" s="944"/>
      <c r="Y186" s="972" t="s">
        <v>156</v>
      </c>
      <c r="Z186" s="972" t="s">
        <v>157</v>
      </c>
      <c r="AA186" s="975" t="s">
        <v>158</v>
      </c>
      <c r="AB186" s="959" t="s">
        <v>159</v>
      </c>
      <c r="AC186" s="959" t="s">
        <v>160</v>
      </c>
      <c r="AD186" s="959" t="s">
        <v>163</v>
      </c>
      <c r="AE186" s="959" t="s">
        <v>164</v>
      </c>
      <c r="AF186" s="959" t="s">
        <v>165</v>
      </c>
      <c r="AG186" s="969" t="s">
        <v>167</v>
      </c>
      <c r="AH186" s="969" t="s">
        <v>168</v>
      </c>
      <c r="AI186" s="34"/>
    </row>
    <row r="187" spans="1:35" ht="12" customHeight="1" x14ac:dyDescent="0.2">
      <c r="A187" s="34"/>
      <c r="B187" s="1063"/>
      <c r="C187" s="1063"/>
      <c r="D187" s="1063"/>
      <c r="E187" s="1063"/>
      <c r="F187" s="1063"/>
      <c r="G187" s="1063"/>
      <c r="H187" s="1063"/>
      <c r="I187" s="1063"/>
      <c r="J187" s="1063"/>
      <c r="K187" s="1063"/>
      <c r="L187" s="1063"/>
      <c r="M187" s="1063"/>
      <c r="N187" s="944"/>
      <c r="O187" s="1065"/>
      <c r="P187" s="1065"/>
      <c r="Q187" s="1065"/>
      <c r="R187" s="1065"/>
      <c r="S187" s="1065"/>
      <c r="T187" s="1065"/>
      <c r="U187" s="1065"/>
      <c r="V187" s="1065"/>
      <c r="W187" s="1065"/>
      <c r="X187" s="944"/>
      <c r="Y187" s="973"/>
      <c r="Z187" s="973"/>
      <c r="AA187" s="976"/>
      <c r="AB187" s="960"/>
      <c r="AC187" s="960"/>
      <c r="AD187" s="960"/>
      <c r="AE187" s="960"/>
      <c r="AF187" s="960"/>
      <c r="AG187" s="970"/>
      <c r="AH187" s="970"/>
      <c r="AI187" s="34"/>
    </row>
    <row r="188" spans="1:35" ht="12" customHeight="1" x14ac:dyDescent="0.2">
      <c r="A188" s="34"/>
      <c r="B188" s="1063"/>
      <c r="C188" s="1063"/>
      <c r="D188" s="1063"/>
      <c r="E188" s="1063"/>
      <c r="F188" s="1063"/>
      <c r="G188" s="1063"/>
      <c r="H188" s="1063"/>
      <c r="I188" s="1063"/>
      <c r="J188" s="1063"/>
      <c r="K188" s="1063"/>
      <c r="L188" s="1063"/>
      <c r="M188" s="1063"/>
      <c r="N188" s="944"/>
      <c r="O188" s="1065"/>
      <c r="P188" s="1065"/>
      <c r="Q188" s="1065"/>
      <c r="R188" s="1065"/>
      <c r="S188" s="1065"/>
      <c r="T188" s="1065"/>
      <c r="U188" s="1065"/>
      <c r="V188" s="1065"/>
      <c r="W188" s="1065"/>
      <c r="X188" s="944"/>
      <c r="Y188" s="973"/>
      <c r="Z188" s="973"/>
      <c r="AA188" s="976"/>
      <c r="AB188" s="960"/>
      <c r="AC188" s="960"/>
      <c r="AD188" s="960"/>
      <c r="AE188" s="960"/>
      <c r="AF188" s="960"/>
      <c r="AG188" s="970"/>
      <c r="AH188" s="970"/>
      <c r="AI188" s="34"/>
    </row>
    <row r="189" spans="1:35" ht="12" customHeight="1" x14ac:dyDescent="0.2">
      <c r="A189" s="34"/>
      <c r="B189" s="1063"/>
      <c r="C189" s="1063"/>
      <c r="D189" s="1063"/>
      <c r="E189" s="1063"/>
      <c r="F189" s="1063"/>
      <c r="G189" s="1063"/>
      <c r="H189" s="1063"/>
      <c r="I189" s="1063"/>
      <c r="J189" s="1063"/>
      <c r="K189" s="1063"/>
      <c r="L189" s="1063"/>
      <c r="M189" s="1063"/>
      <c r="N189" s="944"/>
      <c r="O189" s="1065"/>
      <c r="P189" s="1065"/>
      <c r="Q189" s="1065"/>
      <c r="R189" s="1065"/>
      <c r="S189" s="1065"/>
      <c r="T189" s="1065"/>
      <c r="U189" s="1065"/>
      <c r="V189" s="1065"/>
      <c r="W189" s="1065"/>
      <c r="X189" s="944"/>
      <c r="Y189" s="973"/>
      <c r="Z189" s="973"/>
      <c r="AA189" s="976"/>
      <c r="AB189" s="960"/>
      <c r="AC189" s="960"/>
      <c r="AD189" s="960"/>
      <c r="AE189" s="960"/>
      <c r="AF189" s="960"/>
      <c r="AG189" s="970"/>
      <c r="AH189" s="970"/>
      <c r="AI189" s="34"/>
    </row>
    <row r="190" spans="1:35" ht="12" customHeight="1" x14ac:dyDescent="0.2">
      <c r="A190" s="34"/>
      <c r="B190" s="910" t="s">
        <v>0</v>
      </c>
      <c r="C190" s="910"/>
      <c r="D190" s="910"/>
      <c r="E190" s="1066" t="s">
        <v>591</v>
      </c>
      <c r="F190" s="910" t="s">
        <v>596</v>
      </c>
      <c r="G190" s="910"/>
      <c r="H190" s="910"/>
      <c r="I190" s="910"/>
      <c r="J190" s="910" t="s">
        <v>597</v>
      </c>
      <c r="K190" s="910"/>
      <c r="L190" s="910"/>
      <c r="M190" s="910"/>
      <c r="N190" s="944"/>
      <c r="O190" s="1068" t="s">
        <v>666</v>
      </c>
      <c r="P190" s="1068"/>
      <c r="Q190" s="1068"/>
      <c r="R190" s="1068"/>
      <c r="S190" s="1070" t="s">
        <v>590</v>
      </c>
      <c r="T190" s="1070"/>
      <c r="U190" s="1070"/>
      <c r="V190" s="1070"/>
      <c r="W190" s="1071"/>
      <c r="X190" s="944"/>
      <c r="Y190" s="973"/>
      <c r="Z190" s="973"/>
      <c r="AA190" s="976"/>
      <c r="AB190" s="960"/>
      <c r="AC190" s="960"/>
      <c r="AD190" s="960"/>
      <c r="AE190" s="960"/>
      <c r="AF190" s="960"/>
      <c r="AG190" s="970"/>
      <c r="AH190" s="970"/>
      <c r="AI190" s="34"/>
    </row>
    <row r="191" spans="1:35" ht="12" customHeight="1" x14ac:dyDescent="0.2">
      <c r="A191" s="34"/>
      <c r="B191" s="910"/>
      <c r="C191" s="910"/>
      <c r="D191" s="910"/>
      <c r="E191" s="1066"/>
      <c r="F191" s="910"/>
      <c r="G191" s="910"/>
      <c r="H191" s="910"/>
      <c r="I191" s="910"/>
      <c r="J191" s="910"/>
      <c r="K191" s="910"/>
      <c r="L191" s="910"/>
      <c r="M191" s="910"/>
      <c r="N191" s="944"/>
      <c r="O191" s="1068"/>
      <c r="P191" s="1068"/>
      <c r="Q191" s="1068"/>
      <c r="R191" s="1068"/>
      <c r="S191" s="1070"/>
      <c r="T191" s="1070"/>
      <c r="U191" s="1070"/>
      <c r="V191" s="1070"/>
      <c r="W191" s="1071"/>
      <c r="X191" s="944"/>
      <c r="Y191" s="973"/>
      <c r="Z191" s="973"/>
      <c r="AA191" s="976"/>
      <c r="AB191" s="960"/>
      <c r="AC191" s="960"/>
      <c r="AD191" s="960"/>
      <c r="AE191" s="960"/>
      <c r="AF191" s="960"/>
      <c r="AG191" s="970"/>
      <c r="AH191" s="970"/>
      <c r="AI191" s="34"/>
    </row>
    <row r="192" spans="1:35" ht="12" customHeight="1" x14ac:dyDescent="0.2">
      <c r="A192" s="34"/>
      <c r="B192" s="910"/>
      <c r="C192" s="910"/>
      <c r="D192" s="910"/>
      <c r="E192" s="1066"/>
      <c r="F192" s="910"/>
      <c r="G192" s="910"/>
      <c r="H192" s="910"/>
      <c r="I192" s="910"/>
      <c r="J192" s="910"/>
      <c r="K192" s="910"/>
      <c r="L192" s="910"/>
      <c r="M192" s="910"/>
      <c r="N192" s="944"/>
      <c r="O192" s="1068"/>
      <c r="P192" s="1068"/>
      <c r="Q192" s="1068"/>
      <c r="R192" s="1068"/>
      <c r="S192" s="1070"/>
      <c r="T192" s="1070"/>
      <c r="U192" s="1070"/>
      <c r="V192" s="1070"/>
      <c r="W192" s="1071"/>
      <c r="X192" s="944"/>
      <c r="Y192" s="973"/>
      <c r="Z192" s="973"/>
      <c r="AA192" s="976"/>
      <c r="AB192" s="960"/>
      <c r="AC192" s="960"/>
      <c r="AD192" s="960"/>
      <c r="AE192" s="960"/>
      <c r="AF192" s="960"/>
      <c r="AG192" s="970"/>
      <c r="AH192" s="970"/>
      <c r="AI192" s="34"/>
    </row>
    <row r="193" spans="1:35" ht="12" customHeight="1" x14ac:dyDescent="0.2">
      <c r="A193" s="34"/>
      <c r="B193" s="910"/>
      <c r="C193" s="910"/>
      <c r="D193" s="910"/>
      <c r="E193" s="1066"/>
      <c r="F193" s="910"/>
      <c r="G193" s="910"/>
      <c r="H193" s="910"/>
      <c r="I193" s="910"/>
      <c r="J193" s="910"/>
      <c r="K193" s="910"/>
      <c r="L193" s="910"/>
      <c r="M193" s="910"/>
      <c r="N193" s="944"/>
      <c r="O193" s="1068"/>
      <c r="P193" s="1068"/>
      <c r="Q193" s="1068"/>
      <c r="R193" s="1068"/>
      <c r="S193" s="1070"/>
      <c r="T193" s="1070"/>
      <c r="U193" s="1070"/>
      <c r="V193" s="1070"/>
      <c r="W193" s="1071"/>
      <c r="X193" s="944"/>
      <c r="Y193" s="973"/>
      <c r="Z193" s="973"/>
      <c r="AA193" s="976"/>
      <c r="AB193" s="960"/>
      <c r="AC193" s="960"/>
      <c r="AD193" s="960"/>
      <c r="AE193" s="960"/>
      <c r="AF193" s="960"/>
      <c r="AG193" s="970"/>
      <c r="AH193" s="970"/>
      <c r="AI193" s="34"/>
    </row>
    <row r="194" spans="1:35" ht="12" customHeight="1" x14ac:dyDescent="0.2">
      <c r="A194" s="34"/>
      <c r="B194" s="910"/>
      <c r="C194" s="910"/>
      <c r="D194" s="910"/>
      <c r="E194" s="1066"/>
      <c r="F194" s="910"/>
      <c r="G194" s="910"/>
      <c r="H194" s="910"/>
      <c r="I194" s="910"/>
      <c r="J194" s="910"/>
      <c r="K194" s="910"/>
      <c r="L194" s="910"/>
      <c r="M194" s="910"/>
      <c r="N194" s="944"/>
      <c r="O194" s="1068"/>
      <c r="P194" s="1068"/>
      <c r="Q194" s="1068"/>
      <c r="R194" s="1068"/>
      <c r="S194" s="1070"/>
      <c r="T194" s="1070"/>
      <c r="U194" s="1070"/>
      <c r="V194" s="1070"/>
      <c r="W194" s="1071"/>
      <c r="X194" s="944"/>
      <c r="Y194" s="973"/>
      <c r="Z194" s="973"/>
      <c r="AA194" s="976"/>
      <c r="AB194" s="960"/>
      <c r="AC194" s="960"/>
      <c r="AD194" s="960"/>
      <c r="AE194" s="960"/>
      <c r="AF194" s="960"/>
      <c r="AG194" s="970"/>
      <c r="AH194" s="970"/>
      <c r="AI194" s="34"/>
    </row>
    <row r="195" spans="1:35" ht="12" customHeight="1" x14ac:dyDescent="0.2">
      <c r="A195" s="34"/>
      <c r="B195" s="910"/>
      <c r="C195" s="910"/>
      <c r="D195" s="910"/>
      <c r="E195" s="1066"/>
      <c r="F195" s="910"/>
      <c r="G195" s="910"/>
      <c r="H195" s="910"/>
      <c r="I195" s="910"/>
      <c r="J195" s="910"/>
      <c r="K195" s="910"/>
      <c r="L195" s="910"/>
      <c r="M195" s="910"/>
      <c r="N195" s="944"/>
      <c r="O195" s="1068"/>
      <c r="P195" s="1068"/>
      <c r="Q195" s="1068"/>
      <c r="R195" s="1068"/>
      <c r="S195" s="1070"/>
      <c r="T195" s="1070"/>
      <c r="U195" s="1070"/>
      <c r="V195" s="1070"/>
      <c r="W195" s="1071"/>
      <c r="X195" s="944"/>
      <c r="Y195" s="973"/>
      <c r="Z195" s="973"/>
      <c r="AA195" s="976"/>
      <c r="AB195" s="960"/>
      <c r="AC195" s="960"/>
      <c r="AD195" s="960"/>
      <c r="AE195" s="960"/>
      <c r="AF195" s="960"/>
      <c r="AG195" s="970"/>
      <c r="AH195" s="970"/>
      <c r="AI195" s="34"/>
    </row>
    <row r="196" spans="1:35" ht="12" customHeight="1" x14ac:dyDescent="0.2">
      <c r="A196" s="34"/>
      <c r="B196" s="910"/>
      <c r="C196" s="910"/>
      <c r="D196" s="910"/>
      <c r="E196" s="1066"/>
      <c r="F196" s="910"/>
      <c r="G196" s="910"/>
      <c r="H196" s="910"/>
      <c r="I196" s="910"/>
      <c r="J196" s="910"/>
      <c r="K196" s="910"/>
      <c r="L196" s="910"/>
      <c r="M196" s="910"/>
      <c r="N196" s="944"/>
      <c r="O196" s="1068"/>
      <c r="P196" s="1068"/>
      <c r="Q196" s="1068"/>
      <c r="R196" s="1068"/>
      <c r="S196" s="1070"/>
      <c r="T196" s="1070"/>
      <c r="U196" s="1070"/>
      <c r="V196" s="1070"/>
      <c r="W196" s="1071"/>
      <c r="X196" s="944"/>
      <c r="Y196" s="973"/>
      <c r="Z196" s="973"/>
      <c r="AA196" s="976"/>
      <c r="AB196" s="960"/>
      <c r="AC196" s="960"/>
      <c r="AD196" s="960"/>
      <c r="AE196" s="960"/>
      <c r="AF196" s="960"/>
      <c r="AG196" s="970"/>
      <c r="AH196" s="970"/>
      <c r="AI196" s="34"/>
    </row>
    <row r="197" spans="1:35" ht="12" customHeight="1" x14ac:dyDescent="0.2">
      <c r="A197" s="34"/>
      <c r="B197" s="910"/>
      <c r="C197" s="910"/>
      <c r="D197" s="910"/>
      <c r="E197" s="1066"/>
      <c r="F197" s="910"/>
      <c r="G197" s="910"/>
      <c r="H197" s="910"/>
      <c r="I197" s="910"/>
      <c r="J197" s="910"/>
      <c r="K197" s="910"/>
      <c r="L197" s="910"/>
      <c r="M197" s="910"/>
      <c r="N197" s="944"/>
      <c r="O197" s="1068"/>
      <c r="P197" s="1068"/>
      <c r="Q197" s="1068"/>
      <c r="R197" s="1068"/>
      <c r="S197" s="1070"/>
      <c r="T197" s="1070"/>
      <c r="U197" s="1070"/>
      <c r="V197" s="1070"/>
      <c r="W197" s="1071"/>
      <c r="X197" s="944"/>
      <c r="Y197" s="973"/>
      <c r="Z197" s="973"/>
      <c r="AA197" s="976"/>
      <c r="AB197" s="960"/>
      <c r="AC197" s="960"/>
      <c r="AD197" s="960"/>
      <c r="AE197" s="960"/>
      <c r="AF197" s="960"/>
      <c r="AG197" s="970"/>
      <c r="AH197" s="970"/>
      <c r="AI197" s="34"/>
    </row>
    <row r="198" spans="1:35" ht="12" customHeight="1" x14ac:dyDescent="0.2">
      <c r="A198" s="34"/>
      <c r="B198" s="910"/>
      <c r="C198" s="910"/>
      <c r="D198" s="910"/>
      <c r="E198" s="1066"/>
      <c r="F198" s="910"/>
      <c r="G198" s="910"/>
      <c r="H198" s="910"/>
      <c r="I198" s="910"/>
      <c r="J198" s="910"/>
      <c r="K198" s="910"/>
      <c r="L198" s="910"/>
      <c r="M198" s="910"/>
      <c r="N198" s="944"/>
      <c r="O198" s="1068"/>
      <c r="P198" s="1068"/>
      <c r="Q198" s="1068"/>
      <c r="R198" s="1068"/>
      <c r="S198" s="1070"/>
      <c r="T198" s="1070"/>
      <c r="U198" s="1070"/>
      <c r="V198" s="1070"/>
      <c r="W198" s="1071"/>
      <c r="X198" s="944"/>
      <c r="Y198" s="973"/>
      <c r="Z198" s="973"/>
      <c r="AA198" s="976"/>
      <c r="AB198" s="960"/>
      <c r="AC198" s="960"/>
      <c r="AD198" s="960"/>
      <c r="AE198" s="960"/>
      <c r="AF198" s="960"/>
      <c r="AG198" s="970"/>
      <c r="AH198" s="970"/>
      <c r="AI198" s="34"/>
    </row>
    <row r="199" spans="1:35" ht="12" customHeight="1" x14ac:dyDescent="0.2">
      <c r="A199" s="34"/>
      <c r="B199" s="910"/>
      <c r="C199" s="910"/>
      <c r="D199" s="910"/>
      <c r="E199" s="1066"/>
      <c r="F199" s="910"/>
      <c r="G199" s="910"/>
      <c r="H199" s="910"/>
      <c r="I199" s="910"/>
      <c r="J199" s="910"/>
      <c r="K199" s="910"/>
      <c r="L199" s="910"/>
      <c r="M199" s="910"/>
      <c r="N199" s="944"/>
      <c r="O199" s="1068"/>
      <c r="P199" s="1068"/>
      <c r="Q199" s="1068"/>
      <c r="R199" s="1068"/>
      <c r="S199" s="1070"/>
      <c r="T199" s="1070"/>
      <c r="U199" s="1070"/>
      <c r="V199" s="1070"/>
      <c r="W199" s="1071"/>
      <c r="X199" s="944"/>
      <c r="Y199" s="973"/>
      <c r="Z199" s="973"/>
      <c r="AA199" s="976"/>
      <c r="AB199" s="960"/>
      <c r="AC199" s="960"/>
      <c r="AD199" s="960"/>
      <c r="AE199" s="960"/>
      <c r="AF199" s="960"/>
      <c r="AG199" s="970"/>
      <c r="AH199" s="970"/>
      <c r="AI199" s="34"/>
    </row>
    <row r="200" spans="1:35" ht="12" customHeight="1" thickBot="1" x14ac:dyDescent="0.25">
      <c r="A200" s="34"/>
      <c r="B200" s="910"/>
      <c r="C200" s="910"/>
      <c r="D200" s="910"/>
      <c r="E200" s="1067"/>
      <c r="F200" s="910"/>
      <c r="G200" s="910"/>
      <c r="H200" s="910"/>
      <c r="I200" s="910"/>
      <c r="J200" s="910"/>
      <c r="K200" s="910"/>
      <c r="L200" s="910"/>
      <c r="M200" s="910"/>
      <c r="N200" s="1116"/>
      <c r="O200" s="1069"/>
      <c r="P200" s="1069"/>
      <c r="Q200" s="1069"/>
      <c r="R200" s="1069"/>
      <c r="S200" s="1070"/>
      <c r="T200" s="1070"/>
      <c r="U200" s="1070"/>
      <c r="V200" s="1070"/>
      <c r="W200" s="1071"/>
      <c r="X200" s="1116"/>
      <c r="Y200" s="973"/>
      <c r="Z200" s="973"/>
      <c r="AA200" s="976"/>
      <c r="AB200" s="960"/>
      <c r="AC200" s="960"/>
      <c r="AD200" s="960"/>
      <c r="AE200" s="960"/>
      <c r="AF200" s="960"/>
      <c r="AG200" s="970"/>
      <c r="AH200" s="970"/>
      <c r="AI200" s="34"/>
    </row>
    <row r="201" spans="1:35" ht="30" customHeight="1" thickBot="1" x14ac:dyDescent="0.25">
      <c r="A201" s="34"/>
      <c r="B201" s="67"/>
      <c r="C201" s="67"/>
      <c r="D201" s="67"/>
      <c r="E201" s="67"/>
      <c r="F201" s="153"/>
      <c r="G201" s="67"/>
      <c r="H201" s="67"/>
      <c r="I201" s="67"/>
      <c r="J201" s="68"/>
      <c r="K201" s="68"/>
      <c r="L201" s="68"/>
      <c r="M201" s="68"/>
      <c r="N201" s="68"/>
      <c r="O201" s="68"/>
      <c r="P201" s="68"/>
      <c r="Q201" s="68"/>
      <c r="R201" s="68"/>
      <c r="S201" s="68"/>
      <c r="T201" s="68"/>
      <c r="U201" s="68"/>
      <c r="V201" s="153"/>
      <c r="W201" s="68"/>
      <c r="X201" s="68"/>
      <c r="Y201" s="965" t="s">
        <v>594</v>
      </c>
      <c r="Z201" s="965"/>
      <c r="AA201" s="965"/>
      <c r="AB201" s="965"/>
      <c r="AC201" s="965"/>
      <c r="AD201" s="965"/>
      <c r="AE201" s="965"/>
      <c r="AF201" s="965"/>
      <c r="AG201" s="965"/>
      <c r="AH201" s="965"/>
      <c r="AI201" s="34"/>
    </row>
    <row r="202" spans="1:35" ht="30" customHeight="1" x14ac:dyDescent="0.2">
      <c r="A202" s="34"/>
      <c r="B202" s="154" t="s">
        <v>667</v>
      </c>
      <c r="C202" s="154"/>
      <c r="D202" s="154"/>
      <c r="E202" s="154"/>
      <c r="F202" s="155"/>
      <c r="G202" s="154"/>
      <c r="H202" s="154"/>
      <c r="I202" s="154"/>
      <c r="J202" s="154"/>
      <c r="K202" s="156"/>
      <c r="L202" s="156"/>
      <c r="M202" s="156"/>
      <c r="N202" s="156"/>
      <c r="O202" s="156"/>
      <c r="P202" s="156"/>
      <c r="Q202" s="156"/>
      <c r="R202" s="156"/>
      <c r="S202" s="156"/>
      <c r="T202" s="156"/>
      <c r="U202" s="156"/>
      <c r="V202" s="156"/>
      <c r="W202" s="154"/>
      <c r="X202" s="156"/>
      <c r="Y202" s="154"/>
      <c r="Z202" s="154"/>
      <c r="AA202" s="56"/>
      <c r="AB202" s="56"/>
      <c r="AC202" s="56"/>
      <c r="AD202" s="56"/>
      <c r="AE202" s="56"/>
      <c r="AF202" s="56"/>
      <c r="AG202" s="154"/>
      <c r="AH202" s="156"/>
      <c r="AI202" s="34"/>
    </row>
    <row r="203" spans="1:35" ht="30" customHeight="1" thickBot="1" x14ac:dyDescent="0.25">
      <c r="A203" s="34"/>
      <c r="B203" s="982" t="s">
        <v>45</v>
      </c>
      <c r="C203" s="924"/>
      <c r="D203" s="983"/>
      <c r="E203" s="1009">
        <v>13</v>
      </c>
      <c r="F203" s="1011" t="s">
        <v>676</v>
      </c>
      <c r="G203" s="1012"/>
      <c r="H203" s="1012"/>
      <c r="I203" s="1013"/>
      <c r="J203" s="1011" t="s">
        <v>679</v>
      </c>
      <c r="K203" s="1012"/>
      <c r="L203" s="1012"/>
      <c r="M203" s="1013"/>
      <c r="N203" s="157"/>
      <c r="O203" s="1042" t="str">
        <f t="shared" ref="O203" si="69">IF($P$163="X","Avant impact",IF($P$169="X","Avant action écologique",""))</f>
        <v/>
      </c>
      <c r="P203" s="1043"/>
      <c r="Q203" s="1029" t="str">
        <f>IF($P$163="X",'Calcul auto.'!F41,IF($P$169="X",'Calcul auto.'!CX41,""))</f>
        <v/>
      </c>
      <c r="R203" s="1030"/>
      <c r="S203" s="1049" t="str">
        <f>IF($P$163="X",CONCATENATE('Calcul auto.'!X41,'Calcul auto.'!Y41,'Calcul auto.'!Z41,'Calcul auto.'!AA41,'Calcul auto.'!AB41,'Calcul auto.'!AC41),IF($P$169="X",CONCATENATE('Calcul auto.'!DP41,'Calcul auto.'!DQ41,'Calcul auto.'!DR41,'Calcul auto.'!DS41,'Calcul auto.'!DT41,'Calcul auto.'!DU41),""))</f>
        <v/>
      </c>
      <c r="T203" s="1050"/>
      <c r="U203" s="1050"/>
      <c r="V203" s="1050"/>
      <c r="W203" s="1051"/>
      <c r="X203" s="157"/>
      <c r="Y203" s="157"/>
      <c r="Z203" s="157"/>
      <c r="AA203" s="1002"/>
      <c r="AB203" s="996"/>
      <c r="AC203" s="996"/>
      <c r="AD203" s="996"/>
      <c r="AE203" s="996"/>
      <c r="AF203" s="999"/>
      <c r="AG203" s="157"/>
      <c r="AH203" s="157"/>
      <c r="AI203" s="34"/>
    </row>
    <row r="204" spans="1:35" ht="30" customHeight="1" thickBot="1" x14ac:dyDescent="0.25">
      <c r="A204" s="34"/>
      <c r="B204" s="982"/>
      <c r="C204" s="924"/>
      <c r="D204" s="983"/>
      <c r="E204" s="1009"/>
      <c r="F204" s="982"/>
      <c r="G204" s="924"/>
      <c r="H204" s="924"/>
      <c r="I204" s="983"/>
      <c r="J204" s="982"/>
      <c r="K204" s="924"/>
      <c r="L204" s="924"/>
      <c r="M204" s="983"/>
      <c r="N204" s="158"/>
      <c r="O204" s="990" t="str">
        <f t="shared" ref="O204" si="70">IF($P$163="X","Avec impact envisagé",IF($P$169="X","Avec act. écol. envisagée",""))</f>
        <v/>
      </c>
      <c r="P204" s="992"/>
      <c r="Q204" s="1025" t="str">
        <f>IF($P$163="X",'Calcul auto.'!AL41,IF($P$169="X",'Calcul auto.'!ED41,""))</f>
        <v/>
      </c>
      <c r="R204" s="1026"/>
      <c r="S204" s="1036" t="str">
        <f>IF($P$163="X",CONCATENATE('Calcul auto.'!BD41,'Calcul auto.'!BE41,'Calcul auto.'!BF41,'Calcul auto.'!BG41,'Calcul auto.'!BH41,'Calcul auto.'!BI41),IF($P$169="X",CONCATENATE('Calcul auto.'!EV41,'Calcul auto.'!EW41,'Calcul auto.'!EX41,'Calcul auto.'!EY41,'Calcul auto.'!EZ41,'Calcul auto.'!FA41),""))</f>
        <v/>
      </c>
      <c r="T204" s="1037"/>
      <c r="U204" s="1037"/>
      <c r="V204" s="1037"/>
      <c r="W204" s="1038"/>
      <c r="X204" s="158"/>
      <c r="Y204" s="158"/>
      <c r="Z204" s="158"/>
      <c r="AA204" s="1003"/>
      <c r="AB204" s="997"/>
      <c r="AC204" s="997"/>
      <c r="AD204" s="997"/>
      <c r="AE204" s="997"/>
      <c r="AF204" s="1000"/>
      <c r="AG204" s="158"/>
      <c r="AH204" s="158"/>
      <c r="AI204" s="34"/>
    </row>
    <row r="205" spans="1:35" ht="30" customHeight="1" x14ac:dyDescent="0.2">
      <c r="A205" s="34"/>
      <c r="B205" s="982"/>
      <c r="C205" s="924"/>
      <c r="D205" s="983"/>
      <c r="E205" s="1009"/>
      <c r="F205" s="1014"/>
      <c r="G205" s="1015"/>
      <c r="H205" s="1015"/>
      <c r="I205" s="1016"/>
      <c r="J205" s="1014"/>
      <c r="K205" s="1015"/>
      <c r="L205" s="1015"/>
      <c r="M205" s="1016"/>
      <c r="N205" s="34"/>
      <c r="O205" s="1044" t="str">
        <f t="shared" ref="O205" si="71">IF($P$163="X","Après impact",IF($P$169="X","Après action écologique",""))</f>
        <v/>
      </c>
      <c r="P205" s="1045"/>
      <c r="Q205" s="1031" t="str">
        <f>IF($P$163="X",'Calcul auto.'!BR41,IF($P$169="X",'Calcul auto.'!FJ41,""))</f>
        <v/>
      </c>
      <c r="R205" s="1032"/>
      <c r="S205" s="1052" t="str">
        <f>IF($P$163="X",CONCATENATE('Calcul auto.'!CJ41,'Calcul auto.'!CK41,'Calcul auto.'!CL41,'Calcul auto.'!CM41,'Calcul auto.'!CN41,'Calcul auto.'!CO41),IF($P$169="X",CONCATENATE('Calcul auto.'!GB41,'Calcul auto.'!GC41,'Calcul auto.'!GD41,'Calcul auto.'!GE41,'Calcul auto.'!GF41,'Calcul auto.'!GG41),""))</f>
        <v/>
      </c>
      <c r="T205" s="1053"/>
      <c r="U205" s="1053"/>
      <c r="V205" s="1053"/>
      <c r="W205" s="1054"/>
      <c r="X205" s="159"/>
      <c r="Y205" s="159"/>
      <c r="Z205" s="159"/>
      <c r="AA205" s="1004"/>
      <c r="AB205" s="1006"/>
      <c r="AC205" s="1006"/>
      <c r="AD205" s="1006"/>
      <c r="AE205" s="1006"/>
      <c r="AF205" s="1007"/>
      <c r="AG205" s="159"/>
      <c r="AH205" s="159"/>
      <c r="AI205" s="34"/>
    </row>
    <row r="206" spans="1:35" ht="30" customHeight="1" thickBot="1" x14ac:dyDescent="0.25">
      <c r="A206" s="34"/>
      <c r="B206" s="1011" t="s">
        <v>46</v>
      </c>
      <c r="C206" s="1012"/>
      <c r="D206" s="1013"/>
      <c r="E206" s="1008">
        <v>13</v>
      </c>
      <c r="F206" s="1011" t="s">
        <v>675</v>
      </c>
      <c r="G206" s="1012"/>
      <c r="H206" s="1012"/>
      <c r="I206" s="1013"/>
      <c r="J206" s="1011" t="s">
        <v>678</v>
      </c>
      <c r="K206" s="1012"/>
      <c r="L206" s="1012"/>
      <c r="M206" s="1013"/>
      <c r="N206" s="160"/>
      <c r="O206" s="1019" t="str">
        <f t="shared" ref="O206" si="72">IF($P$163="X","Avant impact",IF($P$169="X","Avant action écologique",""))</f>
        <v/>
      </c>
      <c r="P206" s="1020"/>
      <c r="Q206" s="1055" t="str">
        <f>IF($P$163="X",'Calcul auto.'!G42,IF($P$169="X",'Calcul auto.'!CY42,""))</f>
        <v/>
      </c>
      <c r="R206" s="1056"/>
      <c r="S206" s="1033" t="str">
        <f>IF($P$163="X",CONCATENATE('Calcul auto.'!X42,'Calcul auto.'!Y42,'Calcul auto.'!Z42,'Calcul auto.'!AA42,'Calcul auto.'!AB42,'Calcul auto.'!AC42),IF($P$169="X",CONCATENATE('Calcul auto.'!DP42,'Calcul auto.'!DQ42,'Calcul auto.'!DR42,'Calcul auto.'!DS42,'Calcul auto.'!DT42,'Calcul auto.'!DU42),""))</f>
        <v/>
      </c>
      <c r="T206" s="1034"/>
      <c r="U206" s="1034"/>
      <c r="V206" s="1034"/>
      <c r="W206" s="1035"/>
      <c r="X206" s="160"/>
      <c r="Y206" s="160"/>
      <c r="Z206" s="160"/>
      <c r="AA206" s="160"/>
      <c r="AB206" s="996"/>
      <c r="AC206" s="996"/>
      <c r="AD206" s="996"/>
      <c r="AE206" s="996"/>
      <c r="AF206" s="999"/>
      <c r="AG206" s="160"/>
      <c r="AH206" s="160"/>
      <c r="AI206" s="34"/>
    </row>
    <row r="207" spans="1:35" ht="30" customHeight="1" thickBot="1" x14ac:dyDescent="0.25">
      <c r="A207" s="34"/>
      <c r="B207" s="982"/>
      <c r="C207" s="924"/>
      <c r="D207" s="983"/>
      <c r="E207" s="1009"/>
      <c r="F207" s="982"/>
      <c r="G207" s="924"/>
      <c r="H207" s="924"/>
      <c r="I207" s="983"/>
      <c r="J207" s="982"/>
      <c r="K207" s="924"/>
      <c r="L207" s="924"/>
      <c r="M207" s="983"/>
      <c r="N207" s="158"/>
      <c r="O207" s="990" t="str">
        <f t="shared" ref="O207" si="73">IF($P$163="X","Avec impact envisagé",IF($P$169="X","Avec act. écol. envisagée",""))</f>
        <v/>
      </c>
      <c r="P207" s="992"/>
      <c r="Q207" s="1025" t="str">
        <f>IF($P$163="X",'Calcul auto.'!AM42,IF($P$169="X",'Calcul auto.'!EE42,""))</f>
        <v/>
      </c>
      <c r="R207" s="1026"/>
      <c r="S207" s="1036" t="str">
        <f>IF($P$163="X",CONCATENATE('Calcul auto.'!BD42,'Calcul auto.'!BE42,'Calcul auto.'!BF42,'Calcul auto.'!BG42,'Calcul auto.'!BH42,'Calcul auto.'!BI42),IF($P$169="X",CONCATENATE('Calcul auto.'!EV42,'Calcul auto.'!EW42,'Calcul auto.'!EX42,'Calcul auto.'!EY42,'Calcul auto.'!EZ42,'Calcul auto.'!FA42),""))</f>
        <v/>
      </c>
      <c r="T207" s="1037"/>
      <c r="U207" s="1037"/>
      <c r="V207" s="1037"/>
      <c r="W207" s="1038"/>
      <c r="X207" s="158"/>
      <c r="Y207" s="158"/>
      <c r="Z207" s="158"/>
      <c r="AA207" s="158"/>
      <c r="AB207" s="997"/>
      <c r="AC207" s="997"/>
      <c r="AD207" s="997"/>
      <c r="AE207" s="997"/>
      <c r="AF207" s="1000"/>
      <c r="AG207" s="158"/>
      <c r="AH207" s="158"/>
      <c r="AI207" s="34"/>
    </row>
    <row r="208" spans="1:35" ht="30" customHeight="1" x14ac:dyDescent="0.2">
      <c r="A208" s="34"/>
      <c r="B208" s="1014"/>
      <c r="C208" s="1015"/>
      <c r="D208" s="1016"/>
      <c r="E208" s="1010"/>
      <c r="F208" s="1014"/>
      <c r="G208" s="1015"/>
      <c r="H208" s="1015"/>
      <c r="I208" s="1016"/>
      <c r="J208" s="1014"/>
      <c r="K208" s="1015"/>
      <c r="L208" s="1015"/>
      <c r="M208" s="1016"/>
      <c r="N208" s="161"/>
      <c r="O208" s="1023" t="str">
        <f t="shared" ref="O208" si="74">IF($P$163="X","Après impact",IF($P$169="X","Après action écologique",""))</f>
        <v/>
      </c>
      <c r="P208" s="1024"/>
      <c r="Q208" s="1027" t="str">
        <f>IF($P$163="X",'Calcul auto.'!BS42,IF($P$169="X",'Calcul auto.'!FK42,""))</f>
        <v/>
      </c>
      <c r="R208" s="1028"/>
      <c r="S208" s="1039" t="str">
        <f>IF($P$163="X",CONCATENATE('Calcul auto.'!CJ42,'Calcul auto.'!CK42,'Calcul auto.'!CL42,'Calcul auto.'!CM42,'Calcul auto.'!CN42,'Calcul auto.'!CO42),IF($P$169="X",CONCATENATE('Calcul auto.'!GB42,'Calcul auto.'!GC42,'Calcul auto.'!GD42,'Calcul auto.'!GE42,'Calcul auto.'!GF42,'Calcul auto.'!GG42),""))</f>
        <v/>
      </c>
      <c r="T208" s="1040"/>
      <c r="U208" s="1040"/>
      <c r="V208" s="1040"/>
      <c r="W208" s="1041"/>
      <c r="X208" s="161"/>
      <c r="Y208" s="161"/>
      <c r="Z208" s="161"/>
      <c r="AA208" s="161"/>
      <c r="AB208" s="1006"/>
      <c r="AC208" s="1006"/>
      <c r="AD208" s="1006"/>
      <c r="AE208" s="1006"/>
      <c r="AF208" s="1007"/>
      <c r="AG208" s="161"/>
      <c r="AH208" s="161"/>
      <c r="AI208" s="34"/>
    </row>
    <row r="209" spans="1:35" ht="30" customHeight="1" thickBot="1" x14ac:dyDescent="0.25">
      <c r="A209" s="34"/>
      <c r="B209" s="1011" t="s">
        <v>47</v>
      </c>
      <c r="C209" s="1012"/>
      <c r="D209" s="1013"/>
      <c r="E209" s="1008">
        <v>15</v>
      </c>
      <c r="F209" s="982" t="s">
        <v>674</v>
      </c>
      <c r="G209" s="924"/>
      <c r="H209" s="924"/>
      <c r="I209" s="983"/>
      <c r="J209" s="982" t="s">
        <v>677</v>
      </c>
      <c r="K209" s="924"/>
      <c r="L209" s="924"/>
      <c r="M209" s="983"/>
      <c r="N209" s="162"/>
      <c r="O209" s="1019" t="str">
        <f t="shared" ref="O209" si="75">IF($P$163="X","Avant impact",IF($P$169="X","Avant action écologique",""))</f>
        <v/>
      </c>
      <c r="P209" s="1020"/>
      <c r="Q209" s="1055" t="str">
        <f>IF($P$163="X",'Calcul auto.'!F43,IF($P$169="X",'Calcul auto.'!CX43,""))</f>
        <v/>
      </c>
      <c r="R209" s="1056"/>
      <c r="S209" s="1033" t="str">
        <f>IF($P$163="X",CONCATENATE('Calcul auto.'!X43,'Calcul auto.'!Y43,'Calcul auto.'!Z43,'Calcul auto.'!AA43,'Calcul auto.'!AB43,'Calcul auto.'!AC43),IF($P$169="X",CONCATENATE('Calcul auto.'!DP43,'Calcul auto.'!DQ43,'Calcul auto.'!DR43,'Calcul auto.'!DS43,'Calcul auto.'!DT43,'Calcul auto.'!DU43),""))</f>
        <v/>
      </c>
      <c r="T209" s="1034"/>
      <c r="U209" s="1034"/>
      <c r="V209" s="1034"/>
      <c r="W209" s="1035"/>
      <c r="X209" s="160"/>
      <c r="Y209" s="160"/>
      <c r="Z209" s="160"/>
      <c r="AA209" s="1002"/>
      <c r="AB209" s="996"/>
      <c r="AC209" s="996"/>
      <c r="AD209" s="996"/>
      <c r="AE209" s="996"/>
      <c r="AF209" s="999"/>
      <c r="AG209" s="160"/>
      <c r="AH209" s="160"/>
      <c r="AI209" s="34"/>
    </row>
    <row r="210" spans="1:35" ht="30" customHeight="1" thickBot="1" x14ac:dyDescent="0.25">
      <c r="A210" s="34"/>
      <c r="B210" s="982"/>
      <c r="C210" s="924"/>
      <c r="D210" s="983"/>
      <c r="E210" s="1009"/>
      <c r="F210" s="982"/>
      <c r="G210" s="924"/>
      <c r="H210" s="924"/>
      <c r="I210" s="983"/>
      <c r="J210" s="982"/>
      <c r="K210" s="924"/>
      <c r="L210" s="924"/>
      <c r="M210" s="983"/>
      <c r="N210" s="158"/>
      <c r="O210" s="990" t="str">
        <f t="shared" ref="O210" si="76">IF($P$163="X","Avec impact envisagé",IF($P$169="X","Avec act. écol. envisagée",""))</f>
        <v/>
      </c>
      <c r="P210" s="992"/>
      <c r="Q210" s="1025" t="str">
        <f>IF($P$163="X",'Calcul auto.'!AL43,IF($P$169="X",'Calcul auto.'!ED43,""))</f>
        <v/>
      </c>
      <c r="R210" s="1026"/>
      <c r="S210" s="1036" t="str">
        <f>IF($P$163="X",CONCATENATE('Calcul auto.'!BD43,'Calcul auto.'!BE43,'Calcul auto.'!BF43,'Calcul auto.'!BG43,'Calcul auto.'!BH43,'Calcul auto.'!BI43),IF($P$169="X",CONCATENATE('Calcul auto.'!EV43,'Calcul auto.'!EW43,'Calcul auto.'!EX43,'Calcul auto.'!EY43,'Calcul auto.'!EZ43,'Calcul auto.'!FA43),""))</f>
        <v/>
      </c>
      <c r="T210" s="1037"/>
      <c r="U210" s="1037"/>
      <c r="V210" s="1037"/>
      <c r="W210" s="1038"/>
      <c r="X210" s="158"/>
      <c r="Y210" s="158"/>
      <c r="Z210" s="158"/>
      <c r="AA210" s="1003"/>
      <c r="AB210" s="997"/>
      <c r="AC210" s="997"/>
      <c r="AD210" s="997"/>
      <c r="AE210" s="997"/>
      <c r="AF210" s="1000"/>
      <c r="AG210" s="158"/>
      <c r="AH210" s="158"/>
      <c r="AI210" s="34"/>
    </row>
    <row r="211" spans="1:35" ht="30" customHeight="1" x14ac:dyDescent="0.2">
      <c r="A211" s="34"/>
      <c r="B211" s="1014"/>
      <c r="C211" s="1015"/>
      <c r="D211" s="1016"/>
      <c r="E211" s="1010"/>
      <c r="F211" s="982"/>
      <c r="G211" s="924"/>
      <c r="H211" s="924"/>
      <c r="I211" s="983"/>
      <c r="J211" s="982"/>
      <c r="K211" s="924"/>
      <c r="L211" s="924"/>
      <c r="M211" s="983"/>
      <c r="N211" s="161"/>
      <c r="O211" s="1023" t="str">
        <f t="shared" ref="O211" si="77">IF($P$163="X","Après impact",IF($P$169="X","Après action écologique",""))</f>
        <v/>
      </c>
      <c r="P211" s="1024"/>
      <c r="Q211" s="1027" t="str">
        <f>IF($P$163="X",'Calcul auto.'!BR43,IF($P$169="X",'Calcul auto.'!FJ43,""))</f>
        <v/>
      </c>
      <c r="R211" s="1028"/>
      <c r="S211" s="1039" t="str">
        <f>IF($P$163="X",CONCATENATE('Calcul auto.'!CJ43,'Calcul auto.'!CK43,'Calcul auto.'!CL43,'Calcul auto.'!CM43,'Calcul auto.'!CN43,'Calcul auto.'!CO43),IF($P$169="X",CONCATENATE('Calcul auto.'!GB43,'Calcul auto.'!GC43,'Calcul auto.'!GD43,'Calcul auto.'!GE43,'Calcul auto.'!GF43,'Calcul auto.'!GG43),""))</f>
        <v/>
      </c>
      <c r="T211" s="1040"/>
      <c r="U211" s="1040"/>
      <c r="V211" s="1040"/>
      <c r="W211" s="1041"/>
      <c r="X211" s="161"/>
      <c r="Y211" s="161"/>
      <c r="Z211" s="161"/>
      <c r="AA211" s="1004"/>
      <c r="AB211" s="1006"/>
      <c r="AC211" s="1006"/>
      <c r="AD211" s="1006"/>
      <c r="AE211" s="1006"/>
      <c r="AF211" s="1007"/>
      <c r="AG211" s="161"/>
      <c r="AH211" s="161"/>
      <c r="AI211" s="34"/>
    </row>
    <row r="212" spans="1:35" ht="30" customHeight="1" thickBot="1" x14ac:dyDescent="0.25">
      <c r="A212" s="34"/>
      <c r="B212" s="1011" t="s">
        <v>48</v>
      </c>
      <c r="C212" s="1012"/>
      <c r="D212" s="1013"/>
      <c r="E212" s="1008">
        <v>16</v>
      </c>
      <c r="F212" s="1011" t="s">
        <v>680</v>
      </c>
      <c r="G212" s="1012"/>
      <c r="H212" s="1012"/>
      <c r="I212" s="1013"/>
      <c r="J212" s="1011" t="s">
        <v>681</v>
      </c>
      <c r="K212" s="1012"/>
      <c r="L212" s="1012"/>
      <c r="M212" s="1013"/>
      <c r="N212" s="160"/>
      <c r="O212" s="1019" t="str">
        <f>IF($P$163="X","Avant impact",IF($P$169="X","Avant action écologique",""))</f>
        <v/>
      </c>
      <c r="P212" s="1020"/>
      <c r="Q212" s="1055" t="str">
        <f>IF($P$163="X",'Calcul auto.'!F44,IF($P$169="X",'Calcul auto.'!CX44,""))</f>
        <v/>
      </c>
      <c r="R212" s="1056"/>
      <c r="S212" s="1033" t="str">
        <f>IF($P$163="X",CONCATENATE('Calcul auto.'!X44,'Calcul auto.'!Y44,'Calcul auto.'!Z44,'Calcul auto.'!AA44,'Calcul auto.'!AB44,'Calcul auto.'!AC44),IF($P$169="X",CONCATENATE('Calcul auto.'!DP44,'Calcul auto.'!DQ44,'Calcul auto.'!DR44,'Calcul auto.'!DS44,'Calcul auto.'!DT44,'Calcul auto.'!DU44),""))</f>
        <v/>
      </c>
      <c r="T212" s="1034"/>
      <c r="U212" s="1034"/>
      <c r="V212" s="1034"/>
      <c r="W212" s="1035"/>
      <c r="X212" s="160"/>
      <c r="Y212" s="160"/>
      <c r="Z212" s="160"/>
      <c r="AA212" s="1002"/>
      <c r="AB212" s="160"/>
      <c r="AC212" s="160"/>
      <c r="AD212" s="160"/>
      <c r="AE212" s="160"/>
      <c r="AF212" s="160"/>
      <c r="AG212" s="160"/>
      <c r="AH212" s="160"/>
      <c r="AI212" s="34"/>
    </row>
    <row r="213" spans="1:35" ht="30" customHeight="1" thickBot="1" x14ac:dyDescent="0.25">
      <c r="A213" s="34"/>
      <c r="B213" s="982"/>
      <c r="C213" s="924"/>
      <c r="D213" s="983"/>
      <c r="E213" s="1009"/>
      <c r="F213" s="982"/>
      <c r="G213" s="924"/>
      <c r="H213" s="924"/>
      <c r="I213" s="983"/>
      <c r="J213" s="982"/>
      <c r="K213" s="924"/>
      <c r="L213" s="924"/>
      <c r="M213" s="983"/>
      <c r="N213" s="158"/>
      <c r="O213" s="990" t="str">
        <f>IF($P$163="X","Avec impact envisagé",IF($P$169="X","Avec act. écol. envisagée",""))</f>
        <v/>
      </c>
      <c r="P213" s="992"/>
      <c r="Q213" s="1025" t="str">
        <f>IF($P$163="X",'Calcul auto.'!AL44,IF($P$169="X",'Calcul auto.'!ED44,""))</f>
        <v/>
      </c>
      <c r="R213" s="1026"/>
      <c r="S213" s="1036" t="str">
        <f>IF($P$163="X",CONCATENATE('Calcul auto.'!BD44,'Calcul auto.'!BE44,'Calcul auto.'!BF44,'Calcul auto.'!BG44,'Calcul auto.'!BH44,'Calcul auto.'!BI44),IF($P$169="X",CONCATENATE('Calcul auto.'!EV44,'Calcul auto.'!EW44,'Calcul auto.'!EX44,'Calcul auto.'!EY44,'Calcul auto.'!EZ44,'Calcul auto.'!FA44),""))</f>
        <v/>
      </c>
      <c r="T213" s="1037"/>
      <c r="U213" s="1037"/>
      <c r="V213" s="1037"/>
      <c r="W213" s="1038"/>
      <c r="X213" s="158"/>
      <c r="Y213" s="158"/>
      <c r="Z213" s="158"/>
      <c r="AA213" s="1003"/>
      <c r="AB213" s="158"/>
      <c r="AC213" s="158"/>
      <c r="AD213" s="158"/>
      <c r="AE213" s="158"/>
      <c r="AF213" s="158"/>
      <c r="AG213" s="158"/>
      <c r="AH213" s="158"/>
      <c r="AI213" s="34"/>
    </row>
    <row r="214" spans="1:35" ht="30" customHeight="1" thickBot="1" x14ac:dyDescent="0.25">
      <c r="A214" s="34"/>
      <c r="B214" s="987"/>
      <c r="C214" s="988"/>
      <c r="D214" s="989"/>
      <c r="E214" s="1017"/>
      <c r="F214" s="987"/>
      <c r="G214" s="988"/>
      <c r="H214" s="988"/>
      <c r="I214" s="989"/>
      <c r="J214" s="987"/>
      <c r="K214" s="988"/>
      <c r="L214" s="988"/>
      <c r="M214" s="989"/>
      <c r="N214" s="163"/>
      <c r="O214" s="1021" t="str">
        <f>IF($P$163="X","Après impact",IF($P$169="X","Après action écologique",""))</f>
        <v/>
      </c>
      <c r="P214" s="1022"/>
      <c r="Q214" s="1057" t="str">
        <f>IF($P$163="X",'Calcul auto.'!BR44,IF($P$169="X",'Calcul auto.'!FJ44,""))</f>
        <v/>
      </c>
      <c r="R214" s="1058"/>
      <c r="S214" s="1046" t="str">
        <f>IF($P$163="X",CONCATENATE('Calcul auto.'!CJ44,'Calcul auto.'!CK44,'Calcul auto.'!CL44,'Calcul auto.'!CM44,'Calcul auto.'!CN44,'Calcul auto.'!CO44),IF($P$169="X",CONCATENATE('Calcul auto.'!GB44,'Calcul auto.'!GC44,'Calcul auto.'!GD44,'Calcul auto.'!GE44,'Calcul auto.'!GF44,'Calcul auto.'!GG44),""))</f>
        <v/>
      </c>
      <c r="T214" s="1047"/>
      <c r="U214" s="1047"/>
      <c r="V214" s="1047"/>
      <c r="W214" s="1048"/>
      <c r="X214" s="163"/>
      <c r="Y214" s="163"/>
      <c r="Z214" s="163"/>
      <c r="AA214" s="1005"/>
      <c r="AB214" s="163"/>
      <c r="AC214" s="163"/>
      <c r="AD214" s="163"/>
      <c r="AE214" s="163"/>
      <c r="AF214" s="163"/>
      <c r="AG214" s="163"/>
      <c r="AH214" s="163"/>
      <c r="AI214" s="34"/>
    </row>
    <row r="215" spans="1:35" ht="30" customHeight="1" thickBot="1" x14ac:dyDescent="0.25">
      <c r="A215" s="34"/>
      <c r="B215" s="164"/>
      <c r="C215" s="53"/>
      <c r="D215" s="53"/>
      <c r="E215" s="53"/>
      <c r="F215" s="53"/>
      <c r="G215" s="53"/>
      <c r="H215" s="53"/>
      <c r="I215" s="53"/>
      <c r="J215" s="53"/>
      <c r="K215" s="53"/>
      <c r="L215" s="53"/>
      <c r="M215" s="53"/>
      <c r="N215" s="53"/>
      <c r="O215" s="53"/>
      <c r="P215" s="53"/>
      <c r="Q215" s="165"/>
      <c r="R215" s="165"/>
      <c r="S215" s="105"/>
      <c r="T215" s="105"/>
      <c r="U215" s="105"/>
      <c r="V215" s="105"/>
      <c r="W215" s="105"/>
      <c r="X215" s="53"/>
      <c r="Y215" s="53"/>
      <c r="Z215" s="53"/>
      <c r="AA215" s="53"/>
      <c r="AB215" s="53"/>
      <c r="AC215" s="53"/>
      <c r="AD215" s="53"/>
      <c r="AE215" s="53"/>
      <c r="AF215" s="53"/>
      <c r="AG215" s="53"/>
      <c r="AH215" s="53"/>
      <c r="AI215" s="34"/>
    </row>
    <row r="216" spans="1:35" ht="30" customHeight="1" x14ac:dyDescent="0.2">
      <c r="A216" s="34"/>
      <c r="B216" s="51" t="s">
        <v>668</v>
      </c>
      <c r="C216" s="34"/>
      <c r="D216" s="34"/>
      <c r="E216" s="34"/>
      <c r="F216" s="34"/>
      <c r="G216" s="34"/>
      <c r="H216" s="34"/>
      <c r="I216" s="34"/>
      <c r="J216" s="34"/>
      <c r="K216" s="34"/>
      <c r="L216" s="34"/>
      <c r="M216" s="34"/>
      <c r="N216" s="34"/>
      <c r="O216" s="34"/>
      <c r="P216" s="34"/>
      <c r="Q216" s="166"/>
      <c r="R216" s="166"/>
      <c r="S216" s="167"/>
      <c r="T216" s="167"/>
      <c r="U216" s="167"/>
      <c r="V216" s="167"/>
      <c r="W216" s="167"/>
      <c r="X216" s="34"/>
      <c r="Y216" s="34"/>
      <c r="Z216" s="34"/>
      <c r="AA216" s="34"/>
      <c r="AB216" s="34"/>
      <c r="AC216" s="34"/>
      <c r="AD216" s="34"/>
      <c r="AE216" s="34"/>
      <c r="AF216" s="34"/>
      <c r="AG216" s="34"/>
      <c r="AH216" s="34"/>
      <c r="AI216" s="34"/>
    </row>
    <row r="217" spans="1:35" ht="30" customHeight="1" thickBot="1" x14ac:dyDescent="0.25">
      <c r="A217" s="34"/>
      <c r="B217" s="1011" t="s">
        <v>125</v>
      </c>
      <c r="C217" s="1012"/>
      <c r="D217" s="1013"/>
      <c r="E217" s="1008">
        <v>19</v>
      </c>
      <c r="F217" s="1011" t="s">
        <v>682</v>
      </c>
      <c r="G217" s="1012"/>
      <c r="H217" s="1012"/>
      <c r="I217" s="1013"/>
      <c r="J217" s="1011" t="s">
        <v>683</v>
      </c>
      <c r="K217" s="1012"/>
      <c r="L217" s="1012"/>
      <c r="M217" s="1013"/>
      <c r="N217" s="160"/>
      <c r="O217" s="1019" t="str">
        <f t="shared" ref="O217" si="78">IF($P$163="X","Avant impact",IF($P$169="X","Avant action écologique",""))</f>
        <v/>
      </c>
      <c r="P217" s="1020"/>
      <c r="Q217" s="1055" t="str">
        <f>IF($P$163="X",'Calcul auto.'!F45,IF($P$169="X",'Calcul auto.'!CX45,""))</f>
        <v/>
      </c>
      <c r="R217" s="1056"/>
      <c r="S217" s="1033" t="str">
        <f>IF($P$163="X",CONCATENATE('Calcul auto.'!X45,'Calcul auto.'!Y45,'Calcul auto.'!Z45,'Calcul auto.'!AA45,'Calcul auto.'!AB45,'Calcul auto.'!AC45),IF($P$169="X",CONCATENATE('Calcul auto.'!DP45,'Calcul auto.'!DQ45,'Calcul auto.'!DR45,'Calcul auto.'!DS45,'Calcul auto.'!DT45,'Calcul auto.'!DU45),""))</f>
        <v/>
      </c>
      <c r="T217" s="1034"/>
      <c r="U217" s="1034"/>
      <c r="V217" s="1034"/>
      <c r="W217" s="1035"/>
      <c r="X217" s="160"/>
      <c r="Y217" s="160"/>
      <c r="Z217" s="160"/>
      <c r="AA217" s="1002"/>
      <c r="AB217" s="996"/>
      <c r="AC217" s="996"/>
      <c r="AD217" s="996"/>
      <c r="AE217" s="996"/>
      <c r="AF217" s="999"/>
      <c r="AG217" s="160"/>
      <c r="AH217" s="160"/>
      <c r="AI217" s="34"/>
    </row>
    <row r="218" spans="1:35" ht="30" customHeight="1" thickBot="1" x14ac:dyDescent="0.25">
      <c r="A218" s="34"/>
      <c r="B218" s="982"/>
      <c r="C218" s="924"/>
      <c r="D218" s="983"/>
      <c r="E218" s="1009"/>
      <c r="F218" s="982"/>
      <c r="G218" s="924"/>
      <c r="H218" s="924"/>
      <c r="I218" s="983"/>
      <c r="J218" s="982"/>
      <c r="K218" s="924"/>
      <c r="L218" s="924"/>
      <c r="M218" s="983"/>
      <c r="N218" s="158"/>
      <c r="O218" s="990" t="str">
        <f t="shared" ref="O218" si="79">IF($P$163="X","Avec impact envisagé",IF($P$169="X","Avec act. écol. envisagée",""))</f>
        <v/>
      </c>
      <c r="P218" s="992"/>
      <c r="Q218" s="1025" t="str">
        <f>IF($P$163="X",'Calcul auto.'!AL45,IF($P$169="X",'Calcul auto.'!ED45,""))</f>
        <v/>
      </c>
      <c r="R218" s="1026"/>
      <c r="S218" s="1036" t="str">
        <f>IF($P$163="X",CONCATENATE('Calcul auto.'!BD45,'Calcul auto.'!BE45,'Calcul auto.'!BF45,'Calcul auto.'!BG45,'Calcul auto.'!BH45,'Calcul auto.'!BI45),IF($P$169="X",CONCATENATE('Calcul auto.'!EV45,'Calcul auto.'!EW45,'Calcul auto.'!EX45,'Calcul auto.'!EY45,'Calcul auto.'!EZ45,'Calcul auto.'!FA45),""))</f>
        <v/>
      </c>
      <c r="T218" s="1037"/>
      <c r="U218" s="1037"/>
      <c r="V218" s="1037"/>
      <c r="W218" s="1038"/>
      <c r="X218" s="158"/>
      <c r="Y218" s="158"/>
      <c r="Z218" s="158"/>
      <c r="AA218" s="1003"/>
      <c r="AB218" s="997"/>
      <c r="AC218" s="997"/>
      <c r="AD218" s="997"/>
      <c r="AE218" s="997"/>
      <c r="AF218" s="1000"/>
      <c r="AG218" s="158"/>
      <c r="AH218" s="158"/>
      <c r="AI218" s="34"/>
    </row>
    <row r="219" spans="1:35" ht="30" customHeight="1" thickBot="1" x14ac:dyDescent="0.25">
      <c r="A219" s="34"/>
      <c r="B219" s="987"/>
      <c r="C219" s="988"/>
      <c r="D219" s="989"/>
      <c r="E219" s="1017"/>
      <c r="F219" s="987"/>
      <c r="G219" s="988"/>
      <c r="H219" s="988"/>
      <c r="I219" s="989"/>
      <c r="J219" s="987"/>
      <c r="K219" s="988"/>
      <c r="L219" s="988"/>
      <c r="M219" s="989"/>
      <c r="N219" s="163"/>
      <c r="O219" s="1021" t="str">
        <f t="shared" ref="O219" si="80">IF($P$163="X","Après impact",IF($P$169="X","Après action écologique",""))</f>
        <v/>
      </c>
      <c r="P219" s="1022"/>
      <c r="Q219" s="1057" t="str">
        <f>IF($P$163="X",'Calcul auto.'!BR45,IF($P$169="X",'Calcul auto.'!FJ45,""))</f>
        <v/>
      </c>
      <c r="R219" s="1058"/>
      <c r="S219" s="1046" t="str">
        <f>IF($P$163="X",CONCATENATE('Calcul auto.'!CJ45,'Calcul auto.'!CK45,'Calcul auto.'!CL45,'Calcul auto.'!CM45,'Calcul auto.'!CN45,'Calcul auto.'!CO45),IF($P$169="X",CONCATENATE('Calcul auto.'!GB45,'Calcul auto.'!GC45,'Calcul auto.'!GD45,'Calcul auto.'!GE45,'Calcul auto.'!GF45,'Calcul auto.'!GG45),""))</f>
        <v/>
      </c>
      <c r="T219" s="1047"/>
      <c r="U219" s="1047"/>
      <c r="V219" s="1047"/>
      <c r="W219" s="1048"/>
      <c r="X219" s="163"/>
      <c r="Y219" s="163"/>
      <c r="Z219" s="163"/>
      <c r="AA219" s="1005"/>
      <c r="AB219" s="998"/>
      <c r="AC219" s="998"/>
      <c r="AD219" s="998"/>
      <c r="AE219" s="998"/>
      <c r="AF219" s="1001"/>
      <c r="AG219" s="163"/>
      <c r="AH219" s="163"/>
      <c r="AI219" s="34"/>
    </row>
    <row r="220" spans="1:35" ht="30" customHeight="1" thickBot="1" x14ac:dyDescent="0.3">
      <c r="A220" s="34"/>
      <c r="B220" s="135"/>
      <c r="C220" s="136"/>
      <c r="D220" s="138"/>
      <c r="E220" s="168"/>
      <c r="F220" s="169"/>
      <c r="G220" s="169"/>
      <c r="H220" s="169"/>
      <c r="I220" s="169"/>
      <c r="J220" s="169"/>
      <c r="K220" s="53"/>
      <c r="L220" s="53"/>
      <c r="M220" s="53"/>
      <c r="N220" s="53"/>
      <c r="O220" s="105"/>
      <c r="P220" s="170"/>
      <c r="Q220" s="171"/>
      <c r="R220" s="171"/>
      <c r="S220" s="172"/>
      <c r="T220" s="172"/>
      <c r="U220" s="172"/>
      <c r="V220" s="172"/>
      <c r="W220" s="172"/>
      <c r="X220" s="53"/>
      <c r="Y220" s="53"/>
      <c r="Z220" s="53"/>
      <c r="AA220" s="53"/>
      <c r="AB220" s="53"/>
      <c r="AC220" s="53"/>
      <c r="AD220" s="53"/>
      <c r="AE220" s="53"/>
      <c r="AF220" s="53"/>
      <c r="AG220" s="53"/>
      <c r="AH220" s="53"/>
      <c r="AI220" s="34"/>
    </row>
    <row r="221" spans="1:35" ht="30" customHeight="1" x14ac:dyDescent="0.25">
      <c r="A221" s="34"/>
      <c r="B221" s="51" t="s">
        <v>505</v>
      </c>
      <c r="C221" s="133"/>
      <c r="D221" s="137"/>
      <c r="E221" s="173"/>
      <c r="F221" s="174"/>
      <c r="G221" s="174"/>
      <c r="H221" s="174"/>
      <c r="I221" s="174"/>
      <c r="J221" s="174"/>
      <c r="K221" s="34"/>
      <c r="L221" s="34"/>
      <c r="M221" s="34"/>
      <c r="N221" s="34"/>
      <c r="O221" s="132"/>
      <c r="P221" s="175"/>
      <c r="Q221" s="176"/>
      <c r="R221" s="176"/>
      <c r="S221" s="177"/>
      <c r="T221" s="177"/>
      <c r="U221" s="177"/>
      <c r="V221" s="177"/>
      <c r="W221" s="177"/>
      <c r="X221" s="34"/>
      <c r="Y221" s="34"/>
      <c r="Z221" s="34"/>
      <c r="AA221" s="34"/>
      <c r="AB221" s="34"/>
      <c r="AC221" s="34"/>
      <c r="AD221" s="34"/>
      <c r="AE221" s="34"/>
      <c r="AF221" s="34"/>
      <c r="AG221" s="34"/>
      <c r="AH221" s="34"/>
      <c r="AI221" s="34"/>
    </row>
    <row r="222" spans="1:35" ht="30" customHeight="1" thickBot="1" x14ac:dyDescent="0.25">
      <c r="A222" s="34"/>
      <c r="B222" s="1011" t="s">
        <v>127</v>
      </c>
      <c r="C222" s="1012"/>
      <c r="D222" s="1013"/>
      <c r="E222" s="1008">
        <v>43</v>
      </c>
      <c r="F222" s="1011" t="s">
        <v>684</v>
      </c>
      <c r="G222" s="1012"/>
      <c r="H222" s="1012"/>
      <c r="I222" s="1013"/>
      <c r="J222" s="1011" t="s">
        <v>685</v>
      </c>
      <c r="K222" s="1012"/>
      <c r="L222" s="1012"/>
      <c r="M222" s="1013"/>
      <c r="N222" s="160"/>
      <c r="O222" s="1019" t="str">
        <f t="shared" ref="O222" si="81">IF($P$163="X","Avant impact",IF($P$169="X","Avant action écologique",""))</f>
        <v/>
      </c>
      <c r="P222" s="1020"/>
      <c r="Q222" s="1055" t="str">
        <f>IF($P$163="X",'Calcul auto.'!F46,IF($P$169="X",'Calcul auto.'!CX46,""))</f>
        <v/>
      </c>
      <c r="R222" s="1056"/>
      <c r="S222" s="1033" t="str">
        <f>IF($P$163="X",CONCATENATE('Calcul auto.'!X46,'Calcul auto.'!Y46,'Calcul auto.'!Z46,'Calcul auto.'!AA46,'Calcul auto.'!AB46,'Calcul auto.'!AC46),IF($P$169="X",CONCATENATE('Calcul auto.'!DP46,'Calcul auto.'!DQ46,'Calcul auto.'!DR46,'Calcul auto.'!DS46,'Calcul auto.'!DT46,'Calcul auto.'!DU46),""))</f>
        <v/>
      </c>
      <c r="T222" s="1034"/>
      <c r="U222" s="1034"/>
      <c r="V222" s="1034"/>
      <c r="W222" s="1035"/>
      <c r="X222" s="160"/>
      <c r="Y222" s="1002"/>
      <c r="Z222" s="160"/>
      <c r="AA222" s="508"/>
      <c r="AB222" s="160"/>
      <c r="AC222" s="160"/>
      <c r="AD222" s="160"/>
      <c r="AE222" s="160"/>
      <c r="AF222" s="160"/>
      <c r="AG222" s="160"/>
      <c r="AH222" s="160"/>
      <c r="AI222" s="34"/>
    </row>
    <row r="223" spans="1:35" ht="30" customHeight="1" thickBot="1" x14ac:dyDescent="0.25">
      <c r="A223" s="34"/>
      <c r="B223" s="982"/>
      <c r="C223" s="924"/>
      <c r="D223" s="983"/>
      <c r="E223" s="1009"/>
      <c r="F223" s="982"/>
      <c r="G223" s="924"/>
      <c r="H223" s="924"/>
      <c r="I223" s="983"/>
      <c r="J223" s="982"/>
      <c r="K223" s="924"/>
      <c r="L223" s="924"/>
      <c r="M223" s="983"/>
      <c r="N223" s="158"/>
      <c r="O223" s="990" t="str">
        <f t="shared" ref="O223" si="82">IF($P$163="X","Avec impact envisagé",IF($P$169="X","Avec act. écol. envisagée",""))</f>
        <v/>
      </c>
      <c r="P223" s="992"/>
      <c r="Q223" s="1025" t="str">
        <f>IF($P$163="X",'Calcul auto.'!AL46,IF($P$169="X",'Calcul auto.'!ED46,""))</f>
        <v/>
      </c>
      <c r="R223" s="1026"/>
      <c r="S223" s="1036" t="str">
        <f>IF($P$163="X",CONCATENATE('Calcul auto.'!BD46,'Calcul auto.'!BE46,'Calcul auto.'!BF46,'Calcul auto.'!BG46,'Calcul auto.'!BH46,'Calcul auto.'!BI46),IF($P$169="X",CONCATENATE('Calcul auto.'!EV46,'Calcul auto.'!EW46,'Calcul auto.'!EX46,'Calcul auto.'!EY46,'Calcul auto.'!EZ46,'Calcul auto.'!FA46),""))</f>
        <v/>
      </c>
      <c r="T223" s="1037"/>
      <c r="U223" s="1037"/>
      <c r="V223" s="1037"/>
      <c r="W223" s="1038"/>
      <c r="X223" s="158"/>
      <c r="Y223" s="1003"/>
      <c r="Z223" s="158"/>
      <c r="AA223" s="509"/>
      <c r="AB223" s="158"/>
      <c r="AC223" s="158"/>
      <c r="AD223" s="158"/>
      <c r="AE223" s="158"/>
      <c r="AF223" s="158"/>
      <c r="AG223" s="158"/>
      <c r="AH223" s="158"/>
      <c r="AI223" s="34"/>
    </row>
    <row r="224" spans="1:35" ht="30" customHeight="1" x14ac:dyDescent="0.2">
      <c r="A224" s="34"/>
      <c r="B224" s="1014"/>
      <c r="C224" s="1015"/>
      <c r="D224" s="1016"/>
      <c r="E224" s="1010"/>
      <c r="F224" s="1014"/>
      <c r="G224" s="1015"/>
      <c r="H224" s="1015"/>
      <c r="I224" s="1016"/>
      <c r="J224" s="1014"/>
      <c r="K224" s="1015"/>
      <c r="L224" s="1015"/>
      <c r="M224" s="1016"/>
      <c r="N224" s="161"/>
      <c r="O224" s="1023" t="str">
        <f t="shared" ref="O224" si="83">IF($P$163="X","Après impact",IF($P$169="X","Après action écologique",""))</f>
        <v/>
      </c>
      <c r="P224" s="1024"/>
      <c r="Q224" s="1027" t="str">
        <f>IF($P$163="X",'Calcul auto.'!BR46,IF($P$169="X",'Calcul auto.'!FJ46,""))</f>
        <v/>
      </c>
      <c r="R224" s="1028"/>
      <c r="S224" s="1039" t="str">
        <f>IF($P$163="X",CONCATENATE('Calcul auto.'!CJ46,'Calcul auto.'!CK46,'Calcul auto.'!CL46,'Calcul auto.'!CM46,'Calcul auto.'!CN46,'Calcul auto.'!CO46),IF($P$169="X",CONCATENATE('Calcul auto.'!GB46,'Calcul auto.'!GC46,'Calcul auto.'!GD46,'Calcul auto.'!GE46,'Calcul auto.'!GF46,'Calcul auto.'!GG46),""))</f>
        <v/>
      </c>
      <c r="T224" s="1040"/>
      <c r="U224" s="1040"/>
      <c r="V224" s="1040"/>
      <c r="W224" s="1041"/>
      <c r="X224" s="161"/>
      <c r="Y224" s="1004"/>
      <c r="Z224" s="161"/>
      <c r="AA224" s="510"/>
      <c r="AB224" s="161"/>
      <c r="AC224" s="161"/>
      <c r="AD224" s="161"/>
      <c r="AE224" s="161"/>
      <c r="AF224" s="161"/>
      <c r="AG224" s="161"/>
      <c r="AH224" s="161"/>
      <c r="AI224" s="34"/>
    </row>
    <row r="225" spans="1:35" ht="30" customHeight="1" thickBot="1" x14ac:dyDescent="0.25">
      <c r="A225" s="34"/>
      <c r="B225" s="1011" t="s">
        <v>362</v>
      </c>
      <c r="C225" s="1012"/>
      <c r="D225" s="1013"/>
      <c r="E225" s="1008">
        <v>42</v>
      </c>
      <c r="F225" s="1011" t="s">
        <v>760</v>
      </c>
      <c r="G225" s="1012"/>
      <c r="H225" s="1012"/>
      <c r="I225" s="1013"/>
      <c r="J225" s="1011" t="s">
        <v>686</v>
      </c>
      <c r="K225" s="1012"/>
      <c r="L225" s="1012"/>
      <c r="M225" s="1013"/>
      <c r="N225" s="160"/>
      <c r="O225" s="1019" t="str">
        <f t="shared" ref="O225" si="84">IF($P$163="X","Avant impact",IF($P$169="X","Avant action écologique",""))</f>
        <v/>
      </c>
      <c r="P225" s="1020"/>
      <c r="Q225" s="1055" t="str">
        <f>IF($P$163="X",'Calcul auto.'!F47,IF($P$169="X",'Calcul auto.'!CX47,""))</f>
        <v/>
      </c>
      <c r="R225" s="1056"/>
      <c r="S225" s="1033" t="str">
        <f>IF($P$163="X",CONCATENATE('Calcul auto.'!X47,'Calcul auto.'!Y47,'Calcul auto.'!Z47,'Calcul auto.'!AA47,'Calcul auto.'!AB47,'Calcul auto.'!AC47),IF($P$169="X",CONCATENATE('Calcul auto.'!DP47,'Calcul auto.'!DQ47,'Calcul auto.'!DR47,'Calcul auto.'!DS47,'Calcul auto.'!DT47,'Calcul auto.'!DU47),""))</f>
        <v/>
      </c>
      <c r="T225" s="1034"/>
      <c r="U225" s="1034"/>
      <c r="V225" s="1034"/>
      <c r="W225" s="1035"/>
      <c r="X225" s="160"/>
      <c r="Y225" s="1002"/>
      <c r="Z225" s="160"/>
      <c r="AA225" s="508"/>
      <c r="AB225" s="160"/>
      <c r="AC225" s="160"/>
      <c r="AD225" s="160"/>
      <c r="AE225" s="160"/>
      <c r="AF225" s="160"/>
      <c r="AG225" s="160"/>
      <c r="AH225" s="160"/>
      <c r="AI225" s="34"/>
    </row>
    <row r="226" spans="1:35" ht="30" customHeight="1" thickBot="1" x14ac:dyDescent="0.25">
      <c r="A226" s="34"/>
      <c r="B226" s="982"/>
      <c r="C226" s="924"/>
      <c r="D226" s="983"/>
      <c r="E226" s="1009"/>
      <c r="F226" s="982"/>
      <c r="G226" s="924"/>
      <c r="H226" s="924"/>
      <c r="I226" s="983"/>
      <c r="J226" s="982"/>
      <c r="K226" s="924"/>
      <c r="L226" s="924"/>
      <c r="M226" s="983"/>
      <c r="N226" s="158"/>
      <c r="O226" s="990" t="str">
        <f t="shared" ref="O226" si="85">IF($P$163="X","Avec impact envisagé",IF($P$169="X","Avec act. écol. envisagée",""))</f>
        <v/>
      </c>
      <c r="P226" s="992"/>
      <c r="Q226" s="1025" t="str">
        <f>IF($P$163="X",'Calcul auto.'!AL47,IF($P$169="X",'Calcul auto.'!ED47,""))</f>
        <v/>
      </c>
      <c r="R226" s="1026"/>
      <c r="S226" s="1036" t="str">
        <f>IF($P$163="X",CONCATENATE('Calcul auto.'!BD47,'Calcul auto.'!BE47,'Calcul auto.'!BF47,'Calcul auto.'!BG47,'Calcul auto.'!BH47,'Calcul auto.'!BI47),IF($P$169="X",CONCATENATE('Calcul auto.'!EV47,'Calcul auto.'!EW47,'Calcul auto.'!EX47,'Calcul auto.'!EY47,'Calcul auto.'!EZ47,'Calcul auto.'!FA47),""))</f>
        <v/>
      </c>
      <c r="T226" s="1037"/>
      <c r="U226" s="1037"/>
      <c r="V226" s="1037"/>
      <c r="W226" s="1038"/>
      <c r="X226" s="158"/>
      <c r="Y226" s="1003"/>
      <c r="Z226" s="158"/>
      <c r="AA226" s="509"/>
      <c r="AB226" s="158"/>
      <c r="AC226" s="158"/>
      <c r="AD226" s="158"/>
      <c r="AE226" s="158"/>
      <c r="AF226" s="158"/>
      <c r="AG226" s="158"/>
      <c r="AH226" s="158"/>
      <c r="AI226" s="34"/>
    </row>
    <row r="227" spans="1:35" ht="30" customHeight="1" x14ac:dyDescent="0.2">
      <c r="A227" s="34"/>
      <c r="B227" s="1014"/>
      <c r="C227" s="1015"/>
      <c r="D227" s="1016"/>
      <c r="E227" s="1010"/>
      <c r="F227" s="1014"/>
      <c r="G227" s="1015"/>
      <c r="H227" s="1015"/>
      <c r="I227" s="1016"/>
      <c r="J227" s="1014"/>
      <c r="K227" s="1015"/>
      <c r="L227" s="1015"/>
      <c r="M227" s="1016"/>
      <c r="N227" s="161"/>
      <c r="O227" s="1023" t="str">
        <f t="shared" ref="O227" si="86">IF($P$163="X","Après impact",IF($P$169="X","Après action écologique",""))</f>
        <v/>
      </c>
      <c r="P227" s="1024"/>
      <c r="Q227" s="1027" t="str">
        <f>IF($P$163="X",'Calcul auto.'!BR47,IF($P$169="X",'Calcul auto.'!FJ47,""))</f>
        <v/>
      </c>
      <c r="R227" s="1028"/>
      <c r="S227" s="1039" t="str">
        <f>IF($P$163="X",CONCATENATE('Calcul auto.'!CJ47,'Calcul auto.'!CK47,'Calcul auto.'!CL47,'Calcul auto.'!CM47,'Calcul auto.'!CN47,'Calcul auto.'!CO47),IF($P$169="X",CONCATENATE('Calcul auto.'!GB47,'Calcul auto.'!GC47,'Calcul auto.'!GD47,'Calcul auto.'!GE47,'Calcul auto.'!GF47,'Calcul auto.'!GG47),""))</f>
        <v/>
      </c>
      <c r="T227" s="1040"/>
      <c r="U227" s="1040"/>
      <c r="V227" s="1040"/>
      <c r="W227" s="1041"/>
      <c r="X227" s="161"/>
      <c r="Y227" s="1004"/>
      <c r="Z227" s="161"/>
      <c r="AA227" s="510"/>
      <c r="AB227" s="161"/>
      <c r="AC227" s="161"/>
      <c r="AD227" s="161"/>
      <c r="AE227" s="161"/>
      <c r="AF227" s="161"/>
      <c r="AG227" s="161"/>
      <c r="AH227" s="161"/>
      <c r="AI227" s="34"/>
    </row>
    <row r="228" spans="1:35" ht="30" customHeight="1" thickBot="1" x14ac:dyDescent="0.25">
      <c r="A228" s="34"/>
      <c r="B228" s="1011" t="s">
        <v>129</v>
      </c>
      <c r="C228" s="1012"/>
      <c r="D228" s="1013"/>
      <c r="E228" s="1008">
        <v>69</v>
      </c>
      <c r="F228" s="1011" t="s">
        <v>687</v>
      </c>
      <c r="G228" s="1012"/>
      <c r="H228" s="1012"/>
      <c r="I228" s="1013"/>
      <c r="J228" s="1011" t="s">
        <v>688</v>
      </c>
      <c r="K228" s="1012"/>
      <c r="L228" s="1012"/>
      <c r="M228" s="1013"/>
      <c r="N228" s="160"/>
      <c r="O228" s="1019" t="str">
        <f t="shared" ref="O228" si="87">IF($P$163="X","Avant impact",IF($P$169="X","Avant action écologique",""))</f>
        <v/>
      </c>
      <c r="P228" s="1020"/>
      <c r="Q228" s="1055" t="str">
        <f>IF($P$163="X",'Calcul auto.'!F48,IF($P$169="X",'Calcul auto.'!CX48,""))</f>
        <v/>
      </c>
      <c r="R228" s="1056"/>
      <c r="S228" s="1033" t="str">
        <f>IF($P$163="X",CONCATENATE('Calcul auto.'!X48,'Calcul auto.'!Y48,'Calcul auto.'!Z48,'Calcul auto.'!AA48,'Calcul auto.'!AB48,'Calcul auto.'!AC48),IF($P$169="X",CONCATENATE('Calcul auto.'!DP48,'Calcul auto.'!DQ48,'Calcul auto.'!DR48,'Calcul auto.'!DS48,'Calcul auto.'!DT48,'Calcul auto.'!DU48),""))</f>
        <v/>
      </c>
      <c r="T228" s="1034"/>
      <c r="U228" s="1034"/>
      <c r="V228" s="1034"/>
      <c r="W228" s="1035"/>
      <c r="X228" s="160"/>
      <c r="Y228" s="1002"/>
      <c r="Z228" s="508"/>
      <c r="AA228" s="508"/>
      <c r="AB228" s="160"/>
      <c r="AC228" s="160"/>
      <c r="AD228" s="160"/>
      <c r="AE228" s="160"/>
      <c r="AF228" s="160"/>
      <c r="AG228" s="160"/>
      <c r="AH228" s="160"/>
      <c r="AI228" s="34"/>
    </row>
    <row r="229" spans="1:35" ht="30" customHeight="1" thickBot="1" x14ac:dyDescent="0.25">
      <c r="A229" s="34"/>
      <c r="B229" s="982"/>
      <c r="C229" s="924"/>
      <c r="D229" s="983"/>
      <c r="E229" s="1009"/>
      <c r="F229" s="982"/>
      <c r="G229" s="924"/>
      <c r="H229" s="924"/>
      <c r="I229" s="983"/>
      <c r="J229" s="982"/>
      <c r="K229" s="924"/>
      <c r="L229" s="924"/>
      <c r="M229" s="983"/>
      <c r="N229" s="158"/>
      <c r="O229" s="990" t="str">
        <f t="shared" ref="O229" si="88">IF($P$163="X","Avec impact envisagé",IF($P$169="X","Avec act. écol. envisagée",""))</f>
        <v/>
      </c>
      <c r="P229" s="992"/>
      <c r="Q229" s="1025" t="str">
        <f>IF($P$163="X",'Calcul auto.'!AL48,IF($P$169="X",'Calcul auto.'!ED48,""))</f>
        <v/>
      </c>
      <c r="R229" s="1026"/>
      <c r="S229" s="1036" t="str">
        <f>IF($P$163="X",CONCATENATE('Calcul auto.'!BD48,'Calcul auto.'!BE48,'Calcul auto.'!BF48,'Calcul auto.'!BG48,'Calcul auto.'!BH48,'Calcul auto.'!BI48),IF($P$169="X",CONCATENATE('Calcul auto.'!EV48,'Calcul auto.'!EW48,'Calcul auto.'!EX48,'Calcul auto.'!EY48,'Calcul auto.'!EZ48,'Calcul auto.'!FA48),""))</f>
        <v/>
      </c>
      <c r="T229" s="1037"/>
      <c r="U229" s="1037"/>
      <c r="V229" s="1037"/>
      <c r="W229" s="1038"/>
      <c r="X229" s="158"/>
      <c r="Y229" s="1003"/>
      <c r="Z229" s="509"/>
      <c r="AA229" s="509"/>
      <c r="AB229" s="158"/>
      <c r="AC229" s="158"/>
      <c r="AD229" s="158"/>
      <c r="AE229" s="158"/>
      <c r="AF229" s="158"/>
      <c r="AG229" s="158"/>
      <c r="AH229" s="158"/>
      <c r="AI229" s="34"/>
    </row>
    <row r="230" spans="1:35" ht="30" customHeight="1" thickBot="1" x14ac:dyDescent="0.25">
      <c r="A230" s="34"/>
      <c r="B230" s="987"/>
      <c r="C230" s="988"/>
      <c r="D230" s="989"/>
      <c r="E230" s="1017"/>
      <c r="F230" s="987"/>
      <c r="G230" s="988"/>
      <c r="H230" s="988"/>
      <c r="I230" s="989"/>
      <c r="J230" s="987"/>
      <c r="K230" s="988"/>
      <c r="L230" s="988"/>
      <c r="M230" s="989"/>
      <c r="N230" s="163"/>
      <c r="O230" s="1021" t="str">
        <f t="shared" ref="O230" si="89">IF($P$163="X","Après impact",IF($P$169="X","Après action écologique",""))</f>
        <v/>
      </c>
      <c r="P230" s="1022"/>
      <c r="Q230" s="1057" t="str">
        <f>IF($P$163="X",'Calcul auto.'!BR48,IF($P$169="X",'Calcul auto.'!FJ48,""))</f>
        <v/>
      </c>
      <c r="R230" s="1058"/>
      <c r="S230" s="1046" t="str">
        <f>IF($P$163="X",CONCATENATE('Calcul auto.'!CJ48,'Calcul auto.'!CK48,'Calcul auto.'!CL48,'Calcul auto.'!CM48,'Calcul auto.'!CN48,'Calcul auto.'!CO48),IF($P$169="X",CONCATENATE('Calcul auto.'!GB48,'Calcul auto.'!GC48,'Calcul auto.'!GD48,'Calcul auto.'!GE48,'Calcul auto.'!GF48,'Calcul auto.'!GG48),""))</f>
        <v/>
      </c>
      <c r="T230" s="1047"/>
      <c r="U230" s="1047"/>
      <c r="V230" s="1047"/>
      <c r="W230" s="1048"/>
      <c r="X230" s="163"/>
      <c r="Y230" s="1005"/>
      <c r="Z230" s="511"/>
      <c r="AA230" s="511"/>
      <c r="AB230" s="163"/>
      <c r="AC230" s="163"/>
      <c r="AD230" s="163"/>
      <c r="AE230" s="163"/>
      <c r="AF230" s="163"/>
      <c r="AG230" s="163"/>
      <c r="AH230" s="163"/>
      <c r="AI230" s="34"/>
    </row>
    <row r="231" spans="1:35" ht="30" customHeight="1" thickBot="1" x14ac:dyDescent="0.25">
      <c r="A231" s="34"/>
      <c r="B231" s="164"/>
      <c r="C231" s="53"/>
      <c r="D231" s="53"/>
      <c r="E231" s="53"/>
      <c r="F231" s="53"/>
      <c r="G231" s="53"/>
      <c r="H231" s="53"/>
      <c r="I231" s="53"/>
      <c r="J231" s="53"/>
      <c r="K231" s="53"/>
      <c r="L231" s="53"/>
      <c r="M231" s="53"/>
      <c r="N231" s="53"/>
      <c r="O231" s="53"/>
      <c r="P231" s="53"/>
      <c r="Q231" s="165"/>
      <c r="R231" s="165"/>
      <c r="S231" s="105"/>
      <c r="T231" s="105"/>
      <c r="U231" s="105"/>
      <c r="V231" s="105"/>
      <c r="W231" s="105"/>
      <c r="X231" s="53"/>
      <c r="Y231" s="53"/>
      <c r="Z231" s="53"/>
      <c r="AA231" s="53"/>
      <c r="AB231" s="53"/>
      <c r="AC231" s="53"/>
      <c r="AD231" s="53"/>
      <c r="AE231" s="53"/>
      <c r="AF231" s="53"/>
      <c r="AG231" s="53"/>
      <c r="AH231" s="53"/>
      <c r="AI231" s="34"/>
    </row>
    <row r="232" spans="1:35" ht="30" customHeight="1" x14ac:dyDescent="0.2">
      <c r="A232" s="34"/>
      <c r="B232" s="51" t="s">
        <v>669</v>
      </c>
      <c r="C232" s="34"/>
      <c r="D232" s="34"/>
      <c r="E232" s="34"/>
      <c r="F232" s="34"/>
      <c r="G232" s="34"/>
      <c r="H232" s="34"/>
      <c r="I232" s="34"/>
      <c r="J232" s="34"/>
      <c r="K232" s="34"/>
      <c r="L232" s="34"/>
      <c r="M232" s="34"/>
      <c r="N232" s="34"/>
      <c r="O232" s="34"/>
      <c r="P232" s="34"/>
      <c r="Q232" s="166"/>
      <c r="R232" s="166"/>
      <c r="S232" s="167"/>
      <c r="T232" s="167"/>
      <c r="U232" s="167"/>
      <c r="V232" s="167"/>
      <c r="W232" s="167"/>
      <c r="X232" s="34"/>
      <c r="Y232" s="34"/>
      <c r="Z232" s="34"/>
      <c r="AA232" s="34"/>
      <c r="AB232" s="34"/>
      <c r="AC232" s="34"/>
      <c r="AD232" s="34"/>
      <c r="AE232" s="34"/>
      <c r="AF232" s="34"/>
      <c r="AG232" s="34"/>
      <c r="AH232" s="34"/>
      <c r="AI232" s="34"/>
    </row>
    <row r="233" spans="1:35" ht="30" customHeight="1" thickBot="1" x14ac:dyDescent="0.25">
      <c r="A233" s="34"/>
      <c r="B233" s="1011" t="s">
        <v>131</v>
      </c>
      <c r="C233" s="1012"/>
      <c r="D233" s="1013"/>
      <c r="E233" s="1008">
        <v>22</v>
      </c>
      <c r="F233" s="1011" t="s">
        <v>689</v>
      </c>
      <c r="G233" s="1012"/>
      <c r="H233" s="1012"/>
      <c r="I233" s="1013"/>
      <c r="J233" s="1011" t="s">
        <v>690</v>
      </c>
      <c r="K233" s="1012"/>
      <c r="L233" s="1012"/>
      <c r="M233" s="1013"/>
      <c r="N233" s="160"/>
      <c r="O233" s="1019" t="str">
        <f t="shared" ref="O233:O251" si="90">IF($P$163="X","Avant impact",IF($P$169="X","Avant action écologique",""))</f>
        <v/>
      </c>
      <c r="P233" s="1020"/>
      <c r="Q233" s="1055" t="str">
        <f>IF($P$163="X",'Calcul auto.'!L49,IF($P$169="X",'Calcul auto.'!DD49,""))</f>
        <v/>
      </c>
      <c r="R233" s="1056"/>
      <c r="S233" s="1033" t="str">
        <f>IF($P$163="X",CONCATENATE('Calcul auto.'!X49,'Calcul auto.'!Y49,'Calcul auto.'!Z49,'Calcul auto.'!AA49,'Calcul auto.'!AB49,'Calcul auto.'!AC49),IF($P$169="X",CONCATENATE('Calcul auto.'!DP49,'Calcul auto.'!DQ49,'Calcul auto.'!DR49,'Calcul auto.'!DS49,'Calcul auto.'!DT49,'Calcul auto.'!DU49),""))</f>
        <v/>
      </c>
      <c r="T233" s="1034"/>
      <c r="U233" s="1034"/>
      <c r="V233" s="1034"/>
      <c r="W233" s="1035"/>
      <c r="X233" s="160"/>
      <c r="Y233" s="160"/>
      <c r="Z233" s="160"/>
      <c r="AA233" s="160"/>
      <c r="AB233" s="160"/>
      <c r="AC233" s="160"/>
      <c r="AD233" s="160"/>
      <c r="AE233" s="160"/>
      <c r="AF233" s="160"/>
      <c r="AG233" s="993"/>
      <c r="AH233" s="160"/>
      <c r="AI233" s="34"/>
    </row>
    <row r="234" spans="1:35" ht="30" customHeight="1" thickBot="1" x14ac:dyDescent="0.25">
      <c r="A234" s="34"/>
      <c r="B234" s="982"/>
      <c r="C234" s="924"/>
      <c r="D234" s="983"/>
      <c r="E234" s="1009"/>
      <c r="F234" s="982"/>
      <c r="G234" s="924"/>
      <c r="H234" s="924"/>
      <c r="I234" s="983"/>
      <c r="J234" s="982"/>
      <c r="K234" s="924"/>
      <c r="L234" s="924"/>
      <c r="M234" s="983"/>
      <c r="N234" s="158"/>
      <c r="O234" s="990" t="str">
        <f t="shared" ref="O234:O252" si="91">IF($P$163="X","Avec impact envisagé",IF($P$169="X","Avec act. écol. envisagée",""))</f>
        <v/>
      </c>
      <c r="P234" s="992"/>
      <c r="Q234" s="1025" t="str">
        <f>IF($P$163="X",'Calcul auto.'!AR49,IF($P$169="X",'Calcul auto.'!EJ49,""))</f>
        <v/>
      </c>
      <c r="R234" s="1026"/>
      <c r="S234" s="1036" t="str">
        <f>IF($P$163="X",CONCATENATE('Calcul auto.'!BD49,'Calcul auto.'!BE49,'Calcul auto.'!BF49,'Calcul auto.'!BG49,'Calcul auto.'!BH49,'Calcul auto.'!BI49),IF($P$169="X",CONCATENATE('Calcul auto.'!EV49,'Calcul auto.'!EW49,'Calcul auto.'!EX49,'Calcul auto.'!EY49,'Calcul auto.'!EZ49,'Calcul auto.'!FA49),""))</f>
        <v/>
      </c>
      <c r="T234" s="1037"/>
      <c r="U234" s="1037"/>
      <c r="V234" s="1037"/>
      <c r="W234" s="1038"/>
      <c r="X234" s="158"/>
      <c r="Y234" s="158"/>
      <c r="Z234" s="158"/>
      <c r="AA234" s="158"/>
      <c r="AB234" s="158"/>
      <c r="AC234" s="158"/>
      <c r="AD234" s="158"/>
      <c r="AE234" s="158"/>
      <c r="AF234" s="158"/>
      <c r="AG234" s="994"/>
      <c r="AH234" s="158"/>
      <c r="AI234" s="34"/>
    </row>
    <row r="235" spans="1:35" ht="30" customHeight="1" x14ac:dyDescent="0.2">
      <c r="A235" s="34"/>
      <c r="B235" s="1014"/>
      <c r="C235" s="1015"/>
      <c r="D235" s="1016"/>
      <c r="E235" s="1010"/>
      <c r="F235" s="1014"/>
      <c r="G235" s="1015"/>
      <c r="H235" s="1015"/>
      <c r="I235" s="1016"/>
      <c r="J235" s="1014"/>
      <c r="K235" s="1015"/>
      <c r="L235" s="1015"/>
      <c r="M235" s="1016"/>
      <c r="N235" s="161"/>
      <c r="O235" s="1023" t="str">
        <f t="shared" ref="O235:O253" si="92">IF($P$163="X","Après impact",IF($P$169="X","Après action écologique",""))</f>
        <v/>
      </c>
      <c r="P235" s="1024"/>
      <c r="Q235" s="1027" t="str">
        <f>IF($P$163="X",'Calcul auto.'!BX49,IF($P$169="X",'Calcul auto.'!FP49,""))</f>
        <v/>
      </c>
      <c r="R235" s="1028"/>
      <c r="S235" s="1039" t="str">
        <f>IF($P$163="X",CONCATENATE('Calcul auto.'!CJ49,'Calcul auto.'!CK49,'Calcul auto.'!CL49,'Calcul auto.'!CM49,'Calcul auto.'!CN49,'Calcul auto.'!CO49),IF($P$169="X",CONCATENATE('Calcul auto.'!GB49,'Calcul auto.'!GC49,'Calcul auto.'!GD49,'Calcul auto.'!GE49,'Calcul auto.'!GF49,'Calcul auto.'!GG49),""))</f>
        <v/>
      </c>
      <c r="T235" s="1040"/>
      <c r="U235" s="1040"/>
      <c r="V235" s="1040"/>
      <c r="W235" s="1041"/>
      <c r="X235" s="161"/>
      <c r="Y235" s="161"/>
      <c r="Z235" s="161"/>
      <c r="AA235" s="161"/>
      <c r="AB235" s="161"/>
      <c r="AC235" s="161"/>
      <c r="AD235" s="161"/>
      <c r="AE235" s="161"/>
      <c r="AF235" s="161"/>
      <c r="AG235" s="1018"/>
      <c r="AH235" s="161"/>
      <c r="AI235" s="34"/>
    </row>
    <row r="236" spans="1:35" ht="30" customHeight="1" thickBot="1" x14ac:dyDescent="0.25">
      <c r="A236" s="34"/>
      <c r="B236" s="982" t="s">
        <v>217</v>
      </c>
      <c r="C236" s="924"/>
      <c r="D236" s="983"/>
      <c r="E236" s="1009">
        <v>22</v>
      </c>
      <c r="F236" s="1011" t="s">
        <v>691</v>
      </c>
      <c r="G236" s="1012"/>
      <c r="H236" s="1012"/>
      <c r="I236" s="1013"/>
      <c r="J236" s="1011" t="s">
        <v>692</v>
      </c>
      <c r="K236" s="1012"/>
      <c r="L236" s="1012"/>
      <c r="M236" s="1013"/>
      <c r="N236" s="157"/>
      <c r="O236" s="1042" t="str">
        <f t="shared" si="90"/>
        <v/>
      </c>
      <c r="P236" s="1043"/>
      <c r="Q236" s="1029" t="str">
        <f>IF($P$163="X",'Calcul auto.'!L50,IF($P$169="X",'Calcul auto.'!DD50,""))</f>
        <v/>
      </c>
      <c r="R236" s="1030"/>
      <c r="S236" s="1049" t="str">
        <f>IF($P$163="X",CONCATENATE('Calcul auto.'!X50,'Calcul auto.'!Y50,'Calcul auto.'!Z50,'Calcul auto.'!AA50,'Calcul auto.'!AB50,'Calcul auto.'!AC50),IF($P$169="X",CONCATENATE('Calcul auto.'!DP50,'Calcul auto.'!DQ50,'Calcul auto.'!DR50,'Calcul auto.'!DS50,'Calcul auto.'!DT50,'Calcul auto.'!DU50),""))</f>
        <v/>
      </c>
      <c r="T236" s="1050"/>
      <c r="U236" s="1050"/>
      <c r="V236" s="1050"/>
      <c r="W236" s="1051"/>
      <c r="X236" s="157"/>
      <c r="Y236" s="157"/>
      <c r="Z236" s="157"/>
      <c r="AA236" s="157"/>
      <c r="AB236" s="157"/>
      <c r="AC236" s="157"/>
      <c r="AD236" s="157"/>
      <c r="AE236" s="157"/>
      <c r="AF236" s="157"/>
      <c r="AG236" s="994"/>
      <c r="AH236" s="157"/>
      <c r="AI236" s="34"/>
    </row>
    <row r="237" spans="1:35" ht="30" customHeight="1" thickBot="1" x14ac:dyDescent="0.25">
      <c r="A237" s="34"/>
      <c r="B237" s="982"/>
      <c r="C237" s="924"/>
      <c r="D237" s="983"/>
      <c r="E237" s="1009"/>
      <c r="F237" s="982"/>
      <c r="G237" s="924"/>
      <c r="H237" s="924"/>
      <c r="I237" s="983"/>
      <c r="J237" s="982"/>
      <c r="K237" s="924"/>
      <c r="L237" s="924"/>
      <c r="M237" s="983"/>
      <c r="N237" s="158"/>
      <c r="O237" s="990" t="str">
        <f t="shared" si="91"/>
        <v/>
      </c>
      <c r="P237" s="992"/>
      <c r="Q237" s="1025" t="str">
        <f>IF($P$163="X",'Calcul auto.'!AR50,IF($P$169="X",'Calcul auto.'!EJ50,""))</f>
        <v/>
      </c>
      <c r="R237" s="1026"/>
      <c r="S237" s="1036" t="str">
        <f>IF($P$163="X",CONCATENATE('Calcul auto.'!BD50,'Calcul auto.'!BE50,'Calcul auto.'!BF50,'Calcul auto.'!BG50,'Calcul auto.'!BH50,'Calcul auto.'!BI50),IF($P$169="X",CONCATENATE('Calcul auto.'!EV50,'Calcul auto.'!EW50,'Calcul auto.'!EX50,'Calcul auto.'!EY50,'Calcul auto.'!EZ50,'Calcul auto.'!FA50),""))</f>
        <v/>
      </c>
      <c r="T237" s="1037"/>
      <c r="U237" s="1037"/>
      <c r="V237" s="1037"/>
      <c r="W237" s="1038"/>
      <c r="X237" s="158"/>
      <c r="Y237" s="158"/>
      <c r="Z237" s="158"/>
      <c r="AA237" s="158"/>
      <c r="AB237" s="158"/>
      <c r="AC237" s="158"/>
      <c r="AD237" s="158"/>
      <c r="AE237" s="158"/>
      <c r="AF237" s="158"/>
      <c r="AG237" s="994"/>
      <c r="AH237" s="158"/>
      <c r="AI237" s="34"/>
    </row>
    <row r="238" spans="1:35" ht="30" customHeight="1" x14ac:dyDescent="0.2">
      <c r="A238" s="34"/>
      <c r="B238" s="982"/>
      <c r="C238" s="924"/>
      <c r="D238" s="983"/>
      <c r="E238" s="1009"/>
      <c r="F238" s="1014"/>
      <c r="G238" s="1015"/>
      <c r="H238" s="1015"/>
      <c r="I238" s="1016"/>
      <c r="J238" s="1014"/>
      <c r="K238" s="1015"/>
      <c r="L238" s="1015"/>
      <c r="M238" s="1016"/>
      <c r="N238" s="159"/>
      <c r="O238" s="1044" t="str">
        <f t="shared" si="92"/>
        <v/>
      </c>
      <c r="P238" s="1045"/>
      <c r="Q238" s="1031" t="str">
        <f>IF($P$163="X",'Calcul auto.'!BX50,IF($P$169="X",'Calcul auto.'!FP50,""))</f>
        <v/>
      </c>
      <c r="R238" s="1032"/>
      <c r="S238" s="1052" t="str">
        <f>IF($P$163="X",CONCATENATE('Calcul auto.'!CJ50,'Calcul auto.'!CK50,'Calcul auto.'!CL50,'Calcul auto.'!CM50,'Calcul auto.'!CN50,'Calcul auto.'!CO50),IF($P$169="X",CONCATENATE('Calcul auto.'!GB50,'Calcul auto.'!GC50,'Calcul auto.'!GD50,'Calcul auto.'!GE50,'Calcul auto.'!GF50,'Calcul auto.'!GG50),""))</f>
        <v/>
      </c>
      <c r="T238" s="1053"/>
      <c r="U238" s="1053"/>
      <c r="V238" s="1053"/>
      <c r="W238" s="1054"/>
      <c r="X238" s="159"/>
      <c r="Y238" s="159"/>
      <c r="Z238" s="159"/>
      <c r="AA238" s="159"/>
      <c r="AB238" s="159"/>
      <c r="AC238" s="159"/>
      <c r="AD238" s="159"/>
      <c r="AE238" s="159"/>
      <c r="AF238" s="159"/>
      <c r="AG238" s="994"/>
      <c r="AH238" s="159"/>
      <c r="AI238" s="34"/>
    </row>
    <row r="239" spans="1:35" ht="30" customHeight="1" thickBot="1" x14ac:dyDescent="0.25">
      <c r="A239" s="34"/>
      <c r="B239" s="1011" t="s">
        <v>132</v>
      </c>
      <c r="C239" s="1012"/>
      <c r="D239" s="1013"/>
      <c r="E239" s="1008" t="s">
        <v>761</v>
      </c>
      <c r="F239" s="1011" t="s">
        <v>693</v>
      </c>
      <c r="G239" s="1012"/>
      <c r="H239" s="1012"/>
      <c r="I239" s="1013"/>
      <c r="J239" s="1011" t="s">
        <v>694</v>
      </c>
      <c r="K239" s="1012"/>
      <c r="L239" s="1012"/>
      <c r="M239" s="1013"/>
      <c r="N239" s="160"/>
      <c r="O239" s="1019" t="str">
        <f t="shared" si="90"/>
        <v/>
      </c>
      <c r="P239" s="1020"/>
      <c r="Q239" s="1055" t="str">
        <f>IF($P$163="X",'Calcul auto.'!M51,IF($P$169="X",'Calcul auto.'!DE51,""))</f>
        <v/>
      </c>
      <c r="R239" s="1056"/>
      <c r="S239" s="1033" t="str">
        <f>IF($P$163="X",CONCATENATE('Calcul auto.'!X51,'Calcul auto.'!Y51,'Calcul auto.'!Z51,'Calcul auto.'!AA51,'Calcul auto.'!AB51,'Calcul auto.'!AC51),IF($P$169="X",CONCATENATE('Calcul auto.'!DP51,'Calcul auto.'!DQ51,'Calcul auto.'!DR51,'Calcul auto.'!DS51,'Calcul auto.'!DT51,'Calcul auto.'!DU51),""))</f>
        <v/>
      </c>
      <c r="T239" s="1034"/>
      <c r="U239" s="1034"/>
      <c r="V239" s="1034"/>
      <c r="W239" s="1035"/>
      <c r="X239" s="160"/>
      <c r="Y239" s="160"/>
      <c r="Z239" s="160"/>
      <c r="AA239" s="160"/>
      <c r="AB239" s="160"/>
      <c r="AC239" s="160"/>
      <c r="AD239" s="160"/>
      <c r="AE239" s="160"/>
      <c r="AF239" s="160"/>
      <c r="AG239" s="160"/>
      <c r="AH239" s="993"/>
      <c r="AI239" s="34"/>
    </row>
    <row r="240" spans="1:35" ht="30" customHeight="1" thickBot="1" x14ac:dyDescent="0.25">
      <c r="A240" s="34"/>
      <c r="B240" s="982"/>
      <c r="C240" s="924"/>
      <c r="D240" s="983"/>
      <c r="E240" s="1009"/>
      <c r="F240" s="982"/>
      <c r="G240" s="924"/>
      <c r="H240" s="924"/>
      <c r="I240" s="983"/>
      <c r="J240" s="982"/>
      <c r="K240" s="924"/>
      <c r="L240" s="924"/>
      <c r="M240" s="983"/>
      <c r="N240" s="158"/>
      <c r="O240" s="990" t="str">
        <f t="shared" si="91"/>
        <v/>
      </c>
      <c r="P240" s="992"/>
      <c r="Q240" s="1025" t="str">
        <f>IF($P$163="X",'Calcul auto.'!AS51,IF($P$169="X",'Calcul auto.'!EK51,""))</f>
        <v/>
      </c>
      <c r="R240" s="1026"/>
      <c r="S240" s="1036" t="str">
        <f>IF($P$163="X",CONCATENATE('Calcul auto.'!BD51,'Calcul auto.'!BE51,'Calcul auto.'!BF51,'Calcul auto.'!BG51,'Calcul auto.'!BH51,'Calcul auto.'!BI51),IF($P$169="X",CONCATENATE('Calcul auto.'!EV51,'Calcul auto.'!EW51,'Calcul auto.'!EX51,'Calcul auto.'!EY51,'Calcul auto.'!EZ51,'Calcul auto.'!FA51),""))</f>
        <v/>
      </c>
      <c r="T240" s="1037"/>
      <c r="U240" s="1037"/>
      <c r="V240" s="1037"/>
      <c r="W240" s="1038"/>
      <c r="X240" s="158"/>
      <c r="Y240" s="158"/>
      <c r="Z240" s="158"/>
      <c r="AA240" s="158"/>
      <c r="AB240" s="158"/>
      <c r="AC240" s="158"/>
      <c r="AD240" s="158"/>
      <c r="AE240" s="158"/>
      <c r="AF240" s="158"/>
      <c r="AG240" s="158"/>
      <c r="AH240" s="994"/>
      <c r="AI240" s="34"/>
    </row>
    <row r="241" spans="1:35" ht="30" customHeight="1" x14ac:dyDescent="0.2">
      <c r="A241" s="34"/>
      <c r="B241" s="1014"/>
      <c r="C241" s="1015"/>
      <c r="D241" s="1016"/>
      <c r="E241" s="1010"/>
      <c r="F241" s="1014"/>
      <c r="G241" s="1015"/>
      <c r="H241" s="1015"/>
      <c r="I241" s="1016"/>
      <c r="J241" s="1014"/>
      <c r="K241" s="1015"/>
      <c r="L241" s="1015"/>
      <c r="M241" s="1016"/>
      <c r="N241" s="161"/>
      <c r="O241" s="1023" t="str">
        <f t="shared" si="92"/>
        <v/>
      </c>
      <c r="P241" s="1024"/>
      <c r="Q241" s="1027" t="str">
        <f>IF($P$163="X",'Calcul auto.'!BY51,IF($P$169="X",'Calcul auto.'!FQ51,""))</f>
        <v/>
      </c>
      <c r="R241" s="1028"/>
      <c r="S241" s="1039" t="str">
        <f>IF($P$163="X",CONCATENATE('Calcul auto.'!CJ51,'Calcul auto.'!CK51,'Calcul auto.'!CL51,'Calcul auto.'!CM51,'Calcul auto.'!CN51,'Calcul auto.'!CO51),IF($P$169="X",CONCATENATE('Calcul auto.'!GB51,'Calcul auto.'!GC51,'Calcul auto.'!GD51,'Calcul auto.'!GE51,'Calcul auto.'!GF51,'Calcul auto.'!GG51),""))</f>
        <v/>
      </c>
      <c r="T241" s="1040"/>
      <c r="U241" s="1040"/>
      <c r="V241" s="1040"/>
      <c r="W241" s="1041"/>
      <c r="X241" s="161"/>
      <c r="Y241" s="161"/>
      <c r="Z241" s="161"/>
      <c r="AA241" s="161"/>
      <c r="AB241" s="161"/>
      <c r="AC241" s="161"/>
      <c r="AD241" s="161"/>
      <c r="AE241" s="161"/>
      <c r="AF241" s="161"/>
      <c r="AG241" s="161"/>
      <c r="AH241" s="1018"/>
      <c r="AI241" s="34"/>
    </row>
    <row r="242" spans="1:35" ht="30" customHeight="1" thickBot="1" x14ac:dyDescent="0.25">
      <c r="A242" s="34"/>
      <c r="B242" s="982" t="s">
        <v>133</v>
      </c>
      <c r="C242" s="924"/>
      <c r="D242" s="983"/>
      <c r="E242" s="1009">
        <v>27</v>
      </c>
      <c r="F242" s="1011" t="s">
        <v>695</v>
      </c>
      <c r="G242" s="1012"/>
      <c r="H242" s="1012"/>
      <c r="I242" s="1013"/>
      <c r="J242" s="1011" t="s">
        <v>696</v>
      </c>
      <c r="K242" s="1012"/>
      <c r="L242" s="1012"/>
      <c r="M242" s="1013"/>
      <c r="N242" s="157"/>
      <c r="O242" s="1042" t="str">
        <f t="shared" ref="O242" si="93">IF($P$163="X","Avant impact",IF($P$169="X","Avant action écologique",""))</f>
        <v/>
      </c>
      <c r="P242" s="1043"/>
      <c r="Q242" s="1029" t="str">
        <f>IF($P$163="X",'Calcul auto.'!M52,IF($P$169="X",'Calcul auto.'!DE52,""))</f>
        <v/>
      </c>
      <c r="R242" s="1030"/>
      <c r="S242" s="1049" t="str">
        <f>IF($P$163="X",CONCATENATE('Calcul auto.'!X52,'Calcul auto.'!Y52,'Calcul auto.'!Z52,'Calcul auto.'!AA52,'Calcul auto.'!AB52,'Calcul auto.'!AC52),IF($P$169="X",CONCATENATE('Calcul auto.'!DP52,'Calcul auto.'!DQ52,'Calcul auto.'!DR52,'Calcul auto.'!DS52,'Calcul auto.'!DT52,'Calcul auto.'!DU52),""))</f>
        <v/>
      </c>
      <c r="T242" s="1050"/>
      <c r="U242" s="1050"/>
      <c r="V242" s="1050"/>
      <c r="W242" s="1051"/>
      <c r="X242" s="157"/>
      <c r="Y242" s="157"/>
      <c r="Z242" s="157"/>
      <c r="AA242" s="157"/>
      <c r="AB242" s="157"/>
      <c r="AC242" s="157"/>
      <c r="AD242" s="157"/>
      <c r="AE242" s="157"/>
      <c r="AF242" s="157"/>
      <c r="AG242" s="157"/>
      <c r="AH242" s="994"/>
      <c r="AI242" s="34"/>
    </row>
    <row r="243" spans="1:35" ht="30" customHeight="1" thickBot="1" x14ac:dyDescent="0.25">
      <c r="A243" s="34"/>
      <c r="B243" s="982"/>
      <c r="C243" s="924"/>
      <c r="D243" s="983"/>
      <c r="E243" s="1009"/>
      <c r="F243" s="982"/>
      <c r="G243" s="924"/>
      <c r="H243" s="924"/>
      <c r="I243" s="983"/>
      <c r="J243" s="982"/>
      <c r="K243" s="924"/>
      <c r="L243" s="924"/>
      <c r="M243" s="983"/>
      <c r="N243" s="158"/>
      <c r="O243" s="990" t="str">
        <f t="shared" ref="O243" si="94">IF($P$163="X","Avec impact envisagé",IF($P$169="X","Avec act. écol. envisagée",""))</f>
        <v/>
      </c>
      <c r="P243" s="992"/>
      <c r="Q243" s="1025" t="str">
        <f>IF($P$163="X",'Calcul auto.'!AS52,IF($P$169="X",'Calcul auto.'!EK52,""))</f>
        <v/>
      </c>
      <c r="R243" s="1026"/>
      <c r="S243" s="1036" t="str">
        <f>IF($P$163="X",CONCATENATE('Calcul auto.'!BD52,'Calcul auto.'!BE52,'Calcul auto.'!BF52,'Calcul auto.'!BG52,'Calcul auto.'!BH52,'Calcul auto.'!BI52),IF($P$169="X",CONCATENATE('Calcul auto.'!EV52,'Calcul auto.'!EW52,'Calcul auto.'!EX52,'Calcul auto.'!EY52,'Calcul auto.'!EZ52,'Calcul auto.'!FA52),""))</f>
        <v/>
      </c>
      <c r="T243" s="1037"/>
      <c r="U243" s="1037"/>
      <c r="V243" s="1037"/>
      <c r="W243" s="1038"/>
      <c r="X243" s="158"/>
      <c r="Y243" s="158"/>
      <c r="Z243" s="158"/>
      <c r="AA243" s="158"/>
      <c r="AB243" s="158"/>
      <c r="AC243" s="158"/>
      <c r="AD243" s="158"/>
      <c r="AE243" s="158"/>
      <c r="AF243" s="158"/>
      <c r="AG243" s="158"/>
      <c r="AH243" s="994"/>
      <c r="AI243" s="34"/>
    </row>
    <row r="244" spans="1:35" ht="30" customHeight="1" x14ac:dyDescent="0.2">
      <c r="A244" s="34"/>
      <c r="B244" s="982"/>
      <c r="C244" s="924"/>
      <c r="D244" s="983"/>
      <c r="E244" s="1009"/>
      <c r="F244" s="1014"/>
      <c r="G244" s="1015"/>
      <c r="H244" s="1015"/>
      <c r="I244" s="1016"/>
      <c r="J244" s="1014"/>
      <c r="K244" s="1015"/>
      <c r="L244" s="1015"/>
      <c r="M244" s="1016"/>
      <c r="N244" s="159"/>
      <c r="O244" s="1044" t="str">
        <f t="shared" ref="O244" si="95">IF($P$163="X","Après impact",IF($P$169="X","Après action écologique",""))</f>
        <v/>
      </c>
      <c r="P244" s="1045"/>
      <c r="Q244" s="1031" t="str">
        <f>IF($P$163="X",'Calcul auto.'!BY52,IF($P$169="X",'Calcul auto.'!FQ52,""))</f>
        <v/>
      </c>
      <c r="R244" s="1032"/>
      <c r="S244" s="1052" t="str">
        <f>IF($P$163="X",CONCATENATE('Calcul auto.'!CJ52,'Calcul auto.'!CK52,'Calcul auto.'!CL52,'Calcul auto.'!CM52,'Calcul auto.'!CN52,'Calcul auto.'!CO52),IF($P$169="X",CONCATENATE('Calcul auto.'!GB52,'Calcul auto.'!GC52,'Calcul auto.'!GD52,'Calcul auto.'!GE52,'Calcul auto.'!GF52,'Calcul auto.'!GG52),""))</f>
        <v/>
      </c>
      <c r="T244" s="1053"/>
      <c r="U244" s="1053"/>
      <c r="V244" s="1053"/>
      <c r="W244" s="1054"/>
      <c r="X244" s="159"/>
      <c r="Y244" s="159"/>
      <c r="Z244" s="159"/>
      <c r="AA244" s="159"/>
      <c r="AB244" s="159"/>
      <c r="AC244" s="159"/>
      <c r="AD244" s="159"/>
      <c r="AE244" s="159"/>
      <c r="AF244" s="159"/>
      <c r="AG244" s="159"/>
      <c r="AH244" s="994"/>
      <c r="AI244" s="34"/>
    </row>
    <row r="245" spans="1:35" ht="30" customHeight="1" thickBot="1" x14ac:dyDescent="0.25">
      <c r="A245" s="34"/>
      <c r="B245" s="1011" t="s">
        <v>134</v>
      </c>
      <c r="C245" s="1012"/>
      <c r="D245" s="1013"/>
      <c r="E245" s="1008">
        <v>27</v>
      </c>
      <c r="F245" s="1011" t="s">
        <v>697</v>
      </c>
      <c r="G245" s="1012"/>
      <c r="H245" s="1012"/>
      <c r="I245" s="1013"/>
      <c r="J245" s="1011" t="s">
        <v>698</v>
      </c>
      <c r="K245" s="1012"/>
      <c r="L245" s="1012"/>
      <c r="M245" s="1013"/>
      <c r="N245" s="160"/>
      <c r="O245" s="1019" t="str">
        <f t="shared" si="90"/>
        <v/>
      </c>
      <c r="P245" s="1020"/>
      <c r="Q245" s="1055" t="str">
        <f>IF($P$163="X",'Calcul auto.'!M53,IF($P$169="X",'Calcul auto.'!DE53,""))</f>
        <v/>
      </c>
      <c r="R245" s="1056"/>
      <c r="S245" s="1033" t="str">
        <f>IF($P$163="X",CONCATENATE('Calcul auto.'!X53,'Calcul auto.'!Y53,'Calcul auto.'!Z53,'Calcul auto.'!AA53,'Calcul auto.'!AB53,'Calcul auto.'!AC53),IF($P$169="X",CONCATENATE('Calcul auto.'!DP53,'Calcul auto.'!DQ53,'Calcul auto.'!DR53,'Calcul auto.'!DS53,'Calcul auto.'!DT53,'Calcul auto.'!DU53),""))</f>
        <v/>
      </c>
      <c r="T245" s="1034"/>
      <c r="U245" s="1034"/>
      <c r="V245" s="1034"/>
      <c r="W245" s="1035"/>
      <c r="X245" s="160"/>
      <c r="Y245" s="160"/>
      <c r="Z245" s="160"/>
      <c r="AA245" s="160"/>
      <c r="AB245" s="160"/>
      <c r="AC245" s="160"/>
      <c r="AD245" s="160"/>
      <c r="AE245" s="160"/>
      <c r="AF245" s="160"/>
      <c r="AG245" s="160"/>
      <c r="AH245" s="993"/>
      <c r="AI245" s="34"/>
    </row>
    <row r="246" spans="1:35" ht="30" customHeight="1" thickBot="1" x14ac:dyDescent="0.25">
      <c r="A246" s="34"/>
      <c r="B246" s="982"/>
      <c r="C246" s="924"/>
      <c r="D246" s="983"/>
      <c r="E246" s="1009"/>
      <c r="F246" s="982"/>
      <c r="G246" s="924"/>
      <c r="H246" s="924"/>
      <c r="I246" s="983"/>
      <c r="J246" s="982"/>
      <c r="K246" s="924"/>
      <c r="L246" s="924"/>
      <c r="M246" s="983"/>
      <c r="N246" s="158"/>
      <c r="O246" s="990" t="str">
        <f t="shared" si="91"/>
        <v/>
      </c>
      <c r="P246" s="992"/>
      <c r="Q246" s="1025" t="str">
        <f>IF($P$163="X",'Calcul auto.'!AS53,IF($P$169="X",'Calcul auto.'!EK53,""))</f>
        <v/>
      </c>
      <c r="R246" s="1026"/>
      <c r="S246" s="1036" t="str">
        <f>IF($P$163="X",CONCATENATE('Calcul auto.'!BD53,'Calcul auto.'!BE53,'Calcul auto.'!BF53,'Calcul auto.'!BG53,'Calcul auto.'!BH53,'Calcul auto.'!BI53),IF($P$169="X",CONCATENATE('Calcul auto.'!EV53,'Calcul auto.'!EW53,'Calcul auto.'!EX53,'Calcul auto.'!EY53,'Calcul auto.'!EZ53,'Calcul auto.'!FA53),""))</f>
        <v/>
      </c>
      <c r="T246" s="1037"/>
      <c r="U246" s="1037"/>
      <c r="V246" s="1037"/>
      <c r="W246" s="1038"/>
      <c r="X246" s="158"/>
      <c r="Y246" s="158"/>
      <c r="Z246" s="158"/>
      <c r="AA246" s="158"/>
      <c r="AB246" s="158"/>
      <c r="AC246" s="158"/>
      <c r="AD246" s="158"/>
      <c r="AE246" s="158"/>
      <c r="AF246" s="158"/>
      <c r="AG246" s="158"/>
      <c r="AH246" s="994"/>
      <c r="AI246" s="34"/>
    </row>
    <row r="247" spans="1:35" ht="30" customHeight="1" x14ac:dyDescent="0.2">
      <c r="A247" s="34"/>
      <c r="B247" s="1014"/>
      <c r="C247" s="1015"/>
      <c r="D247" s="1016"/>
      <c r="E247" s="1010"/>
      <c r="F247" s="1014"/>
      <c r="G247" s="1015"/>
      <c r="H247" s="1015"/>
      <c r="I247" s="1016"/>
      <c r="J247" s="1014"/>
      <c r="K247" s="1015"/>
      <c r="L247" s="1015"/>
      <c r="M247" s="1016"/>
      <c r="N247" s="161"/>
      <c r="O247" s="1023" t="str">
        <f t="shared" si="92"/>
        <v/>
      </c>
      <c r="P247" s="1024"/>
      <c r="Q247" s="1027" t="str">
        <f>IF($P$163="X",'Calcul auto.'!BY53,IF($P$169="X",'Calcul auto.'!FQ53,""))</f>
        <v/>
      </c>
      <c r="R247" s="1028"/>
      <c r="S247" s="1039" t="str">
        <f>IF($P$163="X",CONCATENATE('Calcul auto.'!CJ53,'Calcul auto.'!CK53,'Calcul auto.'!CL53,'Calcul auto.'!CM53,'Calcul auto.'!CN53,'Calcul auto.'!CO53),IF($P$169="X",CONCATENATE('Calcul auto.'!GB53,'Calcul auto.'!GC53,'Calcul auto.'!GD53,'Calcul auto.'!GE53,'Calcul auto.'!GF53,'Calcul auto.'!GG53),""))</f>
        <v/>
      </c>
      <c r="T247" s="1040"/>
      <c r="U247" s="1040"/>
      <c r="V247" s="1040"/>
      <c r="W247" s="1041"/>
      <c r="X247" s="161"/>
      <c r="Y247" s="161"/>
      <c r="Z247" s="161"/>
      <c r="AA247" s="161"/>
      <c r="AB247" s="161"/>
      <c r="AC247" s="161"/>
      <c r="AD247" s="161"/>
      <c r="AE247" s="161"/>
      <c r="AF247" s="161"/>
      <c r="AG247" s="161"/>
      <c r="AH247" s="1018"/>
      <c r="AI247" s="34"/>
    </row>
    <row r="248" spans="1:35" ht="30" customHeight="1" thickBot="1" x14ac:dyDescent="0.25">
      <c r="A248" s="34"/>
      <c r="B248" s="1011" t="s">
        <v>135</v>
      </c>
      <c r="C248" s="1012"/>
      <c r="D248" s="1013"/>
      <c r="E248" s="1008">
        <v>29</v>
      </c>
      <c r="F248" s="1011" t="s">
        <v>699</v>
      </c>
      <c r="G248" s="1012"/>
      <c r="H248" s="1012"/>
      <c r="I248" s="1013"/>
      <c r="J248" s="1011" t="s">
        <v>700</v>
      </c>
      <c r="K248" s="1012"/>
      <c r="L248" s="1012"/>
      <c r="M248" s="1013"/>
      <c r="N248" s="160"/>
      <c r="O248" s="1019" t="str">
        <f t="shared" si="90"/>
        <v/>
      </c>
      <c r="P248" s="1020"/>
      <c r="Q248" s="1055" t="str">
        <f>IF($P$163="X",'Calcul auto.'!M54,IF($P$169="X",'Calcul auto.'!DE54,""))</f>
        <v/>
      </c>
      <c r="R248" s="1056"/>
      <c r="S248" s="1033" t="str">
        <f>IF($P$163="X",CONCATENATE('Calcul auto.'!X54,'Calcul auto.'!Y54,'Calcul auto.'!Z54,'Calcul auto.'!AA54,'Calcul auto.'!AB54,'Calcul auto.'!AC54),IF($P$169="X",CONCATENATE('Calcul auto.'!DP54,'Calcul auto.'!DQ54,'Calcul auto.'!DR54,'Calcul auto.'!DS54,'Calcul auto.'!DT54,'Calcul auto.'!DU54),""))</f>
        <v/>
      </c>
      <c r="T248" s="1034"/>
      <c r="U248" s="1034"/>
      <c r="V248" s="1034"/>
      <c r="W248" s="1035"/>
      <c r="X248" s="160"/>
      <c r="Y248" s="160"/>
      <c r="Z248" s="160"/>
      <c r="AA248" s="160"/>
      <c r="AB248" s="160"/>
      <c r="AC248" s="160"/>
      <c r="AD248" s="160"/>
      <c r="AE248" s="160"/>
      <c r="AF248" s="160"/>
      <c r="AG248" s="160"/>
      <c r="AH248" s="993"/>
      <c r="AI248" s="34"/>
    </row>
    <row r="249" spans="1:35" ht="30" customHeight="1" thickBot="1" x14ac:dyDescent="0.25">
      <c r="A249" s="34"/>
      <c r="B249" s="982"/>
      <c r="C249" s="924"/>
      <c r="D249" s="983"/>
      <c r="E249" s="1009"/>
      <c r="F249" s="982"/>
      <c r="G249" s="924"/>
      <c r="H249" s="924"/>
      <c r="I249" s="983"/>
      <c r="J249" s="982"/>
      <c r="K249" s="924"/>
      <c r="L249" s="924"/>
      <c r="M249" s="983"/>
      <c r="N249" s="158"/>
      <c r="O249" s="990" t="str">
        <f t="shared" si="91"/>
        <v/>
      </c>
      <c r="P249" s="992"/>
      <c r="Q249" s="1025" t="str">
        <f>IF($P$163="X",'Calcul auto.'!AS54,IF($P$169="X",'Calcul auto.'!EK54,""))</f>
        <v/>
      </c>
      <c r="R249" s="1026"/>
      <c r="S249" s="1036" t="str">
        <f>IF($P$163="X",CONCATENATE('Calcul auto.'!BD54,'Calcul auto.'!BE54,'Calcul auto.'!BF54,'Calcul auto.'!BG54,'Calcul auto.'!BH54,'Calcul auto.'!BI54),IF($P$169="X",CONCATENATE('Calcul auto.'!EV54,'Calcul auto.'!EW54,'Calcul auto.'!EX54,'Calcul auto.'!EY54,'Calcul auto.'!EZ54,'Calcul auto.'!FA54),""))</f>
        <v/>
      </c>
      <c r="T249" s="1037"/>
      <c r="U249" s="1037"/>
      <c r="V249" s="1037"/>
      <c r="W249" s="1038"/>
      <c r="X249" s="158"/>
      <c r="Y249" s="158"/>
      <c r="Z249" s="158"/>
      <c r="AA249" s="158"/>
      <c r="AB249" s="158"/>
      <c r="AC249" s="158"/>
      <c r="AD249" s="158"/>
      <c r="AE249" s="158"/>
      <c r="AF249" s="158"/>
      <c r="AG249" s="158"/>
      <c r="AH249" s="994"/>
      <c r="AI249" s="34"/>
    </row>
    <row r="250" spans="1:35" ht="30" customHeight="1" x14ac:dyDescent="0.2">
      <c r="A250" s="34"/>
      <c r="B250" s="1014"/>
      <c r="C250" s="1015"/>
      <c r="D250" s="1016"/>
      <c r="E250" s="1010"/>
      <c r="F250" s="1014"/>
      <c r="G250" s="1015"/>
      <c r="H250" s="1015"/>
      <c r="I250" s="1016"/>
      <c r="J250" s="1014"/>
      <c r="K250" s="1015"/>
      <c r="L250" s="1015"/>
      <c r="M250" s="1016"/>
      <c r="N250" s="161"/>
      <c r="O250" s="1023" t="str">
        <f t="shared" si="92"/>
        <v/>
      </c>
      <c r="P250" s="1024"/>
      <c r="Q250" s="1027" t="str">
        <f>IF($P$163="X",'Calcul auto.'!BY54,IF($P$169="X",'Calcul auto.'!FQ54,""))</f>
        <v/>
      </c>
      <c r="R250" s="1028"/>
      <c r="S250" s="1039" t="str">
        <f>IF($P$163="X",CONCATENATE('Calcul auto.'!CJ54,'Calcul auto.'!CK54,'Calcul auto.'!CL54,'Calcul auto.'!CM54,'Calcul auto.'!CN54,'Calcul auto.'!CO54),IF($P$169="X",CONCATENATE('Calcul auto.'!GB54,'Calcul auto.'!GC54,'Calcul auto.'!GD54,'Calcul auto.'!GE54,'Calcul auto.'!GF54,'Calcul auto.'!GG54),""))</f>
        <v/>
      </c>
      <c r="T250" s="1040"/>
      <c r="U250" s="1040"/>
      <c r="V250" s="1040"/>
      <c r="W250" s="1041"/>
      <c r="X250" s="161"/>
      <c r="Y250" s="161"/>
      <c r="Z250" s="161"/>
      <c r="AA250" s="161"/>
      <c r="AB250" s="161"/>
      <c r="AC250" s="161"/>
      <c r="AD250" s="161"/>
      <c r="AE250" s="161"/>
      <c r="AF250" s="161"/>
      <c r="AG250" s="161"/>
      <c r="AH250" s="1018"/>
      <c r="AI250" s="34"/>
    </row>
    <row r="251" spans="1:35" ht="30" customHeight="1" thickBot="1" x14ac:dyDescent="0.25">
      <c r="A251" s="34"/>
      <c r="B251" s="1011" t="s">
        <v>136</v>
      </c>
      <c r="C251" s="1012"/>
      <c r="D251" s="1013"/>
      <c r="E251" s="1008">
        <v>32</v>
      </c>
      <c r="F251" s="1011" t="s">
        <v>701</v>
      </c>
      <c r="G251" s="1012"/>
      <c r="H251" s="1012"/>
      <c r="I251" s="1013"/>
      <c r="J251" s="1011" t="s">
        <v>702</v>
      </c>
      <c r="K251" s="1012"/>
      <c r="L251" s="1012"/>
      <c r="M251" s="1013"/>
      <c r="N251" s="160"/>
      <c r="O251" s="1019" t="str">
        <f t="shared" si="90"/>
        <v/>
      </c>
      <c r="P251" s="1020"/>
      <c r="Q251" s="1055" t="str">
        <f>IF($P$163="X",'Calcul auto.'!M55,IF($P$169="X",'Calcul auto.'!DE55,""))</f>
        <v/>
      </c>
      <c r="R251" s="1056"/>
      <c r="S251" s="1033" t="str">
        <f>IF($P$163="X",CONCATENATE('Calcul auto.'!X55,'Calcul auto.'!Y55,'Calcul auto.'!Z55,'Calcul auto.'!AA55,'Calcul auto.'!AB55,'Calcul auto.'!AC55),IF($P$169="X",CONCATENATE('Calcul auto.'!DP55,'Calcul auto.'!DQ55,'Calcul auto.'!DR55,'Calcul auto.'!DS55,'Calcul auto.'!DT55,'Calcul auto.'!DU55),""))</f>
        <v/>
      </c>
      <c r="T251" s="1034"/>
      <c r="U251" s="1034"/>
      <c r="V251" s="1034"/>
      <c r="W251" s="1035"/>
      <c r="X251" s="160"/>
      <c r="Y251" s="160"/>
      <c r="Z251" s="160"/>
      <c r="AA251" s="160"/>
      <c r="AB251" s="160"/>
      <c r="AC251" s="160"/>
      <c r="AD251" s="160"/>
      <c r="AE251" s="160"/>
      <c r="AF251" s="160"/>
      <c r="AG251" s="160"/>
      <c r="AH251" s="993"/>
      <c r="AI251" s="34"/>
    </row>
    <row r="252" spans="1:35" ht="30" customHeight="1" thickBot="1" x14ac:dyDescent="0.25">
      <c r="A252" s="34"/>
      <c r="B252" s="982"/>
      <c r="C252" s="924"/>
      <c r="D252" s="983"/>
      <c r="E252" s="1009"/>
      <c r="F252" s="982"/>
      <c r="G252" s="924"/>
      <c r="H252" s="924"/>
      <c r="I252" s="983"/>
      <c r="J252" s="982"/>
      <c r="K252" s="924"/>
      <c r="L252" s="924"/>
      <c r="M252" s="983"/>
      <c r="N252" s="158"/>
      <c r="O252" s="990" t="str">
        <f t="shared" si="91"/>
        <v/>
      </c>
      <c r="P252" s="992"/>
      <c r="Q252" s="1025" t="str">
        <f>IF($P$163="X",'Calcul auto.'!AS55,IF($P$169="X",'Calcul auto.'!EK55,""))</f>
        <v/>
      </c>
      <c r="R252" s="1026"/>
      <c r="S252" s="1036" t="str">
        <f>IF($P$163="X",CONCATENATE('Calcul auto.'!BD55,'Calcul auto.'!BE55,'Calcul auto.'!BF55,'Calcul auto.'!BG55,'Calcul auto.'!BH55,'Calcul auto.'!BI55),IF($P$169="X",CONCATENATE('Calcul auto.'!EV55,'Calcul auto.'!EW55,'Calcul auto.'!EX55,'Calcul auto.'!EY55,'Calcul auto.'!EZ55,'Calcul auto.'!FA55),""))</f>
        <v/>
      </c>
      <c r="T252" s="1037"/>
      <c r="U252" s="1037"/>
      <c r="V252" s="1037"/>
      <c r="W252" s="1038"/>
      <c r="X252" s="158"/>
      <c r="Y252" s="158"/>
      <c r="Z252" s="158"/>
      <c r="AA252" s="158"/>
      <c r="AB252" s="158"/>
      <c r="AC252" s="158"/>
      <c r="AD252" s="158"/>
      <c r="AE252" s="158"/>
      <c r="AF252" s="158"/>
      <c r="AG252" s="158"/>
      <c r="AH252" s="994"/>
      <c r="AI252" s="34"/>
    </row>
    <row r="253" spans="1:35" ht="30" customHeight="1" thickBot="1" x14ac:dyDescent="0.25">
      <c r="A253" s="34"/>
      <c r="B253" s="987"/>
      <c r="C253" s="988"/>
      <c r="D253" s="989"/>
      <c r="E253" s="1017"/>
      <c r="F253" s="987"/>
      <c r="G253" s="988"/>
      <c r="H253" s="988"/>
      <c r="I253" s="989"/>
      <c r="J253" s="987"/>
      <c r="K253" s="988"/>
      <c r="L253" s="988"/>
      <c r="M253" s="989"/>
      <c r="N253" s="163"/>
      <c r="O253" s="1021" t="str">
        <f t="shared" si="92"/>
        <v/>
      </c>
      <c r="P253" s="1022"/>
      <c r="Q253" s="1057" t="str">
        <f>IF($P$163="X",'Calcul auto.'!BY55,IF($P$169="X",'Calcul auto.'!FQ55,""))</f>
        <v/>
      </c>
      <c r="R253" s="1058"/>
      <c r="S253" s="1046" t="str">
        <f>IF($P$163="X",CONCATENATE('Calcul auto.'!CJ55,'Calcul auto.'!CK55,'Calcul auto.'!CL55,'Calcul auto.'!CM55,'Calcul auto.'!CN55,'Calcul auto.'!CO55),IF($P$169="X",CONCATENATE('Calcul auto.'!GB55,'Calcul auto.'!GC55,'Calcul auto.'!GD55,'Calcul auto.'!GE55,'Calcul auto.'!GF55,'Calcul auto.'!GG55),""))</f>
        <v/>
      </c>
      <c r="T253" s="1047"/>
      <c r="U253" s="1047"/>
      <c r="V253" s="1047"/>
      <c r="W253" s="1048"/>
      <c r="X253" s="163"/>
      <c r="Y253" s="163"/>
      <c r="Z253" s="163"/>
      <c r="AA253" s="163"/>
      <c r="AB253" s="163"/>
      <c r="AC253" s="163"/>
      <c r="AD253" s="163"/>
      <c r="AE253" s="163"/>
      <c r="AF253" s="163"/>
      <c r="AG253" s="163"/>
      <c r="AH253" s="995"/>
      <c r="AI253" s="34"/>
    </row>
    <row r="254" spans="1:35" ht="30" customHeight="1"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30" customHeight="1"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30" customHeight="1"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30" customHeight="1" thickBot="1"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12" customHeight="1" x14ac:dyDescent="0.2">
      <c r="A258" s="34"/>
      <c r="B258" s="868" t="s">
        <v>767</v>
      </c>
      <c r="C258" s="1088"/>
      <c r="D258" s="1088"/>
      <c r="E258" s="1088"/>
      <c r="F258" s="1088"/>
      <c r="G258" s="1088"/>
      <c r="H258" s="1088"/>
      <c r="I258" s="1088"/>
      <c r="J258" s="1088"/>
      <c r="K258" s="1088"/>
      <c r="L258" s="1088"/>
      <c r="M258" s="1088"/>
      <c r="N258" s="1088"/>
      <c r="O258" s="1088"/>
      <c r="P258" s="1088"/>
      <c r="Q258" s="1088"/>
      <c r="R258" s="1088"/>
      <c r="S258" s="1088"/>
      <c r="T258" s="1088"/>
      <c r="U258" s="1088"/>
      <c r="V258" s="1088"/>
      <c r="W258" s="1088"/>
      <c r="X258" s="1088"/>
      <c r="Y258" s="1088"/>
      <c r="Z258" s="1088"/>
      <c r="AA258" s="1088"/>
      <c r="AB258" s="1088"/>
      <c r="AC258" s="1088"/>
      <c r="AD258" s="1088"/>
      <c r="AE258" s="1088"/>
      <c r="AF258" s="1088"/>
      <c r="AG258" s="1088"/>
      <c r="AH258" s="1089"/>
      <c r="AI258" s="134"/>
    </row>
    <row r="259" spans="1:35" ht="12" customHeight="1" x14ac:dyDescent="0.2">
      <c r="A259" s="34"/>
      <c r="B259" s="1090"/>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c r="AA259" s="1091"/>
      <c r="AB259" s="1091"/>
      <c r="AC259" s="1091"/>
      <c r="AD259" s="1091"/>
      <c r="AE259" s="1091"/>
      <c r="AF259" s="1091"/>
      <c r="AG259" s="1091"/>
      <c r="AH259" s="1092"/>
      <c r="AI259" s="134"/>
    </row>
    <row r="260" spans="1:35" ht="12" customHeight="1" x14ac:dyDescent="0.2">
      <c r="A260" s="34"/>
      <c r="B260" s="1090"/>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c r="Z260" s="1091"/>
      <c r="AA260" s="1091"/>
      <c r="AB260" s="1091"/>
      <c r="AC260" s="1091"/>
      <c r="AD260" s="1091"/>
      <c r="AE260" s="1091"/>
      <c r="AF260" s="1091"/>
      <c r="AG260" s="1091"/>
      <c r="AH260" s="1092"/>
      <c r="AI260" s="134"/>
    </row>
    <row r="261" spans="1:35" ht="12" customHeight="1" thickBot="1" x14ac:dyDescent="0.25">
      <c r="A261" s="34"/>
      <c r="B261" s="1093"/>
      <c r="C261" s="1094"/>
      <c r="D261" s="1094"/>
      <c r="E261" s="1094"/>
      <c r="F261" s="1094"/>
      <c r="G261" s="1094"/>
      <c r="H261" s="1094"/>
      <c r="I261" s="1094"/>
      <c r="J261" s="1094"/>
      <c r="K261" s="1094"/>
      <c r="L261" s="1094"/>
      <c r="M261" s="1094"/>
      <c r="N261" s="1094"/>
      <c r="O261" s="1094"/>
      <c r="P261" s="1094"/>
      <c r="Q261" s="1094"/>
      <c r="R261" s="1094"/>
      <c r="S261" s="1094"/>
      <c r="T261" s="1094"/>
      <c r="U261" s="1094"/>
      <c r="V261" s="1094"/>
      <c r="W261" s="1094"/>
      <c r="X261" s="1094"/>
      <c r="Y261" s="1094"/>
      <c r="Z261" s="1094"/>
      <c r="AA261" s="1094"/>
      <c r="AB261" s="1094"/>
      <c r="AC261" s="1094"/>
      <c r="AD261" s="1094"/>
      <c r="AE261" s="1094"/>
      <c r="AF261" s="1094"/>
      <c r="AG261" s="1094"/>
      <c r="AH261" s="1095"/>
      <c r="AI261" s="134"/>
    </row>
    <row r="262" spans="1:35" ht="30" customHeight="1"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12" customHeight="1" x14ac:dyDescent="0.2">
      <c r="A263" s="34"/>
      <c r="B263" s="1123" t="s">
        <v>1517</v>
      </c>
      <c r="C263" s="1123"/>
      <c r="D263" s="1123"/>
      <c r="E263" s="1123"/>
      <c r="F263" s="1123"/>
      <c r="G263" s="1123"/>
      <c r="H263" s="1123"/>
      <c r="I263" s="1123"/>
      <c r="J263" s="1123"/>
      <c r="K263" s="1123"/>
      <c r="L263" s="1123"/>
      <c r="M263" s="1123"/>
      <c r="N263" s="1123"/>
      <c r="O263" s="1124"/>
      <c r="P263" s="1060"/>
      <c r="Q263" s="1119" t="s">
        <v>727</v>
      </c>
      <c r="R263" s="916"/>
      <c r="S263" s="916"/>
      <c r="T263" s="916"/>
      <c r="U263" s="916"/>
      <c r="V263" s="916"/>
      <c r="W263" s="916"/>
      <c r="X263" s="916"/>
      <c r="Y263" s="34"/>
      <c r="Z263" s="1060"/>
      <c r="AA263" s="1119" t="s">
        <v>730</v>
      </c>
      <c r="AB263" s="916"/>
      <c r="AC263" s="916"/>
      <c r="AD263" s="916"/>
      <c r="AE263" s="916"/>
      <c r="AF263" s="916"/>
      <c r="AG263" s="916"/>
      <c r="AH263" s="916"/>
      <c r="AI263" s="134"/>
    </row>
    <row r="264" spans="1:35" ht="12" customHeight="1" x14ac:dyDescent="0.2">
      <c r="A264" s="34"/>
      <c r="B264" s="1123"/>
      <c r="C264" s="1123"/>
      <c r="D264" s="1123"/>
      <c r="E264" s="1123"/>
      <c r="F264" s="1123"/>
      <c r="G264" s="1123"/>
      <c r="H264" s="1123"/>
      <c r="I264" s="1123"/>
      <c r="J264" s="1123"/>
      <c r="K264" s="1123"/>
      <c r="L264" s="1123"/>
      <c r="M264" s="1123"/>
      <c r="N264" s="1123"/>
      <c r="O264" s="1124"/>
      <c r="P264" s="1060"/>
      <c r="Q264" s="1119"/>
      <c r="R264" s="916"/>
      <c r="S264" s="916"/>
      <c r="T264" s="916"/>
      <c r="U264" s="916"/>
      <c r="V264" s="916"/>
      <c r="W264" s="916"/>
      <c r="X264" s="916"/>
      <c r="Y264" s="34"/>
      <c r="Z264" s="1060"/>
      <c r="AA264" s="1119"/>
      <c r="AB264" s="916"/>
      <c r="AC264" s="916"/>
      <c r="AD264" s="916"/>
      <c r="AE264" s="916"/>
      <c r="AF264" s="916"/>
      <c r="AG264" s="916"/>
      <c r="AH264" s="916"/>
      <c r="AI264" s="134"/>
    </row>
    <row r="265" spans="1:35" ht="12" customHeight="1" x14ac:dyDescent="0.2">
      <c r="A265" s="34"/>
      <c r="B265" s="1123"/>
      <c r="C265" s="1123"/>
      <c r="D265" s="1123"/>
      <c r="E265" s="1123"/>
      <c r="F265" s="1123"/>
      <c r="G265" s="1123"/>
      <c r="H265" s="1123"/>
      <c r="I265" s="1123"/>
      <c r="J265" s="1123"/>
      <c r="K265" s="1123"/>
      <c r="L265" s="1123"/>
      <c r="M265" s="1123"/>
      <c r="N265" s="1123"/>
      <c r="O265" s="1124"/>
      <c r="P265" s="1060"/>
      <c r="Q265" s="1119"/>
      <c r="R265" s="916"/>
      <c r="S265" s="916"/>
      <c r="T265" s="916"/>
      <c r="U265" s="916"/>
      <c r="V265" s="916"/>
      <c r="W265" s="916"/>
      <c r="X265" s="916"/>
      <c r="Y265" s="34"/>
      <c r="Z265" s="1060"/>
      <c r="AA265" s="1119"/>
      <c r="AB265" s="916"/>
      <c r="AC265" s="916"/>
      <c r="AD265" s="916"/>
      <c r="AE265" s="916"/>
      <c r="AF265" s="916"/>
      <c r="AG265" s="916"/>
      <c r="AH265" s="916"/>
      <c r="AI265" s="134"/>
    </row>
    <row r="266" spans="1:35" ht="12" customHeight="1" x14ac:dyDescent="0.2">
      <c r="A266" s="34"/>
      <c r="B266" s="131"/>
      <c r="C266" s="131"/>
      <c r="D266" s="131"/>
      <c r="E266" s="131"/>
      <c r="F266" s="131"/>
      <c r="G266" s="131"/>
      <c r="H266" s="131"/>
      <c r="I266" s="131"/>
      <c r="J266" s="131"/>
      <c r="K266" s="131"/>
      <c r="L266" s="131"/>
      <c r="M266" s="131"/>
      <c r="N266" s="152"/>
      <c r="O266" s="152"/>
      <c r="P266" s="152"/>
      <c r="Q266" s="130"/>
      <c r="R266" s="130"/>
      <c r="S266" s="130"/>
      <c r="T266" s="130"/>
      <c r="U266" s="130"/>
      <c r="V266" s="130"/>
      <c r="W266" s="130"/>
      <c r="X266" s="130"/>
      <c r="Y266" s="130"/>
      <c r="Z266" s="130"/>
      <c r="AA266" s="130"/>
      <c r="AB266" s="130"/>
      <c r="AC266" s="130"/>
      <c r="AD266" s="130"/>
      <c r="AE266" s="130"/>
      <c r="AF266" s="130"/>
      <c r="AG266" s="130"/>
      <c r="AH266" s="130"/>
      <c r="AI266" s="134"/>
    </row>
    <row r="267" spans="1:35" ht="12" customHeight="1" x14ac:dyDescent="0.2">
      <c r="A267" s="34"/>
      <c r="B267" s="131"/>
      <c r="C267" s="131"/>
      <c r="D267" s="131"/>
      <c r="E267" s="131"/>
      <c r="F267" s="131"/>
      <c r="G267" s="131"/>
      <c r="H267" s="131"/>
      <c r="I267" s="131"/>
      <c r="J267" s="131"/>
      <c r="K267" s="131"/>
      <c r="L267" s="131"/>
      <c r="M267" s="131"/>
      <c r="N267" s="152"/>
      <c r="O267" s="152"/>
      <c r="P267" s="152"/>
      <c r="Q267" s="130" t="s">
        <v>658</v>
      </c>
      <c r="R267" s="130"/>
      <c r="S267" s="130"/>
      <c r="T267" s="130"/>
      <c r="U267" s="130"/>
      <c r="V267" s="130"/>
      <c r="W267" s="130"/>
      <c r="X267" s="130"/>
      <c r="Y267" s="130"/>
      <c r="Z267" s="130"/>
      <c r="AA267" s="130" t="s">
        <v>658</v>
      </c>
      <c r="AB267" s="130"/>
      <c r="AC267" s="130"/>
      <c r="AD267" s="130"/>
      <c r="AE267" s="130"/>
      <c r="AF267" s="130"/>
      <c r="AG267" s="130"/>
      <c r="AH267" s="130"/>
      <c r="AI267" s="134"/>
    </row>
    <row r="268" spans="1:35" ht="12" customHeight="1" x14ac:dyDescent="0.2">
      <c r="A268" s="34"/>
      <c r="B268" s="131"/>
      <c r="C268" s="131"/>
      <c r="D268" s="131"/>
      <c r="E268" s="131"/>
      <c r="F268" s="131"/>
      <c r="G268" s="131"/>
      <c r="H268" s="131"/>
      <c r="I268" s="131"/>
      <c r="J268" s="131"/>
      <c r="K268" s="131"/>
      <c r="L268" s="131"/>
      <c r="M268" s="131"/>
      <c r="N268" s="152"/>
      <c r="O268" s="152"/>
      <c r="P268" s="152"/>
      <c r="Q268" s="130"/>
      <c r="R268" s="130"/>
      <c r="S268" s="130"/>
      <c r="T268" s="130"/>
      <c r="U268" s="130"/>
      <c r="V268" s="130"/>
      <c r="W268" s="130"/>
      <c r="X268" s="130"/>
      <c r="Y268" s="130"/>
      <c r="Z268" s="130"/>
      <c r="AA268" s="130"/>
      <c r="AB268" s="130"/>
      <c r="AC268" s="130"/>
      <c r="AD268" s="130"/>
      <c r="AE268" s="130"/>
      <c r="AF268" s="130"/>
      <c r="AG268" s="130"/>
      <c r="AH268" s="130"/>
      <c r="AI268" s="134"/>
    </row>
    <row r="269" spans="1:35" ht="12" customHeight="1" x14ac:dyDescent="0.2">
      <c r="A269" s="34"/>
      <c r="B269" s="36"/>
      <c r="C269" s="36"/>
      <c r="D269" s="36"/>
      <c r="E269" s="36"/>
      <c r="F269" s="36"/>
      <c r="G269" s="36"/>
      <c r="H269" s="36"/>
      <c r="I269" s="36"/>
      <c r="J269" s="36"/>
      <c r="K269" s="34"/>
      <c r="L269" s="34"/>
      <c r="M269" s="34"/>
      <c r="N269" s="34"/>
      <c r="O269" s="34"/>
      <c r="P269" s="1060"/>
      <c r="Q269" s="1119" t="s">
        <v>728</v>
      </c>
      <c r="R269" s="916"/>
      <c r="S269" s="916"/>
      <c r="T269" s="916"/>
      <c r="U269" s="916"/>
      <c r="V269" s="916"/>
      <c r="W269" s="916"/>
      <c r="X269" s="916"/>
      <c r="Y269" s="34"/>
      <c r="Z269" s="1060"/>
      <c r="AA269" s="1119" t="s">
        <v>731</v>
      </c>
      <c r="AB269" s="916"/>
      <c r="AC269" s="916"/>
      <c r="AD269" s="916"/>
      <c r="AE269" s="916"/>
      <c r="AF269" s="916"/>
      <c r="AG269" s="916"/>
      <c r="AH269" s="916"/>
      <c r="AI269" s="134"/>
    </row>
    <row r="270" spans="1:35" ht="12" customHeight="1" x14ac:dyDescent="0.2">
      <c r="A270" s="34"/>
      <c r="B270" s="36"/>
      <c r="C270" s="36"/>
      <c r="D270" s="36"/>
      <c r="E270" s="36"/>
      <c r="F270" s="36"/>
      <c r="G270" s="36"/>
      <c r="H270" s="36"/>
      <c r="I270" s="36"/>
      <c r="J270" s="36"/>
      <c r="K270" s="34"/>
      <c r="L270" s="34"/>
      <c r="M270" s="34"/>
      <c r="N270" s="34"/>
      <c r="O270" s="34"/>
      <c r="P270" s="1060"/>
      <c r="Q270" s="1119"/>
      <c r="R270" s="916"/>
      <c r="S270" s="916"/>
      <c r="T270" s="916"/>
      <c r="U270" s="916"/>
      <c r="V270" s="916"/>
      <c r="W270" s="916"/>
      <c r="X270" s="916"/>
      <c r="Y270" s="34"/>
      <c r="Z270" s="1060"/>
      <c r="AA270" s="1119"/>
      <c r="AB270" s="916"/>
      <c r="AC270" s="916"/>
      <c r="AD270" s="916"/>
      <c r="AE270" s="916"/>
      <c r="AF270" s="916"/>
      <c r="AG270" s="916"/>
      <c r="AH270" s="916"/>
      <c r="AI270" s="134"/>
    </row>
    <row r="271" spans="1:35" ht="12" customHeight="1" x14ac:dyDescent="0.2">
      <c r="A271" s="34"/>
      <c r="B271" s="36"/>
      <c r="C271" s="36"/>
      <c r="D271" s="36"/>
      <c r="E271" s="36"/>
      <c r="F271" s="36"/>
      <c r="G271" s="36"/>
      <c r="H271" s="36"/>
      <c r="I271" s="36"/>
      <c r="J271" s="36"/>
      <c r="K271" s="34"/>
      <c r="L271" s="34"/>
      <c r="M271" s="140"/>
      <c r="N271" s="34"/>
      <c r="O271" s="34"/>
      <c r="P271" s="1060"/>
      <c r="Q271" s="1119"/>
      <c r="R271" s="916"/>
      <c r="S271" s="916"/>
      <c r="T271" s="916"/>
      <c r="U271" s="916"/>
      <c r="V271" s="916"/>
      <c r="W271" s="916"/>
      <c r="X271" s="916"/>
      <c r="Y271" s="34"/>
      <c r="Z271" s="1060"/>
      <c r="AA271" s="1119"/>
      <c r="AB271" s="916"/>
      <c r="AC271" s="916"/>
      <c r="AD271" s="916"/>
      <c r="AE271" s="916"/>
      <c r="AF271" s="916"/>
      <c r="AG271" s="916"/>
      <c r="AH271" s="916"/>
      <c r="AI271" s="134"/>
    </row>
    <row r="272" spans="1:35" ht="12" customHeight="1" x14ac:dyDescent="0.2">
      <c r="A272" s="34"/>
      <c r="B272" s="36"/>
      <c r="C272" s="36"/>
      <c r="D272" s="36"/>
      <c r="E272" s="36"/>
      <c r="F272" s="36"/>
      <c r="G272" s="36"/>
      <c r="H272" s="36"/>
      <c r="I272" s="36"/>
      <c r="J272" s="36"/>
      <c r="K272" s="34"/>
      <c r="L272" s="34"/>
      <c r="M272" s="140"/>
      <c r="N272" s="34"/>
      <c r="O272" s="34"/>
      <c r="P272" s="152"/>
      <c r="Q272" s="130"/>
      <c r="R272" s="130"/>
      <c r="S272" s="130"/>
      <c r="T272" s="130"/>
      <c r="U272" s="130"/>
      <c r="V272" s="130"/>
      <c r="W272" s="130"/>
      <c r="X272" s="130"/>
      <c r="Y272" s="130"/>
      <c r="Z272" s="130"/>
      <c r="AA272" s="130"/>
      <c r="AB272" s="130"/>
      <c r="AC272" s="130"/>
      <c r="AD272" s="130"/>
      <c r="AE272" s="130"/>
      <c r="AF272" s="130"/>
      <c r="AG272" s="130"/>
      <c r="AH272" s="130"/>
      <c r="AI272" s="134"/>
    </row>
    <row r="273" spans="1:35" ht="12" customHeight="1" x14ac:dyDescent="0.2">
      <c r="A273" s="34"/>
      <c r="B273" s="36"/>
      <c r="C273" s="36"/>
      <c r="D273" s="36"/>
      <c r="E273" s="36"/>
      <c r="F273" s="36"/>
      <c r="G273" s="36"/>
      <c r="H273" s="36"/>
      <c r="I273" s="36"/>
      <c r="J273" s="36"/>
      <c r="K273" s="34"/>
      <c r="L273" s="34"/>
      <c r="M273" s="140"/>
      <c r="N273" s="34"/>
      <c r="O273" s="34"/>
      <c r="P273" s="152"/>
      <c r="Q273" s="130" t="s">
        <v>658</v>
      </c>
      <c r="R273" s="130"/>
      <c r="S273" s="130"/>
      <c r="T273" s="130"/>
      <c r="U273" s="130"/>
      <c r="V273" s="130"/>
      <c r="W273" s="130"/>
      <c r="X273" s="130"/>
      <c r="Y273" s="130"/>
      <c r="Z273" s="130"/>
      <c r="AA273" s="130" t="s">
        <v>658</v>
      </c>
      <c r="AB273" s="130"/>
      <c r="AC273" s="130"/>
      <c r="AD273" s="130"/>
      <c r="AE273" s="130"/>
      <c r="AF273" s="130"/>
      <c r="AG273" s="130"/>
      <c r="AH273" s="130"/>
      <c r="AI273" s="134"/>
    </row>
    <row r="274" spans="1:35" ht="12" customHeight="1" x14ac:dyDescent="0.2">
      <c r="A274" s="34"/>
      <c r="B274" s="36"/>
      <c r="C274" s="36"/>
      <c r="D274" s="36"/>
      <c r="E274" s="36"/>
      <c r="F274" s="36"/>
      <c r="G274" s="36"/>
      <c r="H274" s="36"/>
      <c r="I274" s="36"/>
      <c r="J274" s="36"/>
      <c r="K274" s="34"/>
      <c r="L274" s="34"/>
      <c r="M274" s="140"/>
      <c r="N274" s="34"/>
      <c r="O274" s="34"/>
      <c r="P274" s="34"/>
      <c r="Q274" s="130"/>
      <c r="R274" s="130"/>
      <c r="S274" s="130"/>
      <c r="T274" s="130"/>
      <c r="U274" s="130"/>
      <c r="V274" s="130"/>
      <c r="W274" s="130"/>
      <c r="X274" s="130"/>
      <c r="Y274" s="130"/>
      <c r="Z274" s="130"/>
      <c r="AA274" s="130"/>
      <c r="AB274" s="130"/>
      <c r="AC274" s="130"/>
      <c r="AD274" s="130"/>
      <c r="AE274" s="130"/>
      <c r="AF274" s="130"/>
      <c r="AG274" s="130"/>
      <c r="AH274" s="130"/>
      <c r="AI274" s="134"/>
    </row>
    <row r="275" spans="1:35" ht="12" customHeight="1" x14ac:dyDescent="0.2">
      <c r="A275" s="34"/>
      <c r="B275" s="36"/>
      <c r="C275" s="36"/>
      <c r="D275" s="36"/>
      <c r="E275" s="36"/>
      <c r="F275" s="36"/>
      <c r="G275" s="36"/>
      <c r="H275" s="36"/>
      <c r="I275" s="36"/>
      <c r="J275" s="36"/>
      <c r="K275" s="34"/>
      <c r="L275" s="34"/>
      <c r="M275" s="140"/>
      <c r="N275" s="34"/>
      <c r="O275" s="34"/>
      <c r="P275" s="1060"/>
      <c r="Q275" s="1119" t="s">
        <v>729</v>
      </c>
      <c r="R275" s="916"/>
      <c r="S275" s="916"/>
      <c r="T275" s="916"/>
      <c r="U275" s="916"/>
      <c r="V275" s="916"/>
      <c r="W275" s="916"/>
      <c r="X275" s="916"/>
      <c r="Y275" s="34"/>
      <c r="Z275" s="1060"/>
      <c r="AA275" s="1119" t="s">
        <v>732</v>
      </c>
      <c r="AB275" s="916"/>
      <c r="AC275" s="916"/>
      <c r="AD275" s="916"/>
      <c r="AE275" s="916"/>
      <c r="AF275" s="916"/>
      <c r="AG275" s="916"/>
      <c r="AH275" s="916"/>
      <c r="AI275" s="134"/>
    </row>
    <row r="276" spans="1:35" ht="12" customHeight="1" x14ac:dyDescent="0.2">
      <c r="A276" s="34"/>
      <c r="B276" s="36"/>
      <c r="C276" s="36"/>
      <c r="D276" s="36"/>
      <c r="E276" s="36"/>
      <c r="F276" s="36"/>
      <c r="G276" s="36"/>
      <c r="H276" s="36"/>
      <c r="I276" s="36"/>
      <c r="J276" s="36"/>
      <c r="K276" s="34"/>
      <c r="L276" s="34"/>
      <c r="M276" s="140"/>
      <c r="N276" s="34"/>
      <c r="O276" s="34"/>
      <c r="P276" s="1060"/>
      <c r="Q276" s="1119"/>
      <c r="R276" s="916"/>
      <c r="S276" s="916"/>
      <c r="T276" s="916"/>
      <c r="U276" s="916"/>
      <c r="V276" s="916"/>
      <c r="W276" s="916"/>
      <c r="X276" s="916"/>
      <c r="Y276" s="34"/>
      <c r="Z276" s="1060"/>
      <c r="AA276" s="1119"/>
      <c r="AB276" s="916"/>
      <c r="AC276" s="916"/>
      <c r="AD276" s="916"/>
      <c r="AE276" s="916"/>
      <c r="AF276" s="916"/>
      <c r="AG276" s="916"/>
      <c r="AH276" s="916"/>
      <c r="AI276" s="134"/>
    </row>
    <row r="277" spans="1:35" ht="12" customHeight="1" x14ac:dyDescent="0.2">
      <c r="A277" s="34"/>
      <c r="B277" s="36"/>
      <c r="C277" s="36"/>
      <c r="D277" s="36"/>
      <c r="E277" s="36"/>
      <c r="F277" s="36"/>
      <c r="G277" s="36"/>
      <c r="H277" s="36"/>
      <c r="I277" s="36"/>
      <c r="J277" s="36"/>
      <c r="K277" s="34"/>
      <c r="L277" s="34"/>
      <c r="M277" s="140"/>
      <c r="N277" s="34"/>
      <c r="O277" s="34"/>
      <c r="P277" s="1060"/>
      <c r="Q277" s="1119"/>
      <c r="R277" s="916"/>
      <c r="S277" s="916"/>
      <c r="T277" s="916"/>
      <c r="U277" s="916"/>
      <c r="V277" s="916"/>
      <c r="W277" s="916"/>
      <c r="X277" s="916"/>
      <c r="Y277" s="34"/>
      <c r="Z277" s="1060"/>
      <c r="AA277" s="1119"/>
      <c r="AB277" s="916"/>
      <c r="AC277" s="916"/>
      <c r="AD277" s="916"/>
      <c r="AE277" s="916"/>
      <c r="AF277" s="916"/>
      <c r="AG277" s="916"/>
      <c r="AH277" s="916"/>
      <c r="AI277" s="134"/>
    </row>
    <row r="278" spans="1:35" ht="12" customHeight="1" x14ac:dyDescent="0.2">
      <c r="A278" s="34"/>
      <c r="B278" s="36"/>
      <c r="C278" s="36"/>
      <c r="D278" s="36"/>
      <c r="E278" s="36"/>
      <c r="F278" s="36"/>
      <c r="G278" s="36"/>
      <c r="H278" s="36"/>
      <c r="I278" s="36"/>
      <c r="J278" s="36"/>
      <c r="K278" s="34"/>
      <c r="L278" s="34"/>
      <c r="M278" s="140"/>
      <c r="N278" s="34"/>
      <c r="O278" s="34"/>
      <c r="P278" s="34"/>
      <c r="Q278" s="130"/>
      <c r="R278" s="130"/>
      <c r="S278" s="130"/>
      <c r="T278" s="130"/>
      <c r="U278" s="130"/>
      <c r="V278" s="130"/>
      <c r="W278" s="130"/>
      <c r="X278" s="130"/>
      <c r="Y278" s="130"/>
      <c r="Z278" s="130"/>
      <c r="AA278" s="130"/>
      <c r="AB278" s="130"/>
      <c r="AC278" s="130"/>
      <c r="AD278" s="130"/>
      <c r="AE278" s="130"/>
      <c r="AF278" s="130"/>
      <c r="AG278" s="130"/>
      <c r="AH278" s="130"/>
      <c r="AI278" s="134"/>
    </row>
    <row r="279" spans="1:35" ht="12" customHeight="1" x14ac:dyDescent="0.2">
      <c r="A279" s="34"/>
      <c r="B279" s="36"/>
      <c r="C279" s="36"/>
      <c r="D279" s="36"/>
      <c r="E279" s="36"/>
      <c r="F279" s="36"/>
      <c r="G279" s="36"/>
      <c r="H279" s="36"/>
      <c r="I279" s="36"/>
      <c r="J279" s="36"/>
      <c r="K279" s="34"/>
      <c r="L279" s="34"/>
      <c r="M279" s="140"/>
      <c r="N279" s="34"/>
      <c r="O279" s="34"/>
      <c r="P279" s="34"/>
      <c r="Q279" s="130"/>
      <c r="R279" s="130"/>
      <c r="S279" s="130"/>
      <c r="T279" s="130"/>
      <c r="U279" s="130"/>
      <c r="V279" s="130"/>
      <c r="W279" s="130"/>
      <c r="X279" s="130"/>
      <c r="Y279" s="130"/>
      <c r="Z279" s="130"/>
      <c r="AA279" s="130"/>
      <c r="AB279" s="130"/>
      <c r="AC279" s="130"/>
      <c r="AD279" s="130"/>
      <c r="AE279" s="130"/>
      <c r="AF279" s="130"/>
      <c r="AG279" s="130"/>
      <c r="AH279" s="130"/>
      <c r="AI279" s="134"/>
    </row>
    <row r="280" spans="1:35" ht="12" customHeight="1" thickBot="1" x14ac:dyDescent="0.25">
      <c r="A280" s="34"/>
      <c r="B280" s="141"/>
      <c r="C280" s="141"/>
      <c r="D280" s="141"/>
      <c r="E280" s="141"/>
      <c r="F280" s="141"/>
      <c r="G280" s="141"/>
      <c r="H280" s="141"/>
      <c r="I280" s="141"/>
      <c r="J280" s="141"/>
      <c r="K280" s="53"/>
      <c r="L280" s="53"/>
      <c r="M280" s="142"/>
      <c r="N280" s="53"/>
      <c r="O280" s="53"/>
      <c r="P280" s="53"/>
      <c r="Q280" s="143"/>
      <c r="R280" s="143"/>
      <c r="S280" s="143"/>
      <c r="T280" s="143"/>
      <c r="U280" s="143"/>
      <c r="V280" s="143"/>
      <c r="W280" s="143"/>
      <c r="X280" s="143"/>
      <c r="Y280" s="143"/>
      <c r="Z280" s="143"/>
      <c r="AA280" s="143"/>
      <c r="AB280" s="143"/>
      <c r="AC280" s="143"/>
      <c r="AD280" s="143"/>
      <c r="AE280" s="143"/>
      <c r="AF280" s="143"/>
      <c r="AG280" s="143"/>
      <c r="AH280" s="143"/>
      <c r="AI280" s="134"/>
    </row>
    <row r="281" spans="1:35" ht="22.5" customHeight="1" x14ac:dyDescent="0.2">
      <c r="A281" s="34"/>
      <c r="B281" s="1115"/>
      <c r="C281" s="1115"/>
      <c r="D281" s="1115"/>
      <c r="E281" s="1115"/>
      <c r="F281" s="1115"/>
      <c r="G281" s="1115"/>
      <c r="H281" s="1115"/>
      <c r="I281" s="1115"/>
      <c r="J281" s="1115"/>
      <c r="K281" s="1115"/>
      <c r="L281" s="1115"/>
      <c r="M281" s="1115"/>
      <c r="N281" s="1115"/>
      <c r="O281" s="1115"/>
      <c r="P281" s="1115"/>
      <c r="Q281" s="1115"/>
      <c r="R281" s="1115"/>
      <c r="S281" s="1115"/>
      <c r="T281" s="1115"/>
      <c r="U281" s="1064" t="str">
        <f>IF(P263="X","Informations complémentaires dans le site impacté avant impact",IF(P269="X","Informations complémentaires dans le site impacté avec impact envisagé",IF(P275="X","Informations complémentaires dans le site impacté après impact",IF(Z263="X","Informations complémentaires dans le site de compensation avant action écologique",IF(Z269="X","Informations complémentaires dans le site de compensation avec action écologique envisagée",IF(Z275="X","Informations complémentaires dans le site de compensation après action écologique",""))))))</f>
        <v/>
      </c>
      <c r="V281" s="1064"/>
      <c r="W281" s="1064"/>
      <c r="X281" s="1064"/>
      <c r="Y281" s="1064"/>
      <c r="Z281" s="1064"/>
      <c r="AA281" s="1064"/>
      <c r="AB281" s="1064"/>
      <c r="AC281" s="1064"/>
      <c r="AD281" s="1064"/>
      <c r="AE281" s="1064"/>
      <c r="AF281" s="1064"/>
      <c r="AG281" s="1064"/>
      <c r="AH281" s="1064"/>
      <c r="AI281" s="34"/>
    </row>
    <row r="282" spans="1:35" ht="22.5" customHeight="1" thickBot="1" x14ac:dyDescent="0.25">
      <c r="A282" s="34"/>
      <c r="B282" s="1116"/>
      <c r="C282" s="1116"/>
      <c r="D282" s="1116"/>
      <c r="E282" s="1116"/>
      <c r="F282" s="1116"/>
      <c r="G282" s="1116"/>
      <c r="H282" s="1116"/>
      <c r="I282" s="1116"/>
      <c r="J282" s="1116"/>
      <c r="K282" s="1116"/>
      <c r="L282" s="1116"/>
      <c r="M282" s="1116"/>
      <c r="N282" s="1116"/>
      <c r="O282" s="1116"/>
      <c r="P282" s="1116"/>
      <c r="Q282" s="1116"/>
      <c r="R282" s="1116"/>
      <c r="S282" s="1116"/>
      <c r="T282" s="1116"/>
      <c r="U282" s="1120"/>
      <c r="V282" s="1120"/>
      <c r="W282" s="1120"/>
      <c r="X282" s="1120"/>
      <c r="Y282" s="1120"/>
      <c r="Z282" s="1120"/>
      <c r="AA282" s="1120"/>
      <c r="AB282" s="1120"/>
      <c r="AC282" s="1120"/>
      <c r="AD282" s="1120"/>
      <c r="AE282" s="1120"/>
      <c r="AF282" s="1120"/>
      <c r="AG282" s="1120"/>
      <c r="AH282" s="1120"/>
      <c r="AI282" s="34"/>
    </row>
    <row r="283" spans="1:35" ht="22.5" customHeight="1" thickBot="1" x14ac:dyDescent="0.25">
      <c r="A283" s="34"/>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34"/>
    </row>
    <row r="284" spans="1:35" ht="22.5" customHeight="1" x14ac:dyDescent="0.25">
      <c r="A284" s="34"/>
      <c r="B284" s="51" t="s">
        <v>733</v>
      </c>
      <c r="C284" s="34"/>
      <c r="D284" s="34"/>
      <c r="E284" s="34"/>
      <c r="F284" s="34"/>
      <c r="G284" s="34"/>
      <c r="H284" s="34"/>
      <c r="I284" s="34"/>
      <c r="J284" s="34"/>
      <c r="K284" s="34"/>
      <c r="L284" s="34"/>
      <c r="M284" s="34"/>
      <c r="N284" s="34"/>
      <c r="O284" s="34"/>
      <c r="P284" s="34"/>
      <c r="Q284" s="34"/>
      <c r="R284" s="34"/>
      <c r="S284" s="34"/>
      <c r="T284" s="34"/>
      <c r="U284" s="144"/>
      <c r="V284" s="34"/>
      <c r="W284" s="34"/>
      <c r="X284" s="34"/>
      <c r="Y284" s="34"/>
      <c r="Z284" s="34"/>
      <c r="AA284" s="34"/>
      <c r="AB284" s="34"/>
      <c r="AC284" s="34"/>
      <c r="AD284" s="34"/>
      <c r="AE284" s="34"/>
      <c r="AF284" s="34"/>
      <c r="AG284" s="34"/>
      <c r="AH284" s="34"/>
      <c r="AI284" s="34"/>
    </row>
    <row r="285" spans="1:35" ht="22.5" customHeight="1" x14ac:dyDescent="0.25">
      <c r="A285" s="34"/>
      <c r="B285" s="1121" t="s">
        <v>711</v>
      </c>
      <c r="C285" s="1121"/>
      <c r="D285" s="1121"/>
      <c r="E285" s="1121"/>
      <c r="F285" s="1121"/>
      <c r="G285" s="1121"/>
      <c r="H285" s="1121"/>
      <c r="I285" s="1121"/>
      <c r="J285" s="1121"/>
      <c r="K285" s="1121"/>
      <c r="L285" s="1121"/>
      <c r="M285" s="1121"/>
      <c r="N285" s="1121"/>
      <c r="O285" s="1121"/>
      <c r="P285" s="1121"/>
      <c r="Q285" s="1121"/>
      <c r="R285" s="1121"/>
      <c r="S285" s="1121"/>
      <c r="T285" s="1121"/>
      <c r="U285" s="1117" t="str">
        <f>IF(P263="X",IF('Eval-Avant impact'!$C$419="","",IF('Eval-Avant impact'!$C$419&lt;&gt;"",'Eval-Avant impact'!$C$419,"")),IF(P269="X",IF('Eval-Avec impact envisagé'!$C$419="","",IF('Eval-Avec impact envisagé'!$C$419&lt;&gt;"",'Eval-Avec impact envisagé'!$C$419,"")),IF(P275="X",IF('Eval-Après impact'!$C$419="","",IF('Eval-Après impact'!$C$419&lt;&gt;"",'Eval-Après impact'!$C$419,"")),IF(Z263="X",IF('Eval-Avant action écologique'!$C$419="","",IF('Eval-Avant action écologique'!$C$419&lt;&gt;"",'Eval-Avant action écologique'!$C$419,"")),IF(Z269="X",IF('Eval-Avec act. écol. envisagée'!$C$419="","",IF('Eval-Avec act. écol. envisagée'!$C$419&lt;&gt;"",'Eval-Avec act. écol. envisagée'!$C$419,"")),IF(Z275="X",IF('Eval-Après action écologique'!$C$419="","",IF('Eval-Après action écologique'!$C$419&lt;&gt;"",'Eval-Après action écologique'!$C$419,"")),""))))))</f>
        <v/>
      </c>
      <c r="V285" s="1117"/>
      <c r="W285" s="1117"/>
      <c r="X285" s="1117"/>
      <c r="Y285" s="1117"/>
      <c r="Z285" s="1117"/>
      <c r="AA285" s="1117"/>
      <c r="AB285" s="1117"/>
      <c r="AC285" s="1117"/>
      <c r="AD285" s="1117"/>
      <c r="AE285" s="1117"/>
      <c r="AF285" s="1117"/>
      <c r="AG285" s="1117"/>
      <c r="AH285" s="1117"/>
      <c r="AI285" s="34"/>
    </row>
    <row r="286" spans="1:35" ht="22.5" customHeight="1" x14ac:dyDescent="0.25">
      <c r="A286" s="34"/>
      <c r="B286" s="1121" t="s">
        <v>712</v>
      </c>
      <c r="C286" s="1121"/>
      <c r="D286" s="1121"/>
      <c r="E286" s="1121"/>
      <c r="F286" s="1121"/>
      <c r="G286" s="1121"/>
      <c r="H286" s="1121"/>
      <c r="I286" s="1121"/>
      <c r="J286" s="1121"/>
      <c r="K286" s="1121"/>
      <c r="L286" s="1121"/>
      <c r="M286" s="1121"/>
      <c r="N286" s="1121"/>
      <c r="O286" s="1121"/>
      <c r="P286" s="1121"/>
      <c r="Q286" s="1121"/>
      <c r="R286" s="1121"/>
      <c r="S286" s="1121"/>
      <c r="T286" s="1121"/>
      <c r="U286" s="1117" t="str">
        <f>IF(P263="X",IF('Eval-Avant impact'!$C$435="","",IF('Eval-Avant impact'!$C$435&lt;&gt;"",'Eval-Avant impact'!$C$435,"")),IF(P269="X",IF('Eval-Avec impact envisagé'!$C$435="","",IF('Eval-Avec impact envisagé'!$C$435&lt;&gt;"",'Eval-Avec impact envisagé'!$C$435,"")),IF(P275="X",IF('Eval-Après impact'!$C$435="","",IF('Eval-Après impact'!$C$435&lt;&gt;"",'Eval-Après impact'!$C$435,"")),IF(Z263="X",IF('Eval-Avant action écologique'!$C$435="","",IF('Eval-Avant action écologique'!$C$435&lt;&gt;"",'Eval-Avant action écologique'!$C$435,"")),IF(Z269="X",IF('Eval-Avec act. écol. envisagée'!$C$435="","",IF('Eval-Avec act. écol. envisagée'!$C$435&lt;&gt;"",'Eval-Avec act. écol. envisagée'!$C$435,"")),IF(Z275="X",IF('Eval-Après action écologique'!$C$435="","",IF('Eval-Après action écologique'!$C$435&lt;&gt;"",'Eval-Après action écologique'!$C$435,"")),""))))))</f>
        <v/>
      </c>
      <c r="V286" s="1117"/>
      <c r="W286" s="1117"/>
      <c r="X286" s="1117"/>
      <c r="Y286" s="1117"/>
      <c r="Z286" s="1117"/>
      <c r="AA286" s="1117"/>
      <c r="AB286" s="1117"/>
      <c r="AC286" s="1117"/>
      <c r="AD286" s="1117"/>
      <c r="AE286" s="1117"/>
      <c r="AF286" s="1117"/>
      <c r="AG286" s="1117"/>
      <c r="AH286" s="1117"/>
      <c r="AI286" s="34"/>
    </row>
    <row r="287" spans="1:35" ht="22.5" customHeight="1" x14ac:dyDescent="0.25">
      <c r="A287" s="34"/>
      <c r="B287" s="1121" t="s">
        <v>713</v>
      </c>
      <c r="C287" s="1121"/>
      <c r="D287" s="1121"/>
      <c r="E287" s="1121"/>
      <c r="F287" s="1121"/>
      <c r="G287" s="1121"/>
      <c r="H287" s="1121"/>
      <c r="I287" s="1121"/>
      <c r="J287" s="1121"/>
      <c r="K287" s="1121"/>
      <c r="L287" s="1121"/>
      <c r="M287" s="1121"/>
      <c r="N287" s="1121"/>
      <c r="O287" s="1121"/>
      <c r="P287" s="1121"/>
      <c r="Q287" s="1121"/>
      <c r="R287" s="1121"/>
      <c r="S287" s="1121"/>
      <c r="T287" s="1121"/>
      <c r="U287" s="1117" t="str">
        <f>IF(P263="X",IF('Eval-Avant impact'!$J$440="X","oui",IF('Eval-Avant impact'!$T$440="X","non","")),IF(P269="X",IF('Eval-Avec impact envisagé'!$J$440="X","oui",IF('Eval-Avec impact envisagé'!$T$440="X","non","")),IF(P275="X",IF('Eval-Après impact'!$J$440="X","oui",IF('Eval-Après impact'!$T$440="X","non","")),IF(Z263="X",IF('Eval-Avant action écologique'!$J$440="X","oui",IF('Eval-Avant action écologique'!$T$440="X","non","")),IF(Z269="X",IF('Eval-Avec act. écol. envisagée'!$J$440="X","oui",IF('Eval-Avec act. écol. envisagée'!$T$440="X","non","")),IF(Z275="X",IF('Eval-Après action écologique'!$J$440="X","oui",IF('Eval-Après action écologique'!$T$440="X","non","")),""))))))</f>
        <v/>
      </c>
      <c r="V287" s="1117"/>
      <c r="W287" s="1117"/>
      <c r="X287" s="1117"/>
      <c r="Y287" s="1117"/>
      <c r="Z287" s="1117"/>
      <c r="AA287" s="1117"/>
      <c r="AB287" s="1117"/>
      <c r="AC287" s="1117"/>
      <c r="AD287" s="1117"/>
      <c r="AE287" s="1117"/>
      <c r="AF287" s="1117"/>
      <c r="AG287" s="1117"/>
      <c r="AH287" s="1117"/>
      <c r="AI287" s="34"/>
    </row>
    <row r="288" spans="1:35" ht="22.5" customHeight="1" x14ac:dyDescent="0.25">
      <c r="A288" s="34"/>
      <c r="B288" s="1121" t="s">
        <v>714</v>
      </c>
      <c r="C288" s="1121"/>
      <c r="D288" s="1121"/>
      <c r="E288" s="1121"/>
      <c r="F288" s="1121"/>
      <c r="G288" s="1121"/>
      <c r="H288" s="1121"/>
      <c r="I288" s="1121"/>
      <c r="J288" s="1121"/>
      <c r="K288" s="1121"/>
      <c r="L288" s="1121"/>
      <c r="M288" s="1121"/>
      <c r="N288" s="1121"/>
      <c r="O288" s="1121"/>
      <c r="P288" s="1121"/>
      <c r="Q288" s="1121"/>
      <c r="R288" s="1121"/>
      <c r="S288" s="1121"/>
      <c r="T288" s="1121"/>
      <c r="U288" s="1117" t="str">
        <f>IF(P263="X",IF('Eval-Avant impact'!$J$444="X","oui",IF('Eval-Avant impact'!$T$444="X","non","")),IF(P269="X",IF('Eval-Avec impact envisagé'!$J$444="X","oui",IF('Eval-Avec impact envisagé'!$T$444="X","non","")),IF(P275="X",IF('Eval-Après impact'!$J$444="X","oui",IF('Eval-Après impact'!$T$444="X","non","")),IF(Z263="X",IF('Eval-Avant action écologique'!$J$444="X","oui",IF('Eval-Avant action écologique'!$T$444="X","non","")),IF(Z269="X",IF('Eval-Avec act. écol. envisagée'!$J$444="X","oui",IF('Eval-Avec act. écol. envisagée'!$T$444="X","non","")),IF(Z275="X",IF('Eval-Après action écologique'!$J$444="X","oui",IF('Eval-Après action écologique'!$T$444="X","non","")),""))))))</f>
        <v/>
      </c>
      <c r="V288" s="1117"/>
      <c r="W288" s="1117"/>
      <c r="X288" s="1117"/>
      <c r="Y288" s="1117"/>
      <c r="Z288" s="1117"/>
      <c r="AA288" s="1117"/>
      <c r="AB288" s="1117"/>
      <c r="AC288" s="1117"/>
      <c r="AD288" s="1117"/>
      <c r="AE288" s="1117"/>
      <c r="AF288" s="1117"/>
      <c r="AG288" s="1117"/>
      <c r="AH288" s="1117"/>
      <c r="AI288" s="34"/>
    </row>
    <row r="289" spans="1:35" ht="22.5" customHeight="1" thickBot="1" x14ac:dyDescent="0.3">
      <c r="A289" s="34"/>
      <c r="B289" s="1122" t="s">
        <v>715</v>
      </c>
      <c r="C289" s="1122"/>
      <c r="D289" s="1122"/>
      <c r="E289" s="1122"/>
      <c r="F289" s="1122"/>
      <c r="G289" s="1122"/>
      <c r="H289" s="1122"/>
      <c r="I289" s="1122"/>
      <c r="J289" s="1122"/>
      <c r="K289" s="1122"/>
      <c r="L289" s="1122"/>
      <c r="M289" s="1122"/>
      <c r="N289" s="1122"/>
      <c r="O289" s="1122"/>
      <c r="P289" s="1122"/>
      <c r="Q289" s="1122"/>
      <c r="R289" s="1122"/>
      <c r="S289" s="1122"/>
      <c r="T289" s="1122"/>
      <c r="U289" s="1118" t="str">
        <f>IF(P263="X",IF('Eval-Avant impact'!$J$449="X","oui",IF('Eval-Avant impact'!$T$449="X","non","")),IF(P269="X",IF('Eval-Avec impact envisagé'!$J$449="X","oui",IF('Eval-Avec impact envisagé'!$T$449="X","non","")),IF(P275="X",IF('Eval-Après impact'!$J$449="X","oui",IF('Eval-Après impact'!$T$449="X","non","")),IF(Z263="X",IF('Eval-Avant action écologique'!$J$449="X","oui",IF('Eval-Avant action écologique'!$T$449="X","non","")),IF(Z269="X",IF('Eval-Avec act. écol. envisagée'!$J$449="X","oui",IF('Eval-Avec act. écol. envisagée'!$T$449="X","non","")),IF(Z275="X",IF('Eval-Après action écologique'!$J$449="X","oui",IF('Eval-Après action écologique'!$T$449="X","non","")),""))))))</f>
        <v/>
      </c>
      <c r="V289" s="1118"/>
      <c r="W289" s="1118"/>
      <c r="X289" s="1118"/>
      <c r="Y289" s="1118"/>
      <c r="Z289" s="1118"/>
      <c r="AA289" s="1118"/>
      <c r="AB289" s="1118"/>
      <c r="AC289" s="1118"/>
      <c r="AD289" s="1118"/>
      <c r="AE289" s="1118"/>
      <c r="AF289" s="1118"/>
      <c r="AG289" s="1118"/>
      <c r="AH289" s="1118"/>
      <c r="AI289" s="34"/>
    </row>
    <row r="290" spans="1:35" ht="22.5" customHeight="1" thickBot="1" x14ac:dyDescent="0.3">
      <c r="A290" s="34"/>
      <c r="B290" s="145"/>
      <c r="C290" s="53"/>
      <c r="D290" s="53"/>
      <c r="E290" s="53"/>
      <c r="F290" s="53"/>
      <c r="G290" s="53"/>
      <c r="H290" s="53"/>
      <c r="I290" s="145"/>
      <c r="J290" s="53"/>
      <c r="K290" s="53"/>
      <c r="L290" s="53"/>
      <c r="M290" s="53"/>
      <c r="N290" s="53"/>
      <c r="O290" s="53"/>
      <c r="P290" s="53"/>
      <c r="Q290" s="53"/>
      <c r="R290" s="53"/>
      <c r="S290" s="53"/>
      <c r="T290" s="53"/>
      <c r="U290" s="146"/>
      <c r="V290" s="53"/>
      <c r="W290" s="53"/>
      <c r="X290" s="53"/>
      <c r="Y290" s="53"/>
      <c r="Z290" s="53"/>
      <c r="AA290" s="53"/>
      <c r="AB290" s="53"/>
      <c r="AC290" s="53"/>
      <c r="AD290" s="53"/>
      <c r="AE290" s="53"/>
      <c r="AF290" s="53"/>
      <c r="AG290" s="53"/>
      <c r="AH290" s="53"/>
      <c r="AI290" s="34"/>
    </row>
    <row r="291" spans="1:35" ht="22.5" customHeight="1" x14ac:dyDescent="0.25">
      <c r="A291" s="34"/>
      <c r="B291" s="51" t="s">
        <v>541</v>
      </c>
      <c r="C291" s="34"/>
      <c r="D291" s="34"/>
      <c r="E291" s="34"/>
      <c r="F291" s="34"/>
      <c r="G291" s="34"/>
      <c r="H291" s="34"/>
      <c r="I291" s="147"/>
      <c r="J291" s="34"/>
      <c r="K291" s="34"/>
      <c r="L291" s="34"/>
      <c r="M291" s="34"/>
      <c r="N291" s="34"/>
      <c r="O291" s="34"/>
      <c r="P291" s="34"/>
      <c r="Q291" s="34"/>
      <c r="R291" s="34"/>
      <c r="S291" s="34"/>
      <c r="T291" s="34"/>
      <c r="U291" s="144"/>
      <c r="V291" s="34"/>
      <c r="W291" s="34"/>
      <c r="X291" s="34"/>
      <c r="Y291" s="34"/>
      <c r="Z291" s="34"/>
      <c r="AA291" s="34"/>
      <c r="AB291" s="34"/>
      <c r="AC291" s="34"/>
      <c r="AD291" s="34"/>
      <c r="AE291" s="34"/>
      <c r="AF291" s="34"/>
      <c r="AG291" s="34"/>
      <c r="AH291" s="34"/>
      <c r="AI291" s="34"/>
    </row>
    <row r="292" spans="1:35" ht="22.5" customHeight="1" x14ac:dyDescent="0.25">
      <c r="A292" s="34"/>
      <c r="B292" s="1121" t="s">
        <v>716</v>
      </c>
      <c r="C292" s="1121"/>
      <c r="D292" s="1121"/>
      <c r="E292" s="1121"/>
      <c r="F292" s="1121"/>
      <c r="G292" s="1121"/>
      <c r="H292" s="1121"/>
      <c r="I292" s="1121"/>
      <c r="J292" s="1121"/>
      <c r="K292" s="1121"/>
      <c r="L292" s="1121"/>
      <c r="M292" s="1121"/>
      <c r="N292" s="1121"/>
      <c r="O292" s="1121"/>
      <c r="P292" s="1121"/>
      <c r="Q292" s="1121"/>
      <c r="R292" s="1121"/>
      <c r="S292" s="1121"/>
      <c r="T292" s="1121"/>
      <c r="U292" s="1117" t="str">
        <f>IF(P263="X",IF('Eval-Avant impact'!$C$486="","",IF('Eval-Avant impact'!$C$486&lt;&gt;"",'Eval-Avant impact'!$C$486,"")),IF(P269="X",IF('Eval-Avec impact envisagé'!$C$486="","",IF('Eval-Avec impact envisagé'!$C$486&lt;&gt;"",'Eval-Avec impact envisagé'!$C$486,"")),IF(P275="X",IF('Eval-Après impact'!$C$486="","",IF('Eval-Après impact'!$C$486&lt;&gt;"",'Eval-Après impact'!$C$486,"")),IF(Z263="X",IF('Eval-Avant action écologique'!$C$486="","",IF('Eval-Avant action écologique'!$C$486&lt;&gt;"",'Eval-Avant action écologique'!$C$486,"")),IF(Z269="X",IF('Eval-Avec act. écol. envisagée'!$C$486="","",IF('Eval-Avec act. écol. envisagée'!$C$486&lt;&gt;"",'Eval-Avec act. écol. envisagée'!$C$486,"")),IF(Z275="X",IF('Eval-Après action écologique'!$C$486="","",IF('Eval-Après action écologique'!$C$486&lt;&gt;"",'Eval-Après action écologique'!$C$486,"")),""))))))</f>
        <v/>
      </c>
      <c r="V292" s="1117"/>
      <c r="W292" s="1117"/>
      <c r="X292" s="1117"/>
      <c r="Y292" s="1117"/>
      <c r="Z292" s="1117"/>
      <c r="AA292" s="1117"/>
      <c r="AB292" s="1117"/>
      <c r="AC292" s="1117"/>
      <c r="AD292" s="1117"/>
      <c r="AE292" s="1117"/>
      <c r="AF292" s="1117"/>
      <c r="AG292" s="1117"/>
      <c r="AH292" s="1117"/>
      <c r="AI292" s="34"/>
    </row>
    <row r="293" spans="1:35" ht="22.5" customHeight="1" x14ac:dyDescent="0.25">
      <c r="A293" s="34"/>
      <c r="B293" s="1121" t="s">
        <v>719</v>
      </c>
      <c r="C293" s="1121"/>
      <c r="D293" s="1121"/>
      <c r="E293" s="1121"/>
      <c r="F293" s="1121"/>
      <c r="G293" s="1121"/>
      <c r="H293" s="1121"/>
      <c r="I293" s="1121"/>
      <c r="J293" s="1121"/>
      <c r="K293" s="1121"/>
      <c r="L293" s="1121"/>
      <c r="M293" s="1121"/>
      <c r="N293" s="1121"/>
      <c r="O293" s="1121"/>
      <c r="P293" s="1121"/>
      <c r="Q293" s="1121"/>
      <c r="R293" s="1121"/>
      <c r="S293" s="1121"/>
      <c r="T293" s="1121"/>
      <c r="U293" s="1117" t="str">
        <f>IF(P263="X",IF(AND('Eval-Avant impact'!$C$534="",'Eval-Avant impact'!$C$537="",'Eval-Avant impact'!$C$540="",'Eval-Avant impact'!$C$543="",'Eval-Avant impact'!$C$546=""),"",CONCATENATE('Eval-Avant impact'!$C$534," ",'Eval-Avant impact'!$C$537," ",'Eval-Avant impact'!$C$540," ",'Eval-Avant impact'!$C$543," ",'Eval-Avant impact'!$C$546)),IF(P269="X",IF(AND('Eval-Avec impact envisagé'!$C$534="",'Eval-Avec impact envisagé'!$C$537="",'Eval-Avec impact envisagé'!$C$540="",'Eval-Avec impact envisagé'!$C$543="",'Eval-Avec impact envisagé'!$C$546=""),"",CONCATENATE('Eval-Avec impact envisagé'!$C$534," ",'Eval-Avec impact envisagé'!$C$537," ",'Eval-Avec impact envisagé'!$C$540," ",'Eval-Avec impact envisagé'!$C$543," ",'Eval-Avec impact envisagé'!$C$546)),IF(P275="X",IF(AND('Eval-Après impact'!$C$534="",'Eval-Après impact'!$C$537="",'Eval-Après impact'!$C$540="",'Eval-Après impact'!$C$543="",'Eval-Après impact'!$C$546=""),"",CONCATENATE('Eval-Après impact'!$C$534," ",'Eval-Après impact'!$C$537," ",'Eval-Après impact'!$C$540," ",'Eval-Après impact'!$C$543," ",'Eval-Après impact'!$C$546)),IF(Z263="X",IF(AND('Eval-Avant action écologique'!$C$534="",'Eval-Avant action écologique'!$C$537="",'Eval-Avant action écologique'!$C$540="",'Eval-Avant action écologique'!$C$543="",'Eval-Avant action écologique'!$C$546=""),"",CONCATENATE('Eval-Avant action écologique'!$C$534," ",'Eval-Avant action écologique'!$C$537," ",'Eval-Avant action écologique'!$C$540," ",'Eval-Avant action écologique'!$C$543," ",'Eval-Avant action écologique'!$C$546)),IF(Z269="X",IF(AND('Eval-Avec act. écol. envisagée'!$C$534="",'Eval-Avec act. écol. envisagée'!$C$537="",'Eval-Avec act. écol. envisagée'!$C$540="",'Eval-Avec act. écol. envisagée'!$C$543="",'Eval-Avec act. écol. envisagée'!$C$546=""),"",CONCATENATE('Eval-Avec act. écol. envisagée'!$C$534," ",'Eval-Avec act. écol. envisagée'!$C$537," ",'Eval-Avec act. écol. envisagée'!$C$540," ",'Eval-Avec act. écol. envisagée'!$C$543," ",'Eval-Avec act. écol. envisagée'!$C$546)),IF(Z275="X",IF(AND('Eval-Après action écologique'!$C$534="",'Eval-Après action écologique'!$C$537="",'Eval-Après action écologique'!$C$540="",'Eval-Après action écologique'!$C$543="",'Eval-Après action écologique'!$C$546=""),"",CONCATENATE('Eval-Après action écologique'!$C$534," ",'Eval-Après action écologique'!$C$537," ",'Eval-Après action écologique'!$C$540," ",'Eval-Après action écologique'!$C$543," ",'Eval-Après action écologique'!$C$546)),""))))))</f>
        <v/>
      </c>
      <c r="V293" s="1117"/>
      <c r="W293" s="1117"/>
      <c r="X293" s="1117"/>
      <c r="Y293" s="1117"/>
      <c r="Z293" s="1117"/>
      <c r="AA293" s="1117"/>
      <c r="AB293" s="1117"/>
      <c r="AC293" s="1117"/>
      <c r="AD293" s="1117"/>
      <c r="AE293" s="1117"/>
      <c r="AF293" s="1117"/>
      <c r="AG293" s="1117"/>
      <c r="AH293" s="1117"/>
      <c r="AI293" s="34"/>
    </row>
    <row r="294" spans="1:35" ht="22.5" customHeight="1" x14ac:dyDescent="0.25">
      <c r="A294" s="34"/>
      <c r="B294" s="1121" t="s">
        <v>720</v>
      </c>
      <c r="C294" s="1121"/>
      <c r="D294" s="1121"/>
      <c r="E294" s="1121"/>
      <c r="F294" s="1121"/>
      <c r="G294" s="1121"/>
      <c r="H294" s="1121"/>
      <c r="I294" s="1121"/>
      <c r="J294" s="1121"/>
      <c r="K294" s="1121"/>
      <c r="L294" s="1121"/>
      <c r="M294" s="1121"/>
      <c r="N294" s="1121"/>
      <c r="O294" s="1121"/>
      <c r="P294" s="1121"/>
      <c r="Q294" s="1121"/>
      <c r="R294" s="1121"/>
      <c r="S294" s="1121"/>
      <c r="T294" s="1121"/>
      <c r="U294" s="1117" t="str">
        <f>IF(P263="X",IF('Eval-Avant impact'!$C$552="","",IF('Eval-Avant impact'!$C$552&lt;&gt;"",'Eval-Avant impact'!$C$552,"")),IF(P269="X",IF('Eval-Avec impact envisagé'!$C$552="","",IF('Eval-Avec impact envisagé'!$C$552&lt;&gt;"",'Eval-Avec impact envisagé'!$C$552,"")),IF(P275="X",IF('Eval-Après impact'!$C$552="","",IF('Eval-Après impact'!$C$552&lt;&gt;"",'Eval-Après impact'!$C$552,"")),IF(Z263="X",IF('Eval-Avant action écologique'!$C$552="","",IF('Eval-Avant action écologique'!$C$552&lt;&gt;"",'Eval-Avant action écologique'!$C$552,"")),IF(Z269="X",IF('Eval-Avec act. écol. envisagée'!$C$552="","",IF('Eval-Avec act. écol. envisagée'!$C$552&lt;&gt;"",'Eval-Avec act. écol. envisagée'!$C$552,"")),IF(Z275="X",IF('Eval-Après action écologique'!$C$552="","",IF('Eval-Après action écologique'!$C$552&lt;&gt;"",'Eval-Après action écologique'!$C$552,"")),""))))))</f>
        <v/>
      </c>
      <c r="V294" s="1117"/>
      <c r="W294" s="1117"/>
      <c r="X294" s="1117"/>
      <c r="Y294" s="1117"/>
      <c r="Z294" s="1117"/>
      <c r="AA294" s="1117"/>
      <c r="AB294" s="1117"/>
      <c r="AC294" s="1117"/>
      <c r="AD294" s="1117"/>
      <c r="AE294" s="1117"/>
      <c r="AF294" s="1117"/>
      <c r="AG294" s="1117"/>
      <c r="AH294" s="1117"/>
      <c r="AI294" s="34"/>
    </row>
    <row r="295" spans="1:35" ht="22.5" customHeight="1" x14ac:dyDescent="0.25">
      <c r="A295" s="34"/>
      <c r="B295" s="1121" t="s">
        <v>721</v>
      </c>
      <c r="C295" s="1121"/>
      <c r="D295" s="1121"/>
      <c r="E295" s="1121"/>
      <c r="F295" s="1121"/>
      <c r="G295" s="1121"/>
      <c r="H295" s="1121"/>
      <c r="I295" s="1121"/>
      <c r="J295" s="1121"/>
      <c r="K295" s="1121"/>
      <c r="L295" s="1121"/>
      <c r="M295" s="1121"/>
      <c r="N295" s="1121"/>
      <c r="O295" s="1121"/>
      <c r="P295" s="1121"/>
      <c r="Q295" s="1121"/>
      <c r="R295" s="1121"/>
      <c r="S295" s="1121"/>
      <c r="T295" s="1121"/>
      <c r="U295" s="1117" t="str">
        <f>IF(P263="X",IF(AND('Eval-Avant impact'!$C$559="",'Eval-Avant impact'!$C$562="",'Eval-Avant impact'!$C$565="",'Eval-Avant impact'!$C$568=""),"",CONCATENATE('Eval-Avant impact'!$C$559," ",'Eval-Avant impact'!$C$562," ",'Eval-Avant impact'!$C$565," ",'Eval-Avant impact'!$C$568)),IF(P269="X",IF(AND('Eval-Avec impact envisagé'!$C$559="",'Eval-Avec impact envisagé'!$C$562="",'Eval-Avec impact envisagé'!$C$565="",'Eval-Avec impact envisagé'!$C$568=""),"",CONCATENATE('Eval-Avec impact envisagé'!$C$559," ",'Eval-Avec impact envisagé'!$C$562," ",'Eval-Avec impact envisagé'!$C$565," ",'Eval-Avec impact envisagé'!$C$568)),IF(P275="X",IF(AND('Eval-Après impact'!$C$559="",'Eval-Après impact'!$C$562="",'Eval-Après impact'!$C$565="",'Eval-Après impact'!$C$568=""),"",CONCATENATE('Eval-Après impact'!$C$559," ",'Eval-Après impact'!$C$562," ",'Eval-Après impact'!$C$565," ",'Eval-Après impact'!$C$568)),IF(Z263="X",IF(AND('Eval-Avant action écologique'!$C$559="",'Eval-Avant action écologique'!$C$562="",'Eval-Avant action écologique'!$C$565="",'Eval-Avant action écologique'!$C$568=""),"",CONCATENATE('Eval-Avant action écologique'!$C$559," ",'Eval-Avant action écologique'!$C$562," ",'Eval-Avant action écologique'!$C$565," ",'Eval-Avant action écologique'!$C$568)),IF(Z269="X",IF(AND('Eval-Avec act. écol. envisagée'!$C$559="",'Eval-Avec act. écol. envisagée'!$C$562="",'Eval-Avec act. écol. envisagée'!$C$565="",'Eval-Avec act. écol. envisagée'!$C$568=""),"",CONCATENATE('Eval-Avec act. écol. envisagée'!$C$559," ",'Eval-Avec act. écol. envisagée'!$C$562," ",'Eval-Avec act. écol. envisagée'!$C$565," ",'Eval-Avec act. écol. envisagée'!$C$568)),IF(Z275="X",IF(AND('Eval-Après action écologique'!$C$559="",'Eval-Après action écologique'!$C$562="",'Eval-Après action écologique'!$C$565="",'Eval-Après action écologique'!$C$568=""),"",CONCATENATE('Eval-Après action écologique'!$C$559," ",'Eval-Après action écologique'!$C$562," ",'Eval-Après action écologique'!$C$565," ",'Eval-Après action écologique'!$C$568)),""))))))</f>
        <v/>
      </c>
      <c r="V295" s="1117"/>
      <c r="W295" s="1117"/>
      <c r="X295" s="1117"/>
      <c r="Y295" s="1117"/>
      <c r="Z295" s="1117"/>
      <c r="AA295" s="1117"/>
      <c r="AB295" s="1117"/>
      <c r="AC295" s="1117"/>
      <c r="AD295" s="1117"/>
      <c r="AE295" s="1117"/>
      <c r="AF295" s="1117"/>
      <c r="AG295" s="1117"/>
      <c r="AH295" s="1117"/>
      <c r="AI295" s="34"/>
    </row>
    <row r="296" spans="1:35" ht="22.5" customHeight="1" x14ac:dyDescent="0.25">
      <c r="A296" s="34"/>
      <c r="B296" s="1121" t="s">
        <v>722</v>
      </c>
      <c r="C296" s="1121"/>
      <c r="D296" s="1121"/>
      <c r="E296" s="1121"/>
      <c r="F296" s="1121"/>
      <c r="G296" s="1121"/>
      <c r="H296" s="1121"/>
      <c r="I296" s="1121"/>
      <c r="J296" s="1121"/>
      <c r="K296" s="1121"/>
      <c r="L296" s="1121"/>
      <c r="M296" s="1121"/>
      <c r="N296" s="1121"/>
      <c r="O296" s="1121"/>
      <c r="P296" s="1121"/>
      <c r="Q296" s="1121"/>
      <c r="R296" s="1121"/>
      <c r="S296" s="1121"/>
      <c r="T296" s="1121"/>
      <c r="U296" s="1117" t="str">
        <f>IF(P263="X",IF('Eval-Avant impact'!$C$576="","",IF('Eval-Avant impact'!$C$576&lt;&gt;"",'Eval-Avant impact'!$C$576,"")),IF(P269="X",IF('Eval-Avec impact envisagé'!$C$576="","",IF('Eval-Avec impact envisagé'!$C$576&lt;&gt;"",'Eval-Avec impact envisagé'!$C$576,"")),IF(P275="X",IF('Eval-Après impact'!$C$576="","",IF('Eval-Après impact'!$C$576&lt;&gt;"",'Eval-Après impact'!$C$576,"")),IF(Z263="X",IF('Eval-Avant action écologique'!$C$576="","",IF('Eval-Avant action écologique'!$C$576&lt;&gt;"",'Eval-Avant action écologique'!$C$576,"")),IF(Z269="X",IF('Eval-Avec act. écol. envisagée'!$C$576="","",IF('Eval-Avec act. écol. envisagée'!$C$576&lt;&gt;"",'Eval-Avec act. écol. envisagée'!$C$576,"")),IF(Z275="X",IF('Eval-Après action écologique'!$C$576="","",IF('Eval-Après action écologique'!$C$576&lt;&gt;"",'Eval-Après action écologique'!$C$576,"")),""))))))</f>
        <v/>
      </c>
      <c r="V296" s="1117"/>
      <c r="W296" s="1117"/>
      <c r="X296" s="1117"/>
      <c r="Y296" s="1117"/>
      <c r="Z296" s="1117"/>
      <c r="AA296" s="1117"/>
      <c r="AB296" s="1117"/>
      <c r="AC296" s="1117"/>
      <c r="AD296" s="1117"/>
      <c r="AE296" s="1117"/>
      <c r="AF296" s="1117"/>
      <c r="AG296" s="1117"/>
      <c r="AH296" s="1117"/>
      <c r="AI296" s="34"/>
    </row>
    <row r="297" spans="1:35" ht="22.5" customHeight="1" x14ac:dyDescent="0.25">
      <c r="A297" s="34"/>
      <c r="B297" s="1121" t="s">
        <v>723</v>
      </c>
      <c r="C297" s="1121"/>
      <c r="D297" s="1121"/>
      <c r="E297" s="1121"/>
      <c r="F297" s="1121"/>
      <c r="G297" s="1121"/>
      <c r="H297" s="1121"/>
      <c r="I297" s="1121"/>
      <c r="J297" s="1121"/>
      <c r="K297" s="1121"/>
      <c r="L297" s="1121"/>
      <c r="M297" s="1121"/>
      <c r="N297" s="1121"/>
      <c r="O297" s="1121"/>
      <c r="P297" s="1121"/>
      <c r="Q297" s="1121"/>
      <c r="R297" s="1121"/>
      <c r="S297" s="1121"/>
      <c r="T297" s="1121"/>
      <c r="U297" s="1117" t="str">
        <f>IF(P263="X",IF('Eval-Avant impact'!$C$582="","",IF('Eval-Avant impact'!$C$582&lt;&gt;"",'Eval-Avant impact'!$C$582,"")),IF(P269="X",IF('Eval-Avec impact envisagé'!$C$582="","",IF('Eval-Avec impact envisagé'!$C$582&lt;&gt;"",'Eval-Avec impact envisagé'!$C$582,"")),IF(P275="X",IF('Eval-Après impact'!$C$582="","",IF('Eval-Après impact'!$C$582&lt;&gt;"",'Eval-Après impact'!$C$582,"")),IF(Z263="X",IF('Eval-Avant action écologique'!$C$582="","",IF('Eval-Avant action écologique'!$C$582&lt;&gt;"",'Eval-Avant action écologique'!$C$582,"")),IF(Z269="X",IF('Eval-Avec act. écol. envisagée'!$C$582="","",IF('Eval-Avec act. écol. envisagée'!$C$582&lt;&gt;"",'Eval-Avec act. écol. envisagée'!$C$582,"")),IF(Z275="X",IF('Eval-Après action écologique'!$C$582="","",IF('Eval-Après action écologique'!$C$582&lt;&gt;"",'Eval-Après action écologique'!$C$582,"")),""))))))</f>
        <v/>
      </c>
      <c r="V297" s="1117"/>
      <c r="W297" s="1117"/>
      <c r="X297" s="1117"/>
      <c r="Y297" s="1117"/>
      <c r="Z297" s="1117"/>
      <c r="AA297" s="1117"/>
      <c r="AB297" s="1117"/>
      <c r="AC297" s="1117"/>
      <c r="AD297" s="1117"/>
      <c r="AE297" s="1117"/>
      <c r="AF297" s="1117"/>
      <c r="AG297" s="1117"/>
      <c r="AH297" s="1117"/>
      <c r="AI297" s="34"/>
    </row>
    <row r="298" spans="1:35" ht="22.5" customHeight="1" x14ac:dyDescent="0.25">
      <c r="A298" s="34"/>
      <c r="B298" s="1121" t="s">
        <v>724</v>
      </c>
      <c r="C298" s="1121"/>
      <c r="D298" s="1121"/>
      <c r="E298" s="1121"/>
      <c r="F298" s="1121"/>
      <c r="G298" s="1121"/>
      <c r="H298" s="1121"/>
      <c r="I298" s="1121"/>
      <c r="J298" s="1121"/>
      <c r="K298" s="1121"/>
      <c r="L298" s="1121"/>
      <c r="M298" s="1121"/>
      <c r="N298" s="1121"/>
      <c r="O298" s="1121"/>
      <c r="P298" s="1121"/>
      <c r="Q298" s="1121"/>
      <c r="R298" s="1121"/>
      <c r="S298" s="1121"/>
      <c r="T298" s="1121"/>
      <c r="U298" s="1117" t="str">
        <f>IF(P263="X",IF('Eval-Avant impact'!$C$588="","",IF('Eval-Avant impact'!$C$588&lt;&gt;"",'Eval-Avant impact'!$C$588,"")),IF(P269="X",IF('Eval-Avec impact envisagé'!$C$588="","",IF('Eval-Avec impact envisagé'!$C$588&lt;&gt;"",'Eval-Avec impact envisagé'!$C$588,"")),IF(P275="X",IF('Eval-Après impact'!$C$588="","",IF('Eval-Après impact'!$C$588&lt;&gt;"",'Eval-Après impact'!$C$588,"")),IF(Z263="X",IF('Eval-Avant action écologique'!$C$588="","",IF('Eval-Avant action écologique'!$C$588&lt;&gt;"",'Eval-Avant action écologique'!$C$588,"")),IF(Z269="X",IF('Eval-Avec act. écol. envisagée'!$C$588="","",IF('Eval-Avec act. écol. envisagée'!$C$588&lt;&gt;"",'Eval-Avec act. écol. envisagée'!$C$588,"")),IF(Z275="X",IF('Eval-Après action écologique'!$C$588="","",IF('Eval-Après action écologique'!$C$588&lt;&gt;"",'Eval-Après action écologique'!$C$588,"")),""))))))</f>
        <v/>
      </c>
      <c r="V298" s="1117"/>
      <c r="W298" s="1117"/>
      <c r="X298" s="1117"/>
      <c r="Y298" s="1117"/>
      <c r="Z298" s="1117"/>
      <c r="AA298" s="1117"/>
      <c r="AB298" s="1117"/>
      <c r="AC298" s="1117"/>
      <c r="AD298" s="1117"/>
      <c r="AE298" s="1117"/>
      <c r="AF298" s="1117"/>
      <c r="AG298" s="1117"/>
      <c r="AH298" s="1117"/>
      <c r="AI298" s="34"/>
    </row>
    <row r="299" spans="1:35" ht="22.5" customHeight="1" x14ac:dyDescent="0.2">
      <c r="A299" s="34"/>
      <c r="B299" s="1125" t="s">
        <v>725</v>
      </c>
      <c r="C299" s="1125"/>
      <c r="D299" s="1125"/>
      <c r="E299" s="1125"/>
      <c r="F299" s="1125"/>
      <c r="G299" s="1125"/>
      <c r="H299" s="1125"/>
      <c r="I299" s="1125"/>
      <c r="J299" s="1125"/>
      <c r="K299" s="1125"/>
      <c r="L299" s="1125"/>
      <c r="M299" s="1125"/>
      <c r="N299" s="1125"/>
      <c r="O299" s="1125"/>
      <c r="P299" s="1125"/>
      <c r="Q299" s="1125"/>
      <c r="R299" s="1125"/>
      <c r="S299" s="1125"/>
      <c r="T299" s="1125"/>
      <c r="U299" s="1127" t="str">
        <f>IF(P263="X",IF('Eval-Avant impact'!$J$594="X","oui",IF('Eval-Avant impact'!$T$594="X","non","")),IF(P269="X",IF('Eval-Avec impact envisagé'!$J$594="X","oui",IF('Eval-Avec impact envisagé'!$T$594="X","non","")),IF(P275="X",IF('Eval-Après impact'!$J$594="X","oui",IF('Eval-Après impact'!$T$594="X","non","")),IF(Z263="X",IF('Eval-Avant action écologique'!$J$594="X","oui",IF('Eval-Avant action écologique'!$T$594="X","non","")),IF(Z269="X",IF('Eval-Avec act. écol. envisagée'!$J$594="X","oui",IF('Eval-Avec act. écol. envisagée'!$T$594="X","non","")),IF(Z275="X",IF('Eval-Après action écologique'!$J$594="X","oui",IF('Eval-Après action écologique'!$T$594="X","non","")),""))))))</f>
        <v/>
      </c>
      <c r="V299" s="1127"/>
      <c r="W299" s="1127"/>
      <c r="X299" s="1127"/>
      <c r="Y299" s="1127"/>
      <c r="Z299" s="1127"/>
      <c r="AA299" s="1127"/>
      <c r="AB299" s="1127"/>
      <c r="AC299" s="1127"/>
      <c r="AD299" s="1127"/>
      <c r="AE299" s="1127"/>
      <c r="AF299" s="1127"/>
      <c r="AG299" s="1127"/>
      <c r="AH299" s="1127"/>
      <c r="AI299" s="34"/>
    </row>
    <row r="300" spans="1:35" ht="22.5" customHeight="1" thickBot="1" x14ac:dyDescent="0.25">
      <c r="A300" s="34"/>
      <c r="B300" s="1126"/>
      <c r="C300" s="1126"/>
      <c r="D300" s="1126"/>
      <c r="E300" s="1126"/>
      <c r="F300" s="1126"/>
      <c r="G300" s="1126"/>
      <c r="H300" s="1126"/>
      <c r="I300" s="1126"/>
      <c r="J300" s="1126"/>
      <c r="K300" s="1126"/>
      <c r="L300" s="1126"/>
      <c r="M300" s="1126"/>
      <c r="N300" s="1126"/>
      <c r="O300" s="1126"/>
      <c r="P300" s="1126"/>
      <c r="Q300" s="1126"/>
      <c r="R300" s="1126"/>
      <c r="S300" s="1126"/>
      <c r="T300" s="1126"/>
      <c r="U300" s="1118"/>
      <c r="V300" s="1118"/>
      <c r="W300" s="1118"/>
      <c r="X300" s="1118"/>
      <c r="Y300" s="1118"/>
      <c r="Z300" s="1118"/>
      <c r="AA300" s="1118"/>
      <c r="AB300" s="1118"/>
      <c r="AC300" s="1118"/>
      <c r="AD300" s="1118"/>
      <c r="AE300" s="1118"/>
      <c r="AF300" s="1118"/>
      <c r="AG300" s="1118"/>
      <c r="AH300" s="1118"/>
      <c r="AI300" s="34"/>
    </row>
    <row r="301" spans="1:35" ht="22.5" customHeight="1" thickBot="1" x14ac:dyDescent="0.3">
      <c r="A301" s="34"/>
      <c r="B301" s="148"/>
      <c r="C301" s="148"/>
      <c r="D301" s="148"/>
      <c r="E301" s="148"/>
      <c r="F301" s="148"/>
      <c r="G301" s="148"/>
      <c r="H301" s="148"/>
      <c r="I301" s="148"/>
      <c r="J301" s="148"/>
      <c r="K301" s="148"/>
      <c r="L301" s="148"/>
      <c r="M301" s="148"/>
      <c r="N301" s="148"/>
      <c r="O301" s="148"/>
      <c r="P301" s="148"/>
      <c r="Q301" s="148"/>
      <c r="R301" s="148"/>
      <c r="S301" s="148"/>
      <c r="T301" s="148"/>
      <c r="U301" s="149"/>
      <c r="V301" s="150"/>
      <c r="W301" s="150"/>
      <c r="X301" s="150"/>
      <c r="Y301" s="150"/>
      <c r="Z301" s="150"/>
      <c r="AA301" s="150"/>
      <c r="AB301" s="150"/>
      <c r="AC301" s="150"/>
      <c r="AD301" s="150"/>
      <c r="AE301" s="150"/>
      <c r="AF301" s="150"/>
      <c r="AG301" s="150"/>
      <c r="AH301" s="150"/>
      <c r="AI301" s="34"/>
    </row>
    <row r="302" spans="1:35" ht="22.5" customHeight="1" x14ac:dyDescent="0.25">
      <c r="A302" s="34"/>
      <c r="B302" s="51" t="s">
        <v>734</v>
      </c>
      <c r="C302" s="34"/>
      <c r="D302" s="34"/>
      <c r="E302" s="34"/>
      <c r="F302" s="34"/>
      <c r="G302" s="34"/>
      <c r="H302" s="34"/>
      <c r="I302" s="147"/>
      <c r="J302" s="34"/>
      <c r="K302" s="34"/>
      <c r="L302" s="34"/>
      <c r="M302" s="34"/>
      <c r="N302" s="34"/>
      <c r="O302" s="34"/>
      <c r="P302" s="34"/>
      <c r="Q302" s="34"/>
      <c r="R302" s="34"/>
      <c r="S302" s="34"/>
      <c r="T302" s="34"/>
      <c r="U302" s="144"/>
      <c r="V302" s="34"/>
      <c r="W302" s="34"/>
      <c r="X302" s="34"/>
      <c r="Y302" s="34"/>
      <c r="Z302" s="34"/>
      <c r="AA302" s="34"/>
      <c r="AB302" s="34"/>
      <c r="AC302" s="34"/>
      <c r="AD302" s="34"/>
      <c r="AE302" s="34"/>
      <c r="AF302" s="34"/>
      <c r="AG302" s="34"/>
      <c r="AH302" s="34"/>
      <c r="AI302" s="34"/>
    </row>
    <row r="303" spans="1:35" ht="22.5" customHeight="1" thickBot="1" x14ac:dyDescent="0.3">
      <c r="A303" s="34"/>
      <c r="B303" s="1122" t="s">
        <v>717</v>
      </c>
      <c r="C303" s="1122"/>
      <c r="D303" s="1122"/>
      <c r="E303" s="1122"/>
      <c r="F303" s="1122"/>
      <c r="G303" s="1122"/>
      <c r="H303" s="1122"/>
      <c r="I303" s="1122"/>
      <c r="J303" s="1122"/>
      <c r="K303" s="1122"/>
      <c r="L303" s="1122"/>
      <c r="M303" s="1122"/>
      <c r="N303" s="1122"/>
      <c r="O303" s="1122"/>
      <c r="P303" s="1122"/>
      <c r="Q303" s="1122"/>
      <c r="R303" s="1122"/>
      <c r="S303" s="1122"/>
      <c r="T303" s="1122"/>
      <c r="U303" s="1118" t="str">
        <f>IF(P263="X",IF('Eval-Avant impact'!$J$508="X","oui",IF('Eval-Avant impact'!$T$508="X","non","")),IF(P269="X",IF('Eval-Avec impact envisagé'!$J$508="X","oui",IF('Eval-Avec impact envisagé'!$T$508="X","non","")),IF(P275="X",IF('Eval-Après impact'!$J$508="X","oui",IF('Eval-Après impact'!$T$508="X","non","")),IF(Z263="X",IF('Eval-Avant action écologique'!$J$508="X","oui",IF('Eval-Avant action écologique'!$T$508="X","non","")),IF(Z269="X",IF('Eval-Avec act. écol. envisagée'!$J$508="X","oui",IF('Eval-Avec act. écol. envisagée'!$T$508="X","non","")),IF(Z275="X",IF('Eval-Après action écologique'!$J$508="X","oui",IF('Eval-Après action écologique'!$T$508="X","non","")),""))))))</f>
        <v/>
      </c>
      <c r="V303" s="1118"/>
      <c r="W303" s="1118"/>
      <c r="X303" s="1118"/>
      <c r="Y303" s="1118"/>
      <c r="Z303" s="1118"/>
      <c r="AA303" s="1118"/>
      <c r="AB303" s="1118"/>
      <c r="AC303" s="1118"/>
      <c r="AD303" s="1118"/>
      <c r="AE303" s="1118"/>
      <c r="AF303" s="1118"/>
      <c r="AG303" s="1118"/>
      <c r="AH303" s="1118"/>
      <c r="AI303" s="34"/>
    </row>
    <row r="304" spans="1:35" ht="22.5" customHeight="1" thickBot="1" x14ac:dyDescent="0.3">
      <c r="A304" s="34"/>
      <c r="B304" s="148"/>
      <c r="C304" s="148"/>
      <c r="D304" s="148"/>
      <c r="E304" s="148"/>
      <c r="F304" s="148"/>
      <c r="G304" s="148"/>
      <c r="H304" s="148"/>
      <c r="I304" s="148"/>
      <c r="J304" s="148"/>
      <c r="K304" s="148"/>
      <c r="L304" s="148"/>
      <c r="M304" s="148"/>
      <c r="N304" s="148"/>
      <c r="O304" s="148"/>
      <c r="P304" s="148"/>
      <c r="Q304" s="148"/>
      <c r="R304" s="148"/>
      <c r="S304" s="148"/>
      <c r="T304" s="148"/>
      <c r="U304" s="149"/>
      <c r="V304" s="150"/>
      <c r="W304" s="150"/>
      <c r="X304" s="150"/>
      <c r="Y304" s="150"/>
      <c r="Z304" s="150"/>
      <c r="AA304" s="150"/>
      <c r="AB304" s="150"/>
      <c r="AC304" s="150"/>
      <c r="AD304" s="150"/>
      <c r="AE304" s="150"/>
      <c r="AF304" s="150"/>
      <c r="AG304" s="150"/>
      <c r="AH304" s="150"/>
      <c r="AI304" s="34"/>
    </row>
    <row r="305" spans="1:35" ht="22.5" customHeight="1" x14ac:dyDescent="0.25">
      <c r="A305" s="34"/>
      <c r="B305" s="51" t="s">
        <v>735</v>
      </c>
      <c r="C305" s="34"/>
      <c r="D305" s="34"/>
      <c r="E305" s="34"/>
      <c r="F305" s="34"/>
      <c r="G305" s="34"/>
      <c r="H305" s="34"/>
      <c r="I305" s="147"/>
      <c r="J305" s="34"/>
      <c r="K305" s="34"/>
      <c r="L305" s="34"/>
      <c r="M305" s="34"/>
      <c r="N305" s="34"/>
      <c r="O305" s="34"/>
      <c r="P305" s="34"/>
      <c r="Q305" s="34"/>
      <c r="R305" s="34"/>
      <c r="S305" s="34"/>
      <c r="T305" s="34"/>
      <c r="U305" s="144"/>
      <c r="V305" s="34"/>
      <c r="W305" s="34"/>
      <c r="X305" s="34"/>
      <c r="Y305" s="34"/>
      <c r="Z305" s="34"/>
      <c r="AA305" s="34"/>
      <c r="AB305" s="34"/>
      <c r="AC305" s="34"/>
      <c r="AD305" s="34"/>
      <c r="AE305" s="34"/>
      <c r="AF305" s="34"/>
      <c r="AG305" s="34"/>
      <c r="AH305" s="34"/>
      <c r="AI305" s="34"/>
    </row>
    <row r="306" spans="1:35" ht="22.5" customHeight="1" x14ac:dyDescent="0.25">
      <c r="A306" s="34"/>
      <c r="B306" s="1121" t="s">
        <v>718</v>
      </c>
      <c r="C306" s="1121"/>
      <c r="D306" s="1121"/>
      <c r="E306" s="1121"/>
      <c r="F306" s="1121"/>
      <c r="G306" s="1121"/>
      <c r="H306" s="1121"/>
      <c r="I306" s="1121"/>
      <c r="J306" s="1121"/>
      <c r="K306" s="1121"/>
      <c r="L306" s="1121"/>
      <c r="M306" s="1121"/>
      <c r="N306" s="1121"/>
      <c r="O306" s="1121"/>
      <c r="P306" s="1121"/>
      <c r="Q306" s="1121"/>
      <c r="R306" s="1121"/>
      <c r="S306" s="1121"/>
      <c r="T306" s="1121"/>
      <c r="U306" s="1117" t="str">
        <f>IF(P263="X",IF('Eval-Avant impact'!$C$514="","",IF('Eval-Avant impact'!$C$514&lt;&gt;"",'Eval-Avant impact'!$C$514,"")),IF(P269="X",IF('Eval-Avec impact envisagé'!$C$514="","",IF('Eval-Avec impact envisagé'!$C$514&lt;&gt;"",'Eval-Avec impact envisagé'!$C$514,"")),IF(P275="X",IF('Eval-Après impact'!$C$514="","",IF('Eval-Après impact'!$C$514&lt;&gt;"",'Eval-Après impact'!$C$514,"")),IF(Z263="X",IF('Eval-Avant action écologique'!$C$514="","",IF('Eval-Avant action écologique'!$C$514&lt;&gt;"",'Eval-Avant action écologique'!$C$514,"")),IF(Z269="X",IF('Eval-Avec act. écol. envisagée'!$C$514="","",IF('Eval-Avec act. écol. envisagée'!$C$514&lt;&gt;"",'Eval-Avec act. écol. envisagée'!$C$514,"")),IF(Z275="X",IF('Eval-Après action écologique'!$C$514="","",IF('Eval-Après action écologique'!$C$514&lt;&gt;"",'Eval-Après action écologique'!$C$514,"")),""))))))</f>
        <v/>
      </c>
      <c r="V306" s="1117"/>
      <c r="W306" s="1117"/>
      <c r="X306" s="1117"/>
      <c r="Y306" s="1117"/>
      <c r="Z306" s="1117"/>
      <c r="AA306" s="1117"/>
      <c r="AB306" s="1117"/>
      <c r="AC306" s="1117"/>
      <c r="AD306" s="1117"/>
      <c r="AE306" s="1117"/>
      <c r="AF306" s="1117"/>
      <c r="AG306" s="1117"/>
      <c r="AH306" s="1117"/>
      <c r="AI306" s="34"/>
    </row>
    <row r="307" spans="1:35" ht="22.5" customHeight="1" x14ac:dyDescent="0.25">
      <c r="A307" s="34"/>
      <c r="B307" s="1121" t="s">
        <v>737</v>
      </c>
      <c r="C307" s="1121"/>
      <c r="D307" s="1121"/>
      <c r="E307" s="1121"/>
      <c r="F307" s="1121"/>
      <c r="G307" s="1121"/>
      <c r="H307" s="1121"/>
      <c r="I307" s="1121"/>
      <c r="J307" s="1121"/>
      <c r="K307" s="1121"/>
      <c r="L307" s="1121"/>
      <c r="M307" s="1121"/>
      <c r="N307" s="1121"/>
      <c r="O307" s="1121"/>
      <c r="P307" s="1121"/>
      <c r="Q307" s="1121"/>
      <c r="R307" s="1121"/>
      <c r="S307" s="1121"/>
      <c r="T307" s="1121"/>
      <c r="U307" s="1117" t="str">
        <f>IF(P263="X",IF('Eval-Avant impact'!$J$522="X","oui",IF('Eval-Avant impact'!$T$522="X","non","")),IF(P269="X",IF('Eval-Avec impact envisagé'!$J$522="X","oui",IF('Eval-Avec impact envisagé'!$T$522="X","non","")),IF(P275="X",IF('Eval-Après impact'!$J$522="X","oui",IF('Eval-Après impact'!$T$522="X","non","")),IF(Z263="X",IF('Eval-Avant action écologique'!$J$522="X","oui",IF('Eval-Avant action écologique'!$T$522="X","non","")),IF(Z269="X",IF('Eval-Avec act. écol. envisagée'!$J$522="X","oui",IF('Eval-Avec act. écol. envisagée'!$T$522="X","non","")),IF(Z275="X",IF('Eval-Après action écologique'!$J$522="X","oui",IF('Eval-Après action écologique'!$T$522="X","non","")),""))))))</f>
        <v/>
      </c>
      <c r="V307" s="1117"/>
      <c r="W307" s="1117"/>
      <c r="X307" s="1117"/>
      <c r="Y307" s="1117"/>
      <c r="Z307" s="1117"/>
      <c r="AA307" s="1117"/>
      <c r="AB307" s="1117"/>
      <c r="AC307" s="1117"/>
      <c r="AD307" s="1117"/>
      <c r="AE307" s="1117"/>
      <c r="AF307" s="1117"/>
      <c r="AG307" s="1117"/>
      <c r="AH307" s="1117"/>
      <c r="AI307" s="34"/>
    </row>
    <row r="308" spans="1:35" ht="22.5" customHeight="1" x14ac:dyDescent="0.25">
      <c r="A308" s="34"/>
      <c r="B308" s="1121" t="s">
        <v>738</v>
      </c>
      <c r="C308" s="1121"/>
      <c r="D308" s="1121"/>
      <c r="E308" s="1121"/>
      <c r="F308" s="1121"/>
      <c r="G308" s="1121"/>
      <c r="H308" s="1121"/>
      <c r="I308" s="1121"/>
      <c r="J308" s="1121"/>
      <c r="K308" s="1121"/>
      <c r="L308" s="1121"/>
      <c r="M308" s="1121"/>
      <c r="N308" s="1121"/>
      <c r="O308" s="1121"/>
      <c r="P308" s="1121"/>
      <c r="Q308" s="1121"/>
      <c r="R308" s="1121"/>
      <c r="S308" s="1121"/>
      <c r="T308" s="1121"/>
      <c r="U308" s="1117" t="str">
        <f>IF(P263="X",IF('Eval-Avant impact'!$C$526="","",IF('Eval-Avant impact'!$C$526&lt;&gt;"",'Eval-Avant impact'!$C$526,"")),IF(P269="X",IF('Eval-Avec impact envisagé'!$C$526="","",IF('Eval-Avec impact envisagé'!$C$526&lt;&gt;"",'Eval-Avec impact envisagé'!$C$526,"")),IF(P275="X",IF('Eval-Après impact'!$C$526="","",IF('Eval-Après impact'!$C$526&lt;&gt;"",'Eval-Après impact'!$C$526,"")),IF(Z263="X",IF('Eval-Avant action écologique'!$C$526="","",IF('Eval-Avant action écologique'!$C$526&lt;&gt;"",'Eval-Avant action écologique'!$C$526,"")),IF(Z269="X",IF('Eval-Avec act. écol. envisagée'!$C$526="","",IF('Eval-Avec act. écol. envisagée'!$C$526&lt;&gt;"",'Eval-Avec act. écol. envisagée'!$C$526,"")),IF(Z275="X",IF('Eval-Après action écologique'!$C$526="","",IF('Eval-Après action écologique'!$C$526&lt;&gt;"",'Eval-Après action écologique'!$C$526,"")),""))))))</f>
        <v/>
      </c>
      <c r="V308" s="1117"/>
      <c r="W308" s="1117"/>
      <c r="X308" s="1117"/>
      <c r="Y308" s="1117"/>
      <c r="Z308" s="1117"/>
      <c r="AA308" s="1117"/>
      <c r="AB308" s="1117"/>
      <c r="AC308" s="1117"/>
      <c r="AD308" s="1117"/>
      <c r="AE308" s="1117"/>
      <c r="AF308" s="1117"/>
      <c r="AG308" s="1117"/>
      <c r="AH308" s="1117"/>
      <c r="AI308" s="34"/>
    </row>
    <row r="309" spans="1:35" ht="22.5" customHeight="1" thickBot="1" x14ac:dyDescent="0.3">
      <c r="A309" s="34"/>
      <c r="B309" s="1122" t="s">
        <v>739</v>
      </c>
      <c r="C309" s="1122"/>
      <c r="D309" s="1122"/>
      <c r="E309" s="1122"/>
      <c r="F309" s="1122"/>
      <c r="G309" s="1122"/>
      <c r="H309" s="1122"/>
      <c r="I309" s="1122"/>
      <c r="J309" s="1122"/>
      <c r="K309" s="1122"/>
      <c r="L309" s="1122"/>
      <c r="M309" s="1122"/>
      <c r="N309" s="1122"/>
      <c r="O309" s="1122"/>
      <c r="P309" s="1122"/>
      <c r="Q309" s="1122"/>
      <c r="R309" s="1122"/>
      <c r="S309" s="1122"/>
      <c r="T309" s="1122"/>
      <c r="U309" s="1118" t="str">
        <f>IF(P263="X",IF('Eval-Avant impact'!$J$703="X","oui",IF('Eval-Avant impact'!$T$703="X","non","")),IF(P269="X",IF('Eval-Avec impact envisagé'!$J$703="X","oui",IF('Eval-Avec impact envisagé'!$T$703="X","non","")),IF(P275="X",IF('Eval-Après impact'!$J$703="X","oui",IF('Eval-Après impact'!$T$703="X","non","")),IF(Z263="X",IF('Eval-Avant action écologique'!$J$703="X","oui",IF('Eval-Avant action écologique'!$T$703="X","non","")),IF(Z269="X",IF('Eval-Avec act. écol. envisagée'!$J$703="X","oui",IF('Eval-Avec act. écol. envisagée'!$T$703="X","non","")),IF(Z275="X",IF('Eval-Après action écologique'!$J$703="X","oui",IF('Eval-Après action écologique'!$T$703="X","non","")),""))))))</f>
        <v/>
      </c>
      <c r="V309" s="1118"/>
      <c r="W309" s="1118"/>
      <c r="X309" s="1118"/>
      <c r="Y309" s="1118"/>
      <c r="Z309" s="1118"/>
      <c r="AA309" s="1118"/>
      <c r="AB309" s="1118"/>
      <c r="AC309" s="1118"/>
      <c r="AD309" s="1118"/>
      <c r="AE309" s="1118"/>
      <c r="AF309" s="1118"/>
      <c r="AG309" s="1118"/>
      <c r="AH309" s="1118"/>
      <c r="AI309" s="34"/>
    </row>
    <row r="310" spans="1:35" ht="22.5" customHeight="1" thickBot="1" x14ac:dyDescent="0.3">
      <c r="A310" s="34"/>
      <c r="B310" s="151"/>
      <c r="C310" s="151"/>
      <c r="D310" s="151"/>
      <c r="E310" s="151"/>
      <c r="F310" s="151"/>
      <c r="G310" s="151"/>
      <c r="H310" s="151"/>
      <c r="I310" s="151"/>
      <c r="J310" s="151"/>
      <c r="K310" s="151"/>
      <c r="L310" s="151"/>
      <c r="M310" s="151"/>
      <c r="N310" s="151"/>
      <c r="O310" s="151"/>
      <c r="P310" s="151"/>
      <c r="Q310" s="151"/>
      <c r="R310" s="151"/>
      <c r="S310" s="151"/>
      <c r="T310" s="151"/>
      <c r="U310" s="146"/>
      <c r="V310" s="150"/>
      <c r="W310" s="150"/>
      <c r="X310" s="150"/>
      <c r="Y310" s="150"/>
      <c r="Z310" s="150"/>
      <c r="AA310" s="150"/>
      <c r="AB310" s="150"/>
      <c r="AC310" s="150"/>
      <c r="AD310" s="150"/>
      <c r="AE310" s="150"/>
      <c r="AF310" s="150"/>
      <c r="AG310" s="150"/>
      <c r="AH310" s="150"/>
      <c r="AI310" s="34"/>
    </row>
    <row r="311" spans="1:35" ht="22.5" customHeight="1" x14ac:dyDescent="0.25">
      <c r="A311" s="34"/>
      <c r="B311" s="51" t="s">
        <v>736</v>
      </c>
      <c r="C311" s="34"/>
      <c r="D311" s="34"/>
      <c r="E311" s="34"/>
      <c r="F311" s="34"/>
      <c r="G311" s="34"/>
      <c r="H311" s="34"/>
      <c r="I311" s="147"/>
      <c r="J311" s="34"/>
      <c r="K311" s="34"/>
      <c r="L311" s="34"/>
      <c r="M311" s="34"/>
      <c r="N311" s="34"/>
      <c r="O311" s="34"/>
      <c r="P311" s="34"/>
      <c r="Q311" s="34"/>
      <c r="R311" s="34"/>
      <c r="S311" s="34"/>
      <c r="T311" s="34"/>
      <c r="U311" s="144"/>
      <c r="V311" s="34"/>
      <c r="W311" s="34"/>
      <c r="X311" s="34"/>
      <c r="Y311" s="34"/>
      <c r="Z311" s="34"/>
      <c r="AA311" s="34"/>
      <c r="AB311" s="34"/>
      <c r="AC311" s="34"/>
      <c r="AD311" s="34"/>
      <c r="AE311" s="34"/>
      <c r="AF311" s="34"/>
      <c r="AG311" s="34"/>
      <c r="AH311" s="34"/>
      <c r="AI311" s="34"/>
    </row>
    <row r="312" spans="1:35" ht="22.5" customHeight="1" x14ac:dyDescent="0.25">
      <c r="A312" s="34"/>
      <c r="B312" s="1121" t="s">
        <v>740</v>
      </c>
      <c r="C312" s="1121"/>
      <c r="D312" s="1121"/>
      <c r="E312" s="1121"/>
      <c r="F312" s="1121"/>
      <c r="G312" s="1121"/>
      <c r="H312" s="1121"/>
      <c r="I312" s="1121"/>
      <c r="J312" s="1121"/>
      <c r="K312" s="1121"/>
      <c r="L312" s="1121"/>
      <c r="M312" s="1121"/>
      <c r="N312" s="1121"/>
      <c r="O312" s="1121"/>
      <c r="P312" s="1121"/>
      <c r="Q312" s="1121"/>
      <c r="R312" s="1121"/>
      <c r="S312" s="1121"/>
      <c r="T312" s="1121"/>
      <c r="U312" s="1117" t="str">
        <f>IF(P263="X",IF('Eval-Avant impact'!$J$661="X","oui",IF('Eval-Avant impact'!$T$661="X","non","")),IF(P269="X",IF('Eval-Avec impact envisagé'!$J$661="X","oui",IF('Eval-Avec impact envisagé'!$T$661="X","non","")),IF(P275="X",IF('Eval-Après impact'!$J$661="X","oui",IF('Eval-Après impact'!$T$661="X","non","")),IF(Z263="X",IF('Eval-Avant action écologique'!$J$661="X","oui",IF('Eval-Avant action écologique'!$T$661="X","non","")),IF(Z269="X",IF('Eval-Avec act. écol. envisagée'!$J$661="X","oui",IF('Eval-Avec act. écol. envisagée'!$T$661="X","non","")),IF(Z275="X",IF('Eval-Après action écologique'!$J$661="X","oui",IF('Eval-Après action écologique'!$T$661="X","non","")),""))))))</f>
        <v/>
      </c>
      <c r="V312" s="1117"/>
      <c r="W312" s="1117"/>
      <c r="X312" s="1117"/>
      <c r="Y312" s="1117"/>
      <c r="Z312" s="1117"/>
      <c r="AA312" s="1117"/>
      <c r="AB312" s="1117"/>
      <c r="AC312" s="1117"/>
      <c r="AD312" s="1117"/>
      <c r="AE312" s="1117"/>
      <c r="AF312" s="1117"/>
      <c r="AG312" s="1117"/>
      <c r="AH312" s="1117"/>
      <c r="AI312" s="34"/>
    </row>
    <row r="313" spans="1:35" ht="22.5" customHeight="1" x14ac:dyDescent="0.25">
      <c r="A313" s="34"/>
      <c r="B313" s="1121" t="s">
        <v>741</v>
      </c>
      <c r="C313" s="1121"/>
      <c r="D313" s="1121"/>
      <c r="E313" s="1121"/>
      <c r="F313" s="1121"/>
      <c r="G313" s="1121"/>
      <c r="H313" s="1121"/>
      <c r="I313" s="1121"/>
      <c r="J313" s="1121"/>
      <c r="K313" s="1121"/>
      <c r="L313" s="1121"/>
      <c r="M313" s="1121"/>
      <c r="N313" s="1121"/>
      <c r="O313" s="1121"/>
      <c r="P313" s="1121"/>
      <c r="Q313" s="1121"/>
      <c r="R313" s="1121"/>
      <c r="S313" s="1121"/>
      <c r="T313" s="1121"/>
      <c r="U313" s="1117" t="str">
        <f>IF(P263="X",IF('Eval-Avant impact'!$J$662="X","oui",IF('Eval-Avant impact'!$T$662="X","non","")),IF(P269="X",IF('Eval-Avec impact envisagé'!$J$662="X","oui",IF('Eval-Avec impact envisagé'!$T$662="X","non","")),IF(P275="X",IF('Eval-Après impact'!$J$662="X","oui",IF('Eval-Après impact'!$T$662="X","non","")),IF(Z263="X",IF('Eval-Avant action écologique'!$J$662="X","oui",IF('Eval-Avant action écologique'!$T$662="X","non","")),IF(Z269="X",IF('Eval-Avec act. écol. envisagée'!$J$662="X","oui",IF('Eval-Avec act. écol. envisagée'!$T$662="X","non","")),IF(Z275="X",IF('Eval-Après action écologique'!$J$662="X","oui",IF('Eval-Après action écologique'!$T$662="X","non","")),""))))))</f>
        <v/>
      </c>
      <c r="V313" s="1117"/>
      <c r="W313" s="1117"/>
      <c r="X313" s="1117"/>
      <c r="Y313" s="1117"/>
      <c r="Z313" s="1117"/>
      <c r="AA313" s="1117"/>
      <c r="AB313" s="1117"/>
      <c r="AC313" s="1117"/>
      <c r="AD313" s="1117"/>
      <c r="AE313" s="1117"/>
      <c r="AF313" s="1117"/>
      <c r="AG313" s="1117"/>
      <c r="AH313" s="1117"/>
      <c r="AI313" s="34"/>
    </row>
    <row r="314" spans="1:35" ht="22.5" customHeight="1" x14ac:dyDescent="0.25">
      <c r="A314" s="34"/>
      <c r="B314" s="1121" t="s">
        <v>742</v>
      </c>
      <c r="C314" s="1121"/>
      <c r="D314" s="1121"/>
      <c r="E314" s="1121"/>
      <c r="F314" s="1121"/>
      <c r="G314" s="1121"/>
      <c r="H314" s="1121"/>
      <c r="I314" s="1121"/>
      <c r="J314" s="1121"/>
      <c r="K314" s="1121"/>
      <c r="L314" s="1121"/>
      <c r="M314" s="1121"/>
      <c r="N314" s="1121"/>
      <c r="O314" s="1121"/>
      <c r="P314" s="1121"/>
      <c r="Q314" s="1121"/>
      <c r="R314" s="1121"/>
      <c r="S314" s="1121"/>
      <c r="T314" s="1121"/>
      <c r="U314" s="1117" t="str">
        <f>IF(P263="X",IF('Eval-Avant impact'!$J$677="X","oui",IF('Eval-Avant impact'!$T$677="X","non","")),IF(P269="X",IF('Eval-Avec impact envisagé'!$J$677="X","oui",IF('Eval-Avec impact envisagé'!$T$677="X","non","")),IF(P275="X",IF('Eval-Après impact'!$J$677="X","oui",IF('Eval-Après impact'!$T$677="X","non","")),IF(Z263="X",IF('Eval-Avant action écologique'!$J$677="X","oui",IF('Eval-Avant action écologique'!$T$677="X","non","")),IF(Z269="X",IF('Eval-Avec act. écol. envisagée'!$J$677="X","oui",IF('Eval-Avec act. écol. envisagée'!$T$677="X","non","")),IF(Z275="X",IF('Eval-Après action écologique'!$J$677="X","oui",IF('Eval-Après action écologique'!$T$677="X","non","")),""))))))</f>
        <v/>
      </c>
      <c r="V314" s="1117"/>
      <c r="W314" s="1117"/>
      <c r="X314" s="1117"/>
      <c r="Y314" s="1117"/>
      <c r="Z314" s="1117"/>
      <c r="AA314" s="1117"/>
      <c r="AB314" s="1117"/>
      <c r="AC314" s="1117"/>
      <c r="AD314" s="1117"/>
      <c r="AE314" s="1117"/>
      <c r="AF314" s="1117"/>
      <c r="AG314" s="1117"/>
      <c r="AH314" s="1117"/>
      <c r="AI314" s="34"/>
    </row>
    <row r="315" spans="1:35" ht="22.5" customHeight="1" x14ac:dyDescent="0.25">
      <c r="A315" s="34"/>
      <c r="B315" s="1121" t="s">
        <v>743</v>
      </c>
      <c r="C315" s="1121"/>
      <c r="D315" s="1121"/>
      <c r="E315" s="1121"/>
      <c r="F315" s="1121"/>
      <c r="G315" s="1121"/>
      <c r="H315" s="1121"/>
      <c r="I315" s="1121"/>
      <c r="J315" s="1121"/>
      <c r="K315" s="1121"/>
      <c r="L315" s="1121"/>
      <c r="M315" s="1121"/>
      <c r="N315" s="1121"/>
      <c r="O315" s="1121"/>
      <c r="P315" s="1121"/>
      <c r="Q315" s="1121"/>
      <c r="R315" s="1121"/>
      <c r="S315" s="1121"/>
      <c r="T315" s="1121"/>
      <c r="U315" s="1117" t="str">
        <f>IF(P263="X",IF('Eval-Avant impact'!$J$682="X","oui",IF('Eval-Avant impact'!$T$682="X","non","")),IF(P269="X",IF('Eval-Avec impact envisagé'!$J$682="X","oui",IF('Eval-Avec impact envisagé'!$T$682="X","non","")),IF(P275="X",IF('Eval-Après impact'!$J$682="X","oui",IF('Eval-Après impact'!$T$682="X","non","")),IF(Z263="X",IF('Eval-Avant action écologique'!$J$682="X","oui",IF('Eval-Avant action écologique'!$T$682="X","non","")),IF(Z269="X",IF('Eval-Avec act. écol. envisagée'!$J$682="X","oui",IF('Eval-Avec act. écol. envisagée'!$T$682="X","non","")),IF(Z275="X",IF('Eval-Après action écologique'!$J$682="X","oui",IF('Eval-Après action écologique'!$T$682="X","non","")),""))))))</f>
        <v/>
      </c>
      <c r="V315" s="1117"/>
      <c r="W315" s="1117"/>
      <c r="X315" s="1117"/>
      <c r="Y315" s="1117"/>
      <c r="Z315" s="1117"/>
      <c r="AA315" s="1117"/>
      <c r="AB315" s="1117"/>
      <c r="AC315" s="1117"/>
      <c r="AD315" s="1117"/>
      <c r="AE315" s="1117"/>
      <c r="AF315" s="1117"/>
      <c r="AG315" s="1117"/>
      <c r="AH315" s="1117"/>
      <c r="AI315" s="34"/>
    </row>
    <row r="316" spans="1:35" ht="22.5" customHeight="1" x14ac:dyDescent="0.25">
      <c r="A316" s="34"/>
      <c r="B316" s="1121" t="s">
        <v>744</v>
      </c>
      <c r="C316" s="1121"/>
      <c r="D316" s="1121"/>
      <c r="E316" s="1121"/>
      <c r="F316" s="1121"/>
      <c r="G316" s="1121"/>
      <c r="H316" s="1121"/>
      <c r="I316" s="1121"/>
      <c r="J316" s="1121"/>
      <c r="K316" s="1121"/>
      <c r="L316" s="1121"/>
      <c r="M316" s="1121"/>
      <c r="N316" s="1121"/>
      <c r="O316" s="1121"/>
      <c r="P316" s="1121"/>
      <c r="Q316" s="1121"/>
      <c r="R316" s="1121"/>
      <c r="S316" s="1121"/>
      <c r="T316" s="1121"/>
      <c r="U316" s="1117" t="str">
        <f>IF(P263="X",IF('Eval-Avant impact'!$J$695="X","oui",IF('Eval-Avant impact'!$T$695="X","non","")),IF(P269="X",IF('Eval-Avec impact envisagé'!$J$695="X","oui",IF('Eval-Avec impact envisagé'!$T$695="X","non","")),IF(P275="X",IF('Eval-Après impact'!$J$695="X","oui",IF('Eval-Après impact'!$T$695="X","non","")),IF(Z263="X",IF('Eval-Avant action écologique'!$J$695="X","oui",IF('Eval-Avant action écologique'!$T$695="X","non","")),IF(Z269="X",IF('Eval-Avec act. écol. envisagée'!$J$695="X","oui",IF('Eval-Avec act. écol. envisagée'!$T$695="X","non","")),IF(Z275="X",IF('Eval-Après action écologique'!$J$695="X","oui",IF('Eval-Après action écologique'!$T$695="X","non","")),""))))))</f>
        <v/>
      </c>
      <c r="V316" s="1117"/>
      <c r="W316" s="1117"/>
      <c r="X316" s="1117"/>
      <c r="Y316" s="1117"/>
      <c r="Z316" s="1117"/>
      <c r="AA316" s="1117"/>
      <c r="AB316" s="1117"/>
      <c r="AC316" s="1117"/>
      <c r="AD316" s="1117"/>
      <c r="AE316" s="1117"/>
      <c r="AF316" s="1117"/>
      <c r="AG316" s="1117"/>
      <c r="AH316" s="1117"/>
      <c r="AI316" s="34"/>
    </row>
    <row r="317" spans="1:35" ht="22.5" customHeight="1" x14ac:dyDescent="0.25">
      <c r="A317" s="34"/>
      <c r="B317" s="1121" t="s">
        <v>745</v>
      </c>
      <c r="C317" s="1121"/>
      <c r="D317" s="1121"/>
      <c r="E317" s="1121"/>
      <c r="F317" s="1121"/>
      <c r="G317" s="1121"/>
      <c r="H317" s="1121"/>
      <c r="I317" s="1121"/>
      <c r="J317" s="1121"/>
      <c r="K317" s="1121"/>
      <c r="L317" s="1121"/>
      <c r="M317" s="1121"/>
      <c r="N317" s="1121"/>
      <c r="O317" s="1121"/>
      <c r="P317" s="1121"/>
      <c r="Q317" s="1121"/>
      <c r="R317" s="1121"/>
      <c r="S317" s="1121"/>
      <c r="T317" s="1121"/>
      <c r="U317" s="1117" t="str">
        <f>IF(P263="X",IF('Eval-Avant impact'!$J$711="X","oui",IF('Eval-Avant impact'!$T$711="X","non","")),IF(P269="X",IF('Eval-Avec impact envisagé'!$J$711="X","oui",IF('Eval-Avec impact envisagé'!$T$711="X","non","")),IF(P275="X",IF('Eval-Après impact'!$J$711="X","oui",IF('Eval-Après impact'!$T$711="X","non","")),IF(Z263="X",IF('Eval-Avant action écologique'!$J$711="X","oui",IF('Eval-Avant action écologique'!$T$711="X","non","")),IF(Z269="X",IF('Eval-Avec act. écol. envisagée'!$J$711="X","oui",IF('Eval-Avec act. écol. envisagée'!$T$711="X","non","")),IF(Z275="X",IF('Eval-Après action écologique'!$J$711="X","oui",IF('Eval-Après action écologique'!$T$711="X","non","")),""))))))</f>
        <v/>
      </c>
      <c r="V317" s="1117"/>
      <c r="W317" s="1117"/>
      <c r="X317" s="1117"/>
      <c r="Y317" s="1117"/>
      <c r="Z317" s="1117"/>
      <c r="AA317" s="1117"/>
      <c r="AB317" s="1117"/>
      <c r="AC317" s="1117"/>
      <c r="AD317" s="1117"/>
      <c r="AE317" s="1117"/>
      <c r="AF317" s="1117"/>
      <c r="AG317" s="1117"/>
      <c r="AH317" s="1117"/>
      <c r="AI317" s="34"/>
    </row>
    <row r="318" spans="1:35" ht="22.5" customHeight="1" x14ac:dyDescent="0.25">
      <c r="A318" s="34"/>
      <c r="B318" s="1121" t="s">
        <v>746</v>
      </c>
      <c r="C318" s="1121"/>
      <c r="D318" s="1121"/>
      <c r="E318" s="1121"/>
      <c r="F318" s="1121"/>
      <c r="G318" s="1121"/>
      <c r="H318" s="1121"/>
      <c r="I318" s="1121"/>
      <c r="J318" s="1121"/>
      <c r="K318" s="1121"/>
      <c r="L318" s="1121"/>
      <c r="M318" s="1121"/>
      <c r="N318" s="1121"/>
      <c r="O318" s="1121"/>
      <c r="P318" s="1121"/>
      <c r="Q318" s="1121"/>
      <c r="R318" s="1121"/>
      <c r="S318" s="1121"/>
      <c r="T318" s="1121"/>
      <c r="U318" s="1117" t="str">
        <f>IF(P263="X",IF('Eval-Avant impact'!$J$722="X","oui",IF('Eval-Avant impact'!$T$722="X","non","")),IF(P269="X",IF('Eval-Avec impact envisagé'!$J$722="X","oui",IF('Eval-Avec impact envisagé'!$T$722="X","non","")),IF(P275="X",IF('Eval-Après impact'!$J$722="X","oui",IF('Eval-Après impact'!$T$722="X","non","")),IF(Z263="X",IF('Eval-Avant action écologique'!$J$722="X","oui",IF('Eval-Avant action écologique'!$T$722="X","non","")),IF(Z269="X",IF('Eval-Avec act. écol. envisagée'!$J$722="X","oui",IF('Eval-Avec act. écol. envisagée'!$T$722="X","non","")),IF(Z275="X",IF('Eval-Après action écologique'!$J$722="X","oui",IF('Eval-Après action écologique'!$T$722="X","non","")),""))))))</f>
        <v/>
      </c>
      <c r="V318" s="1117"/>
      <c r="W318" s="1117"/>
      <c r="X318" s="1117"/>
      <c r="Y318" s="1117"/>
      <c r="Z318" s="1117"/>
      <c r="AA318" s="1117"/>
      <c r="AB318" s="1117"/>
      <c r="AC318" s="1117"/>
      <c r="AD318" s="1117"/>
      <c r="AE318" s="1117"/>
      <c r="AF318" s="1117"/>
      <c r="AG318" s="1117"/>
      <c r="AH318" s="1117"/>
      <c r="AI318" s="34"/>
    </row>
    <row r="319" spans="1:35" ht="22.5" customHeight="1" thickBot="1" x14ac:dyDescent="0.3">
      <c r="A319" s="34"/>
      <c r="B319" s="1122" t="s">
        <v>726</v>
      </c>
      <c r="C319" s="1122"/>
      <c r="D319" s="1122"/>
      <c r="E319" s="1122"/>
      <c r="F319" s="1122"/>
      <c r="G319" s="1122"/>
      <c r="H319" s="1122"/>
      <c r="I319" s="1122"/>
      <c r="J319" s="1122"/>
      <c r="K319" s="1122"/>
      <c r="L319" s="1122"/>
      <c r="M319" s="1122"/>
      <c r="N319" s="1122"/>
      <c r="O319" s="1122"/>
      <c r="P319" s="1122"/>
      <c r="Q319" s="1122"/>
      <c r="R319" s="1122"/>
      <c r="S319" s="1122"/>
      <c r="T319" s="1122"/>
      <c r="U319" s="1118" t="str">
        <f>IF(P263="X",IF('Eval-Avant impact'!$J$797="X","oui",IF('Eval-Avant impact'!$T$797="X","non","")),IF(P269="X",IF('Eval-Avec impact envisagé'!$J$797="X","oui",IF('Eval-Avec impact envisagé'!$T$797="X","non","")),IF(P275="X",IF('Eval-Après impact'!$J$797="X","oui",IF('Eval-Après impact'!$T$797="X","non","")),IF(Z263="X",IF('Eval-Avant action écologique'!$J$797="X","oui",IF('Eval-Avant action écologique'!$T$797="X","non","")),IF(Z269="X",IF('Eval-Avec act. écol. envisagée'!$J$797="X","oui",IF('Eval-Avec act. écol. envisagée'!$T$797="X","non","")),IF(Z275="X",IF('Eval-Après action écologique'!$J$797="X","oui",IF('Eval-Après action écologique'!$T$797="X","non","")),""))))))</f>
        <v/>
      </c>
      <c r="V319" s="1118"/>
      <c r="W319" s="1118"/>
      <c r="X319" s="1118"/>
      <c r="Y319" s="1118"/>
      <c r="Z319" s="1118"/>
      <c r="AA319" s="1118"/>
      <c r="AB319" s="1118"/>
      <c r="AC319" s="1118"/>
      <c r="AD319" s="1118"/>
      <c r="AE319" s="1118"/>
      <c r="AF319" s="1118"/>
      <c r="AG319" s="1118"/>
      <c r="AH319" s="1118"/>
      <c r="AI319" s="34"/>
    </row>
    <row r="320" spans="1:35" ht="22.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row>
  </sheetData>
  <sheetProtection sheet="1" objects="1" scenarios="1"/>
  <mergeCells count="1091">
    <mergeCell ref="B308:T308"/>
    <mergeCell ref="B309:T309"/>
    <mergeCell ref="B312:T312"/>
    <mergeCell ref="B313:T313"/>
    <mergeCell ref="B314:T314"/>
    <mergeCell ref="B315:T315"/>
    <mergeCell ref="B316:T316"/>
    <mergeCell ref="B317:T317"/>
    <mergeCell ref="B318:T318"/>
    <mergeCell ref="B319:T319"/>
    <mergeCell ref="U319:AH319"/>
    <mergeCell ref="U318:AH318"/>
    <mergeCell ref="U317:AH317"/>
    <mergeCell ref="U316:AH316"/>
    <mergeCell ref="U315:AH315"/>
    <mergeCell ref="U314:AH314"/>
    <mergeCell ref="U313:AH313"/>
    <mergeCell ref="U312:AH312"/>
    <mergeCell ref="U309:AH309"/>
    <mergeCell ref="U308:AH308"/>
    <mergeCell ref="B296:T296"/>
    <mergeCell ref="B297:T297"/>
    <mergeCell ref="B298:T298"/>
    <mergeCell ref="B303:T303"/>
    <mergeCell ref="B306:T306"/>
    <mergeCell ref="B307:T307"/>
    <mergeCell ref="U307:AH307"/>
    <mergeCell ref="U306:AH306"/>
    <mergeCell ref="U303:AH303"/>
    <mergeCell ref="U298:AH298"/>
    <mergeCell ref="U297:AH297"/>
    <mergeCell ref="U296:AH296"/>
    <mergeCell ref="U295:AH295"/>
    <mergeCell ref="U294:AH294"/>
    <mergeCell ref="U293:AH293"/>
    <mergeCell ref="B299:T300"/>
    <mergeCell ref="U299:AH300"/>
    <mergeCell ref="B293:T293"/>
    <mergeCell ref="B294:T294"/>
    <mergeCell ref="B295:T295"/>
    <mergeCell ref="U292:AH292"/>
    <mergeCell ref="U289:AH289"/>
    <mergeCell ref="U288:AH288"/>
    <mergeCell ref="U287:AH287"/>
    <mergeCell ref="U286:AH286"/>
    <mergeCell ref="B258:AH261"/>
    <mergeCell ref="P263:P265"/>
    <mergeCell ref="Z263:Z265"/>
    <mergeCell ref="Q263:X265"/>
    <mergeCell ref="AA263:AH265"/>
    <mergeCell ref="P269:P271"/>
    <mergeCell ref="Q269:X271"/>
    <mergeCell ref="Z269:Z271"/>
    <mergeCell ref="AA269:AH271"/>
    <mergeCell ref="P275:P277"/>
    <mergeCell ref="Q275:X277"/>
    <mergeCell ref="Z275:Z277"/>
    <mergeCell ref="AA275:AH277"/>
    <mergeCell ref="U285:AH285"/>
    <mergeCell ref="U281:AH282"/>
    <mergeCell ref="B281:T282"/>
    <mergeCell ref="B285:T285"/>
    <mergeCell ref="B286:T286"/>
    <mergeCell ref="B287:T287"/>
    <mergeCell ref="B288:T288"/>
    <mergeCell ref="B289:T289"/>
    <mergeCell ref="B292:T292"/>
    <mergeCell ref="B263:O265"/>
    <mergeCell ref="F145:I147"/>
    <mergeCell ref="N185:N200"/>
    <mergeCell ref="X185:X200"/>
    <mergeCell ref="N31:N44"/>
    <mergeCell ref="X31:X44"/>
    <mergeCell ref="J145:M147"/>
    <mergeCell ref="O145:P145"/>
    <mergeCell ref="O146:P146"/>
    <mergeCell ref="O147:P147"/>
    <mergeCell ref="O148:P148"/>
    <mergeCell ref="O149:P149"/>
    <mergeCell ref="O150:P150"/>
    <mergeCell ref="AE148:AE150"/>
    <mergeCell ref="AF148:AF150"/>
    <mergeCell ref="B21:AD27"/>
    <mergeCell ref="AH148:AH150"/>
    <mergeCell ref="Q149:R149"/>
    <mergeCell ref="S149:W149"/>
    <mergeCell ref="Q150:R150"/>
    <mergeCell ref="S150:W150"/>
    <mergeCell ref="Y148:Y150"/>
    <mergeCell ref="Z148:Z150"/>
    <mergeCell ref="AA148:AA150"/>
    <mergeCell ref="AB148:AB150"/>
    <mergeCell ref="AC148:AC150"/>
    <mergeCell ref="AD148:AD150"/>
    <mergeCell ref="B148:D150"/>
    <mergeCell ref="E148:E150"/>
    <mergeCell ref="F148:I150"/>
    <mergeCell ref="J148:M150"/>
    <mergeCell ref="Q148:R148"/>
    <mergeCell ref="S148:W148"/>
    <mergeCell ref="AE145:AE147"/>
    <mergeCell ref="AF145:AF147"/>
    <mergeCell ref="AG145:AG147"/>
    <mergeCell ref="B145:D147"/>
    <mergeCell ref="E145:E147"/>
    <mergeCell ref="AH142:AH144"/>
    <mergeCell ref="Q143:R143"/>
    <mergeCell ref="S143:W143"/>
    <mergeCell ref="Q144:R144"/>
    <mergeCell ref="S144:W144"/>
    <mergeCell ref="Y142:Y144"/>
    <mergeCell ref="Z142:Z144"/>
    <mergeCell ref="AA142:AA144"/>
    <mergeCell ref="AB142:AB144"/>
    <mergeCell ref="AC142:AC144"/>
    <mergeCell ref="AD142:AD144"/>
    <mergeCell ref="AG148:AG150"/>
    <mergeCell ref="AH145:AH147"/>
    <mergeCell ref="Q146:R146"/>
    <mergeCell ref="S146:W146"/>
    <mergeCell ref="Q147:R147"/>
    <mergeCell ref="S147:W147"/>
    <mergeCell ref="Y145:Y147"/>
    <mergeCell ref="Z145:Z147"/>
    <mergeCell ref="AA145:AA147"/>
    <mergeCell ref="AB145:AB147"/>
    <mergeCell ref="AC145:AC147"/>
    <mergeCell ref="AD145:AD147"/>
    <mergeCell ref="Q145:R145"/>
    <mergeCell ref="S145:W145"/>
    <mergeCell ref="B142:D144"/>
    <mergeCell ref="E142:E144"/>
    <mergeCell ref="F142:I144"/>
    <mergeCell ref="J142:M144"/>
    <mergeCell ref="Q142:R142"/>
    <mergeCell ref="S142:W142"/>
    <mergeCell ref="AE139:AE141"/>
    <mergeCell ref="AF139:AF141"/>
    <mergeCell ref="AG139:AG141"/>
    <mergeCell ref="B139:D141"/>
    <mergeCell ref="E139:E141"/>
    <mergeCell ref="F139:I141"/>
    <mergeCell ref="J139:M141"/>
    <mergeCell ref="O139:P139"/>
    <mergeCell ref="O140:P140"/>
    <mergeCell ref="O141:P141"/>
    <mergeCell ref="O142:P142"/>
    <mergeCell ref="O143:P143"/>
    <mergeCell ref="O144:P144"/>
    <mergeCell ref="AE142:AE144"/>
    <mergeCell ref="AF142:AF144"/>
    <mergeCell ref="AG142:AG144"/>
    <mergeCell ref="AH136:AH138"/>
    <mergeCell ref="Q137:R137"/>
    <mergeCell ref="S137:W137"/>
    <mergeCell ref="Q138:R138"/>
    <mergeCell ref="S138:W138"/>
    <mergeCell ref="Y136:Y138"/>
    <mergeCell ref="Z136:Z138"/>
    <mergeCell ref="AA136:AA138"/>
    <mergeCell ref="AB136:AB138"/>
    <mergeCell ref="AC136:AC138"/>
    <mergeCell ref="AD136:AD138"/>
    <mergeCell ref="AH139:AH141"/>
    <mergeCell ref="Q140:R140"/>
    <mergeCell ref="S140:W140"/>
    <mergeCell ref="Q141:R141"/>
    <mergeCell ref="S141:W141"/>
    <mergeCell ref="Y139:Y141"/>
    <mergeCell ref="Z139:Z141"/>
    <mergeCell ref="AA139:AA141"/>
    <mergeCell ref="AB139:AB141"/>
    <mergeCell ref="AC139:AC141"/>
    <mergeCell ref="AD139:AD141"/>
    <mergeCell ref="Q139:R139"/>
    <mergeCell ref="S139:W139"/>
    <mergeCell ref="B136:D138"/>
    <mergeCell ref="E136:E138"/>
    <mergeCell ref="F136:I138"/>
    <mergeCell ref="J136:M138"/>
    <mergeCell ref="Q136:R136"/>
    <mergeCell ref="S136:W136"/>
    <mergeCell ref="AE133:AE135"/>
    <mergeCell ref="AF133:AF135"/>
    <mergeCell ref="AG133:AG135"/>
    <mergeCell ref="B133:D135"/>
    <mergeCell ref="E133:E135"/>
    <mergeCell ref="F133:I135"/>
    <mergeCell ref="J133:M135"/>
    <mergeCell ref="O133:P133"/>
    <mergeCell ref="O134:P134"/>
    <mergeCell ref="O135:P135"/>
    <mergeCell ref="O136:P136"/>
    <mergeCell ref="O137:P137"/>
    <mergeCell ref="O138:P138"/>
    <mergeCell ref="AE136:AE138"/>
    <mergeCell ref="AF136:AF138"/>
    <mergeCell ref="AG136:AG138"/>
    <mergeCell ref="AH130:AH132"/>
    <mergeCell ref="Q131:R131"/>
    <mergeCell ref="S131:W131"/>
    <mergeCell ref="Q132:R132"/>
    <mergeCell ref="S132:W132"/>
    <mergeCell ref="Y130:Y132"/>
    <mergeCell ref="Z130:Z132"/>
    <mergeCell ref="AA130:AA132"/>
    <mergeCell ref="AB130:AB132"/>
    <mergeCell ref="AC130:AC132"/>
    <mergeCell ref="AD130:AD132"/>
    <mergeCell ref="AH133:AH135"/>
    <mergeCell ref="Q134:R134"/>
    <mergeCell ref="S134:W134"/>
    <mergeCell ref="Q135:R135"/>
    <mergeCell ref="S135:W135"/>
    <mergeCell ref="Y133:Y135"/>
    <mergeCell ref="Z133:Z135"/>
    <mergeCell ref="AA133:AA135"/>
    <mergeCell ref="AB133:AB135"/>
    <mergeCell ref="AC133:AC135"/>
    <mergeCell ref="AD133:AD135"/>
    <mergeCell ref="Q133:R133"/>
    <mergeCell ref="S133:W133"/>
    <mergeCell ref="B130:D132"/>
    <mergeCell ref="E130:E132"/>
    <mergeCell ref="F130:I132"/>
    <mergeCell ref="J130:M132"/>
    <mergeCell ref="Q130:R130"/>
    <mergeCell ref="S130:W130"/>
    <mergeCell ref="AE127:AE129"/>
    <mergeCell ref="AF127:AF129"/>
    <mergeCell ref="AG127:AG129"/>
    <mergeCell ref="B127:D129"/>
    <mergeCell ref="E127:E129"/>
    <mergeCell ref="F127:I129"/>
    <mergeCell ref="J127:M129"/>
    <mergeCell ref="O127:P127"/>
    <mergeCell ref="O128:P128"/>
    <mergeCell ref="O129:P129"/>
    <mergeCell ref="O130:P130"/>
    <mergeCell ref="O131:P131"/>
    <mergeCell ref="O132:P132"/>
    <mergeCell ref="AE130:AE132"/>
    <mergeCell ref="AF130:AF132"/>
    <mergeCell ref="AG130:AG132"/>
    <mergeCell ref="AH124:AH126"/>
    <mergeCell ref="Q125:R125"/>
    <mergeCell ref="S125:W125"/>
    <mergeCell ref="Q126:R126"/>
    <mergeCell ref="S126:W126"/>
    <mergeCell ref="Y124:Y126"/>
    <mergeCell ref="Z124:Z126"/>
    <mergeCell ref="AA124:AA126"/>
    <mergeCell ref="AB124:AB126"/>
    <mergeCell ref="AC124:AC126"/>
    <mergeCell ref="AD124:AD126"/>
    <mergeCell ref="AH127:AH129"/>
    <mergeCell ref="Q128:R128"/>
    <mergeCell ref="S128:W128"/>
    <mergeCell ref="Q129:R129"/>
    <mergeCell ref="S129:W129"/>
    <mergeCell ref="Y127:Y129"/>
    <mergeCell ref="Z127:Z129"/>
    <mergeCell ref="AA127:AA129"/>
    <mergeCell ref="AB127:AB129"/>
    <mergeCell ref="AC127:AC129"/>
    <mergeCell ref="AD127:AD129"/>
    <mergeCell ref="Q127:R127"/>
    <mergeCell ref="S127:W127"/>
    <mergeCell ref="B124:D126"/>
    <mergeCell ref="E124:E126"/>
    <mergeCell ref="F124:I126"/>
    <mergeCell ref="J124:M126"/>
    <mergeCell ref="Q124:R124"/>
    <mergeCell ref="S124:W124"/>
    <mergeCell ref="AE119:AE121"/>
    <mergeCell ref="AF119:AF121"/>
    <mergeCell ref="AG119:AG121"/>
    <mergeCell ref="B119:D121"/>
    <mergeCell ref="E119:E121"/>
    <mergeCell ref="F119:I121"/>
    <mergeCell ref="J119:M121"/>
    <mergeCell ref="O124:P124"/>
    <mergeCell ref="O125:P125"/>
    <mergeCell ref="O126:P126"/>
    <mergeCell ref="O119:P119"/>
    <mergeCell ref="O120:P120"/>
    <mergeCell ref="O121:P121"/>
    <mergeCell ref="AE124:AE126"/>
    <mergeCell ref="AF124:AF126"/>
    <mergeCell ref="AG124:AG126"/>
    <mergeCell ref="AH116:AH118"/>
    <mergeCell ref="Q117:R117"/>
    <mergeCell ref="S117:W117"/>
    <mergeCell ref="Q118:R118"/>
    <mergeCell ref="S118:W118"/>
    <mergeCell ref="Y116:Y118"/>
    <mergeCell ref="Z116:Z118"/>
    <mergeCell ref="AA116:AA118"/>
    <mergeCell ref="AB116:AB118"/>
    <mergeCell ref="AC116:AC118"/>
    <mergeCell ref="AD116:AD118"/>
    <mergeCell ref="AH119:AH121"/>
    <mergeCell ref="Q120:R120"/>
    <mergeCell ref="S120:W120"/>
    <mergeCell ref="Q121:R121"/>
    <mergeCell ref="S121:W121"/>
    <mergeCell ref="Y119:Y121"/>
    <mergeCell ref="Z119:Z121"/>
    <mergeCell ref="AA119:AA121"/>
    <mergeCell ref="AB119:AB121"/>
    <mergeCell ref="AC119:AC121"/>
    <mergeCell ref="AD119:AD121"/>
    <mergeCell ref="Q119:R119"/>
    <mergeCell ref="S119:W119"/>
    <mergeCell ref="B116:D118"/>
    <mergeCell ref="E116:E118"/>
    <mergeCell ref="F116:I118"/>
    <mergeCell ref="J116:M118"/>
    <mergeCell ref="Q116:R116"/>
    <mergeCell ref="S116:W116"/>
    <mergeCell ref="AE113:AE115"/>
    <mergeCell ref="AF113:AF115"/>
    <mergeCell ref="AG113:AG115"/>
    <mergeCell ref="B113:D115"/>
    <mergeCell ref="E113:E115"/>
    <mergeCell ref="F113:I115"/>
    <mergeCell ref="J113:M115"/>
    <mergeCell ref="O113:P113"/>
    <mergeCell ref="O114:P114"/>
    <mergeCell ref="O115:P115"/>
    <mergeCell ref="O116:P116"/>
    <mergeCell ref="O117:P117"/>
    <mergeCell ref="O118:P118"/>
    <mergeCell ref="AE116:AE118"/>
    <mergeCell ref="AF116:AF118"/>
    <mergeCell ref="AG116:AG118"/>
    <mergeCell ref="AH110:AH112"/>
    <mergeCell ref="Q111:R111"/>
    <mergeCell ref="S111:W111"/>
    <mergeCell ref="Q112:R112"/>
    <mergeCell ref="S112:W112"/>
    <mergeCell ref="Y110:Y112"/>
    <mergeCell ref="Z110:Z112"/>
    <mergeCell ref="AA110:AA112"/>
    <mergeCell ref="AB110:AB112"/>
    <mergeCell ref="AC110:AC112"/>
    <mergeCell ref="AD110:AD112"/>
    <mergeCell ref="AH113:AH115"/>
    <mergeCell ref="Q114:R114"/>
    <mergeCell ref="S114:W114"/>
    <mergeCell ref="Q115:R115"/>
    <mergeCell ref="S115:W115"/>
    <mergeCell ref="Y113:Y115"/>
    <mergeCell ref="Z113:Z115"/>
    <mergeCell ref="AA113:AA115"/>
    <mergeCell ref="AB113:AB115"/>
    <mergeCell ref="AC113:AC115"/>
    <mergeCell ref="AD113:AD115"/>
    <mergeCell ref="Q113:R113"/>
    <mergeCell ref="S113:W113"/>
    <mergeCell ref="B110:D112"/>
    <mergeCell ref="E110:E112"/>
    <mergeCell ref="F110:I112"/>
    <mergeCell ref="J110:M112"/>
    <mergeCell ref="Q110:R110"/>
    <mergeCell ref="S110:W110"/>
    <mergeCell ref="AE107:AE109"/>
    <mergeCell ref="AF107:AF109"/>
    <mergeCell ref="AG107:AG109"/>
    <mergeCell ref="B107:D109"/>
    <mergeCell ref="E107:E109"/>
    <mergeCell ref="F107:I109"/>
    <mergeCell ref="J107:M109"/>
    <mergeCell ref="O107:P107"/>
    <mergeCell ref="O108:P108"/>
    <mergeCell ref="O109:P109"/>
    <mergeCell ref="O110:P110"/>
    <mergeCell ref="O111:P111"/>
    <mergeCell ref="O112:P112"/>
    <mergeCell ref="AE110:AE112"/>
    <mergeCell ref="AF110:AF112"/>
    <mergeCell ref="AG110:AG112"/>
    <mergeCell ref="AH104:AH106"/>
    <mergeCell ref="Q105:R105"/>
    <mergeCell ref="S105:W105"/>
    <mergeCell ref="Q106:R106"/>
    <mergeCell ref="S106:W106"/>
    <mergeCell ref="Y104:Y106"/>
    <mergeCell ref="Z104:Z106"/>
    <mergeCell ref="AA104:AA106"/>
    <mergeCell ref="AB104:AB106"/>
    <mergeCell ref="AC104:AC106"/>
    <mergeCell ref="AD104:AD106"/>
    <mergeCell ref="AH107:AH109"/>
    <mergeCell ref="Q108:R108"/>
    <mergeCell ref="S108:W108"/>
    <mergeCell ref="Q109:R109"/>
    <mergeCell ref="S109:W109"/>
    <mergeCell ref="Y107:Y109"/>
    <mergeCell ref="Z107:Z109"/>
    <mergeCell ref="AA107:AA109"/>
    <mergeCell ref="AB107:AB109"/>
    <mergeCell ref="AC107:AC109"/>
    <mergeCell ref="AD107:AD109"/>
    <mergeCell ref="Q107:R107"/>
    <mergeCell ref="S107:W107"/>
    <mergeCell ref="B104:D106"/>
    <mergeCell ref="E104:E106"/>
    <mergeCell ref="F104:I106"/>
    <mergeCell ref="J104:M106"/>
    <mergeCell ref="Q104:R104"/>
    <mergeCell ref="S104:W104"/>
    <mergeCell ref="AE101:AE103"/>
    <mergeCell ref="AF101:AF103"/>
    <mergeCell ref="AG101:AG103"/>
    <mergeCell ref="B101:D103"/>
    <mergeCell ref="E101:E103"/>
    <mergeCell ref="F101:I103"/>
    <mergeCell ref="J101:M103"/>
    <mergeCell ref="O101:P101"/>
    <mergeCell ref="O102:P102"/>
    <mergeCell ref="O103:P103"/>
    <mergeCell ref="O104:P104"/>
    <mergeCell ref="O105:P105"/>
    <mergeCell ref="O106:P106"/>
    <mergeCell ref="AE104:AE106"/>
    <mergeCell ref="AF104:AF106"/>
    <mergeCell ref="AG104:AG106"/>
    <mergeCell ref="AH98:AH100"/>
    <mergeCell ref="Q99:R99"/>
    <mergeCell ref="S99:W99"/>
    <mergeCell ref="Q100:R100"/>
    <mergeCell ref="S100:W100"/>
    <mergeCell ref="Y98:Y100"/>
    <mergeCell ref="Z98:Z100"/>
    <mergeCell ref="AA98:AA100"/>
    <mergeCell ref="AB98:AB100"/>
    <mergeCell ref="AC98:AC100"/>
    <mergeCell ref="AD98:AD100"/>
    <mergeCell ref="AH101:AH103"/>
    <mergeCell ref="Q102:R102"/>
    <mergeCell ref="S102:W102"/>
    <mergeCell ref="Q103:R103"/>
    <mergeCell ref="S103:W103"/>
    <mergeCell ref="Y101:Y103"/>
    <mergeCell ref="Z101:Z103"/>
    <mergeCell ref="AA101:AA103"/>
    <mergeCell ref="AB101:AB103"/>
    <mergeCell ref="AC101:AC103"/>
    <mergeCell ref="AD101:AD103"/>
    <mergeCell ref="Q101:R101"/>
    <mergeCell ref="S101:W101"/>
    <mergeCell ref="B98:D100"/>
    <mergeCell ref="E98:E100"/>
    <mergeCell ref="F98:I100"/>
    <mergeCell ref="J98:M100"/>
    <mergeCell ref="Q98:R98"/>
    <mergeCell ref="S98:W98"/>
    <mergeCell ref="AE95:AE97"/>
    <mergeCell ref="AF95:AF97"/>
    <mergeCell ref="AG95:AG97"/>
    <mergeCell ref="B95:D97"/>
    <mergeCell ref="E95:E97"/>
    <mergeCell ref="F95:I97"/>
    <mergeCell ref="J95:M97"/>
    <mergeCell ref="O95:P95"/>
    <mergeCell ref="O96:P96"/>
    <mergeCell ref="O97:P97"/>
    <mergeCell ref="O98:P98"/>
    <mergeCell ref="O99:P99"/>
    <mergeCell ref="O100:P100"/>
    <mergeCell ref="AE98:AE100"/>
    <mergeCell ref="AF98:AF100"/>
    <mergeCell ref="AG98:AG100"/>
    <mergeCell ref="AH92:AH94"/>
    <mergeCell ref="Q93:R93"/>
    <mergeCell ref="S93:W93"/>
    <mergeCell ref="Q94:R94"/>
    <mergeCell ref="S94:W94"/>
    <mergeCell ref="Y92:Y94"/>
    <mergeCell ref="Z92:Z94"/>
    <mergeCell ref="AA92:AA94"/>
    <mergeCell ref="AB92:AB94"/>
    <mergeCell ref="AC92:AC94"/>
    <mergeCell ref="AD92:AD94"/>
    <mergeCell ref="AH95:AH97"/>
    <mergeCell ref="Q96:R96"/>
    <mergeCell ref="S96:W96"/>
    <mergeCell ref="Q97:R97"/>
    <mergeCell ref="S97:W97"/>
    <mergeCell ref="Y95:Y97"/>
    <mergeCell ref="Z95:Z97"/>
    <mergeCell ref="AA95:AA97"/>
    <mergeCell ref="AB95:AB97"/>
    <mergeCell ref="AC95:AC97"/>
    <mergeCell ref="AD95:AD97"/>
    <mergeCell ref="Q95:R95"/>
    <mergeCell ref="S95:W95"/>
    <mergeCell ref="B92:D94"/>
    <mergeCell ref="E92:E94"/>
    <mergeCell ref="F92:I94"/>
    <mergeCell ref="J92:M94"/>
    <mergeCell ref="Q92:R92"/>
    <mergeCell ref="S92:W92"/>
    <mergeCell ref="AE89:AE91"/>
    <mergeCell ref="AF89:AF91"/>
    <mergeCell ref="AG89:AG91"/>
    <mergeCell ref="B89:D91"/>
    <mergeCell ref="E89:E91"/>
    <mergeCell ref="F89:I91"/>
    <mergeCell ref="J89:M91"/>
    <mergeCell ref="O89:P89"/>
    <mergeCell ref="O90:P90"/>
    <mergeCell ref="O91:P91"/>
    <mergeCell ref="O92:P92"/>
    <mergeCell ref="O93:P93"/>
    <mergeCell ref="O94:P94"/>
    <mergeCell ref="AE92:AE94"/>
    <mergeCell ref="AF92:AF94"/>
    <mergeCell ref="AG92:AG94"/>
    <mergeCell ref="AH86:AH88"/>
    <mergeCell ref="Q87:R87"/>
    <mergeCell ref="S87:W87"/>
    <mergeCell ref="Q88:R88"/>
    <mergeCell ref="S88:W88"/>
    <mergeCell ref="Y86:Y88"/>
    <mergeCell ref="Z86:Z88"/>
    <mergeCell ref="AA86:AA88"/>
    <mergeCell ref="AB86:AB88"/>
    <mergeCell ref="AC86:AC88"/>
    <mergeCell ref="AD86:AD88"/>
    <mergeCell ref="AH89:AH91"/>
    <mergeCell ref="Q90:R90"/>
    <mergeCell ref="S90:W90"/>
    <mergeCell ref="Q91:R91"/>
    <mergeCell ref="S91:W91"/>
    <mergeCell ref="Y89:Y91"/>
    <mergeCell ref="Z89:Z91"/>
    <mergeCell ref="AA89:AA91"/>
    <mergeCell ref="AB89:AB91"/>
    <mergeCell ref="AC89:AC91"/>
    <mergeCell ref="AD89:AD91"/>
    <mergeCell ref="Q89:R89"/>
    <mergeCell ref="S89:W89"/>
    <mergeCell ref="B86:D88"/>
    <mergeCell ref="E86:E88"/>
    <mergeCell ref="F86:I88"/>
    <mergeCell ref="J86:M88"/>
    <mergeCell ref="Q86:R86"/>
    <mergeCell ref="S86:W86"/>
    <mergeCell ref="AE81:AE83"/>
    <mergeCell ref="AF81:AF83"/>
    <mergeCell ref="AG81:AG83"/>
    <mergeCell ref="B81:D83"/>
    <mergeCell ref="E81:E83"/>
    <mergeCell ref="F81:I83"/>
    <mergeCell ref="J81:M83"/>
    <mergeCell ref="O86:P86"/>
    <mergeCell ref="O87:P87"/>
    <mergeCell ref="O88:P88"/>
    <mergeCell ref="O81:P81"/>
    <mergeCell ref="O82:P82"/>
    <mergeCell ref="O83:P83"/>
    <mergeCell ref="AE86:AE88"/>
    <mergeCell ref="AF86:AF88"/>
    <mergeCell ref="AG86:AG88"/>
    <mergeCell ref="AH78:AH80"/>
    <mergeCell ref="Q79:R79"/>
    <mergeCell ref="S79:W79"/>
    <mergeCell ref="Q80:R80"/>
    <mergeCell ref="S80:W80"/>
    <mergeCell ref="Y78:Y80"/>
    <mergeCell ref="Z78:Z80"/>
    <mergeCell ref="AA78:AA80"/>
    <mergeCell ref="AB78:AB80"/>
    <mergeCell ref="AC78:AC80"/>
    <mergeCell ref="AD78:AD80"/>
    <mergeCell ref="AH81:AH83"/>
    <mergeCell ref="Q82:R82"/>
    <mergeCell ref="S82:W82"/>
    <mergeCell ref="Q83:R83"/>
    <mergeCell ref="S83:W83"/>
    <mergeCell ref="Y81:Y83"/>
    <mergeCell ref="Z81:Z83"/>
    <mergeCell ref="AA81:AA83"/>
    <mergeCell ref="AB81:AB83"/>
    <mergeCell ref="AC81:AC83"/>
    <mergeCell ref="AD81:AD83"/>
    <mergeCell ref="Q81:R81"/>
    <mergeCell ref="S81:W81"/>
    <mergeCell ref="B78:D80"/>
    <mergeCell ref="E78:E80"/>
    <mergeCell ref="F78:I80"/>
    <mergeCell ref="J78:M80"/>
    <mergeCell ref="Q78:R78"/>
    <mergeCell ref="S78:W78"/>
    <mergeCell ref="AE73:AE75"/>
    <mergeCell ref="AF73:AF75"/>
    <mergeCell ref="AG73:AG75"/>
    <mergeCell ref="B73:D75"/>
    <mergeCell ref="E73:E75"/>
    <mergeCell ref="F73:I75"/>
    <mergeCell ref="J73:M75"/>
    <mergeCell ref="O78:P78"/>
    <mergeCell ref="O79:P79"/>
    <mergeCell ref="O80:P80"/>
    <mergeCell ref="O73:P73"/>
    <mergeCell ref="O74:P74"/>
    <mergeCell ref="O75:P75"/>
    <mergeCell ref="AE78:AE80"/>
    <mergeCell ref="AF78:AF80"/>
    <mergeCell ref="AG78:AG80"/>
    <mergeCell ref="AH70:AH72"/>
    <mergeCell ref="Q71:R71"/>
    <mergeCell ref="S71:W71"/>
    <mergeCell ref="Q72:R72"/>
    <mergeCell ref="S72:W72"/>
    <mergeCell ref="Y70:Y72"/>
    <mergeCell ref="Z70:Z72"/>
    <mergeCell ref="AA70:AA72"/>
    <mergeCell ref="AB70:AB72"/>
    <mergeCell ref="AC70:AC72"/>
    <mergeCell ref="AD70:AD72"/>
    <mergeCell ref="AH73:AH75"/>
    <mergeCell ref="Q74:R74"/>
    <mergeCell ref="S74:W74"/>
    <mergeCell ref="Q75:R75"/>
    <mergeCell ref="S75:W75"/>
    <mergeCell ref="Y73:Y75"/>
    <mergeCell ref="Z73:Z75"/>
    <mergeCell ref="AA73:AA75"/>
    <mergeCell ref="AB73:AB75"/>
    <mergeCell ref="AC73:AC75"/>
    <mergeCell ref="AD73:AD75"/>
    <mergeCell ref="Q73:R73"/>
    <mergeCell ref="S73:W73"/>
    <mergeCell ref="B70:D72"/>
    <mergeCell ref="E70:E72"/>
    <mergeCell ref="F70:I72"/>
    <mergeCell ref="J70:M72"/>
    <mergeCell ref="Q70:R70"/>
    <mergeCell ref="S70:W70"/>
    <mergeCell ref="AE67:AE69"/>
    <mergeCell ref="AF67:AF69"/>
    <mergeCell ref="AG67:AG69"/>
    <mergeCell ref="B67:D69"/>
    <mergeCell ref="E67:E69"/>
    <mergeCell ref="F67:I69"/>
    <mergeCell ref="J67:M69"/>
    <mergeCell ref="O67:P67"/>
    <mergeCell ref="O68:P68"/>
    <mergeCell ref="O69:P69"/>
    <mergeCell ref="O70:P70"/>
    <mergeCell ref="O71:P71"/>
    <mergeCell ref="O72:P72"/>
    <mergeCell ref="AE70:AE72"/>
    <mergeCell ref="AF70:AF72"/>
    <mergeCell ref="AG70:AG72"/>
    <mergeCell ref="AH64:AH66"/>
    <mergeCell ref="Q65:R65"/>
    <mergeCell ref="S65:W65"/>
    <mergeCell ref="Q66:R66"/>
    <mergeCell ref="S66:W66"/>
    <mergeCell ref="Y64:Y66"/>
    <mergeCell ref="Z64:Z66"/>
    <mergeCell ref="AA64:AA66"/>
    <mergeCell ref="AB64:AB66"/>
    <mergeCell ref="AC64:AC66"/>
    <mergeCell ref="AD64:AD66"/>
    <mergeCell ref="AH67:AH69"/>
    <mergeCell ref="Q68:R68"/>
    <mergeCell ref="S68:W68"/>
    <mergeCell ref="Q69:R69"/>
    <mergeCell ref="S69:W69"/>
    <mergeCell ref="Y67:Y69"/>
    <mergeCell ref="Z67:Z69"/>
    <mergeCell ref="AA67:AA69"/>
    <mergeCell ref="AB67:AB69"/>
    <mergeCell ref="AC67:AC69"/>
    <mergeCell ref="AD67:AD69"/>
    <mergeCell ref="Q67:R67"/>
    <mergeCell ref="S67:W67"/>
    <mergeCell ref="B64:D66"/>
    <mergeCell ref="E64:E66"/>
    <mergeCell ref="F64:I66"/>
    <mergeCell ref="J64:M66"/>
    <mergeCell ref="Q64:R64"/>
    <mergeCell ref="S64:W64"/>
    <mergeCell ref="AE61:AE63"/>
    <mergeCell ref="AF61:AF63"/>
    <mergeCell ref="AG61:AG63"/>
    <mergeCell ref="B61:D63"/>
    <mergeCell ref="E61:E63"/>
    <mergeCell ref="F61:I63"/>
    <mergeCell ref="J61:M63"/>
    <mergeCell ref="O62:P62"/>
    <mergeCell ref="O63:P63"/>
    <mergeCell ref="O64:P64"/>
    <mergeCell ref="O65:P65"/>
    <mergeCell ref="O66:P66"/>
    <mergeCell ref="AE64:AE66"/>
    <mergeCell ref="AF64:AF66"/>
    <mergeCell ref="AG64:AG66"/>
    <mergeCell ref="AH56:AH58"/>
    <mergeCell ref="Q57:R57"/>
    <mergeCell ref="S57:W57"/>
    <mergeCell ref="Q58:R58"/>
    <mergeCell ref="S58:W58"/>
    <mergeCell ref="Y56:Y58"/>
    <mergeCell ref="Z56:Z58"/>
    <mergeCell ref="AA56:AA58"/>
    <mergeCell ref="AB56:AB58"/>
    <mergeCell ref="AC56:AC58"/>
    <mergeCell ref="AD56:AD58"/>
    <mergeCell ref="AH61:AH63"/>
    <mergeCell ref="Q62:R62"/>
    <mergeCell ref="S62:W62"/>
    <mergeCell ref="Q63:R63"/>
    <mergeCell ref="S63:W63"/>
    <mergeCell ref="Y61:Y63"/>
    <mergeCell ref="Z61:Z63"/>
    <mergeCell ref="AA61:AA63"/>
    <mergeCell ref="AB61:AB63"/>
    <mergeCell ref="AC61:AC63"/>
    <mergeCell ref="AD61:AD63"/>
    <mergeCell ref="Q61:R61"/>
    <mergeCell ref="S61:W61"/>
    <mergeCell ref="AB53:AB55"/>
    <mergeCell ref="AC53:AC55"/>
    <mergeCell ref="AD53:AD55"/>
    <mergeCell ref="Q53:R53"/>
    <mergeCell ref="S53:W53"/>
    <mergeCell ref="B56:D58"/>
    <mergeCell ref="E56:E58"/>
    <mergeCell ref="F56:I58"/>
    <mergeCell ref="J56:M58"/>
    <mergeCell ref="Q56:R56"/>
    <mergeCell ref="S56:W56"/>
    <mergeCell ref="AE53:AE55"/>
    <mergeCell ref="AF53:AF55"/>
    <mergeCell ref="AG53:AG55"/>
    <mergeCell ref="B53:D55"/>
    <mergeCell ref="E53:E55"/>
    <mergeCell ref="F53:I55"/>
    <mergeCell ref="J53:M55"/>
    <mergeCell ref="AE56:AE58"/>
    <mergeCell ref="AF56:AF58"/>
    <mergeCell ref="AG56:AG58"/>
    <mergeCell ref="B2:AH5"/>
    <mergeCell ref="Q9:AH11"/>
    <mergeCell ref="Q15:AH17"/>
    <mergeCell ref="AG32:AG44"/>
    <mergeCell ref="AH32:AH44"/>
    <mergeCell ref="B34:D44"/>
    <mergeCell ref="E34:E44"/>
    <mergeCell ref="F34:I44"/>
    <mergeCell ref="J34:M44"/>
    <mergeCell ref="S34:W44"/>
    <mergeCell ref="AA32:AA44"/>
    <mergeCell ref="AB32:AB44"/>
    <mergeCell ref="AC32:AC44"/>
    <mergeCell ref="AD32:AD44"/>
    <mergeCell ref="AE32:AE44"/>
    <mergeCell ref="AF32:AF44"/>
    <mergeCell ref="AH47:AH49"/>
    <mergeCell ref="Q48:R48"/>
    <mergeCell ref="S48:W48"/>
    <mergeCell ref="Q49:R49"/>
    <mergeCell ref="S49:W49"/>
    <mergeCell ref="AF47:AF49"/>
    <mergeCell ref="AG47:AG49"/>
    <mergeCell ref="B9:N11"/>
    <mergeCell ref="P9:P11"/>
    <mergeCell ref="P15:P17"/>
    <mergeCell ref="B31:M33"/>
    <mergeCell ref="Y31:AH31"/>
    <mergeCell ref="Y32:Y44"/>
    <mergeCell ref="Z32:Z44"/>
    <mergeCell ref="Y47:Y49"/>
    <mergeCell ref="Z47:Z49"/>
    <mergeCell ref="B47:D49"/>
    <mergeCell ref="E50:E52"/>
    <mergeCell ref="F50:I52"/>
    <mergeCell ref="J50:M52"/>
    <mergeCell ref="Q50:R50"/>
    <mergeCell ref="AB47:AB49"/>
    <mergeCell ref="AC47:AC49"/>
    <mergeCell ref="AD47:AD49"/>
    <mergeCell ref="AE47:AE49"/>
    <mergeCell ref="AD50:AD52"/>
    <mergeCell ref="AE50:AE52"/>
    <mergeCell ref="E47:E49"/>
    <mergeCell ref="F47:I49"/>
    <mergeCell ref="J47:M49"/>
    <mergeCell ref="Q47:R47"/>
    <mergeCell ref="S47:W47"/>
    <mergeCell ref="B156:AH159"/>
    <mergeCell ref="B50:D52"/>
    <mergeCell ref="AA47:AA49"/>
    <mergeCell ref="AF50:AF52"/>
    <mergeCell ref="AG50:AG52"/>
    <mergeCell ref="AH50:AH52"/>
    <mergeCell ref="Q51:R51"/>
    <mergeCell ref="S51:W51"/>
    <mergeCell ref="Q52:R52"/>
    <mergeCell ref="S52:W52"/>
    <mergeCell ref="S50:W50"/>
    <mergeCell ref="Y50:Y52"/>
    <mergeCell ref="Z50:Z52"/>
    <mergeCell ref="AA50:AA52"/>
    <mergeCell ref="AB50:AB52"/>
    <mergeCell ref="AC50:AC52"/>
    <mergeCell ref="O190:R200"/>
    <mergeCell ref="S190:W200"/>
    <mergeCell ref="Y201:AH201"/>
    <mergeCell ref="S203:W203"/>
    <mergeCell ref="S204:W204"/>
    <mergeCell ref="S205:W205"/>
    <mergeCell ref="Q225:R225"/>
    <mergeCell ref="Q226:R226"/>
    <mergeCell ref="O31:W33"/>
    <mergeCell ref="O34:R44"/>
    <mergeCell ref="O47:P47"/>
    <mergeCell ref="O48:P48"/>
    <mergeCell ref="O49:P49"/>
    <mergeCell ref="O50:P50"/>
    <mergeCell ref="O51:P51"/>
    <mergeCell ref="O52:P52"/>
    <mergeCell ref="O53:P53"/>
    <mergeCell ref="O54:P54"/>
    <mergeCell ref="O55:P55"/>
    <mergeCell ref="O56:P56"/>
    <mergeCell ref="O57:P57"/>
    <mergeCell ref="O58:P58"/>
    <mergeCell ref="O61:P61"/>
    <mergeCell ref="Y45:AH45"/>
    <mergeCell ref="AH53:AH55"/>
    <mergeCell ref="Q54:R54"/>
    <mergeCell ref="S54:W54"/>
    <mergeCell ref="Q55:R55"/>
    <mergeCell ref="S55:W55"/>
    <mergeCell ref="Y53:Y55"/>
    <mergeCell ref="Z53:Z55"/>
    <mergeCell ref="AA53:AA55"/>
    <mergeCell ref="B212:D214"/>
    <mergeCell ref="B209:D211"/>
    <mergeCell ref="B203:D205"/>
    <mergeCell ref="B206:D208"/>
    <mergeCell ref="B217:D219"/>
    <mergeCell ref="B228:D230"/>
    <mergeCell ref="B225:D227"/>
    <mergeCell ref="B222:D224"/>
    <mergeCell ref="B242:D244"/>
    <mergeCell ref="B163:N165"/>
    <mergeCell ref="P163:P165"/>
    <mergeCell ref="Q163:AH165"/>
    <mergeCell ref="P169:P171"/>
    <mergeCell ref="Q169:AH171"/>
    <mergeCell ref="B175:AD181"/>
    <mergeCell ref="B185:M189"/>
    <mergeCell ref="O185:W189"/>
    <mergeCell ref="Y185:AH185"/>
    <mergeCell ref="Y186:Y200"/>
    <mergeCell ref="Z186:Z200"/>
    <mergeCell ref="AA186:AA200"/>
    <mergeCell ref="AB186:AB200"/>
    <mergeCell ref="AC186:AC200"/>
    <mergeCell ref="AD186:AD200"/>
    <mergeCell ref="AE186:AE200"/>
    <mergeCell ref="AF186:AF200"/>
    <mergeCell ref="AG186:AG200"/>
    <mergeCell ref="AH186:AH200"/>
    <mergeCell ref="B190:D200"/>
    <mergeCell ref="E190:E200"/>
    <mergeCell ref="F190:I200"/>
    <mergeCell ref="J190:M200"/>
    <mergeCell ref="Q213:R213"/>
    <mergeCell ref="Q214:R214"/>
    <mergeCell ref="Q209:R209"/>
    <mergeCell ref="Q210:R210"/>
    <mergeCell ref="Q211:R211"/>
    <mergeCell ref="Q203:R203"/>
    <mergeCell ref="Q204:R204"/>
    <mergeCell ref="Q205:R205"/>
    <mergeCell ref="Q206:R206"/>
    <mergeCell ref="Q207:R207"/>
    <mergeCell ref="Q208:R208"/>
    <mergeCell ref="Q217:R217"/>
    <mergeCell ref="Q218:R218"/>
    <mergeCell ref="Q219:R219"/>
    <mergeCell ref="Q228:R228"/>
    <mergeCell ref="Q229:R229"/>
    <mergeCell ref="Q230:R230"/>
    <mergeCell ref="Q227:R227"/>
    <mergeCell ref="Q222:R222"/>
    <mergeCell ref="Q223:R223"/>
    <mergeCell ref="Q224:R224"/>
    <mergeCell ref="Q212:R212"/>
    <mergeCell ref="B245:D247"/>
    <mergeCell ref="B239:D241"/>
    <mergeCell ref="B236:D238"/>
    <mergeCell ref="B248:D250"/>
    <mergeCell ref="B251:D253"/>
    <mergeCell ref="B233:D235"/>
    <mergeCell ref="Q242:R242"/>
    <mergeCell ref="Q243:R243"/>
    <mergeCell ref="Q244:R244"/>
    <mergeCell ref="O242:P242"/>
    <mergeCell ref="O243:P243"/>
    <mergeCell ref="O244:P244"/>
    <mergeCell ref="E239:E241"/>
    <mergeCell ref="F239:I241"/>
    <mergeCell ref="J239:M241"/>
    <mergeCell ref="E236:E238"/>
    <mergeCell ref="F236:I238"/>
    <mergeCell ref="J236:M238"/>
    <mergeCell ref="O251:P251"/>
    <mergeCell ref="Q248:R248"/>
    <mergeCell ref="Q249:R249"/>
    <mergeCell ref="Q250:R250"/>
    <mergeCell ref="Q251:R251"/>
    <mergeCell ref="Q252:R252"/>
    <mergeCell ref="Q253:R253"/>
    <mergeCell ref="Q233:R233"/>
    <mergeCell ref="Q234:R234"/>
    <mergeCell ref="Q235:R235"/>
    <mergeCell ref="Q245:R245"/>
    <mergeCell ref="Q246:R246"/>
    <mergeCell ref="Q247:R247"/>
    <mergeCell ref="Q239:R239"/>
    <mergeCell ref="S222:W222"/>
    <mergeCell ref="S223:W223"/>
    <mergeCell ref="S224:W224"/>
    <mergeCell ref="S242:W242"/>
    <mergeCell ref="S243:W243"/>
    <mergeCell ref="S244:W244"/>
    <mergeCell ref="S206:W206"/>
    <mergeCell ref="S207:W207"/>
    <mergeCell ref="S217:W217"/>
    <mergeCell ref="S208:W208"/>
    <mergeCell ref="S218:W218"/>
    <mergeCell ref="S219:W219"/>
    <mergeCell ref="S228:W228"/>
    <mergeCell ref="S229:W229"/>
    <mergeCell ref="S230:W230"/>
    <mergeCell ref="S212:W212"/>
    <mergeCell ref="S213:W213"/>
    <mergeCell ref="S214:W214"/>
    <mergeCell ref="S209:W209"/>
    <mergeCell ref="S210:W210"/>
    <mergeCell ref="S211:W211"/>
    <mergeCell ref="S251:W251"/>
    <mergeCell ref="S252:W252"/>
    <mergeCell ref="S253:W253"/>
    <mergeCell ref="S233:W233"/>
    <mergeCell ref="S234:W234"/>
    <mergeCell ref="S235:W235"/>
    <mergeCell ref="S245:W245"/>
    <mergeCell ref="S246:W246"/>
    <mergeCell ref="S247:W247"/>
    <mergeCell ref="S239:W239"/>
    <mergeCell ref="S240:W240"/>
    <mergeCell ref="S241:W241"/>
    <mergeCell ref="S236:W236"/>
    <mergeCell ref="S237:W237"/>
    <mergeCell ref="S238:W238"/>
    <mergeCell ref="S225:W225"/>
    <mergeCell ref="S226:W226"/>
    <mergeCell ref="S227:W227"/>
    <mergeCell ref="J217:M219"/>
    <mergeCell ref="E222:E224"/>
    <mergeCell ref="F222:I224"/>
    <mergeCell ref="J222:M224"/>
    <mergeCell ref="E225:E227"/>
    <mergeCell ref="F225:I227"/>
    <mergeCell ref="J225:M227"/>
    <mergeCell ref="E212:E214"/>
    <mergeCell ref="F212:I214"/>
    <mergeCell ref="J212:M214"/>
    <mergeCell ref="O203:P203"/>
    <mergeCell ref="O204:P204"/>
    <mergeCell ref="O205:P205"/>
    <mergeCell ref="O253:P253"/>
    <mergeCell ref="O233:P233"/>
    <mergeCell ref="O234:P234"/>
    <mergeCell ref="O235:P235"/>
    <mergeCell ref="O245:P245"/>
    <mergeCell ref="O246:P246"/>
    <mergeCell ref="O247:P247"/>
    <mergeCell ref="O239:P239"/>
    <mergeCell ref="O240:P240"/>
    <mergeCell ref="O241:P241"/>
    <mergeCell ref="O236:P236"/>
    <mergeCell ref="O237:P237"/>
    <mergeCell ref="O238:P238"/>
    <mergeCell ref="O225:P225"/>
    <mergeCell ref="O226:P226"/>
    <mergeCell ref="O227:P227"/>
    <mergeCell ref="O222:P222"/>
    <mergeCell ref="O223:P223"/>
    <mergeCell ref="O224:P224"/>
    <mergeCell ref="E203:E205"/>
    <mergeCell ref="F203:I205"/>
    <mergeCell ref="J203:M205"/>
    <mergeCell ref="E206:E208"/>
    <mergeCell ref="F206:I208"/>
    <mergeCell ref="J206:M208"/>
    <mergeCell ref="E209:E211"/>
    <mergeCell ref="F209:I211"/>
    <mergeCell ref="J209:M211"/>
    <mergeCell ref="E251:E253"/>
    <mergeCell ref="F251:I253"/>
    <mergeCell ref="J251:M253"/>
    <mergeCell ref="E233:E235"/>
    <mergeCell ref="F233:I235"/>
    <mergeCell ref="J233:M235"/>
    <mergeCell ref="AA203:AA205"/>
    <mergeCell ref="AB203:AB205"/>
    <mergeCell ref="O252:P252"/>
    <mergeCell ref="O206:P206"/>
    <mergeCell ref="O207:P207"/>
    <mergeCell ref="O208:P208"/>
    <mergeCell ref="O217:P217"/>
    <mergeCell ref="O218:P218"/>
    <mergeCell ref="O219:P219"/>
    <mergeCell ref="O212:P212"/>
    <mergeCell ref="O213:P213"/>
    <mergeCell ref="O214:P214"/>
    <mergeCell ref="O209:P209"/>
    <mergeCell ref="O210:P210"/>
    <mergeCell ref="O211:P211"/>
    <mergeCell ref="E217:E219"/>
    <mergeCell ref="F217:I219"/>
    <mergeCell ref="E248:E250"/>
    <mergeCell ref="F248:I250"/>
    <mergeCell ref="J248:M250"/>
    <mergeCell ref="E228:E230"/>
    <mergeCell ref="F228:I230"/>
    <mergeCell ref="J228:M230"/>
    <mergeCell ref="E242:E244"/>
    <mergeCell ref="F242:I244"/>
    <mergeCell ref="J242:M244"/>
    <mergeCell ref="E245:E247"/>
    <mergeCell ref="F245:I247"/>
    <mergeCell ref="J245:M247"/>
    <mergeCell ref="AG233:AG235"/>
    <mergeCell ref="AG236:AG238"/>
    <mergeCell ref="AH239:AH241"/>
    <mergeCell ref="AH242:AH244"/>
    <mergeCell ref="AH245:AH247"/>
    <mergeCell ref="AH248:AH250"/>
    <mergeCell ref="O228:P228"/>
    <mergeCell ref="O229:P229"/>
    <mergeCell ref="O230:P230"/>
    <mergeCell ref="O248:P248"/>
    <mergeCell ref="O249:P249"/>
    <mergeCell ref="O250:P250"/>
    <mergeCell ref="Q240:R240"/>
    <mergeCell ref="Q241:R241"/>
    <mergeCell ref="Q236:R236"/>
    <mergeCell ref="Q237:R237"/>
    <mergeCell ref="Q238:R238"/>
    <mergeCell ref="S248:W248"/>
    <mergeCell ref="S249:W249"/>
    <mergeCell ref="S250:W250"/>
    <mergeCell ref="AH251:AH253"/>
    <mergeCell ref="AD217:AD219"/>
    <mergeCell ref="AE217:AE219"/>
    <mergeCell ref="AF217:AF219"/>
    <mergeCell ref="Y222:Y224"/>
    <mergeCell ref="Y225:Y227"/>
    <mergeCell ref="Y228:Y230"/>
    <mergeCell ref="AD203:AD205"/>
    <mergeCell ref="AE203:AE205"/>
    <mergeCell ref="AF203:AF205"/>
    <mergeCell ref="AB206:AB208"/>
    <mergeCell ref="AC206:AC208"/>
    <mergeCell ref="AD206:AD208"/>
    <mergeCell ref="AE206:AE208"/>
    <mergeCell ref="AF206:AF208"/>
    <mergeCell ref="AB209:AB211"/>
    <mergeCell ref="AC209:AC211"/>
    <mergeCell ref="AD209:AD211"/>
    <mergeCell ref="AE209:AE211"/>
    <mergeCell ref="AF209:AF211"/>
    <mergeCell ref="AC203:AC205"/>
    <mergeCell ref="AA209:AA211"/>
    <mergeCell ref="AA212:AA214"/>
    <mergeCell ref="AA217:AA219"/>
    <mergeCell ref="AB217:AB219"/>
    <mergeCell ref="AC217:AC219"/>
  </mergeCells>
  <conditionalFormatting sqref="Q47:R150">
    <cfRule type="dataBar" priority="4">
      <dataBar>
        <cfvo type="min"/>
        <cfvo type="max"/>
        <color theme="1"/>
      </dataBar>
      <extLst>
        <ext xmlns:x14="http://schemas.microsoft.com/office/spreadsheetml/2009/9/main" uri="{B025F937-C7B1-47D3-B67F-A62EFF666E3E}">
          <x14:id>{56913B1E-D8C4-49A5-B1B7-1478000239D5}</x14:id>
        </ext>
      </extLst>
    </cfRule>
  </conditionalFormatting>
  <conditionalFormatting sqref="Q233:R253 Q203:R214 Q217:R230">
    <cfRule type="dataBar" priority="27">
      <dataBar>
        <cfvo type="min"/>
        <cfvo type="max"/>
        <color theme="1"/>
      </dataBar>
      <extLst>
        <ext xmlns:x14="http://schemas.microsoft.com/office/spreadsheetml/2009/9/main" uri="{B025F937-C7B1-47D3-B67F-A62EFF666E3E}">
          <x14:id>{7C5555F0-0E87-46EE-A34E-F340C0176025}</x14:id>
        </ext>
      </extLst>
    </cfRule>
  </conditionalFormatting>
  <pageMargins left="0" right="0" top="0.39370078740157483" bottom="0.39370078740157483" header="0" footer="0"/>
  <pageSetup paperSize="9" scale="36" fitToWidth="0" fitToHeight="4" pageOrder="overThenDown" orientation="portrait" r:id="rId1"/>
  <headerFooter>
    <oddHeader>&amp;C&amp;A</oddHeader>
    <oddFooter>&amp;CPage &amp;P</oddFooter>
  </headerFooter>
  <rowBreaks count="2" manualBreakCount="2">
    <brk id="83" max="34" man="1"/>
    <brk id="154" max="34" man="1"/>
  </rowBreaks>
  <drawing r:id="rId2"/>
  <extLst>
    <ext xmlns:x14="http://schemas.microsoft.com/office/spreadsheetml/2009/9/main" uri="{78C0D931-6437-407d-A8EE-F0AAD7539E65}">
      <x14:conditionalFormattings>
        <x14:conditionalFormatting xmlns:xm="http://schemas.microsoft.com/office/excel/2006/main">
          <x14:cfRule type="dataBar" id="{56913B1E-D8C4-49A5-B1B7-1478000239D5}">
            <x14:dataBar minLength="0" maxLength="100" gradient="0">
              <x14:cfvo type="autoMin"/>
              <x14:cfvo type="autoMax"/>
              <x14:negativeFillColor rgb="FFFF0000"/>
              <x14:axisColor rgb="FF000000"/>
            </x14:dataBar>
          </x14:cfRule>
          <xm:sqref>Q47:R150</xm:sqref>
        </x14:conditionalFormatting>
        <x14:conditionalFormatting xmlns:xm="http://schemas.microsoft.com/office/excel/2006/main">
          <x14:cfRule type="dataBar" id="{7C5555F0-0E87-46EE-A34E-F340C0176025}">
            <x14:dataBar minLength="0" maxLength="100" gradient="0">
              <x14:cfvo type="autoMin"/>
              <x14:cfvo type="autoMax"/>
              <x14:negativeFillColor rgb="FFFF0000"/>
              <x14:axisColor rgb="FF000000"/>
            </x14:dataBar>
          </x14:cfRule>
          <xm:sqref>Q233:R253 Q203:R214 Q217:R230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499984740745262"/>
  </sheetPr>
  <dimension ref="A1:AK172"/>
  <sheetViews>
    <sheetView showGridLines="0" showRowColHeaders="0" view="pageBreakPreview" zoomScale="55" zoomScaleNormal="100" zoomScaleSheetLayoutView="55" workbookViewId="0">
      <selection activeCell="AN159" sqref="AN159"/>
    </sheetView>
  </sheetViews>
  <sheetFormatPr baseColWidth="10" defaultColWidth="5.875" defaultRowHeight="30" customHeight="1" x14ac:dyDescent="0.2"/>
  <cols>
    <col min="1" max="16384" width="5.875" style="2"/>
  </cols>
  <sheetData>
    <row r="1" spans="1:37" ht="30" customHeight="1" thickBot="1"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2"/>
      <c r="AJ1" s="139"/>
      <c r="AK1" s="139"/>
    </row>
    <row r="2" spans="1:37" ht="12.75" x14ac:dyDescent="0.2">
      <c r="A2" s="34"/>
      <c r="B2" s="868" t="s">
        <v>703</v>
      </c>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70"/>
      <c r="AK2" s="139"/>
    </row>
    <row r="3" spans="1:37" ht="12.75" x14ac:dyDescent="0.2">
      <c r="A3" s="34"/>
      <c r="B3" s="871"/>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3"/>
      <c r="AK3" s="139"/>
    </row>
    <row r="4" spans="1:37" ht="12.75" x14ac:dyDescent="0.2">
      <c r="A4" s="34"/>
      <c r="B4" s="871"/>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3"/>
      <c r="AK4" s="139"/>
    </row>
    <row r="5" spans="1:37" ht="13.5" thickBot="1" x14ac:dyDescent="0.25">
      <c r="A5" s="34"/>
      <c r="B5" s="874"/>
      <c r="C5" s="875"/>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5"/>
      <c r="AH5" s="875"/>
      <c r="AI5" s="875"/>
      <c r="AJ5" s="876"/>
      <c r="AK5" s="139"/>
    </row>
    <row r="6" spans="1:37" ht="30" customHeight="1" x14ac:dyDescent="0.2">
      <c r="A6" s="34"/>
      <c r="B6" s="34"/>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34"/>
      <c r="AH6" s="34"/>
      <c r="AI6" s="32"/>
      <c r="AJ6" s="139"/>
      <c r="AK6" s="139"/>
    </row>
    <row r="7" spans="1:37" ht="30" customHeight="1" x14ac:dyDescent="0.2">
      <c r="A7" s="34"/>
      <c r="B7" s="1131" t="s">
        <v>747</v>
      </c>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1"/>
      <c r="AG7" s="1131"/>
      <c r="AH7" s="1131"/>
      <c r="AI7" s="1131"/>
      <c r="AJ7" s="1131"/>
      <c r="AK7" s="139"/>
    </row>
    <row r="8" spans="1:37" ht="30" customHeight="1" x14ac:dyDescent="0.2">
      <c r="A8" s="34"/>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48"/>
      <c r="AF8" s="48"/>
      <c r="AG8" s="34"/>
      <c r="AH8" s="34"/>
      <c r="AI8" s="32"/>
      <c r="AJ8" s="139"/>
      <c r="AK8" s="139"/>
    </row>
    <row r="9" spans="1:37" ht="30" customHeight="1" x14ac:dyDescent="0.2">
      <c r="A9" s="34"/>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4"/>
      <c r="AF9" s="34"/>
      <c r="AG9" s="34"/>
      <c r="AH9" s="34"/>
      <c r="AI9" s="34"/>
      <c r="AJ9" s="34"/>
      <c r="AK9" s="34"/>
    </row>
    <row r="10" spans="1:37" ht="30" customHeight="1" x14ac:dyDescent="0.2">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row>
    <row r="11" spans="1:37" ht="30" customHeight="1"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row>
    <row r="12" spans="1:37" ht="30" customHeight="1"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row>
    <row r="13" spans="1:37" ht="30" customHeight="1"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row>
    <row r="14" spans="1:37" ht="30" customHeight="1"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row>
    <row r="15" spans="1:37" ht="30"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row>
    <row r="16" spans="1:37" ht="30" customHeight="1"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row>
    <row r="17" spans="1:37" ht="30" customHeight="1"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row>
    <row r="18" spans="1:37" ht="30" customHeight="1"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row>
    <row r="19" spans="1:37" ht="30"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row>
    <row r="20" spans="1:37" ht="30" customHeight="1"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row>
    <row r="21" spans="1:37" ht="30" customHeight="1"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row>
    <row r="22" spans="1:37" ht="30"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row>
    <row r="23" spans="1:37" ht="30" customHeight="1"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row>
    <row r="24" spans="1:37" ht="30" customHeight="1"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row>
    <row r="25" spans="1:37" ht="30"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row>
    <row r="26" spans="1:37" ht="30" customHeight="1"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192"/>
    </row>
    <row r="27" spans="1:37" ht="30"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193"/>
    </row>
    <row r="28" spans="1:37" ht="30" customHeight="1" x14ac:dyDescent="0.2">
      <c r="A28" s="34"/>
      <c r="B28" s="1128" t="s">
        <v>1520</v>
      </c>
      <c r="C28" s="1128"/>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28"/>
      <c r="AA28" s="1128"/>
      <c r="AB28" s="1128"/>
      <c r="AC28" s="1128"/>
      <c r="AD28" s="1128"/>
      <c r="AE28" s="1128"/>
      <c r="AF28" s="1128"/>
      <c r="AG28" s="1128"/>
      <c r="AH28" s="1128"/>
      <c r="AI28" s="1128"/>
      <c r="AJ28" s="1128"/>
      <c r="AK28" s="194"/>
    </row>
    <row r="29" spans="1:37" ht="30" customHeight="1" x14ac:dyDescent="0.2">
      <c r="A29" s="34"/>
      <c r="B29" s="1129" t="s">
        <v>709</v>
      </c>
      <c r="C29" s="1129"/>
      <c r="D29" s="1129"/>
      <c r="E29" s="1129"/>
      <c r="F29" s="1129"/>
      <c r="G29" s="1129"/>
      <c r="H29" s="1129"/>
      <c r="I29" s="1129"/>
      <c r="J29" s="1129"/>
      <c r="K29" s="1129"/>
      <c r="L29" s="1129"/>
      <c r="M29" s="1129"/>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94"/>
    </row>
    <row r="30" spans="1:37" ht="30" customHeight="1" x14ac:dyDescent="0.2">
      <c r="A30" s="34"/>
      <c r="B30" s="1130" t="s">
        <v>710</v>
      </c>
      <c r="C30" s="1130"/>
      <c r="D30" s="1130"/>
      <c r="E30" s="1130"/>
      <c r="F30" s="1130"/>
      <c r="G30" s="1130"/>
      <c r="H30" s="1130"/>
      <c r="I30" s="1130"/>
      <c r="J30" s="1130"/>
      <c r="K30" s="1130"/>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c r="AG30" s="1130"/>
      <c r="AH30" s="1130"/>
      <c r="AI30" s="1130"/>
      <c r="AJ30" s="1130"/>
      <c r="AK30" s="194"/>
    </row>
    <row r="31" spans="1:37" ht="30" customHeight="1" x14ac:dyDescent="0.2">
      <c r="A31" s="34"/>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c r="AG31" s="1130"/>
      <c r="AH31" s="1130"/>
      <c r="AI31" s="1130"/>
      <c r="AJ31" s="1130"/>
      <c r="AK31" s="194"/>
    </row>
    <row r="32" spans="1:37" ht="30" customHeight="1" x14ac:dyDescent="0.2">
      <c r="A32" s="34"/>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4"/>
    </row>
    <row r="33" spans="1:37" ht="30" customHeight="1" x14ac:dyDescent="0.2">
      <c r="A33" s="34"/>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4"/>
    </row>
    <row r="34" spans="1:37" ht="30" customHeight="1" thickBot="1" x14ac:dyDescent="0.25">
      <c r="A34" s="34"/>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4"/>
    </row>
    <row r="35" spans="1:37" ht="12" customHeight="1" x14ac:dyDescent="0.2">
      <c r="A35" s="34"/>
      <c r="B35" s="868" t="s">
        <v>704</v>
      </c>
      <c r="C35" s="869"/>
      <c r="D35" s="869"/>
      <c r="E35" s="869"/>
      <c r="F35" s="869"/>
      <c r="G35" s="869"/>
      <c r="H35" s="869"/>
      <c r="I35" s="869"/>
      <c r="J35" s="869"/>
      <c r="K35" s="869"/>
      <c r="L35" s="869"/>
      <c r="M35" s="869"/>
      <c r="N35" s="869"/>
      <c r="O35" s="869"/>
      <c r="P35" s="869"/>
      <c r="Q35" s="869"/>
      <c r="R35" s="869"/>
      <c r="S35" s="869"/>
      <c r="T35" s="869"/>
      <c r="U35" s="869"/>
      <c r="V35" s="869"/>
      <c r="W35" s="869"/>
      <c r="X35" s="869"/>
      <c r="Y35" s="869"/>
      <c r="Z35" s="869"/>
      <c r="AA35" s="869"/>
      <c r="AB35" s="869"/>
      <c r="AC35" s="869"/>
      <c r="AD35" s="869"/>
      <c r="AE35" s="869"/>
      <c r="AF35" s="869"/>
      <c r="AG35" s="869"/>
      <c r="AH35" s="869"/>
      <c r="AI35" s="869"/>
      <c r="AJ35" s="870"/>
      <c r="AK35" s="34"/>
    </row>
    <row r="36" spans="1:37" ht="12" customHeight="1" x14ac:dyDescent="0.2">
      <c r="A36" s="34"/>
      <c r="B36" s="871"/>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872"/>
      <c r="AF36" s="872"/>
      <c r="AG36" s="872"/>
      <c r="AH36" s="872"/>
      <c r="AI36" s="872"/>
      <c r="AJ36" s="873"/>
      <c r="AK36" s="34"/>
    </row>
    <row r="37" spans="1:37" ht="12" customHeight="1" x14ac:dyDescent="0.2">
      <c r="A37" s="34"/>
      <c r="B37" s="871"/>
      <c r="C37" s="872"/>
      <c r="D37" s="872"/>
      <c r="E37" s="872"/>
      <c r="F37" s="872"/>
      <c r="G37" s="872"/>
      <c r="H37" s="872"/>
      <c r="I37" s="872"/>
      <c r="J37" s="872"/>
      <c r="K37" s="872"/>
      <c r="L37" s="872"/>
      <c r="M37" s="872"/>
      <c r="N37" s="872"/>
      <c r="O37" s="872"/>
      <c r="P37" s="872"/>
      <c r="Q37" s="872"/>
      <c r="R37" s="872"/>
      <c r="S37" s="872"/>
      <c r="T37" s="872"/>
      <c r="U37" s="872"/>
      <c r="V37" s="872"/>
      <c r="W37" s="872"/>
      <c r="X37" s="872"/>
      <c r="Y37" s="872"/>
      <c r="Z37" s="872"/>
      <c r="AA37" s="872"/>
      <c r="AB37" s="872"/>
      <c r="AC37" s="872"/>
      <c r="AD37" s="872"/>
      <c r="AE37" s="872"/>
      <c r="AF37" s="872"/>
      <c r="AG37" s="872"/>
      <c r="AH37" s="872"/>
      <c r="AI37" s="872"/>
      <c r="AJ37" s="873"/>
      <c r="AK37" s="34"/>
    </row>
    <row r="38" spans="1:37" ht="12" customHeight="1" thickBot="1" x14ac:dyDescent="0.25">
      <c r="A38" s="34"/>
      <c r="B38" s="874"/>
      <c r="C38" s="875"/>
      <c r="D38" s="875"/>
      <c r="E38" s="875"/>
      <c r="F38" s="875"/>
      <c r="G38" s="875"/>
      <c r="H38" s="875"/>
      <c r="I38" s="875"/>
      <c r="J38" s="875"/>
      <c r="K38" s="875"/>
      <c r="L38" s="875"/>
      <c r="M38" s="875"/>
      <c r="N38" s="875"/>
      <c r="O38" s="875"/>
      <c r="P38" s="875"/>
      <c r="Q38" s="875"/>
      <c r="R38" s="875"/>
      <c r="S38" s="875"/>
      <c r="T38" s="875"/>
      <c r="U38" s="875"/>
      <c r="V38" s="875"/>
      <c r="W38" s="875"/>
      <c r="X38" s="875"/>
      <c r="Y38" s="875"/>
      <c r="Z38" s="875"/>
      <c r="AA38" s="875"/>
      <c r="AB38" s="875"/>
      <c r="AC38" s="875"/>
      <c r="AD38" s="875"/>
      <c r="AE38" s="875"/>
      <c r="AF38" s="875"/>
      <c r="AG38" s="875"/>
      <c r="AH38" s="875"/>
      <c r="AI38" s="875"/>
      <c r="AJ38" s="876"/>
      <c r="AK38" s="34"/>
    </row>
    <row r="39" spans="1:37" ht="30" customHeight="1" x14ac:dyDescent="0.2">
      <c r="A39" s="34"/>
      <c r="B39" s="34"/>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34"/>
      <c r="AH39" s="34"/>
      <c r="AI39" s="32"/>
      <c r="AJ39" s="139"/>
      <c r="AK39" s="34"/>
    </row>
    <row r="40" spans="1:37" ht="30" customHeight="1" x14ac:dyDescent="0.2">
      <c r="A40" s="34"/>
      <c r="B40" s="964" t="s">
        <v>747</v>
      </c>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4"/>
      <c r="AI40" s="964"/>
      <c r="AJ40" s="964"/>
      <c r="AK40" s="34"/>
    </row>
    <row r="41" spans="1:37" ht="30" customHeight="1" x14ac:dyDescent="0.2">
      <c r="A41" s="34"/>
      <c r="B41" s="34"/>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8"/>
      <c r="AC41" s="48"/>
      <c r="AD41" s="48"/>
      <c r="AE41" s="48"/>
      <c r="AF41" s="48"/>
      <c r="AG41" s="34"/>
      <c r="AH41" s="34"/>
      <c r="AI41" s="32"/>
      <c r="AJ41" s="139"/>
      <c r="AK41" s="34"/>
    </row>
    <row r="42" spans="1:37" ht="30"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row>
    <row r="43" spans="1:37" ht="30"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row>
    <row r="44" spans="1:37" ht="30"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row>
    <row r="45" spans="1:37" ht="30"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row>
    <row r="46" spans="1:37" ht="30"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row>
    <row r="47" spans="1:37" ht="30" customHeight="1"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row>
    <row r="48" spans="1:37" ht="30"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row>
    <row r="49" spans="1:37" ht="30"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row>
    <row r="50" spans="1:37" ht="30"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row>
    <row r="51" spans="1:37" ht="30"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row>
    <row r="52" spans="1:37" ht="30"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row>
    <row r="53" spans="1:37" ht="30" customHeight="1"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row>
    <row r="54" spans="1:37" ht="30"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row>
    <row r="55" spans="1:37" ht="30"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row>
    <row r="56" spans="1:37" ht="30"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row>
    <row r="57" spans="1:37" ht="30"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row>
    <row r="58" spans="1:37" ht="30" customHeight="1"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row>
    <row r="59" spans="1:37" ht="30" customHeight="1"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row>
    <row r="60" spans="1:37" ht="30" customHeight="1"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row>
    <row r="61" spans="1:37" ht="30" customHeight="1"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row>
    <row r="62" spans="1:37" ht="30" customHeight="1" thickBot="1"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row>
    <row r="63" spans="1:37" ht="12" customHeight="1" x14ac:dyDescent="0.2">
      <c r="A63" s="34"/>
      <c r="B63" s="868" t="s">
        <v>705</v>
      </c>
      <c r="C63" s="869"/>
      <c r="D63" s="869"/>
      <c r="E63" s="869"/>
      <c r="F63" s="869"/>
      <c r="G63" s="869"/>
      <c r="H63" s="869"/>
      <c r="I63" s="869"/>
      <c r="J63" s="869"/>
      <c r="K63" s="869"/>
      <c r="L63" s="869"/>
      <c r="M63" s="869"/>
      <c r="N63" s="869"/>
      <c r="O63" s="869"/>
      <c r="P63" s="869"/>
      <c r="Q63" s="869"/>
      <c r="R63" s="869"/>
      <c r="S63" s="869"/>
      <c r="T63" s="869"/>
      <c r="U63" s="869"/>
      <c r="V63" s="869"/>
      <c r="W63" s="869"/>
      <c r="X63" s="869"/>
      <c r="Y63" s="869"/>
      <c r="Z63" s="869"/>
      <c r="AA63" s="869"/>
      <c r="AB63" s="869"/>
      <c r="AC63" s="869"/>
      <c r="AD63" s="869"/>
      <c r="AE63" s="869"/>
      <c r="AF63" s="869"/>
      <c r="AG63" s="869"/>
      <c r="AH63" s="869"/>
      <c r="AI63" s="869"/>
      <c r="AJ63" s="870"/>
      <c r="AK63" s="34"/>
    </row>
    <row r="64" spans="1:37" ht="12" customHeight="1" x14ac:dyDescent="0.2">
      <c r="A64" s="34"/>
      <c r="B64" s="871"/>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3"/>
      <c r="AK64" s="34"/>
    </row>
    <row r="65" spans="1:37" ht="12" customHeight="1" x14ac:dyDescent="0.2">
      <c r="A65" s="34"/>
      <c r="B65" s="871"/>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c r="AA65" s="872"/>
      <c r="AB65" s="872"/>
      <c r="AC65" s="872"/>
      <c r="AD65" s="872"/>
      <c r="AE65" s="872"/>
      <c r="AF65" s="872"/>
      <c r="AG65" s="872"/>
      <c r="AH65" s="872"/>
      <c r="AI65" s="872"/>
      <c r="AJ65" s="873"/>
      <c r="AK65" s="34"/>
    </row>
    <row r="66" spans="1:37" ht="12" customHeight="1" thickBot="1" x14ac:dyDescent="0.25">
      <c r="A66" s="34"/>
      <c r="B66" s="874"/>
      <c r="C66" s="875"/>
      <c r="D66" s="875"/>
      <c r="E66" s="875"/>
      <c r="F66" s="875"/>
      <c r="G66" s="875"/>
      <c r="H66" s="875"/>
      <c r="I66" s="875"/>
      <c r="J66" s="875"/>
      <c r="K66" s="875"/>
      <c r="L66" s="875"/>
      <c r="M66" s="875"/>
      <c r="N66" s="875"/>
      <c r="O66" s="875"/>
      <c r="P66" s="875"/>
      <c r="Q66" s="875"/>
      <c r="R66" s="875"/>
      <c r="S66" s="875"/>
      <c r="T66" s="875"/>
      <c r="U66" s="875"/>
      <c r="V66" s="875"/>
      <c r="W66" s="875"/>
      <c r="X66" s="875"/>
      <c r="Y66" s="875"/>
      <c r="Z66" s="875"/>
      <c r="AA66" s="875"/>
      <c r="AB66" s="875"/>
      <c r="AC66" s="875"/>
      <c r="AD66" s="875"/>
      <c r="AE66" s="875"/>
      <c r="AF66" s="875"/>
      <c r="AG66" s="875"/>
      <c r="AH66" s="875"/>
      <c r="AI66" s="875"/>
      <c r="AJ66" s="876"/>
      <c r="AK66" s="34"/>
    </row>
    <row r="67" spans="1:37" ht="30" customHeight="1" x14ac:dyDescent="0.2">
      <c r="A67" s="34"/>
      <c r="B67" s="34"/>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34"/>
      <c r="AH67" s="34"/>
      <c r="AI67" s="32"/>
      <c r="AJ67" s="139"/>
      <c r="AK67" s="34"/>
    </row>
    <row r="68" spans="1:37" ht="30" customHeight="1" x14ac:dyDescent="0.2">
      <c r="A68" s="34"/>
      <c r="B68" s="964" t="s">
        <v>747</v>
      </c>
      <c r="C68" s="964"/>
      <c r="D68" s="964"/>
      <c r="E68" s="964"/>
      <c r="F68" s="964"/>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34"/>
    </row>
    <row r="69" spans="1:37" ht="30" customHeight="1" x14ac:dyDescent="0.2">
      <c r="A69" s="34"/>
      <c r="B69" s="34"/>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8"/>
      <c r="AC69" s="48"/>
      <c r="AD69" s="48"/>
      <c r="AE69" s="48"/>
      <c r="AF69" s="48"/>
      <c r="AG69" s="34"/>
      <c r="AH69" s="34"/>
      <c r="AI69" s="32"/>
      <c r="AJ69" s="139"/>
      <c r="AK69" s="34"/>
    </row>
    <row r="70" spans="1:37" ht="30" customHeight="1"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row>
    <row r="71" spans="1:37" ht="30" customHeight="1"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row>
    <row r="72" spans="1:37" ht="30" customHeight="1"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row>
    <row r="73" spans="1:37" ht="30"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row>
    <row r="74" spans="1:37" ht="30" customHeight="1"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row>
    <row r="75" spans="1:37" ht="30" customHeight="1"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row>
    <row r="76" spans="1:37" ht="30" customHeight="1"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row>
    <row r="77" spans="1:37" ht="30" customHeight="1"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row>
    <row r="78" spans="1:37" ht="30" customHeight="1"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row>
    <row r="79" spans="1:37" ht="30" customHeight="1"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row>
    <row r="80" spans="1:37" ht="30" customHeight="1"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row>
    <row r="81" spans="1:37" ht="30" customHeight="1"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row>
    <row r="82" spans="1:37" ht="30" customHeight="1"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row>
    <row r="83" spans="1:37" ht="30" customHeight="1"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row>
    <row r="84" spans="1:37" ht="30" customHeight="1"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row>
    <row r="85" spans="1:37" ht="30" customHeight="1"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row>
    <row r="86" spans="1:37" ht="30" customHeight="1"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row>
    <row r="87" spans="1:37" ht="30" customHeight="1"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row>
    <row r="88" spans="1:37" ht="30" customHeight="1" x14ac:dyDescent="0.2">
      <c r="A88" s="34"/>
      <c r="B88" s="34"/>
      <c r="C88" s="34"/>
      <c r="D88" s="34"/>
      <c r="E88" s="34"/>
      <c r="F88" s="34"/>
      <c r="G88" s="34"/>
      <c r="H88" s="34"/>
      <c r="I88" s="34"/>
      <c r="J88" s="34"/>
      <c r="K88" s="34"/>
      <c r="L88" s="34"/>
      <c r="M88" s="34"/>
      <c r="N88" s="34"/>
      <c r="O88" s="34"/>
      <c r="P88" s="34"/>
      <c r="Q88" s="34"/>
      <c r="R88" s="34"/>
      <c r="S88" s="34"/>
      <c r="T88" s="34"/>
      <c r="U88" s="34"/>
      <c r="V88" s="34"/>
      <c r="W88" s="506"/>
      <c r="X88" s="34"/>
      <c r="Y88" s="34"/>
      <c r="Z88" s="34"/>
      <c r="AA88" s="34"/>
      <c r="AB88" s="34"/>
      <c r="AC88" s="34"/>
      <c r="AD88" s="34"/>
      <c r="AE88" s="34"/>
      <c r="AF88" s="34"/>
      <c r="AG88" s="34"/>
      <c r="AH88" s="34"/>
      <c r="AI88" s="34"/>
      <c r="AJ88" s="507" t="s">
        <v>1521</v>
      </c>
      <c r="AK88" s="34"/>
    </row>
    <row r="89" spans="1:37" ht="30" customHeight="1"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row>
    <row r="90" spans="1:37" ht="30" customHeight="1" thickBot="1"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row>
    <row r="91" spans="1:37" ht="12" customHeight="1" x14ac:dyDescent="0.2">
      <c r="A91" s="34"/>
      <c r="B91" s="868" t="s">
        <v>706</v>
      </c>
      <c r="C91" s="869"/>
      <c r="D91" s="869"/>
      <c r="E91" s="869"/>
      <c r="F91" s="869"/>
      <c r="G91" s="869"/>
      <c r="H91" s="869"/>
      <c r="I91" s="869"/>
      <c r="J91" s="869"/>
      <c r="K91" s="869"/>
      <c r="L91" s="869"/>
      <c r="M91" s="869"/>
      <c r="N91" s="869"/>
      <c r="O91" s="869"/>
      <c r="P91" s="869"/>
      <c r="Q91" s="869"/>
      <c r="R91" s="869"/>
      <c r="S91" s="869"/>
      <c r="T91" s="869"/>
      <c r="U91" s="869"/>
      <c r="V91" s="869"/>
      <c r="W91" s="869"/>
      <c r="X91" s="869"/>
      <c r="Y91" s="869"/>
      <c r="Z91" s="869"/>
      <c r="AA91" s="869"/>
      <c r="AB91" s="869"/>
      <c r="AC91" s="869"/>
      <c r="AD91" s="869"/>
      <c r="AE91" s="869"/>
      <c r="AF91" s="869"/>
      <c r="AG91" s="869"/>
      <c r="AH91" s="869"/>
      <c r="AI91" s="869"/>
      <c r="AJ91" s="870"/>
      <c r="AK91" s="34"/>
    </row>
    <row r="92" spans="1:37" ht="12" customHeight="1" x14ac:dyDescent="0.2">
      <c r="A92" s="34"/>
      <c r="B92" s="871"/>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3"/>
      <c r="AK92" s="34"/>
    </row>
    <row r="93" spans="1:37" ht="12" customHeight="1" x14ac:dyDescent="0.2">
      <c r="A93" s="34"/>
      <c r="B93" s="871"/>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3"/>
      <c r="AK93" s="34"/>
    </row>
    <row r="94" spans="1:37" ht="12" customHeight="1" thickBot="1" x14ac:dyDescent="0.25">
      <c r="A94" s="34"/>
      <c r="B94" s="874"/>
      <c r="C94" s="875"/>
      <c r="D94" s="875"/>
      <c r="E94" s="875"/>
      <c r="F94" s="875"/>
      <c r="G94" s="875"/>
      <c r="H94" s="875"/>
      <c r="I94" s="875"/>
      <c r="J94" s="875"/>
      <c r="K94" s="875"/>
      <c r="L94" s="875"/>
      <c r="M94" s="875"/>
      <c r="N94" s="875"/>
      <c r="O94" s="875"/>
      <c r="P94" s="875"/>
      <c r="Q94" s="875"/>
      <c r="R94" s="875"/>
      <c r="S94" s="875"/>
      <c r="T94" s="875"/>
      <c r="U94" s="875"/>
      <c r="V94" s="875"/>
      <c r="W94" s="875"/>
      <c r="X94" s="875"/>
      <c r="Y94" s="875"/>
      <c r="Z94" s="875"/>
      <c r="AA94" s="875"/>
      <c r="AB94" s="875"/>
      <c r="AC94" s="875"/>
      <c r="AD94" s="875"/>
      <c r="AE94" s="875"/>
      <c r="AF94" s="875"/>
      <c r="AG94" s="875"/>
      <c r="AH94" s="875"/>
      <c r="AI94" s="875"/>
      <c r="AJ94" s="876"/>
      <c r="AK94" s="34"/>
    </row>
    <row r="95" spans="1:37" ht="30" customHeight="1" x14ac:dyDescent="0.2">
      <c r="A95" s="34"/>
      <c r="B95" s="34"/>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34"/>
      <c r="AH95" s="34"/>
      <c r="AI95" s="32"/>
      <c r="AJ95" s="139"/>
      <c r="AK95" s="34"/>
    </row>
    <row r="96" spans="1:37" ht="30" customHeight="1" x14ac:dyDescent="0.2">
      <c r="A96" s="34"/>
      <c r="B96" s="964" t="s">
        <v>747</v>
      </c>
      <c r="C96" s="964"/>
      <c r="D96" s="964"/>
      <c r="E96" s="964"/>
      <c r="F96" s="964"/>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34"/>
    </row>
    <row r="97" spans="1:37" ht="30" customHeight="1" x14ac:dyDescent="0.2">
      <c r="A97" s="34"/>
      <c r="B97" s="34"/>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8"/>
      <c r="AC97" s="48"/>
      <c r="AD97" s="48"/>
      <c r="AE97" s="48"/>
      <c r="AF97" s="48"/>
      <c r="AG97" s="34"/>
      <c r="AH97" s="34"/>
      <c r="AI97" s="32"/>
      <c r="AJ97" s="139"/>
      <c r="AK97" s="34"/>
    </row>
    <row r="98" spans="1:37" ht="30" customHeight="1"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row>
    <row r="99" spans="1:37" ht="30" customHeight="1"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row>
    <row r="100" spans="1:37" ht="30" customHeight="1"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row>
    <row r="101" spans="1:37" ht="30" customHeight="1"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row>
    <row r="102" spans="1:37" ht="30" customHeight="1"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row>
    <row r="103" spans="1:37" ht="30" customHeight="1"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row>
    <row r="104" spans="1:37" ht="30" customHeight="1"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row>
    <row r="105" spans="1:37" ht="30" customHeight="1"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row>
    <row r="106" spans="1:37" ht="30" customHeight="1"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row>
    <row r="107" spans="1:37" ht="30" customHeight="1"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row>
    <row r="108" spans="1:37" ht="30" customHeight="1"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row>
    <row r="109" spans="1:37" ht="30" customHeight="1"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row>
    <row r="110" spans="1:37" ht="30" customHeight="1"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row>
    <row r="111" spans="1:37" ht="30" customHeight="1"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row>
    <row r="112" spans="1:37" ht="30" customHeight="1"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row>
    <row r="113" spans="1:37" ht="30" customHeight="1"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row>
    <row r="114" spans="1:37" ht="30" customHeight="1"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row>
    <row r="115" spans="1:37" ht="30" customHeight="1"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row>
    <row r="116" spans="1:37" ht="30" customHeight="1"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row>
    <row r="117" spans="1:37" ht="30" customHeight="1"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row>
    <row r="118" spans="1:37" ht="30" customHeight="1" thickBo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row>
    <row r="119" spans="1:37" ht="12" customHeight="1" x14ac:dyDescent="0.2">
      <c r="A119" s="34"/>
      <c r="B119" s="868" t="s">
        <v>707</v>
      </c>
      <c r="C119" s="869"/>
      <c r="D119" s="869"/>
      <c r="E119" s="869"/>
      <c r="F119" s="869"/>
      <c r="G119" s="869"/>
      <c r="H119" s="869"/>
      <c r="I119" s="869"/>
      <c r="J119" s="869"/>
      <c r="K119" s="869"/>
      <c r="L119" s="869"/>
      <c r="M119" s="869"/>
      <c r="N119" s="869"/>
      <c r="O119" s="869"/>
      <c r="P119" s="869"/>
      <c r="Q119" s="869"/>
      <c r="R119" s="869"/>
      <c r="S119" s="869"/>
      <c r="T119" s="869"/>
      <c r="U119" s="869"/>
      <c r="V119" s="869"/>
      <c r="W119" s="869"/>
      <c r="X119" s="869"/>
      <c r="Y119" s="869"/>
      <c r="Z119" s="869"/>
      <c r="AA119" s="869"/>
      <c r="AB119" s="869"/>
      <c r="AC119" s="869"/>
      <c r="AD119" s="869"/>
      <c r="AE119" s="869"/>
      <c r="AF119" s="869"/>
      <c r="AG119" s="869"/>
      <c r="AH119" s="869"/>
      <c r="AI119" s="869"/>
      <c r="AJ119" s="870"/>
      <c r="AK119" s="34"/>
    </row>
    <row r="120" spans="1:37" ht="12" customHeight="1" x14ac:dyDescent="0.2">
      <c r="A120" s="34"/>
      <c r="B120" s="871"/>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c r="AA120" s="872"/>
      <c r="AB120" s="872"/>
      <c r="AC120" s="872"/>
      <c r="AD120" s="872"/>
      <c r="AE120" s="872"/>
      <c r="AF120" s="872"/>
      <c r="AG120" s="872"/>
      <c r="AH120" s="872"/>
      <c r="AI120" s="872"/>
      <c r="AJ120" s="873"/>
      <c r="AK120" s="34"/>
    </row>
    <row r="121" spans="1:37" ht="12" customHeight="1" x14ac:dyDescent="0.2">
      <c r="A121" s="34"/>
      <c r="B121" s="871"/>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c r="AA121" s="872"/>
      <c r="AB121" s="872"/>
      <c r="AC121" s="872"/>
      <c r="AD121" s="872"/>
      <c r="AE121" s="872"/>
      <c r="AF121" s="872"/>
      <c r="AG121" s="872"/>
      <c r="AH121" s="872"/>
      <c r="AI121" s="872"/>
      <c r="AJ121" s="873"/>
      <c r="AK121" s="34"/>
    </row>
    <row r="122" spans="1:37" ht="12" customHeight="1" thickBot="1" x14ac:dyDescent="0.25">
      <c r="A122" s="34"/>
      <c r="B122" s="874"/>
      <c r="C122" s="875"/>
      <c r="D122" s="875"/>
      <c r="E122" s="875"/>
      <c r="F122" s="875"/>
      <c r="G122" s="875"/>
      <c r="H122" s="875"/>
      <c r="I122" s="875"/>
      <c r="J122" s="875"/>
      <c r="K122" s="875"/>
      <c r="L122" s="875"/>
      <c r="M122" s="875"/>
      <c r="N122" s="875"/>
      <c r="O122" s="875"/>
      <c r="P122" s="875"/>
      <c r="Q122" s="875"/>
      <c r="R122" s="875"/>
      <c r="S122" s="875"/>
      <c r="T122" s="875"/>
      <c r="U122" s="875"/>
      <c r="V122" s="875"/>
      <c r="W122" s="875"/>
      <c r="X122" s="875"/>
      <c r="Y122" s="875"/>
      <c r="Z122" s="875"/>
      <c r="AA122" s="875"/>
      <c r="AB122" s="875"/>
      <c r="AC122" s="875"/>
      <c r="AD122" s="875"/>
      <c r="AE122" s="875"/>
      <c r="AF122" s="875"/>
      <c r="AG122" s="875"/>
      <c r="AH122" s="875"/>
      <c r="AI122" s="875"/>
      <c r="AJ122" s="876"/>
      <c r="AK122" s="34"/>
    </row>
    <row r="123" spans="1:37" ht="30" customHeight="1" x14ac:dyDescent="0.2">
      <c r="A123" s="34"/>
      <c r="B123" s="34"/>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34"/>
      <c r="AH123" s="34"/>
      <c r="AI123" s="32"/>
      <c r="AJ123" s="139"/>
      <c r="AK123" s="34"/>
    </row>
    <row r="124" spans="1:37" ht="30" customHeight="1" x14ac:dyDescent="0.2">
      <c r="A124" s="34"/>
      <c r="B124" s="964" t="s">
        <v>747</v>
      </c>
      <c r="C124" s="964"/>
      <c r="D124" s="964"/>
      <c r="E124" s="964"/>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34"/>
    </row>
    <row r="125" spans="1:37" ht="30" customHeight="1" x14ac:dyDescent="0.2">
      <c r="A125" s="34"/>
      <c r="B125" s="34"/>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8"/>
      <c r="AC125" s="48"/>
      <c r="AD125" s="48"/>
      <c r="AE125" s="48"/>
      <c r="AF125" s="48"/>
      <c r="AG125" s="34"/>
      <c r="AH125" s="34"/>
      <c r="AI125" s="32"/>
      <c r="AJ125" s="139"/>
      <c r="AK125" s="34"/>
    </row>
    <row r="126" spans="1:37" ht="30" customHeight="1"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row>
    <row r="127" spans="1:37" ht="30" customHeight="1"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row>
    <row r="128" spans="1:37" ht="30" customHeight="1"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row>
    <row r="129" spans="1:37" ht="30" customHeight="1"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row>
    <row r="130" spans="1:37" ht="30" customHeight="1"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row>
    <row r="131" spans="1:37" ht="30" customHeight="1"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row>
    <row r="132" spans="1:37" ht="30" customHeight="1"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row>
    <row r="133" spans="1:37" ht="30" customHeight="1"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row>
    <row r="134" spans="1:37" ht="30" customHeight="1"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row>
    <row r="135" spans="1:37" ht="30" customHeight="1"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row>
    <row r="136" spans="1:37" ht="30" customHeight="1"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row>
    <row r="137" spans="1:37" ht="30" customHeight="1"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row>
    <row r="138" spans="1:37" ht="30" customHeight="1"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row>
    <row r="139" spans="1:37" ht="30" customHeight="1"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row>
    <row r="140" spans="1:37" ht="30" customHeight="1"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row>
    <row r="141" spans="1:37" ht="30" customHeight="1"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row>
    <row r="142" spans="1:37" ht="30" customHeight="1"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row>
    <row r="143" spans="1:37" ht="30" customHeight="1"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row>
    <row r="144" spans="1:37" ht="30" customHeight="1"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row>
    <row r="145" spans="1:37" ht="30" customHeight="1"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row>
    <row r="146" spans="1:37" ht="30" customHeight="1" thickBo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row>
    <row r="147" spans="1:37" ht="12" customHeight="1" x14ac:dyDescent="0.2">
      <c r="A147" s="34"/>
      <c r="B147" s="868" t="s">
        <v>708</v>
      </c>
      <c r="C147" s="869"/>
      <c r="D147" s="869"/>
      <c r="E147" s="869"/>
      <c r="F147" s="869"/>
      <c r="G147" s="869"/>
      <c r="H147" s="869"/>
      <c r="I147" s="869"/>
      <c r="J147" s="869"/>
      <c r="K147" s="869"/>
      <c r="L147" s="869"/>
      <c r="M147" s="869"/>
      <c r="N147" s="869"/>
      <c r="O147" s="869"/>
      <c r="P147" s="869"/>
      <c r="Q147" s="869"/>
      <c r="R147" s="869"/>
      <c r="S147" s="869"/>
      <c r="T147" s="869"/>
      <c r="U147" s="869"/>
      <c r="V147" s="869"/>
      <c r="W147" s="869"/>
      <c r="X147" s="869"/>
      <c r="Y147" s="869"/>
      <c r="Z147" s="869"/>
      <c r="AA147" s="869"/>
      <c r="AB147" s="869"/>
      <c r="AC147" s="869"/>
      <c r="AD147" s="869"/>
      <c r="AE147" s="869"/>
      <c r="AF147" s="869"/>
      <c r="AG147" s="869"/>
      <c r="AH147" s="869"/>
      <c r="AI147" s="869"/>
      <c r="AJ147" s="870"/>
      <c r="AK147" s="34"/>
    </row>
    <row r="148" spans="1:37" ht="12" customHeight="1" x14ac:dyDescent="0.2">
      <c r="A148" s="34"/>
      <c r="B148" s="871"/>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c r="AA148" s="872"/>
      <c r="AB148" s="872"/>
      <c r="AC148" s="872"/>
      <c r="AD148" s="872"/>
      <c r="AE148" s="872"/>
      <c r="AF148" s="872"/>
      <c r="AG148" s="872"/>
      <c r="AH148" s="872"/>
      <c r="AI148" s="872"/>
      <c r="AJ148" s="873"/>
      <c r="AK148" s="34"/>
    </row>
    <row r="149" spans="1:37" ht="12" customHeight="1" x14ac:dyDescent="0.2">
      <c r="A149" s="34"/>
      <c r="B149" s="871"/>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c r="AD149" s="872"/>
      <c r="AE149" s="872"/>
      <c r="AF149" s="872"/>
      <c r="AG149" s="872"/>
      <c r="AH149" s="872"/>
      <c r="AI149" s="872"/>
      <c r="AJ149" s="873"/>
      <c r="AK149" s="34"/>
    </row>
    <row r="150" spans="1:37" ht="12" customHeight="1" thickBot="1" x14ac:dyDescent="0.25">
      <c r="A150" s="34"/>
      <c r="B150" s="874"/>
      <c r="C150" s="875"/>
      <c r="D150" s="875"/>
      <c r="E150" s="875"/>
      <c r="F150" s="875"/>
      <c r="G150" s="875"/>
      <c r="H150" s="875"/>
      <c r="I150" s="875"/>
      <c r="J150" s="875"/>
      <c r="K150" s="875"/>
      <c r="L150" s="875"/>
      <c r="M150" s="875"/>
      <c r="N150" s="875"/>
      <c r="O150" s="875"/>
      <c r="P150" s="875"/>
      <c r="Q150" s="875"/>
      <c r="R150" s="875"/>
      <c r="S150" s="875"/>
      <c r="T150" s="875"/>
      <c r="U150" s="875"/>
      <c r="V150" s="875"/>
      <c r="W150" s="875"/>
      <c r="X150" s="875"/>
      <c r="Y150" s="875"/>
      <c r="Z150" s="875"/>
      <c r="AA150" s="875"/>
      <c r="AB150" s="875"/>
      <c r="AC150" s="875"/>
      <c r="AD150" s="875"/>
      <c r="AE150" s="875"/>
      <c r="AF150" s="875"/>
      <c r="AG150" s="875"/>
      <c r="AH150" s="875"/>
      <c r="AI150" s="875"/>
      <c r="AJ150" s="876"/>
      <c r="AK150" s="34"/>
    </row>
    <row r="151" spans="1:37" ht="30" customHeight="1" x14ac:dyDescent="0.2">
      <c r="A151" s="34"/>
      <c r="B151" s="34"/>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34"/>
      <c r="AH151" s="34"/>
      <c r="AI151" s="32"/>
      <c r="AJ151" s="139"/>
      <c r="AK151" s="34"/>
    </row>
    <row r="152" spans="1:37" ht="30" customHeight="1" x14ac:dyDescent="0.2">
      <c r="A152" s="34"/>
      <c r="B152" s="964" t="s">
        <v>747</v>
      </c>
      <c r="C152" s="964"/>
      <c r="D152" s="964"/>
      <c r="E152" s="964"/>
      <c r="F152" s="964"/>
      <c r="G152" s="964"/>
      <c r="H152" s="964"/>
      <c r="I152" s="964"/>
      <c r="J152" s="964"/>
      <c r="K152" s="964"/>
      <c r="L152" s="964"/>
      <c r="M152" s="964"/>
      <c r="N152" s="964"/>
      <c r="O152" s="964"/>
      <c r="P152" s="964"/>
      <c r="Q152" s="964"/>
      <c r="R152" s="964"/>
      <c r="S152" s="964"/>
      <c r="T152" s="964"/>
      <c r="U152" s="964"/>
      <c r="V152" s="964"/>
      <c r="W152" s="964"/>
      <c r="X152" s="964"/>
      <c r="Y152" s="964"/>
      <c r="Z152" s="964"/>
      <c r="AA152" s="964"/>
      <c r="AB152" s="964"/>
      <c r="AC152" s="964"/>
      <c r="AD152" s="964"/>
      <c r="AE152" s="964"/>
      <c r="AF152" s="964"/>
      <c r="AG152" s="964"/>
      <c r="AH152" s="964"/>
      <c r="AI152" s="964"/>
      <c r="AJ152" s="964"/>
      <c r="AK152" s="34"/>
    </row>
    <row r="153" spans="1:37" ht="30" customHeight="1" x14ac:dyDescent="0.2">
      <c r="A153" s="34"/>
      <c r="B153" s="34"/>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8"/>
      <c r="AC153" s="48"/>
      <c r="AD153" s="48"/>
      <c r="AE153" s="48"/>
      <c r="AF153" s="48"/>
      <c r="AG153" s="34"/>
      <c r="AH153" s="34"/>
      <c r="AI153" s="32"/>
      <c r="AJ153" s="139"/>
      <c r="AK153" s="34"/>
    </row>
    <row r="154" spans="1:37" ht="30" customHeight="1"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row>
    <row r="155" spans="1:37" ht="30" customHeight="1"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row>
    <row r="156" spans="1:37" ht="30" customHeight="1"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row>
    <row r="157" spans="1:37" ht="30" customHeight="1"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row>
    <row r="158" spans="1:37" ht="30" customHeight="1"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row>
    <row r="159" spans="1:37" ht="30" customHeight="1"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row>
    <row r="160" spans="1:37" ht="30" customHeight="1"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row>
    <row r="161" spans="1:37" ht="30" customHeight="1"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row>
    <row r="162" spans="1:37" ht="30" customHeight="1"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row>
    <row r="163" spans="1:37" ht="30" customHeight="1"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row>
    <row r="164" spans="1:37" ht="30" customHeight="1"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row>
    <row r="165" spans="1:37" ht="30" customHeight="1"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row>
    <row r="166" spans="1:37" ht="30" customHeight="1"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row>
    <row r="167" spans="1:37" ht="30" customHeight="1"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row>
    <row r="168" spans="1:37" ht="30" customHeight="1"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row>
    <row r="169" spans="1:37" ht="30" customHeight="1"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row>
    <row r="170" spans="1:37" ht="30" customHeight="1"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row>
    <row r="171" spans="1:37" ht="30" customHeight="1"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row>
    <row r="172" spans="1:37" ht="30" customHeight="1"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row>
  </sheetData>
  <sheetProtection sheet="1" objects="1" scenarios="1"/>
  <mergeCells count="15">
    <mergeCell ref="B152:AJ152"/>
    <mergeCell ref="B28:AJ28"/>
    <mergeCell ref="B29:AJ29"/>
    <mergeCell ref="B2:AJ5"/>
    <mergeCell ref="B147:AJ150"/>
    <mergeCell ref="B119:AJ122"/>
    <mergeCell ref="B91:AJ94"/>
    <mergeCell ref="B63:AJ66"/>
    <mergeCell ref="B35:AJ38"/>
    <mergeCell ref="B30:AJ31"/>
    <mergeCell ref="B7:AJ7"/>
    <mergeCell ref="B40:AJ40"/>
    <mergeCell ref="B68:AJ68"/>
    <mergeCell ref="B96:AJ96"/>
    <mergeCell ref="B124:AJ124"/>
  </mergeCells>
  <pageMargins left="0" right="0" top="0.39370078740157483" bottom="0.39370078740157483" header="0" footer="0"/>
  <pageSetup paperSize="9" scale="33" fitToWidth="0" fitToHeight="4" pageOrder="overThenDown" orientation="portrait" r:id="rId1"/>
  <headerFooter>
    <oddHeader>&amp;C&amp;A</oddHeader>
    <oddFooter>&amp;CPage &amp;P</oddFooter>
  </headerFooter>
  <rowBreaks count="1" manualBreakCount="1">
    <brk id="89" max="36" man="1"/>
  </rowBreaks>
  <drawing r:id="rId2"/>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277</vt:i4>
      </vt:variant>
    </vt:vector>
  </HeadingPairs>
  <TitlesOfParts>
    <vt:vector size="288" baseType="lpstr">
      <vt:lpstr>Eval-Avant impact</vt:lpstr>
      <vt:lpstr>Eval-Avec impact envisagé</vt:lpstr>
      <vt:lpstr>Eval-Après impact</vt:lpstr>
      <vt:lpstr>Eval-Avant action écologique</vt:lpstr>
      <vt:lpstr>Eval-Avec act. écol. envisagée</vt:lpstr>
      <vt:lpstr>Eval-Après action écologique</vt:lpstr>
      <vt:lpstr>SYNTHESE EVAL. EQ. FCT.</vt:lpstr>
      <vt:lpstr>DETAILS EVAL. EQ. FCT.1</vt:lpstr>
      <vt:lpstr>DETAILS EVAL. EQ. FCT.2</vt:lpstr>
      <vt:lpstr>DONNEES</vt:lpstr>
      <vt:lpstr>Calcul auto.</vt:lpstr>
      <vt:lpstr>'Eval-Après action écologique'!_Toc416445384</vt:lpstr>
      <vt:lpstr>'Eval-Après impact'!_Toc416445384</vt:lpstr>
      <vt:lpstr>'Eval-Avant action écologique'!_Toc416445384</vt:lpstr>
      <vt:lpstr>'Eval-Avant impact'!_Toc416445384</vt:lpstr>
      <vt:lpstr>'Eval-Avec act. écol. envisagée'!_Toc416445384</vt:lpstr>
      <vt:lpstr>'Eval-Avec impact envisagé'!_Toc416445384</vt:lpstr>
      <vt:lpstr>'Eval-Après action écologique'!_Toc416445386</vt:lpstr>
      <vt:lpstr>'Eval-Après impact'!_Toc416445386</vt:lpstr>
      <vt:lpstr>'Eval-Avant action écologique'!_Toc416445386</vt:lpstr>
      <vt:lpstr>'Eval-Avant impact'!_Toc416445386</vt:lpstr>
      <vt:lpstr>'Eval-Avec act. écol. envisagée'!_Toc416445386</vt:lpstr>
      <vt:lpstr>'Eval-Avec impact envisagé'!_Toc416445386</vt:lpstr>
      <vt:lpstr>'Eval-Après action écologique'!_Toc416445387</vt:lpstr>
      <vt:lpstr>'Eval-Après impact'!_Toc416445387</vt:lpstr>
      <vt:lpstr>'Eval-Avant action écologique'!_Toc416445387</vt:lpstr>
      <vt:lpstr>'Eval-Avant impact'!_Toc416445387</vt:lpstr>
      <vt:lpstr>'Eval-Avec act. écol. envisagée'!_Toc416445387</vt:lpstr>
      <vt:lpstr>'Eval-Avec impact envisagé'!_Toc416445387</vt:lpstr>
      <vt:lpstr>'Eval-Après action écologique'!_Toc416445390</vt:lpstr>
      <vt:lpstr>'Eval-Après impact'!_Toc416445390</vt:lpstr>
      <vt:lpstr>'Eval-Avant action écologique'!_Toc416445390</vt:lpstr>
      <vt:lpstr>'Eval-Avant impact'!_Toc416445390</vt:lpstr>
      <vt:lpstr>'Eval-Avec act. écol. envisagée'!_Toc416445390</vt:lpstr>
      <vt:lpstr>'Eval-Avec impact envisagé'!_Toc416445390</vt:lpstr>
      <vt:lpstr>'Eval-Après action écologique'!_Toc416445391</vt:lpstr>
      <vt:lpstr>'Eval-Après impact'!_Toc416445391</vt:lpstr>
      <vt:lpstr>'Eval-Avant action écologique'!_Toc416445391</vt:lpstr>
      <vt:lpstr>'Eval-Avant impact'!_Toc416445391</vt:lpstr>
      <vt:lpstr>'Eval-Avec act. écol. envisagée'!_Toc416445391</vt:lpstr>
      <vt:lpstr>'Eval-Avec impact envisagé'!_Toc416445391</vt:lpstr>
      <vt:lpstr>'Eval-Après action écologique'!_Toc416445393</vt:lpstr>
      <vt:lpstr>'Eval-Après impact'!_Toc416445393</vt:lpstr>
      <vt:lpstr>'Eval-Avant action écologique'!_Toc416445393</vt:lpstr>
      <vt:lpstr>'Eval-Avant impact'!_Toc416445393</vt:lpstr>
      <vt:lpstr>'Eval-Avec act. écol. envisagée'!_Toc416445393</vt:lpstr>
      <vt:lpstr>'Eval-Avec impact envisagé'!_Toc416445393</vt:lpstr>
      <vt:lpstr>'Eval-Après action écologique'!_Toc416445399</vt:lpstr>
      <vt:lpstr>'Eval-Après impact'!_Toc416445399</vt:lpstr>
      <vt:lpstr>'Eval-Avant action écologique'!_Toc416445399</vt:lpstr>
      <vt:lpstr>'Eval-Avant impact'!_Toc416445399</vt:lpstr>
      <vt:lpstr>'Eval-Avec act. écol. envisagée'!_Toc416445399</vt:lpstr>
      <vt:lpstr>'Eval-Avec impact envisagé'!_Toc416445399</vt:lpstr>
      <vt:lpstr>'Eval-Après action écologique'!_Toc416445406</vt:lpstr>
      <vt:lpstr>'Eval-Après impact'!_Toc416445406</vt:lpstr>
      <vt:lpstr>'Eval-Avant action écologique'!_Toc416445406</vt:lpstr>
      <vt:lpstr>'Eval-Avant impact'!_Toc416445406</vt:lpstr>
      <vt:lpstr>'Eval-Avec act. écol. envisagée'!_Toc416445406</vt:lpstr>
      <vt:lpstr>'Eval-Avec impact envisagé'!_Toc416445406</vt:lpstr>
      <vt:lpstr>'Eval-Après action écologique'!_Toc416445407</vt:lpstr>
      <vt:lpstr>'Eval-Après impact'!_Toc416445407</vt:lpstr>
      <vt:lpstr>'Eval-Avant action écologique'!_Toc416445407</vt:lpstr>
      <vt:lpstr>'Eval-Avant impact'!_Toc416445407</vt:lpstr>
      <vt:lpstr>'Eval-Avec act. écol. envisagée'!_Toc416445407</vt:lpstr>
      <vt:lpstr>'Eval-Avec impact envisagé'!_Toc416445407</vt:lpstr>
      <vt:lpstr>'Eval-Après action écologique'!_Toc416445408</vt:lpstr>
      <vt:lpstr>'Eval-Après impact'!_Toc416445408</vt:lpstr>
      <vt:lpstr>'Eval-Avant action écologique'!_Toc416445408</vt:lpstr>
      <vt:lpstr>'Eval-Avant impact'!_Toc416445408</vt:lpstr>
      <vt:lpstr>'Eval-Avec act. écol. envisagée'!_Toc416445408</vt:lpstr>
      <vt:lpstr>'Eval-Avec impact envisagé'!_Toc416445408</vt:lpstr>
      <vt:lpstr>'Eval-Après action écologique'!_Toc416445410</vt:lpstr>
      <vt:lpstr>'Eval-Après impact'!_Toc416445410</vt:lpstr>
      <vt:lpstr>'Eval-Avant action écologique'!_Toc416445410</vt:lpstr>
      <vt:lpstr>'Eval-Avant impact'!_Toc416445410</vt:lpstr>
      <vt:lpstr>'Eval-Avec act. écol. envisagée'!_Toc416445410</vt:lpstr>
      <vt:lpstr>'Eval-Avec impact envisagé'!_Toc416445410</vt:lpstr>
      <vt:lpstr>'Eval-Après action écologique'!_Toc416445411</vt:lpstr>
      <vt:lpstr>'Eval-Après impact'!_Toc416445411</vt:lpstr>
      <vt:lpstr>'Eval-Avant action écologique'!_Toc416445411</vt:lpstr>
      <vt:lpstr>'Eval-Avant impact'!_Toc416445411</vt:lpstr>
      <vt:lpstr>'Eval-Avec act. écol. envisagée'!_Toc416445411</vt:lpstr>
      <vt:lpstr>'Eval-Avec impact envisagé'!_Toc416445411</vt:lpstr>
      <vt:lpstr>'Eval-Après action écologique'!_Toc416445413</vt:lpstr>
      <vt:lpstr>'Eval-Après impact'!_Toc416445413</vt:lpstr>
      <vt:lpstr>'Eval-Avant action écologique'!_Toc416445413</vt:lpstr>
      <vt:lpstr>'Eval-Avant impact'!_Toc416445413</vt:lpstr>
      <vt:lpstr>'Eval-Avec act. écol. envisagée'!_Toc416445413</vt:lpstr>
      <vt:lpstr>'Eval-Avec impact envisagé'!_Toc416445413</vt:lpstr>
      <vt:lpstr>'Eval-Après action écologique'!_Toc416445414</vt:lpstr>
      <vt:lpstr>'Eval-Après impact'!_Toc416445414</vt:lpstr>
      <vt:lpstr>'Eval-Avant action écologique'!_Toc416445414</vt:lpstr>
      <vt:lpstr>'Eval-Avant impact'!_Toc416445414</vt:lpstr>
      <vt:lpstr>'Eval-Avec act. écol. envisagée'!_Toc416445414</vt:lpstr>
      <vt:lpstr>'Eval-Avec impact envisagé'!_Toc416445414</vt:lpstr>
      <vt:lpstr>'Eval-Après action écologique'!_Toc416445415</vt:lpstr>
      <vt:lpstr>'Eval-Après impact'!_Toc416445415</vt:lpstr>
      <vt:lpstr>'Eval-Avant action écologique'!_Toc416445415</vt:lpstr>
      <vt:lpstr>'Eval-Avant impact'!_Toc416445415</vt:lpstr>
      <vt:lpstr>'Eval-Avec act. écol. envisagée'!_Toc416445415</vt:lpstr>
      <vt:lpstr>'Eval-Avec impact envisagé'!_Toc416445415</vt:lpstr>
      <vt:lpstr>'Eval-Après action écologique'!_Toc416445416</vt:lpstr>
      <vt:lpstr>'Eval-Après impact'!_Toc416445416</vt:lpstr>
      <vt:lpstr>'Eval-Avant action écologique'!_Toc416445416</vt:lpstr>
      <vt:lpstr>'Eval-Avant impact'!_Toc416445416</vt:lpstr>
      <vt:lpstr>'Eval-Avec act. écol. envisagée'!_Toc416445416</vt:lpstr>
      <vt:lpstr>'Eval-Avec impact envisagé'!_Toc416445416</vt:lpstr>
      <vt:lpstr>'Eval-Après action écologique'!_Toc416445428</vt:lpstr>
      <vt:lpstr>'Eval-Après impact'!_Toc416445428</vt:lpstr>
      <vt:lpstr>'Eval-Avant action écologique'!_Toc416445428</vt:lpstr>
      <vt:lpstr>'Eval-Avant impact'!_Toc416445428</vt:lpstr>
      <vt:lpstr>'Eval-Avec act. écol. envisagée'!_Toc416445428</vt:lpstr>
      <vt:lpstr>'Eval-Avec impact envisagé'!_Toc416445428</vt:lpstr>
      <vt:lpstr>'Eval-Après action écologique'!_Toc416445431</vt:lpstr>
      <vt:lpstr>'Eval-Après impact'!_Toc416445431</vt:lpstr>
      <vt:lpstr>'Eval-Avant action écologique'!_Toc416445431</vt:lpstr>
      <vt:lpstr>'Eval-Avant impact'!_Toc416445431</vt:lpstr>
      <vt:lpstr>'Eval-Avec act. écol. envisagée'!_Toc416445431</vt:lpstr>
      <vt:lpstr>'Eval-Avec impact envisagé'!_Toc416445431</vt:lpstr>
      <vt:lpstr>'Eval-Après action écologique'!_Toc416445432</vt:lpstr>
      <vt:lpstr>'Eval-Après impact'!_Toc416445432</vt:lpstr>
      <vt:lpstr>'Eval-Avant action écologique'!_Toc416445432</vt:lpstr>
      <vt:lpstr>'Eval-Avant impact'!_Toc416445432</vt:lpstr>
      <vt:lpstr>'Eval-Avec act. écol. envisagée'!_Toc416445432</vt:lpstr>
      <vt:lpstr>'Eval-Avec impact envisagé'!_Toc416445432</vt:lpstr>
      <vt:lpstr>'Eval-Après action écologique'!_Toc416445433</vt:lpstr>
      <vt:lpstr>'Eval-Après impact'!_Toc416445433</vt:lpstr>
      <vt:lpstr>'Eval-Avant action écologique'!_Toc416445433</vt:lpstr>
      <vt:lpstr>'Eval-Avant impact'!_Toc416445433</vt:lpstr>
      <vt:lpstr>'Eval-Avec act. écol. envisagée'!_Toc416445433</vt:lpstr>
      <vt:lpstr>'Eval-Avec impact envisagé'!_Toc416445433</vt:lpstr>
      <vt:lpstr>'Eval-Après action écologique'!_Toc416445434</vt:lpstr>
      <vt:lpstr>'Eval-Après impact'!_Toc416445434</vt:lpstr>
      <vt:lpstr>'Eval-Avant action écologique'!_Toc416445434</vt:lpstr>
      <vt:lpstr>'Eval-Avant impact'!_Toc416445434</vt:lpstr>
      <vt:lpstr>'Eval-Avec act. écol. envisagée'!_Toc416445434</vt:lpstr>
      <vt:lpstr>'Eval-Avec impact envisagé'!_Toc416445434</vt:lpstr>
      <vt:lpstr>'Eval-Après action écologique'!_Toc416445435</vt:lpstr>
      <vt:lpstr>'Eval-Après impact'!_Toc416445435</vt:lpstr>
      <vt:lpstr>'Eval-Avant action écologique'!_Toc416445435</vt:lpstr>
      <vt:lpstr>'Eval-Avant impact'!_Toc416445435</vt:lpstr>
      <vt:lpstr>'Eval-Avec act. écol. envisagée'!_Toc416445435</vt:lpstr>
      <vt:lpstr>'Eval-Avec impact envisagé'!_Toc416445435</vt:lpstr>
      <vt:lpstr>'Eval-Après action écologique'!_Toc416445436</vt:lpstr>
      <vt:lpstr>'Eval-Après impact'!_Toc416445436</vt:lpstr>
      <vt:lpstr>'Eval-Avant action écologique'!_Toc416445436</vt:lpstr>
      <vt:lpstr>'Eval-Avant impact'!_Toc416445436</vt:lpstr>
      <vt:lpstr>'Eval-Avec act. écol. envisagée'!_Toc416445436</vt:lpstr>
      <vt:lpstr>'Eval-Avec impact envisagé'!_Toc416445436</vt:lpstr>
      <vt:lpstr>'Eval-Après action écologique'!_Toc416445440</vt:lpstr>
      <vt:lpstr>'Eval-Après impact'!_Toc416445440</vt:lpstr>
      <vt:lpstr>'Eval-Avant action écologique'!_Toc416445440</vt:lpstr>
      <vt:lpstr>'Eval-Avant impact'!_Toc416445440</vt:lpstr>
      <vt:lpstr>'Eval-Avec act. écol. envisagée'!_Toc416445440</vt:lpstr>
      <vt:lpstr>'Eval-Avec impact envisagé'!_Toc416445440</vt:lpstr>
      <vt:lpstr>'Eval-Après action écologique'!_Toc416445441</vt:lpstr>
      <vt:lpstr>'Eval-Après impact'!_Toc416445441</vt:lpstr>
      <vt:lpstr>'Eval-Avant action écologique'!_Toc416445441</vt:lpstr>
      <vt:lpstr>'Eval-Avant impact'!_Toc416445441</vt:lpstr>
      <vt:lpstr>'Eval-Avec act. écol. envisagée'!_Toc416445441</vt:lpstr>
      <vt:lpstr>'Eval-Avec impact envisagé'!_Toc416445441</vt:lpstr>
      <vt:lpstr>'Eval-Après action écologique'!_Toc416445442</vt:lpstr>
      <vt:lpstr>'Eval-Après impact'!_Toc416445442</vt:lpstr>
      <vt:lpstr>'Eval-Avant action écologique'!_Toc416445442</vt:lpstr>
      <vt:lpstr>'Eval-Avant impact'!_Toc416445442</vt:lpstr>
      <vt:lpstr>'Eval-Avec act. écol. envisagée'!_Toc416445442</vt:lpstr>
      <vt:lpstr>'Eval-Avec impact envisagé'!_Toc416445442</vt:lpstr>
      <vt:lpstr>'Eval-Après action écologique'!_Toc416445443</vt:lpstr>
      <vt:lpstr>'Eval-Après impact'!_Toc416445443</vt:lpstr>
      <vt:lpstr>'Eval-Avant action écologique'!_Toc416445443</vt:lpstr>
      <vt:lpstr>'Eval-Avant impact'!_Toc416445443</vt:lpstr>
      <vt:lpstr>'Eval-Avec act. écol. envisagée'!_Toc416445443</vt:lpstr>
      <vt:lpstr>'Eval-Avec impact envisagé'!_Toc416445443</vt:lpstr>
      <vt:lpstr>'Eval-Après action écologique'!_Toc416445444</vt:lpstr>
      <vt:lpstr>'Eval-Après impact'!_Toc416445444</vt:lpstr>
      <vt:lpstr>'Eval-Avant action écologique'!_Toc416445444</vt:lpstr>
      <vt:lpstr>'Eval-Avant impact'!_Toc416445444</vt:lpstr>
      <vt:lpstr>'Eval-Avec act. écol. envisagée'!_Toc416445444</vt:lpstr>
      <vt:lpstr>'Eval-Avec impact envisagé'!_Toc416445444</vt:lpstr>
      <vt:lpstr>'Eval-Après action écologique'!_Toc416445445</vt:lpstr>
      <vt:lpstr>'Eval-Après impact'!_Toc416445445</vt:lpstr>
      <vt:lpstr>'Eval-Avant action écologique'!_Toc416445445</vt:lpstr>
      <vt:lpstr>'Eval-Avant impact'!_Toc416445445</vt:lpstr>
      <vt:lpstr>'Eval-Avec act. écol. envisagée'!_Toc416445445</vt:lpstr>
      <vt:lpstr>'Eval-Avec impact envisagé'!_Toc416445445</vt:lpstr>
      <vt:lpstr>'Eval-Après action écologique'!_Toc416445446</vt:lpstr>
      <vt:lpstr>'Eval-Après impact'!_Toc416445446</vt:lpstr>
      <vt:lpstr>'Eval-Avant action écologique'!_Toc416445446</vt:lpstr>
      <vt:lpstr>'Eval-Avant impact'!_Toc416445446</vt:lpstr>
      <vt:lpstr>'Eval-Avec act. écol. envisagée'!_Toc416445446</vt:lpstr>
      <vt:lpstr>'Eval-Avec impact envisagé'!_Toc416445446</vt:lpstr>
      <vt:lpstr>'Eval-Après action écologique'!_Toc416445447</vt:lpstr>
      <vt:lpstr>'Eval-Après impact'!_Toc416445447</vt:lpstr>
      <vt:lpstr>'Eval-Avant action écologique'!_Toc416445447</vt:lpstr>
      <vt:lpstr>'Eval-Avant impact'!_Toc416445447</vt:lpstr>
      <vt:lpstr>'Eval-Avec act. écol. envisagée'!_Toc416445447</vt:lpstr>
      <vt:lpstr>'Eval-Avec impact envisagé'!_Toc416445447</vt:lpstr>
      <vt:lpstr>'Eval-Après action écologique'!_Toc416445449</vt:lpstr>
      <vt:lpstr>'Eval-Après impact'!_Toc416445449</vt:lpstr>
      <vt:lpstr>'Eval-Avant action écologique'!_Toc416445449</vt:lpstr>
      <vt:lpstr>'Eval-Avant impact'!_Toc416445449</vt:lpstr>
      <vt:lpstr>'Eval-Avec act. écol. envisagée'!_Toc416445449</vt:lpstr>
      <vt:lpstr>'Eval-Avec impact envisagé'!_Toc416445449</vt:lpstr>
      <vt:lpstr>'Eval-Après action écologique'!_Toc416445450</vt:lpstr>
      <vt:lpstr>'Eval-Après impact'!_Toc416445450</vt:lpstr>
      <vt:lpstr>'Eval-Avant action écologique'!_Toc416445450</vt:lpstr>
      <vt:lpstr>'Eval-Avant impact'!_Toc416445450</vt:lpstr>
      <vt:lpstr>'Eval-Avec act. écol. envisagée'!_Toc416445450</vt:lpstr>
      <vt:lpstr>'Eval-Avec impact envisagé'!_Toc416445450</vt:lpstr>
      <vt:lpstr>'Eval-Après action écologique'!_Toc416445451</vt:lpstr>
      <vt:lpstr>'Eval-Après impact'!_Toc416445451</vt:lpstr>
      <vt:lpstr>'Eval-Avant action écologique'!_Toc416445451</vt:lpstr>
      <vt:lpstr>'Eval-Avant impact'!_Toc416445451</vt:lpstr>
      <vt:lpstr>'Eval-Avec act. écol. envisagée'!_Toc416445451</vt:lpstr>
      <vt:lpstr>'Eval-Avec impact envisagé'!_Toc416445451</vt:lpstr>
      <vt:lpstr>'Eval-Après action écologique'!_Toc416445452</vt:lpstr>
      <vt:lpstr>'Eval-Après impact'!_Toc416445452</vt:lpstr>
      <vt:lpstr>'Eval-Avant action écologique'!_Toc416445452</vt:lpstr>
      <vt:lpstr>'Eval-Avant impact'!_Toc416445452</vt:lpstr>
      <vt:lpstr>'Eval-Avec act. écol. envisagée'!_Toc416445452</vt:lpstr>
      <vt:lpstr>'Eval-Avec impact envisagé'!_Toc416445452</vt:lpstr>
      <vt:lpstr>'Eval-Après action écologique'!_Toc416445453</vt:lpstr>
      <vt:lpstr>'Eval-Après impact'!_Toc416445453</vt:lpstr>
      <vt:lpstr>'Eval-Avant action écologique'!_Toc416445453</vt:lpstr>
      <vt:lpstr>'Eval-Avant impact'!_Toc416445453</vt:lpstr>
      <vt:lpstr>'Eval-Avec act. écol. envisagée'!_Toc416445453</vt:lpstr>
      <vt:lpstr>'Eval-Avec impact envisagé'!_Toc416445453</vt:lpstr>
      <vt:lpstr>'Eval-Après action écologique'!_Toc416445454</vt:lpstr>
      <vt:lpstr>'Eval-Après impact'!_Toc416445454</vt:lpstr>
      <vt:lpstr>'Eval-Avant action écologique'!_Toc416445454</vt:lpstr>
      <vt:lpstr>'Eval-Avant impact'!_Toc416445454</vt:lpstr>
      <vt:lpstr>'Eval-Avec act. écol. envisagée'!_Toc416445454</vt:lpstr>
      <vt:lpstr>'Eval-Avec impact envisagé'!_Toc416445454</vt:lpstr>
      <vt:lpstr>'Eval-Après action écologique'!_Toc416445455</vt:lpstr>
      <vt:lpstr>'Eval-Après impact'!_Toc416445455</vt:lpstr>
      <vt:lpstr>'Eval-Avant action écologique'!_Toc416445455</vt:lpstr>
      <vt:lpstr>'Eval-Avant impact'!_Toc416445455</vt:lpstr>
      <vt:lpstr>'Eval-Avec act. écol. envisagée'!_Toc416445455</vt:lpstr>
      <vt:lpstr>'Eval-Avec impact envisagé'!_Toc416445455</vt:lpstr>
      <vt:lpstr>'Eval-Après action écologique'!_Toc416445457</vt:lpstr>
      <vt:lpstr>'Eval-Après impact'!_Toc416445457</vt:lpstr>
      <vt:lpstr>'Eval-Avant action écologique'!_Toc416445457</vt:lpstr>
      <vt:lpstr>'Eval-Avant impact'!_Toc416445457</vt:lpstr>
      <vt:lpstr>'Eval-Avec act. écol. envisagée'!_Toc416445457</vt:lpstr>
      <vt:lpstr>'Eval-Avec impact envisagé'!_Toc416445457</vt:lpstr>
      <vt:lpstr>'Eval-Après action écologique'!_Toc416445458</vt:lpstr>
      <vt:lpstr>'Eval-Après impact'!_Toc416445458</vt:lpstr>
      <vt:lpstr>'Eval-Avant action écologique'!_Toc416445458</vt:lpstr>
      <vt:lpstr>'Eval-Avant impact'!_Toc416445458</vt:lpstr>
      <vt:lpstr>'Eval-Avec act. écol. envisagée'!_Toc416445458</vt:lpstr>
      <vt:lpstr>'Eval-Avec impact envisagé'!_Toc416445458</vt:lpstr>
      <vt:lpstr>'Eval-Après action écologique'!_Toc416445460</vt:lpstr>
      <vt:lpstr>'Eval-Après impact'!_Toc416445460</vt:lpstr>
      <vt:lpstr>'Eval-Avant action écologique'!_Toc416445460</vt:lpstr>
      <vt:lpstr>'Eval-Avant impact'!_Toc416445460</vt:lpstr>
      <vt:lpstr>'Eval-Avec act. écol. envisagée'!_Toc416445460</vt:lpstr>
      <vt:lpstr>'Eval-Avec impact envisagé'!_Toc416445460</vt:lpstr>
      <vt:lpstr>'Eval-Après action écologique'!_Toc416445463</vt:lpstr>
      <vt:lpstr>'Eval-Après impact'!_Toc416445463</vt:lpstr>
      <vt:lpstr>'Eval-Avant action écologique'!_Toc416445463</vt:lpstr>
      <vt:lpstr>'Eval-Avant impact'!_Toc416445463</vt:lpstr>
      <vt:lpstr>'Eval-Avec act. écol. envisagée'!_Toc416445463</vt:lpstr>
      <vt:lpstr>'Eval-Avec impact envisagé'!_Toc416445463</vt:lpstr>
      <vt:lpstr>'Eval-Après action écologique'!_Toc416445464</vt:lpstr>
      <vt:lpstr>'Eval-Après impact'!_Toc416445464</vt:lpstr>
      <vt:lpstr>'Eval-Avant action écologique'!_Toc416445464</vt:lpstr>
      <vt:lpstr>'Eval-Avant impact'!_Toc416445464</vt:lpstr>
      <vt:lpstr>'Eval-Avec act. écol. envisagée'!_Toc416445464</vt:lpstr>
      <vt:lpstr>'Eval-Avec impact envisagé'!_Toc416445464</vt:lpstr>
      <vt:lpstr>'Calcul auto.'!Print_Area</vt:lpstr>
      <vt:lpstr>'Eval-Après action écologique'!Print_Area</vt:lpstr>
      <vt:lpstr>'Eval-Après impact'!Print_Area</vt:lpstr>
      <vt:lpstr>'Eval-Avant action écologique'!Print_Area</vt:lpstr>
      <vt:lpstr>'Eval-Avant impact'!Print_Area</vt:lpstr>
      <vt:lpstr>'Eval-Avec act. écol. envisagée'!Print_Area</vt:lpstr>
      <vt:lpstr>'Eval-Avec impact envisagé'!Print_Area</vt:lpstr>
      <vt:lpstr>'SYNTHESE EVAL. EQ. FCT.'!Print_Area</vt:lpstr>
      <vt:lpstr>'Calcul auto.'!Zone_d_impression</vt:lpstr>
      <vt:lpstr>'DETAILS EVAL. EQ. FCT.1'!Zone_d_impression</vt:lpstr>
      <vt:lpstr>'DETAILS EVAL. EQ. FCT.2'!Zone_d_impression</vt:lpstr>
      <vt:lpstr>DONNEES!Zone_d_impression</vt:lpstr>
      <vt:lpstr>'Eval-Après action écologique'!Zone_d_impression</vt:lpstr>
      <vt:lpstr>'Eval-Après impact'!Zone_d_impression</vt:lpstr>
      <vt:lpstr>'Eval-Avant action écologique'!Zone_d_impression</vt:lpstr>
      <vt:lpstr>'Eval-Avant impact'!Zone_d_impression</vt:lpstr>
      <vt:lpstr>'Eval-Avec act. écol. envisagée'!Zone_d_impression</vt:lpstr>
      <vt:lpstr>'Eval-Avec impact envisagé'!Zone_d_impression</vt:lpstr>
      <vt:lpstr>'SYNTHESE EVAL. EQ. FCT.'!Zone_d_impression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Gayet</dc:creator>
  <cp:lastModifiedBy>Guillaume GAYET</cp:lastModifiedBy>
  <cp:revision>1</cp:revision>
  <cp:lastPrinted>2016-04-29T09:09:33Z</cp:lastPrinted>
  <dcterms:created xsi:type="dcterms:W3CDTF">2015-02-27T15:22:57Z</dcterms:created>
  <dcterms:modified xsi:type="dcterms:W3CDTF">2020-10-23T16:47:23Z</dcterms:modified>
</cp:coreProperties>
</file>